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drawings/drawing20.xml" ContentType="application/vnd.openxmlformats-officedocument.drawing+xml"/>
  <Override PartName="/xl/comments19.xml" ContentType="application/vnd.openxmlformats-officedocument.spreadsheetml.comments+xml"/>
  <Override PartName="/xl/drawings/drawing21.xml" ContentType="application/vnd.openxmlformats-officedocument.drawing+xml"/>
  <Override PartName="/xl/comments20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22.xml" ContentType="application/vnd.openxmlformats-officedocument.drawing+xml"/>
  <Override PartName="/xl/comments21.xml" ContentType="application/vnd.openxmlformats-officedocument.spreadsheetml.comments+xml"/>
  <Override PartName="/xl/drawings/drawing23.xml" ContentType="application/vnd.openxmlformats-officedocument.drawing+xml"/>
  <Override PartName="/xl/comments22.xml" ContentType="application/vnd.openxmlformats-officedocument.spreadsheetml.comments+xml"/>
  <Override PartName="/xl/drawings/drawing24.xml" ContentType="application/vnd.openxmlformats-officedocument.drawing+xml"/>
  <Override PartName="/xl/comments23.xml" ContentType="application/vnd.openxmlformats-officedocument.spreadsheetml.comments+xml"/>
  <Override PartName="/xl/drawings/drawing25.xml" ContentType="application/vnd.openxmlformats-officedocument.drawing+xml"/>
  <Override PartName="/xl/comments24.xml" ContentType="application/vnd.openxmlformats-officedocument.spreadsheetml.comments+xml"/>
  <Override PartName="/xl/drawings/drawing26.xml" ContentType="application/vnd.openxmlformats-officedocument.drawing+xml"/>
  <Override PartName="/xl/comments25.xml" ContentType="application/vnd.openxmlformats-officedocument.spreadsheetml.comments+xml"/>
  <Override PartName="/xl/drawings/drawing27.xml" ContentType="application/vnd.openxmlformats-officedocument.drawing+xml"/>
  <Override PartName="/xl/comments26.xml" ContentType="application/vnd.openxmlformats-officedocument.spreadsheetml.comments+xml"/>
  <Override PartName="/xl/drawings/drawing28.xml" ContentType="application/vnd.openxmlformats-officedocument.drawing+xml"/>
  <Override PartName="/xl/comments27.xml" ContentType="application/vnd.openxmlformats-officedocument.spreadsheetml.comments+xml"/>
  <Override PartName="/xl/drawings/drawing29.xml" ContentType="application/vnd.openxmlformats-officedocument.drawing+xml"/>
  <Override PartName="/xl/comments28.xml" ContentType="application/vnd.openxmlformats-officedocument.spreadsheetml.comments+xml"/>
  <Override PartName="/xl/drawings/drawing30.xml" ContentType="application/vnd.openxmlformats-officedocument.drawing+xml"/>
  <Override PartName="/xl/comments29.xml" ContentType="application/vnd.openxmlformats-officedocument.spreadsheetml.comments+xml"/>
  <Override PartName="/xl/drawings/drawing31.xml" ContentType="application/vnd.openxmlformats-officedocument.drawing+xml"/>
  <Override PartName="/xl/comments30.xml" ContentType="application/vnd.openxmlformats-officedocument.spreadsheetml.comments+xml"/>
  <Override PartName="/xl/drawings/drawing32.xml" ContentType="application/vnd.openxmlformats-officedocument.drawing+xml"/>
  <Override PartName="/xl/comments31.xml" ContentType="application/vnd.openxmlformats-officedocument.spreadsheetml.comments+xml"/>
  <Override PartName="/xl/drawings/drawing33.xml" ContentType="application/vnd.openxmlformats-officedocument.drawing+xml"/>
  <Override PartName="/xl/comments32.xml" ContentType="application/vnd.openxmlformats-officedocument.spreadsheetml.comments+xml"/>
  <Override PartName="/xl/pivotTables/pivotTable3.xml" ContentType="application/vnd.openxmlformats-officedocument.spreadsheetml.pivotTable+xml"/>
  <Override PartName="/xl/drawings/drawing34.xml" ContentType="application/vnd.openxmlformats-officedocument.drawing+xml"/>
  <Override PartName="/xl/comments33.xml" ContentType="application/vnd.openxmlformats-officedocument.spreadsheetml.comments+xml"/>
  <Override PartName="/xl/drawings/drawing35.xml" ContentType="application/vnd.openxmlformats-officedocument.drawing+xml"/>
  <Override PartName="/xl/comments34.xml" ContentType="application/vnd.openxmlformats-officedocument.spreadsheetml.comments+xml"/>
  <Override PartName="/xl/drawings/drawing36.xml" ContentType="application/vnd.openxmlformats-officedocument.drawing+xml"/>
  <Override PartName="/xl/comments35.xml" ContentType="application/vnd.openxmlformats-officedocument.spreadsheetml.comments+xml"/>
  <Override PartName="/xl/drawings/drawing37.xml" ContentType="application/vnd.openxmlformats-officedocument.drawing+xml"/>
  <Override PartName="/xl/comments36.xml" ContentType="application/vnd.openxmlformats-officedocument.spreadsheetml.comments+xml"/>
  <Override PartName="/xl/drawings/drawing38.xml" ContentType="application/vnd.openxmlformats-officedocument.drawing+xml"/>
  <Override PartName="/xl/comments37.xml" ContentType="application/vnd.openxmlformats-officedocument.spreadsheetml.comments+xml"/>
  <Override PartName="/xl/drawings/drawing39.xml" ContentType="application/vnd.openxmlformats-officedocument.drawing+xml"/>
  <Override PartName="/xl/comments38.xml" ContentType="application/vnd.openxmlformats-officedocument.spreadsheetml.comments+xml"/>
  <Override PartName="/xl/drawings/drawing40.xml" ContentType="application/vnd.openxmlformats-officedocument.drawing+xml"/>
  <Override PartName="/xl/comments39.xml" ContentType="application/vnd.openxmlformats-officedocument.spreadsheetml.comments+xml"/>
  <Override PartName="/xl/drawings/drawing41.xml" ContentType="application/vnd.openxmlformats-officedocument.drawing+xml"/>
  <Override PartName="/xl/comments40.xml" ContentType="application/vnd.openxmlformats-officedocument.spreadsheetml.comments+xml"/>
  <Override PartName="/xl/drawings/drawing4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3.xml" ContentType="application/vnd.openxmlformats-officedocument.drawing+xml"/>
  <Override PartName="/xl/comments4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psco-my.sharepoint.com/personal/david_imedio_prosperidadsocial_gov_co/Documents/2023/Planeación 2023/Congreso/Requerimientos/Prop 3 Com 7a Ejecuciones/"/>
    </mc:Choice>
  </mc:AlternateContent>
  <xr:revisionPtr revIDLastSave="70" documentId="8_{E064F733-2356-4B18-BA9C-A35F3795C36F}" xr6:coauthVersionLast="47" xr6:coauthVersionMax="47" xr10:uidLastSave="{550AB20D-96A7-46AD-BBBC-8889AF1F839C}"/>
  <bookViews>
    <workbookView xWindow="-120" yWindow="-120" windowWidth="21840" windowHeight="13140" tabRatio="819" xr2:uid="{6B1411E3-711F-48D2-9F2F-6C07698E79CD}"/>
  </bookViews>
  <sheets>
    <sheet name="VIG_2020_Ene" sheetId="38" r:id="rId1"/>
    <sheet name="VIG_2020_Feb" sheetId="39" r:id="rId2"/>
    <sheet name="VIG_2020-ITrim" sheetId="18" r:id="rId3"/>
    <sheet name="VIG_2020_Abr" sheetId="40" r:id="rId4"/>
    <sheet name="VIG_2020_May" sheetId="41" r:id="rId5"/>
    <sheet name="VIG_2020-IITrim" sheetId="19" r:id="rId6"/>
    <sheet name="VIG_2020_Jul" sheetId="42" r:id="rId7"/>
    <sheet name="VIG_2020_Ago" sheetId="43" r:id="rId8"/>
    <sheet name="VIG_2020-IIITrim" sheetId="20" r:id="rId9"/>
    <sheet name="Hoja3" sheetId="31" state="hidden" r:id="rId10"/>
    <sheet name="VIG_2020_Oct" sheetId="44" r:id="rId11"/>
    <sheet name="VIG_2020_Nov" sheetId="45" r:id="rId12"/>
    <sheet name="VIG_2020-IVTrim" sheetId="3" r:id="rId13"/>
    <sheet name="VIG_2021_Ene" sheetId="46" r:id="rId14"/>
    <sheet name="VIG_2021_Feb" sheetId="47" r:id="rId15"/>
    <sheet name="VIG_2021-ITrim" sheetId="21" r:id="rId16"/>
    <sheet name="VIG_2021_Abr" sheetId="48" r:id="rId17"/>
    <sheet name="VIG_2021_May" sheetId="49" r:id="rId18"/>
    <sheet name="VIG_2021-IITrim" sheetId="22" r:id="rId19"/>
    <sheet name="VIG_2021_Jul" sheetId="50" r:id="rId20"/>
    <sheet name="VIG_2021_Ago" sheetId="51" r:id="rId21"/>
    <sheet name="VIG_2021-IIITrim" sheetId="23" r:id="rId22"/>
    <sheet name="Hoja4" sheetId="32" state="hidden" r:id="rId23"/>
    <sheet name="VIG_2021_Oct" sheetId="52" r:id="rId24"/>
    <sheet name="VIG_2021_Nov" sheetId="53" r:id="rId25"/>
    <sheet name="VIG_2021-IVTrim" sheetId="2" r:id="rId26"/>
    <sheet name="VIG_2022_Ene" sheetId="54" r:id="rId27"/>
    <sheet name="VIG_2022_Feb" sheetId="55" r:id="rId28"/>
    <sheet name="VIG_2022-ITrim" sheetId="24" r:id="rId29"/>
    <sheet name="VIG_2022_Abr" sheetId="56" r:id="rId30"/>
    <sheet name="VIG_2022_May" sheetId="57" r:id="rId31"/>
    <sheet name="VIG_2022-IITrim" sheetId="25" r:id="rId32"/>
    <sheet name="VIG_2022_Jul" sheetId="58" r:id="rId33"/>
    <sheet name="VIG_2022_Ago" sheetId="59" r:id="rId34"/>
    <sheet name="VIG_2022-IIITrim" sheetId="26" r:id="rId35"/>
    <sheet name="Hoja5" sheetId="33" state="hidden" r:id="rId36"/>
    <sheet name="VIG_2022_Oct" sheetId="60" r:id="rId37"/>
    <sheet name="VIG_2022_Nov" sheetId="61" r:id="rId38"/>
    <sheet name="VIG_2022-IVTrim" sheetId="1" r:id="rId39"/>
    <sheet name="VIG_2023_Ene" sheetId="62" r:id="rId40"/>
    <sheet name="VIG_2023_Feb" sheetId="63" r:id="rId41"/>
    <sheet name="VIG_2023-ITrim" sheetId="27" r:id="rId42"/>
    <sheet name="VIG_2023_Abr" sheetId="64" r:id="rId43"/>
    <sheet name="VIG_2023_May" sheetId="65" r:id="rId44"/>
    <sheet name="VIG_2023_ITrim" sheetId="28" r:id="rId45"/>
    <sheet name="Hoja7" sheetId="35" state="hidden" r:id="rId46"/>
    <sheet name="Ejec_VIG_2023 (Julio)" sheetId="34" r:id="rId47"/>
  </sheets>
  <externalReferences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46" hidden="1">'Ejec_VIG_2023 (Julio)'!$A$6:$AB$218</definedName>
    <definedName name="_xlnm._FilterDatabase" localSheetId="3" hidden="1">VIG_2020_Abr!$A$6:$AC$200</definedName>
    <definedName name="_xlnm._FilterDatabase" localSheetId="7" hidden="1">VIG_2020_Ago!$A$6:$AC$204</definedName>
    <definedName name="_xlnm._FilterDatabase" localSheetId="0" hidden="1">VIG_2020_Ene!$A$6:$AC$193</definedName>
    <definedName name="_xlnm._FilterDatabase" localSheetId="1" hidden="1">VIG_2020_Feb!$A$6:$AC$196</definedName>
    <definedName name="_xlnm._FilterDatabase" localSheetId="6" hidden="1">VIG_2020_Jul!$A$6:$AC$204</definedName>
    <definedName name="_xlnm._FilterDatabase" localSheetId="4" hidden="1">VIG_2020_May!$A$6:$AC$201</definedName>
    <definedName name="_xlnm._FilterDatabase" localSheetId="11" hidden="1">VIG_2020_Nov!$A$6:$AC$208</definedName>
    <definedName name="_xlnm._FilterDatabase" localSheetId="10" hidden="1">VIG_2020_Oct!$A$6:$AC$207</definedName>
    <definedName name="_xlnm._FilterDatabase" localSheetId="5" hidden="1">'VIG_2020-IITrim'!$A$6:$T$202</definedName>
    <definedName name="_xlnm._FilterDatabase" localSheetId="2" hidden="1">'VIG_2020-ITrim'!$A$6:$T$199</definedName>
    <definedName name="_xlnm._FilterDatabase" localSheetId="12" hidden="1">'VIG_2020-IVTrim'!$A$6:$T$207</definedName>
    <definedName name="_xlnm._FilterDatabase" localSheetId="16" hidden="1">VIG_2021_Abr!$A$6:$AC$245</definedName>
    <definedName name="_xlnm._FilterDatabase" localSheetId="20" hidden="1">VIG_2021_Ago!$A$6:$AA$247</definedName>
    <definedName name="_xlnm._FilterDatabase" localSheetId="13" hidden="1">VIG_2021_Ene!$A$6:$AC$244</definedName>
    <definedName name="_xlnm._FilterDatabase" localSheetId="14" hidden="1">VIG_2021_Feb!$A$6:$AC$245</definedName>
    <definedName name="_xlnm._FilterDatabase" localSheetId="19" hidden="1">VIG_2021_Jul!$A$6:$AA$247</definedName>
    <definedName name="_xlnm._FilterDatabase" localSheetId="17" hidden="1">VIG_2021_May!$A$6:$AA$245</definedName>
    <definedName name="_xlnm._FilterDatabase" localSheetId="24" hidden="1">VIG_2021_Nov!$A$6:$AB$248</definedName>
    <definedName name="_xlnm._FilterDatabase" localSheetId="23" hidden="1">VIG_2021_Oct!$A$6:$AB$248</definedName>
    <definedName name="_xlnm._FilterDatabase" localSheetId="21" hidden="1">'VIG_2021-IIITrim'!$A$6:$R$246</definedName>
    <definedName name="_xlnm._FilterDatabase" localSheetId="18" hidden="1">'VIG_2021-IITrim'!$A$6:$R$246</definedName>
    <definedName name="_xlnm._FilterDatabase" localSheetId="15" hidden="1">'VIG_2021-ITrim'!$A$6:$T$244</definedName>
    <definedName name="_xlnm._FilterDatabase" localSheetId="25" hidden="1">'VIG_2021-IVTrim'!$A$6:$S$244</definedName>
    <definedName name="_xlnm._FilterDatabase" localSheetId="29" hidden="1">VIG_2022_Abr!$A$6:$BB$6</definedName>
    <definedName name="_xlnm._FilterDatabase" localSheetId="33" hidden="1">VIG_2022_Ago!$A$6:$AB$241</definedName>
    <definedName name="_xlnm._FilterDatabase" localSheetId="26" hidden="1">VIG_2022_Ene!$A$6:$AB$232</definedName>
    <definedName name="_xlnm._FilterDatabase" localSheetId="27" hidden="1">VIG_2022_Feb!$A$6:$AB$234</definedName>
    <definedName name="_xlnm._FilterDatabase" localSheetId="32" hidden="1">VIG_2022_Jul!$A$6:$AB$241</definedName>
    <definedName name="_xlnm._FilterDatabase" localSheetId="30" hidden="1">VIG_2022_May!$A$6:$AB$236</definedName>
    <definedName name="_xlnm._FilterDatabase" localSheetId="37" hidden="1">VIG_2022_Nov!$A$6:$AB$242</definedName>
    <definedName name="_xlnm._FilterDatabase" localSheetId="36" hidden="1">VIG_2022_Oct!$A$6:$AB$241</definedName>
    <definedName name="_xlnm._FilterDatabase" localSheetId="34" hidden="1">'VIG_2022-IIITrim'!$A$6:$S$240</definedName>
    <definedName name="_xlnm._FilterDatabase" localSheetId="31" hidden="1">'VIG_2022-IITrim'!$A$6:$S$235</definedName>
    <definedName name="_xlnm._FilterDatabase" localSheetId="28" hidden="1">'VIG_2022-ITrim'!$A$6:$S$233</definedName>
    <definedName name="_xlnm._FilterDatabase" localSheetId="38" hidden="1">'VIG_2022-IVTrim'!$A$6:$S$245</definedName>
    <definedName name="_xlnm._FilterDatabase" localSheetId="42" hidden="1">VIG_2023_Abr!$A$6:$AB$231</definedName>
    <definedName name="_xlnm._FilterDatabase" localSheetId="39" hidden="1">VIG_2023_Ene!$A$6:$AB$229</definedName>
    <definedName name="_xlnm._FilterDatabase" localSheetId="40" hidden="1">VIG_2023_Feb!$A$6:$AB$229</definedName>
    <definedName name="_xlnm._FilterDatabase" localSheetId="44" hidden="1">VIG_2023_ITrim!$A$6:$S$215</definedName>
    <definedName name="_xlnm._FilterDatabase" localSheetId="43" hidden="1">VIG_2023_May!$A$6:$AB$231</definedName>
    <definedName name="_xlnm._FilterDatabase" localSheetId="41" hidden="1">'VIG_2023-ITrim'!$A$6:$S$230</definedName>
    <definedName name="_xlnm.Print_Area" localSheetId="46">'Ejec_VIG_2023 (Julio)'!$C$1:$AB$225</definedName>
    <definedName name="_xlnm.Print_Area" localSheetId="3">VIG_2020_Abr!$B$1:$AC$207</definedName>
    <definedName name="_xlnm.Print_Area" localSheetId="7">VIG_2020_Ago!$B$1:$AC$211</definedName>
    <definedName name="_xlnm.Print_Area" localSheetId="0">VIG_2020_Ene!$B$1:$AC$200</definedName>
    <definedName name="_xlnm.Print_Area" localSheetId="1">VIG_2020_Feb!$B$1:$AC$203</definedName>
    <definedName name="_xlnm.Print_Area" localSheetId="6">VIG_2020_Jul!$B$1:$AC$211</definedName>
    <definedName name="_xlnm.Print_Area" localSheetId="4">VIG_2020_May!$B$1:$AC$208</definedName>
    <definedName name="_xlnm.Print_Area" localSheetId="11">VIG_2020_Nov!$B$1:$AC$215</definedName>
    <definedName name="_xlnm.Print_Area" localSheetId="10">VIG_2020_Oct!$B$1:$AC$214</definedName>
    <definedName name="_xlnm.Print_Area" localSheetId="5">'VIG_2020-IITrim'!$B$1:$T$209</definedName>
    <definedName name="_xlnm.Print_Area" localSheetId="2">'VIG_2020-ITrim'!$B$1:$T$206</definedName>
    <definedName name="_xlnm.Print_Area" localSheetId="12">'VIG_2020-IVTrim'!$B$1:$T$208</definedName>
    <definedName name="_xlnm.Print_Area" localSheetId="16">VIG_2021_Abr!$B$1:$AC$252</definedName>
    <definedName name="_xlnm.Print_Area" localSheetId="20">VIG_2021_Ago!$B$1:$AA$254</definedName>
    <definedName name="_xlnm.Print_Area" localSheetId="13">VIG_2021_Ene!$B$1:$AC$251</definedName>
    <definedName name="_xlnm.Print_Area" localSheetId="14">VIG_2021_Feb!$B$1:$AC$252</definedName>
    <definedName name="_xlnm.Print_Area" localSheetId="19">VIG_2021_Jul!$B$1:$AA$254</definedName>
    <definedName name="_xlnm.Print_Area" localSheetId="17">VIG_2021_May!$B$1:$AA$252</definedName>
    <definedName name="_xlnm.Print_Area" localSheetId="24">VIG_2021_Nov!$C$1:$AB$255</definedName>
    <definedName name="_xlnm.Print_Area" localSheetId="23">VIG_2021_Oct!$C$1:$AB$255</definedName>
    <definedName name="_xlnm.Print_Area" localSheetId="21">'VIG_2021-IIITrim'!$B$1:$R$253</definedName>
    <definedName name="_xlnm.Print_Area" localSheetId="18">'VIG_2021-IITrim'!$B$1:$R$253</definedName>
    <definedName name="_xlnm.Print_Area" localSheetId="15">'VIG_2021-ITrim'!$B$1:$T$251</definedName>
    <definedName name="_xlnm.Print_Area" localSheetId="25">'VIG_2021-IVTrim'!$C$1:$S$244</definedName>
    <definedName name="_xlnm.Print_Area" localSheetId="29">VIG_2022_Abr!$C$1:$AB$243</definedName>
    <definedName name="_xlnm.Print_Area" localSheetId="33">VIG_2022_Ago!$C$1:$AB$248</definedName>
    <definedName name="_xlnm.Print_Area" localSheetId="26">VIG_2022_Ene!$C$1:$AB$239</definedName>
    <definedName name="_xlnm.Print_Area" localSheetId="27">VIG_2022_Feb!$C$1:$AB$241</definedName>
    <definedName name="_xlnm.Print_Area" localSheetId="32">VIG_2022_Jul!$C$1:$AB$248</definedName>
    <definedName name="_xlnm.Print_Area" localSheetId="30">VIG_2022_May!$C$1:$AB$243</definedName>
    <definedName name="_xlnm.Print_Area" localSheetId="37">VIG_2022_Nov!$C$1:$AB$249</definedName>
    <definedName name="_xlnm.Print_Area" localSheetId="36">VIG_2022_Oct!$C$1:$AB$248</definedName>
    <definedName name="_xlnm.Print_Area" localSheetId="34">'VIG_2022-IIITrim'!$C$1:$S$247</definedName>
    <definedName name="_xlnm.Print_Area" localSheetId="31">'VIG_2022-IITrim'!$C$1:$S$242</definedName>
    <definedName name="_xlnm.Print_Area" localSheetId="28">'VIG_2022-ITrim'!$C$1:$S$240</definedName>
    <definedName name="_xlnm.Print_Area" localSheetId="38">'VIG_2022-IVTrim'!$C$1:$S$246</definedName>
    <definedName name="_xlnm.Print_Area" localSheetId="42">VIG_2023_Abr!$C$1:$AB$238</definedName>
    <definedName name="_xlnm.Print_Area" localSheetId="39">VIG_2023_Ene!$C$1:$AB$236</definedName>
    <definedName name="_xlnm.Print_Area" localSheetId="40">VIG_2023_Feb!$C$1:$AB$236</definedName>
    <definedName name="_xlnm.Print_Area" localSheetId="44">VIG_2023_ITrim!$C$1:$S$222</definedName>
    <definedName name="_xlnm.Print_Area" localSheetId="43">VIG_2023_May!$C$1:$AB$238</definedName>
    <definedName name="_xlnm.Print_Area" localSheetId="41">'VIG_2023-ITrim'!$C$1:$S$237</definedName>
    <definedName name="_xlnm.Print_Titles" localSheetId="46">'Ejec_VIG_2023 (Julio)'!$5:$6</definedName>
    <definedName name="_xlnm.Print_Titles" localSheetId="3">VIG_2020_Abr!$5:$7</definedName>
    <definedName name="_xlnm.Print_Titles" localSheetId="7">VIG_2020_Ago!$5:$7</definedName>
    <definedName name="_xlnm.Print_Titles" localSheetId="0">VIG_2020_Ene!$5:$7</definedName>
    <definedName name="_xlnm.Print_Titles" localSheetId="1">VIG_2020_Feb!$5:$7</definedName>
    <definedName name="_xlnm.Print_Titles" localSheetId="6">VIG_2020_Jul!$5:$7</definedName>
    <definedName name="_xlnm.Print_Titles" localSheetId="4">VIG_2020_May!$5:$7</definedName>
    <definedName name="_xlnm.Print_Titles" localSheetId="11">VIG_2020_Nov!$5:$7</definedName>
    <definedName name="_xlnm.Print_Titles" localSheetId="10">VIG_2020_Oct!$5:$7</definedName>
    <definedName name="_xlnm.Print_Titles" localSheetId="5">'VIG_2020-IITrim'!$5:$6</definedName>
    <definedName name="_xlnm.Print_Titles" localSheetId="2">'VIG_2020-ITrim'!$5:$6</definedName>
    <definedName name="_xlnm.Print_Titles" localSheetId="12">'VIG_2020-IVTrim'!$5:$6</definedName>
    <definedName name="_xlnm.Print_Titles" localSheetId="16">VIG_2021_Abr!$5:$7</definedName>
    <definedName name="_xlnm.Print_Titles" localSheetId="20">VIG_2021_Ago!$5:$7</definedName>
    <definedName name="_xlnm.Print_Titles" localSheetId="13">VIG_2021_Ene!$5:$7</definedName>
    <definedName name="_xlnm.Print_Titles" localSheetId="14">VIG_2021_Feb!$5:$7</definedName>
    <definedName name="_xlnm.Print_Titles" localSheetId="19">VIG_2021_Jul!$5:$7</definedName>
    <definedName name="_xlnm.Print_Titles" localSheetId="17">VIG_2021_May!$5:$7</definedName>
    <definedName name="_xlnm.Print_Titles" localSheetId="24">VIG_2021_Nov!$5:$7</definedName>
    <definedName name="_xlnm.Print_Titles" localSheetId="23">VIG_2021_Oct!$5:$7</definedName>
    <definedName name="_xlnm.Print_Titles" localSheetId="21">'VIG_2021-IIITrim'!$5:$6</definedName>
    <definedName name="_xlnm.Print_Titles" localSheetId="18">'VIG_2021-IITrim'!$5:$6</definedName>
    <definedName name="_xlnm.Print_Titles" localSheetId="15">'VIG_2021-ITrim'!$5:$6</definedName>
    <definedName name="_xlnm.Print_Titles" localSheetId="25">'VIG_2021-IVTrim'!$5:$6</definedName>
    <definedName name="_xlnm.Print_Titles" localSheetId="29">VIG_2022_Abr!$5:$7</definedName>
    <definedName name="_xlnm.Print_Titles" localSheetId="33">VIG_2022_Ago!$5:$7</definedName>
    <definedName name="_xlnm.Print_Titles" localSheetId="26">VIG_2022_Ene!$5:$7</definedName>
    <definedName name="_xlnm.Print_Titles" localSheetId="27">VIG_2022_Feb!$5:$7</definedName>
    <definedName name="_xlnm.Print_Titles" localSheetId="32">VIG_2022_Jul!$5:$7</definedName>
    <definedName name="_xlnm.Print_Titles" localSheetId="30">VIG_2022_May!$5:$7</definedName>
    <definedName name="_xlnm.Print_Titles" localSheetId="37">VIG_2022_Nov!$5:$7</definedName>
    <definedName name="_xlnm.Print_Titles" localSheetId="36">VIG_2022_Oct!$5:$7</definedName>
    <definedName name="_xlnm.Print_Titles" localSheetId="34">'VIG_2022-IIITrim'!$5:$6</definedName>
    <definedName name="_xlnm.Print_Titles" localSheetId="31">'VIG_2022-IITrim'!$5:$6</definedName>
    <definedName name="_xlnm.Print_Titles" localSheetId="28">'VIG_2022-ITrim'!$5:$6</definedName>
    <definedName name="_xlnm.Print_Titles" localSheetId="38">'VIG_2022-IVTrim'!$5:$6</definedName>
    <definedName name="_xlnm.Print_Titles" localSheetId="42">VIG_2023_Abr!$5:$7</definedName>
    <definedName name="_xlnm.Print_Titles" localSheetId="39">VIG_2023_Ene!$5:$7</definedName>
    <definedName name="_xlnm.Print_Titles" localSheetId="40">VIG_2023_Feb!$5:$7</definedName>
    <definedName name="_xlnm.Print_Titles" localSheetId="44">VIG_2023_ITrim!$5:$6</definedName>
    <definedName name="_xlnm.Print_Titles" localSheetId="43">VIG_2023_May!$5:$7</definedName>
    <definedName name="_xlnm.Print_Titles" localSheetId="41">'VIG_2023-ITrim'!$5:$6</definedName>
  </definedNames>
  <calcPr calcId="191029"/>
  <pivotCaches>
    <pivotCache cacheId="0" r:id="rId53"/>
    <pivotCache cacheId="1" r:id="rId54"/>
    <pivotCache cacheId="2" r:id="rId55"/>
    <pivotCache cacheId="3" r:id="rId5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30" i="65" l="1"/>
  <c r="X230" i="65"/>
  <c r="Q230" i="65"/>
  <c r="P230" i="65"/>
  <c r="AB227" i="65"/>
  <c r="AA227" i="65"/>
  <c r="Y227" i="65"/>
  <c r="X227" i="65"/>
  <c r="S227" i="65"/>
  <c r="V227" i="65" s="1"/>
  <c r="B227" i="65"/>
  <c r="A227" i="65"/>
  <c r="AA226" i="65"/>
  <c r="AA225" i="65" s="1"/>
  <c r="Z226" i="65"/>
  <c r="X226" i="65"/>
  <c r="X225" i="65" s="1"/>
  <c r="W226" i="65"/>
  <c r="W225" i="65" s="1"/>
  <c r="T226" i="65"/>
  <c r="S226" i="65"/>
  <c r="R226" i="65"/>
  <c r="Q226" i="65"/>
  <c r="P226" i="65"/>
  <c r="P225" i="65" s="1"/>
  <c r="O226" i="65"/>
  <c r="O225" i="65" s="1"/>
  <c r="O224" i="65" s="1"/>
  <c r="O223" i="65" s="1"/>
  <c r="N226" i="65"/>
  <c r="M226" i="65"/>
  <c r="B226" i="65"/>
  <c r="A226" i="65"/>
  <c r="Z225" i="65"/>
  <c r="Z224" i="65" s="1"/>
  <c r="R225" i="65"/>
  <c r="R224" i="65" s="1"/>
  <c r="R223" i="65" s="1"/>
  <c r="Q225" i="65"/>
  <c r="Q224" i="65" s="1"/>
  <c r="N225" i="65"/>
  <c r="N224" i="65" s="1"/>
  <c r="M225" i="65"/>
  <c r="M224" i="65" s="1"/>
  <c r="M223" i="65" s="1"/>
  <c r="B225" i="65"/>
  <c r="A225" i="65"/>
  <c r="AA224" i="65"/>
  <c r="AA223" i="65" s="1"/>
  <c r="X224" i="65"/>
  <c r="X223" i="65" s="1"/>
  <c r="W224" i="65"/>
  <c r="W223" i="65" s="1"/>
  <c r="P224" i="65"/>
  <c r="P223" i="65" s="1"/>
  <c r="B224" i="65"/>
  <c r="A224" i="65"/>
  <c r="Z223" i="65"/>
  <c r="Q223" i="65"/>
  <c r="N223" i="65"/>
  <c r="B223" i="65"/>
  <c r="A223" i="65"/>
  <c r="AB222" i="65"/>
  <c r="AA222" i="65"/>
  <c r="AA220" i="65" s="1"/>
  <c r="Y222" i="65"/>
  <c r="X222" i="65"/>
  <c r="V222" i="65"/>
  <c r="U222" i="65"/>
  <c r="S222" i="65"/>
  <c r="B222" i="65"/>
  <c r="A222" i="65"/>
  <c r="AB221" i="65"/>
  <c r="AA221" i="65"/>
  <c r="Y221" i="65"/>
  <c r="X221" i="65"/>
  <c r="X220" i="65" s="1"/>
  <c r="V221" i="65"/>
  <c r="S221" i="65"/>
  <c r="U221" i="65" s="1"/>
  <c r="U220" i="65" s="1"/>
  <c r="B221" i="65"/>
  <c r="A221" i="65"/>
  <c r="Z220" i="65"/>
  <c r="Y220" i="65"/>
  <c r="W220" i="65"/>
  <c r="V220" i="65"/>
  <c r="T220" i="65"/>
  <c r="AB220" i="65" s="1"/>
  <c r="S220" i="65"/>
  <c r="R220" i="65"/>
  <c r="Q220" i="65"/>
  <c r="P220" i="65"/>
  <c r="O220" i="65"/>
  <c r="N220" i="65"/>
  <c r="M220" i="65"/>
  <c r="B220" i="65"/>
  <c r="A220" i="65"/>
  <c r="AB219" i="65"/>
  <c r="AA219" i="65"/>
  <c r="AA218" i="65" s="1"/>
  <c r="Y219" i="65"/>
  <c r="X219" i="65"/>
  <c r="V219" i="65"/>
  <c r="U219" i="65"/>
  <c r="S219" i="65"/>
  <c r="B219" i="65"/>
  <c r="A219" i="65"/>
  <c r="AB218" i="65"/>
  <c r="Z218" i="65"/>
  <c r="X218" i="65"/>
  <c r="X217" i="65" s="1"/>
  <c r="W218" i="65"/>
  <c r="U218" i="65"/>
  <c r="T218" i="65"/>
  <c r="T217" i="65" s="1"/>
  <c r="S218" i="65"/>
  <c r="V218" i="65" s="1"/>
  <c r="R218" i="65"/>
  <c r="Q218" i="65"/>
  <c r="Q217" i="65" s="1"/>
  <c r="P218" i="65"/>
  <c r="P217" i="65" s="1"/>
  <c r="O218" i="65"/>
  <c r="N218" i="65"/>
  <c r="M218" i="65"/>
  <c r="M217" i="65" s="1"/>
  <c r="B218" i="65"/>
  <c r="A218" i="65"/>
  <c r="AA217" i="65"/>
  <c r="Z217" i="65"/>
  <c r="W217" i="65"/>
  <c r="S217" i="65"/>
  <c r="V217" i="65" s="1"/>
  <c r="R217" i="65"/>
  <c r="O217" i="65"/>
  <c r="N217" i="65"/>
  <c r="B217" i="65"/>
  <c r="A217" i="65"/>
  <c r="AB216" i="65"/>
  <c r="AA216" i="65"/>
  <c r="X216" i="65"/>
  <c r="Y216" i="65" s="1"/>
  <c r="V216" i="65"/>
  <c r="S216" i="65"/>
  <c r="U216" i="65" s="1"/>
  <c r="B216" i="65"/>
  <c r="AB215" i="65"/>
  <c r="AA215" i="65"/>
  <c r="X215" i="65"/>
  <c r="Y215" i="65" s="1"/>
  <c r="Q215" i="65"/>
  <c r="B215" i="65"/>
  <c r="AB214" i="65"/>
  <c r="AA214" i="65"/>
  <c r="X214" i="65"/>
  <c r="X213" i="65" s="1"/>
  <c r="P214" i="65"/>
  <c r="P213" i="65" s="1"/>
  <c r="P212" i="65" s="1"/>
  <c r="B214" i="65"/>
  <c r="AA213" i="65"/>
  <c r="Z213" i="65"/>
  <c r="Z212" i="65" s="1"/>
  <c r="W213" i="65"/>
  <c r="T213" i="65"/>
  <c r="AB213" i="65" s="1"/>
  <c r="R213" i="65"/>
  <c r="R212" i="65" s="1"/>
  <c r="O213" i="65"/>
  <c r="O212" i="65" s="1"/>
  <c r="N213" i="65"/>
  <c r="N212" i="65" s="1"/>
  <c r="M213" i="65"/>
  <c r="B213" i="65"/>
  <c r="AB212" i="65"/>
  <c r="AA212" i="65"/>
  <c r="W212" i="65"/>
  <c r="T212" i="65"/>
  <c r="M212" i="65"/>
  <c r="B212" i="65"/>
  <c r="AB211" i="65"/>
  <c r="AA211" i="65"/>
  <c r="Y211" i="65"/>
  <c r="X211" i="65"/>
  <c r="X209" i="65" s="1"/>
  <c r="Q211" i="65"/>
  <c r="S211" i="65" s="1"/>
  <c r="U211" i="65" s="1"/>
  <c r="B211" i="65"/>
  <c r="A211" i="65"/>
  <c r="AB210" i="65"/>
  <c r="AA210" i="65"/>
  <c r="AA209" i="65" s="1"/>
  <c r="Y210" i="65"/>
  <c r="X210" i="65"/>
  <c r="S210" i="65"/>
  <c r="P210" i="65"/>
  <c r="B210" i="65"/>
  <c r="A210" i="65"/>
  <c r="Z209" i="65"/>
  <c r="Y209" i="65"/>
  <c r="W209" i="65"/>
  <c r="T209" i="65"/>
  <c r="AB209" i="65" s="1"/>
  <c r="R209" i="65"/>
  <c r="Q209" i="65"/>
  <c r="P209" i="65"/>
  <c r="O209" i="65"/>
  <c r="N209" i="65"/>
  <c r="M209" i="65"/>
  <c r="B209" i="65"/>
  <c r="A209" i="65"/>
  <c r="AB208" i="65"/>
  <c r="AA208" i="65"/>
  <c r="Y208" i="65"/>
  <c r="X208" i="65"/>
  <c r="S208" i="65"/>
  <c r="V208" i="65" s="1"/>
  <c r="Q208" i="65"/>
  <c r="B208" i="65"/>
  <c r="A208" i="65"/>
  <c r="AB207" i="65"/>
  <c r="AA207" i="65"/>
  <c r="X207" i="65"/>
  <c r="Q207" i="65"/>
  <c r="Q206" i="65" s="1"/>
  <c r="Q197" i="65" s="1"/>
  <c r="P207" i="65"/>
  <c r="B207" i="65"/>
  <c r="A207" i="65"/>
  <c r="AA206" i="65"/>
  <c r="Z206" i="65"/>
  <c r="W206" i="65"/>
  <c r="T206" i="65"/>
  <c r="R206" i="65"/>
  <c r="O206" i="65"/>
  <c r="N206" i="65"/>
  <c r="M206" i="65"/>
  <c r="B206" i="65"/>
  <c r="A206" i="65"/>
  <c r="AB205" i="65"/>
  <c r="AA205" i="65"/>
  <c r="X205" i="65"/>
  <c r="Y205" i="65" s="1"/>
  <c r="S205" i="65"/>
  <c r="P205" i="65"/>
  <c r="B205" i="65"/>
  <c r="A205" i="65"/>
  <c r="AB204" i="65"/>
  <c r="AA204" i="65"/>
  <c r="Z204" i="65"/>
  <c r="X204" i="65"/>
  <c r="W204" i="65"/>
  <c r="T204" i="65"/>
  <c r="R204" i="65"/>
  <c r="Q204" i="65"/>
  <c r="P204" i="65"/>
  <c r="O204" i="65"/>
  <c r="N204" i="65"/>
  <c r="M204" i="65"/>
  <c r="B204" i="65"/>
  <c r="A204" i="65"/>
  <c r="AB203" i="65"/>
  <c r="AA203" i="65"/>
  <c r="X203" i="65"/>
  <c r="Y203" i="65" s="1"/>
  <c r="P203" i="65"/>
  <c r="S203" i="65" s="1"/>
  <c r="B203" i="65"/>
  <c r="A203" i="65"/>
  <c r="AA202" i="65"/>
  <c r="Z202" i="65"/>
  <c r="X202" i="65"/>
  <c r="W202" i="65"/>
  <c r="T202" i="65"/>
  <c r="Y202" i="65" s="1"/>
  <c r="R202" i="65"/>
  <c r="Q202" i="65"/>
  <c r="O202" i="65"/>
  <c r="N202" i="65"/>
  <c r="M202" i="65"/>
  <c r="B202" i="65"/>
  <c r="A202" i="65"/>
  <c r="AB201" i="65"/>
  <c r="AA201" i="65"/>
  <c r="Y201" i="65"/>
  <c r="X201" i="65"/>
  <c r="P201" i="65"/>
  <c r="S201" i="65" s="1"/>
  <c r="B201" i="65"/>
  <c r="A201" i="65"/>
  <c r="AA200" i="65"/>
  <c r="Z200" i="65"/>
  <c r="X200" i="65"/>
  <c r="W200" i="65"/>
  <c r="T200" i="65"/>
  <c r="S200" i="65"/>
  <c r="V200" i="65" s="1"/>
  <c r="R200" i="65"/>
  <c r="Q200" i="65"/>
  <c r="O200" i="65"/>
  <c r="N200" i="65"/>
  <c r="M200" i="65"/>
  <c r="B200" i="65"/>
  <c r="A200" i="65"/>
  <c r="AB199" i="65"/>
  <c r="AA199" i="65"/>
  <c r="X199" i="65"/>
  <c r="X198" i="65" s="1"/>
  <c r="P199" i="65"/>
  <c r="S199" i="65" s="1"/>
  <c r="B199" i="65"/>
  <c r="A199" i="65"/>
  <c r="AA198" i="65"/>
  <c r="Z198" i="65"/>
  <c r="W198" i="65"/>
  <c r="T198" i="65"/>
  <c r="S198" i="65"/>
  <c r="R198" i="65"/>
  <c r="Q198" i="65"/>
  <c r="P198" i="65"/>
  <c r="O198" i="65"/>
  <c r="O197" i="65" s="1"/>
  <c r="N198" i="65"/>
  <c r="M198" i="65"/>
  <c r="B198" i="65"/>
  <c r="A198" i="65"/>
  <c r="Z197" i="65"/>
  <c r="R197" i="65"/>
  <c r="N197" i="65"/>
  <c r="M197" i="65"/>
  <c r="B197" i="65"/>
  <c r="A197" i="65"/>
  <c r="AB196" i="65"/>
  <c r="AA196" i="65"/>
  <c r="AA195" i="65" s="1"/>
  <c r="Y196" i="65"/>
  <c r="X196" i="65"/>
  <c r="V196" i="65"/>
  <c r="U196" i="65"/>
  <c r="S196" i="65"/>
  <c r="B196" i="65"/>
  <c r="A196" i="65"/>
  <c r="AB195" i="65"/>
  <c r="Z195" i="65"/>
  <c r="X195" i="65"/>
  <c r="W195" i="65"/>
  <c r="U195" i="65"/>
  <c r="T195" i="65"/>
  <c r="Y195" i="65" s="1"/>
  <c r="S195" i="65"/>
  <c r="V195" i="65" s="1"/>
  <c r="R195" i="65"/>
  <c r="Q195" i="65"/>
  <c r="P195" i="65"/>
  <c r="O195" i="65"/>
  <c r="N195" i="65"/>
  <c r="M195" i="65"/>
  <c r="B195" i="65"/>
  <c r="A195" i="65"/>
  <c r="AB194" i="65"/>
  <c r="AA194" i="65"/>
  <c r="Y194" i="65"/>
  <c r="X194" i="65"/>
  <c r="U194" i="65"/>
  <c r="U193" i="65" s="1"/>
  <c r="S194" i="65"/>
  <c r="B194" i="65"/>
  <c r="A194" i="65"/>
  <c r="AB193" i="65"/>
  <c r="AA193" i="65"/>
  <c r="AA186" i="65" s="1"/>
  <c r="Z193" i="65"/>
  <c r="X193" i="65"/>
  <c r="W193" i="65"/>
  <c r="T193" i="65"/>
  <c r="R193" i="65"/>
  <c r="Q193" i="65"/>
  <c r="P193" i="65"/>
  <c r="P186" i="65" s="1"/>
  <c r="O193" i="65"/>
  <c r="N193" i="65"/>
  <c r="M193" i="65"/>
  <c r="B193" i="65"/>
  <c r="A193" i="65"/>
  <c r="AB192" i="65"/>
  <c r="AA192" i="65"/>
  <c r="Y192" i="65"/>
  <c r="X192" i="65"/>
  <c r="X191" i="65" s="1"/>
  <c r="S192" i="65"/>
  <c r="B192" i="65"/>
  <c r="A192" i="65"/>
  <c r="AA191" i="65"/>
  <c r="Z191" i="65"/>
  <c r="Y191" i="65"/>
  <c r="W191" i="65"/>
  <c r="W186" i="65" s="1"/>
  <c r="T191" i="65"/>
  <c r="AB191" i="65" s="1"/>
  <c r="S191" i="65"/>
  <c r="V191" i="65" s="1"/>
  <c r="R191" i="65"/>
  <c r="Q191" i="65"/>
  <c r="P191" i="65"/>
  <c r="O191" i="65"/>
  <c r="N191" i="65"/>
  <c r="N186" i="65" s="1"/>
  <c r="M191" i="65"/>
  <c r="B191" i="65"/>
  <c r="A191" i="65"/>
  <c r="AB190" i="65"/>
  <c r="AA190" i="65"/>
  <c r="AA189" i="65" s="1"/>
  <c r="Y190" i="65"/>
  <c r="X190" i="65"/>
  <c r="X189" i="65" s="1"/>
  <c r="V190" i="65"/>
  <c r="U190" i="65"/>
  <c r="S190" i="65"/>
  <c r="B190" i="65"/>
  <c r="A190" i="65"/>
  <c r="Z189" i="65"/>
  <c r="Y189" i="65"/>
  <c r="W189" i="65"/>
  <c r="V189" i="65"/>
  <c r="U189" i="65"/>
  <c r="T189" i="65"/>
  <c r="AB189" i="65" s="1"/>
  <c r="S189" i="65"/>
  <c r="R189" i="65"/>
  <c r="Q189" i="65"/>
  <c r="P189" i="65"/>
  <c r="O189" i="65"/>
  <c r="N189" i="65"/>
  <c r="M189" i="65"/>
  <c r="B189" i="65"/>
  <c r="A189" i="65"/>
  <c r="AB188" i="65"/>
  <c r="AA188" i="65"/>
  <c r="Y188" i="65"/>
  <c r="X188" i="65"/>
  <c r="V188" i="65"/>
  <c r="U188" i="65"/>
  <c r="S188" i="65"/>
  <c r="B188" i="65"/>
  <c r="A188" i="65"/>
  <c r="AA187" i="65"/>
  <c r="Z187" i="65"/>
  <c r="X187" i="65"/>
  <c r="W187" i="65"/>
  <c r="U187" i="65"/>
  <c r="T187" i="65"/>
  <c r="AB187" i="65" s="1"/>
  <c r="S187" i="65"/>
  <c r="R187" i="65"/>
  <c r="Q187" i="65"/>
  <c r="P187" i="65"/>
  <c r="O187" i="65"/>
  <c r="N187" i="65"/>
  <c r="M187" i="65"/>
  <c r="B187" i="65"/>
  <c r="A187" i="65"/>
  <c r="Z186" i="65"/>
  <c r="O186" i="65"/>
  <c r="B186" i="65"/>
  <c r="A186" i="65"/>
  <c r="AB185" i="65"/>
  <c r="AA185" i="65"/>
  <c r="Y185" i="65"/>
  <c r="X185" i="65"/>
  <c r="V185" i="65"/>
  <c r="Q185" i="65"/>
  <c r="S185" i="65" s="1"/>
  <c r="U185" i="65" s="1"/>
  <c r="B185" i="65"/>
  <c r="A185" i="65"/>
  <c r="AB184" i="65"/>
  <c r="AA184" i="65"/>
  <c r="Y184" i="65"/>
  <c r="X184" i="65"/>
  <c r="X182" i="65" s="1"/>
  <c r="X181" i="65" s="1"/>
  <c r="S184" i="65"/>
  <c r="V184" i="65" s="1"/>
  <c r="B184" i="65"/>
  <c r="A184" i="65"/>
  <c r="AB183" i="65"/>
  <c r="AA183" i="65"/>
  <c r="AA182" i="65" s="1"/>
  <c r="Y183" i="65"/>
  <c r="X183" i="65"/>
  <c r="S183" i="65"/>
  <c r="P183" i="65"/>
  <c r="B183" i="65"/>
  <c r="A183" i="65"/>
  <c r="Z182" i="65"/>
  <c r="W182" i="65"/>
  <c r="T182" i="65"/>
  <c r="Y182" i="65" s="1"/>
  <c r="R182" i="65"/>
  <c r="R181" i="65" s="1"/>
  <c r="Q182" i="65"/>
  <c r="Q181" i="65" s="1"/>
  <c r="P182" i="65"/>
  <c r="O182" i="65"/>
  <c r="N182" i="65"/>
  <c r="N181" i="65" s="1"/>
  <c r="M182" i="65"/>
  <c r="B182" i="65"/>
  <c r="A182" i="65"/>
  <c r="AA181" i="65"/>
  <c r="W181" i="65"/>
  <c r="P181" i="65"/>
  <c r="O181" i="65"/>
  <c r="M181" i="65"/>
  <c r="B181" i="65"/>
  <c r="A181" i="65"/>
  <c r="AB180" i="65"/>
  <c r="AA180" i="65"/>
  <c r="Y180" i="65"/>
  <c r="X180" i="65"/>
  <c r="S180" i="65"/>
  <c r="V180" i="65" s="1"/>
  <c r="B180" i="65"/>
  <c r="A180" i="65"/>
  <c r="AA179" i="65"/>
  <c r="Z179" i="65"/>
  <c r="X179" i="65"/>
  <c r="W179" i="65"/>
  <c r="W174" i="65" s="1"/>
  <c r="T179" i="65"/>
  <c r="Y179" i="65" s="1"/>
  <c r="S179" i="65"/>
  <c r="R179" i="65"/>
  <c r="Q179" i="65"/>
  <c r="P179" i="65"/>
  <c r="O179" i="65"/>
  <c r="O174" i="65" s="1"/>
  <c r="N179" i="65"/>
  <c r="M179" i="65"/>
  <c r="B179" i="65"/>
  <c r="A179" i="65"/>
  <c r="AB178" i="65"/>
  <c r="AA178" i="65"/>
  <c r="X178" i="65"/>
  <c r="S178" i="65"/>
  <c r="B178" i="65"/>
  <c r="A178" i="65"/>
  <c r="AA177" i="65"/>
  <c r="AA174" i="65" s="1"/>
  <c r="Z177" i="65"/>
  <c r="W177" i="65"/>
  <c r="V177" i="65"/>
  <c r="T177" i="65"/>
  <c r="S177" i="65"/>
  <c r="R177" i="65"/>
  <c r="Q177" i="65"/>
  <c r="P177" i="65"/>
  <c r="O177" i="65"/>
  <c r="N177" i="65"/>
  <c r="M177" i="65"/>
  <c r="B177" i="65"/>
  <c r="A177" i="65"/>
  <c r="AB176" i="65"/>
  <c r="AA176" i="65"/>
  <c r="Y176" i="65"/>
  <c r="X176" i="65"/>
  <c r="X175" i="65" s="1"/>
  <c r="V176" i="65"/>
  <c r="S176" i="65"/>
  <c r="U176" i="65" s="1"/>
  <c r="B176" i="65"/>
  <c r="A176" i="65"/>
  <c r="AA175" i="65"/>
  <c r="Z175" i="65"/>
  <c r="Z174" i="65" s="1"/>
  <c r="Y175" i="65"/>
  <c r="W175" i="65"/>
  <c r="V175" i="65"/>
  <c r="U175" i="65"/>
  <c r="T175" i="65"/>
  <c r="AB175" i="65" s="1"/>
  <c r="S175" i="65"/>
  <c r="R175" i="65"/>
  <c r="R174" i="65" s="1"/>
  <c r="Q175" i="65"/>
  <c r="Q174" i="65" s="1"/>
  <c r="P175" i="65"/>
  <c r="O175" i="65"/>
  <c r="N175" i="65"/>
  <c r="N174" i="65" s="1"/>
  <c r="M175" i="65"/>
  <c r="M174" i="65" s="1"/>
  <c r="B175" i="65"/>
  <c r="A175" i="65"/>
  <c r="P174" i="65"/>
  <c r="B174" i="65"/>
  <c r="A174" i="65"/>
  <c r="AB173" i="65"/>
  <c r="AA173" i="65"/>
  <c r="X173" i="65"/>
  <c r="X172" i="65" s="1"/>
  <c r="S173" i="65"/>
  <c r="B173" i="65"/>
  <c r="A173" i="65"/>
  <c r="AA172" i="65"/>
  <c r="AA171" i="65" s="1"/>
  <c r="Z172" i="65"/>
  <c r="Z171" i="65" s="1"/>
  <c r="W172" i="65"/>
  <c r="W171" i="65" s="1"/>
  <c r="T172" i="65"/>
  <c r="Y172" i="65" s="1"/>
  <c r="S172" i="65"/>
  <c r="R172" i="65"/>
  <c r="R171" i="65" s="1"/>
  <c r="Q172" i="65"/>
  <c r="P172" i="65"/>
  <c r="O172" i="65"/>
  <c r="O171" i="65" s="1"/>
  <c r="N172" i="65"/>
  <c r="N171" i="65" s="1"/>
  <c r="M172" i="65"/>
  <c r="B172" i="65"/>
  <c r="A172" i="65"/>
  <c r="X171" i="65"/>
  <c r="Y171" i="65" s="1"/>
  <c r="T171" i="65"/>
  <c r="AB171" i="65" s="1"/>
  <c r="Q171" i="65"/>
  <c r="P171" i="65"/>
  <c r="M171" i="65"/>
  <c r="B171" i="65"/>
  <c r="A171" i="65"/>
  <c r="AB170" i="65"/>
  <c r="AA170" i="65"/>
  <c r="Y170" i="65"/>
  <c r="X170" i="65"/>
  <c r="S170" i="65"/>
  <c r="B170" i="65"/>
  <c r="A170" i="65"/>
  <c r="AA169" i="65"/>
  <c r="AA166" i="65" s="1"/>
  <c r="Z169" i="65"/>
  <c r="X169" i="65"/>
  <c r="X166" i="65" s="1"/>
  <c r="W169" i="65"/>
  <c r="T169" i="65"/>
  <c r="R169" i="65"/>
  <c r="Q169" i="65"/>
  <c r="P169" i="65"/>
  <c r="P166" i="65" s="1"/>
  <c r="O169" i="65"/>
  <c r="N169" i="65"/>
  <c r="M169" i="65"/>
  <c r="B169" i="65"/>
  <c r="A169" i="65"/>
  <c r="AB168" i="65"/>
  <c r="AA168" i="65"/>
  <c r="Y168" i="65"/>
  <c r="X168" i="65"/>
  <c r="X167" i="65" s="1"/>
  <c r="S168" i="65"/>
  <c r="B168" i="65"/>
  <c r="A168" i="65"/>
  <c r="AA167" i="65"/>
  <c r="Z167" i="65"/>
  <c r="Z166" i="65" s="1"/>
  <c r="W167" i="65"/>
  <c r="V167" i="65"/>
  <c r="T167" i="65"/>
  <c r="Y167" i="65" s="1"/>
  <c r="S167" i="65"/>
  <c r="R167" i="65"/>
  <c r="R166" i="65" s="1"/>
  <c r="Q167" i="65"/>
  <c r="P167" i="65"/>
  <c r="O167" i="65"/>
  <c r="N167" i="65"/>
  <c r="N166" i="65" s="1"/>
  <c r="M167" i="65"/>
  <c r="B167" i="65"/>
  <c r="A167" i="65"/>
  <c r="Q166" i="65"/>
  <c r="M166" i="65"/>
  <c r="B166" i="65"/>
  <c r="A166" i="65"/>
  <c r="AB165" i="65"/>
  <c r="AA165" i="65"/>
  <c r="Y165" i="65"/>
  <c r="X165" i="65"/>
  <c r="S165" i="65"/>
  <c r="V165" i="65" s="1"/>
  <c r="B165" i="65"/>
  <c r="A165" i="65"/>
  <c r="AA164" i="65"/>
  <c r="Z164" i="65"/>
  <c r="X164" i="65"/>
  <c r="X161" i="65" s="1"/>
  <c r="W164" i="65"/>
  <c r="T164" i="65"/>
  <c r="Y164" i="65" s="1"/>
  <c r="S164" i="65"/>
  <c r="V164" i="65" s="1"/>
  <c r="R164" i="65"/>
  <c r="Q164" i="65"/>
  <c r="P164" i="65"/>
  <c r="O164" i="65"/>
  <c r="N164" i="65"/>
  <c r="M164" i="65"/>
  <c r="B164" i="65"/>
  <c r="A164" i="65"/>
  <c r="AB163" i="65"/>
  <c r="AA163" i="65"/>
  <c r="Y163" i="65"/>
  <c r="X163" i="65"/>
  <c r="X162" i="65" s="1"/>
  <c r="S163" i="65"/>
  <c r="B163" i="65"/>
  <c r="A163" i="65"/>
  <c r="AA162" i="65"/>
  <c r="AA161" i="65" s="1"/>
  <c r="Z162" i="65"/>
  <c r="Z161" i="65" s="1"/>
  <c r="Y162" i="65"/>
  <c r="W162" i="65"/>
  <c r="W161" i="65" s="1"/>
  <c r="T162" i="65"/>
  <c r="AB162" i="65" s="1"/>
  <c r="R162" i="65"/>
  <c r="R161" i="65" s="1"/>
  <c r="Q162" i="65"/>
  <c r="P162" i="65"/>
  <c r="O162" i="65"/>
  <c r="N162" i="65"/>
  <c r="N161" i="65" s="1"/>
  <c r="M162" i="65"/>
  <c r="B162" i="65"/>
  <c r="A162" i="65"/>
  <c r="Y161" i="65"/>
  <c r="T161" i="65"/>
  <c r="AB161" i="65" s="1"/>
  <c r="Q161" i="65"/>
  <c r="P161" i="65"/>
  <c r="M161" i="65"/>
  <c r="B161" i="65"/>
  <c r="A161" i="65"/>
  <c r="AB160" i="65"/>
  <c r="AA160" i="65"/>
  <c r="Y160" i="65"/>
  <c r="X160" i="65"/>
  <c r="U160" i="65"/>
  <c r="U159" i="65" s="1"/>
  <c r="S160" i="65"/>
  <c r="V160" i="65" s="1"/>
  <c r="B160" i="65"/>
  <c r="A160" i="65"/>
  <c r="AB159" i="65"/>
  <c r="AA159" i="65"/>
  <c r="Z159" i="65"/>
  <c r="X159" i="65"/>
  <c r="W159" i="65"/>
  <c r="T159" i="65"/>
  <c r="S159" i="65"/>
  <c r="V159" i="65" s="1"/>
  <c r="R159" i="65"/>
  <c r="Q159" i="65"/>
  <c r="P159" i="65"/>
  <c r="O159" i="65"/>
  <c r="N159" i="65"/>
  <c r="M159" i="65"/>
  <c r="B159" i="65"/>
  <c r="A159" i="65"/>
  <c r="AB158" i="65"/>
  <c r="AA158" i="65"/>
  <c r="X158" i="65"/>
  <c r="Y158" i="65" s="1"/>
  <c r="S158" i="65"/>
  <c r="B158" i="65"/>
  <c r="A158" i="65"/>
  <c r="AB157" i="65"/>
  <c r="AA157" i="65"/>
  <c r="Y157" i="65"/>
  <c r="X157" i="65"/>
  <c r="S157" i="65"/>
  <c r="V157" i="65" s="1"/>
  <c r="B157" i="65"/>
  <c r="A157" i="65"/>
  <c r="AA156" i="65"/>
  <c r="AA154" i="65" s="1"/>
  <c r="Z156" i="65"/>
  <c r="W156" i="65"/>
  <c r="T156" i="65"/>
  <c r="S156" i="65"/>
  <c r="R156" i="65"/>
  <c r="Q156" i="65"/>
  <c r="P156" i="65"/>
  <c r="P154" i="65" s="1"/>
  <c r="O156" i="65"/>
  <c r="O154" i="65" s="1"/>
  <c r="N156" i="65"/>
  <c r="M156" i="65"/>
  <c r="B156" i="65"/>
  <c r="A156" i="65"/>
  <c r="AA155" i="65"/>
  <c r="X155" i="65"/>
  <c r="S155" i="65"/>
  <c r="U155" i="65" s="1"/>
  <c r="Z154" i="65"/>
  <c r="R154" i="65"/>
  <c r="Q154" i="65"/>
  <c r="N154" i="65"/>
  <c r="M154" i="65"/>
  <c r="B154" i="65"/>
  <c r="A154" i="65"/>
  <c r="AB153" i="65"/>
  <c r="AA153" i="65"/>
  <c r="AA152" i="65" s="1"/>
  <c r="Y153" i="65"/>
  <c r="X153" i="65"/>
  <c r="V153" i="65"/>
  <c r="U153" i="65"/>
  <c r="U152" i="65" s="1"/>
  <c r="S153" i="65"/>
  <c r="S152" i="65" s="1"/>
  <c r="Q153" i="65"/>
  <c r="B153" i="65"/>
  <c r="A153" i="65"/>
  <c r="Z152" i="65"/>
  <c r="X152" i="65"/>
  <c r="W152" i="65"/>
  <c r="T152" i="65"/>
  <c r="AB152" i="65" s="1"/>
  <c r="R152" i="65"/>
  <c r="Q152" i="65"/>
  <c r="P152" i="65"/>
  <c r="O152" i="65"/>
  <c r="N152" i="65"/>
  <c r="M152" i="65"/>
  <c r="B152" i="65"/>
  <c r="A152" i="65"/>
  <c r="AB151" i="65"/>
  <c r="AA151" i="65"/>
  <c r="AA150" i="65" s="1"/>
  <c r="Y151" i="65"/>
  <c r="X151" i="65"/>
  <c r="V151" i="65"/>
  <c r="S151" i="65"/>
  <c r="S150" i="65" s="1"/>
  <c r="P151" i="65"/>
  <c r="B151" i="65"/>
  <c r="A151" i="65"/>
  <c r="Z150" i="65"/>
  <c r="AB150" i="65" s="1"/>
  <c r="Y150" i="65"/>
  <c r="X150" i="65"/>
  <c r="W150" i="65"/>
  <c r="V150" i="65"/>
  <c r="T150" i="65"/>
  <c r="R150" i="65"/>
  <c r="Q150" i="65"/>
  <c r="P150" i="65"/>
  <c r="P145" i="65" s="1"/>
  <c r="O150" i="65"/>
  <c r="N150" i="65"/>
  <c r="M150" i="65"/>
  <c r="B150" i="65"/>
  <c r="A150" i="65"/>
  <c r="AB149" i="65"/>
  <c r="AA149" i="65"/>
  <c r="Y149" i="65"/>
  <c r="X149" i="65"/>
  <c r="S149" i="65"/>
  <c r="B149" i="65"/>
  <c r="A149" i="65"/>
  <c r="AA148" i="65"/>
  <c r="Z148" i="65"/>
  <c r="X148" i="65"/>
  <c r="W148" i="65"/>
  <c r="T148" i="65"/>
  <c r="Y148" i="65" s="1"/>
  <c r="S148" i="65"/>
  <c r="V148" i="65" s="1"/>
  <c r="R148" i="65"/>
  <c r="Q148" i="65"/>
  <c r="P148" i="65"/>
  <c r="O148" i="65"/>
  <c r="N148" i="65"/>
  <c r="M148" i="65"/>
  <c r="B148" i="65"/>
  <c r="A148" i="65"/>
  <c r="AB147" i="65"/>
  <c r="AA147" i="65"/>
  <c r="X147" i="65"/>
  <c r="S147" i="65"/>
  <c r="V147" i="65" s="1"/>
  <c r="B147" i="65"/>
  <c r="A147" i="65"/>
  <c r="AA146" i="65"/>
  <c r="AA145" i="65" s="1"/>
  <c r="Z146" i="65"/>
  <c r="Z145" i="65" s="1"/>
  <c r="W146" i="65"/>
  <c r="V146" i="65"/>
  <c r="T146" i="65"/>
  <c r="S146" i="65"/>
  <c r="S145" i="65" s="1"/>
  <c r="R146" i="65"/>
  <c r="R145" i="65" s="1"/>
  <c r="Q146" i="65"/>
  <c r="P146" i="65"/>
  <c r="O146" i="65"/>
  <c r="O145" i="65" s="1"/>
  <c r="N146" i="65"/>
  <c r="N145" i="65" s="1"/>
  <c r="M146" i="65"/>
  <c r="B146" i="65"/>
  <c r="A146" i="65"/>
  <c r="AB145" i="65"/>
  <c r="T145" i="65"/>
  <c r="Q145" i="65"/>
  <c r="M145" i="65"/>
  <c r="B145" i="65"/>
  <c r="A145" i="65"/>
  <c r="AB144" i="65"/>
  <c r="AA144" i="65"/>
  <c r="Y144" i="65"/>
  <c r="X144" i="65"/>
  <c r="S144" i="65"/>
  <c r="B144" i="65"/>
  <c r="A144" i="65"/>
  <c r="AA143" i="65"/>
  <c r="Z143" i="65"/>
  <c r="X143" i="65"/>
  <c r="W143" i="65"/>
  <c r="W137" i="65" s="1"/>
  <c r="T143" i="65"/>
  <c r="Y143" i="65" s="1"/>
  <c r="S143" i="65"/>
  <c r="V143" i="65" s="1"/>
  <c r="R143" i="65"/>
  <c r="Q143" i="65"/>
  <c r="P143" i="65"/>
  <c r="O143" i="65"/>
  <c r="O137" i="65" s="1"/>
  <c r="N143" i="65"/>
  <c r="M143" i="65"/>
  <c r="B143" i="65"/>
  <c r="A143" i="65"/>
  <c r="AB142" i="65"/>
  <c r="AA142" i="65"/>
  <c r="Y142" i="65"/>
  <c r="X142" i="65"/>
  <c r="X141" i="65" s="1"/>
  <c r="S142" i="65"/>
  <c r="V142" i="65" s="1"/>
  <c r="B142" i="65"/>
  <c r="A142" i="65"/>
  <c r="AA141" i="65"/>
  <c r="Z141" i="65"/>
  <c r="Z137" i="65" s="1"/>
  <c r="W141" i="65"/>
  <c r="V141" i="65"/>
  <c r="T141" i="65"/>
  <c r="Y141" i="65" s="1"/>
  <c r="S141" i="65"/>
  <c r="R141" i="65"/>
  <c r="Q141" i="65"/>
  <c r="P141" i="65"/>
  <c r="O141" i="65"/>
  <c r="N141" i="65"/>
  <c r="M141" i="65"/>
  <c r="B141" i="65"/>
  <c r="A141" i="65"/>
  <c r="AB140" i="65"/>
  <c r="AA140" i="65"/>
  <c r="X140" i="65"/>
  <c r="Y140" i="65" s="1"/>
  <c r="V140" i="65"/>
  <c r="Q140" i="65"/>
  <c r="S140" i="65" s="1"/>
  <c r="U140" i="65" s="1"/>
  <c r="B140" i="65"/>
  <c r="A140" i="65"/>
  <c r="AB139" i="65"/>
  <c r="AA139" i="65"/>
  <c r="AA138" i="65" s="1"/>
  <c r="AA137" i="65" s="1"/>
  <c r="Y139" i="65"/>
  <c r="X139" i="65"/>
  <c r="S139" i="65"/>
  <c r="P139" i="65"/>
  <c r="B139" i="65"/>
  <c r="A139" i="65"/>
  <c r="Z138" i="65"/>
  <c r="X138" i="65"/>
  <c r="W138" i="65"/>
  <c r="T138" i="65"/>
  <c r="R138" i="65"/>
  <c r="Q138" i="65"/>
  <c r="Q137" i="65" s="1"/>
  <c r="P138" i="65"/>
  <c r="P137" i="65" s="1"/>
  <c r="O138" i="65"/>
  <c r="N138" i="65"/>
  <c r="M138" i="65"/>
  <c r="M137" i="65" s="1"/>
  <c r="B138" i="65"/>
  <c r="A138" i="65"/>
  <c r="R137" i="65"/>
  <c r="N137" i="65"/>
  <c r="N136" i="65" s="1"/>
  <c r="N135" i="65" s="1"/>
  <c r="N118" i="65" s="1"/>
  <c r="B137" i="65"/>
  <c r="A137" i="65"/>
  <c r="B136" i="65"/>
  <c r="A136" i="65"/>
  <c r="B135" i="65"/>
  <c r="A135" i="65"/>
  <c r="AB134" i="65"/>
  <c r="AA134" i="65"/>
  <c r="Y134" i="65"/>
  <c r="X134" i="65"/>
  <c r="V134" i="65"/>
  <c r="S134" i="65"/>
  <c r="U134" i="65" s="1"/>
  <c r="A134" i="65"/>
  <c r="AB133" i="65"/>
  <c r="AA133" i="65"/>
  <c r="Y133" i="65"/>
  <c r="X133" i="65"/>
  <c r="V133" i="65"/>
  <c r="S133" i="65"/>
  <c r="U133" i="65" s="1"/>
  <c r="A133" i="65"/>
  <c r="AB132" i="65"/>
  <c r="AA132" i="65"/>
  <c r="Z132" i="65"/>
  <c r="X132" i="65"/>
  <c r="W132" i="65"/>
  <c r="T132" i="65"/>
  <c r="Y132" i="65" s="1"/>
  <c r="R132" i="65"/>
  <c r="Q132" i="65"/>
  <c r="P132" i="65"/>
  <c r="O132" i="65"/>
  <c r="N132" i="65"/>
  <c r="M132" i="65"/>
  <c r="A132" i="65"/>
  <c r="AB131" i="65"/>
  <c r="AA131" i="65"/>
  <c r="Y131" i="65"/>
  <c r="X131" i="65"/>
  <c r="X130" i="65" s="1"/>
  <c r="X121" i="65" s="1"/>
  <c r="S131" i="65"/>
  <c r="V131" i="65" s="1"/>
  <c r="B131" i="65"/>
  <c r="A131" i="65"/>
  <c r="AA130" i="65"/>
  <c r="Z130" i="65"/>
  <c r="W130" i="65"/>
  <c r="V130" i="65"/>
  <c r="T130" i="65"/>
  <c r="Y130" i="65" s="1"/>
  <c r="S130" i="65"/>
  <c r="R130" i="65"/>
  <c r="R121" i="65" s="1"/>
  <c r="Q130" i="65"/>
  <c r="P130" i="65"/>
  <c r="O130" i="65"/>
  <c r="N130" i="65"/>
  <c r="N121" i="65" s="1"/>
  <c r="M130" i="65"/>
  <c r="B130" i="65"/>
  <c r="A130" i="65"/>
  <c r="AB129" i="65"/>
  <c r="AA129" i="65"/>
  <c r="Y129" i="65"/>
  <c r="X129" i="65"/>
  <c r="X128" i="65" s="1"/>
  <c r="V129" i="65"/>
  <c r="S129" i="65"/>
  <c r="U129" i="65" s="1"/>
  <c r="B129" i="65"/>
  <c r="A129" i="65"/>
  <c r="AA128" i="65"/>
  <c r="Z128" i="65"/>
  <c r="Y128" i="65"/>
  <c r="W128" i="65"/>
  <c r="V128" i="65"/>
  <c r="U128" i="65"/>
  <c r="T128" i="65"/>
  <c r="AB128" i="65" s="1"/>
  <c r="S128" i="65"/>
  <c r="R128" i="65"/>
  <c r="Q128" i="65"/>
  <c r="Q121" i="65" s="1"/>
  <c r="P128" i="65"/>
  <c r="O128" i="65"/>
  <c r="N128" i="65"/>
  <c r="M128" i="65"/>
  <c r="M121" i="65" s="1"/>
  <c r="B128" i="65"/>
  <c r="A128" i="65"/>
  <c r="AB127" i="65"/>
  <c r="AA127" i="65"/>
  <c r="AA126" i="65" s="1"/>
  <c r="AA121" i="65" s="1"/>
  <c r="Y127" i="65"/>
  <c r="X127" i="65"/>
  <c r="V127" i="65"/>
  <c r="U127" i="65"/>
  <c r="U126" i="65" s="1"/>
  <c r="S127" i="65"/>
  <c r="B127" i="65"/>
  <c r="A127" i="65"/>
  <c r="AB126" i="65"/>
  <c r="Z126" i="65"/>
  <c r="X126" i="65"/>
  <c r="W126" i="65"/>
  <c r="V126" i="65"/>
  <c r="T126" i="65"/>
  <c r="Y126" i="65" s="1"/>
  <c r="S126" i="65"/>
  <c r="R126" i="65"/>
  <c r="Q126" i="65"/>
  <c r="P126" i="65"/>
  <c r="O126" i="65"/>
  <c r="N126" i="65"/>
  <c r="M126" i="65"/>
  <c r="B126" i="65"/>
  <c r="A126" i="65"/>
  <c r="AB125" i="65"/>
  <c r="AA125" i="65"/>
  <c r="Y125" i="65"/>
  <c r="X125" i="65"/>
  <c r="S125" i="65"/>
  <c r="B125" i="65"/>
  <c r="A125" i="65"/>
  <c r="AA124" i="65"/>
  <c r="Z124" i="65"/>
  <c r="X124" i="65"/>
  <c r="W124" i="65"/>
  <c r="T124" i="65"/>
  <c r="Y124" i="65" s="1"/>
  <c r="S124" i="65"/>
  <c r="V124" i="65" s="1"/>
  <c r="R124" i="65"/>
  <c r="Q124" i="65"/>
  <c r="P124" i="65"/>
  <c r="O124" i="65"/>
  <c r="N124" i="65"/>
  <c r="M124" i="65"/>
  <c r="B124" i="65"/>
  <c r="A124" i="65"/>
  <c r="AB123" i="65"/>
  <c r="AA123" i="65"/>
  <c r="Y123" i="65"/>
  <c r="X123" i="65"/>
  <c r="X122" i="65" s="1"/>
  <c r="S123" i="65"/>
  <c r="V123" i="65" s="1"/>
  <c r="B123" i="65"/>
  <c r="A123" i="65"/>
  <c r="AA122" i="65"/>
  <c r="Z122" i="65"/>
  <c r="W122" i="65"/>
  <c r="V122" i="65"/>
  <c r="T122" i="65"/>
  <c r="Y122" i="65" s="1"/>
  <c r="S122" i="65"/>
  <c r="R122" i="65"/>
  <c r="Q122" i="65"/>
  <c r="P122" i="65"/>
  <c r="O122" i="65"/>
  <c r="N122" i="65"/>
  <c r="M122" i="65"/>
  <c r="B122" i="65"/>
  <c r="A122" i="65"/>
  <c r="T121" i="65"/>
  <c r="Y121" i="65" s="1"/>
  <c r="P121" i="65"/>
  <c r="B121" i="65"/>
  <c r="A121" i="65"/>
  <c r="AB120" i="65"/>
  <c r="Y120" i="65"/>
  <c r="V120" i="65"/>
  <c r="B120" i="65"/>
  <c r="A120" i="65"/>
  <c r="AA119" i="65"/>
  <c r="Z119" i="65"/>
  <c r="X119" i="65"/>
  <c r="W119" i="65"/>
  <c r="U119" i="65"/>
  <c r="T119" i="65"/>
  <c r="S119" i="65"/>
  <c r="R119" i="65"/>
  <c r="Q119" i="65"/>
  <c r="P119" i="65"/>
  <c r="O119" i="65"/>
  <c r="N119" i="65"/>
  <c r="M119" i="65"/>
  <c r="B119" i="65"/>
  <c r="A119" i="65"/>
  <c r="B118" i="65"/>
  <c r="A118" i="65"/>
  <c r="AB117" i="65"/>
  <c r="AA117" i="65"/>
  <c r="AA116" i="65" s="1"/>
  <c r="Y117" i="65"/>
  <c r="X117" i="65"/>
  <c r="V117" i="65"/>
  <c r="U117" i="65"/>
  <c r="S117" i="65"/>
  <c r="B117" i="65"/>
  <c r="A117" i="65"/>
  <c r="Z116" i="65"/>
  <c r="X116" i="65"/>
  <c r="X115" i="65" s="1"/>
  <c r="X114" i="65" s="1"/>
  <c r="W116" i="65"/>
  <c r="U116" i="65"/>
  <c r="U115" i="65" s="1"/>
  <c r="T116" i="65"/>
  <c r="S116" i="65"/>
  <c r="R116" i="65"/>
  <c r="Q116" i="65"/>
  <c r="Q115" i="65" s="1"/>
  <c r="Q114" i="65" s="1"/>
  <c r="P116" i="65"/>
  <c r="P115" i="65" s="1"/>
  <c r="P114" i="65" s="1"/>
  <c r="O116" i="65"/>
  <c r="N116" i="65"/>
  <c r="M116" i="65"/>
  <c r="M115" i="65" s="1"/>
  <c r="B116" i="65"/>
  <c r="A116" i="65"/>
  <c r="AA115" i="65"/>
  <c r="AA114" i="65" s="1"/>
  <c r="Z115" i="65"/>
  <c r="Z114" i="65" s="1"/>
  <c r="W115" i="65"/>
  <c r="W114" i="65" s="1"/>
  <c r="S115" i="65"/>
  <c r="S114" i="65" s="1"/>
  <c r="R115" i="65"/>
  <c r="R114" i="65" s="1"/>
  <c r="O115" i="65"/>
  <c r="O114" i="65" s="1"/>
  <c r="N115" i="65"/>
  <c r="N114" i="65" s="1"/>
  <c r="B115" i="65"/>
  <c r="A115" i="65"/>
  <c r="U114" i="65"/>
  <c r="M114" i="65"/>
  <c r="B114" i="65"/>
  <c r="A114" i="65"/>
  <c r="AB113" i="65"/>
  <c r="AA113" i="65"/>
  <c r="Y113" i="65"/>
  <c r="X113" i="65"/>
  <c r="S113" i="65"/>
  <c r="V113" i="65" s="1"/>
  <c r="B113" i="65"/>
  <c r="A113" i="65"/>
  <c r="AA112" i="65"/>
  <c r="Z112" i="65"/>
  <c r="X112" i="65"/>
  <c r="W112" i="65"/>
  <c r="T112" i="65"/>
  <c r="Y112" i="65" s="1"/>
  <c r="R112" i="65"/>
  <c r="Q112" i="65"/>
  <c r="Q106" i="65" s="1"/>
  <c r="P112" i="65"/>
  <c r="O112" i="65"/>
  <c r="N112" i="65"/>
  <c r="M112" i="65"/>
  <c r="M106" i="65" s="1"/>
  <c r="B112" i="65"/>
  <c r="A112" i="65"/>
  <c r="AB111" i="65"/>
  <c r="AA111" i="65"/>
  <c r="Y111" i="65"/>
  <c r="X111" i="65"/>
  <c r="S111" i="65"/>
  <c r="B111" i="65"/>
  <c r="A111" i="65"/>
  <c r="AB110" i="65"/>
  <c r="AA110" i="65"/>
  <c r="Y110" i="65"/>
  <c r="X110" i="65"/>
  <c r="V110" i="65"/>
  <c r="U110" i="65"/>
  <c r="S110" i="65"/>
  <c r="B110" i="65"/>
  <c r="A110" i="65"/>
  <c r="AB109" i="65"/>
  <c r="AA109" i="65"/>
  <c r="Y109" i="65"/>
  <c r="X109" i="65"/>
  <c r="V109" i="65"/>
  <c r="U109" i="65"/>
  <c r="S109" i="65"/>
  <c r="B109" i="65"/>
  <c r="A109" i="65"/>
  <c r="Z108" i="65"/>
  <c r="X108" i="65"/>
  <c r="X107" i="65" s="1"/>
  <c r="X106" i="65" s="1"/>
  <c r="W108" i="65"/>
  <c r="T108" i="65"/>
  <c r="R108" i="65"/>
  <c r="Q108" i="65"/>
  <c r="Q107" i="65" s="1"/>
  <c r="P108" i="65"/>
  <c r="P107" i="65" s="1"/>
  <c r="O108" i="65"/>
  <c r="N108" i="65"/>
  <c r="M108" i="65"/>
  <c r="M107" i="65" s="1"/>
  <c r="B108" i="65"/>
  <c r="A108" i="65"/>
  <c r="Z107" i="65"/>
  <c r="W107" i="65"/>
  <c r="R107" i="65"/>
  <c r="R106" i="65" s="1"/>
  <c r="O107" i="65"/>
  <c r="O106" i="65" s="1"/>
  <c r="N107" i="65"/>
  <c r="N106" i="65" s="1"/>
  <c r="B107" i="65"/>
  <c r="A107" i="65"/>
  <c r="Z106" i="65"/>
  <c r="P106" i="65"/>
  <c r="B106" i="65"/>
  <c r="A106" i="65"/>
  <c r="AB105" i="65"/>
  <c r="AA105" i="65"/>
  <c r="Y105" i="65"/>
  <c r="X105" i="65"/>
  <c r="S105" i="65"/>
  <c r="V105" i="65" s="1"/>
  <c r="P105" i="65"/>
  <c r="B105" i="65"/>
  <c r="A105" i="65"/>
  <c r="AB104" i="65"/>
  <c r="AA104" i="65"/>
  <c r="Y104" i="65"/>
  <c r="X104" i="65"/>
  <c r="S104" i="65"/>
  <c r="Q104" i="65"/>
  <c r="Q103" i="65" s="1"/>
  <c r="B104" i="65"/>
  <c r="A104" i="65"/>
  <c r="AB103" i="65"/>
  <c r="AA103" i="65"/>
  <c r="AA102" i="65" s="1"/>
  <c r="Z103" i="65"/>
  <c r="X103" i="65"/>
  <c r="X102" i="65" s="1"/>
  <c r="W103" i="65"/>
  <c r="W102" i="65" s="1"/>
  <c r="T103" i="65"/>
  <c r="R103" i="65"/>
  <c r="R102" i="65" s="1"/>
  <c r="P103" i="65"/>
  <c r="O103" i="65"/>
  <c r="O102" i="65" s="1"/>
  <c r="N103" i="65"/>
  <c r="N102" i="65" s="1"/>
  <c r="M103" i="65"/>
  <c r="B103" i="65"/>
  <c r="A103" i="65"/>
  <c r="Z102" i="65"/>
  <c r="AB102" i="65" s="1"/>
  <c r="T102" i="65"/>
  <c r="Y102" i="65" s="1"/>
  <c r="Q102" i="65"/>
  <c r="P102" i="65"/>
  <c r="M102" i="65"/>
  <c r="B102" i="65"/>
  <c r="A102" i="65"/>
  <c r="AB101" i="65"/>
  <c r="AA101" i="65"/>
  <c r="Y101" i="65"/>
  <c r="X101" i="65"/>
  <c r="S101" i="65"/>
  <c r="V101" i="65" s="1"/>
  <c r="A101" i="65"/>
  <c r="AB100" i="65"/>
  <c r="AA100" i="65"/>
  <c r="Y100" i="65"/>
  <c r="X100" i="65"/>
  <c r="S100" i="65"/>
  <c r="S98" i="65" s="1"/>
  <c r="S97" i="65" s="1"/>
  <c r="B100" i="65"/>
  <c r="A100" i="65"/>
  <c r="AB99" i="65"/>
  <c r="AA99" i="65"/>
  <c r="AA98" i="65" s="1"/>
  <c r="X99" i="65"/>
  <c r="V99" i="65"/>
  <c r="U99" i="65"/>
  <c r="S99" i="65"/>
  <c r="B99" i="65"/>
  <c r="A99" i="65"/>
  <c r="Z98" i="65"/>
  <c r="W98" i="65"/>
  <c r="V98" i="65"/>
  <c r="T98" i="65"/>
  <c r="AB98" i="65" s="1"/>
  <c r="R98" i="65"/>
  <c r="Q98" i="65"/>
  <c r="Q97" i="65" s="1"/>
  <c r="P98" i="65"/>
  <c r="P97" i="65" s="1"/>
  <c r="P96" i="65" s="1"/>
  <c r="P92" i="65" s="1"/>
  <c r="O98" i="65"/>
  <c r="N98" i="65"/>
  <c r="M98" i="65"/>
  <c r="M97" i="65" s="1"/>
  <c r="B98" i="65"/>
  <c r="A98" i="65"/>
  <c r="AA97" i="65"/>
  <c r="AA96" i="65" s="1"/>
  <c r="Z97" i="65"/>
  <c r="Z96" i="65" s="1"/>
  <c r="Z92" i="65" s="1"/>
  <c r="W97" i="65"/>
  <c r="W96" i="65" s="1"/>
  <c r="T97" i="65"/>
  <c r="R97" i="65"/>
  <c r="O97" i="65"/>
  <c r="O96" i="65" s="1"/>
  <c r="N97" i="65"/>
  <c r="N96" i="65" s="1"/>
  <c r="N92" i="65" s="1"/>
  <c r="B97" i="65"/>
  <c r="A97" i="65"/>
  <c r="R96" i="65"/>
  <c r="Q96" i="65"/>
  <c r="M96" i="65"/>
  <c r="M92" i="65" s="1"/>
  <c r="B96" i="65"/>
  <c r="A96" i="65"/>
  <c r="AB95" i="65"/>
  <c r="AA95" i="65"/>
  <c r="Y95" i="65"/>
  <c r="X95" i="65"/>
  <c r="S95" i="65"/>
  <c r="B95" i="65"/>
  <c r="A95" i="65"/>
  <c r="AB94" i="65"/>
  <c r="AA94" i="65"/>
  <c r="AA93" i="65" s="1"/>
  <c r="AA92" i="65" s="1"/>
  <c r="Z94" i="65"/>
  <c r="X94" i="65"/>
  <c r="X93" i="65" s="1"/>
  <c r="W94" i="65"/>
  <c r="W93" i="65" s="1"/>
  <c r="T94" i="65"/>
  <c r="T93" i="65" s="1"/>
  <c r="AB93" i="65" s="1"/>
  <c r="R94" i="65"/>
  <c r="Q94" i="65"/>
  <c r="P94" i="65"/>
  <c r="P93" i="65" s="1"/>
  <c r="O94" i="65"/>
  <c r="O93" i="65" s="1"/>
  <c r="O92" i="65" s="1"/>
  <c r="N94" i="65"/>
  <c r="M94" i="65"/>
  <c r="B94" i="65"/>
  <c r="A94" i="65"/>
  <c r="Z93" i="65"/>
  <c r="Y93" i="65"/>
  <c r="R93" i="65"/>
  <c r="Q93" i="65"/>
  <c r="N93" i="65"/>
  <c r="M93" i="65"/>
  <c r="B93" i="65"/>
  <c r="A93" i="65"/>
  <c r="B92" i="65"/>
  <c r="A92" i="65"/>
  <c r="AB91" i="65"/>
  <c r="AA91" i="65"/>
  <c r="X91" i="65"/>
  <c r="Y91" i="65" s="1"/>
  <c r="U91" i="65"/>
  <c r="S91" i="65"/>
  <c r="V91" i="65" s="1"/>
  <c r="B91" i="65"/>
  <c r="A91" i="65"/>
  <c r="AB90" i="65"/>
  <c r="AA90" i="65"/>
  <c r="Y90" i="65"/>
  <c r="X90" i="65"/>
  <c r="Q90" i="65"/>
  <c r="P90" i="65"/>
  <c r="B90" i="65"/>
  <c r="A90" i="65"/>
  <c r="AB89" i="65"/>
  <c r="AA89" i="65"/>
  <c r="Y89" i="65"/>
  <c r="X89" i="65"/>
  <c r="S89" i="65"/>
  <c r="B89" i="65"/>
  <c r="A89" i="65"/>
  <c r="AB88" i="65"/>
  <c r="AA88" i="65"/>
  <c r="Y88" i="65"/>
  <c r="X88" i="65"/>
  <c r="V88" i="65"/>
  <c r="U88" i="65"/>
  <c r="S88" i="65"/>
  <c r="B88" i="65"/>
  <c r="A88" i="65"/>
  <c r="AB87" i="65"/>
  <c r="AA87" i="65"/>
  <c r="X87" i="65"/>
  <c r="Y87" i="65" s="1"/>
  <c r="V87" i="65"/>
  <c r="U87" i="65"/>
  <c r="S87" i="65"/>
  <c r="B87" i="65"/>
  <c r="A87" i="65"/>
  <c r="AB86" i="65"/>
  <c r="AA86" i="65"/>
  <c r="Y86" i="65"/>
  <c r="X86" i="65"/>
  <c r="X85" i="65" s="1"/>
  <c r="Y85" i="65" s="1"/>
  <c r="V86" i="65"/>
  <c r="S86" i="65"/>
  <c r="U86" i="65" s="1"/>
  <c r="B86" i="65"/>
  <c r="A86" i="65"/>
  <c r="AA85" i="65"/>
  <c r="Z85" i="65"/>
  <c r="W85" i="65"/>
  <c r="T85" i="65"/>
  <c r="R85" i="65"/>
  <c r="Q85" i="65"/>
  <c r="O85" i="65"/>
  <c r="N85" i="65"/>
  <c r="M85" i="65"/>
  <c r="B85" i="65"/>
  <c r="A85" i="65"/>
  <c r="AB84" i="65"/>
  <c r="AA84" i="65"/>
  <c r="X84" i="65"/>
  <c r="Y84" i="65" s="1"/>
  <c r="V84" i="65"/>
  <c r="U84" i="65"/>
  <c r="S84" i="65"/>
  <c r="B84" i="65"/>
  <c r="A84" i="65"/>
  <c r="AB83" i="65"/>
  <c r="AA83" i="65"/>
  <c r="Y83" i="65"/>
  <c r="X83" i="65"/>
  <c r="S83" i="65"/>
  <c r="Q83" i="65"/>
  <c r="P83" i="65"/>
  <c r="B83" i="65"/>
  <c r="A83" i="65"/>
  <c r="AB82" i="65"/>
  <c r="AA82" i="65"/>
  <c r="X82" i="65"/>
  <c r="Y82" i="65" s="1"/>
  <c r="V82" i="65"/>
  <c r="Q82" i="65"/>
  <c r="P82" i="65"/>
  <c r="S82" i="65" s="1"/>
  <c r="U82" i="65" s="1"/>
  <c r="B82" i="65"/>
  <c r="A82" i="65"/>
  <c r="AB81" i="65"/>
  <c r="AA81" i="65"/>
  <c r="Y81" i="65"/>
  <c r="X81" i="65"/>
  <c r="S81" i="65"/>
  <c r="B81" i="65"/>
  <c r="A81" i="65"/>
  <c r="AB80" i="65"/>
  <c r="AA80" i="65"/>
  <c r="X80" i="65"/>
  <c r="Y80" i="65" s="1"/>
  <c r="Q80" i="65"/>
  <c r="Q78" i="65" s="1"/>
  <c r="Q68" i="65" s="1"/>
  <c r="P80" i="65"/>
  <c r="B80" i="65"/>
  <c r="A80" i="65"/>
  <c r="AB79" i="65"/>
  <c r="AA79" i="65"/>
  <c r="AA78" i="65" s="1"/>
  <c r="Y79" i="65"/>
  <c r="X79" i="65"/>
  <c r="V79" i="65"/>
  <c r="U79" i="65"/>
  <c r="S79" i="65"/>
  <c r="B79" i="65"/>
  <c r="A79" i="65"/>
  <c r="Z78" i="65"/>
  <c r="W78" i="65"/>
  <c r="T78" i="65"/>
  <c r="R78" i="65"/>
  <c r="P78" i="65"/>
  <c r="O78" i="65"/>
  <c r="N78" i="65"/>
  <c r="M78" i="65"/>
  <c r="B78" i="65"/>
  <c r="A78" i="65"/>
  <c r="AB77" i="65"/>
  <c r="AA77" i="65"/>
  <c r="Y77" i="65"/>
  <c r="X77" i="65"/>
  <c r="S77" i="65"/>
  <c r="V77" i="65" s="1"/>
  <c r="B77" i="65"/>
  <c r="A77" i="65"/>
  <c r="AB76" i="65"/>
  <c r="AA76" i="65"/>
  <c r="Y76" i="65"/>
  <c r="X76" i="65"/>
  <c r="S76" i="65"/>
  <c r="B76" i="65"/>
  <c r="A76" i="65"/>
  <c r="AB75" i="65"/>
  <c r="AA75" i="65"/>
  <c r="Z75" i="65"/>
  <c r="X75" i="65"/>
  <c r="W75" i="65"/>
  <c r="T75" i="65"/>
  <c r="Y75" i="65" s="1"/>
  <c r="R75" i="65"/>
  <c r="Q75" i="65"/>
  <c r="P75" i="65"/>
  <c r="O75" i="65"/>
  <c r="N75" i="65"/>
  <c r="M75" i="65"/>
  <c r="B75" i="65"/>
  <c r="A75" i="65"/>
  <c r="AB74" i="65"/>
  <c r="AA74" i="65"/>
  <c r="X74" i="65"/>
  <c r="Y74" i="65" s="1"/>
  <c r="U74" i="65"/>
  <c r="S74" i="65"/>
  <c r="V74" i="65" s="1"/>
  <c r="B74" i="65"/>
  <c r="A74" i="65"/>
  <c r="AB73" i="65"/>
  <c r="AA73" i="65"/>
  <c r="AA69" i="65" s="1"/>
  <c r="AA68" i="65" s="1"/>
  <c r="Y73" i="65"/>
  <c r="X73" i="65"/>
  <c r="V73" i="65"/>
  <c r="U73" i="65"/>
  <c r="S73" i="65"/>
  <c r="B73" i="65"/>
  <c r="A73" i="65"/>
  <c r="AB72" i="65"/>
  <c r="AA72" i="65"/>
  <c r="X72" i="65"/>
  <c r="Y72" i="65" s="1"/>
  <c r="V72" i="65"/>
  <c r="U72" i="65"/>
  <c r="S72" i="65"/>
  <c r="B72" i="65"/>
  <c r="A72" i="65"/>
  <c r="AB71" i="65"/>
  <c r="AA71" i="65"/>
  <c r="X71" i="65"/>
  <c r="Y71" i="65" s="1"/>
  <c r="V71" i="65"/>
  <c r="S71" i="65"/>
  <c r="U71" i="65" s="1"/>
  <c r="B71" i="65"/>
  <c r="A71" i="65"/>
  <c r="AB70" i="65"/>
  <c r="AA70" i="65"/>
  <c r="X70" i="65"/>
  <c r="Y70" i="65" s="1"/>
  <c r="U70" i="65"/>
  <c r="S70" i="65"/>
  <c r="V70" i="65" s="1"/>
  <c r="B70" i="65"/>
  <c r="A70" i="65"/>
  <c r="Z69" i="65"/>
  <c r="Z68" i="65" s="1"/>
  <c r="X69" i="65"/>
  <c r="W69" i="65"/>
  <c r="T69" i="65"/>
  <c r="S69" i="65"/>
  <c r="R69" i="65"/>
  <c r="Q69" i="65"/>
  <c r="P69" i="65"/>
  <c r="O69" i="65"/>
  <c r="O68" i="65" s="1"/>
  <c r="N69" i="65"/>
  <c r="M69" i="65"/>
  <c r="B69" i="65"/>
  <c r="A69" i="65"/>
  <c r="R68" i="65"/>
  <c r="N68" i="65"/>
  <c r="M68" i="65"/>
  <c r="B68" i="65"/>
  <c r="A68" i="65"/>
  <c r="AB67" i="65"/>
  <c r="AA67" i="65"/>
  <c r="Y67" i="65"/>
  <c r="X67" i="65"/>
  <c r="V67" i="65"/>
  <c r="U67" i="65"/>
  <c r="S67" i="65"/>
  <c r="B67" i="65"/>
  <c r="A67" i="65"/>
  <c r="AB66" i="65"/>
  <c r="AA66" i="65"/>
  <c r="Y66" i="65"/>
  <c r="X66" i="65"/>
  <c r="V66" i="65"/>
  <c r="U66" i="65"/>
  <c r="S66" i="65"/>
  <c r="B66" i="65"/>
  <c r="A66" i="65"/>
  <c r="AB65" i="65"/>
  <c r="AA65" i="65"/>
  <c r="X65" i="65"/>
  <c r="Y65" i="65" s="1"/>
  <c r="V65" i="65"/>
  <c r="S65" i="65"/>
  <c r="U65" i="65" s="1"/>
  <c r="B65" i="65"/>
  <c r="A65" i="65"/>
  <c r="AB64" i="65"/>
  <c r="AA64" i="65"/>
  <c r="Y64" i="65"/>
  <c r="X64" i="65"/>
  <c r="U64" i="65"/>
  <c r="S64" i="65"/>
  <c r="V64" i="65" s="1"/>
  <c r="B64" i="65"/>
  <c r="A64" i="65"/>
  <c r="Z63" i="65"/>
  <c r="X63" i="65"/>
  <c r="W63" i="65"/>
  <c r="T63" i="65"/>
  <c r="S63" i="65"/>
  <c r="V63" i="65" s="1"/>
  <c r="R63" i="65"/>
  <c r="Q63" i="65"/>
  <c r="P63" i="65"/>
  <c r="O63" i="65"/>
  <c r="N63" i="65"/>
  <c r="M63" i="65"/>
  <c r="B63" i="65"/>
  <c r="A63" i="65"/>
  <c r="AB62" i="65"/>
  <c r="AA62" i="65"/>
  <c r="Y62" i="65"/>
  <c r="X62" i="65"/>
  <c r="V62" i="65"/>
  <c r="S62" i="65"/>
  <c r="U62" i="65" s="1"/>
  <c r="B62" i="65"/>
  <c r="A62" i="65"/>
  <c r="AB61" i="65"/>
  <c r="AA61" i="65"/>
  <c r="Y61" i="65"/>
  <c r="X61" i="65"/>
  <c r="X57" i="65" s="1"/>
  <c r="U61" i="65"/>
  <c r="S61" i="65"/>
  <c r="V61" i="65" s="1"/>
  <c r="B61" i="65"/>
  <c r="A61" i="65"/>
  <c r="AB60" i="65"/>
  <c r="AA60" i="65"/>
  <c r="Y60" i="65"/>
  <c r="X60" i="65"/>
  <c r="S60" i="65"/>
  <c r="V60" i="65" s="1"/>
  <c r="P60" i="65"/>
  <c r="B60" i="65"/>
  <c r="A60" i="65"/>
  <c r="AB59" i="65"/>
  <c r="AA59" i="65"/>
  <c r="Y59" i="65"/>
  <c r="X59" i="65"/>
  <c r="S59" i="65"/>
  <c r="P59" i="65"/>
  <c r="B59" i="65"/>
  <c r="A59" i="65"/>
  <c r="AB58" i="65"/>
  <c r="AA58" i="65"/>
  <c r="AA57" i="65" s="1"/>
  <c r="Y58" i="65"/>
  <c r="X58" i="65"/>
  <c r="V58" i="65"/>
  <c r="U58" i="65"/>
  <c r="S58" i="65"/>
  <c r="P58" i="65"/>
  <c r="B58" i="65"/>
  <c r="A58" i="65"/>
  <c r="Z57" i="65"/>
  <c r="Y57" i="65"/>
  <c r="W57" i="65"/>
  <c r="T57" i="65"/>
  <c r="AB57" i="65" s="1"/>
  <c r="R57" i="65"/>
  <c r="Q57" i="65"/>
  <c r="P57" i="65"/>
  <c r="O57" i="65"/>
  <c r="N57" i="65"/>
  <c r="M57" i="65"/>
  <c r="B57" i="65"/>
  <c r="A57" i="65"/>
  <c r="AB56" i="65"/>
  <c r="AA56" i="65"/>
  <c r="Y56" i="65"/>
  <c r="X56" i="65"/>
  <c r="S56" i="65"/>
  <c r="B56" i="65"/>
  <c r="A56" i="65"/>
  <c r="AB55" i="65"/>
  <c r="AA55" i="65"/>
  <c r="AA54" i="65" s="1"/>
  <c r="X55" i="65"/>
  <c r="Y55" i="65" s="1"/>
  <c r="P55" i="65"/>
  <c r="B55" i="65"/>
  <c r="A55" i="65"/>
  <c r="Z54" i="65"/>
  <c r="X54" i="65"/>
  <c r="W54" i="65"/>
  <c r="T54" i="65"/>
  <c r="Y54" i="65" s="1"/>
  <c r="R54" i="65"/>
  <c r="Q54" i="65"/>
  <c r="O54" i="65"/>
  <c r="N54" i="65"/>
  <c r="M54" i="65"/>
  <c r="B54" i="65"/>
  <c r="A54" i="65"/>
  <c r="AB53" i="65"/>
  <c r="AA53" i="65"/>
  <c r="Y53" i="65"/>
  <c r="X53" i="65"/>
  <c r="X51" i="65" s="1"/>
  <c r="X50" i="65" s="1"/>
  <c r="S53" i="65"/>
  <c r="V53" i="65" s="1"/>
  <c r="B53" i="65"/>
  <c r="A53" i="65"/>
  <c r="AB52" i="65"/>
  <c r="AA52" i="65"/>
  <c r="Y52" i="65"/>
  <c r="X52" i="65"/>
  <c r="S52" i="65"/>
  <c r="B52" i="65"/>
  <c r="A52" i="65"/>
  <c r="AA51" i="65"/>
  <c r="Z51" i="65"/>
  <c r="W51" i="65"/>
  <c r="W50" i="65" s="1"/>
  <c r="T51" i="65"/>
  <c r="T50" i="65" s="1"/>
  <c r="S51" i="65"/>
  <c r="R51" i="65"/>
  <c r="Q51" i="65"/>
  <c r="P51" i="65"/>
  <c r="O51" i="65"/>
  <c r="O50" i="65" s="1"/>
  <c r="N51" i="65"/>
  <c r="M51" i="65"/>
  <c r="B51" i="65"/>
  <c r="A51" i="65"/>
  <c r="Z50" i="65"/>
  <c r="Z49" i="65" s="1"/>
  <c r="Z44" i="65" s="1"/>
  <c r="Y50" i="65"/>
  <c r="R50" i="65"/>
  <c r="Q50" i="65"/>
  <c r="N50" i="65"/>
  <c r="N49" i="65" s="1"/>
  <c r="N44" i="65" s="1"/>
  <c r="M50" i="65"/>
  <c r="M49" i="65" s="1"/>
  <c r="B50" i="65"/>
  <c r="A50" i="65"/>
  <c r="O49" i="65"/>
  <c r="B49" i="65"/>
  <c r="A49" i="65"/>
  <c r="AB48" i="65"/>
  <c r="AA48" i="65"/>
  <c r="Y48" i="65"/>
  <c r="X48" i="65"/>
  <c r="X47" i="65" s="1"/>
  <c r="X46" i="65" s="1"/>
  <c r="X45" i="65" s="1"/>
  <c r="Q48" i="65"/>
  <c r="B48" i="65"/>
  <c r="A48" i="65"/>
  <c r="AA47" i="65"/>
  <c r="AA46" i="65" s="1"/>
  <c r="Z47" i="65"/>
  <c r="W47" i="65"/>
  <c r="W46" i="65" s="1"/>
  <c r="T47" i="65"/>
  <c r="T46" i="65" s="1"/>
  <c r="Y46" i="65" s="1"/>
  <c r="R47" i="65"/>
  <c r="P47" i="65"/>
  <c r="P46" i="65" s="1"/>
  <c r="P45" i="65" s="1"/>
  <c r="O47" i="65"/>
  <c r="O46" i="65" s="1"/>
  <c r="O45" i="65" s="1"/>
  <c r="N47" i="65"/>
  <c r="M47" i="65"/>
  <c r="B47" i="65"/>
  <c r="A47" i="65"/>
  <c r="Z46" i="65"/>
  <c r="Z45" i="65" s="1"/>
  <c r="R46" i="65"/>
  <c r="R45" i="65" s="1"/>
  <c r="N46" i="65"/>
  <c r="N45" i="65" s="1"/>
  <c r="M46" i="65"/>
  <c r="M45" i="65" s="1"/>
  <c r="B46" i="65"/>
  <c r="A46" i="65"/>
  <c r="AA45" i="65"/>
  <c r="W45" i="65"/>
  <c r="B45" i="65"/>
  <c r="A45" i="65"/>
  <c r="M44" i="65"/>
  <c r="B44" i="65"/>
  <c r="A44" i="65"/>
  <c r="AB43" i="65"/>
  <c r="AA43" i="65"/>
  <c r="Y43" i="65"/>
  <c r="X43" i="65"/>
  <c r="V43" i="65"/>
  <c r="U43" i="65"/>
  <c r="S43" i="65"/>
  <c r="B43" i="65"/>
  <c r="A43" i="65"/>
  <c r="AB42" i="65"/>
  <c r="AA42" i="65"/>
  <c r="X42" i="65"/>
  <c r="Y42" i="65" s="1"/>
  <c r="V42" i="65"/>
  <c r="U42" i="65"/>
  <c r="S42" i="65"/>
  <c r="B42" i="65"/>
  <c r="A42" i="65"/>
  <c r="AB41" i="65"/>
  <c r="AA41" i="65"/>
  <c r="Y41" i="65"/>
  <c r="X41" i="65"/>
  <c r="S41" i="65"/>
  <c r="V41" i="65" s="1"/>
  <c r="B41" i="65"/>
  <c r="A41" i="65"/>
  <c r="AB40" i="65"/>
  <c r="AA40" i="65"/>
  <c r="Y40" i="65"/>
  <c r="X40" i="65"/>
  <c r="S40" i="65"/>
  <c r="B40" i="65"/>
  <c r="A40" i="65"/>
  <c r="AB39" i="65"/>
  <c r="AA39" i="65"/>
  <c r="Y39" i="65"/>
  <c r="X39" i="65"/>
  <c r="U39" i="65"/>
  <c r="S39" i="65"/>
  <c r="V39" i="65" s="1"/>
  <c r="B39" i="65"/>
  <c r="A39" i="65"/>
  <c r="AB38" i="65"/>
  <c r="AA38" i="65"/>
  <c r="X38" i="65"/>
  <c r="Y38" i="65" s="1"/>
  <c r="V38" i="65"/>
  <c r="U38" i="65"/>
  <c r="S38" i="65"/>
  <c r="B38" i="65"/>
  <c r="A38" i="65"/>
  <c r="AB37" i="65"/>
  <c r="AA37" i="65"/>
  <c r="X37" i="65"/>
  <c r="Y37" i="65" s="1"/>
  <c r="V37" i="65"/>
  <c r="S37" i="65"/>
  <c r="U37" i="65" s="1"/>
  <c r="B37" i="65"/>
  <c r="A37" i="65"/>
  <c r="AB36" i="65"/>
  <c r="AA36" i="65"/>
  <c r="Y36" i="65"/>
  <c r="X36" i="65"/>
  <c r="S36" i="65"/>
  <c r="B36" i="65"/>
  <c r="A36" i="65"/>
  <c r="AB35" i="65"/>
  <c r="AA35" i="65"/>
  <c r="AA34" i="65" s="1"/>
  <c r="AA33" i="65" s="1"/>
  <c r="Y35" i="65"/>
  <c r="X35" i="65"/>
  <c r="U35" i="65"/>
  <c r="S35" i="65"/>
  <c r="V35" i="65" s="1"/>
  <c r="B35" i="65"/>
  <c r="A35" i="65"/>
  <c r="Z34" i="65"/>
  <c r="W34" i="65"/>
  <c r="W33" i="65" s="1"/>
  <c r="T34" i="65"/>
  <c r="R34" i="65"/>
  <c r="Q34" i="65"/>
  <c r="P34" i="65"/>
  <c r="P33" i="65" s="1"/>
  <c r="O34" i="65"/>
  <c r="O33" i="65" s="1"/>
  <c r="N34" i="65"/>
  <c r="M34" i="65"/>
  <c r="B34" i="65"/>
  <c r="A34" i="65"/>
  <c r="Z33" i="65"/>
  <c r="R33" i="65"/>
  <c r="Q33" i="65"/>
  <c r="N33" i="65"/>
  <c r="N10" i="65" s="1"/>
  <c r="N9" i="65" s="1"/>
  <c r="N8" i="65" s="1"/>
  <c r="N228" i="65" s="1"/>
  <c r="N231" i="65" s="1"/>
  <c r="M33" i="65"/>
  <c r="B33" i="65"/>
  <c r="A33" i="65"/>
  <c r="AB32" i="65"/>
  <c r="AA32" i="65"/>
  <c r="X32" i="65"/>
  <c r="Y32" i="65" s="1"/>
  <c r="V32" i="65"/>
  <c r="U32" i="65"/>
  <c r="S32" i="65"/>
  <c r="B32" i="65"/>
  <c r="A32" i="65"/>
  <c r="AB31" i="65"/>
  <c r="AA31" i="65"/>
  <c r="X31" i="65"/>
  <c r="Y31" i="65" s="1"/>
  <c r="V31" i="65"/>
  <c r="S31" i="65"/>
  <c r="U31" i="65" s="1"/>
  <c r="B31" i="65"/>
  <c r="A31" i="65"/>
  <c r="AB30" i="65"/>
  <c r="AA30" i="65"/>
  <c r="X30" i="65"/>
  <c r="Y30" i="65" s="1"/>
  <c r="S30" i="65"/>
  <c r="B30" i="65"/>
  <c r="A30" i="65"/>
  <c r="AB29" i="65"/>
  <c r="AA29" i="65"/>
  <c r="Y29" i="65"/>
  <c r="X29" i="65"/>
  <c r="U29" i="65"/>
  <c r="S29" i="65"/>
  <c r="V29" i="65" s="1"/>
  <c r="B29" i="65"/>
  <c r="A29" i="65"/>
  <c r="AB28" i="65"/>
  <c r="AA28" i="65"/>
  <c r="X28" i="65"/>
  <c r="Y28" i="65" s="1"/>
  <c r="V28" i="65"/>
  <c r="U28" i="65"/>
  <c r="S28" i="65"/>
  <c r="B28" i="65"/>
  <c r="A28" i="65"/>
  <c r="AB27" i="65"/>
  <c r="AA27" i="65"/>
  <c r="X27" i="65"/>
  <c r="Y27" i="65" s="1"/>
  <c r="V27" i="65"/>
  <c r="S27" i="65"/>
  <c r="U27" i="65" s="1"/>
  <c r="B27" i="65"/>
  <c r="A27" i="65"/>
  <c r="AB26" i="65"/>
  <c r="AA26" i="65"/>
  <c r="X26" i="65"/>
  <c r="Y26" i="65" s="1"/>
  <c r="S26" i="65"/>
  <c r="B26" i="65"/>
  <c r="A26" i="65"/>
  <c r="AB25" i="65"/>
  <c r="AA25" i="65"/>
  <c r="Y25" i="65"/>
  <c r="X25" i="65"/>
  <c r="U25" i="65"/>
  <c r="S25" i="65"/>
  <c r="B25" i="65"/>
  <c r="A25" i="65"/>
  <c r="AB24" i="65"/>
  <c r="AA24" i="65"/>
  <c r="X24" i="65"/>
  <c r="Y24" i="65" s="1"/>
  <c r="V24" i="65"/>
  <c r="U24" i="65"/>
  <c r="S24" i="65"/>
  <c r="B24" i="65"/>
  <c r="A24" i="65"/>
  <c r="AB23" i="65"/>
  <c r="Z23" i="65"/>
  <c r="W23" i="65"/>
  <c r="T23" i="65"/>
  <c r="R23" i="65"/>
  <c r="Q23" i="65"/>
  <c r="P23" i="65"/>
  <c r="O23" i="65"/>
  <c r="N23" i="65"/>
  <c r="M23" i="65"/>
  <c r="M10" i="65" s="1"/>
  <c r="M9" i="65" s="1"/>
  <c r="M8" i="65" s="1"/>
  <c r="B23" i="65"/>
  <c r="A23" i="65"/>
  <c r="AB22" i="65"/>
  <c r="AA22" i="65"/>
  <c r="Y22" i="65"/>
  <c r="X22" i="65"/>
  <c r="S22" i="65"/>
  <c r="V22" i="65" s="1"/>
  <c r="B22" i="65"/>
  <c r="A22" i="65"/>
  <c r="AB21" i="65"/>
  <c r="AA21" i="65"/>
  <c r="X21" i="65"/>
  <c r="Y21" i="65" s="1"/>
  <c r="V21" i="65"/>
  <c r="U21" i="65"/>
  <c r="S21" i="65"/>
  <c r="B21" i="65"/>
  <c r="A21" i="65"/>
  <c r="AB20" i="65"/>
  <c r="AA20" i="65"/>
  <c r="X20" i="65"/>
  <c r="Y20" i="65" s="1"/>
  <c r="V20" i="65"/>
  <c r="S20" i="65"/>
  <c r="U20" i="65" s="1"/>
  <c r="B20" i="65"/>
  <c r="A20" i="65"/>
  <c r="AB19" i="65"/>
  <c r="AA19" i="65"/>
  <c r="Y19" i="65"/>
  <c r="X19" i="65"/>
  <c r="S19" i="65"/>
  <c r="B19" i="65"/>
  <c r="A19" i="65"/>
  <c r="AB18" i="65"/>
  <c r="AA18" i="65"/>
  <c r="Y18" i="65"/>
  <c r="X18" i="65"/>
  <c r="S18" i="65"/>
  <c r="V18" i="65" s="1"/>
  <c r="B18" i="65"/>
  <c r="A18" i="65"/>
  <c r="AB17" i="65"/>
  <c r="AA17" i="65"/>
  <c r="X17" i="65"/>
  <c r="Y17" i="65" s="1"/>
  <c r="V17" i="65"/>
  <c r="U17" i="65"/>
  <c r="S17" i="65"/>
  <c r="B17" i="65"/>
  <c r="A17" i="65"/>
  <c r="AB16" i="65"/>
  <c r="AA16" i="65"/>
  <c r="X16" i="65"/>
  <c r="Y16" i="65" s="1"/>
  <c r="V16" i="65"/>
  <c r="S16" i="65"/>
  <c r="U16" i="65" s="1"/>
  <c r="B16" i="65"/>
  <c r="A16" i="65"/>
  <c r="AB15" i="65"/>
  <c r="AA15" i="65"/>
  <c r="Y15" i="65"/>
  <c r="X15" i="65"/>
  <c r="S15" i="65"/>
  <c r="B15" i="65"/>
  <c r="A15" i="65"/>
  <c r="AB14" i="65"/>
  <c r="AA14" i="65"/>
  <c r="Y14" i="65"/>
  <c r="X14" i="65"/>
  <c r="S14" i="65"/>
  <c r="U14" i="65" s="1"/>
  <c r="B14" i="65"/>
  <c r="A14" i="65"/>
  <c r="AB13" i="65"/>
  <c r="AA13" i="65"/>
  <c r="AA12" i="65" s="1"/>
  <c r="AA11" i="65" s="1"/>
  <c r="X13" i="65"/>
  <c r="Y13" i="65" s="1"/>
  <c r="V13" i="65"/>
  <c r="U13" i="65"/>
  <c r="S13" i="65"/>
  <c r="B13" i="65"/>
  <c r="A13" i="65"/>
  <c r="AB12" i="65"/>
  <c r="Z12" i="65"/>
  <c r="X12" i="65"/>
  <c r="X11" i="65" s="1"/>
  <c r="W12" i="65"/>
  <c r="T12" i="65"/>
  <c r="T11" i="65" s="1"/>
  <c r="R12" i="65"/>
  <c r="Q12" i="65"/>
  <c r="Q11" i="65" s="1"/>
  <c r="P12" i="65"/>
  <c r="P11" i="65" s="1"/>
  <c r="P10" i="65" s="1"/>
  <c r="P9" i="65" s="1"/>
  <c r="O12" i="65"/>
  <c r="N12" i="65"/>
  <c r="M12" i="65"/>
  <c r="M11" i="65" s="1"/>
  <c r="B12" i="65"/>
  <c r="A12" i="65"/>
  <c r="Z11" i="65"/>
  <c r="Z10" i="65" s="1"/>
  <c r="Z9" i="65" s="1"/>
  <c r="Z8" i="65" s="1"/>
  <c r="W11" i="65"/>
  <c r="W10" i="65" s="1"/>
  <c r="W9" i="65" s="1"/>
  <c r="R11" i="65"/>
  <c r="O11" i="65"/>
  <c r="O10" i="65" s="1"/>
  <c r="N11" i="65"/>
  <c r="B11" i="65"/>
  <c r="A11" i="65"/>
  <c r="R10" i="65"/>
  <c r="Q10" i="65"/>
  <c r="Q9" i="65" s="1"/>
  <c r="B10" i="65"/>
  <c r="A10" i="65"/>
  <c r="R9" i="65"/>
  <c r="O9" i="65"/>
  <c r="B9" i="65"/>
  <c r="A9" i="65"/>
  <c r="B8" i="65"/>
  <c r="A8" i="65"/>
  <c r="W49" i="65" l="1"/>
  <c r="W44" i="65" s="1"/>
  <c r="W8" i="65"/>
  <c r="S34" i="65"/>
  <c r="V36" i="65"/>
  <c r="U36" i="65"/>
  <c r="U34" i="65" s="1"/>
  <c r="U33" i="65" s="1"/>
  <c r="S55" i="65"/>
  <c r="P54" i="65"/>
  <c r="AB78" i="65"/>
  <c r="T68" i="65"/>
  <c r="AB97" i="65"/>
  <c r="T96" i="65"/>
  <c r="S96" i="65"/>
  <c r="V97" i="65"/>
  <c r="V116" i="65"/>
  <c r="T115" i="65"/>
  <c r="AB116" i="65"/>
  <c r="Y116" i="65"/>
  <c r="X177" i="65"/>
  <c r="X174" i="65" s="1"/>
  <c r="Y178" i="65"/>
  <c r="U22" i="65"/>
  <c r="X23" i="65"/>
  <c r="V30" i="65"/>
  <c r="U30" i="65"/>
  <c r="T33" i="65"/>
  <c r="AB34" i="65"/>
  <c r="O44" i="65"/>
  <c r="Q49" i="65"/>
  <c r="V52" i="65"/>
  <c r="U52" i="65"/>
  <c r="U59" i="65"/>
  <c r="V59" i="65"/>
  <c r="AA63" i="65"/>
  <c r="AA50" i="65" s="1"/>
  <c r="AA49" i="65" s="1"/>
  <c r="AA44" i="65" s="1"/>
  <c r="V76" i="65"/>
  <c r="U76" i="65"/>
  <c r="S75" i="65"/>
  <c r="V75" i="65" s="1"/>
  <c r="S171" i="65"/>
  <c r="V171" i="65" s="1"/>
  <c r="V172" i="65"/>
  <c r="S12" i="65"/>
  <c r="V14" i="65"/>
  <c r="V156" i="65"/>
  <c r="S154" i="65"/>
  <c r="V154" i="65" s="1"/>
  <c r="Y177" i="65"/>
  <c r="V40" i="65"/>
  <c r="U40" i="65"/>
  <c r="Q47" i="65"/>
  <c r="Q46" i="65" s="1"/>
  <c r="Q45" i="65" s="1"/>
  <c r="S48" i="65"/>
  <c r="R49" i="65"/>
  <c r="R44" i="65" s="1"/>
  <c r="V51" i="65"/>
  <c r="V56" i="65"/>
  <c r="U56" i="65"/>
  <c r="V69" i="65"/>
  <c r="V81" i="65"/>
  <c r="U81" i="65"/>
  <c r="P85" i="65"/>
  <c r="S90" i="65"/>
  <c r="AB108" i="65"/>
  <c r="Y108" i="65"/>
  <c r="T107" i="65"/>
  <c r="V111" i="65"/>
  <c r="U111" i="65"/>
  <c r="U108" i="65" s="1"/>
  <c r="U107" i="65" s="1"/>
  <c r="U106" i="65" s="1"/>
  <c r="T137" i="65"/>
  <c r="Y138" i="65"/>
  <c r="AB138" i="65"/>
  <c r="S138" i="65"/>
  <c r="V139" i="65"/>
  <c r="U139" i="65"/>
  <c r="U138" i="65" s="1"/>
  <c r="U137" i="65" s="1"/>
  <c r="Z136" i="65"/>
  <c r="Z135" i="65" s="1"/>
  <c r="Z118" i="65" s="1"/>
  <c r="Z228" i="65" s="1"/>
  <c r="Z231" i="65" s="1"/>
  <c r="Y169" i="65"/>
  <c r="AB169" i="65"/>
  <c r="T166" i="65"/>
  <c r="O8" i="65"/>
  <c r="V15" i="65"/>
  <c r="U15" i="65"/>
  <c r="AB46" i="65"/>
  <c r="T45" i="65"/>
  <c r="V19" i="65"/>
  <c r="U19" i="65"/>
  <c r="Y11" i="65"/>
  <c r="AB11" i="65"/>
  <c r="Y12" i="65"/>
  <c r="U18" i="65"/>
  <c r="U12" i="65" s="1"/>
  <c r="U11" i="65" s="1"/>
  <c r="AA23" i="65"/>
  <c r="AA10" i="65" s="1"/>
  <c r="AA9" i="65" s="1"/>
  <c r="S23" i="65"/>
  <c r="V23" i="65" s="1"/>
  <c r="V25" i="65"/>
  <c r="V26" i="65"/>
  <c r="U26" i="65"/>
  <c r="U23" i="65" s="1"/>
  <c r="X34" i="65"/>
  <c r="X33" i="65" s="1"/>
  <c r="P50" i="65"/>
  <c r="P49" i="65" s="1"/>
  <c r="P44" i="65" s="1"/>
  <c r="P8" i="65" s="1"/>
  <c r="P228" i="65" s="1"/>
  <c r="P231" i="65" s="1"/>
  <c r="AB50" i="65"/>
  <c r="T49" i="65"/>
  <c r="P68" i="65"/>
  <c r="U83" i="65"/>
  <c r="V83" i="65"/>
  <c r="V89" i="65"/>
  <c r="U89" i="65"/>
  <c r="S85" i="65"/>
  <c r="V85" i="65" s="1"/>
  <c r="V95" i="65"/>
  <c r="U95" i="65"/>
  <c r="U94" i="65" s="1"/>
  <c r="U93" i="65" s="1"/>
  <c r="S94" i="65"/>
  <c r="Q92" i="65"/>
  <c r="Y99" i="65"/>
  <c r="X98" i="65"/>
  <c r="W92" i="65"/>
  <c r="U104" i="65"/>
  <c r="U103" i="65" s="1"/>
  <c r="U102" i="65" s="1"/>
  <c r="V104" i="65"/>
  <c r="S103" i="65"/>
  <c r="V163" i="65"/>
  <c r="U163" i="65"/>
  <c r="U162" i="65" s="1"/>
  <c r="U161" i="65" s="1"/>
  <c r="S162" i="65"/>
  <c r="V198" i="65"/>
  <c r="AB47" i="65"/>
  <c r="AB51" i="65"/>
  <c r="AB54" i="65"/>
  <c r="Y63" i="65"/>
  <c r="Y69" i="65"/>
  <c r="R92" i="65"/>
  <c r="V125" i="65"/>
  <c r="U125" i="65"/>
  <c r="U124" i="65" s="1"/>
  <c r="U132" i="65"/>
  <c r="O136" i="65"/>
  <c r="O135" i="65" s="1"/>
  <c r="O118" i="65" s="1"/>
  <c r="V144" i="65"/>
  <c r="U144" i="65"/>
  <c r="U143" i="65" s="1"/>
  <c r="W145" i="65"/>
  <c r="W136" i="65" s="1"/>
  <c r="W135" i="65" s="1"/>
  <c r="W118" i="65" s="1"/>
  <c r="V203" i="65"/>
  <c r="U203" i="65"/>
  <c r="U202" i="65" s="1"/>
  <c r="S202" i="65"/>
  <c r="V202" i="65" s="1"/>
  <c r="V226" i="65"/>
  <c r="S225" i="65"/>
  <c r="U41" i="65"/>
  <c r="Y47" i="65"/>
  <c r="Y51" i="65"/>
  <c r="U53" i="65"/>
  <c r="S57" i="65"/>
  <c r="V57" i="65" s="1"/>
  <c r="U60" i="65"/>
  <c r="U77" i="65"/>
  <c r="AB85" i="65"/>
  <c r="Y94" i="65"/>
  <c r="U100" i="65"/>
  <c r="U101" i="65"/>
  <c r="Y103" i="65"/>
  <c r="U105" i="65"/>
  <c r="S112" i="65"/>
  <c r="V112" i="65" s="1"/>
  <c r="AB112" i="65"/>
  <c r="U113" i="65"/>
  <c r="U112" i="65" s="1"/>
  <c r="V119" i="65"/>
  <c r="O121" i="65"/>
  <c r="S121" i="65"/>
  <c r="V121" i="65" s="1"/>
  <c r="W121" i="65"/>
  <c r="Z121" i="65"/>
  <c r="X137" i="65"/>
  <c r="V145" i="65"/>
  <c r="V149" i="65"/>
  <c r="U149" i="65"/>
  <c r="U148" i="65" s="1"/>
  <c r="V205" i="65"/>
  <c r="U205" i="65"/>
  <c r="U204" i="65" s="1"/>
  <c r="S204" i="65"/>
  <c r="V204" i="65" s="1"/>
  <c r="AB63" i="65"/>
  <c r="U63" i="65"/>
  <c r="W68" i="65"/>
  <c r="AB69" i="65"/>
  <c r="U69" i="65"/>
  <c r="X78" i="65"/>
  <c r="X68" i="65" s="1"/>
  <c r="X49" i="65" s="1"/>
  <c r="X44" i="65" s="1"/>
  <c r="S80" i="65"/>
  <c r="V100" i="65"/>
  <c r="W106" i="65"/>
  <c r="AA108" i="65"/>
  <c r="AA107" i="65" s="1"/>
  <c r="AA106" i="65" s="1"/>
  <c r="S108" i="65"/>
  <c r="AB121" i="65"/>
  <c r="Y145" i="65"/>
  <c r="Y146" i="65"/>
  <c r="X146" i="65"/>
  <c r="X145" i="65" s="1"/>
  <c r="Y147" i="65"/>
  <c r="V170" i="65"/>
  <c r="S169" i="65"/>
  <c r="U170" i="65"/>
  <c r="U169" i="65" s="1"/>
  <c r="V173" i="65"/>
  <c r="U173" i="65"/>
  <c r="U172" i="65" s="1"/>
  <c r="U171" i="65" s="1"/>
  <c r="V179" i="65"/>
  <c r="S174" i="65"/>
  <c r="Z181" i="65"/>
  <c r="AB182" i="65"/>
  <c r="V199" i="65"/>
  <c r="U199" i="65"/>
  <c r="U198" i="65" s="1"/>
  <c r="AB119" i="65"/>
  <c r="AB124" i="65"/>
  <c r="AB143" i="65"/>
  <c r="AB148" i="65"/>
  <c r="T154" i="65"/>
  <c r="Y156" i="65"/>
  <c r="V158" i="65"/>
  <c r="U158" i="65"/>
  <c r="W166" i="65"/>
  <c r="S182" i="65"/>
  <c r="V183" i="65"/>
  <c r="U183" i="65"/>
  <c r="R186" i="65"/>
  <c r="R136" i="65" s="1"/>
  <c r="R135" i="65" s="1"/>
  <c r="R118" i="65" s="1"/>
  <c r="V201" i="65"/>
  <c r="U201" i="65"/>
  <c r="U200" i="65" s="1"/>
  <c r="S207" i="65"/>
  <c r="P206" i="65"/>
  <c r="Y212" i="65"/>
  <c r="Y213" i="65"/>
  <c r="X212" i="65"/>
  <c r="Y119" i="65"/>
  <c r="AB122" i="65"/>
  <c r="U123" i="65"/>
  <c r="U122" i="65" s="1"/>
  <c r="AB130" i="65"/>
  <c r="U131" i="65"/>
  <c r="U130" i="65" s="1"/>
  <c r="U121" i="65" s="1"/>
  <c r="AB141" i="65"/>
  <c r="U142" i="65"/>
  <c r="U141" i="65" s="1"/>
  <c r="AB146" i="65"/>
  <c r="U147" i="65"/>
  <c r="U146" i="65" s="1"/>
  <c r="Y152" i="65"/>
  <c r="W154" i="65"/>
  <c r="AB156" i="65"/>
  <c r="U157" i="65"/>
  <c r="U156" i="65" s="1"/>
  <c r="U154" i="65" s="1"/>
  <c r="V168" i="65"/>
  <c r="U168" i="65"/>
  <c r="U167" i="65" s="1"/>
  <c r="Y173" i="65"/>
  <c r="T174" i="65"/>
  <c r="AB179" i="65"/>
  <c r="U180" i="65"/>
  <c r="U179" i="65" s="1"/>
  <c r="Y187" i="65"/>
  <c r="Y199" i="65"/>
  <c r="P200" i="65"/>
  <c r="P197" i="65" s="1"/>
  <c r="P136" i="65" s="1"/>
  <c r="P135" i="65" s="1"/>
  <c r="P118" i="65" s="1"/>
  <c r="Y200" i="65"/>
  <c r="AB200" i="65"/>
  <c r="Y214" i="65"/>
  <c r="Q213" i="65"/>
  <c r="Q212" i="65" s="1"/>
  <c r="Q136" i="65" s="1"/>
  <c r="Q135" i="65" s="1"/>
  <c r="Q118" i="65" s="1"/>
  <c r="S215" i="65"/>
  <c r="S132" i="65"/>
  <c r="V132" i="65" s="1"/>
  <c r="U151" i="65"/>
  <c r="U150" i="65" s="1"/>
  <c r="V152" i="65"/>
  <c r="X156" i="65"/>
  <c r="X154" i="65" s="1"/>
  <c r="Y159" i="65"/>
  <c r="O161" i="65"/>
  <c r="AB164" i="65"/>
  <c r="U165" i="65"/>
  <c r="U164" i="65" s="1"/>
  <c r="O166" i="65"/>
  <c r="V178" i="65"/>
  <c r="U178" i="65"/>
  <c r="U177" i="65" s="1"/>
  <c r="U174" i="65" s="1"/>
  <c r="Y193" i="65"/>
  <c r="T186" i="65"/>
  <c r="V194" i="65"/>
  <c r="S193" i="65"/>
  <c r="M186" i="65"/>
  <c r="M136" i="65" s="1"/>
  <c r="M135" i="65" s="1"/>
  <c r="M118" i="65" s="1"/>
  <c r="M228" i="65" s="1"/>
  <c r="M231" i="65" s="1"/>
  <c r="Q186" i="65"/>
  <c r="P202" i="65"/>
  <c r="AB202" i="65"/>
  <c r="AB206" i="65"/>
  <c r="Y207" i="65"/>
  <c r="X206" i="65"/>
  <c r="Y206" i="65" s="1"/>
  <c r="U217" i="65"/>
  <c r="AB167" i="65"/>
  <c r="AB172" i="65"/>
  <c r="AB177" i="65"/>
  <c r="V192" i="65"/>
  <c r="U192" i="65"/>
  <c r="U191" i="65" s="1"/>
  <c r="U186" i="65" s="1"/>
  <c r="T197" i="65"/>
  <c r="Y198" i="65"/>
  <c r="AA197" i="65"/>
  <c r="AA136" i="65" s="1"/>
  <c r="AA135" i="65" s="1"/>
  <c r="AA118" i="65" s="1"/>
  <c r="S209" i="65"/>
  <c r="V209" i="65" s="1"/>
  <c r="V210" i="65"/>
  <c r="T225" i="65"/>
  <c r="Y226" i="65"/>
  <c r="T181" i="65"/>
  <c r="U184" i="65"/>
  <c r="V187" i="65"/>
  <c r="X186" i="65"/>
  <c r="W197" i="65"/>
  <c r="AB198" i="65"/>
  <c r="Y204" i="65"/>
  <c r="U208" i="65"/>
  <c r="U210" i="65"/>
  <c r="U209" i="65" s="1"/>
  <c r="V211" i="65"/>
  <c r="S214" i="65"/>
  <c r="Y217" i="65"/>
  <c r="AB217" i="65"/>
  <c r="Y218" i="65"/>
  <c r="AB226" i="65"/>
  <c r="U227" i="65"/>
  <c r="U226" i="65" s="1"/>
  <c r="U225" i="65" s="1"/>
  <c r="U224" i="65" s="1"/>
  <c r="U223" i="65" s="1"/>
  <c r="AA8" i="65" l="1"/>
  <c r="AA228" i="65" s="1"/>
  <c r="AA231" i="65" s="1"/>
  <c r="U10" i="65"/>
  <c r="U9" i="65" s="1"/>
  <c r="V225" i="65"/>
  <c r="S224" i="65"/>
  <c r="X197" i="65"/>
  <c r="Y33" i="65"/>
  <c r="AB33" i="65"/>
  <c r="T10" i="65"/>
  <c r="AB68" i="65"/>
  <c r="Y68" i="65"/>
  <c r="Y181" i="65"/>
  <c r="AB181" i="65"/>
  <c r="U145" i="65"/>
  <c r="AB166" i="65"/>
  <c r="Y166" i="65"/>
  <c r="U51" i="65"/>
  <c r="Y115" i="65"/>
  <c r="AB115" i="65"/>
  <c r="V115" i="65"/>
  <c r="T114" i="65"/>
  <c r="T92" i="65"/>
  <c r="AB96" i="65"/>
  <c r="AB197" i="65"/>
  <c r="Y197" i="65"/>
  <c r="V193" i="65"/>
  <c r="S186" i="65"/>
  <c r="V186" i="65" s="1"/>
  <c r="S181" i="65"/>
  <c r="V181" i="65" s="1"/>
  <c r="V182" i="65"/>
  <c r="V169" i="65"/>
  <c r="S166" i="65"/>
  <c r="V166" i="65" s="1"/>
  <c r="X136" i="65"/>
  <c r="X135" i="65" s="1"/>
  <c r="X118" i="65" s="1"/>
  <c r="T44" i="65"/>
  <c r="Y49" i="65"/>
  <c r="AB49" i="65"/>
  <c r="Y45" i="65"/>
  <c r="AB45" i="65"/>
  <c r="O228" i="65"/>
  <c r="O231" i="65" s="1"/>
  <c r="V96" i="65"/>
  <c r="W228" i="65"/>
  <c r="W231" i="65" s="1"/>
  <c r="Y174" i="65"/>
  <c r="AB174" i="65"/>
  <c r="AB186" i="65"/>
  <c r="Y186" i="65"/>
  <c r="U207" i="65"/>
  <c r="U206" i="65" s="1"/>
  <c r="U197" i="65" s="1"/>
  <c r="V207" i="65"/>
  <c r="S206" i="65"/>
  <c r="U182" i="65"/>
  <c r="U181" i="65" s="1"/>
  <c r="AB154" i="65"/>
  <c r="Y154" i="65"/>
  <c r="U98" i="65"/>
  <c r="U97" i="65" s="1"/>
  <c r="U96" i="65" s="1"/>
  <c r="U92" i="65" s="1"/>
  <c r="V94" i="65"/>
  <c r="S93" i="65"/>
  <c r="V93" i="65" s="1"/>
  <c r="Y137" i="65"/>
  <c r="AB137" i="65"/>
  <c r="T136" i="65"/>
  <c r="U90" i="65"/>
  <c r="U85" i="65" s="1"/>
  <c r="V90" i="65"/>
  <c r="Y78" i="65"/>
  <c r="R8" i="65"/>
  <c r="R228" i="65" s="1"/>
  <c r="R231" i="65" s="1"/>
  <c r="V34" i="65"/>
  <c r="S33" i="65"/>
  <c r="V33" i="65" s="1"/>
  <c r="V214" i="65"/>
  <c r="U214" i="65"/>
  <c r="S213" i="65"/>
  <c r="AB225" i="65"/>
  <c r="Y225" i="65"/>
  <c r="T224" i="65"/>
  <c r="U215" i="65"/>
  <c r="V215" i="65"/>
  <c r="V174" i="65"/>
  <c r="U166" i="65"/>
  <c r="V108" i="65"/>
  <c r="S107" i="65"/>
  <c r="S78" i="65"/>
  <c r="V80" i="65"/>
  <c r="U80" i="65"/>
  <c r="U78" i="65" s="1"/>
  <c r="S161" i="65"/>
  <c r="V161" i="65" s="1"/>
  <c r="V162" i="65"/>
  <c r="S102" i="65"/>
  <c r="V102" i="65" s="1"/>
  <c r="V103" i="65"/>
  <c r="X97" i="65"/>
  <c r="Y98" i="65"/>
  <c r="V138" i="65"/>
  <c r="S137" i="65"/>
  <c r="Y107" i="65"/>
  <c r="AB107" i="65"/>
  <c r="T106" i="65"/>
  <c r="V48" i="65"/>
  <c r="U48" i="65"/>
  <c r="U47" i="65" s="1"/>
  <c r="U46" i="65" s="1"/>
  <c r="U45" i="65" s="1"/>
  <c r="S47" i="65"/>
  <c r="V12" i="65"/>
  <c r="S11" i="65"/>
  <c r="U75" i="65"/>
  <c r="U68" i="65" s="1"/>
  <c r="U57" i="65"/>
  <c r="Q44" i="65"/>
  <c r="Q8" i="65" s="1"/>
  <c r="Q228" i="65" s="1"/>
  <c r="Q231" i="65" s="1"/>
  <c r="Y34" i="65"/>
  <c r="X10" i="65"/>
  <c r="X9" i="65" s="1"/>
  <c r="V55" i="65"/>
  <c r="U55" i="65"/>
  <c r="U54" i="65" s="1"/>
  <c r="S54" i="65"/>
  <c r="Y23" i="65"/>
  <c r="AB92" i="65" l="1"/>
  <c r="Y10" i="65"/>
  <c r="T9" i="65"/>
  <c r="AB10" i="65"/>
  <c r="V47" i="65"/>
  <c r="S46" i="65"/>
  <c r="U213" i="65"/>
  <c r="U212" i="65" s="1"/>
  <c r="U136" i="65" s="1"/>
  <c r="U135" i="65" s="1"/>
  <c r="U118" i="65" s="1"/>
  <c r="T135" i="65"/>
  <c r="Y136" i="65"/>
  <c r="AB136" i="65"/>
  <c r="X96" i="65"/>
  <c r="Y97" i="65"/>
  <c r="V206" i="65"/>
  <c r="S197" i="65"/>
  <c r="V197" i="65" s="1"/>
  <c r="Y114" i="65"/>
  <c r="AB114" i="65"/>
  <c r="V114" i="65"/>
  <c r="U50" i="65"/>
  <c r="U49" i="65" s="1"/>
  <c r="U44" i="65" s="1"/>
  <c r="U8" i="65" s="1"/>
  <c r="Y106" i="65"/>
  <c r="AB106" i="65"/>
  <c r="V213" i="65"/>
  <c r="S212" i="65"/>
  <c r="V212" i="65" s="1"/>
  <c r="V224" i="65"/>
  <c r="S223" i="65"/>
  <c r="V223" i="65" s="1"/>
  <c r="V78" i="65"/>
  <c r="S68" i="65"/>
  <c r="V68" i="65" s="1"/>
  <c r="T223" i="65"/>
  <c r="Y224" i="65"/>
  <c r="AB224" i="65"/>
  <c r="AB44" i="65"/>
  <c r="Y44" i="65"/>
  <c r="S106" i="65"/>
  <c r="V106" i="65" s="1"/>
  <c r="V107" i="65"/>
  <c r="V54" i="65"/>
  <c r="S50" i="65"/>
  <c r="S10" i="65"/>
  <c r="V11" i="65"/>
  <c r="V137" i="65"/>
  <c r="S92" i="65"/>
  <c r="V92" i="65" s="1"/>
  <c r="U228" i="65" l="1"/>
  <c r="S9" i="65"/>
  <c r="V10" i="65"/>
  <c r="S136" i="65"/>
  <c r="AB223" i="65"/>
  <c r="Y223" i="65"/>
  <c r="Y135" i="65"/>
  <c r="AB135" i="65"/>
  <c r="T118" i="65"/>
  <c r="V46" i="65"/>
  <c r="S45" i="65"/>
  <c r="V45" i="65" s="1"/>
  <c r="V50" i="65"/>
  <c r="S49" i="65"/>
  <c r="X92" i="65"/>
  <c r="Y96" i="65"/>
  <c r="Y9" i="65"/>
  <c r="AB9" i="65"/>
  <c r="T8" i="65"/>
  <c r="Y92" i="65" l="1"/>
  <c r="X8" i="65"/>
  <c r="X228" i="65" s="1"/>
  <c r="X231" i="65" s="1"/>
  <c r="V9" i="65"/>
  <c r="V136" i="65"/>
  <c r="S135" i="65"/>
  <c r="T228" i="65"/>
  <c r="AB8" i="65"/>
  <c r="V49" i="65"/>
  <c r="S44" i="65"/>
  <c r="V44" i="65" s="1"/>
  <c r="AB118" i="65"/>
  <c r="Y118" i="65"/>
  <c r="V135" i="65" l="1"/>
  <c r="S118" i="65"/>
  <c r="V118" i="65" s="1"/>
  <c r="Y228" i="65"/>
  <c r="Y230" i="65" s="1"/>
  <c r="T231" i="65"/>
  <c r="AB228" i="65"/>
  <c r="AB230" i="65" s="1"/>
  <c r="S8" i="65"/>
  <c r="Y8" i="65"/>
  <c r="S228" i="65" l="1"/>
  <c r="V8" i="65"/>
  <c r="U230" i="65" l="1"/>
  <c r="U231" i="65" s="1"/>
  <c r="S231" i="65"/>
  <c r="V228" i="65"/>
  <c r="V230" i="65" s="1"/>
  <c r="AA228" i="63" l="1"/>
  <c r="X228" i="63"/>
  <c r="Q228" i="63"/>
  <c r="P228" i="63"/>
  <c r="AB225" i="63"/>
  <c r="AA225" i="63"/>
  <c r="Y225" i="63"/>
  <c r="X225" i="63"/>
  <c r="X224" i="63" s="1"/>
  <c r="S225" i="63"/>
  <c r="S224" i="63" s="1"/>
  <c r="B225" i="63"/>
  <c r="A225" i="63"/>
  <c r="AA224" i="63"/>
  <c r="AA223" i="63" s="1"/>
  <c r="Z224" i="63"/>
  <c r="Z223" i="63" s="1"/>
  <c r="Z222" i="63" s="1"/>
  <c r="Z221" i="63" s="1"/>
  <c r="W224" i="63"/>
  <c r="W223" i="63" s="1"/>
  <c r="T224" i="63"/>
  <c r="AB224" i="63" s="1"/>
  <c r="R224" i="63"/>
  <c r="R223" i="63" s="1"/>
  <c r="R222" i="63" s="1"/>
  <c r="R221" i="63" s="1"/>
  <c r="Q224" i="63"/>
  <c r="P224" i="63"/>
  <c r="O224" i="63"/>
  <c r="O223" i="63" s="1"/>
  <c r="N224" i="63"/>
  <c r="N223" i="63" s="1"/>
  <c r="N222" i="63" s="1"/>
  <c r="N221" i="63" s="1"/>
  <c r="M224" i="63"/>
  <c r="B224" i="63"/>
  <c r="A224" i="63"/>
  <c r="T223" i="63"/>
  <c r="Q223" i="63"/>
  <c r="Q222" i="63" s="1"/>
  <c r="P223" i="63"/>
  <c r="P222" i="63" s="1"/>
  <c r="P221" i="63" s="1"/>
  <c r="M223" i="63"/>
  <c r="M222" i="63" s="1"/>
  <c r="B223" i="63"/>
  <c r="A223" i="63"/>
  <c r="AA222" i="63"/>
  <c r="AA221" i="63" s="1"/>
  <c r="W222" i="63"/>
  <c r="W221" i="63" s="1"/>
  <c r="O222" i="63"/>
  <c r="O221" i="63" s="1"/>
  <c r="B222" i="63"/>
  <c r="A222" i="63"/>
  <c r="Q221" i="63"/>
  <c r="M221" i="63"/>
  <c r="B221" i="63"/>
  <c r="A221" i="63"/>
  <c r="AB220" i="63"/>
  <c r="AA220" i="63"/>
  <c r="Y220" i="63"/>
  <c r="X220" i="63"/>
  <c r="U220" i="63"/>
  <c r="U218" i="63" s="1"/>
  <c r="S220" i="63"/>
  <c r="S218" i="63" s="1"/>
  <c r="V218" i="63" s="1"/>
  <c r="B220" i="63"/>
  <c r="A220" i="63"/>
  <c r="AB219" i="63"/>
  <c r="AA219" i="63"/>
  <c r="AA218" i="63" s="1"/>
  <c r="Y219" i="63"/>
  <c r="X219" i="63"/>
  <c r="V219" i="63"/>
  <c r="U219" i="63"/>
  <c r="S219" i="63"/>
  <c r="B219" i="63"/>
  <c r="A219" i="63"/>
  <c r="Z218" i="63"/>
  <c r="Y218" i="63"/>
  <c r="X218" i="63"/>
  <c r="W218" i="63"/>
  <c r="T218" i="63"/>
  <c r="AB218" i="63" s="1"/>
  <c r="R218" i="63"/>
  <c r="Q218" i="63"/>
  <c r="Q215" i="63" s="1"/>
  <c r="P218" i="63"/>
  <c r="O218" i="63"/>
  <c r="N218" i="63"/>
  <c r="M218" i="63"/>
  <c r="M215" i="63" s="1"/>
  <c r="B218" i="63"/>
  <c r="A218" i="63"/>
  <c r="AB217" i="63"/>
  <c r="AA217" i="63"/>
  <c r="AA216" i="63" s="1"/>
  <c r="AA215" i="63" s="1"/>
  <c r="Y217" i="63"/>
  <c r="X217" i="63"/>
  <c r="U217" i="63"/>
  <c r="U216" i="63" s="1"/>
  <c r="S217" i="63"/>
  <c r="V217" i="63" s="1"/>
  <c r="B217" i="63"/>
  <c r="A217" i="63"/>
  <c r="Z216" i="63"/>
  <c r="X216" i="63"/>
  <c r="X215" i="63" s="1"/>
  <c r="W216" i="63"/>
  <c r="W215" i="63" s="1"/>
  <c r="T216" i="63"/>
  <c r="S216" i="63"/>
  <c r="V216" i="63" s="1"/>
  <c r="R216" i="63"/>
  <c r="Q216" i="63"/>
  <c r="P216" i="63"/>
  <c r="P215" i="63" s="1"/>
  <c r="O216" i="63"/>
  <c r="O215" i="63" s="1"/>
  <c r="N216" i="63"/>
  <c r="M216" i="63"/>
  <c r="B216" i="63"/>
  <c r="A216" i="63"/>
  <c r="Z215" i="63"/>
  <c r="R215" i="63"/>
  <c r="N215" i="63"/>
  <c r="B215" i="63"/>
  <c r="A215" i="63"/>
  <c r="AB214" i="63"/>
  <c r="AA214" i="63"/>
  <c r="Y214" i="63"/>
  <c r="X214" i="63"/>
  <c r="V214" i="63"/>
  <c r="U214" i="63"/>
  <c r="S214" i="63"/>
  <c r="B214" i="63"/>
  <c r="AB213" i="63"/>
  <c r="AA213" i="63"/>
  <c r="Y213" i="63"/>
  <c r="X213" i="63"/>
  <c r="V213" i="63"/>
  <c r="U213" i="63"/>
  <c r="S213" i="63"/>
  <c r="B213" i="63"/>
  <c r="AB212" i="63"/>
  <c r="AA212" i="63"/>
  <c r="Y212" i="63"/>
  <c r="X212" i="63"/>
  <c r="V212" i="63"/>
  <c r="U212" i="63"/>
  <c r="U211" i="63" s="1"/>
  <c r="U210" i="63" s="1"/>
  <c r="S212" i="63"/>
  <c r="B212" i="63"/>
  <c r="AA211" i="63"/>
  <c r="AA210" i="63" s="1"/>
  <c r="Z211" i="63"/>
  <c r="X211" i="63"/>
  <c r="X210" i="63" s="1"/>
  <c r="W211" i="63"/>
  <c r="W210" i="63" s="1"/>
  <c r="T211" i="63"/>
  <c r="AB211" i="63" s="1"/>
  <c r="S211" i="63"/>
  <c r="R211" i="63"/>
  <c r="Q211" i="63"/>
  <c r="P211" i="63"/>
  <c r="P210" i="63" s="1"/>
  <c r="O211" i="63"/>
  <c r="O210" i="63" s="1"/>
  <c r="N211" i="63"/>
  <c r="M211" i="63"/>
  <c r="B211" i="63"/>
  <c r="Z210" i="63"/>
  <c r="R210" i="63"/>
  <c r="Q210" i="63"/>
  <c r="N210" i="63"/>
  <c r="M210" i="63"/>
  <c r="B210" i="63"/>
  <c r="AB209" i="63"/>
  <c r="AA209" i="63"/>
  <c r="Y209" i="63"/>
  <c r="X209" i="63"/>
  <c r="S209" i="63"/>
  <c r="B209" i="63"/>
  <c r="A209" i="63"/>
  <c r="AB208" i="63"/>
  <c r="AA208" i="63"/>
  <c r="AA207" i="63" s="1"/>
  <c r="Y208" i="63"/>
  <c r="X208" i="63"/>
  <c r="U208" i="63"/>
  <c r="S208" i="63"/>
  <c r="V208" i="63" s="1"/>
  <c r="B208" i="63"/>
  <c r="A208" i="63"/>
  <c r="Z207" i="63"/>
  <c r="X207" i="63"/>
  <c r="W207" i="63"/>
  <c r="T207" i="63"/>
  <c r="Y207" i="63" s="1"/>
  <c r="R207" i="63"/>
  <c r="Q207" i="63"/>
  <c r="P207" i="63"/>
  <c r="O207" i="63"/>
  <c r="N207" i="63"/>
  <c r="M207" i="63"/>
  <c r="B207" i="63"/>
  <c r="A207" i="63"/>
  <c r="AB206" i="63"/>
  <c r="AA206" i="63"/>
  <c r="Y206" i="63"/>
  <c r="X206" i="63"/>
  <c r="S206" i="63"/>
  <c r="B206" i="63"/>
  <c r="A206" i="63"/>
  <c r="AB205" i="63"/>
  <c r="AA205" i="63"/>
  <c r="AA204" i="63" s="1"/>
  <c r="Y205" i="63"/>
  <c r="X205" i="63"/>
  <c r="U205" i="63"/>
  <c r="S205" i="63"/>
  <c r="V205" i="63" s="1"/>
  <c r="B205" i="63"/>
  <c r="A205" i="63"/>
  <c r="Z204" i="63"/>
  <c r="X204" i="63"/>
  <c r="W204" i="63"/>
  <c r="T204" i="63"/>
  <c r="Y204" i="63" s="1"/>
  <c r="R204" i="63"/>
  <c r="Q204" i="63"/>
  <c r="P204" i="63"/>
  <c r="O204" i="63"/>
  <c r="N204" i="63"/>
  <c r="M204" i="63"/>
  <c r="B204" i="63"/>
  <c r="A204" i="63"/>
  <c r="AB203" i="63"/>
  <c r="AA203" i="63"/>
  <c r="Y203" i="63"/>
  <c r="X203" i="63"/>
  <c r="X202" i="63" s="1"/>
  <c r="Y202" i="63" s="1"/>
  <c r="S203" i="63"/>
  <c r="B203" i="63"/>
  <c r="A203" i="63"/>
  <c r="AA202" i="63"/>
  <c r="Z202" i="63"/>
  <c r="W202" i="63"/>
  <c r="T202" i="63"/>
  <c r="AB202" i="63" s="1"/>
  <c r="S202" i="63"/>
  <c r="V202" i="63" s="1"/>
  <c r="R202" i="63"/>
  <c r="Q202" i="63"/>
  <c r="P202" i="63"/>
  <c r="O202" i="63"/>
  <c r="N202" i="63"/>
  <c r="M202" i="63"/>
  <c r="B202" i="63"/>
  <c r="A202" i="63"/>
  <c r="AB201" i="63"/>
  <c r="AA201" i="63"/>
  <c r="X201" i="63"/>
  <c r="V201" i="63"/>
  <c r="S201" i="63"/>
  <c r="U201" i="63" s="1"/>
  <c r="B201" i="63"/>
  <c r="A201" i="63"/>
  <c r="AA200" i="63"/>
  <c r="Z200" i="63"/>
  <c r="W200" i="63"/>
  <c r="V200" i="63"/>
  <c r="U200" i="63"/>
  <c r="T200" i="63"/>
  <c r="AB200" i="63" s="1"/>
  <c r="S200" i="63"/>
  <c r="R200" i="63"/>
  <c r="Q200" i="63"/>
  <c r="P200" i="63"/>
  <c r="O200" i="63"/>
  <c r="N200" i="63"/>
  <c r="N195" i="63" s="1"/>
  <c r="M200" i="63"/>
  <c r="B200" i="63"/>
  <c r="A200" i="63"/>
  <c r="AB199" i="63"/>
  <c r="AA199" i="63"/>
  <c r="AA198" i="63" s="1"/>
  <c r="Y199" i="63"/>
  <c r="X199" i="63"/>
  <c r="V199" i="63"/>
  <c r="U199" i="63"/>
  <c r="S199" i="63"/>
  <c r="B199" i="63"/>
  <c r="A199" i="63"/>
  <c r="Z198" i="63"/>
  <c r="X198" i="63"/>
  <c r="W198" i="63"/>
  <c r="U198" i="63"/>
  <c r="T198" i="63"/>
  <c r="AB198" i="63" s="1"/>
  <c r="S198" i="63"/>
  <c r="V198" i="63" s="1"/>
  <c r="R198" i="63"/>
  <c r="Q198" i="63"/>
  <c r="Q195" i="63" s="1"/>
  <c r="P198" i="63"/>
  <c r="O198" i="63"/>
  <c r="N198" i="63"/>
  <c r="M198" i="63"/>
  <c r="B198" i="63"/>
  <c r="A198" i="63"/>
  <c r="AB197" i="63"/>
  <c r="AA197" i="63"/>
  <c r="Y197" i="63"/>
  <c r="X197" i="63"/>
  <c r="S197" i="63"/>
  <c r="V197" i="63" s="1"/>
  <c r="B197" i="63"/>
  <c r="A197" i="63"/>
  <c r="AA196" i="63"/>
  <c r="Z196" i="63"/>
  <c r="X196" i="63"/>
  <c r="W196" i="63"/>
  <c r="W195" i="63" s="1"/>
  <c r="T196" i="63"/>
  <c r="R196" i="63"/>
  <c r="Q196" i="63"/>
  <c r="P196" i="63"/>
  <c r="P195" i="63" s="1"/>
  <c r="O196" i="63"/>
  <c r="N196" i="63"/>
  <c r="M196" i="63"/>
  <c r="B196" i="63"/>
  <c r="A196" i="63"/>
  <c r="Z195" i="63"/>
  <c r="R195" i="63"/>
  <c r="M195" i="63"/>
  <c r="B195" i="63"/>
  <c r="A195" i="63"/>
  <c r="AB194" i="63"/>
  <c r="AA194" i="63"/>
  <c r="AA193" i="63" s="1"/>
  <c r="Y194" i="63"/>
  <c r="X194" i="63"/>
  <c r="V194" i="63"/>
  <c r="U194" i="63"/>
  <c r="S194" i="63"/>
  <c r="B194" i="63"/>
  <c r="A194" i="63"/>
  <c r="AB193" i="63"/>
  <c r="Z193" i="63"/>
  <c r="X193" i="63"/>
  <c r="W193" i="63"/>
  <c r="U193" i="63"/>
  <c r="T193" i="63"/>
  <c r="Y193" i="63" s="1"/>
  <c r="S193" i="63"/>
  <c r="V193" i="63" s="1"/>
  <c r="R193" i="63"/>
  <c r="Q193" i="63"/>
  <c r="Q184" i="63" s="1"/>
  <c r="P193" i="63"/>
  <c r="O193" i="63"/>
  <c r="N193" i="63"/>
  <c r="M193" i="63"/>
  <c r="M184" i="63" s="1"/>
  <c r="B193" i="63"/>
  <c r="A193" i="63"/>
  <c r="AB192" i="63"/>
  <c r="AA192" i="63"/>
  <c r="Y192" i="63"/>
  <c r="X192" i="63"/>
  <c r="S192" i="63"/>
  <c r="V192" i="63" s="1"/>
  <c r="B192" i="63"/>
  <c r="A192" i="63"/>
  <c r="AA191" i="63"/>
  <c r="AA184" i="63" s="1"/>
  <c r="Z191" i="63"/>
  <c r="X191" i="63"/>
  <c r="W191" i="63"/>
  <c r="T191" i="63"/>
  <c r="AB191" i="63" s="1"/>
  <c r="R191" i="63"/>
  <c r="Q191" i="63"/>
  <c r="P191" i="63"/>
  <c r="O191" i="63"/>
  <c r="N191" i="63"/>
  <c r="M191" i="63"/>
  <c r="B191" i="63"/>
  <c r="A191" i="63"/>
  <c r="AB190" i="63"/>
  <c r="AA190" i="63"/>
  <c r="Y190" i="63"/>
  <c r="X190" i="63"/>
  <c r="X189" i="63" s="1"/>
  <c r="S190" i="63"/>
  <c r="S189" i="63" s="1"/>
  <c r="B190" i="63"/>
  <c r="A190" i="63"/>
  <c r="AA189" i="63"/>
  <c r="Z189" i="63"/>
  <c r="Z184" i="63" s="1"/>
  <c r="Y189" i="63"/>
  <c r="W189" i="63"/>
  <c r="T189" i="63"/>
  <c r="AB189" i="63" s="1"/>
  <c r="R189" i="63"/>
  <c r="R184" i="63" s="1"/>
  <c r="Q189" i="63"/>
  <c r="P189" i="63"/>
  <c r="O189" i="63"/>
  <c r="N189" i="63"/>
  <c r="N184" i="63" s="1"/>
  <c r="M189" i="63"/>
  <c r="B189" i="63"/>
  <c r="A189" i="63"/>
  <c r="AB188" i="63"/>
  <c r="AA188" i="63"/>
  <c r="Y188" i="63"/>
  <c r="X188" i="63"/>
  <c r="X187" i="63" s="1"/>
  <c r="V188" i="63"/>
  <c r="U188" i="63"/>
  <c r="S188" i="63"/>
  <c r="B188" i="63"/>
  <c r="A188" i="63"/>
  <c r="AA187" i="63"/>
  <c r="Z187" i="63"/>
  <c r="Y187" i="63"/>
  <c r="W187" i="63"/>
  <c r="V187" i="63"/>
  <c r="U187" i="63"/>
  <c r="T187" i="63"/>
  <c r="AB187" i="63" s="1"/>
  <c r="S187" i="63"/>
  <c r="R187" i="63"/>
  <c r="Q187" i="63"/>
  <c r="P187" i="63"/>
  <c r="O187" i="63"/>
  <c r="N187" i="63"/>
  <c r="M187" i="63"/>
  <c r="B187" i="63"/>
  <c r="A187" i="63"/>
  <c r="AB186" i="63"/>
  <c r="AA186" i="63"/>
  <c r="AA185" i="63" s="1"/>
  <c r="Y186" i="63"/>
  <c r="X186" i="63"/>
  <c r="V186" i="63"/>
  <c r="U186" i="63"/>
  <c r="U185" i="63" s="1"/>
  <c r="S186" i="63"/>
  <c r="B186" i="63"/>
  <c r="A186" i="63"/>
  <c r="Z185" i="63"/>
  <c r="X185" i="63"/>
  <c r="W185" i="63"/>
  <c r="T185" i="63"/>
  <c r="AB185" i="63" s="1"/>
  <c r="S185" i="63"/>
  <c r="R185" i="63"/>
  <c r="Q185" i="63"/>
  <c r="P185" i="63"/>
  <c r="O185" i="63"/>
  <c r="N185" i="63"/>
  <c r="M185" i="63"/>
  <c r="B185" i="63"/>
  <c r="A185" i="63"/>
  <c r="W184" i="63"/>
  <c r="O184" i="63"/>
  <c r="B184" i="63"/>
  <c r="A184" i="63"/>
  <c r="AB183" i="63"/>
  <c r="AA183" i="63"/>
  <c r="Y183" i="63"/>
  <c r="X183" i="63"/>
  <c r="V183" i="63"/>
  <c r="S183" i="63"/>
  <c r="U183" i="63" s="1"/>
  <c r="B183" i="63"/>
  <c r="A183" i="63"/>
  <c r="AB182" i="63"/>
  <c r="AA182" i="63"/>
  <c r="Y182" i="63"/>
  <c r="X182" i="63"/>
  <c r="S182" i="63"/>
  <c r="B182" i="63"/>
  <c r="A182" i="63"/>
  <c r="AB181" i="63"/>
  <c r="AA181" i="63"/>
  <c r="Y181" i="63"/>
  <c r="X181" i="63"/>
  <c r="S181" i="63"/>
  <c r="B181" i="63"/>
  <c r="A181" i="63"/>
  <c r="AA180" i="63"/>
  <c r="AA179" i="63" s="1"/>
  <c r="Z180" i="63"/>
  <c r="X180" i="63"/>
  <c r="X179" i="63" s="1"/>
  <c r="W180" i="63"/>
  <c r="W179" i="63" s="1"/>
  <c r="T180" i="63"/>
  <c r="R180" i="63"/>
  <c r="Q180" i="63"/>
  <c r="P180" i="63"/>
  <c r="P179" i="63" s="1"/>
  <c r="O180" i="63"/>
  <c r="O179" i="63" s="1"/>
  <c r="N180" i="63"/>
  <c r="M180" i="63"/>
  <c r="B180" i="63"/>
  <c r="A180" i="63"/>
  <c r="Z179" i="63"/>
  <c r="R179" i="63"/>
  <c r="Q179" i="63"/>
  <c r="N179" i="63"/>
  <c r="M179" i="63"/>
  <c r="B179" i="63"/>
  <c r="A179" i="63"/>
  <c r="AB178" i="63"/>
  <c r="AA178" i="63"/>
  <c r="AA177" i="63" s="1"/>
  <c r="Y178" i="63"/>
  <c r="X178" i="63"/>
  <c r="V178" i="63"/>
  <c r="U178" i="63"/>
  <c r="S178" i="63"/>
  <c r="B178" i="63"/>
  <c r="A178" i="63"/>
  <c r="Z177" i="63"/>
  <c r="X177" i="63"/>
  <c r="X172" i="63" s="1"/>
  <c r="W177" i="63"/>
  <c r="U177" i="63"/>
  <c r="T177" i="63"/>
  <c r="AB177" i="63" s="1"/>
  <c r="S177" i="63"/>
  <c r="V177" i="63" s="1"/>
  <c r="R177" i="63"/>
  <c r="Q177" i="63"/>
  <c r="Q172" i="63" s="1"/>
  <c r="P177" i="63"/>
  <c r="O177" i="63"/>
  <c r="N177" i="63"/>
  <c r="M177" i="63"/>
  <c r="B177" i="63"/>
  <c r="A177" i="63"/>
  <c r="AB176" i="63"/>
  <c r="AA176" i="63"/>
  <c r="Y176" i="63"/>
  <c r="X176" i="63"/>
  <c r="S176" i="63"/>
  <c r="V176" i="63" s="1"/>
  <c r="B176" i="63"/>
  <c r="A176" i="63"/>
  <c r="AA175" i="63"/>
  <c r="Z175" i="63"/>
  <c r="X175" i="63"/>
  <c r="W175" i="63"/>
  <c r="T175" i="63"/>
  <c r="R175" i="63"/>
  <c r="Q175" i="63"/>
  <c r="P175" i="63"/>
  <c r="O175" i="63"/>
  <c r="N175" i="63"/>
  <c r="M175" i="63"/>
  <c r="B175" i="63"/>
  <c r="A175" i="63"/>
  <c r="AB174" i="63"/>
  <c r="AA174" i="63"/>
  <c r="Y174" i="63"/>
  <c r="X174" i="63"/>
  <c r="X173" i="63" s="1"/>
  <c r="S174" i="63"/>
  <c r="B174" i="63"/>
  <c r="A174" i="63"/>
  <c r="AA173" i="63"/>
  <c r="Z173" i="63"/>
  <c r="Z172" i="63" s="1"/>
  <c r="Y173" i="63"/>
  <c r="W173" i="63"/>
  <c r="W172" i="63" s="1"/>
  <c r="T173" i="63"/>
  <c r="AB173" i="63" s="1"/>
  <c r="R173" i="63"/>
  <c r="R172" i="63" s="1"/>
  <c r="Q173" i="63"/>
  <c r="P173" i="63"/>
  <c r="O173" i="63"/>
  <c r="N173" i="63"/>
  <c r="N172" i="63" s="1"/>
  <c r="M173" i="63"/>
  <c r="B173" i="63"/>
  <c r="A173" i="63"/>
  <c r="T172" i="63"/>
  <c r="P172" i="63"/>
  <c r="M172" i="63"/>
  <c r="B172" i="63"/>
  <c r="A172" i="63"/>
  <c r="AB171" i="63"/>
  <c r="AA171" i="63"/>
  <c r="AA170" i="63" s="1"/>
  <c r="AA169" i="63" s="1"/>
  <c r="X171" i="63"/>
  <c r="U171" i="63"/>
  <c r="U170" i="63" s="1"/>
  <c r="U169" i="63" s="1"/>
  <c r="S171" i="63"/>
  <c r="V171" i="63" s="1"/>
  <c r="B171" i="63"/>
  <c r="A171" i="63"/>
  <c r="Z170" i="63"/>
  <c r="Z169" i="63" s="1"/>
  <c r="W170" i="63"/>
  <c r="W169" i="63" s="1"/>
  <c r="V170" i="63"/>
  <c r="T170" i="63"/>
  <c r="S170" i="63"/>
  <c r="S169" i="63" s="1"/>
  <c r="R170" i="63"/>
  <c r="R169" i="63" s="1"/>
  <c r="Q170" i="63"/>
  <c r="P170" i="63"/>
  <c r="O170" i="63"/>
  <c r="O169" i="63" s="1"/>
  <c r="N170" i="63"/>
  <c r="N169" i="63" s="1"/>
  <c r="M170" i="63"/>
  <c r="B170" i="63"/>
  <c r="A170" i="63"/>
  <c r="T169" i="63"/>
  <c r="Q169" i="63"/>
  <c r="P169" i="63"/>
  <c r="M169" i="63"/>
  <c r="B169" i="63"/>
  <c r="A169" i="63"/>
  <c r="AB168" i="63"/>
  <c r="AA168" i="63"/>
  <c r="Y168" i="63"/>
  <c r="X168" i="63"/>
  <c r="S168" i="63"/>
  <c r="B168" i="63"/>
  <c r="A168" i="63"/>
  <c r="AA167" i="63"/>
  <c r="Z167" i="63"/>
  <c r="Y167" i="63"/>
  <c r="X167" i="63"/>
  <c r="W167" i="63"/>
  <c r="W164" i="63" s="1"/>
  <c r="T167" i="63"/>
  <c r="AB167" i="63" s="1"/>
  <c r="S167" i="63"/>
  <c r="R167" i="63"/>
  <c r="Q167" i="63"/>
  <c r="Q164" i="63" s="1"/>
  <c r="P167" i="63"/>
  <c r="O167" i="63"/>
  <c r="O164" i="63" s="1"/>
  <c r="N167" i="63"/>
  <c r="M167" i="63"/>
  <c r="M164" i="63" s="1"/>
  <c r="B167" i="63"/>
  <c r="A167" i="63"/>
  <c r="AB166" i="63"/>
  <c r="AA166" i="63"/>
  <c r="AA165" i="63" s="1"/>
  <c r="X166" i="63"/>
  <c r="U166" i="63"/>
  <c r="U165" i="63" s="1"/>
  <c r="S166" i="63"/>
  <c r="V166" i="63" s="1"/>
  <c r="B166" i="63"/>
  <c r="A166" i="63"/>
  <c r="Z165" i="63"/>
  <c r="Z164" i="63" s="1"/>
  <c r="AB164" i="63" s="1"/>
  <c r="W165" i="63"/>
  <c r="V165" i="63"/>
  <c r="T165" i="63"/>
  <c r="S165" i="63"/>
  <c r="R165" i="63"/>
  <c r="R164" i="63" s="1"/>
  <c r="Q165" i="63"/>
  <c r="P165" i="63"/>
  <c r="O165" i="63"/>
  <c r="N165" i="63"/>
  <c r="N164" i="63" s="1"/>
  <c r="M165" i="63"/>
  <c r="B165" i="63"/>
  <c r="A165" i="63"/>
  <c r="T164" i="63"/>
  <c r="P164" i="63"/>
  <c r="B164" i="63"/>
  <c r="A164" i="63"/>
  <c r="AB163" i="63"/>
  <c r="AA163" i="63"/>
  <c r="Y163" i="63"/>
  <c r="X163" i="63"/>
  <c r="S163" i="63"/>
  <c r="B163" i="63"/>
  <c r="A163" i="63"/>
  <c r="AA162" i="63"/>
  <c r="Z162" i="63"/>
  <c r="Y162" i="63"/>
  <c r="X162" i="63"/>
  <c r="W162" i="63"/>
  <c r="T162" i="63"/>
  <c r="AB162" i="63" s="1"/>
  <c r="S162" i="63"/>
  <c r="V162" i="63" s="1"/>
  <c r="R162" i="63"/>
  <c r="Q162" i="63"/>
  <c r="Q159" i="63" s="1"/>
  <c r="P162" i="63"/>
  <c r="O162" i="63"/>
  <c r="N162" i="63"/>
  <c r="M162" i="63"/>
  <c r="M159" i="63" s="1"/>
  <c r="B162" i="63"/>
  <c r="A162" i="63"/>
  <c r="AB161" i="63"/>
  <c r="AA161" i="63"/>
  <c r="AA160" i="63" s="1"/>
  <c r="AA159" i="63" s="1"/>
  <c r="Y161" i="63"/>
  <c r="X161" i="63"/>
  <c r="X160" i="63" s="1"/>
  <c r="X159" i="63" s="1"/>
  <c r="U161" i="63"/>
  <c r="U160" i="63" s="1"/>
  <c r="S161" i="63"/>
  <c r="V161" i="63" s="1"/>
  <c r="B161" i="63"/>
  <c r="A161" i="63"/>
  <c r="Z160" i="63"/>
  <c r="Z159" i="63" s="1"/>
  <c r="W160" i="63"/>
  <c r="W159" i="63" s="1"/>
  <c r="V160" i="63"/>
  <c r="T160" i="63"/>
  <c r="Y160" i="63" s="1"/>
  <c r="S160" i="63"/>
  <c r="R160" i="63"/>
  <c r="R159" i="63" s="1"/>
  <c r="Q160" i="63"/>
  <c r="P160" i="63"/>
  <c r="O160" i="63"/>
  <c r="N160" i="63"/>
  <c r="N159" i="63" s="1"/>
  <c r="M160" i="63"/>
  <c r="B160" i="63"/>
  <c r="A160" i="63"/>
  <c r="T159" i="63"/>
  <c r="Y159" i="63" s="1"/>
  <c r="P159" i="63"/>
  <c r="B159" i="63"/>
  <c r="A159" i="63"/>
  <c r="AB158" i="63"/>
  <c r="AA158" i="63"/>
  <c r="Y158" i="63"/>
  <c r="X158" i="63"/>
  <c r="S158" i="63"/>
  <c r="S157" i="63" s="1"/>
  <c r="V157" i="63" s="1"/>
  <c r="B158" i="63"/>
  <c r="A158" i="63"/>
  <c r="AA157" i="63"/>
  <c r="Z157" i="63"/>
  <c r="Y157" i="63"/>
  <c r="X157" i="63"/>
  <c r="W157" i="63"/>
  <c r="T157" i="63"/>
  <c r="AB157" i="63" s="1"/>
  <c r="R157" i="63"/>
  <c r="Q157" i="63"/>
  <c r="P157" i="63"/>
  <c r="O157" i="63"/>
  <c r="N157" i="63"/>
  <c r="M157" i="63"/>
  <c r="B157" i="63"/>
  <c r="A157" i="63"/>
  <c r="AB156" i="63"/>
  <c r="AA156" i="63"/>
  <c r="X156" i="63"/>
  <c r="Y156" i="63" s="1"/>
  <c r="V156" i="63"/>
  <c r="U156" i="63"/>
  <c r="S156" i="63"/>
  <c r="B156" i="63"/>
  <c r="A156" i="63"/>
  <c r="AB155" i="63"/>
  <c r="AA155" i="63"/>
  <c r="Y155" i="63"/>
  <c r="X155" i="63"/>
  <c r="S155" i="63"/>
  <c r="B155" i="63"/>
  <c r="A155" i="63"/>
  <c r="AA154" i="63"/>
  <c r="AA152" i="63" s="1"/>
  <c r="Z154" i="63"/>
  <c r="W154" i="63"/>
  <c r="W152" i="63" s="1"/>
  <c r="T154" i="63"/>
  <c r="AB154" i="63" s="1"/>
  <c r="S154" i="63"/>
  <c r="R154" i="63"/>
  <c r="Q154" i="63"/>
  <c r="P154" i="63"/>
  <c r="O154" i="63"/>
  <c r="O152" i="63" s="1"/>
  <c r="N154" i="63"/>
  <c r="M154" i="63"/>
  <c r="B154" i="63"/>
  <c r="A154" i="63"/>
  <c r="AA153" i="63"/>
  <c r="X153" i="63"/>
  <c r="S153" i="63"/>
  <c r="U153" i="63" s="1"/>
  <c r="Z152" i="63"/>
  <c r="T152" i="63"/>
  <c r="AB152" i="63" s="1"/>
  <c r="R152" i="63"/>
  <c r="Q152" i="63"/>
  <c r="P152" i="63"/>
  <c r="N152" i="63"/>
  <c r="M152" i="63"/>
  <c r="B152" i="63"/>
  <c r="A152" i="63"/>
  <c r="AB151" i="63"/>
  <c r="AA151" i="63"/>
  <c r="AA150" i="63" s="1"/>
  <c r="X151" i="63"/>
  <c r="Y151" i="63" s="1"/>
  <c r="U151" i="63"/>
  <c r="U150" i="63" s="1"/>
  <c r="S151" i="63"/>
  <c r="V151" i="63" s="1"/>
  <c r="B151" i="63"/>
  <c r="A151" i="63"/>
  <c r="Z150" i="63"/>
  <c r="X150" i="63"/>
  <c r="W150" i="63"/>
  <c r="T150" i="63"/>
  <c r="S150" i="63"/>
  <c r="R150" i="63"/>
  <c r="Q150" i="63"/>
  <c r="P150" i="63"/>
  <c r="O150" i="63"/>
  <c r="N150" i="63"/>
  <c r="M150" i="63"/>
  <c r="B150" i="63"/>
  <c r="A150" i="63"/>
  <c r="AB149" i="63"/>
  <c r="AA149" i="63"/>
  <c r="Y149" i="63"/>
  <c r="X149" i="63"/>
  <c r="X148" i="63" s="1"/>
  <c r="Y148" i="63" s="1"/>
  <c r="V149" i="63"/>
  <c r="S149" i="63"/>
  <c r="U149" i="63" s="1"/>
  <c r="B149" i="63"/>
  <c r="A149" i="63"/>
  <c r="AA148" i="63"/>
  <c r="Z148" i="63"/>
  <c r="W148" i="63"/>
  <c r="W143" i="63" s="1"/>
  <c r="U148" i="63"/>
  <c r="T148" i="63"/>
  <c r="AB148" i="63" s="1"/>
  <c r="R148" i="63"/>
  <c r="Q148" i="63"/>
  <c r="P148" i="63"/>
  <c r="O148" i="63"/>
  <c r="N148" i="63"/>
  <c r="M148" i="63"/>
  <c r="B148" i="63"/>
  <c r="A148" i="63"/>
  <c r="AB147" i="63"/>
  <c r="AA147" i="63"/>
  <c r="AA146" i="63" s="1"/>
  <c r="AA143" i="63" s="1"/>
  <c r="X147" i="63"/>
  <c r="Y147" i="63" s="1"/>
  <c r="V147" i="63"/>
  <c r="U147" i="63"/>
  <c r="U146" i="63" s="1"/>
  <c r="S147" i="63"/>
  <c r="B147" i="63"/>
  <c r="A147" i="63"/>
  <c r="AB146" i="63"/>
  <c r="Z146" i="63"/>
  <c r="Z143" i="63" s="1"/>
  <c r="X146" i="63"/>
  <c r="W146" i="63"/>
  <c r="V146" i="63"/>
  <c r="T146" i="63"/>
  <c r="Y146" i="63" s="1"/>
  <c r="S146" i="63"/>
  <c r="R146" i="63"/>
  <c r="R143" i="63" s="1"/>
  <c r="Q146" i="63"/>
  <c r="P146" i="63"/>
  <c r="O146" i="63"/>
  <c r="N146" i="63"/>
  <c r="N143" i="63" s="1"/>
  <c r="M146" i="63"/>
  <c r="B146" i="63"/>
  <c r="A146" i="63"/>
  <c r="AB145" i="63"/>
  <c r="AA145" i="63"/>
  <c r="Y145" i="63"/>
  <c r="X145" i="63"/>
  <c r="S145" i="63"/>
  <c r="U145" i="63" s="1"/>
  <c r="B145" i="63"/>
  <c r="A145" i="63"/>
  <c r="AA144" i="63"/>
  <c r="Z144" i="63"/>
  <c r="Y144" i="63"/>
  <c r="X144" i="63"/>
  <c r="W144" i="63"/>
  <c r="U144" i="63"/>
  <c r="U143" i="63" s="1"/>
  <c r="T144" i="63"/>
  <c r="AB144" i="63" s="1"/>
  <c r="R144" i="63"/>
  <c r="Q144" i="63"/>
  <c r="P144" i="63"/>
  <c r="P143" i="63" s="1"/>
  <c r="O144" i="63"/>
  <c r="N144" i="63"/>
  <c r="M144" i="63"/>
  <c r="M143" i="63" s="1"/>
  <c r="B144" i="63"/>
  <c r="A144" i="63"/>
  <c r="Q143" i="63"/>
  <c r="O143" i="63"/>
  <c r="B143" i="63"/>
  <c r="A143" i="63"/>
  <c r="AB142" i="63"/>
  <c r="AA142" i="63"/>
  <c r="AA141" i="63" s="1"/>
  <c r="Y142" i="63"/>
  <c r="X142" i="63"/>
  <c r="V142" i="63"/>
  <c r="U142" i="63"/>
  <c r="U141" i="63" s="1"/>
  <c r="S142" i="63"/>
  <c r="B142" i="63"/>
  <c r="A142" i="63"/>
  <c r="AB141" i="63"/>
  <c r="Z141" i="63"/>
  <c r="Z135" i="63" s="1"/>
  <c r="X141" i="63"/>
  <c r="W141" i="63"/>
  <c r="V141" i="63"/>
  <c r="T141" i="63"/>
  <c r="Y141" i="63" s="1"/>
  <c r="S141" i="63"/>
  <c r="R141" i="63"/>
  <c r="R135" i="63" s="1"/>
  <c r="R134" i="63" s="1"/>
  <c r="R133" i="63" s="1"/>
  <c r="Q141" i="63"/>
  <c r="P141" i="63"/>
  <c r="O141" i="63"/>
  <c r="N141" i="63"/>
  <c r="N135" i="63" s="1"/>
  <c r="N134" i="63" s="1"/>
  <c r="N133" i="63" s="1"/>
  <c r="N116" i="63" s="1"/>
  <c r="M141" i="63"/>
  <c r="B141" i="63"/>
  <c r="A141" i="63"/>
  <c r="AB140" i="63"/>
  <c r="AA140" i="63"/>
  <c r="Y140" i="63"/>
  <c r="X140" i="63"/>
  <c r="V140" i="63"/>
  <c r="S140" i="63"/>
  <c r="U140" i="63" s="1"/>
  <c r="B140" i="63"/>
  <c r="A140" i="63"/>
  <c r="AA139" i="63"/>
  <c r="Z139" i="63"/>
  <c r="Y139" i="63"/>
  <c r="X139" i="63"/>
  <c r="W139" i="63"/>
  <c r="U139" i="63"/>
  <c r="T139" i="63"/>
  <c r="AB139" i="63" s="1"/>
  <c r="S139" i="63"/>
  <c r="V139" i="63" s="1"/>
  <c r="R139" i="63"/>
  <c r="Q139" i="63"/>
  <c r="P139" i="63"/>
  <c r="O139" i="63"/>
  <c r="O135" i="63" s="1"/>
  <c r="N139" i="63"/>
  <c r="M139" i="63"/>
  <c r="B139" i="63"/>
  <c r="A139" i="63"/>
  <c r="AB138" i="63"/>
  <c r="AA138" i="63"/>
  <c r="Y138" i="63"/>
  <c r="X138" i="63"/>
  <c r="X136" i="63" s="1"/>
  <c r="X135" i="63" s="1"/>
  <c r="U138" i="63"/>
  <c r="S138" i="63"/>
  <c r="V138" i="63" s="1"/>
  <c r="B138" i="63"/>
  <c r="A138" i="63"/>
  <c r="AB137" i="63"/>
  <c r="AA137" i="63"/>
  <c r="Y137" i="63"/>
  <c r="X137" i="63"/>
  <c r="V137" i="63"/>
  <c r="S137" i="63"/>
  <c r="U137" i="63" s="1"/>
  <c r="B137" i="63"/>
  <c r="A137" i="63"/>
  <c r="AA136" i="63"/>
  <c r="Z136" i="63"/>
  <c r="W136" i="63"/>
  <c r="W135" i="63" s="1"/>
  <c r="W134" i="63" s="1"/>
  <c r="W133" i="63" s="1"/>
  <c r="U136" i="63"/>
  <c r="U135" i="63" s="1"/>
  <c r="T136" i="63"/>
  <c r="AB136" i="63" s="1"/>
  <c r="S136" i="63"/>
  <c r="V136" i="63" s="1"/>
  <c r="R136" i="63"/>
  <c r="Q136" i="63"/>
  <c r="P136" i="63"/>
  <c r="P135" i="63" s="1"/>
  <c r="O136" i="63"/>
  <c r="N136" i="63"/>
  <c r="M136" i="63"/>
  <c r="M135" i="63" s="1"/>
  <c r="M134" i="63" s="1"/>
  <c r="M133" i="63" s="1"/>
  <c r="M116" i="63" s="1"/>
  <c r="B136" i="63"/>
  <c r="A136" i="63"/>
  <c r="AA135" i="63"/>
  <c r="S135" i="63"/>
  <c r="Q135" i="63"/>
  <c r="Q134" i="63" s="1"/>
  <c r="Q133" i="63" s="1"/>
  <c r="Q116" i="63" s="1"/>
  <c r="B135" i="63"/>
  <c r="A135" i="63"/>
  <c r="B134" i="63"/>
  <c r="A134" i="63"/>
  <c r="B133" i="63"/>
  <c r="A133" i="63"/>
  <c r="AB132" i="63"/>
  <c r="AA132" i="63"/>
  <c r="Y132" i="63"/>
  <c r="X132" i="63"/>
  <c r="V132" i="63"/>
  <c r="U132" i="63"/>
  <c r="S132" i="63"/>
  <c r="A132" i="63"/>
  <c r="AB131" i="63"/>
  <c r="AA131" i="63"/>
  <c r="Y131" i="63"/>
  <c r="X131" i="63"/>
  <c r="V131" i="63"/>
  <c r="U131" i="63"/>
  <c r="U130" i="63" s="1"/>
  <c r="S131" i="63"/>
  <c r="A131" i="63"/>
  <c r="AA130" i="63"/>
  <c r="Z130" i="63"/>
  <c r="X130" i="63"/>
  <c r="W130" i="63"/>
  <c r="T130" i="63"/>
  <c r="Y130" i="63" s="1"/>
  <c r="S130" i="63"/>
  <c r="V130" i="63" s="1"/>
  <c r="R130" i="63"/>
  <c r="Q130" i="63"/>
  <c r="P130" i="63"/>
  <c r="O130" i="63"/>
  <c r="N130" i="63"/>
  <c r="M130" i="63"/>
  <c r="A130" i="63"/>
  <c r="AB129" i="63"/>
  <c r="AA129" i="63"/>
  <c r="Y129" i="63"/>
  <c r="X129" i="63"/>
  <c r="S129" i="63"/>
  <c r="U129" i="63" s="1"/>
  <c r="U128" i="63" s="1"/>
  <c r="B129" i="63"/>
  <c r="A129" i="63"/>
  <c r="AA128" i="63"/>
  <c r="Z128" i="63"/>
  <c r="X128" i="63"/>
  <c r="W128" i="63"/>
  <c r="W119" i="63" s="1"/>
  <c r="T128" i="63"/>
  <c r="Y128" i="63" s="1"/>
  <c r="S128" i="63"/>
  <c r="S119" i="63" s="1"/>
  <c r="V119" i="63" s="1"/>
  <c r="R128" i="63"/>
  <c r="Q128" i="63"/>
  <c r="P128" i="63"/>
  <c r="O128" i="63"/>
  <c r="O119" i="63" s="1"/>
  <c r="N128" i="63"/>
  <c r="M128" i="63"/>
  <c r="B128" i="63"/>
  <c r="A128" i="63"/>
  <c r="AB127" i="63"/>
  <c r="AA127" i="63"/>
  <c r="Y127" i="63"/>
  <c r="X127" i="63"/>
  <c r="X126" i="63" s="1"/>
  <c r="X119" i="63" s="1"/>
  <c r="V127" i="63"/>
  <c r="S127" i="63"/>
  <c r="U127" i="63" s="1"/>
  <c r="U126" i="63" s="1"/>
  <c r="B127" i="63"/>
  <c r="A127" i="63"/>
  <c r="AA126" i="63"/>
  <c r="Z126" i="63"/>
  <c r="Z119" i="63" s="1"/>
  <c r="Y126" i="63"/>
  <c r="W126" i="63"/>
  <c r="V126" i="63"/>
  <c r="T126" i="63"/>
  <c r="AB126" i="63" s="1"/>
  <c r="S126" i="63"/>
  <c r="R126" i="63"/>
  <c r="R119" i="63" s="1"/>
  <c r="Q126" i="63"/>
  <c r="P126" i="63"/>
  <c r="O126" i="63"/>
  <c r="N126" i="63"/>
  <c r="N119" i="63" s="1"/>
  <c r="M126" i="63"/>
  <c r="B126" i="63"/>
  <c r="A126" i="63"/>
  <c r="AB125" i="63"/>
  <c r="AA125" i="63"/>
  <c r="AA124" i="63" s="1"/>
  <c r="Y125" i="63"/>
  <c r="X125" i="63"/>
  <c r="V125" i="63"/>
  <c r="U125" i="63"/>
  <c r="S125" i="63"/>
  <c r="B125" i="63"/>
  <c r="A125" i="63"/>
  <c r="Z124" i="63"/>
  <c r="Y124" i="63"/>
  <c r="X124" i="63"/>
  <c r="W124" i="63"/>
  <c r="V124" i="63"/>
  <c r="U124" i="63"/>
  <c r="T124" i="63"/>
  <c r="AB124" i="63" s="1"/>
  <c r="S124" i="63"/>
  <c r="R124" i="63"/>
  <c r="Q124" i="63"/>
  <c r="P124" i="63"/>
  <c r="O124" i="63"/>
  <c r="N124" i="63"/>
  <c r="M124" i="63"/>
  <c r="B124" i="63"/>
  <c r="A124" i="63"/>
  <c r="AB123" i="63"/>
  <c r="AA123" i="63"/>
  <c r="AA122" i="63" s="1"/>
  <c r="Y123" i="63"/>
  <c r="X123" i="63"/>
  <c r="U123" i="63"/>
  <c r="U122" i="63" s="1"/>
  <c r="S123" i="63"/>
  <c r="V123" i="63" s="1"/>
  <c r="B123" i="63"/>
  <c r="A123" i="63"/>
  <c r="Z122" i="63"/>
  <c r="X122" i="63"/>
  <c r="W122" i="63"/>
  <c r="T122" i="63"/>
  <c r="Y122" i="63" s="1"/>
  <c r="S122" i="63"/>
  <c r="V122" i="63" s="1"/>
  <c r="R122" i="63"/>
  <c r="Q122" i="63"/>
  <c r="P122" i="63"/>
  <c r="P119" i="63" s="1"/>
  <c r="O122" i="63"/>
  <c r="N122" i="63"/>
  <c r="M122" i="63"/>
  <c r="B122" i="63"/>
  <c r="A122" i="63"/>
  <c r="AB121" i="63"/>
  <c r="AA121" i="63"/>
  <c r="Y121" i="63"/>
  <c r="X121" i="63"/>
  <c r="X120" i="63" s="1"/>
  <c r="S121" i="63"/>
  <c r="V121" i="63" s="1"/>
  <c r="B121" i="63"/>
  <c r="A121" i="63"/>
  <c r="AA120" i="63"/>
  <c r="Z120" i="63"/>
  <c r="W120" i="63"/>
  <c r="T120" i="63"/>
  <c r="Y120" i="63" s="1"/>
  <c r="S120" i="63"/>
  <c r="V120" i="63" s="1"/>
  <c r="R120" i="63"/>
  <c r="Q120" i="63"/>
  <c r="P120" i="63"/>
  <c r="O120" i="63"/>
  <c r="N120" i="63"/>
  <c r="M120" i="63"/>
  <c r="B120" i="63"/>
  <c r="A120" i="63"/>
  <c r="Q119" i="63"/>
  <c r="M119" i="63"/>
  <c r="B119" i="63"/>
  <c r="A119" i="63"/>
  <c r="AB118" i="63"/>
  <c r="Y118" i="63"/>
  <c r="V118" i="63"/>
  <c r="B118" i="63"/>
  <c r="A118" i="63"/>
  <c r="AA117" i="63"/>
  <c r="Z117" i="63"/>
  <c r="X117" i="63"/>
  <c r="W117" i="63"/>
  <c r="W116" i="63" s="1"/>
  <c r="U117" i="63"/>
  <c r="T117" i="63"/>
  <c r="S117" i="63"/>
  <c r="V117" i="63" s="1"/>
  <c r="R117" i="63"/>
  <c r="Q117" i="63"/>
  <c r="P117" i="63"/>
  <c r="O117" i="63"/>
  <c r="N117" i="63"/>
  <c r="M117" i="63"/>
  <c r="B117" i="63"/>
  <c r="A117" i="63"/>
  <c r="R116" i="63"/>
  <c r="B116" i="63"/>
  <c r="A116" i="63"/>
  <c r="AB115" i="63"/>
  <c r="AA115" i="63"/>
  <c r="AA114" i="63" s="1"/>
  <c r="AA113" i="63" s="1"/>
  <c r="AA112" i="63" s="1"/>
  <c r="Y115" i="63"/>
  <c r="X115" i="63"/>
  <c r="V115" i="63"/>
  <c r="U115" i="63"/>
  <c r="S115" i="63"/>
  <c r="B115" i="63"/>
  <c r="A115" i="63"/>
  <c r="Z114" i="63"/>
  <c r="Y114" i="63"/>
  <c r="X114" i="63"/>
  <c r="X113" i="63" s="1"/>
  <c r="X112" i="63" s="1"/>
  <c r="W114" i="63"/>
  <c r="U114" i="63"/>
  <c r="U113" i="63" s="1"/>
  <c r="U112" i="63" s="1"/>
  <c r="T114" i="63"/>
  <c r="V114" i="63" s="1"/>
  <c r="S114" i="63"/>
  <c r="R114" i="63"/>
  <c r="Q114" i="63"/>
  <c r="Q113" i="63" s="1"/>
  <c r="Q112" i="63" s="1"/>
  <c r="P114" i="63"/>
  <c r="P113" i="63" s="1"/>
  <c r="P112" i="63" s="1"/>
  <c r="O114" i="63"/>
  <c r="N114" i="63"/>
  <c r="M114" i="63"/>
  <c r="M113" i="63" s="1"/>
  <c r="M112" i="63" s="1"/>
  <c r="B114" i="63"/>
  <c r="A114" i="63"/>
  <c r="Z113" i="63"/>
  <c r="Z112" i="63" s="1"/>
  <c r="W113" i="63"/>
  <c r="W112" i="63" s="1"/>
  <c r="S113" i="63"/>
  <c r="S112" i="63" s="1"/>
  <c r="R113" i="63"/>
  <c r="R112" i="63" s="1"/>
  <c r="O113" i="63"/>
  <c r="O112" i="63" s="1"/>
  <c r="N113" i="63"/>
  <c r="N112" i="63" s="1"/>
  <c r="B113" i="63"/>
  <c r="A113" i="63"/>
  <c r="B112" i="63"/>
  <c r="A112" i="63"/>
  <c r="AB111" i="63"/>
  <c r="AA111" i="63"/>
  <c r="AA110" i="63" s="1"/>
  <c r="Y111" i="63"/>
  <c r="X111" i="63"/>
  <c r="U111" i="63"/>
  <c r="U110" i="63" s="1"/>
  <c r="S111" i="63"/>
  <c r="V111" i="63" s="1"/>
  <c r="B111" i="63"/>
  <c r="A111" i="63"/>
  <c r="Z110" i="63"/>
  <c r="X110" i="63"/>
  <c r="W110" i="63"/>
  <c r="T110" i="63"/>
  <c r="Y110" i="63" s="1"/>
  <c r="S110" i="63"/>
  <c r="V110" i="63" s="1"/>
  <c r="R110" i="63"/>
  <c r="Q110" i="63"/>
  <c r="P110" i="63"/>
  <c r="O110" i="63"/>
  <c r="N110" i="63"/>
  <c r="M110" i="63"/>
  <c r="B110" i="63"/>
  <c r="A110" i="63"/>
  <c r="AB109" i="63"/>
  <c r="AA109" i="63"/>
  <c r="Y109" i="63"/>
  <c r="X109" i="63"/>
  <c r="S109" i="63"/>
  <c r="V109" i="63" s="1"/>
  <c r="B109" i="63"/>
  <c r="A109" i="63"/>
  <c r="AB108" i="63"/>
  <c r="AA108" i="63"/>
  <c r="Y108" i="63"/>
  <c r="X108" i="63"/>
  <c r="U108" i="63"/>
  <c r="S108" i="63"/>
  <c r="S106" i="63" s="1"/>
  <c r="B108" i="63"/>
  <c r="A108" i="63"/>
  <c r="AB107" i="63"/>
  <c r="AA107" i="63"/>
  <c r="AA106" i="63" s="1"/>
  <c r="AA105" i="63" s="1"/>
  <c r="AA104" i="63" s="1"/>
  <c r="Y107" i="63"/>
  <c r="X107" i="63"/>
  <c r="V107" i="63"/>
  <c r="U107" i="63"/>
  <c r="S107" i="63"/>
  <c r="B107" i="63"/>
  <c r="A107" i="63"/>
  <c r="Z106" i="63"/>
  <c r="Y106" i="63"/>
  <c r="X106" i="63"/>
  <c r="X105" i="63" s="1"/>
  <c r="X104" i="63" s="1"/>
  <c r="W106" i="63"/>
  <c r="T106" i="63"/>
  <c r="T105" i="63" s="1"/>
  <c r="R106" i="63"/>
  <c r="Q106" i="63"/>
  <c r="Q105" i="63" s="1"/>
  <c r="P106" i="63"/>
  <c r="P105" i="63" s="1"/>
  <c r="P104" i="63" s="1"/>
  <c r="O106" i="63"/>
  <c r="N106" i="63"/>
  <c r="M106" i="63"/>
  <c r="M105" i="63" s="1"/>
  <c r="M104" i="63" s="1"/>
  <c r="B106" i="63"/>
  <c r="A106" i="63"/>
  <c r="Z105" i="63"/>
  <c r="Z104" i="63" s="1"/>
  <c r="W105" i="63"/>
  <c r="W104" i="63" s="1"/>
  <c r="R105" i="63"/>
  <c r="R104" i="63" s="1"/>
  <c r="O105" i="63"/>
  <c r="O104" i="63" s="1"/>
  <c r="N105" i="63"/>
  <c r="N104" i="63" s="1"/>
  <c r="B105" i="63"/>
  <c r="A105" i="63"/>
  <c r="Q104" i="63"/>
  <c r="B104" i="63"/>
  <c r="A104" i="63"/>
  <c r="AB103" i="63"/>
  <c r="AA103" i="63"/>
  <c r="Y103" i="63"/>
  <c r="X103" i="63"/>
  <c r="U103" i="63"/>
  <c r="U102" i="63" s="1"/>
  <c r="S103" i="63"/>
  <c r="V103" i="63" s="1"/>
  <c r="B103" i="63"/>
  <c r="A103" i="63"/>
  <c r="AB102" i="63"/>
  <c r="AA102" i="63"/>
  <c r="AA101" i="63" s="1"/>
  <c r="Z102" i="63"/>
  <c r="X102" i="63"/>
  <c r="X101" i="63" s="1"/>
  <c r="W102" i="63"/>
  <c r="W101" i="63" s="1"/>
  <c r="T102" i="63"/>
  <c r="S102" i="63"/>
  <c r="R102" i="63"/>
  <c r="Q102" i="63"/>
  <c r="P102" i="63"/>
  <c r="P101" i="63" s="1"/>
  <c r="O102" i="63"/>
  <c r="O101" i="63" s="1"/>
  <c r="N102" i="63"/>
  <c r="M102" i="63"/>
  <c r="B102" i="63"/>
  <c r="A102" i="63"/>
  <c r="Z101" i="63"/>
  <c r="U101" i="63"/>
  <c r="R101" i="63"/>
  <c r="Q101" i="63"/>
  <c r="N101" i="63"/>
  <c r="M101" i="63"/>
  <c r="B101" i="63"/>
  <c r="A101" i="63"/>
  <c r="AB100" i="63"/>
  <c r="AA100" i="63"/>
  <c r="Y100" i="63"/>
  <c r="X100" i="63"/>
  <c r="V100" i="63"/>
  <c r="U100" i="63"/>
  <c r="U97" i="63" s="1"/>
  <c r="U96" i="63" s="1"/>
  <c r="U95" i="63" s="1"/>
  <c r="U91" i="63" s="1"/>
  <c r="S100" i="63"/>
  <c r="A100" i="63"/>
  <c r="AB99" i="63"/>
  <c r="AA99" i="63"/>
  <c r="AA97" i="63" s="1"/>
  <c r="X99" i="63"/>
  <c r="Y99" i="63" s="1"/>
  <c r="V99" i="63"/>
  <c r="U99" i="63"/>
  <c r="S99" i="63"/>
  <c r="B99" i="63"/>
  <c r="A99" i="63"/>
  <c r="AB98" i="63"/>
  <c r="AA98" i="63"/>
  <c r="X98" i="63"/>
  <c r="V98" i="63"/>
  <c r="S98" i="63"/>
  <c r="U98" i="63" s="1"/>
  <c r="B98" i="63"/>
  <c r="A98" i="63"/>
  <c r="Z97" i="63"/>
  <c r="Z96" i="63" s="1"/>
  <c r="W97" i="63"/>
  <c r="V97" i="63"/>
  <c r="T97" i="63"/>
  <c r="S97" i="63"/>
  <c r="R97" i="63"/>
  <c r="R96" i="63" s="1"/>
  <c r="Q97" i="63"/>
  <c r="Q96" i="63" s="1"/>
  <c r="P97" i="63"/>
  <c r="O97" i="63"/>
  <c r="N97" i="63"/>
  <c r="N96" i="63" s="1"/>
  <c r="M97" i="63"/>
  <c r="M96" i="63" s="1"/>
  <c r="B97" i="63"/>
  <c r="A97" i="63"/>
  <c r="AA96" i="63"/>
  <c r="AA95" i="63" s="1"/>
  <c r="W96" i="63"/>
  <c r="W95" i="63" s="1"/>
  <c r="W91" i="63" s="1"/>
  <c r="T96" i="63"/>
  <c r="S96" i="63"/>
  <c r="P96" i="63"/>
  <c r="P95" i="63" s="1"/>
  <c r="O96" i="63"/>
  <c r="O95" i="63" s="1"/>
  <c r="O91" i="63" s="1"/>
  <c r="B96" i="63"/>
  <c r="A96" i="63"/>
  <c r="Z95" i="63"/>
  <c r="R95" i="63"/>
  <c r="Q95" i="63"/>
  <c r="N95" i="63"/>
  <c r="M95" i="63"/>
  <c r="B95" i="63"/>
  <c r="A95" i="63"/>
  <c r="AB94" i="63"/>
  <c r="AA94" i="63"/>
  <c r="AA93" i="63" s="1"/>
  <c r="Y94" i="63"/>
  <c r="X94" i="63"/>
  <c r="X93" i="63" s="1"/>
  <c r="X92" i="63" s="1"/>
  <c r="V94" i="63"/>
  <c r="U94" i="63"/>
  <c r="S94" i="63"/>
  <c r="B94" i="63"/>
  <c r="A94" i="63"/>
  <c r="Z93" i="63"/>
  <c r="Y93" i="63"/>
  <c r="W93" i="63"/>
  <c r="V93" i="63"/>
  <c r="U93" i="63"/>
  <c r="U92" i="63" s="1"/>
  <c r="T93" i="63"/>
  <c r="AB93" i="63" s="1"/>
  <c r="S93" i="63"/>
  <c r="R93" i="63"/>
  <c r="Q93" i="63"/>
  <c r="Q92" i="63" s="1"/>
  <c r="P93" i="63"/>
  <c r="O93" i="63"/>
  <c r="N93" i="63"/>
  <c r="M93" i="63"/>
  <c r="M92" i="63" s="1"/>
  <c r="B93" i="63"/>
  <c r="A93" i="63"/>
  <c r="AA92" i="63"/>
  <c r="Z92" i="63"/>
  <c r="Z91" i="63" s="1"/>
  <c r="W92" i="63"/>
  <c r="V92" i="63"/>
  <c r="T92" i="63"/>
  <c r="Y92" i="63" s="1"/>
  <c r="S92" i="63"/>
  <c r="R92" i="63"/>
  <c r="P92" i="63"/>
  <c r="P91" i="63" s="1"/>
  <c r="O92" i="63"/>
  <c r="N92" i="63"/>
  <c r="B92" i="63"/>
  <c r="A92" i="63"/>
  <c r="R91" i="63"/>
  <c r="Q91" i="63"/>
  <c r="N91" i="63"/>
  <c r="M91" i="63"/>
  <c r="B91" i="63"/>
  <c r="A91" i="63"/>
  <c r="AB90" i="63"/>
  <c r="AA90" i="63"/>
  <c r="Y90" i="63"/>
  <c r="X90" i="63"/>
  <c r="S90" i="63"/>
  <c r="V90" i="63" s="1"/>
  <c r="B90" i="63"/>
  <c r="A90" i="63"/>
  <c r="AB89" i="63"/>
  <c r="AA89" i="63"/>
  <c r="Y89" i="63"/>
  <c r="X89" i="63"/>
  <c r="P89" i="63"/>
  <c r="S89" i="63" s="1"/>
  <c r="B89" i="63"/>
  <c r="A89" i="63"/>
  <c r="AB88" i="63"/>
  <c r="AA88" i="63"/>
  <c r="Y88" i="63"/>
  <c r="X88" i="63"/>
  <c r="S88" i="63"/>
  <c r="U88" i="63" s="1"/>
  <c r="B88" i="63"/>
  <c r="A88" i="63"/>
  <c r="AB87" i="63"/>
  <c r="AA87" i="63"/>
  <c r="Y87" i="63"/>
  <c r="X87" i="63"/>
  <c r="S87" i="63"/>
  <c r="V87" i="63" s="1"/>
  <c r="B87" i="63"/>
  <c r="A87" i="63"/>
  <c r="AB86" i="63"/>
  <c r="AA86" i="63"/>
  <c r="X86" i="63"/>
  <c r="Y86" i="63" s="1"/>
  <c r="V86" i="63"/>
  <c r="U86" i="63"/>
  <c r="S86" i="63"/>
  <c r="B86" i="63"/>
  <c r="A86" i="63"/>
  <c r="AB85" i="63"/>
  <c r="AA85" i="63"/>
  <c r="Y85" i="63"/>
  <c r="X85" i="63"/>
  <c r="X84" i="63" s="1"/>
  <c r="Y84" i="63" s="1"/>
  <c r="V85" i="63"/>
  <c r="S85" i="63"/>
  <c r="U85" i="63" s="1"/>
  <c r="B85" i="63"/>
  <c r="A85" i="63"/>
  <c r="AA84" i="63"/>
  <c r="Z84" i="63"/>
  <c r="W84" i="63"/>
  <c r="T84" i="63"/>
  <c r="AB84" i="63" s="1"/>
  <c r="R84" i="63"/>
  <c r="Q84" i="63"/>
  <c r="O84" i="63"/>
  <c r="N84" i="63"/>
  <c r="M84" i="63"/>
  <c r="B84" i="63"/>
  <c r="A84" i="63"/>
  <c r="AB83" i="63"/>
  <c r="AA83" i="63"/>
  <c r="X83" i="63"/>
  <c r="Y83" i="63" s="1"/>
  <c r="V83" i="63"/>
  <c r="U83" i="63"/>
  <c r="S83" i="63"/>
  <c r="B83" i="63"/>
  <c r="A83" i="63"/>
  <c r="AB82" i="63"/>
  <c r="AA82" i="63"/>
  <c r="Y82" i="63"/>
  <c r="X82" i="63"/>
  <c r="V82" i="63"/>
  <c r="S82" i="63"/>
  <c r="U82" i="63" s="1"/>
  <c r="B82" i="63"/>
  <c r="A82" i="63"/>
  <c r="AB81" i="63"/>
  <c r="AA81" i="63"/>
  <c r="X81" i="63"/>
  <c r="Y81" i="63" s="1"/>
  <c r="S81" i="63"/>
  <c r="U81" i="63" s="1"/>
  <c r="B81" i="63"/>
  <c r="A81" i="63"/>
  <c r="AB80" i="63"/>
  <c r="AA80" i="63"/>
  <c r="Y80" i="63"/>
  <c r="X80" i="63"/>
  <c r="S80" i="63"/>
  <c r="V80" i="63" s="1"/>
  <c r="B80" i="63"/>
  <c r="A80" i="63"/>
  <c r="AB79" i="63"/>
  <c r="AA79" i="63"/>
  <c r="X79" i="63"/>
  <c r="Y79" i="63" s="1"/>
  <c r="Q79" i="63"/>
  <c r="S79" i="63" s="1"/>
  <c r="B79" i="63"/>
  <c r="A79" i="63"/>
  <c r="AB78" i="63"/>
  <c r="AA78" i="63"/>
  <c r="Y78" i="63"/>
  <c r="X78" i="63"/>
  <c r="X77" i="63" s="1"/>
  <c r="S78" i="63"/>
  <c r="U78" i="63" s="1"/>
  <c r="B78" i="63"/>
  <c r="A78" i="63"/>
  <c r="AA77" i="63"/>
  <c r="Z77" i="63"/>
  <c r="W77" i="63"/>
  <c r="T77" i="63"/>
  <c r="AB77" i="63" s="1"/>
  <c r="R77" i="63"/>
  <c r="P77" i="63"/>
  <c r="O77" i="63"/>
  <c r="N77" i="63"/>
  <c r="M77" i="63"/>
  <c r="B77" i="63"/>
  <c r="A77" i="63"/>
  <c r="AB76" i="63"/>
  <c r="AA76" i="63"/>
  <c r="X76" i="63"/>
  <c r="Y76" i="63" s="1"/>
  <c r="V76" i="63"/>
  <c r="S76" i="63"/>
  <c r="U76" i="63" s="1"/>
  <c r="B76" i="63"/>
  <c r="A76" i="63"/>
  <c r="AB75" i="63"/>
  <c r="AA75" i="63"/>
  <c r="X75" i="63"/>
  <c r="X74" i="63" s="1"/>
  <c r="S75" i="63"/>
  <c r="U75" i="63" s="1"/>
  <c r="B75" i="63"/>
  <c r="A75" i="63"/>
  <c r="AA74" i="63"/>
  <c r="Z74" i="63"/>
  <c r="W74" i="63"/>
  <c r="V74" i="63"/>
  <c r="T74" i="63"/>
  <c r="AB74" i="63" s="1"/>
  <c r="S74" i="63"/>
  <c r="R74" i="63"/>
  <c r="Q74" i="63"/>
  <c r="P74" i="63"/>
  <c r="O74" i="63"/>
  <c r="N74" i="63"/>
  <c r="M74" i="63"/>
  <c r="B74" i="63"/>
  <c r="A74" i="63"/>
  <c r="AB73" i="63"/>
  <c r="AA73" i="63"/>
  <c r="X73" i="63"/>
  <c r="Y73" i="63" s="1"/>
  <c r="V73" i="63"/>
  <c r="S73" i="63"/>
  <c r="U73" i="63" s="1"/>
  <c r="B73" i="63"/>
  <c r="A73" i="63"/>
  <c r="AB72" i="63"/>
  <c r="AA72" i="63"/>
  <c r="X72" i="63"/>
  <c r="Y72" i="63" s="1"/>
  <c r="S72" i="63"/>
  <c r="U72" i="63" s="1"/>
  <c r="B72" i="63"/>
  <c r="A72" i="63"/>
  <c r="AB71" i="63"/>
  <c r="AA71" i="63"/>
  <c r="Y71" i="63"/>
  <c r="X71" i="63"/>
  <c r="S71" i="63"/>
  <c r="V71" i="63" s="1"/>
  <c r="B71" i="63"/>
  <c r="A71" i="63"/>
  <c r="AB70" i="63"/>
  <c r="AA70" i="63"/>
  <c r="AA68" i="63" s="1"/>
  <c r="AA67" i="63" s="1"/>
  <c r="X70" i="63"/>
  <c r="Y70" i="63" s="1"/>
  <c r="V70" i="63"/>
  <c r="U70" i="63"/>
  <c r="S70" i="63"/>
  <c r="B70" i="63"/>
  <c r="A70" i="63"/>
  <c r="AB69" i="63"/>
  <c r="AA69" i="63"/>
  <c r="X69" i="63"/>
  <c r="Y69" i="63" s="1"/>
  <c r="V69" i="63"/>
  <c r="S69" i="63"/>
  <c r="U69" i="63" s="1"/>
  <c r="B69" i="63"/>
  <c r="A69" i="63"/>
  <c r="Z68" i="63"/>
  <c r="Z67" i="63" s="1"/>
  <c r="W68" i="63"/>
  <c r="T68" i="63"/>
  <c r="AB68" i="63" s="1"/>
  <c r="R68" i="63"/>
  <c r="R67" i="63" s="1"/>
  <c r="Q68" i="63"/>
  <c r="P68" i="63"/>
  <c r="O68" i="63"/>
  <c r="N68" i="63"/>
  <c r="N67" i="63" s="1"/>
  <c r="M68" i="63"/>
  <c r="M67" i="63" s="1"/>
  <c r="B68" i="63"/>
  <c r="A68" i="63"/>
  <c r="W67" i="63"/>
  <c r="T67" i="63"/>
  <c r="O67" i="63"/>
  <c r="B67" i="63"/>
  <c r="A67" i="63"/>
  <c r="AB66" i="63"/>
  <c r="AA66" i="63"/>
  <c r="Y66" i="63"/>
  <c r="X66" i="63"/>
  <c r="S66" i="63"/>
  <c r="U66" i="63" s="1"/>
  <c r="B66" i="63"/>
  <c r="A66" i="63"/>
  <c r="AB65" i="63"/>
  <c r="AA65" i="63"/>
  <c r="Y65" i="63"/>
  <c r="X65" i="63"/>
  <c r="S65" i="63"/>
  <c r="V65" i="63" s="1"/>
  <c r="B65" i="63"/>
  <c r="A65" i="63"/>
  <c r="AB64" i="63"/>
  <c r="AA64" i="63"/>
  <c r="AA62" i="63" s="1"/>
  <c r="Y64" i="63"/>
  <c r="X64" i="63"/>
  <c r="V64" i="63"/>
  <c r="U64" i="63"/>
  <c r="S64" i="63"/>
  <c r="B64" i="63"/>
  <c r="A64" i="63"/>
  <c r="AB63" i="63"/>
  <c r="AA63" i="63"/>
  <c r="Y63" i="63"/>
  <c r="X63" i="63"/>
  <c r="X62" i="63" s="1"/>
  <c r="V63" i="63"/>
  <c r="S63" i="63"/>
  <c r="U63" i="63" s="1"/>
  <c r="B63" i="63"/>
  <c r="A63" i="63"/>
  <c r="Z62" i="63"/>
  <c r="Y62" i="63"/>
  <c r="W62" i="63"/>
  <c r="T62" i="63"/>
  <c r="AB62" i="63" s="1"/>
  <c r="R62" i="63"/>
  <c r="Q62" i="63"/>
  <c r="P62" i="63"/>
  <c r="O62" i="63"/>
  <c r="N62" i="63"/>
  <c r="M62" i="63"/>
  <c r="B62" i="63"/>
  <c r="A62" i="63"/>
  <c r="AB61" i="63"/>
  <c r="AA61" i="63"/>
  <c r="Y61" i="63"/>
  <c r="X61" i="63"/>
  <c r="V61" i="63"/>
  <c r="U61" i="63"/>
  <c r="S61" i="63"/>
  <c r="B61" i="63"/>
  <c r="A61" i="63"/>
  <c r="AB60" i="63"/>
  <c r="AA60" i="63"/>
  <c r="Y60" i="63"/>
  <c r="X60" i="63"/>
  <c r="V60" i="63"/>
  <c r="S60" i="63"/>
  <c r="U60" i="63" s="1"/>
  <c r="B60" i="63"/>
  <c r="A60" i="63"/>
  <c r="AB59" i="63"/>
  <c r="AA59" i="63"/>
  <c r="Y59" i="63"/>
  <c r="X59" i="63"/>
  <c r="S59" i="63"/>
  <c r="U59" i="63" s="1"/>
  <c r="B59" i="63"/>
  <c r="A59" i="63"/>
  <c r="AB58" i="63"/>
  <c r="AA58" i="63"/>
  <c r="Y58" i="63"/>
  <c r="X58" i="63"/>
  <c r="S58" i="63"/>
  <c r="V58" i="63" s="1"/>
  <c r="B58" i="63"/>
  <c r="A58" i="63"/>
  <c r="AB57" i="63"/>
  <c r="AA57" i="63"/>
  <c r="AA56" i="63" s="1"/>
  <c r="X57" i="63"/>
  <c r="Y57" i="63" s="1"/>
  <c r="V57" i="63"/>
  <c r="U57" i="63"/>
  <c r="S57" i="63"/>
  <c r="B57" i="63"/>
  <c r="A57" i="63"/>
  <c r="Z56" i="63"/>
  <c r="X56" i="63"/>
  <c r="W56" i="63"/>
  <c r="T56" i="63"/>
  <c r="Y56" i="63" s="1"/>
  <c r="R56" i="63"/>
  <c r="Q56" i="63"/>
  <c r="P56" i="63"/>
  <c r="O56" i="63"/>
  <c r="N56" i="63"/>
  <c r="M56" i="63"/>
  <c r="B56" i="63"/>
  <c r="A56" i="63"/>
  <c r="AB55" i="63"/>
  <c r="AA55" i="63"/>
  <c r="Y55" i="63"/>
  <c r="X55" i="63"/>
  <c r="S55" i="63"/>
  <c r="V55" i="63" s="1"/>
  <c r="B55" i="63"/>
  <c r="A55" i="63"/>
  <c r="AA54" i="63"/>
  <c r="Z54" i="63"/>
  <c r="X54" i="63"/>
  <c r="W54" i="63"/>
  <c r="T54" i="63"/>
  <c r="Y54" i="63" s="1"/>
  <c r="S54" i="63"/>
  <c r="V54" i="63" s="1"/>
  <c r="R54" i="63"/>
  <c r="Q54" i="63"/>
  <c r="P54" i="63"/>
  <c r="O54" i="63"/>
  <c r="N54" i="63"/>
  <c r="M54" i="63"/>
  <c r="B54" i="63"/>
  <c r="A54" i="63"/>
  <c r="AB53" i="63"/>
  <c r="AA53" i="63"/>
  <c r="Y53" i="63"/>
  <c r="X53" i="63"/>
  <c r="X51" i="63" s="1"/>
  <c r="X50" i="63" s="1"/>
  <c r="S53" i="63"/>
  <c r="U53" i="63" s="1"/>
  <c r="B53" i="63"/>
  <c r="A53" i="63"/>
  <c r="AB52" i="63"/>
  <c r="AA52" i="63"/>
  <c r="Y52" i="63"/>
  <c r="X52" i="63"/>
  <c r="S52" i="63"/>
  <c r="V52" i="63" s="1"/>
  <c r="B52" i="63"/>
  <c r="A52" i="63"/>
  <c r="AA51" i="63"/>
  <c r="AA50" i="63" s="1"/>
  <c r="AA49" i="63" s="1"/>
  <c r="AA44" i="63" s="1"/>
  <c r="Z51" i="63"/>
  <c r="W51" i="63"/>
  <c r="W50" i="63" s="1"/>
  <c r="W49" i="63" s="1"/>
  <c r="W44" i="63" s="1"/>
  <c r="T51" i="63"/>
  <c r="Y51" i="63" s="1"/>
  <c r="S51" i="63"/>
  <c r="R51" i="63"/>
  <c r="Q51" i="63"/>
  <c r="P51" i="63"/>
  <c r="P50" i="63" s="1"/>
  <c r="O51" i="63"/>
  <c r="O50" i="63" s="1"/>
  <c r="O49" i="63" s="1"/>
  <c r="O44" i="63" s="1"/>
  <c r="N51" i="63"/>
  <c r="M51" i="63"/>
  <c r="B51" i="63"/>
  <c r="A51" i="63"/>
  <c r="Z50" i="63"/>
  <c r="Z49" i="63" s="1"/>
  <c r="R50" i="63"/>
  <c r="R49" i="63" s="1"/>
  <c r="R44" i="63" s="1"/>
  <c r="Q50" i="63"/>
  <c r="N50" i="63"/>
  <c r="N49" i="63" s="1"/>
  <c r="N44" i="63" s="1"/>
  <c r="M50" i="63"/>
  <c r="M49" i="63" s="1"/>
  <c r="B50" i="63"/>
  <c r="A50" i="63"/>
  <c r="B49" i="63"/>
  <c r="A49" i="63"/>
  <c r="AB48" i="63"/>
  <c r="AA48" i="63"/>
  <c r="Y48" i="63"/>
  <c r="X48" i="63"/>
  <c r="X47" i="63" s="1"/>
  <c r="X46" i="63" s="1"/>
  <c r="X45" i="63" s="1"/>
  <c r="S48" i="63"/>
  <c r="U48" i="63" s="1"/>
  <c r="U47" i="63" s="1"/>
  <c r="U46" i="63" s="1"/>
  <c r="U45" i="63" s="1"/>
  <c r="B48" i="63"/>
  <c r="A48" i="63"/>
  <c r="AA47" i="63"/>
  <c r="AA46" i="63" s="1"/>
  <c r="AA45" i="63" s="1"/>
  <c r="Z47" i="63"/>
  <c r="Z46" i="63" s="1"/>
  <c r="Z45" i="63" s="1"/>
  <c r="W47" i="63"/>
  <c r="W46" i="63" s="1"/>
  <c r="W45" i="63" s="1"/>
  <c r="V47" i="63"/>
  <c r="T47" i="63"/>
  <c r="AB47" i="63" s="1"/>
  <c r="S47" i="63"/>
  <c r="S46" i="63" s="1"/>
  <c r="R47" i="63"/>
  <c r="R46" i="63" s="1"/>
  <c r="R45" i="63" s="1"/>
  <c r="Q47" i="63"/>
  <c r="P47" i="63"/>
  <c r="O47" i="63"/>
  <c r="O46" i="63" s="1"/>
  <c r="O45" i="63" s="1"/>
  <c r="N47" i="63"/>
  <c r="N46" i="63" s="1"/>
  <c r="N45" i="63" s="1"/>
  <c r="M47" i="63"/>
  <c r="B47" i="63"/>
  <c r="A47" i="63"/>
  <c r="T46" i="63"/>
  <c r="T45" i="63" s="1"/>
  <c r="Q46" i="63"/>
  <c r="Q45" i="63" s="1"/>
  <c r="P46" i="63"/>
  <c r="P45" i="63" s="1"/>
  <c r="M46" i="63"/>
  <c r="M45" i="63" s="1"/>
  <c r="B46" i="63"/>
  <c r="A46" i="63"/>
  <c r="B45" i="63"/>
  <c r="A45" i="63"/>
  <c r="B44" i="63"/>
  <c r="A44" i="63"/>
  <c r="AB43" i="63"/>
  <c r="AA43" i="63"/>
  <c r="Y43" i="63"/>
  <c r="X43" i="63"/>
  <c r="S43" i="63"/>
  <c r="V43" i="63" s="1"/>
  <c r="B43" i="63"/>
  <c r="A43" i="63"/>
  <c r="AB42" i="63"/>
  <c r="AA42" i="63"/>
  <c r="X42" i="63"/>
  <c r="Y42" i="63" s="1"/>
  <c r="V42" i="63"/>
  <c r="U42" i="63"/>
  <c r="S42" i="63"/>
  <c r="B42" i="63"/>
  <c r="A42" i="63"/>
  <c r="AB41" i="63"/>
  <c r="AA41" i="63"/>
  <c r="Y41" i="63"/>
  <c r="X41" i="63"/>
  <c r="V41" i="63"/>
  <c r="S41" i="63"/>
  <c r="U41" i="63" s="1"/>
  <c r="B41" i="63"/>
  <c r="A41" i="63"/>
  <c r="AB40" i="63"/>
  <c r="AA40" i="63"/>
  <c r="Y40" i="63"/>
  <c r="X40" i="63"/>
  <c r="S40" i="63"/>
  <c r="U40" i="63" s="1"/>
  <c r="B40" i="63"/>
  <c r="A40" i="63"/>
  <c r="AB39" i="63"/>
  <c r="AA39" i="63"/>
  <c r="Y39" i="63"/>
  <c r="X39" i="63"/>
  <c r="S39" i="63"/>
  <c r="V39" i="63" s="1"/>
  <c r="B39" i="63"/>
  <c r="A39" i="63"/>
  <c r="AB38" i="63"/>
  <c r="AA38" i="63"/>
  <c r="X38" i="63"/>
  <c r="Y38" i="63" s="1"/>
  <c r="V38" i="63"/>
  <c r="U38" i="63"/>
  <c r="S38" i="63"/>
  <c r="B38" i="63"/>
  <c r="A38" i="63"/>
  <c r="AB37" i="63"/>
  <c r="AA37" i="63"/>
  <c r="X37" i="63"/>
  <c r="Y37" i="63" s="1"/>
  <c r="V37" i="63"/>
  <c r="S37" i="63"/>
  <c r="U37" i="63" s="1"/>
  <c r="B37" i="63"/>
  <c r="A37" i="63"/>
  <c r="AB36" i="63"/>
  <c r="AA36" i="63"/>
  <c r="X36" i="63"/>
  <c r="Y36" i="63" s="1"/>
  <c r="S36" i="63"/>
  <c r="U36" i="63" s="1"/>
  <c r="B36" i="63"/>
  <c r="A36" i="63"/>
  <c r="AB35" i="63"/>
  <c r="AA35" i="63"/>
  <c r="Y35" i="63"/>
  <c r="X35" i="63"/>
  <c r="S35" i="63"/>
  <c r="V35" i="63" s="1"/>
  <c r="B35" i="63"/>
  <c r="A35" i="63"/>
  <c r="AA34" i="63"/>
  <c r="AA33" i="63" s="1"/>
  <c r="Z34" i="63"/>
  <c r="W34" i="63"/>
  <c r="W33" i="63" s="1"/>
  <c r="T34" i="63"/>
  <c r="S34" i="63"/>
  <c r="S33" i="63" s="1"/>
  <c r="R34" i="63"/>
  <c r="Q34" i="63"/>
  <c r="P34" i="63"/>
  <c r="P33" i="63" s="1"/>
  <c r="O34" i="63"/>
  <c r="O33" i="63" s="1"/>
  <c r="N34" i="63"/>
  <c r="M34" i="63"/>
  <c r="B34" i="63"/>
  <c r="A34" i="63"/>
  <c r="Z33" i="63"/>
  <c r="R33" i="63"/>
  <c r="Q33" i="63"/>
  <c r="N33" i="63"/>
  <c r="M33" i="63"/>
  <c r="B33" i="63"/>
  <c r="A33" i="63"/>
  <c r="AB32" i="63"/>
  <c r="AA32" i="63"/>
  <c r="X32" i="63"/>
  <c r="Y32" i="63" s="1"/>
  <c r="V32" i="63"/>
  <c r="U32" i="63"/>
  <c r="S32" i="63"/>
  <c r="B32" i="63"/>
  <c r="A32" i="63"/>
  <c r="AB31" i="63"/>
  <c r="AA31" i="63"/>
  <c r="X31" i="63"/>
  <c r="Y31" i="63" s="1"/>
  <c r="V31" i="63"/>
  <c r="S31" i="63"/>
  <c r="U31" i="63" s="1"/>
  <c r="B31" i="63"/>
  <c r="A31" i="63"/>
  <c r="AB30" i="63"/>
  <c r="AA30" i="63"/>
  <c r="X30" i="63"/>
  <c r="Y30" i="63" s="1"/>
  <c r="S30" i="63"/>
  <c r="U30" i="63" s="1"/>
  <c r="B30" i="63"/>
  <c r="A30" i="63"/>
  <c r="AB29" i="63"/>
  <c r="AA29" i="63"/>
  <c r="Y29" i="63"/>
  <c r="X29" i="63"/>
  <c r="S29" i="63"/>
  <c r="V29" i="63" s="1"/>
  <c r="B29" i="63"/>
  <c r="A29" i="63"/>
  <c r="AB28" i="63"/>
  <c r="AA28" i="63"/>
  <c r="X28" i="63"/>
  <c r="Y28" i="63" s="1"/>
  <c r="V28" i="63"/>
  <c r="U28" i="63"/>
  <c r="S28" i="63"/>
  <c r="B28" i="63"/>
  <c r="A28" i="63"/>
  <c r="AB27" i="63"/>
  <c r="AA27" i="63"/>
  <c r="X27" i="63"/>
  <c r="Y27" i="63" s="1"/>
  <c r="V27" i="63"/>
  <c r="S27" i="63"/>
  <c r="U27" i="63" s="1"/>
  <c r="B27" i="63"/>
  <c r="A27" i="63"/>
  <c r="AB26" i="63"/>
  <c r="AA26" i="63"/>
  <c r="X26" i="63"/>
  <c r="Y26" i="63" s="1"/>
  <c r="S26" i="63"/>
  <c r="U26" i="63" s="1"/>
  <c r="B26" i="63"/>
  <c r="A26" i="63"/>
  <c r="AB25" i="63"/>
  <c r="AA25" i="63"/>
  <c r="Y25" i="63"/>
  <c r="X25" i="63"/>
  <c r="S25" i="63"/>
  <c r="V25" i="63" s="1"/>
  <c r="B25" i="63"/>
  <c r="A25" i="63"/>
  <c r="AB24" i="63"/>
  <c r="AA24" i="63"/>
  <c r="AA23" i="63" s="1"/>
  <c r="X24" i="63"/>
  <c r="Y24" i="63" s="1"/>
  <c r="V24" i="63"/>
  <c r="U24" i="63"/>
  <c r="S24" i="63"/>
  <c r="B24" i="63"/>
  <c r="A24" i="63"/>
  <c r="Z23" i="63"/>
  <c r="X23" i="63"/>
  <c r="W23" i="63"/>
  <c r="T23" i="63"/>
  <c r="Y23" i="63" s="1"/>
  <c r="R23" i="63"/>
  <c r="Q23" i="63"/>
  <c r="P23" i="63"/>
  <c r="O23" i="63"/>
  <c r="N23" i="63"/>
  <c r="M23" i="63"/>
  <c r="B23" i="63"/>
  <c r="A23" i="63"/>
  <c r="AB22" i="63"/>
  <c r="AA22" i="63"/>
  <c r="Y22" i="63"/>
  <c r="X22" i="63"/>
  <c r="S22" i="63"/>
  <c r="V22" i="63" s="1"/>
  <c r="B22" i="63"/>
  <c r="A22" i="63"/>
  <c r="AB21" i="63"/>
  <c r="AA21" i="63"/>
  <c r="X21" i="63"/>
  <c r="Y21" i="63" s="1"/>
  <c r="V21" i="63"/>
  <c r="U21" i="63"/>
  <c r="S21" i="63"/>
  <c r="B21" i="63"/>
  <c r="A21" i="63"/>
  <c r="AB20" i="63"/>
  <c r="AA20" i="63"/>
  <c r="X20" i="63"/>
  <c r="Y20" i="63" s="1"/>
  <c r="V20" i="63"/>
  <c r="S20" i="63"/>
  <c r="U20" i="63" s="1"/>
  <c r="B20" i="63"/>
  <c r="A20" i="63"/>
  <c r="AB19" i="63"/>
  <c r="AA19" i="63"/>
  <c r="X19" i="63"/>
  <c r="Y19" i="63" s="1"/>
  <c r="S19" i="63"/>
  <c r="V19" i="63" s="1"/>
  <c r="B19" i="63"/>
  <c r="A19" i="63"/>
  <c r="AB18" i="63"/>
  <c r="AA18" i="63"/>
  <c r="Y18" i="63"/>
  <c r="X18" i="63"/>
  <c r="S18" i="63"/>
  <c r="U18" i="63" s="1"/>
  <c r="B18" i="63"/>
  <c r="A18" i="63"/>
  <c r="AB17" i="63"/>
  <c r="AA17" i="63"/>
  <c r="X17" i="63"/>
  <c r="Y17" i="63" s="1"/>
  <c r="V17" i="63"/>
  <c r="U17" i="63"/>
  <c r="S17" i="63"/>
  <c r="B17" i="63"/>
  <c r="A17" i="63"/>
  <c r="AB16" i="63"/>
  <c r="AA16" i="63"/>
  <c r="X16" i="63"/>
  <c r="Y16" i="63" s="1"/>
  <c r="V16" i="63"/>
  <c r="S16" i="63"/>
  <c r="U16" i="63" s="1"/>
  <c r="B16" i="63"/>
  <c r="A16" i="63"/>
  <c r="AB15" i="63"/>
  <c r="AA15" i="63"/>
  <c r="X15" i="63"/>
  <c r="Y15" i="63" s="1"/>
  <c r="S15" i="63"/>
  <c r="U15" i="63" s="1"/>
  <c r="B15" i="63"/>
  <c r="A15" i="63"/>
  <c r="AB14" i="63"/>
  <c r="AA14" i="63"/>
  <c r="Y14" i="63"/>
  <c r="X14" i="63"/>
  <c r="S14" i="63"/>
  <c r="V14" i="63" s="1"/>
  <c r="B14" i="63"/>
  <c r="A14" i="63"/>
  <c r="AB13" i="63"/>
  <c r="AA13" i="63"/>
  <c r="AA12" i="63" s="1"/>
  <c r="AA11" i="63" s="1"/>
  <c r="AA10" i="63" s="1"/>
  <c r="AA9" i="63" s="1"/>
  <c r="X13" i="63"/>
  <c r="Y13" i="63" s="1"/>
  <c r="V13" i="63"/>
  <c r="U13" i="63"/>
  <c r="S13" i="63"/>
  <c r="B13" i="63"/>
  <c r="A13" i="63"/>
  <c r="Z12" i="63"/>
  <c r="X12" i="63"/>
  <c r="X11" i="63" s="1"/>
  <c r="W12" i="63"/>
  <c r="T12" i="63"/>
  <c r="T11" i="63" s="1"/>
  <c r="R12" i="63"/>
  <c r="Q12" i="63"/>
  <c r="Q11" i="63" s="1"/>
  <c r="Q10" i="63" s="1"/>
  <c r="Q9" i="63" s="1"/>
  <c r="P12" i="63"/>
  <c r="P11" i="63" s="1"/>
  <c r="P10" i="63" s="1"/>
  <c r="P9" i="63" s="1"/>
  <c r="O12" i="63"/>
  <c r="N12" i="63"/>
  <c r="M12" i="63"/>
  <c r="M11" i="63" s="1"/>
  <c r="M10" i="63" s="1"/>
  <c r="M9" i="63" s="1"/>
  <c r="B12" i="63"/>
  <c r="A12" i="63"/>
  <c r="Z11" i="63"/>
  <c r="Z10" i="63" s="1"/>
  <c r="Z9" i="63" s="1"/>
  <c r="W11" i="63"/>
  <c r="W10" i="63" s="1"/>
  <c r="W9" i="63" s="1"/>
  <c r="W8" i="63" s="1"/>
  <c r="W226" i="63" s="1"/>
  <c r="W229" i="63" s="1"/>
  <c r="R11" i="63"/>
  <c r="R10" i="63" s="1"/>
  <c r="R9" i="63" s="1"/>
  <c r="O11" i="63"/>
  <c r="O10" i="63" s="1"/>
  <c r="O9" i="63" s="1"/>
  <c r="O8" i="63" s="1"/>
  <c r="N11" i="63"/>
  <c r="N10" i="63" s="1"/>
  <c r="N9" i="63" s="1"/>
  <c r="B11" i="63"/>
  <c r="A11" i="63"/>
  <c r="B10" i="63"/>
  <c r="A10" i="63"/>
  <c r="B9" i="63"/>
  <c r="A9" i="63"/>
  <c r="B8" i="63"/>
  <c r="A8" i="63"/>
  <c r="N8" i="63" l="1"/>
  <c r="N226" i="63" s="1"/>
  <c r="N229" i="63" s="1"/>
  <c r="M44" i="63"/>
  <c r="M8" i="63" s="1"/>
  <c r="M226" i="63" s="1"/>
  <c r="M229" i="63" s="1"/>
  <c r="Z44" i="63"/>
  <c r="Z8" i="63" s="1"/>
  <c r="Z226" i="63" s="1"/>
  <c r="Z229" i="63" s="1"/>
  <c r="V79" i="63"/>
  <c r="S77" i="63"/>
  <c r="V77" i="63" s="1"/>
  <c r="U79" i="63"/>
  <c r="S84" i="63"/>
  <c r="V84" i="63" s="1"/>
  <c r="V89" i="63"/>
  <c r="U89" i="63"/>
  <c r="R8" i="63"/>
  <c r="R226" i="63" s="1"/>
  <c r="R229" i="63" s="1"/>
  <c r="AB45" i="63"/>
  <c r="Y45" i="63"/>
  <c r="P49" i="63"/>
  <c r="P44" i="63" s="1"/>
  <c r="P8" i="63" s="1"/>
  <c r="U74" i="63"/>
  <c r="Y11" i="63"/>
  <c r="AB11" i="63"/>
  <c r="V46" i="63"/>
  <c r="S45" i="63"/>
  <c r="V45" i="63" s="1"/>
  <c r="AB12" i="63"/>
  <c r="U14" i="63"/>
  <c r="V18" i="63"/>
  <c r="U19" i="63"/>
  <c r="S12" i="63"/>
  <c r="V15" i="63"/>
  <c r="S23" i="63"/>
  <c r="V23" i="63" s="1"/>
  <c r="V26" i="63"/>
  <c r="V30" i="63"/>
  <c r="T33" i="63"/>
  <c r="V34" i="63"/>
  <c r="V36" i="63"/>
  <c r="V40" i="63"/>
  <c r="Y47" i="63"/>
  <c r="V48" i="63"/>
  <c r="T50" i="63"/>
  <c r="V51" i="63"/>
  <c r="V53" i="63"/>
  <c r="S56" i="63"/>
  <c r="V56" i="63" s="1"/>
  <c r="V59" i="63"/>
  <c r="V66" i="63"/>
  <c r="X68" i="63"/>
  <c r="V72" i="63"/>
  <c r="Y74" i="63"/>
  <c r="V75" i="63"/>
  <c r="Q77" i="63"/>
  <c r="Q67" i="63" s="1"/>
  <c r="Q49" i="63" s="1"/>
  <c r="Q44" i="63" s="1"/>
  <c r="Q8" i="63" s="1"/>
  <c r="Q226" i="63" s="1"/>
  <c r="Q229" i="63" s="1"/>
  <c r="Y77" i="63"/>
  <c r="V78" i="63"/>
  <c r="V81" i="63"/>
  <c r="P84" i="63"/>
  <c r="P67" i="63" s="1"/>
  <c r="V88" i="63"/>
  <c r="AB92" i="63"/>
  <c r="AB97" i="63"/>
  <c r="T101" i="63"/>
  <c r="Y102" i="63"/>
  <c r="AB23" i="63"/>
  <c r="AB46" i="63"/>
  <c r="AB56" i="63"/>
  <c r="V96" i="63"/>
  <c r="S95" i="63"/>
  <c r="AA91" i="63"/>
  <c r="AA8" i="63" s="1"/>
  <c r="AA226" i="63" s="1"/>
  <c r="AA229" i="63" s="1"/>
  <c r="Y12" i="63"/>
  <c r="U22" i="63"/>
  <c r="U12" i="63" s="1"/>
  <c r="U11" i="63" s="1"/>
  <c r="U25" i="63"/>
  <c r="U23" i="63" s="1"/>
  <c r="U29" i="63"/>
  <c r="X34" i="63"/>
  <c r="X33" i="63" s="1"/>
  <c r="X10" i="63" s="1"/>
  <c r="X9" i="63" s="1"/>
  <c r="AB34" i="63"/>
  <c r="U35" i="63"/>
  <c r="U34" i="63" s="1"/>
  <c r="U39" i="63"/>
  <c r="U43" i="63"/>
  <c r="Y46" i="63"/>
  <c r="AB51" i="63"/>
  <c r="U52" i="63"/>
  <c r="U51" i="63" s="1"/>
  <c r="AB54" i="63"/>
  <c r="U55" i="63"/>
  <c r="U54" i="63" s="1"/>
  <c r="U58" i="63"/>
  <c r="U56" i="63" s="1"/>
  <c r="U65" i="63"/>
  <c r="U62" i="63" s="1"/>
  <c r="AB67" i="63"/>
  <c r="U71" i="63"/>
  <c r="U68" i="63" s="1"/>
  <c r="Y75" i="63"/>
  <c r="U80" i="63"/>
  <c r="U77" i="63" s="1"/>
  <c r="U87" i="63"/>
  <c r="U84" i="63" s="1"/>
  <c r="U90" i="63"/>
  <c r="T95" i="63"/>
  <c r="AB96" i="63"/>
  <c r="X97" i="63"/>
  <c r="Y98" i="63"/>
  <c r="AA119" i="63"/>
  <c r="S62" i="63"/>
  <c r="V62" i="63" s="1"/>
  <c r="S68" i="63"/>
  <c r="V102" i="63"/>
  <c r="S101" i="63"/>
  <c r="V101" i="63" s="1"/>
  <c r="Y105" i="63"/>
  <c r="AB105" i="63"/>
  <c r="T104" i="63"/>
  <c r="V106" i="63"/>
  <c r="S105" i="63"/>
  <c r="AB106" i="63"/>
  <c r="AB114" i="63"/>
  <c r="T119" i="63"/>
  <c r="V128" i="63"/>
  <c r="V154" i="63"/>
  <c r="S152" i="63"/>
  <c r="V152" i="63" s="1"/>
  <c r="X154" i="63"/>
  <c r="O159" i="63"/>
  <c r="S159" i="63"/>
  <c r="V159" i="63" s="1"/>
  <c r="U159" i="63"/>
  <c r="X170" i="63"/>
  <c r="X169" i="63" s="1"/>
  <c r="Y169" i="63" s="1"/>
  <c r="Y171" i="63"/>
  <c r="V174" i="63"/>
  <c r="U174" i="63"/>
  <c r="U173" i="63" s="1"/>
  <c r="S173" i="63"/>
  <c r="T179" i="63"/>
  <c r="Y180" i="63"/>
  <c r="AB180" i="63"/>
  <c r="AB110" i="63"/>
  <c r="AB117" i="63"/>
  <c r="AB122" i="63"/>
  <c r="V158" i="63"/>
  <c r="U158" i="63"/>
  <c r="U157" i="63" s="1"/>
  <c r="V167" i="63"/>
  <c r="S164" i="63"/>
  <c r="V164" i="63" s="1"/>
  <c r="V108" i="63"/>
  <c r="U109" i="63"/>
  <c r="U106" i="63" s="1"/>
  <c r="U105" i="63" s="1"/>
  <c r="U104" i="63" s="1"/>
  <c r="T113" i="63"/>
  <c r="V113" i="63" s="1"/>
  <c r="Y117" i="63"/>
  <c r="AB120" i="63"/>
  <c r="U121" i="63"/>
  <c r="U120" i="63" s="1"/>
  <c r="U119" i="63" s="1"/>
  <c r="AB128" i="63"/>
  <c r="V129" i="63"/>
  <c r="AB130" i="63"/>
  <c r="Y136" i="63"/>
  <c r="Z134" i="63"/>
  <c r="Z133" i="63" s="1"/>
  <c r="Z116" i="63" s="1"/>
  <c r="V145" i="63"/>
  <c r="S148" i="63"/>
  <c r="V148" i="63" s="1"/>
  <c r="V150" i="63"/>
  <c r="Y150" i="63"/>
  <c r="AB150" i="63"/>
  <c r="V163" i="63"/>
  <c r="U163" i="63"/>
  <c r="U162" i="63" s="1"/>
  <c r="Y164" i="63"/>
  <c r="Y165" i="63"/>
  <c r="X165" i="63"/>
  <c r="X164" i="63" s="1"/>
  <c r="Y166" i="63"/>
  <c r="V168" i="63"/>
  <c r="U168" i="63"/>
  <c r="U167" i="63" s="1"/>
  <c r="U164" i="63" s="1"/>
  <c r="AB169" i="63"/>
  <c r="V182" i="63"/>
  <c r="U182" i="63"/>
  <c r="V189" i="63"/>
  <c r="S144" i="63"/>
  <c r="X143" i="63"/>
  <c r="V155" i="63"/>
  <c r="U155" i="63"/>
  <c r="U154" i="63" s="1"/>
  <c r="U152" i="63" s="1"/>
  <c r="AB159" i="63"/>
  <c r="AA164" i="63"/>
  <c r="AA134" i="63" s="1"/>
  <c r="AA133" i="63" s="1"/>
  <c r="AA116" i="63" s="1"/>
  <c r="V169" i="63"/>
  <c r="AB172" i="63"/>
  <c r="V181" i="63"/>
  <c r="S180" i="63"/>
  <c r="U181" i="63"/>
  <c r="Y185" i="63"/>
  <c r="V224" i="63"/>
  <c r="S223" i="63"/>
  <c r="T135" i="63"/>
  <c r="T143" i="63"/>
  <c r="Y172" i="63"/>
  <c r="AA172" i="63"/>
  <c r="S175" i="63"/>
  <c r="V175" i="63" s="1"/>
  <c r="Y177" i="63"/>
  <c r="U192" i="63"/>
  <c r="U191" i="63" s="1"/>
  <c r="O195" i="63"/>
  <c r="S196" i="63"/>
  <c r="Y198" i="63"/>
  <c r="X200" i="63"/>
  <c r="Y200" i="63" s="1"/>
  <c r="Y201" i="63"/>
  <c r="T215" i="63"/>
  <c r="Y216" i="63"/>
  <c r="AB216" i="63"/>
  <c r="U215" i="63"/>
  <c r="X223" i="63"/>
  <c r="Y224" i="63"/>
  <c r="AB160" i="63"/>
  <c r="AB165" i="63"/>
  <c r="AB170" i="63"/>
  <c r="Y175" i="63"/>
  <c r="V190" i="63"/>
  <c r="U190" i="63"/>
  <c r="U189" i="63" s="1"/>
  <c r="T195" i="63"/>
  <c r="Y196" i="63"/>
  <c r="AA195" i="63"/>
  <c r="AB223" i="63"/>
  <c r="O172" i="63"/>
  <c r="O134" i="63" s="1"/>
  <c r="O133" i="63" s="1"/>
  <c r="O116" i="63" s="1"/>
  <c r="O226" i="63" s="1"/>
  <c r="O229" i="63" s="1"/>
  <c r="AB175" i="63"/>
  <c r="U176" i="63"/>
  <c r="U175" i="63" s="1"/>
  <c r="V185" i="63"/>
  <c r="X184" i="63"/>
  <c r="S191" i="63"/>
  <c r="V191" i="63" s="1"/>
  <c r="AB196" i="63"/>
  <c r="U197" i="63"/>
  <c r="U196" i="63" s="1"/>
  <c r="V203" i="63"/>
  <c r="U203" i="63"/>
  <c r="U202" i="63" s="1"/>
  <c r="S204" i="63"/>
  <c r="V204" i="63" s="1"/>
  <c r="V206" i="63"/>
  <c r="U206" i="63"/>
  <c r="S207" i="63"/>
  <c r="V207" i="63" s="1"/>
  <c r="V209" i="63"/>
  <c r="U209" i="63"/>
  <c r="U207" i="63" s="1"/>
  <c r="V211" i="63"/>
  <c r="P184" i="63"/>
  <c r="P134" i="63" s="1"/>
  <c r="P133" i="63" s="1"/>
  <c r="P116" i="63" s="1"/>
  <c r="Y191" i="63"/>
  <c r="T184" i="63"/>
  <c r="AB204" i="63"/>
  <c r="U204" i="63"/>
  <c r="AB207" i="63"/>
  <c r="T210" i="63"/>
  <c r="Y211" i="63"/>
  <c r="V225" i="63"/>
  <c r="U225" i="63"/>
  <c r="U224" i="63" s="1"/>
  <c r="U223" i="63" s="1"/>
  <c r="U222" i="63" s="1"/>
  <c r="U221" i="63" s="1"/>
  <c r="S215" i="63"/>
  <c r="V215" i="63" s="1"/>
  <c r="V220" i="63"/>
  <c r="T222" i="63"/>
  <c r="S210" i="63"/>
  <c r="U67" i="63" l="1"/>
  <c r="P226" i="63"/>
  <c r="P229" i="63" s="1"/>
  <c r="T221" i="63"/>
  <c r="AB222" i="63"/>
  <c r="Y184" i="63"/>
  <c r="AB184" i="63"/>
  <c r="U195" i="63"/>
  <c r="U184" i="63"/>
  <c r="V223" i="63"/>
  <c r="S222" i="63"/>
  <c r="V180" i="63"/>
  <c r="S179" i="63"/>
  <c r="V179" i="63" s="1"/>
  <c r="S184" i="63"/>
  <c r="V184" i="63" s="1"/>
  <c r="X152" i="63"/>
  <c r="Y152" i="63" s="1"/>
  <c r="Y154" i="63"/>
  <c r="Y119" i="63"/>
  <c r="AB119" i="63"/>
  <c r="AB104" i="63"/>
  <c r="Y104" i="63"/>
  <c r="S91" i="63"/>
  <c r="V95" i="63"/>
  <c r="T49" i="63"/>
  <c r="Y50" i="63"/>
  <c r="AB50" i="63"/>
  <c r="Y34" i="63"/>
  <c r="V144" i="63"/>
  <c r="S143" i="63"/>
  <c r="AB179" i="63"/>
  <c r="Y179" i="63"/>
  <c r="V68" i="63"/>
  <c r="S67" i="63"/>
  <c r="V67" i="63" s="1"/>
  <c r="U50" i="63"/>
  <c r="U49" i="63" s="1"/>
  <c r="U44" i="63" s="1"/>
  <c r="AB143" i="63"/>
  <c r="Y143" i="63"/>
  <c r="S172" i="63"/>
  <c r="V172" i="63" s="1"/>
  <c r="V173" i="63"/>
  <c r="S104" i="63"/>
  <c r="V104" i="63" s="1"/>
  <c r="V105" i="63"/>
  <c r="AB95" i="63"/>
  <c r="T91" i="63"/>
  <c r="U33" i="63"/>
  <c r="U10" i="63" s="1"/>
  <c r="U9" i="63" s="1"/>
  <c r="U8" i="63" s="1"/>
  <c r="AB101" i="63"/>
  <c r="Y101" i="63"/>
  <c r="X67" i="63"/>
  <c r="Y68" i="63"/>
  <c r="Y33" i="63"/>
  <c r="AB33" i="63"/>
  <c r="AB210" i="63"/>
  <c r="Y210" i="63"/>
  <c r="V210" i="63"/>
  <c r="X195" i="63"/>
  <c r="AB195" i="63"/>
  <c r="Y195" i="63"/>
  <c r="X222" i="63"/>
  <c r="X221" i="63" s="1"/>
  <c r="Y223" i="63"/>
  <c r="Y215" i="63"/>
  <c r="AB215" i="63"/>
  <c r="V196" i="63"/>
  <c r="S195" i="63"/>
  <c r="V195" i="63" s="1"/>
  <c r="T134" i="63"/>
  <c r="AB135" i="63"/>
  <c r="Y135" i="63"/>
  <c r="U180" i="63"/>
  <c r="U179" i="63" s="1"/>
  <c r="Y113" i="63"/>
  <c r="AB113" i="63"/>
  <c r="T112" i="63"/>
  <c r="V135" i="63"/>
  <c r="U172" i="63"/>
  <c r="U134" i="63" s="1"/>
  <c r="U133" i="63" s="1"/>
  <c r="U116" i="63" s="1"/>
  <c r="Y170" i="63"/>
  <c r="Y97" i="63"/>
  <c r="X96" i="63"/>
  <c r="V12" i="63"/>
  <c r="S11" i="63"/>
  <c r="V33" i="63"/>
  <c r="T10" i="63"/>
  <c r="S50" i="63"/>
  <c r="U226" i="63" l="1"/>
  <c r="Y112" i="63"/>
  <c r="AB112" i="63"/>
  <c r="V112" i="63"/>
  <c r="V143" i="63"/>
  <c r="S134" i="63"/>
  <c r="Y222" i="63"/>
  <c r="V11" i="63"/>
  <c r="S10" i="63"/>
  <c r="AB49" i="63"/>
  <c r="T44" i="63"/>
  <c r="V222" i="63"/>
  <c r="S221" i="63"/>
  <c r="V221" i="63" s="1"/>
  <c r="AB221" i="63"/>
  <c r="Y221" i="63"/>
  <c r="X134" i="63"/>
  <c r="X133" i="63" s="1"/>
  <c r="X116" i="63" s="1"/>
  <c r="V50" i="63"/>
  <c r="S49" i="63"/>
  <c r="AB134" i="63"/>
  <c r="T133" i="63"/>
  <c r="Y134" i="63"/>
  <c r="Y67" i="63"/>
  <c r="X49" i="63"/>
  <c r="X44" i="63" s="1"/>
  <c r="AB91" i="63"/>
  <c r="T9" i="63"/>
  <c r="Y10" i="63"/>
  <c r="AB10" i="63"/>
  <c r="X95" i="63"/>
  <c r="Y96" i="63"/>
  <c r="V91" i="63"/>
  <c r="Y44" i="63" l="1"/>
  <c r="AB44" i="63"/>
  <c r="X8" i="63"/>
  <c r="X226" i="63" s="1"/>
  <c r="X229" i="63" s="1"/>
  <c r="V49" i="63"/>
  <c r="S44" i="63"/>
  <c r="V44" i="63" s="1"/>
  <c r="X91" i="63"/>
  <c r="Y91" i="63" s="1"/>
  <c r="Y95" i="63"/>
  <c r="Y49" i="63"/>
  <c r="V134" i="63"/>
  <c r="S133" i="63"/>
  <c r="T8" i="63"/>
  <c r="Y9" i="63"/>
  <c r="AB9" i="63"/>
  <c r="AB133" i="63"/>
  <c r="Y133" i="63"/>
  <c r="T116" i="63"/>
  <c r="V10" i="63"/>
  <c r="S9" i="63"/>
  <c r="T226" i="63" l="1"/>
  <c r="Y8" i="63"/>
  <c r="AB8" i="63"/>
  <c r="AB116" i="63"/>
  <c r="Y116" i="63"/>
  <c r="V9" i="63"/>
  <c r="S8" i="63"/>
  <c r="V133" i="63"/>
  <c r="S116" i="63"/>
  <c r="V116" i="63" s="1"/>
  <c r="S226" i="63" l="1"/>
  <c r="V8" i="63"/>
  <c r="Y226" i="63"/>
  <c r="Y228" i="63" s="1"/>
  <c r="T229" i="63"/>
  <c r="AB226" i="63"/>
  <c r="AB228" i="63" s="1"/>
  <c r="S229" i="63" l="1"/>
  <c r="U228" i="63"/>
  <c r="U229" i="63" s="1"/>
  <c r="V226" i="63"/>
  <c r="V228" i="63" s="1"/>
  <c r="AA240" i="60" l="1"/>
  <c r="X240" i="60"/>
  <c r="Q240" i="60"/>
  <c r="P240" i="60"/>
  <c r="A240" i="60"/>
  <c r="AB237" i="60"/>
  <c r="AA237" i="60"/>
  <c r="AA236" i="60" s="1"/>
  <c r="AA235" i="60" s="1"/>
  <c r="AA234" i="60" s="1"/>
  <c r="AA233" i="60" s="1"/>
  <c r="X237" i="60"/>
  <c r="Y237" i="60" s="1"/>
  <c r="U237" i="60"/>
  <c r="U236" i="60" s="1"/>
  <c r="U235" i="60" s="1"/>
  <c r="U234" i="60" s="1"/>
  <c r="U233" i="60" s="1"/>
  <c r="S237" i="60"/>
  <c r="V237" i="60" s="1"/>
  <c r="B237" i="60"/>
  <c r="A237" i="60"/>
  <c r="Z236" i="60"/>
  <c r="X236" i="60"/>
  <c r="X235" i="60" s="1"/>
  <c r="W236" i="60"/>
  <c r="T236" i="60"/>
  <c r="S236" i="60"/>
  <c r="R236" i="60"/>
  <c r="Q236" i="60"/>
  <c r="P236" i="60"/>
  <c r="P235" i="60" s="1"/>
  <c r="O236" i="60"/>
  <c r="N236" i="60"/>
  <c r="M236" i="60"/>
  <c r="B236" i="60"/>
  <c r="A236" i="60"/>
  <c r="Z235" i="60"/>
  <c r="Z234" i="60" s="1"/>
  <c r="W235" i="60"/>
  <c r="S235" i="60"/>
  <c r="R235" i="60"/>
  <c r="R234" i="60" s="1"/>
  <c r="Q235" i="60"/>
  <c r="Q234" i="60" s="1"/>
  <c r="Q233" i="60" s="1"/>
  <c r="O235" i="60"/>
  <c r="N235" i="60"/>
  <c r="N234" i="60" s="1"/>
  <c r="M235" i="60"/>
  <c r="M234" i="60" s="1"/>
  <c r="M233" i="60" s="1"/>
  <c r="B235" i="60"/>
  <c r="A235" i="60"/>
  <c r="X234" i="60"/>
  <c r="X233" i="60" s="1"/>
  <c r="W234" i="60"/>
  <c r="W233" i="60" s="1"/>
  <c r="S234" i="60"/>
  <c r="S233" i="60" s="1"/>
  <c r="P234" i="60"/>
  <c r="P233" i="60" s="1"/>
  <c r="O234" i="60"/>
  <c r="O233" i="60" s="1"/>
  <c r="B234" i="60"/>
  <c r="A234" i="60"/>
  <c r="Z233" i="60"/>
  <c r="R233" i="60"/>
  <c r="N233" i="60"/>
  <c r="B233" i="60"/>
  <c r="A233" i="60"/>
  <c r="AB232" i="60"/>
  <c r="AA232" i="60"/>
  <c r="Y232" i="60"/>
  <c r="X232" i="60"/>
  <c r="Q232" i="60"/>
  <c r="P232" i="60"/>
  <c r="B232" i="60"/>
  <c r="A232" i="60"/>
  <c r="AB231" i="60"/>
  <c r="AA231" i="60"/>
  <c r="AA230" i="60" s="1"/>
  <c r="AA229" i="60" s="1"/>
  <c r="Y231" i="60"/>
  <c r="X231" i="60"/>
  <c r="U231" i="60"/>
  <c r="S231" i="60"/>
  <c r="V231" i="60" s="1"/>
  <c r="Q231" i="60"/>
  <c r="P231" i="60"/>
  <c r="B231" i="60"/>
  <c r="A231" i="60"/>
  <c r="Z230" i="60"/>
  <c r="Z229" i="60" s="1"/>
  <c r="Y230" i="60"/>
  <c r="X230" i="60"/>
  <c r="W230" i="60"/>
  <c r="T230" i="60"/>
  <c r="R230" i="60"/>
  <c r="R229" i="60" s="1"/>
  <c r="Q230" i="60"/>
  <c r="Q229" i="60" s="1"/>
  <c r="O230" i="60"/>
  <c r="N230" i="60"/>
  <c r="N229" i="60" s="1"/>
  <c r="M230" i="60"/>
  <c r="M229" i="60" s="1"/>
  <c r="B230" i="60"/>
  <c r="A230" i="60"/>
  <c r="X229" i="60"/>
  <c r="W229" i="60"/>
  <c r="T229" i="60"/>
  <c r="O229" i="60"/>
  <c r="B229" i="60"/>
  <c r="A229" i="60"/>
  <c r="AB228" i="60"/>
  <c r="AA228" i="60"/>
  <c r="Y228" i="60"/>
  <c r="X228" i="60"/>
  <c r="S228" i="60"/>
  <c r="B228" i="60"/>
  <c r="AB227" i="60"/>
  <c r="AA227" i="60"/>
  <c r="Y227" i="60"/>
  <c r="X227" i="60"/>
  <c r="S227" i="60"/>
  <c r="Q227" i="60"/>
  <c r="B227" i="60"/>
  <c r="AB226" i="60"/>
  <c r="AA226" i="60"/>
  <c r="AA223" i="60" s="1"/>
  <c r="AA222" i="60" s="1"/>
  <c r="Y226" i="60"/>
  <c r="X226" i="60"/>
  <c r="U226" i="60"/>
  <c r="S226" i="60"/>
  <c r="V226" i="60" s="1"/>
  <c r="P226" i="60"/>
  <c r="B226" i="60"/>
  <c r="AB225" i="60"/>
  <c r="AA225" i="60"/>
  <c r="Y225" i="60"/>
  <c r="X225" i="60"/>
  <c r="Q225" i="60"/>
  <c r="P225" i="60"/>
  <c r="S225" i="60" s="1"/>
  <c r="B225" i="60"/>
  <c r="AB224" i="60"/>
  <c r="AA224" i="60"/>
  <c r="Y224" i="60"/>
  <c r="X224" i="60"/>
  <c r="S224" i="60"/>
  <c r="Q224" i="60"/>
  <c r="Q223" i="60" s="1"/>
  <c r="P224" i="60"/>
  <c r="B224" i="60"/>
  <c r="Z223" i="60"/>
  <c r="Z222" i="60" s="1"/>
  <c r="X223" i="60"/>
  <c r="X222" i="60" s="1"/>
  <c r="W223" i="60"/>
  <c r="W222" i="60" s="1"/>
  <c r="T223" i="60"/>
  <c r="R223" i="60"/>
  <c r="R222" i="60" s="1"/>
  <c r="P223" i="60"/>
  <c r="P222" i="60" s="1"/>
  <c r="O223" i="60"/>
  <c r="O222" i="60" s="1"/>
  <c r="N223" i="60"/>
  <c r="N222" i="60" s="1"/>
  <c r="M223" i="60"/>
  <c r="B223" i="60"/>
  <c r="Q222" i="60"/>
  <c r="M222" i="60"/>
  <c r="B222" i="60"/>
  <c r="AB221" i="60"/>
  <c r="AA221" i="60"/>
  <c r="Y221" i="60"/>
  <c r="X221" i="60"/>
  <c r="X219" i="60" s="1"/>
  <c r="Y219" i="60" s="1"/>
  <c r="S221" i="60"/>
  <c r="P221" i="60"/>
  <c r="P219" i="60" s="1"/>
  <c r="B221" i="60"/>
  <c r="A221" i="60"/>
  <c r="AB220" i="60"/>
  <c r="AA220" i="60"/>
  <c r="AA219" i="60" s="1"/>
  <c r="Y220" i="60"/>
  <c r="X220" i="60"/>
  <c r="V220" i="60"/>
  <c r="U220" i="60"/>
  <c r="S220" i="60"/>
  <c r="S219" i="60" s="1"/>
  <c r="V219" i="60" s="1"/>
  <c r="P220" i="60"/>
  <c r="B220" i="60"/>
  <c r="A220" i="60"/>
  <c r="Z219" i="60"/>
  <c r="W219" i="60"/>
  <c r="T219" i="60"/>
  <c r="R219" i="60"/>
  <c r="Q219" i="60"/>
  <c r="O219" i="60"/>
  <c r="N219" i="60"/>
  <c r="M219" i="60"/>
  <c r="B219" i="60"/>
  <c r="A219" i="60"/>
  <c r="AB218" i="60"/>
  <c r="AA218" i="60"/>
  <c r="Y218" i="60"/>
  <c r="X218" i="60"/>
  <c r="V218" i="60"/>
  <c r="U218" i="60"/>
  <c r="S218" i="60"/>
  <c r="B218" i="60"/>
  <c r="A218" i="60"/>
  <c r="AB217" i="60"/>
  <c r="AA217" i="60"/>
  <c r="X217" i="60"/>
  <c r="Q217" i="60"/>
  <c r="B217" i="60"/>
  <c r="A217" i="60"/>
  <c r="AA216" i="60"/>
  <c r="Z216" i="60"/>
  <c r="W216" i="60"/>
  <c r="T216" i="60"/>
  <c r="AB216" i="60" s="1"/>
  <c r="R216" i="60"/>
  <c r="P216" i="60"/>
  <c r="O216" i="60"/>
  <c r="N216" i="60"/>
  <c r="M216" i="60"/>
  <c r="B216" i="60"/>
  <c r="A216" i="60"/>
  <c r="AB215" i="60"/>
  <c r="AA215" i="60"/>
  <c r="X215" i="60"/>
  <c r="Q215" i="60"/>
  <c r="B215" i="60"/>
  <c r="A215" i="60"/>
  <c r="AA214" i="60"/>
  <c r="Z214" i="60"/>
  <c r="W214" i="60"/>
  <c r="T214" i="60"/>
  <c r="AB214" i="60" s="1"/>
  <c r="R214" i="60"/>
  <c r="P214" i="60"/>
  <c r="O214" i="60"/>
  <c r="N214" i="60"/>
  <c r="M214" i="60"/>
  <c r="B214" i="60"/>
  <c r="A214" i="60"/>
  <c r="AB213" i="60"/>
  <c r="AA213" i="60"/>
  <c r="X213" i="60"/>
  <c r="P213" i="60"/>
  <c r="B213" i="60"/>
  <c r="A213" i="60"/>
  <c r="AA212" i="60"/>
  <c r="Z212" i="60"/>
  <c r="W212" i="60"/>
  <c r="T212" i="60"/>
  <c r="AB212" i="60" s="1"/>
  <c r="R212" i="60"/>
  <c r="Q212" i="60"/>
  <c r="O212" i="60"/>
  <c r="N212" i="60"/>
  <c r="M212" i="60"/>
  <c r="B212" i="60"/>
  <c r="A212" i="60"/>
  <c r="AB211" i="60"/>
  <c r="AA211" i="60"/>
  <c r="X211" i="60"/>
  <c r="P211" i="60"/>
  <c r="B211" i="60"/>
  <c r="A211" i="60"/>
  <c r="AA210" i="60"/>
  <c r="Z210" i="60"/>
  <c r="W210" i="60"/>
  <c r="T210" i="60"/>
  <c r="AB210" i="60" s="1"/>
  <c r="R210" i="60"/>
  <c r="Q210" i="60"/>
  <c r="O210" i="60"/>
  <c r="N210" i="60"/>
  <c r="M210" i="60"/>
  <c r="B210" i="60"/>
  <c r="A210" i="60"/>
  <c r="AB209" i="60"/>
  <c r="AA209" i="60"/>
  <c r="X209" i="60"/>
  <c r="P209" i="60"/>
  <c r="B209" i="60"/>
  <c r="A209" i="60"/>
  <c r="AA208" i="60"/>
  <c r="Z208" i="60"/>
  <c r="W208" i="60"/>
  <c r="T208" i="60"/>
  <c r="R208" i="60"/>
  <c r="Q208" i="60"/>
  <c r="O208" i="60"/>
  <c r="O207" i="60" s="1"/>
  <c r="N208" i="60"/>
  <c r="N207" i="60" s="1"/>
  <c r="M208" i="60"/>
  <c r="B208" i="60"/>
  <c r="A208" i="60"/>
  <c r="T207" i="60"/>
  <c r="M207" i="60"/>
  <c r="B207" i="60"/>
  <c r="A207" i="60"/>
  <c r="AB206" i="60"/>
  <c r="AA206" i="60"/>
  <c r="AA205" i="60" s="1"/>
  <c r="Y206" i="60"/>
  <c r="X206" i="60"/>
  <c r="U206" i="60"/>
  <c r="U205" i="60" s="1"/>
  <c r="S206" i="60"/>
  <c r="Q206" i="60"/>
  <c r="P206" i="60"/>
  <c r="B206" i="60"/>
  <c r="A206" i="60"/>
  <c r="Z205" i="60"/>
  <c r="Y205" i="60"/>
  <c r="X205" i="60"/>
  <c r="W205" i="60"/>
  <c r="T205" i="60"/>
  <c r="AB205" i="60" s="1"/>
  <c r="R205" i="60"/>
  <c r="Q205" i="60"/>
  <c r="P205" i="60"/>
  <c r="O205" i="60"/>
  <c r="N205" i="60"/>
  <c r="N196" i="60" s="1"/>
  <c r="M205" i="60"/>
  <c r="B205" i="60"/>
  <c r="A205" i="60"/>
  <c r="AB204" i="60"/>
  <c r="AA204" i="60"/>
  <c r="AA203" i="60" s="1"/>
  <c r="Y204" i="60"/>
  <c r="X204" i="60"/>
  <c r="V204" i="60"/>
  <c r="U204" i="60"/>
  <c r="S204" i="60"/>
  <c r="S203" i="60" s="1"/>
  <c r="Q204" i="60"/>
  <c r="B204" i="60"/>
  <c r="A204" i="60"/>
  <c r="Z203" i="60"/>
  <c r="Y203" i="60"/>
  <c r="X203" i="60"/>
  <c r="W203" i="60"/>
  <c r="V203" i="60"/>
  <c r="U203" i="60"/>
  <c r="T203" i="60"/>
  <c r="AB203" i="60" s="1"/>
  <c r="R203" i="60"/>
  <c r="Q203" i="60"/>
  <c r="P203" i="60"/>
  <c r="O203" i="60"/>
  <c r="N203" i="60"/>
  <c r="M203" i="60"/>
  <c r="B203" i="60"/>
  <c r="A203" i="60"/>
  <c r="AB202" i="60"/>
  <c r="AA202" i="60"/>
  <c r="Y202" i="60"/>
  <c r="X202" i="60"/>
  <c r="Q202" i="60"/>
  <c r="P202" i="60"/>
  <c r="B202" i="60"/>
  <c r="A202" i="60"/>
  <c r="AA201" i="60"/>
  <c r="AA196" i="60" s="1"/>
  <c r="Z201" i="60"/>
  <c r="Z196" i="60" s="1"/>
  <c r="Y201" i="60"/>
  <c r="X201" i="60"/>
  <c r="W201" i="60"/>
  <c r="T201" i="60"/>
  <c r="R201" i="60"/>
  <c r="Q201" i="60"/>
  <c r="O201" i="60"/>
  <c r="N201" i="60"/>
  <c r="M201" i="60"/>
  <c r="B201" i="60"/>
  <c r="A201" i="60"/>
  <c r="AB200" i="60"/>
  <c r="AA200" i="60"/>
  <c r="X200" i="60"/>
  <c r="Q200" i="60"/>
  <c r="B200" i="60"/>
  <c r="A200" i="60"/>
  <c r="AA199" i="60"/>
  <c r="Z199" i="60"/>
  <c r="W199" i="60"/>
  <c r="T199" i="60"/>
  <c r="AB199" i="60" s="1"/>
  <c r="R199" i="60"/>
  <c r="P199" i="60"/>
  <c r="O199" i="60"/>
  <c r="N199" i="60"/>
  <c r="M199" i="60"/>
  <c r="B199" i="60"/>
  <c r="A199" i="60"/>
  <c r="AB198" i="60"/>
  <c r="AA198" i="60"/>
  <c r="X198" i="60"/>
  <c r="Q198" i="60"/>
  <c r="B198" i="60"/>
  <c r="A198" i="60"/>
  <c r="AA197" i="60"/>
  <c r="Z197" i="60"/>
  <c r="W197" i="60"/>
  <c r="T197" i="60"/>
  <c r="R197" i="60"/>
  <c r="P197" i="60"/>
  <c r="O197" i="60"/>
  <c r="N197" i="60"/>
  <c r="M197" i="60"/>
  <c r="B197" i="60"/>
  <c r="A197" i="60"/>
  <c r="T196" i="60"/>
  <c r="AB196" i="60" s="1"/>
  <c r="R196" i="60"/>
  <c r="M196" i="60"/>
  <c r="B196" i="60"/>
  <c r="A196" i="60"/>
  <c r="AB195" i="60"/>
  <c r="AA195" i="60"/>
  <c r="AA192" i="60" s="1"/>
  <c r="AA191" i="60" s="1"/>
  <c r="Y195" i="60"/>
  <c r="X195" i="60"/>
  <c r="U195" i="60"/>
  <c r="S195" i="60"/>
  <c r="V195" i="60" s="1"/>
  <c r="B195" i="60"/>
  <c r="A195" i="60"/>
  <c r="AB194" i="60"/>
  <c r="AA194" i="60"/>
  <c r="Y194" i="60"/>
  <c r="X194" i="60"/>
  <c r="V194" i="60"/>
  <c r="U194" i="60"/>
  <c r="S194" i="60"/>
  <c r="Q194" i="60"/>
  <c r="B194" i="60"/>
  <c r="A194" i="60"/>
  <c r="AB193" i="60"/>
  <c r="AA193" i="60"/>
  <c r="Y193" i="60"/>
  <c r="X193" i="60"/>
  <c r="S193" i="60"/>
  <c r="P193" i="60"/>
  <c r="B193" i="60"/>
  <c r="A193" i="60"/>
  <c r="Z192" i="60"/>
  <c r="X192" i="60"/>
  <c r="X191" i="60" s="1"/>
  <c r="W192" i="60"/>
  <c r="W191" i="60" s="1"/>
  <c r="T192" i="60"/>
  <c r="R192" i="60"/>
  <c r="Q192" i="60"/>
  <c r="P192" i="60"/>
  <c r="P191" i="60" s="1"/>
  <c r="O192" i="60"/>
  <c r="O191" i="60" s="1"/>
  <c r="N192" i="60"/>
  <c r="M192" i="60"/>
  <c r="B192" i="60"/>
  <c r="A192" i="60"/>
  <c r="Z191" i="60"/>
  <c r="R191" i="60"/>
  <c r="Q191" i="60"/>
  <c r="N191" i="60"/>
  <c r="M191" i="60"/>
  <c r="B191" i="60"/>
  <c r="A191" i="60"/>
  <c r="AB190" i="60"/>
  <c r="AA190" i="60"/>
  <c r="AA189" i="60" s="1"/>
  <c r="Y190" i="60"/>
  <c r="X190" i="60"/>
  <c r="V190" i="60"/>
  <c r="U190" i="60"/>
  <c r="S190" i="60"/>
  <c r="B190" i="60"/>
  <c r="A190" i="60"/>
  <c r="Z189" i="60"/>
  <c r="Y189" i="60"/>
  <c r="X189" i="60"/>
  <c r="W189" i="60"/>
  <c r="U189" i="60"/>
  <c r="T189" i="60"/>
  <c r="AB189" i="60" s="1"/>
  <c r="S189" i="60"/>
  <c r="V189" i="60" s="1"/>
  <c r="R189" i="60"/>
  <c r="Q189" i="60"/>
  <c r="Q184" i="60" s="1"/>
  <c r="P189" i="60"/>
  <c r="O189" i="60"/>
  <c r="N189" i="60"/>
  <c r="M189" i="60"/>
  <c r="B189" i="60"/>
  <c r="A189" i="60"/>
  <c r="AB188" i="60"/>
  <c r="AA188" i="60"/>
  <c r="AA187" i="60" s="1"/>
  <c r="Y188" i="60"/>
  <c r="X188" i="60"/>
  <c r="U188" i="60"/>
  <c r="U187" i="60" s="1"/>
  <c r="S188" i="60"/>
  <c r="V188" i="60" s="1"/>
  <c r="B188" i="60"/>
  <c r="A188" i="60"/>
  <c r="Z187" i="60"/>
  <c r="X187" i="60"/>
  <c r="W187" i="60"/>
  <c r="T187" i="60"/>
  <c r="S187" i="60"/>
  <c r="V187" i="60" s="1"/>
  <c r="R187" i="60"/>
  <c r="Q187" i="60"/>
  <c r="P187" i="60"/>
  <c r="P184" i="60" s="1"/>
  <c r="O187" i="60"/>
  <c r="N187" i="60"/>
  <c r="M187" i="60"/>
  <c r="B187" i="60"/>
  <c r="A187" i="60"/>
  <c r="AB186" i="60"/>
  <c r="AA186" i="60"/>
  <c r="Y186" i="60"/>
  <c r="X186" i="60"/>
  <c r="X185" i="60" s="1"/>
  <c r="S186" i="60"/>
  <c r="B186" i="60"/>
  <c r="A186" i="60"/>
  <c r="AA185" i="60"/>
  <c r="AA184" i="60" s="1"/>
  <c r="Z185" i="60"/>
  <c r="Z184" i="60" s="1"/>
  <c r="W185" i="60"/>
  <c r="W184" i="60" s="1"/>
  <c r="T185" i="60"/>
  <c r="AB185" i="60" s="1"/>
  <c r="S185" i="60"/>
  <c r="R185" i="60"/>
  <c r="R184" i="60" s="1"/>
  <c r="Q185" i="60"/>
  <c r="P185" i="60"/>
  <c r="O185" i="60"/>
  <c r="O184" i="60" s="1"/>
  <c r="N185" i="60"/>
  <c r="N184" i="60" s="1"/>
  <c r="M185" i="60"/>
  <c r="B185" i="60"/>
  <c r="A185" i="60"/>
  <c r="M184" i="60"/>
  <c r="B184" i="60"/>
  <c r="A184" i="60"/>
  <c r="AB183" i="60"/>
  <c r="AA183" i="60"/>
  <c r="AA182" i="60" s="1"/>
  <c r="AA174" i="60" s="1"/>
  <c r="Y183" i="60"/>
  <c r="X183" i="60"/>
  <c r="U183" i="60"/>
  <c r="U182" i="60" s="1"/>
  <c r="S183" i="60"/>
  <c r="V183" i="60" s="1"/>
  <c r="B183" i="60"/>
  <c r="A183" i="60"/>
  <c r="Z182" i="60"/>
  <c r="X182" i="60"/>
  <c r="W182" i="60"/>
  <c r="T182" i="60"/>
  <c r="Y182" i="60" s="1"/>
  <c r="S182" i="60"/>
  <c r="V182" i="60" s="1"/>
  <c r="R182" i="60"/>
  <c r="Q182" i="60"/>
  <c r="P182" i="60"/>
  <c r="O182" i="60"/>
  <c r="N182" i="60"/>
  <c r="M182" i="60"/>
  <c r="B182" i="60"/>
  <c r="A182" i="60"/>
  <c r="AB181" i="60"/>
  <c r="AA181" i="60"/>
  <c r="Y181" i="60"/>
  <c r="X181" i="60"/>
  <c r="S181" i="60"/>
  <c r="B181" i="60"/>
  <c r="A181" i="60"/>
  <c r="AB180" i="60"/>
  <c r="AA180" i="60"/>
  <c r="AA179" i="60" s="1"/>
  <c r="Y180" i="60"/>
  <c r="X180" i="60"/>
  <c r="U180" i="60"/>
  <c r="S180" i="60"/>
  <c r="V180" i="60" s="1"/>
  <c r="B180" i="60"/>
  <c r="A180" i="60"/>
  <c r="Z179" i="60"/>
  <c r="X179" i="60"/>
  <c r="W179" i="60"/>
  <c r="T179" i="60"/>
  <c r="Y179" i="60" s="1"/>
  <c r="R179" i="60"/>
  <c r="Q179" i="60"/>
  <c r="P179" i="60"/>
  <c r="O179" i="60"/>
  <c r="N179" i="60"/>
  <c r="M179" i="60"/>
  <c r="B179" i="60"/>
  <c r="A179" i="60"/>
  <c r="AB178" i="60"/>
  <c r="AA178" i="60"/>
  <c r="X178" i="60"/>
  <c r="X177" i="60" s="1"/>
  <c r="Y177" i="60" s="1"/>
  <c r="S178" i="60"/>
  <c r="B178" i="60"/>
  <c r="A178" i="60"/>
  <c r="AA177" i="60"/>
  <c r="Z177" i="60"/>
  <c r="Z174" i="60" s="1"/>
  <c r="W177" i="60"/>
  <c r="V177" i="60"/>
  <c r="T177" i="60"/>
  <c r="AB177" i="60" s="1"/>
  <c r="S177" i="60"/>
  <c r="R177" i="60"/>
  <c r="Q177" i="60"/>
  <c r="Q174" i="60" s="1"/>
  <c r="P177" i="60"/>
  <c r="O177" i="60"/>
  <c r="N177" i="60"/>
  <c r="M177" i="60"/>
  <c r="M174" i="60" s="1"/>
  <c r="B177" i="60"/>
  <c r="A177" i="60"/>
  <c r="AB176" i="60"/>
  <c r="AA176" i="60"/>
  <c r="AA175" i="60" s="1"/>
  <c r="X176" i="60"/>
  <c r="V176" i="60"/>
  <c r="U176" i="60"/>
  <c r="S176" i="60"/>
  <c r="B176" i="60"/>
  <c r="A176" i="60"/>
  <c r="Z175" i="60"/>
  <c r="W175" i="60"/>
  <c r="V175" i="60"/>
  <c r="U175" i="60"/>
  <c r="T175" i="60"/>
  <c r="AB175" i="60" s="1"/>
  <c r="S175" i="60"/>
  <c r="R175" i="60"/>
  <c r="Q175" i="60"/>
  <c r="P175" i="60"/>
  <c r="O175" i="60"/>
  <c r="N175" i="60"/>
  <c r="M175" i="60"/>
  <c r="B175" i="60"/>
  <c r="A175" i="60"/>
  <c r="W174" i="60"/>
  <c r="P174" i="60"/>
  <c r="O174" i="60"/>
  <c r="B174" i="60"/>
  <c r="A174" i="60"/>
  <c r="AB173" i="60"/>
  <c r="AA173" i="60"/>
  <c r="Y173" i="60"/>
  <c r="X173" i="60"/>
  <c r="X172" i="60" s="1"/>
  <c r="S173" i="60"/>
  <c r="B173" i="60"/>
  <c r="A173" i="60"/>
  <c r="AA172" i="60"/>
  <c r="Z172" i="60"/>
  <c r="Y172" i="60"/>
  <c r="W172" i="60"/>
  <c r="T172" i="60"/>
  <c r="AB172" i="60" s="1"/>
  <c r="S172" i="60"/>
  <c r="V172" i="60" s="1"/>
  <c r="R172" i="60"/>
  <c r="Q172" i="60"/>
  <c r="P172" i="60"/>
  <c r="O172" i="60"/>
  <c r="N172" i="60"/>
  <c r="M172" i="60"/>
  <c r="B172" i="60"/>
  <c r="A172" i="60"/>
  <c r="AB171" i="60"/>
  <c r="AA171" i="60"/>
  <c r="AA170" i="60" s="1"/>
  <c r="Y171" i="60"/>
  <c r="X171" i="60"/>
  <c r="X170" i="60" s="1"/>
  <c r="X169" i="60" s="1"/>
  <c r="V171" i="60"/>
  <c r="U171" i="60"/>
  <c r="S171" i="60"/>
  <c r="B171" i="60"/>
  <c r="A171" i="60"/>
  <c r="Z170" i="60"/>
  <c r="Y170" i="60"/>
  <c r="W170" i="60"/>
  <c r="V170" i="60"/>
  <c r="U170" i="60"/>
  <c r="T170" i="60"/>
  <c r="AB170" i="60" s="1"/>
  <c r="S170" i="60"/>
  <c r="R170" i="60"/>
  <c r="R169" i="60" s="1"/>
  <c r="Q170" i="60"/>
  <c r="Q169" i="60" s="1"/>
  <c r="P170" i="60"/>
  <c r="O170" i="60"/>
  <c r="N170" i="60"/>
  <c r="N169" i="60" s="1"/>
  <c r="M170" i="60"/>
  <c r="M169" i="60" s="1"/>
  <c r="B170" i="60"/>
  <c r="A170" i="60"/>
  <c r="AA169" i="60"/>
  <c r="W169" i="60"/>
  <c r="T169" i="60"/>
  <c r="Y169" i="60" s="1"/>
  <c r="P169" i="60"/>
  <c r="O169" i="60"/>
  <c r="B169" i="60"/>
  <c r="A169" i="60"/>
  <c r="AB168" i="60"/>
  <c r="AA168" i="60"/>
  <c r="Y168" i="60"/>
  <c r="X168" i="60"/>
  <c r="Q168" i="60"/>
  <c r="S168" i="60" s="1"/>
  <c r="P168" i="60"/>
  <c r="B168" i="60"/>
  <c r="A168" i="60"/>
  <c r="AB167" i="60"/>
  <c r="AA167" i="60"/>
  <c r="X167" i="60"/>
  <c r="V167" i="60"/>
  <c r="S167" i="60"/>
  <c r="U167" i="60" s="1"/>
  <c r="B167" i="60"/>
  <c r="A167" i="60"/>
  <c r="AA166" i="60"/>
  <c r="Z166" i="60"/>
  <c r="W166" i="60"/>
  <c r="T166" i="60"/>
  <c r="R166" i="60"/>
  <c r="P166" i="60"/>
  <c r="O166" i="60"/>
  <c r="N166" i="60"/>
  <c r="M166" i="60"/>
  <c r="B166" i="60"/>
  <c r="A166" i="60"/>
  <c r="AB165" i="60"/>
  <c r="AA165" i="60"/>
  <c r="Y165" i="60"/>
  <c r="X165" i="60"/>
  <c r="Q165" i="60"/>
  <c r="P165" i="60"/>
  <c r="B165" i="60"/>
  <c r="A165" i="60"/>
  <c r="AB164" i="60"/>
  <c r="AA164" i="60"/>
  <c r="Y164" i="60"/>
  <c r="X164" i="60"/>
  <c r="U164" i="60"/>
  <c r="S164" i="60"/>
  <c r="Q164" i="60"/>
  <c r="P164" i="60"/>
  <c r="B164" i="60"/>
  <c r="A164" i="60"/>
  <c r="Z163" i="60"/>
  <c r="Y163" i="60"/>
  <c r="X163" i="60"/>
  <c r="W163" i="60"/>
  <c r="T163" i="60"/>
  <c r="AB163" i="60" s="1"/>
  <c r="R163" i="60"/>
  <c r="R161" i="60" s="1"/>
  <c r="Q163" i="60"/>
  <c r="O163" i="60"/>
  <c r="N163" i="60"/>
  <c r="N161" i="60" s="1"/>
  <c r="M163" i="60"/>
  <c r="B163" i="60"/>
  <c r="A163" i="60"/>
  <c r="AA162" i="60"/>
  <c r="X162" i="60"/>
  <c r="U162" i="60"/>
  <c r="S162" i="60"/>
  <c r="W161" i="60"/>
  <c r="T161" i="60"/>
  <c r="O161" i="60"/>
  <c r="B161" i="60"/>
  <c r="A161" i="60"/>
  <c r="AB160" i="60"/>
  <c r="AA160" i="60"/>
  <c r="Y160" i="60"/>
  <c r="X160" i="60"/>
  <c r="X159" i="60" s="1"/>
  <c r="S160" i="60"/>
  <c r="B160" i="60"/>
  <c r="A160" i="60"/>
  <c r="AA159" i="60"/>
  <c r="Z159" i="60"/>
  <c r="W159" i="60"/>
  <c r="V159" i="60"/>
  <c r="T159" i="60"/>
  <c r="Y159" i="60" s="1"/>
  <c r="S159" i="60"/>
  <c r="R159" i="60"/>
  <c r="Q159" i="60"/>
  <c r="P159" i="60"/>
  <c r="O159" i="60"/>
  <c r="N159" i="60"/>
  <c r="M159" i="60"/>
  <c r="B159" i="60"/>
  <c r="A159" i="60"/>
  <c r="AB158" i="60"/>
  <c r="AA158" i="60"/>
  <c r="X158" i="60"/>
  <c r="Q158" i="60"/>
  <c r="B158" i="60"/>
  <c r="A158" i="60"/>
  <c r="AA157" i="60"/>
  <c r="Z157" i="60"/>
  <c r="W157" i="60"/>
  <c r="T157" i="60"/>
  <c r="R157" i="60"/>
  <c r="P157" i="60"/>
  <c r="O157" i="60"/>
  <c r="N157" i="60"/>
  <c r="M157" i="60"/>
  <c r="B157" i="60"/>
  <c r="A157" i="60"/>
  <c r="AB156" i="60"/>
  <c r="AA156" i="60"/>
  <c r="X156" i="60"/>
  <c r="P156" i="60"/>
  <c r="B156" i="60"/>
  <c r="A156" i="60"/>
  <c r="AA155" i="60"/>
  <c r="Z155" i="60"/>
  <c r="W155" i="60"/>
  <c r="W152" i="60" s="1"/>
  <c r="T155" i="60"/>
  <c r="R155" i="60"/>
  <c r="R152" i="60" s="1"/>
  <c r="Q155" i="60"/>
  <c r="O155" i="60"/>
  <c r="N155" i="60"/>
  <c r="M155" i="60"/>
  <c r="B155" i="60"/>
  <c r="A155" i="60"/>
  <c r="AB154" i="60"/>
  <c r="AA154" i="60"/>
  <c r="X154" i="60"/>
  <c r="V154" i="60"/>
  <c r="S154" i="60"/>
  <c r="U154" i="60" s="1"/>
  <c r="B154" i="60"/>
  <c r="A154" i="60"/>
  <c r="AA153" i="60"/>
  <c r="Z153" i="60"/>
  <c r="Z152" i="60" s="1"/>
  <c r="W153" i="60"/>
  <c r="U153" i="60"/>
  <c r="T153" i="60"/>
  <c r="AB153" i="60" s="1"/>
  <c r="S153" i="60"/>
  <c r="V153" i="60" s="1"/>
  <c r="R153" i="60"/>
  <c r="Q153" i="60"/>
  <c r="P153" i="60"/>
  <c r="O153" i="60"/>
  <c r="N153" i="60"/>
  <c r="M153" i="60"/>
  <c r="B153" i="60"/>
  <c r="A153" i="60"/>
  <c r="AA152" i="60"/>
  <c r="T152" i="60"/>
  <c r="AB152" i="60" s="1"/>
  <c r="O152" i="60"/>
  <c r="N152" i="60"/>
  <c r="M152" i="60"/>
  <c r="B152" i="60"/>
  <c r="A152" i="60"/>
  <c r="AB151" i="60"/>
  <c r="AA151" i="60"/>
  <c r="AA150" i="60" s="1"/>
  <c r="Y151" i="60"/>
  <c r="X151" i="60"/>
  <c r="V151" i="60"/>
  <c r="U151" i="60"/>
  <c r="S151" i="60"/>
  <c r="Q151" i="60"/>
  <c r="B151" i="60"/>
  <c r="A151" i="60"/>
  <c r="Z150" i="60"/>
  <c r="Y150" i="60"/>
  <c r="X150" i="60"/>
  <c r="W150" i="60"/>
  <c r="V150" i="60"/>
  <c r="U150" i="60"/>
  <c r="T150" i="60"/>
  <c r="AB150" i="60" s="1"/>
  <c r="S150" i="60"/>
  <c r="R150" i="60"/>
  <c r="Q150" i="60"/>
  <c r="P150" i="60"/>
  <c r="O150" i="60"/>
  <c r="N150" i="60"/>
  <c r="M150" i="60"/>
  <c r="M142" i="60" s="1"/>
  <c r="B150" i="60"/>
  <c r="A150" i="60"/>
  <c r="AB149" i="60"/>
  <c r="AA149" i="60"/>
  <c r="AA148" i="60" s="1"/>
  <c r="Y149" i="60"/>
  <c r="X149" i="60"/>
  <c r="Q149" i="60"/>
  <c r="P149" i="60"/>
  <c r="S149" i="60" s="1"/>
  <c r="B149" i="60"/>
  <c r="A149" i="60"/>
  <c r="Z148" i="60"/>
  <c r="Y148" i="60"/>
  <c r="X148" i="60"/>
  <c r="W148" i="60"/>
  <c r="T148" i="60"/>
  <c r="AB148" i="60" s="1"/>
  <c r="R148" i="60"/>
  <c r="Q148" i="60"/>
  <c r="O148" i="60"/>
  <c r="N148" i="60"/>
  <c r="M148" i="60"/>
  <c r="B148" i="60"/>
  <c r="A148" i="60"/>
  <c r="AB147" i="60"/>
  <c r="AA147" i="60"/>
  <c r="X147" i="60"/>
  <c r="Y147" i="60" s="1"/>
  <c r="Q147" i="60"/>
  <c r="Q143" i="60" s="1"/>
  <c r="Q142" i="60" s="1"/>
  <c r="B147" i="60"/>
  <c r="A147" i="60"/>
  <c r="AB146" i="60"/>
  <c r="AA146" i="60"/>
  <c r="Y146" i="60"/>
  <c r="X146" i="60"/>
  <c r="S146" i="60"/>
  <c r="V146" i="60" s="1"/>
  <c r="Q146" i="60"/>
  <c r="P146" i="60"/>
  <c r="B146" i="60"/>
  <c r="A146" i="60"/>
  <c r="AB145" i="60"/>
  <c r="AA145" i="60"/>
  <c r="X145" i="60"/>
  <c r="P145" i="60"/>
  <c r="S145" i="60" s="1"/>
  <c r="B145" i="60"/>
  <c r="A145" i="60"/>
  <c r="AB144" i="60"/>
  <c r="AA144" i="60"/>
  <c r="AA143" i="60" s="1"/>
  <c r="Y144" i="60"/>
  <c r="X144" i="60"/>
  <c r="U144" i="60"/>
  <c r="Q144" i="60"/>
  <c r="P144" i="60"/>
  <c r="S144" i="60" s="1"/>
  <c r="B144" i="60"/>
  <c r="A144" i="60"/>
  <c r="Z143" i="60"/>
  <c r="Z142" i="60" s="1"/>
  <c r="W143" i="60"/>
  <c r="W142" i="60" s="1"/>
  <c r="T143" i="60"/>
  <c r="AB143" i="60" s="1"/>
  <c r="R143" i="60"/>
  <c r="R142" i="60" s="1"/>
  <c r="O143" i="60"/>
  <c r="O142" i="60" s="1"/>
  <c r="N143" i="60"/>
  <c r="N142" i="60" s="1"/>
  <c r="M143" i="60"/>
  <c r="B143" i="60"/>
  <c r="A143" i="60"/>
  <c r="T142" i="60"/>
  <c r="B142" i="60"/>
  <c r="A142" i="60"/>
  <c r="B141" i="60"/>
  <c r="A141" i="60"/>
  <c r="B140" i="60"/>
  <c r="A140" i="60"/>
  <c r="AB139" i="60"/>
  <c r="AA139" i="60"/>
  <c r="Y139" i="60"/>
  <c r="X139" i="60"/>
  <c r="S139" i="60"/>
  <c r="A139" i="60"/>
  <c r="AB138" i="60"/>
  <c r="AA138" i="60"/>
  <c r="Y138" i="60"/>
  <c r="X138" i="60"/>
  <c r="S138" i="60"/>
  <c r="A138" i="60"/>
  <c r="AA137" i="60"/>
  <c r="Z137" i="60"/>
  <c r="X137" i="60"/>
  <c r="W137" i="60"/>
  <c r="T137" i="60"/>
  <c r="Y137" i="60" s="1"/>
  <c r="R137" i="60"/>
  <c r="Q137" i="60"/>
  <c r="P137" i="60"/>
  <c r="O137" i="60"/>
  <c r="N137" i="60"/>
  <c r="M137" i="60"/>
  <c r="A137" i="60"/>
  <c r="AB136" i="60"/>
  <c r="AA136" i="60"/>
  <c r="AA135" i="60" s="1"/>
  <c r="Y136" i="60"/>
  <c r="X136" i="60"/>
  <c r="V136" i="60"/>
  <c r="U136" i="60"/>
  <c r="U135" i="60" s="1"/>
  <c r="S136" i="60"/>
  <c r="B136" i="60"/>
  <c r="A136" i="60"/>
  <c r="Z135" i="60"/>
  <c r="X135" i="60"/>
  <c r="W135" i="60"/>
  <c r="V135" i="60"/>
  <c r="T135" i="60"/>
  <c r="Y135" i="60" s="1"/>
  <c r="S135" i="60"/>
  <c r="R135" i="60"/>
  <c r="Q135" i="60"/>
  <c r="P135" i="60"/>
  <c r="O135" i="60"/>
  <c r="N135" i="60"/>
  <c r="M135" i="60"/>
  <c r="B135" i="60"/>
  <c r="A135" i="60"/>
  <c r="AB134" i="60"/>
  <c r="AA134" i="60"/>
  <c r="Y134" i="60"/>
  <c r="X134" i="60"/>
  <c r="S134" i="60"/>
  <c r="B134" i="60"/>
  <c r="A134" i="60"/>
  <c r="AA133" i="60"/>
  <c r="Z133" i="60"/>
  <c r="X133" i="60"/>
  <c r="W133" i="60"/>
  <c r="T133" i="60"/>
  <c r="Y133" i="60" s="1"/>
  <c r="S133" i="60"/>
  <c r="V133" i="60" s="1"/>
  <c r="R133" i="60"/>
  <c r="Q133" i="60"/>
  <c r="P133" i="60"/>
  <c r="O133" i="60"/>
  <c r="N133" i="60"/>
  <c r="M133" i="60"/>
  <c r="B133" i="60"/>
  <c r="A133" i="60"/>
  <c r="AB132" i="60"/>
  <c r="AA132" i="60"/>
  <c r="Y132" i="60"/>
  <c r="X132" i="60"/>
  <c r="X131" i="60" s="1"/>
  <c r="S132" i="60"/>
  <c r="V132" i="60" s="1"/>
  <c r="B132" i="60"/>
  <c r="A132" i="60"/>
  <c r="AA131" i="60"/>
  <c r="Z131" i="60"/>
  <c r="W131" i="60"/>
  <c r="V131" i="60"/>
  <c r="T131" i="60"/>
  <c r="Y131" i="60" s="1"/>
  <c r="S131" i="60"/>
  <c r="R131" i="60"/>
  <c r="R126" i="60" s="1"/>
  <c r="Q131" i="60"/>
  <c r="P131" i="60"/>
  <c r="O131" i="60"/>
  <c r="N131" i="60"/>
  <c r="N126" i="60" s="1"/>
  <c r="M131" i="60"/>
  <c r="B131" i="60"/>
  <c r="A131" i="60"/>
  <c r="AB130" i="60"/>
  <c r="AA130" i="60"/>
  <c r="Y130" i="60"/>
  <c r="X130" i="60"/>
  <c r="X129" i="60" s="1"/>
  <c r="V130" i="60"/>
  <c r="S130" i="60"/>
  <c r="U130" i="60" s="1"/>
  <c r="B130" i="60"/>
  <c r="A130" i="60"/>
  <c r="AA129" i="60"/>
  <c r="Z129" i="60"/>
  <c r="Y129" i="60"/>
  <c r="W129" i="60"/>
  <c r="V129" i="60"/>
  <c r="U129" i="60"/>
  <c r="T129" i="60"/>
  <c r="AB129" i="60" s="1"/>
  <c r="S129" i="60"/>
  <c r="R129" i="60"/>
  <c r="Q129" i="60"/>
  <c r="P129" i="60"/>
  <c r="O129" i="60"/>
  <c r="N129" i="60"/>
  <c r="M129" i="60"/>
  <c r="B129" i="60"/>
  <c r="A129" i="60"/>
  <c r="AB128" i="60"/>
  <c r="AA128" i="60"/>
  <c r="AA127" i="60" s="1"/>
  <c r="Y128" i="60"/>
  <c r="X128" i="60"/>
  <c r="V128" i="60"/>
  <c r="U128" i="60"/>
  <c r="U127" i="60" s="1"/>
  <c r="S128" i="60"/>
  <c r="B128" i="60"/>
  <c r="A128" i="60"/>
  <c r="Z127" i="60"/>
  <c r="X127" i="60"/>
  <c r="W127" i="60"/>
  <c r="V127" i="60"/>
  <c r="T127" i="60"/>
  <c r="Y127" i="60" s="1"/>
  <c r="S127" i="60"/>
  <c r="R127" i="60"/>
  <c r="Q127" i="60"/>
  <c r="P127" i="60"/>
  <c r="O127" i="60"/>
  <c r="N127" i="60"/>
  <c r="M127" i="60"/>
  <c r="B127" i="60"/>
  <c r="A127" i="60"/>
  <c r="AA126" i="60"/>
  <c r="Z126" i="60"/>
  <c r="W126" i="60"/>
  <c r="O126" i="60"/>
  <c r="B126" i="60"/>
  <c r="A126" i="60"/>
  <c r="AB125" i="60"/>
  <c r="Y125" i="60"/>
  <c r="V125" i="60"/>
  <c r="B125" i="60"/>
  <c r="A125" i="60"/>
  <c r="AA124" i="60"/>
  <c r="Z124" i="60"/>
  <c r="Y124" i="60"/>
  <c r="X124" i="60"/>
  <c r="W124" i="60"/>
  <c r="V124" i="60"/>
  <c r="U124" i="60"/>
  <c r="T124" i="60"/>
  <c r="AB124" i="60" s="1"/>
  <c r="S124" i="60"/>
  <c r="R124" i="60"/>
  <c r="Q124" i="60"/>
  <c r="P124" i="60"/>
  <c r="O124" i="60"/>
  <c r="N124" i="60"/>
  <c r="M124" i="60"/>
  <c r="B124" i="60"/>
  <c r="A124" i="60"/>
  <c r="B123" i="60"/>
  <c r="A123" i="60"/>
  <c r="AB122" i="60"/>
  <c r="AA122" i="60"/>
  <c r="Y122" i="60"/>
  <c r="X122" i="60"/>
  <c r="X121" i="60" s="1"/>
  <c r="S122" i="60"/>
  <c r="B122" i="60"/>
  <c r="A122" i="60"/>
  <c r="AA121" i="60"/>
  <c r="AA120" i="60" s="1"/>
  <c r="Z121" i="60"/>
  <c r="Z120" i="60" s="1"/>
  <c r="W121" i="60"/>
  <c r="W120" i="60" s="1"/>
  <c r="T121" i="60"/>
  <c r="Y121" i="60" s="1"/>
  <c r="S121" i="60"/>
  <c r="S120" i="60" s="1"/>
  <c r="V120" i="60" s="1"/>
  <c r="R121" i="60"/>
  <c r="R120" i="60" s="1"/>
  <c r="Q121" i="60"/>
  <c r="P121" i="60"/>
  <c r="O121" i="60"/>
  <c r="O120" i="60" s="1"/>
  <c r="O119" i="60" s="1"/>
  <c r="N121" i="60"/>
  <c r="N120" i="60" s="1"/>
  <c r="M121" i="60"/>
  <c r="B121" i="60"/>
  <c r="A121" i="60"/>
  <c r="Y120" i="60"/>
  <c r="X120" i="60"/>
  <c r="X119" i="60" s="1"/>
  <c r="T120" i="60"/>
  <c r="T119" i="60" s="1"/>
  <c r="Q120" i="60"/>
  <c r="Q119" i="60" s="1"/>
  <c r="P120" i="60"/>
  <c r="P119" i="60" s="1"/>
  <c r="M120" i="60"/>
  <c r="M119" i="60" s="1"/>
  <c r="B120" i="60"/>
  <c r="A120" i="60"/>
  <c r="AA119" i="60"/>
  <c r="Z119" i="60"/>
  <c r="W119" i="60"/>
  <c r="R119" i="60"/>
  <c r="N119" i="60"/>
  <c r="B119" i="60"/>
  <c r="A119" i="60"/>
  <c r="AB118" i="60"/>
  <c r="AA118" i="60"/>
  <c r="X118" i="60"/>
  <c r="Y118" i="60" s="1"/>
  <c r="V118" i="60"/>
  <c r="S118" i="60"/>
  <c r="U118" i="60" s="1"/>
  <c r="B118" i="60"/>
  <c r="A118" i="60"/>
  <c r="AB117" i="60"/>
  <c r="AA117" i="60"/>
  <c r="AA116" i="60" s="1"/>
  <c r="Y117" i="60"/>
  <c r="X117" i="60"/>
  <c r="S117" i="60"/>
  <c r="AB116" i="60"/>
  <c r="Z116" i="60"/>
  <c r="X116" i="60"/>
  <c r="W116" i="60"/>
  <c r="T116" i="60"/>
  <c r="Y116" i="60" s="1"/>
  <c r="R116" i="60"/>
  <c r="Q116" i="60"/>
  <c r="P116" i="60"/>
  <c r="O116" i="60"/>
  <c r="N116" i="60"/>
  <c r="M116" i="60"/>
  <c r="B116" i="60"/>
  <c r="A116" i="60"/>
  <c r="AB115" i="60"/>
  <c r="AA115" i="60"/>
  <c r="Y115" i="60"/>
  <c r="X115" i="60"/>
  <c r="U115" i="60"/>
  <c r="S115" i="60"/>
  <c r="V115" i="60" s="1"/>
  <c r="B115" i="60"/>
  <c r="A115" i="60"/>
  <c r="AB114" i="60"/>
  <c r="AA114" i="60"/>
  <c r="X114" i="60"/>
  <c r="Y114" i="60" s="1"/>
  <c r="V114" i="60"/>
  <c r="U114" i="60"/>
  <c r="U112" i="60" s="1"/>
  <c r="U111" i="60" s="1"/>
  <c r="S114" i="60"/>
  <c r="B114" i="60"/>
  <c r="A114" i="60"/>
  <c r="AB113" i="60"/>
  <c r="AA113" i="60"/>
  <c r="Y113" i="60"/>
  <c r="X113" i="60"/>
  <c r="X112" i="60" s="1"/>
  <c r="V113" i="60"/>
  <c r="S113" i="60"/>
  <c r="U113" i="60" s="1"/>
  <c r="B113" i="60"/>
  <c r="A113" i="60"/>
  <c r="AA112" i="60"/>
  <c r="AA111" i="60" s="1"/>
  <c r="AA110" i="60" s="1"/>
  <c r="Z112" i="60"/>
  <c r="Z111" i="60" s="1"/>
  <c r="Z110" i="60" s="1"/>
  <c r="Y112" i="60"/>
  <c r="W112" i="60"/>
  <c r="T112" i="60"/>
  <c r="AB112" i="60" s="1"/>
  <c r="R112" i="60"/>
  <c r="R111" i="60" s="1"/>
  <c r="R110" i="60" s="1"/>
  <c r="Q112" i="60"/>
  <c r="P112" i="60"/>
  <c r="O112" i="60"/>
  <c r="N112" i="60"/>
  <c r="N111" i="60" s="1"/>
  <c r="N110" i="60" s="1"/>
  <c r="M112" i="60"/>
  <c r="M111" i="60" s="1"/>
  <c r="M110" i="60" s="1"/>
  <c r="B112" i="60"/>
  <c r="A112" i="60"/>
  <c r="AB111" i="60"/>
  <c r="X111" i="60"/>
  <c r="W111" i="60"/>
  <c r="W110" i="60" s="1"/>
  <c r="T111" i="60"/>
  <c r="Y111" i="60" s="1"/>
  <c r="Q111" i="60"/>
  <c r="Q110" i="60" s="1"/>
  <c r="P111" i="60"/>
  <c r="O111" i="60"/>
  <c r="O110" i="60" s="1"/>
  <c r="B111" i="60"/>
  <c r="A111" i="60"/>
  <c r="T110" i="60"/>
  <c r="P110" i="60"/>
  <c r="B110" i="60"/>
  <c r="A110" i="60"/>
  <c r="AB109" i="60"/>
  <c r="AA109" i="60"/>
  <c r="Y109" i="60"/>
  <c r="X109" i="60"/>
  <c r="S109" i="60"/>
  <c r="U109" i="60" s="1"/>
  <c r="B109" i="60"/>
  <c r="A109" i="60"/>
  <c r="AB108" i="60"/>
  <c r="AA108" i="60"/>
  <c r="AA107" i="60" s="1"/>
  <c r="AA106" i="60" s="1"/>
  <c r="X108" i="60"/>
  <c r="Y108" i="60" s="1"/>
  <c r="U108" i="60"/>
  <c r="S108" i="60"/>
  <c r="V108" i="60" s="1"/>
  <c r="B108" i="60"/>
  <c r="A108" i="60"/>
  <c r="Z107" i="60"/>
  <c r="X107" i="60"/>
  <c r="X106" i="60" s="1"/>
  <c r="W107" i="60"/>
  <c r="W106" i="60" s="1"/>
  <c r="T107" i="60"/>
  <c r="Y107" i="60" s="1"/>
  <c r="R107" i="60"/>
  <c r="Q107" i="60"/>
  <c r="P107" i="60"/>
  <c r="P106" i="60" s="1"/>
  <c r="O107" i="60"/>
  <c r="O106" i="60" s="1"/>
  <c r="N107" i="60"/>
  <c r="M107" i="60"/>
  <c r="B107" i="60"/>
  <c r="A107" i="60"/>
  <c r="Z106" i="60"/>
  <c r="R106" i="60"/>
  <c r="Q106" i="60"/>
  <c r="N106" i="60"/>
  <c r="M106" i="60"/>
  <c r="B106" i="60"/>
  <c r="A106" i="60"/>
  <c r="AB105" i="60"/>
  <c r="AA105" i="60"/>
  <c r="Y105" i="60"/>
  <c r="X105" i="60"/>
  <c r="V105" i="60"/>
  <c r="S105" i="60"/>
  <c r="U105" i="60" s="1"/>
  <c r="A105" i="60"/>
  <c r="AB104" i="60"/>
  <c r="AA104" i="60"/>
  <c r="Y104" i="60"/>
  <c r="X104" i="60"/>
  <c r="V104" i="60"/>
  <c r="S104" i="60"/>
  <c r="U104" i="60" s="1"/>
  <c r="Q104" i="60"/>
  <c r="B104" i="60"/>
  <c r="A104" i="60"/>
  <c r="AB103" i="60"/>
  <c r="AA103" i="60"/>
  <c r="Y103" i="60"/>
  <c r="X103" i="60"/>
  <c r="S103" i="60"/>
  <c r="U103" i="60" s="1"/>
  <c r="U102" i="60" s="1"/>
  <c r="U101" i="60" s="1"/>
  <c r="U100" i="60" s="1"/>
  <c r="P103" i="60"/>
  <c r="B103" i="60"/>
  <c r="A103" i="60"/>
  <c r="AA102" i="60"/>
  <c r="AA101" i="60" s="1"/>
  <c r="AA100" i="60" s="1"/>
  <c r="Z102" i="60"/>
  <c r="X102" i="60"/>
  <c r="X101" i="60" s="1"/>
  <c r="X100" i="60" s="1"/>
  <c r="W102" i="60"/>
  <c r="W101" i="60" s="1"/>
  <c r="W100" i="60" s="1"/>
  <c r="T102" i="60"/>
  <c r="Y102" i="60" s="1"/>
  <c r="R102" i="60"/>
  <c r="Q102" i="60"/>
  <c r="P102" i="60"/>
  <c r="P101" i="60" s="1"/>
  <c r="P100" i="60" s="1"/>
  <c r="O102" i="60"/>
  <c r="O101" i="60" s="1"/>
  <c r="O100" i="60" s="1"/>
  <c r="N102" i="60"/>
  <c r="M102" i="60"/>
  <c r="B102" i="60"/>
  <c r="A102" i="60"/>
  <c r="Z101" i="60"/>
  <c r="Z100" i="60" s="1"/>
  <c r="R101" i="60"/>
  <c r="R100" i="60" s="1"/>
  <c r="Q101" i="60"/>
  <c r="Q100" i="60" s="1"/>
  <c r="N101" i="60"/>
  <c r="N100" i="60" s="1"/>
  <c r="M101" i="60"/>
  <c r="M100" i="60" s="1"/>
  <c r="B101" i="60"/>
  <c r="A101" i="60"/>
  <c r="B100" i="60"/>
  <c r="A100" i="60"/>
  <c r="AB99" i="60"/>
  <c r="AA99" i="60"/>
  <c r="Y99" i="60"/>
  <c r="X99" i="60"/>
  <c r="S99" i="60"/>
  <c r="U99" i="60" s="1"/>
  <c r="B99" i="60"/>
  <c r="A99" i="60"/>
  <c r="AB98" i="60"/>
  <c r="AA98" i="60"/>
  <c r="Y98" i="60"/>
  <c r="X98" i="60"/>
  <c r="U98" i="60"/>
  <c r="S98" i="60"/>
  <c r="V98" i="60" s="1"/>
  <c r="B98" i="60"/>
  <c r="A98" i="60"/>
  <c r="AB97" i="60"/>
  <c r="AA97" i="60"/>
  <c r="Y97" i="60"/>
  <c r="X97" i="60"/>
  <c r="V97" i="60"/>
  <c r="S97" i="60"/>
  <c r="U97" i="60" s="1"/>
  <c r="B97" i="60"/>
  <c r="A97" i="60"/>
  <c r="AB96" i="60"/>
  <c r="AA96" i="60"/>
  <c r="Y96" i="60"/>
  <c r="X96" i="60"/>
  <c r="V96" i="60"/>
  <c r="U96" i="60"/>
  <c r="S96" i="60"/>
  <c r="B96" i="60"/>
  <c r="A96" i="60"/>
  <c r="AB95" i="60"/>
  <c r="AA95" i="60"/>
  <c r="Y95" i="60"/>
  <c r="X95" i="60"/>
  <c r="X94" i="60" s="1"/>
  <c r="X93" i="60" s="1"/>
  <c r="S95" i="60"/>
  <c r="U95" i="60" s="1"/>
  <c r="U94" i="60" s="1"/>
  <c r="U93" i="60" s="1"/>
  <c r="B95" i="60"/>
  <c r="A95" i="60"/>
  <c r="AA94" i="60"/>
  <c r="AA93" i="60" s="1"/>
  <c r="Z94" i="60"/>
  <c r="Z93" i="60" s="1"/>
  <c r="Z92" i="60" s="1"/>
  <c r="Y94" i="60"/>
  <c r="W94" i="60"/>
  <c r="W93" i="60" s="1"/>
  <c r="W92" i="60" s="1"/>
  <c r="T94" i="60"/>
  <c r="AB94" i="60" s="1"/>
  <c r="S94" i="60"/>
  <c r="V94" i="60" s="1"/>
  <c r="R94" i="60"/>
  <c r="R93" i="60" s="1"/>
  <c r="R92" i="60" s="1"/>
  <c r="Q94" i="60"/>
  <c r="P94" i="60"/>
  <c r="O94" i="60"/>
  <c r="O93" i="60" s="1"/>
  <c r="N94" i="60"/>
  <c r="N93" i="60" s="1"/>
  <c r="M94" i="60"/>
  <c r="B94" i="60"/>
  <c r="A94" i="60"/>
  <c r="Y93" i="60"/>
  <c r="T93" i="60"/>
  <c r="Q93" i="60"/>
  <c r="P93" i="60"/>
  <c r="M93" i="60"/>
  <c r="M92" i="60" s="1"/>
  <c r="B93" i="60"/>
  <c r="A93" i="60"/>
  <c r="B92" i="60"/>
  <c r="A92" i="60"/>
  <c r="AB91" i="60"/>
  <c r="AA91" i="60"/>
  <c r="X91" i="60"/>
  <c r="Y91" i="60" s="1"/>
  <c r="V91" i="60"/>
  <c r="U91" i="60"/>
  <c r="S91" i="60"/>
  <c r="B91" i="60"/>
  <c r="A91" i="60"/>
  <c r="AB90" i="60"/>
  <c r="AA90" i="60"/>
  <c r="Y90" i="60"/>
  <c r="X90" i="60"/>
  <c r="S90" i="60"/>
  <c r="U90" i="60" s="1"/>
  <c r="B90" i="60"/>
  <c r="A90" i="60"/>
  <c r="AB89" i="60"/>
  <c r="AA89" i="60"/>
  <c r="X89" i="60"/>
  <c r="Y89" i="60" s="1"/>
  <c r="Q89" i="60"/>
  <c r="S89" i="60" s="1"/>
  <c r="B89" i="60"/>
  <c r="A89" i="60"/>
  <c r="AB88" i="60"/>
  <c r="AA88" i="60"/>
  <c r="X88" i="60"/>
  <c r="Y88" i="60" s="1"/>
  <c r="Q88" i="60"/>
  <c r="S88" i="60" s="1"/>
  <c r="B88" i="60"/>
  <c r="A88" i="60"/>
  <c r="AB87" i="60"/>
  <c r="AA87" i="60"/>
  <c r="X87" i="60"/>
  <c r="Y87" i="60" s="1"/>
  <c r="Q87" i="60"/>
  <c r="S87" i="60" s="1"/>
  <c r="B87" i="60"/>
  <c r="A87" i="60"/>
  <c r="AB86" i="60"/>
  <c r="AA86" i="60"/>
  <c r="X86" i="60"/>
  <c r="Y86" i="60" s="1"/>
  <c r="Q86" i="60"/>
  <c r="S86" i="60" s="1"/>
  <c r="B86" i="60"/>
  <c r="A86" i="60"/>
  <c r="AA85" i="60"/>
  <c r="Z85" i="60"/>
  <c r="W85" i="60"/>
  <c r="T85" i="60"/>
  <c r="AB85" i="60" s="1"/>
  <c r="R85" i="60"/>
  <c r="P85" i="60"/>
  <c r="O85" i="60"/>
  <c r="N85" i="60"/>
  <c r="M85" i="60"/>
  <c r="B85" i="60"/>
  <c r="A85" i="60"/>
  <c r="AB84" i="60"/>
  <c r="AA84" i="60"/>
  <c r="X84" i="60"/>
  <c r="Y84" i="60" s="1"/>
  <c r="P84" i="60"/>
  <c r="S84" i="60" s="1"/>
  <c r="B84" i="60"/>
  <c r="A84" i="60"/>
  <c r="AB83" i="60"/>
  <c r="AA83" i="60"/>
  <c r="X83" i="60"/>
  <c r="Y83" i="60" s="1"/>
  <c r="Q83" i="60"/>
  <c r="S83" i="60" s="1"/>
  <c r="P83" i="60"/>
  <c r="B83" i="60"/>
  <c r="A83" i="60"/>
  <c r="AB82" i="60"/>
  <c r="AA82" i="60"/>
  <c r="Y82" i="60"/>
  <c r="X82" i="60"/>
  <c r="S82" i="60"/>
  <c r="U82" i="60" s="1"/>
  <c r="Q82" i="60"/>
  <c r="P82" i="60"/>
  <c r="B82" i="60"/>
  <c r="A82" i="60"/>
  <c r="AB81" i="60"/>
  <c r="AA81" i="60"/>
  <c r="X81" i="60"/>
  <c r="Y81" i="60" s="1"/>
  <c r="Q81" i="60"/>
  <c r="P81" i="60"/>
  <c r="S81" i="60" s="1"/>
  <c r="B81" i="60"/>
  <c r="A81" i="60"/>
  <c r="AB80" i="60"/>
  <c r="AA80" i="60"/>
  <c r="Y80" i="60"/>
  <c r="X80" i="60"/>
  <c r="Q80" i="60"/>
  <c r="P80" i="60"/>
  <c r="S80" i="60" s="1"/>
  <c r="B80" i="60"/>
  <c r="A80" i="60"/>
  <c r="AB79" i="60"/>
  <c r="AA79" i="60"/>
  <c r="AA78" i="60" s="1"/>
  <c r="X79" i="60"/>
  <c r="Y79" i="60" s="1"/>
  <c r="Q79" i="60"/>
  <c r="S79" i="60" s="1"/>
  <c r="P79" i="60"/>
  <c r="B79" i="60"/>
  <c r="A79" i="60"/>
  <c r="Z78" i="60"/>
  <c r="W78" i="60"/>
  <c r="T78" i="60"/>
  <c r="R78" i="60"/>
  <c r="O78" i="60"/>
  <c r="N78" i="60"/>
  <c r="M78" i="60"/>
  <c r="B78" i="60"/>
  <c r="A78" i="60"/>
  <c r="AB77" i="60"/>
  <c r="AA77" i="60"/>
  <c r="Y77" i="60"/>
  <c r="X77" i="60"/>
  <c r="Q77" i="60"/>
  <c r="P77" i="60"/>
  <c r="S77" i="60" s="1"/>
  <c r="B77" i="60"/>
  <c r="A77" i="60"/>
  <c r="AB76" i="60"/>
  <c r="AA76" i="60"/>
  <c r="AA75" i="60" s="1"/>
  <c r="X76" i="60"/>
  <c r="Y76" i="60" s="1"/>
  <c r="Q76" i="60"/>
  <c r="S76" i="60" s="1"/>
  <c r="P76" i="60"/>
  <c r="B76" i="60"/>
  <c r="A76" i="60"/>
  <c r="Z75" i="60"/>
  <c r="X75" i="60"/>
  <c r="W75" i="60"/>
  <c r="T75" i="60"/>
  <c r="Y75" i="60" s="1"/>
  <c r="R75" i="60"/>
  <c r="O75" i="60"/>
  <c r="N75" i="60"/>
  <c r="M75" i="60"/>
  <c r="B75" i="60"/>
  <c r="A75" i="60"/>
  <c r="AB74" i="60"/>
  <c r="AA74" i="60"/>
  <c r="Y74" i="60"/>
  <c r="X74" i="60"/>
  <c r="V74" i="60"/>
  <c r="S74" i="60"/>
  <c r="U74" i="60" s="1"/>
  <c r="P74" i="60"/>
  <c r="B74" i="60"/>
  <c r="A74" i="60"/>
  <c r="AB73" i="60"/>
  <c r="AA73" i="60"/>
  <c r="Y73" i="60"/>
  <c r="X73" i="60"/>
  <c r="S73" i="60"/>
  <c r="U73" i="60" s="1"/>
  <c r="P73" i="60"/>
  <c r="B73" i="60"/>
  <c r="A73" i="60"/>
  <c r="AB72" i="60"/>
  <c r="AA72" i="60"/>
  <c r="Y72" i="60"/>
  <c r="X72" i="60"/>
  <c r="V72" i="60"/>
  <c r="S72" i="60"/>
  <c r="U72" i="60" s="1"/>
  <c r="P72" i="60"/>
  <c r="B72" i="60"/>
  <c r="A72" i="60"/>
  <c r="AB71" i="60"/>
  <c r="AA71" i="60"/>
  <c r="Y71" i="60"/>
  <c r="X71" i="60"/>
  <c r="S71" i="60"/>
  <c r="U71" i="60" s="1"/>
  <c r="Q71" i="60"/>
  <c r="P71" i="60"/>
  <c r="B71" i="60"/>
  <c r="A71" i="60"/>
  <c r="AB70" i="60"/>
  <c r="AA70" i="60"/>
  <c r="X70" i="60"/>
  <c r="Y70" i="60" s="1"/>
  <c r="P70" i="60"/>
  <c r="S70" i="60" s="1"/>
  <c r="B70" i="60"/>
  <c r="A70" i="60"/>
  <c r="AA69" i="60"/>
  <c r="Z69" i="60"/>
  <c r="Z68" i="60" s="1"/>
  <c r="W69" i="60"/>
  <c r="W68" i="60" s="1"/>
  <c r="T69" i="60"/>
  <c r="AB69" i="60" s="1"/>
  <c r="R69" i="60"/>
  <c r="R68" i="60" s="1"/>
  <c r="Q69" i="60"/>
  <c r="O69" i="60"/>
  <c r="O68" i="60" s="1"/>
  <c r="N69" i="60"/>
  <c r="N68" i="60" s="1"/>
  <c r="M69" i="60"/>
  <c r="B69" i="60"/>
  <c r="A69" i="60"/>
  <c r="T68" i="60"/>
  <c r="AB68" i="60" s="1"/>
  <c r="M68" i="60"/>
  <c r="B68" i="60"/>
  <c r="A68" i="60"/>
  <c r="AB67" i="60"/>
  <c r="AA67" i="60"/>
  <c r="X67" i="60"/>
  <c r="Y67" i="60" s="1"/>
  <c r="Q67" i="60"/>
  <c r="S67" i="60" s="1"/>
  <c r="B67" i="60"/>
  <c r="A67" i="60"/>
  <c r="AB66" i="60"/>
  <c r="AA66" i="60"/>
  <c r="X66" i="60"/>
  <c r="Y66" i="60" s="1"/>
  <c r="Q66" i="60"/>
  <c r="Q63" i="60" s="1"/>
  <c r="P66" i="60"/>
  <c r="S66" i="60" s="1"/>
  <c r="B66" i="60"/>
  <c r="A66" i="60"/>
  <c r="AB65" i="60"/>
  <c r="AA65" i="60"/>
  <c r="AA63" i="60" s="1"/>
  <c r="Y65" i="60"/>
  <c r="X65" i="60"/>
  <c r="V65" i="60"/>
  <c r="U65" i="60"/>
  <c r="S65" i="60"/>
  <c r="P65" i="60"/>
  <c r="B65" i="60"/>
  <c r="A65" i="60"/>
  <c r="AB64" i="60"/>
  <c r="AA64" i="60"/>
  <c r="X64" i="60"/>
  <c r="S64" i="60"/>
  <c r="U64" i="60" s="1"/>
  <c r="B64" i="60"/>
  <c r="A64" i="60"/>
  <c r="Z63" i="60"/>
  <c r="W63" i="60"/>
  <c r="T63" i="60"/>
  <c r="AB63" i="60" s="1"/>
  <c r="R63" i="60"/>
  <c r="O63" i="60"/>
  <c r="N63" i="60"/>
  <c r="M63" i="60"/>
  <c r="B63" i="60"/>
  <c r="A63" i="60"/>
  <c r="AB62" i="60"/>
  <c r="AA62" i="60"/>
  <c r="X62" i="60"/>
  <c r="Y62" i="60" s="1"/>
  <c r="Q62" i="60"/>
  <c r="P62" i="60"/>
  <c r="S62" i="60" s="1"/>
  <c r="U62" i="60" s="1"/>
  <c r="B62" i="60"/>
  <c r="A62" i="60"/>
  <c r="AB61" i="60"/>
  <c r="AA61" i="60"/>
  <c r="Y61" i="60"/>
  <c r="X61" i="60"/>
  <c r="V61" i="60"/>
  <c r="U61" i="60"/>
  <c r="S61" i="60"/>
  <c r="Q61" i="60"/>
  <c r="B61" i="60"/>
  <c r="A61" i="60"/>
  <c r="AB60" i="60"/>
  <c r="AA60" i="60"/>
  <c r="X60" i="60"/>
  <c r="Y60" i="60" s="1"/>
  <c r="Q60" i="60"/>
  <c r="S60" i="60" s="1"/>
  <c r="B60" i="60"/>
  <c r="A60" i="60"/>
  <c r="AB59" i="60"/>
  <c r="AA59" i="60"/>
  <c r="Y59" i="60"/>
  <c r="X59" i="60"/>
  <c r="V59" i="60"/>
  <c r="U59" i="60"/>
  <c r="S59" i="60"/>
  <c r="P59" i="60"/>
  <c r="B59" i="60"/>
  <c r="A59" i="60"/>
  <c r="AB58" i="60"/>
  <c r="AA58" i="60"/>
  <c r="X58" i="60"/>
  <c r="Y58" i="60" s="1"/>
  <c r="Q58" i="60"/>
  <c r="S58" i="60" s="1"/>
  <c r="P58" i="60"/>
  <c r="B58" i="60"/>
  <c r="A58" i="60"/>
  <c r="AB57" i="60"/>
  <c r="Z57" i="60"/>
  <c r="W57" i="60"/>
  <c r="T57" i="60"/>
  <c r="R57" i="60"/>
  <c r="Q57" i="60"/>
  <c r="O57" i="60"/>
  <c r="N57" i="60"/>
  <c r="M57" i="60"/>
  <c r="B57" i="60"/>
  <c r="A57" i="60"/>
  <c r="AB56" i="60"/>
  <c r="AA56" i="60"/>
  <c r="Y56" i="60"/>
  <c r="X56" i="60"/>
  <c r="S56" i="60"/>
  <c r="V56" i="60" s="1"/>
  <c r="B56" i="60"/>
  <c r="A56" i="60"/>
  <c r="AA55" i="60"/>
  <c r="Z55" i="60"/>
  <c r="X55" i="60"/>
  <c r="W55" i="60"/>
  <c r="T55" i="60"/>
  <c r="Y55" i="60" s="1"/>
  <c r="R55" i="60"/>
  <c r="Q55" i="60"/>
  <c r="P55" i="60"/>
  <c r="O55" i="60"/>
  <c r="N55" i="60"/>
  <c r="M55" i="60"/>
  <c r="B55" i="60"/>
  <c r="A55" i="60"/>
  <c r="AB54" i="60"/>
  <c r="AA54" i="60"/>
  <c r="Y54" i="60"/>
  <c r="X54" i="60"/>
  <c r="P54" i="60"/>
  <c r="S54" i="60" s="1"/>
  <c r="B54" i="60"/>
  <c r="A54" i="60"/>
  <c r="AB53" i="60"/>
  <c r="AA53" i="60"/>
  <c r="AA52" i="60" s="1"/>
  <c r="Y53" i="60"/>
  <c r="X53" i="60"/>
  <c r="V53" i="60"/>
  <c r="U53" i="60"/>
  <c r="S53" i="60"/>
  <c r="B53" i="60"/>
  <c r="A53" i="60"/>
  <c r="AB52" i="60"/>
  <c r="Z52" i="60"/>
  <c r="X52" i="60"/>
  <c r="W52" i="60"/>
  <c r="T52" i="60"/>
  <c r="R52" i="60"/>
  <c r="Q52" i="60"/>
  <c r="Q51" i="60" s="1"/>
  <c r="O52" i="60"/>
  <c r="O51" i="60" s="1"/>
  <c r="O50" i="60" s="1"/>
  <c r="O45" i="60" s="1"/>
  <c r="N52" i="60"/>
  <c r="M52" i="60"/>
  <c r="B52" i="60"/>
  <c r="A52" i="60"/>
  <c r="Z51" i="60"/>
  <c r="Z50" i="60" s="1"/>
  <c r="W51" i="60"/>
  <c r="W50" i="60" s="1"/>
  <c r="R51" i="60"/>
  <c r="R50" i="60" s="1"/>
  <c r="N51" i="60"/>
  <c r="M51" i="60"/>
  <c r="M50" i="60" s="1"/>
  <c r="B51" i="60"/>
  <c r="A51" i="60"/>
  <c r="B50" i="60"/>
  <c r="A50" i="60"/>
  <c r="AB49" i="60"/>
  <c r="AA49" i="60"/>
  <c r="Y49" i="60"/>
  <c r="X49" i="60"/>
  <c r="X48" i="60" s="1"/>
  <c r="X47" i="60" s="1"/>
  <c r="X46" i="60" s="1"/>
  <c r="P49" i="60"/>
  <c r="P48" i="60" s="1"/>
  <c r="P47" i="60" s="1"/>
  <c r="P46" i="60" s="1"/>
  <c r="B49" i="60"/>
  <c r="A49" i="60"/>
  <c r="AB48" i="60"/>
  <c r="AA48" i="60"/>
  <c r="Z48" i="60"/>
  <c r="W48" i="60"/>
  <c r="W47" i="60" s="1"/>
  <c r="W46" i="60" s="1"/>
  <c r="T48" i="60"/>
  <c r="T47" i="60" s="1"/>
  <c r="AB47" i="60" s="1"/>
  <c r="R48" i="60"/>
  <c r="Q48" i="60"/>
  <c r="Q47" i="60" s="1"/>
  <c r="Q46" i="60" s="1"/>
  <c r="O48" i="60"/>
  <c r="N48" i="60"/>
  <c r="M48" i="60"/>
  <c r="M47" i="60" s="1"/>
  <c r="M46" i="60" s="1"/>
  <c r="B48" i="60"/>
  <c r="A48" i="60"/>
  <c r="AA47" i="60"/>
  <c r="AA46" i="60" s="1"/>
  <c r="Z47" i="60"/>
  <c r="Z46" i="60" s="1"/>
  <c r="Y47" i="60"/>
  <c r="R47" i="60"/>
  <c r="R46" i="60" s="1"/>
  <c r="O47" i="60"/>
  <c r="O46" i="60" s="1"/>
  <c r="N47" i="60"/>
  <c r="N46" i="60" s="1"/>
  <c r="B47" i="60"/>
  <c r="A47" i="60"/>
  <c r="T46" i="60"/>
  <c r="AB46" i="60" s="1"/>
  <c r="B46" i="60"/>
  <c r="A46" i="60"/>
  <c r="Z45" i="60"/>
  <c r="R45" i="60"/>
  <c r="B45" i="60"/>
  <c r="A45" i="60"/>
  <c r="AB44" i="60"/>
  <c r="AA44" i="60"/>
  <c r="X44" i="60"/>
  <c r="Y44" i="60" s="1"/>
  <c r="Q44" i="60"/>
  <c r="S44" i="60" s="1"/>
  <c r="B44" i="60"/>
  <c r="A44" i="60"/>
  <c r="AB43" i="60"/>
  <c r="AA43" i="60"/>
  <c r="Y43" i="60"/>
  <c r="X43" i="60"/>
  <c r="S43" i="60"/>
  <c r="V43" i="60" s="1"/>
  <c r="B43" i="60"/>
  <c r="A43" i="60"/>
  <c r="AB42" i="60"/>
  <c r="AA42" i="60"/>
  <c r="Y42" i="60"/>
  <c r="X42" i="60"/>
  <c r="V42" i="60"/>
  <c r="U42" i="60"/>
  <c r="S42" i="60"/>
  <c r="B42" i="60"/>
  <c r="A42" i="60"/>
  <c r="AB41" i="60"/>
  <c r="AA41" i="60"/>
  <c r="X41" i="60"/>
  <c r="Y41" i="60" s="1"/>
  <c r="V41" i="60"/>
  <c r="S41" i="60"/>
  <c r="U41" i="60" s="1"/>
  <c r="B41" i="60"/>
  <c r="A41" i="60"/>
  <c r="AB40" i="60"/>
  <c r="AA40" i="60"/>
  <c r="X40" i="60"/>
  <c r="Y40" i="60" s="1"/>
  <c r="S40" i="60"/>
  <c r="V40" i="60" s="1"/>
  <c r="B40" i="60"/>
  <c r="A40" i="60"/>
  <c r="AB39" i="60"/>
  <c r="AA39" i="60"/>
  <c r="Y39" i="60"/>
  <c r="X39" i="60"/>
  <c r="S39" i="60"/>
  <c r="V39" i="60" s="1"/>
  <c r="Q39" i="60"/>
  <c r="B39" i="60"/>
  <c r="A39" i="60"/>
  <c r="AB38" i="60"/>
  <c r="AA38" i="60"/>
  <c r="X38" i="60"/>
  <c r="Y38" i="60" s="1"/>
  <c r="V38" i="60"/>
  <c r="S38" i="60"/>
  <c r="U38" i="60" s="1"/>
  <c r="B38" i="60"/>
  <c r="A38" i="60"/>
  <c r="AB37" i="60"/>
  <c r="AA37" i="60"/>
  <c r="X37" i="60"/>
  <c r="Y37" i="60" s="1"/>
  <c r="P37" i="60"/>
  <c r="S37" i="60" s="1"/>
  <c r="B37" i="60"/>
  <c r="A37" i="60"/>
  <c r="AB36" i="60"/>
  <c r="AA36" i="60"/>
  <c r="AA35" i="60" s="1"/>
  <c r="AA34" i="60" s="1"/>
  <c r="X36" i="60"/>
  <c r="Y36" i="60" s="1"/>
  <c r="V36" i="60"/>
  <c r="U36" i="60"/>
  <c r="S36" i="60"/>
  <c r="B36" i="60"/>
  <c r="A36" i="60"/>
  <c r="Z35" i="60"/>
  <c r="X35" i="60"/>
  <c r="X34" i="60" s="1"/>
  <c r="W35" i="60"/>
  <c r="T35" i="60"/>
  <c r="T34" i="60" s="1"/>
  <c r="R35" i="60"/>
  <c r="Q35" i="60"/>
  <c r="Q34" i="60" s="1"/>
  <c r="P35" i="60"/>
  <c r="P34" i="60" s="1"/>
  <c r="O35" i="60"/>
  <c r="N35" i="60"/>
  <c r="M35" i="60"/>
  <c r="M34" i="60" s="1"/>
  <c r="B35" i="60"/>
  <c r="A35" i="60"/>
  <c r="Z34" i="60"/>
  <c r="W34" i="60"/>
  <c r="R34" i="60"/>
  <c r="O34" i="60"/>
  <c r="N34" i="60"/>
  <c r="B34" i="60"/>
  <c r="A34" i="60"/>
  <c r="AB33" i="60"/>
  <c r="AA33" i="60"/>
  <c r="X33" i="60"/>
  <c r="Y33" i="60" s="1"/>
  <c r="V33" i="60"/>
  <c r="S33" i="60"/>
  <c r="U33" i="60" s="1"/>
  <c r="B33" i="60"/>
  <c r="A33" i="60"/>
  <c r="AB32" i="60"/>
  <c r="AA32" i="60"/>
  <c r="X32" i="60"/>
  <c r="Y32" i="60" s="1"/>
  <c r="S32" i="60"/>
  <c r="V32" i="60" s="1"/>
  <c r="B32" i="60"/>
  <c r="A32" i="60"/>
  <c r="AB31" i="60"/>
  <c r="AA31" i="60"/>
  <c r="Y31" i="60"/>
  <c r="X31" i="60"/>
  <c r="S31" i="60"/>
  <c r="V31" i="60" s="1"/>
  <c r="B31" i="60"/>
  <c r="A31" i="60"/>
  <c r="AB30" i="60"/>
  <c r="AA30" i="60"/>
  <c r="X30" i="60"/>
  <c r="Y30" i="60" s="1"/>
  <c r="V30" i="60"/>
  <c r="U30" i="60"/>
  <c r="S30" i="60"/>
  <c r="B30" i="60"/>
  <c r="A30" i="60"/>
  <c r="AB29" i="60"/>
  <c r="AA29" i="60"/>
  <c r="X29" i="60"/>
  <c r="Y29" i="60" s="1"/>
  <c r="V29" i="60"/>
  <c r="S29" i="60"/>
  <c r="U29" i="60" s="1"/>
  <c r="B29" i="60"/>
  <c r="A29" i="60"/>
  <c r="AB28" i="60"/>
  <c r="AA28" i="60"/>
  <c r="X28" i="60"/>
  <c r="Y28" i="60" s="1"/>
  <c r="S28" i="60"/>
  <c r="V28" i="60" s="1"/>
  <c r="B28" i="60"/>
  <c r="A28" i="60"/>
  <c r="AB27" i="60"/>
  <c r="AA27" i="60"/>
  <c r="Y27" i="60"/>
  <c r="X27" i="60"/>
  <c r="S27" i="60"/>
  <c r="V27" i="60" s="1"/>
  <c r="B27" i="60"/>
  <c r="A27" i="60"/>
  <c r="AB26" i="60"/>
  <c r="AA26" i="60"/>
  <c r="AA24" i="60" s="1"/>
  <c r="X26" i="60"/>
  <c r="Y26" i="60" s="1"/>
  <c r="V26" i="60"/>
  <c r="U26" i="60"/>
  <c r="S26" i="60"/>
  <c r="B26" i="60"/>
  <c r="A26" i="60"/>
  <c r="AB25" i="60"/>
  <c r="AA25" i="60"/>
  <c r="X25" i="60"/>
  <c r="X24" i="60" s="1"/>
  <c r="Y24" i="60" s="1"/>
  <c r="V25" i="60"/>
  <c r="S25" i="60"/>
  <c r="U25" i="60" s="1"/>
  <c r="B25" i="60"/>
  <c r="A25" i="60"/>
  <c r="Z24" i="60"/>
  <c r="W24" i="60"/>
  <c r="T24" i="60"/>
  <c r="AB24" i="60" s="1"/>
  <c r="R24" i="60"/>
  <c r="Q24" i="60"/>
  <c r="P24" i="60"/>
  <c r="O24" i="60"/>
  <c r="N24" i="60"/>
  <c r="M24" i="60"/>
  <c r="B24" i="60"/>
  <c r="A24" i="60"/>
  <c r="AB23" i="60"/>
  <c r="AA23" i="60"/>
  <c r="X23" i="60"/>
  <c r="Y23" i="60" s="1"/>
  <c r="V23" i="60"/>
  <c r="U23" i="60"/>
  <c r="S23" i="60"/>
  <c r="B23" i="60"/>
  <c r="A23" i="60"/>
  <c r="AB22" i="60"/>
  <c r="AA22" i="60"/>
  <c r="X22" i="60"/>
  <c r="Y22" i="60" s="1"/>
  <c r="P22" i="60"/>
  <c r="S22" i="60" s="1"/>
  <c r="B22" i="60"/>
  <c r="A22" i="60"/>
  <c r="AB21" i="60"/>
  <c r="AA21" i="60"/>
  <c r="Y21" i="60"/>
  <c r="X21" i="60"/>
  <c r="S21" i="60"/>
  <c r="V21" i="60" s="1"/>
  <c r="Q21" i="60"/>
  <c r="P21" i="60"/>
  <c r="B21" i="60"/>
  <c r="A21" i="60"/>
  <c r="AB20" i="60"/>
  <c r="AA20" i="60"/>
  <c r="X20" i="60"/>
  <c r="Y20" i="60" s="1"/>
  <c r="P20" i="60"/>
  <c r="S20" i="60" s="1"/>
  <c r="B20" i="60"/>
  <c r="A20" i="60"/>
  <c r="AB19" i="60"/>
  <c r="AA19" i="60"/>
  <c r="X19" i="60"/>
  <c r="Y19" i="60" s="1"/>
  <c r="P19" i="60"/>
  <c r="S19" i="60" s="1"/>
  <c r="B19" i="60"/>
  <c r="A19" i="60"/>
  <c r="AB18" i="60"/>
  <c r="AA18" i="60"/>
  <c r="X18" i="60"/>
  <c r="Y18" i="60" s="1"/>
  <c r="P18" i="60"/>
  <c r="P12" i="60" s="1"/>
  <c r="P11" i="60" s="1"/>
  <c r="P10" i="60" s="1"/>
  <c r="P9" i="60" s="1"/>
  <c r="B18" i="60"/>
  <c r="A18" i="60"/>
  <c r="AB17" i="60"/>
  <c r="AA17" i="60"/>
  <c r="X17" i="60"/>
  <c r="Y17" i="60" s="1"/>
  <c r="P17" i="60"/>
  <c r="S17" i="60" s="1"/>
  <c r="B17" i="60"/>
  <c r="A17" i="60"/>
  <c r="AB16" i="60"/>
  <c r="AA16" i="60"/>
  <c r="X16" i="60"/>
  <c r="Y16" i="60" s="1"/>
  <c r="S16" i="60"/>
  <c r="V16" i="60" s="1"/>
  <c r="B16" i="60"/>
  <c r="A16" i="60"/>
  <c r="AB15" i="60"/>
  <c r="AA15" i="60"/>
  <c r="Y15" i="60"/>
  <c r="X15" i="60"/>
  <c r="S15" i="60"/>
  <c r="U15" i="60" s="1"/>
  <c r="B15" i="60"/>
  <c r="A15" i="60"/>
  <c r="AB14" i="60"/>
  <c r="AA14" i="60"/>
  <c r="AA12" i="60" s="1"/>
  <c r="AA11" i="60" s="1"/>
  <c r="X14" i="60"/>
  <c r="Y14" i="60" s="1"/>
  <c r="V14" i="60"/>
  <c r="U14" i="60"/>
  <c r="S14" i="60"/>
  <c r="B14" i="60"/>
  <c r="A14" i="60"/>
  <c r="AB13" i="60"/>
  <c r="AA13" i="60"/>
  <c r="X13" i="60"/>
  <c r="X12" i="60" s="1"/>
  <c r="X11" i="60" s="1"/>
  <c r="X10" i="60" s="1"/>
  <c r="Q13" i="60"/>
  <c r="Q12" i="60" s="1"/>
  <c r="Q11" i="60" s="1"/>
  <c r="Q10" i="60" s="1"/>
  <c r="Q9" i="60" s="1"/>
  <c r="B13" i="60"/>
  <c r="A13" i="60"/>
  <c r="Z12" i="60"/>
  <c r="Z11" i="60" s="1"/>
  <c r="W12" i="60"/>
  <c r="W11" i="60" s="1"/>
  <c r="W10" i="60" s="1"/>
  <c r="W9" i="60" s="1"/>
  <c r="T12" i="60"/>
  <c r="R12" i="60"/>
  <c r="R11" i="60" s="1"/>
  <c r="O12" i="60"/>
  <c r="O11" i="60" s="1"/>
  <c r="O10" i="60" s="1"/>
  <c r="O9" i="60" s="1"/>
  <c r="N12" i="60"/>
  <c r="N11" i="60" s="1"/>
  <c r="N10" i="60" s="1"/>
  <c r="N9" i="60" s="1"/>
  <c r="M12" i="60"/>
  <c r="B12" i="60"/>
  <c r="A12" i="60"/>
  <c r="T11" i="60"/>
  <c r="T10" i="60" s="1"/>
  <c r="M11" i="60"/>
  <c r="M10" i="60" s="1"/>
  <c r="M9" i="60" s="1"/>
  <c r="B11" i="60"/>
  <c r="A11" i="60"/>
  <c r="Z10" i="60"/>
  <c r="Z9" i="60" s="1"/>
  <c r="R10" i="60"/>
  <c r="R9" i="60" s="1"/>
  <c r="B10" i="60"/>
  <c r="A10" i="60"/>
  <c r="X9" i="60"/>
  <c r="T9" i="60"/>
  <c r="AB9" i="60" s="1"/>
  <c r="B9" i="60"/>
  <c r="A9" i="60"/>
  <c r="Z8" i="60"/>
  <c r="R8" i="60"/>
  <c r="B8" i="60"/>
  <c r="A8" i="60"/>
  <c r="U22" i="60" l="1"/>
  <c r="V22" i="60"/>
  <c r="V20" i="60"/>
  <c r="U20" i="60"/>
  <c r="AA10" i="60"/>
  <c r="AA9" i="60" s="1"/>
  <c r="W45" i="60"/>
  <c r="W8" i="60" s="1"/>
  <c r="W238" i="60" s="1"/>
  <c r="W241" i="60" s="1"/>
  <c r="U58" i="60"/>
  <c r="V58" i="60"/>
  <c r="S57" i="60"/>
  <c r="V57" i="60" s="1"/>
  <c r="U60" i="60"/>
  <c r="V60" i="60"/>
  <c r="Y9" i="60"/>
  <c r="Y10" i="60"/>
  <c r="AB10" i="60"/>
  <c r="O8" i="60"/>
  <c r="Y34" i="60"/>
  <c r="AB34" i="60"/>
  <c r="U44" i="60"/>
  <c r="V44" i="60"/>
  <c r="Y12" i="60"/>
  <c r="V17" i="60"/>
  <c r="U17" i="60"/>
  <c r="V19" i="60"/>
  <c r="U19" i="60"/>
  <c r="V37" i="60"/>
  <c r="S35" i="60"/>
  <c r="U37" i="60"/>
  <c r="U35" i="60" s="1"/>
  <c r="U34" i="60" s="1"/>
  <c r="M45" i="60"/>
  <c r="M8" i="60" s="1"/>
  <c r="M238" i="60" s="1"/>
  <c r="M241" i="60" s="1"/>
  <c r="U52" i="60"/>
  <c r="U54" i="60"/>
  <c r="V54" i="60"/>
  <c r="S52" i="60"/>
  <c r="AB35" i="60"/>
  <c r="Y78" i="60"/>
  <c r="V80" i="60"/>
  <c r="U80" i="60"/>
  <c r="V88" i="60"/>
  <c r="U88" i="60"/>
  <c r="Y11" i="60"/>
  <c r="S18" i="60"/>
  <c r="U21" i="60"/>
  <c r="Y35" i="60"/>
  <c r="U39" i="60"/>
  <c r="Y46" i="60"/>
  <c r="N50" i="60"/>
  <c r="N45" i="60" s="1"/>
  <c r="N8" i="60" s="1"/>
  <c r="P52" i="60"/>
  <c r="X57" i="60"/>
  <c r="Y57" i="60" s="1"/>
  <c r="V83" i="60"/>
  <c r="U83" i="60"/>
  <c r="AB12" i="60"/>
  <c r="S13" i="60"/>
  <c r="Y13" i="60"/>
  <c r="V15" i="60"/>
  <c r="S24" i="60"/>
  <c r="V24" i="60" s="1"/>
  <c r="Y25" i="60"/>
  <c r="U32" i="60"/>
  <c r="U40" i="60"/>
  <c r="S49" i="60"/>
  <c r="S63" i="60"/>
  <c r="V63" i="60" s="1"/>
  <c r="V66" i="60"/>
  <c r="U66" i="60"/>
  <c r="S69" i="60"/>
  <c r="V70" i="60"/>
  <c r="U70" i="60"/>
  <c r="U69" i="60" s="1"/>
  <c r="V76" i="60"/>
  <c r="S75" i="60"/>
  <c r="V75" i="60" s="1"/>
  <c r="U76" i="60"/>
  <c r="V87" i="60"/>
  <c r="U87" i="60"/>
  <c r="V89" i="60"/>
  <c r="U89" i="60"/>
  <c r="P92" i="60"/>
  <c r="O92" i="60"/>
  <c r="U92" i="60"/>
  <c r="AB11" i="60"/>
  <c r="V77" i="60"/>
  <c r="U77" i="60"/>
  <c r="V81" i="60"/>
  <c r="U81" i="60"/>
  <c r="S85" i="60"/>
  <c r="V85" i="60" s="1"/>
  <c r="V86" i="60"/>
  <c r="U86" i="60"/>
  <c r="U27" i="60"/>
  <c r="U24" i="60" s="1"/>
  <c r="U31" i="60"/>
  <c r="U43" i="60"/>
  <c r="T51" i="60"/>
  <c r="Y52" i="60"/>
  <c r="AB55" i="60"/>
  <c r="U56" i="60"/>
  <c r="U55" i="60" s="1"/>
  <c r="V67" i="60"/>
  <c r="U67" i="60"/>
  <c r="U63" i="60" s="1"/>
  <c r="N92" i="60"/>
  <c r="U16" i="60"/>
  <c r="U28" i="60"/>
  <c r="AA57" i="60"/>
  <c r="AA51" i="60" s="1"/>
  <c r="AA50" i="60" s="1"/>
  <c r="AA45" i="60" s="1"/>
  <c r="V62" i="60"/>
  <c r="V79" i="60"/>
  <c r="S78" i="60"/>
  <c r="V78" i="60" s="1"/>
  <c r="U79" i="60"/>
  <c r="Y48" i="60"/>
  <c r="S55" i="60"/>
  <c r="V55" i="60" s="1"/>
  <c r="P57" i="60"/>
  <c r="X63" i="60"/>
  <c r="Y63" i="60" s="1"/>
  <c r="Y64" i="60"/>
  <c r="AA68" i="60"/>
  <c r="V84" i="60"/>
  <c r="U84" i="60"/>
  <c r="Q92" i="60"/>
  <c r="AA92" i="60"/>
  <c r="X92" i="60"/>
  <c r="U107" i="60"/>
  <c r="U106" i="60" s="1"/>
  <c r="V64" i="60"/>
  <c r="V71" i="60"/>
  <c r="V73" i="60"/>
  <c r="P75" i="60"/>
  <c r="AB75" i="60"/>
  <c r="P78" i="60"/>
  <c r="X78" i="60"/>
  <c r="AB78" i="60"/>
  <c r="V82" i="60"/>
  <c r="Q85" i="60"/>
  <c r="V90" i="60"/>
  <c r="S93" i="60"/>
  <c r="V95" i="60"/>
  <c r="V99" i="60"/>
  <c r="T101" i="60"/>
  <c r="V103" i="60"/>
  <c r="T106" i="60"/>
  <c r="V109" i="60"/>
  <c r="V121" i="60"/>
  <c r="X126" i="60"/>
  <c r="V134" i="60"/>
  <c r="U134" i="60"/>
  <c r="U133" i="60" s="1"/>
  <c r="V144" i="60"/>
  <c r="Q75" i="60"/>
  <c r="Q78" i="60"/>
  <c r="AB93" i="60"/>
  <c r="S102" i="60"/>
  <c r="S107" i="60"/>
  <c r="Y119" i="60"/>
  <c r="AB119" i="60"/>
  <c r="AB120" i="60"/>
  <c r="AB127" i="60"/>
  <c r="P126" i="60"/>
  <c r="V139" i="60"/>
  <c r="U139" i="60"/>
  <c r="AA142" i="60"/>
  <c r="V145" i="60"/>
  <c r="U145" i="60"/>
  <c r="V168" i="60"/>
  <c r="U168" i="60"/>
  <c r="U166" i="60" s="1"/>
  <c r="S166" i="60"/>
  <c r="V166" i="60" s="1"/>
  <c r="AB102" i="60"/>
  <c r="AB107" i="60"/>
  <c r="AB110" i="60"/>
  <c r="Y110" i="60"/>
  <c r="V117" i="60"/>
  <c r="S116" i="60"/>
  <c r="V116" i="60" s="1"/>
  <c r="U117" i="60"/>
  <c r="U116" i="60" s="1"/>
  <c r="U110" i="60" s="1"/>
  <c r="V122" i="60"/>
  <c r="U122" i="60"/>
  <c r="U121" i="60" s="1"/>
  <c r="U120" i="60" s="1"/>
  <c r="U119" i="60" s="1"/>
  <c r="X143" i="60"/>
  <c r="Y145" i="60"/>
  <c r="V149" i="60"/>
  <c r="S148" i="60"/>
  <c r="V148" i="60" s="1"/>
  <c r="U149" i="60"/>
  <c r="U148" i="60" s="1"/>
  <c r="M141" i="60"/>
  <c r="M140" i="60" s="1"/>
  <c r="P63" i="60"/>
  <c r="P69" i="60"/>
  <c r="X69" i="60"/>
  <c r="X85" i="60"/>
  <c r="Y85" i="60" s="1"/>
  <c r="X110" i="60"/>
  <c r="S112" i="60"/>
  <c r="S119" i="60"/>
  <c r="V119" i="60" s="1"/>
  <c r="M123" i="60"/>
  <c r="M126" i="60"/>
  <c r="Q126" i="60"/>
  <c r="AB135" i="60"/>
  <c r="V138" i="60"/>
  <c r="U138" i="60"/>
  <c r="S137" i="60"/>
  <c r="AB142" i="60"/>
  <c r="X175" i="60"/>
  <c r="Y175" i="60" s="1"/>
  <c r="Y176" i="60"/>
  <c r="AB179" i="60"/>
  <c r="U179" i="60"/>
  <c r="U174" i="60" s="1"/>
  <c r="V185" i="60"/>
  <c r="S184" i="60"/>
  <c r="X184" i="60"/>
  <c r="Y185" i="60"/>
  <c r="Y215" i="60"/>
  <c r="X214" i="60"/>
  <c r="Y214" i="60" s="1"/>
  <c r="AB133" i="60"/>
  <c r="U146" i="60"/>
  <c r="S156" i="60"/>
  <c r="P155" i="60"/>
  <c r="P152" i="60" s="1"/>
  <c r="Q157" i="60"/>
  <c r="Q152" i="60" s="1"/>
  <c r="S158" i="60"/>
  <c r="Q166" i="60"/>
  <c r="V173" i="60"/>
  <c r="U173" i="60"/>
  <c r="U172" i="60" s="1"/>
  <c r="X174" i="60"/>
  <c r="Y178" i="60"/>
  <c r="AB182" i="60"/>
  <c r="T184" i="60"/>
  <c r="Y187" i="60"/>
  <c r="AB187" i="60"/>
  <c r="W196" i="60"/>
  <c r="Y211" i="60"/>
  <c r="X210" i="60"/>
  <c r="Y210" i="60" s="1"/>
  <c r="Y229" i="60"/>
  <c r="AB229" i="60"/>
  <c r="AB121" i="60"/>
  <c r="T126" i="60"/>
  <c r="AB131" i="60"/>
  <c r="U132" i="60"/>
  <c r="U131" i="60" s="1"/>
  <c r="AB137" i="60"/>
  <c r="P143" i="60"/>
  <c r="P142" i="60" s="1"/>
  <c r="S147" i="60"/>
  <c r="S143" i="60" s="1"/>
  <c r="P148" i="60"/>
  <c r="Y155" i="60"/>
  <c r="V160" i="60"/>
  <c r="U160" i="60"/>
  <c r="U159" i="60" s="1"/>
  <c r="Q161" i="60"/>
  <c r="Z161" i="60"/>
  <c r="Z141" i="60" s="1"/>
  <c r="Z140" i="60" s="1"/>
  <c r="Z123" i="60" s="1"/>
  <c r="Z238" i="60" s="1"/>
  <c r="Z241" i="60" s="1"/>
  <c r="X166" i="60"/>
  <c r="Y167" i="60"/>
  <c r="S169" i="60"/>
  <c r="V169" i="60" s="1"/>
  <c r="U169" i="60"/>
  <c r="Z169" i="60"/>
  <c r="N174" i="60"/>
  <c r="N141" i="60" s="1"/>
  <c r="N140" i="60" s="1"/>
  <c r="N123" i="60" s="1"/>
  <c r="R174" i="60"/>
  <c r="R141" i="60" s="1"/>
  <c r="R140" i="60" s="1"/>
  <c r="R123" i="60" s="1"/>
  <c r="R238" i="60" s="1"/>
  <c r="R241" i="60" s="1"/>
  <c r="T191" i="60"/>
  <c r="Y192" i="60"/>
  <c r="AB192" i="60"/>
  <c r="S192" i="60"/>
  <c r="V193" i="60"/>
  <c r="U193" i="60"/>
  <c r="U192" i="60" s="1"/>
  <c r="U191" i="60" s="1"/>
  <c r="X153" i="60"/>
  <c r="Y154" i="60"/>
  <c r="Y156" i="60"/>
  <c r="X155" i="60"/>
  <c r="Y158" i="60"/>
  <c r="X157" i="60"/>
  <c r="Y157" i="60" s="1"/>
  <c r="M161" i="60"/>
  <c r="V164" i="60"/>
  <c r="S163" i="60"/>
  <c r="AA163" i="60"/>
  <c r="AA161" i="60" s="1"/>
  <c r="S165" i="60"/>
  <c r="P163" i="60"/>
  <c r="P161" i="60" s="1"/>
  <c r="AB166" i="60"/>
  <c r="AB169" i="60"/>
  <c r="T174" i="60"/>
  <c r="V178" i="60"/>
  <c r="U178" i="60"/>
  <c r="U177" i="60" s="1"/>
  <c r="S179" i="60"/>
  <c r="V181" i="60"/>
  <c r="U181" i="60"/>
  <c r="V186" i="60"/>
  <c r="U186" i="60"/>
  <c r="U185" i="60" s="1"/>
  <c r="U184" i="60" s="1"/>
  <c r="Y209" i="60"/>
  <c r="X208" i="60"/>
  <c r="U225" i="60"/>
  <c r="V225" i="60"/>
  <c r="AB155" i="60"/>
  <c r="AB157" i="60"/>
  <c r="AB159" i="60"/>
  <c r="Q197" i="60"/>
  <c r="Q196" i="60" s="1"/>
  <c r="S198" i="60"/>
  <c r="Q199" i="60"/>
  <c r="S200" i="60"/>
  <c r="R207" i="60"/>
  <c r="W207" i="60"/>
  <c r="W141" i="60" s="1"/>
  <c r="W140" i="60" s="1"/>
  <c r="W123" i="60" s="1"/>
  <c r="S213" i="60"/>
  <c r="P212" i="60"/>
  <c r="Q216" i="60"/>
  <c r="S217" i="60"/>
  <c r="AB219" i="60"/>
  <c r="V227" i="60"/>
  <c r="U227" i="60"/>
  <c r="S232" i="60"/>
  <c r="P230" i="60"/>
  <c r="P229" i="60" s="1"/>
  <c r="Y197" i="60"/>
  <c r="O196" i="60"/>
  <c r="O141" i="60" s="1"/>
  <c r="O140" i="60" s="1"/>
  <c r="O123" i="60" s="1"/>
  <c r="AB201" i="60"/>
  <c r="Z207" i="60"/>
  <c r="AB207" i="60" s="1"/>
  <c r="S209" i="60"/>
  <c r="P208" i="60"/>
  <c r="P207" i="60" s="1"/>
  <c r="S211" i="60"/>
  <c r="P210" i="60"/>
  <c r="Y213" i="60"/>
  <c r="X212" i="60"/>
  <c r="Y212" i="60" s="1"/>
  <c r="Y217" i="60"/>
  <c r="X216" i="60"/>
  <c r="Y216" i="60" s="1"/>
  <c r="V221" i="60"/>
  <c r="U221" i="60"/>
  <c r="U219" i="60" s="1"/>
  <c r="T222" i="60"/>
  <c r="Y223" i="60"/>
  <c r="AB223" i="60"/>
  <c r="S223" i="60"/>
  <c r="V224" i="60"/>
  <c r="U224" i="60"/>
  <c r="Y198" i="60"/>
  <c r="X197" i="60"/>
  <c r="Y200" i="60"/>
  <c r="X199" i="60"/>
  <c r="Y199" i="60" s="1"/>
  <c r="S202" i="60"/>
  <c r="P201" i="60"/>
  <c r="P196" i="60" s="1"/>
  <c r="V206" i="60"/>
  <c r="S205" i="60"/>
  <c r="V205" i="60" s="1"/>
  <c r="Y208" i="60"/>
  <c r="AA207" i="60"/>
  <c r="Q214" i="60"/>
  <c r="S215" i="60"/>
  <c r="V228" i="60"/>
  <c r="U228" i="60"/>
  <c r="AB230" i="60"/>
  <c r="V236" i="60"/>
  <c r="T235" i="60"/>
  <c r="Y236" i="60"/>
  <c r="AB236" i="60"/>
  <c r="AB197" i="60"/>
  <c r="AB208" i="60"/>
  <c r="S230" i="60"/>
  <c r="S142" i="60" l="1"/>
  <c r="V143" i="60"/>
  <c r="U143" i="60"/>
  <c r="U142" i="60" s="1"/>
  <c r="N238" i="60"/>
  <c r="N241" i="60" s="1"/>
  <c r="Y235" i="60"/>
  <c r="AB235" i="60"/>
  <c r="V235" i="60"/>
  <c r="T234" i="60"/>
  <c r="V223" i="60"/>
  <c r="S222" i="60"/>
  <c r="V222" i="60" s="1"/>
  <c r="V179" i="60"/>
  <c r="S174" i="60"/>
  <c r="V174" i="60" s="1"/>
  <c r="P141" i="60"/>
  <c r="P140" i="60" s="1"/>
  <c r="P123" i="60" s="1"/>
  <c r="S101" i="60"/>
  <c r="V102" i="60"/>
  <c r="V69" i="60"/>
  <c r="S68" i="60"/>
  <c r="V68" i="60" s="1"/>
  <c r="V49" i="60"/>
  <c r="U49" i="60"/>
  <c r="U48" i="60" s="1"/>
  <c r="U47" i="60" s="1"/>
  <c r="U46" i="60" s="1"/>
  <c r="S48" i="60"/>
  <c r="P51" i="60"/>
  <c r="V202" i="60"/>
  <c r="U202" i="60"/>
  <c r="U201" i="60" s="1"/>
  <c r="U196" i="60" s="1"/>
  <c r="S201" i="60"/>
  <c r="Y126" i="60"/>
  <c r="AB126" i="60"/>
  <c r="AB161" i="60"/>
  <c r="U200" i="60"/>
  <c r="U199" i="60" s="1"/>
  <c r="V200" i="60"/>
  <c r="S199" i="60"/>
  <c r="V199" i="60" s="1"/>
  <c r="S161" i="60"/>
  <c r="V161" i="60" s="1"/>
  <c r="V163" i="60"/>
  <c r="V192" i="60"/>
  <c r="S191" i="60"/>
  <c r="V191" i="60" s="1"/>
  <c r="AB184" i="60"/>
  <c r="Y184" i="60"/>
  <c r="U137" i="60"/>
  <c r="X68" i="60"/>
  <c r="Y68" i="60" s="1"/>
  <c r="Y69" i="60"/>
  <c r="Y143" i="60"/>
  <c r="X142" i="60"/>
  <c r="AA141" i="60"/>
  <c r="AA140" i="60" s="1"/>
  <c r="AA123" i="60" s="1"/>
  <c r="Y106" i="60"/>
  <c r="AB106" i="60"/>
  <c r="AB51" i="60"/>
  <c r="T50" i="60"/>
  <c r="Y51" i="60"/>
  <c r="X51" i="60"/>
  <c r="AA8" i="60"/>
  <c r="Q207" i="60"/>
  <c r="Q141" i="60" s="1"/>
  <c r="Q140" i="60" s="1"/>
  <c r="Q123" i="60" s="1"/>
  <c r="U223" i="60"/>
  <c r="U222" i="60" s="1"/>
  <c r="V213" i="60"/>
  <c r="U213" i="60"/>
  <c r="U212" i="60" s="1"/>
  <c r="S212" i="60"/>
  <c r="V212" i="60" s="1"/>
  <c r="X207" i="60"/>
  <c r="Y207" i="60" s="1"/>
  <c r="U126" i="60"/>
  <c r="V184" i="60"/>
  <c r="S111" i="60"/>
  <c r="V112" i="60"/>
  <c r="P68" i="60"/>
  <c r="V93" i="60"/>
  <c r="U85" i="60"/>
  <c r="V18" i="60"/>
  <c r="U18" i="60"/>
  <c r="S34" i="60"/>
  <c r="V34" i="60" s="1"/>
  <c r="V35" i="60"/>
  <c r="Y191" i="60"/>
  <c r="AB191" i="60"/>
  <c r="U158" i="60"/>
  <c r="U157" i="60" s="1"/>
  <c r="V158" i="60"/>
  <c r="S157" i="60"/>
  <c r="V157" i="60" s="1"/>
  <c r="V137" i="60"/>
  <c r="S126" i="60"/>
  <c r="V126" i="60" s="1"/>
  <c r="V215" i="60"/>
  <c r="U215" i="60"/>
  <c r="U214" i="60" s="1"/>
  <c r="S214" i="60"/>
  <c r="V214" i="60" s="1"/>
  <c r="U209" i="60"/>
  <c r="U208" i="60" s="1"/>
  <c r="U207" i="60" s="1"/>
  <c r="V209" i="60"/>
  <c r="S208" i="60"/>
  <c r="X152" i="60"/>
  <c r="Y152" i="60" s="1"/>
  <c r="Y153" i="60"/>
  <c r="S229" i="60"/>
  <c r="V229" i="60" s="1"/>
  <c r="V230" i="60"/>
  <c r="X196" i="60"/>
  <c r="Y196" i="60" s="1"/>
  <c r="AB222" i="60"/>
  <c r="Y222" i="60"/>
  <c r="U211" i="60"/>
  <c r="U210" i="60" s="1"/>
  <c r="V211" i="60"/>
  <c r="S210" i="60"/>
  <c r="V210" i="60" s="1"/>
  <c r="U232" i="60"/>
  <c r="U230" i="60" s="1"/>
  <c r="U229" i="60" s="1"/>
  <c r="V232" i="60"/>
  <c r="V217" i="60"/>
  <c r="U217" i="60"/>
  <c r="U216" i="60" s="1"/>
  <c r="S216" i="60"/>
  <c r="V216" i="60" s="1"/>
  <c r="U198" i="60"/>
  <c r="U197" i="60" s="1"/>
  <c r="V198" i="60"/>
  <c r="S197" i="60"/>
  <c r="V197" i="60" s="1"/>
  <c r="Y174" i="60"/>
  <c r="AB174" i="60"/>
  <c r="V165" i="60"/>
  <c r="U165" i="60"/>
  <c r="U163" i="60" s="1"/>
  <c r="U161" i="60" s="1"/>
  <c r="Y166" i="60"/>
  <c r="X161" i="60"/>
  <c r="Y161" i="60" s="1"/>
  <c r="U147" i="60"/>
  <c r="V147" i="60"/>
  <c r="U156" i="60"/>
  <c r="U155" i="60" s="1"/>
  <c r="V156" i="60"/>
  <c r="S155" i="60"/>
  <c r="T141" i="60"/>
  <c r="S106" i="60"/>
  <c r="V106" i="60" s="1"/>
  <c r="V107" i="60"/>
  <c r="Q68" i="60"/>
  <c r="Q50" i="60" s="1"/>
  <c r="Q45" i="60" s="1"/>
  <c r="Q8" i="60" s="1"/>
  <c r="T100" i="60"/>
  <c r="Y101" i="60"/>
  <c r="AB101" i="60"/>
  <c r="U78" i="60"/>
  <c r="U75" i="60"/>
  <c r="U68" i="60" s="1"/>
  <c r="U13" i="60"/>
  <c r="V13" i="60"/>
  <c r="S12" i="60"/>
  <c r="V52" i="60"/>
  <c r="S51" i="60"/>
  <c r="O238" i="60"/>
  <c r="O241" i="60" s="1"/>
  <c r="U57" i="60"/>
  <c r="U51" i="60" s="1"/>
  <c r="U50" i="60" l="1"/>
  <c r="U45" i="60" s="1"/>
  <c r="Y100" i="60"/>
  <c r="AB100" i="60"/>
  <c r="T92" i="60"/>
  <c r="T45" i="60"/>
  <c r="AB50" i="60"/>
  <c r="V101" i="60"/>
  <c r="S100" i="60"/>
  <c r="Q238" i="60"/>
  <c r="Q241" i="60" s="1"/>
  <c r="V155" i="60"/>
  <c r="S152" i="60"/>
  <c r="V152" i="60" s="1"/>
  <c r="S207" i="60"/>
  <c r="V207" i="60" s="1"/>
  <c r="V208" i="60"/>
  <c r="AA238" i="60"/>
  <c r="AA241" i="60" s="1"/>
  <c r="X141" i="60"/>
  <c r="X140" i="60" s="1"/>
  <c r="X123" i="60" s="1"/>
  <c r="Y142" i="60"/>
  <c r="P50" i="60"/>
  <c r="P45" i="60" s="1"/>
  <c r="P8" i="60" s="1"/>
  <c r="P238" i="60" s="1"/>
  <c r="P241" i="60" s="1"/>
  <c r="V142" i="60"/>
  <c r="S141" i="60"/>
  <c r="AB141" i="60"/>
  <c r="T140" i="60"/>
  <c r="S11" i="60"/>
  <c r="V12" i="60"/>
  <c r="V111" i="60"/>
  <c r="S110" i="60"/>
  <c r="V110" i="60" s="1"/>
  <c r="V51" i="60"/>
  <c r="S50" i="60"/>
  <c r="U12" i="60"/>
  <c r="U11" i="60" s="1"/>
  <c r="U10" i="60" s="1"/>
  <c r="U9" i="60" s="1"/>
  <c r="U8" i="60" s="1"/>
  <c r="U152" i="60"/>
  <c r="U141" i="60" s="1"/>
  <c r="U140" i="60" s="1"/>
  <c r="U123" i="60" s="1"/>
  <c r="X50" i="60"/>
  <c r="X45" i="60" s="1"/>
  <c r="X8" i="60" s="1"/>
  <c r="S196" i="60"/>
  <c r="V196" i="60" s="1"/>
  <c r="V201" i="60"/>
  <c r="V48" i="60"/>
  <c r="S47" i="60"/>
  <c r="V234" i="60"/>
  <c r="T233" i="60"/>
  <c r="Y234" i="60"/>
  <c r="AB234" i="60"/>
  <c r="U238" i="60" l="1"/>
  <c r="Y140" i="60"/>
  <c r="AB140" i="60"/>
  <c r="T123" i="60"/>
  <c r="S140" i="60"/>
  <c r="V141" i="60"/>
  <c r="AB92" i="60"/>
  <c r="Y92" i="60"/>
  <c r="Y233" i="60"/>
  <c r="AB233" i="60"/>
  <c r="V233" i="60"/>
  <c r="V50" i="60"/>
  <c r="AB45" i="60"/>
  <c r="Y45" i="60"/>
  <c r="T8" i="60"/>
  <c r="V47" i="60"/>
  <c r="S46" i="60"/>
  <c r="V46" i="60" s="1"/>
  <c r="X238" i="60"/>
  <c r="X241" i="60" s="1"/>
  <c r="V11" i="60"/>
  <c r="S10" i="60"/>
  <c r="Y141" i="60"/>
  <c r="V100" i="60"/>
  <c r="S92" i="60"/>
  <c r="V92" i="60" s="1"/>
  <c r="Y50" i="60"/>
  <c r="T238" i="60" l="1"/>
  <c r="Y8" i="60"/>
  <c r="AB8" i="60"/>
  <c r="Y123" i="60"/>
  <c r="AB123" i="60"/>
  <c r="S9" i="60"/>
  <c r="V10" i="60"/>
  <c r="S45" i="60"/>
  <c r="V45" i="60" s="1"/>
  <c r="V140" i="60"/>
  <c r="S123" i="60"/>
  <c r="V123" i="60" s="1"/>
  <c r="T241" i="60" l="1"/>
  <c r="Y238" i="60"/>
  <c r="Y240" i="60" s="1"/>
  <c r="AB238" i="60"/>
  <c r="AB240" i="60" s="1"/>
  <c r="S8" i="60"/>
  <c r="V9" i="60"/>
  <c r="S238" i="60" l="1"/>
  <c r="V8" i="60"/>
  <c r="V238" i="60" l="1"/>
  <c r="V240" i="60" s="1"/>
  <c r="S241" i="60"/>
  <c r="U240" i="60"/>
  <c r="U241" i="60" s="1"/>
  <c r="Z244" i="49" l="1"/>
  <c r="W244" i="49"/>
  <c r="P244" i="49"/>
  <c r="O244" i="49"/>
  <c r="A244" i="49"/>
  <c r="AA241" i="49"/>
  <c r="Z241" i="49"/>
  <c r="W241" i="49"/>
  <c r="W240" i="49" s="1"/>
  <c r="R241" i="49"/>
  <c r="U241" i="49" s="1"/>
  <c r="A241" i="49"/>
  <c r="Z240" i="49"/>
  <c r="Y240" i="49"/>
  <c r="V240" i="49"/>
  <c r="S240" i="49"/>
  <c r="AA240" i="49" s="1"/>
  <c r="Q240" i="49"/>
  <c r="P240" i="49"/>
  <c r="P239" i="49" s="1"/>
  <c r="P238" i="49" s="1"/>
  <c r="P237" i="49" s="1"/>
  <c r="O240" i="49"/>
  <c r="N240" i="49"/>
  <c r="M240" i="49"/>
  <c r="L240" i="49"/>
  <c r="L239" i="49" s="1"/>
  <c r="L238" i="49" s="1"/>
  <c r="L237" i="49" s="1"/>
  <c r="A240" i="49"/>
  <c r="Z239" i="49"/>
  <c r="Y239" i="49"/>
  <c r="Y238" i="49" s="1"/>
  <c r="Y237" i="49" s="1"/>
  <c r="V239" i="49"/>
  <c r="S239" i="49"/>
  <c r="AA239" i="49" s="1"/>
  <c r="Q239" i="49"/>
  <c r="Q238" i="49" s="1"/>
  <c r="Q237" i="49" s="1"/>
  <c r="O239" i="49"/>
  <c r="N239" i="49"/>
  <c r="M239" i="49"/>
  <c r="M238" i="49" s="1"/>
  <c r="M237" i="49" s="1"/>
  <c r="A239" i="49"/>
  <c r="Z238" i="49"/>
  <c r="Z237" i="49" s="1"/>
  <c r="V238" i="49"/>
  <c r="V237" i="49" s="1"/>
  <c r="S238" i="49"/>
  <c r="O238" i="49"/>
  <c r="N238" i="49"/>
  <c r="N237" i="49" s="1"/>
  <c r="A238" i="49"/>
  <c r="S237" i="49"/>
  <c r="O237" i="49"/>
  <c r="A237" i="49"/>
  <c r="AA236" i="49"/>
  <c r="Z236" i="49"/>
  <c r="W236" i="49"/>
  <c r="X236" i="49" s="1"/>
  <c r="R236" i="49"/>
  <c r="U236" i="49" s="1"/>
  <c r="AA235" i="49"/>
  <c r="Z235" i="49"/>
  <c r="W235" i="49"/>
  <c r="X235" i="49" s="1"/>
  <c r="P235" i="49"/>
  <c r="R235" i="49" s="1"/>
  <c r="AA234" i="49"/>
  <c r="Z234" i="49"/>
  <c r="W234" i="49"/>
  <c r="X234" i="49" s="1"/>
  <c r="U234" i="49"/>
  <c r="R234" i="49"/>
  <c r="T234" i="49" s="1"/>
  <c r="AA233" i="49"/>
  <c r="Z233" i="49"/>
  <c r="W233" i="49"/>
  <c r="X233" i="49" s="1"/>
  <c r="O233" i="49"/>
  <c r="R233" i="49" s="1"/>
  <c r="Z232" i="49"/>
  <c r="Y232" i="49"/>
  <c r="V232" i="49"/>
  <c r="S232" i="49"/>
  <c r="Q232" i="49"/>
  <c r="O232" i="49"/>
  <c r="N232" i="49"/>
  <c r="M232" i="49"/>
  <c r="L232" i="49"/>
  <c r="Z231" i="49"/>
  <c r="Y231" i="49"/>
  <c r="V231" i="49"/>
  <c r="S231" i="49"/>
  <c r="Q231" i="49"/>
  <c r="O231" i="49"/>
  <c r="N231" i="49"/>
  <c r="M231" i="49"/>
  <c r="L231" i="49"/>
  <c r="AA230" i="49"/>
  <c r="Z230" i="49"/>
  <c r="Z228" i="49" s="1"/>
  <c r="X230" i="49"/>
  <c r="W230" i="49"/>
  <c r="P230" i="49"/>
  <c r="R230" i="49" s="1"/>
  <c r="A230" i="49"/>
  <c r="AA229" i="49"/>
  <c r="Z229" i="49"/>
  <c r="X229" i="49"/>
  <c r="W229" i="49"/>
  <c r="W228" i="49" s="1"/>
  <c r="O229" i="49"/>
  <c r="O228" i="49" s="1"/>
  <c r="A229" i="49"/>
  <c r="Y228" i="49"/>
  <c r="X228" i="49"/>
  <c r="V228" i="49"/>
  <c r="S228" i="49"/>
  <c r="AA228" i="49" s="1"/>
  <c r="Q228" i="49"/>
  <c r="P228" i="49"/>
  <c r="N228" i="49"/>
  <c r="M228" i="49"/>
  <c r="L228" i="49"/>
  <c r="A228" i="49"/>
  <c r="AA227" i="49"/>
  <c r="Z227" i="49"/>
  <c r="X227" i="49"/>
  <c r="W227" i="49"/>
  <c r="R227" i="49"/>
  <c r="R225" i="49" s="1"/>
  <c r="U225" i="49" s="1"/>
  <c r="P227" i="49"/>
  <c r="A227" i="49"/>
  <c r="AA226" i="49"/>
  <c r="Z226" i="49"/>
  <c r="Z225" i="49" s="1"/>
  <c r="W226" i="49"/>
  <c r="X226" i="49" s="1"/>
  <c r="U226" i="49"/>
  <c r="T226" i="49"/>
  <c r="R226" i="49"/>
  <c r="O226" i="49"/>
  <c r="A226" i="49"/>
  <c r="Y225" i="49"/>
  <c r="W225" i="49"/>
  <c r="V225" i="49"/>
  <c r="S225" i="49"/>
  <c r="X225" i="49" s="1"/>
  <c r="Q225" i="49"/>
  <c r="P225" i="49"/>
  <c r="O225" i="49"/>
  <c r="N225" i="49"/>
  <c r="M225" i="49"/>
  <c r="L225" i="49"/>
  <c r="A225" i="49"/>
  <c r="AA224" i="49"/>
  <c r="Z224" i="49"/>
  <c r="X224" i="49"/>
  <c r="W224" i="49"/>
  <c r="W222" i="49" s="1"/>
  <c r="O224" i="49"/>
  <c r="R224" i="49" s="1"/>
  <c r="A224" i="49"/>
  <c r="AA223" i="49"/>
  <c r="Z223" i="49"/>
  <c r="X223" i="49"/>
  <c r="W223" i="49"/>
  <c r="R223" i="49"/>
  <c r="U223" i="49" s="1"/>
  <c r="O223" i="49"/>
  <c r="A223" i="49"/>
  <c r="Z222" i="49"/>
  <c r="Y222" i="49"/>
  <c r="V222" i="49"/>
  <c r="S222" i="49"/>
  <c r="X222" i="49" s="1"/>
  <c r="Q222" i="49"/>
  <c r="P222" i="49"/>
  <c r="N222" i="49"/>
  <c r="M222" i="49"/>
  <c r="L222" i="49"/>
  <c r="A222" i="49"/>
  <c r="AA221" i="49"/>
  <c r="Z221" i="49"/>
  <c r="X221" i="49"/>
  <c r="W221" i="49"/>
  <c r="W220" i="49" s="1"/>
  <c r="O221" i="49"/>
  <c r="O220" i="49" s="1"/>
  <c r="A221" i="49"/>
  <c r="Z220" i="49"/>
  <c r="Y220" i="49"/>
  <c r="X220" i="49"/>
  <c r="V220" i="49"/>
  <c r="S220" i="49"/>
  <c r="AA220" i="49" s="1"/>
  <c r="Q220" i="49"/>
  <c r="P220" i="49"/>
  <c r="N220" i="49"/>
  <c r="M220" i="49"/>
  <c r="L220" i="49"/>
  <c r="A220" i="49"/>
  <c r="AA219" i="49"/>
  <c r="Z219" i="49"/>
  <c r="X219" i="49"/>
  <c r="W219" i="49"/>
  <c r="R219" i="49"/>
  <c r="R217" i="49" s="1"/>
  <c r="U217" i="49" s="1"/>
  <c r="P219" i="49"/>
  <c r="A219" i="49"/>
  <c r="AA218" i="49"/>
  <c r="Z218" i="49"/>
  <c r="Z217" i="49" s="1"/>
  <c r="W218" i="49"/>
  <c r="X218" i="49" s="1"/>
  <c r="U218" i="49"/>
  <c r="T218" i="49"/>
  <c r="R218" i="49"/>
  <c r="O218" i="49"/>
  <c r="A218" i="49"/>
  <c r="Y217" i="49"/>
  <c r="W217" i="49"/>
  <c r="V217" i="49"/>
  <c r="S217" i="49"/>
  <c r="Q217" i="49"/>
  <c r="P217" i="49"/>
  <c r="P214" i="49" s="1"/>
  <c r="O217" i="49"/>
  <c r="N217" i="49"/>
  <c r="M217" i="49"/>
  <c r="L217" i="49"/>
  <c r="L214" i="49" s="1"/>
  <c r="A217" i="49"/>
  <c r="AA216" i="49"/>
  <c r="Z216" i="49"/>
  <c r="W216" i="49"/>
  <c r="O216" i="49"/>
  <c r="A216" i="49"/>
  <c r="Z215" i="49"/>
  <c r="Y215" i="49"/>
  <c r="Y214" i="49" s="1"/>
  <c r="V215" i="49"/>
  <c r="S215" i="49"/>
  <c r="Q215" i="49"/>
  <c r="Q214" i="49" s="1"/>
  <c r="P215" i="49"/>
  <c r="N215" i="49"/>
  <c r="M215" i="49"/>
  <c r="M214" i="49" s="1"/>
  <c r="L215" i="49"/>
  <c r="A215" i="49"/>
  <c r="V214" i="49"/>
  <c r="N214" i="49"/>
  <c r="A214" i="49"/>
  <c r="AA213" i="49"/>
  <c r="Z213" i="49"/>
  <c r="X213" i="49"/>
  <c r="W213" i="49"/>
  <c r="U213" i="49"/>
  <c r="R213" i="49"/>
  <c r="T213" i="49" s="1"/>
  <c r="A213" i="49"/>
  <c r="AA212" i="49"/>
  <c r="Z212" i="49"/>
  <c r="W212" i="49"/>
  <c r="P212" i="49"/>
  <c r="P211" i="49" s="1"/>
  <c r="O212" i="49"/>
  <c r="A212" i="49"/>
  <c r="Z211" i="49"/>
  <c r="Y211" i="49"/>
  <c r="V211" i="49"/>
  <c r="V202" i="49" s="1"/>
  <c r="S211" i="49"/>
  <c r="Q211" i="49"/>
  <c r="N211" i="49"/>
  <c r="N202" i="49" s="1"/>
  <c r="M211" i="49"/>
  <c r="L211" i="49"/>
  <c r="A211" i="49"/>
  <c r="AA210" i="49"/>
  <c r="Z210" i="49"/>
  <c r="Z209" i="49" s="1"/>
  <c r="W210" i="49"/>
  <c r="X210" i="49" s="1"/>
  <c r="P210" i="49"/>
  <c r="O210" i="49"/>
  <c r="A210" i="49"/>
  <c r="Y209" i="49"/>
  <c r="V209" i="49"/>
  <c r="S209" i="49"/>
  <c r="Q209" i="49"/>
  <c r="P209" i="49"/>
  <c r="N209" i="49"/>
  <c r="M209" i="49"/>
  <c r="L209" i="49"/>
  <c r="A209" i="49"/>
  <c r="AA208" i="49"/>
  <c r="Z208" i="49"/>
  <c r="Z207" i="49" s="1"/>
  <c r="X208" i="49"/>
  <c r="W208" i="49"/>
  <c r="T208" i="49"/>
  <c r="T207" i="49" s="1"/>
  <c r="R208" i="49"/>
  <c r="P208" i="49"/>
  <c r="O208" i="49"/>
  <c r="A208" i="49"/>
  <c r="Y207" i="49"/>
  <c r="W207" i="49"/>
  <c r="V207" i="49"/>
  <c r="S207" i="49"/>
  <c r="AA207" i="49" s="1"/>
  <c r="Q207" i="49"/>
  <c r="P207" i="49"/>
  <c r="O207" i="49"/>
  <c r="N207" i="49"/>
  <c r="M207" i="49"/>
  <c r="L207" i="49"/>
  <c r="L202" i="49" s="1"/>
  <c r="A207" i="49"/>
  <c r="AA206" i="49"/>
  <c r="Z206" i="49"/>
  <c r="X206" i="49"/>
  <c r="W206" i="49"/>
  <c r="P206" i="49"/>
  <c r="O206" i="49"/>
  <c r="A206" i="49"/>
  <c r="Z205" i="49"/>
  <c r="Z202" i="49" s="1"/>
  <c r="Y205" i="49"/>
  <c r="W205" i="49"/>
  <c r="V205" i="49"/>
  <c r="S205" i="49"/>
  <c r="Q205" i="49"/>
  <c r="O205" i="49"/>
  <c r="N205" i="49"/>
  <c r="M205" i="49"/>
  <c r="L205" i="49"/>
  <c r="A205" i="49"/>
  <c r="AA204" i="49"/>
  <c r="Z204" i="49"/>
  <c r="W204" i="49"/>
  <c r="P204" i="49"/>
  <c r="P203" i="49" s="1"/>
  <c r="O204" i="49"/>
  <c r="A204" i="49"/>
  <c r="Z203" i="49"/>
  <c r="Y203" i="49"/>
  <c r="V203" i="49"/>
  <c r="S203" i="49"/>
  <c r="Q203" i="49"/>
  <c r="N203" i="49"/>
  <c r="M203" i="49"/>
  <c r="L203" i="49"/>
  <c r="A203" i="49"/>
  <c r="A202" i="49"/>
  <c r="AA201" i="49"/>
  <c r="Z201" i="49"/>
  <c r="W201" i="49"/>
  <c r="X201" i="49" s="1"/>
  <c r="U201" i="49"/>
  <c r="R201" i="49"/>
  <c r="T201" i="49" s="1"/>
  <c r="T199" i="49" s="1"/>
  <c r="T198" i="49" s="1"/>
  <c r="A201" i="49"/>
  <c r="AA200" i="49"/>
  <c r="Z200" i="49"/>
  <c r="W200" i="49"/>
  <c r="X200" i="49" s="1"/>
  <c r="U200" i="49"/>
  <c r="R200" i="49"/>
  <c r="T200" i="49" s="1"/>
  <c r="A200" i="49"/>
  <c r="AA199" i="49"/>
  <c r="Z199" i="49"/>
  <c r="Y199" i="49"/>
  <c r="W199" i="49"/>
  <c r="W198" i="49" s="1"/>
  <c r="V199" i="49"/>
  <c r="S199" i="49"/>
  <c r="S198" i="49" s="1"/>
  <c r="Q199" i="49"/>
  <c r="P199" i="49"/>
  <c r="P198" i="49" s="1"/>
  <c r="O199" i="49"/>
  <c r="O198" i="49" s="1"/>
  <c r="N199" i="49"/>
  <c r="M199" i="49"/>
  <c r="L199" i="49"/>
  <c r="L198" i="49" s="1"/>
  <c r="A199" i="49"/>
  <c r="Z198" i="49"/>
  <c r="Y198" i="49"/>
  <c r="X198" i="49"/>
  <c r="V198" i="49"/>
  <c r="Q198" i="49"/>
  <c r="N198" i="49"/>
  <c r="M198" i="49"/>
  <c r="A198" i="49"/>
  <c r="AA197" i="49"/>
  <c r="Z197" i="49"/>
  <c r="X197" i="49"/>
  <c r="W197" i="49"/>
  <c r="U197" i="49"/>
  <c r="T197" i="49"/>
  <c r="T196" i="49" s="1"/>
  <c r="R197" i="49"/>
  <c r="A197" i="49"/>
  <c r="AA196" i="49"/>
  <c r="Z196" i="49"/>
  <c r="Z191" i="49" s="1"/>
  <c r="Y196" i="49"/>
  <c r="W196" i="49"/>
  <c r="V196" i="49"/>
  <c r="U196" i="49"/>
  <c r="S196" i="49"/>
  <c r="X196" i="49" s="1"/>
  <c r="R196" i="49"/>
  <c r="Q196" i="49"/>
  <c r="P196" i="49"/>
  <c r="O196" i="49"/>
  <c r="N196" i="49"/>
  <c r="M196" i="49"/>
  <c r="L196" i="49"/>
  <c r="A196" i="49"/>
  <c r="AA195" i="49"/>
  <c r="Z195" i="49"/>
  <c r="Z194" i="49" s="1"/>
  <c r="X195" i="49"/>
  <c r="W195" i="49"/>
  <c r="U195" i="49"/>
  <c r="T195" i="49"/>
  <c r="T194" i="49" s="1"/>
  <c r="R195" i="49"/>
  <c r="O195" i="49"/>
  <c r="A195" i="49"/>
  <c r="Y194" i="49"/>
  <c r="W194" i="49"/>
  <c r="V194" i="49"/>
  <c r="S194" i="49"/>
  <c r="R194" i="49"/>
  <c r="U194" i="49" s="1"/>
  <c r="Q194" i="49"/>
  <c r="P194" i="49"/>
  <c r="O194" i="49"/>
  <c r="O191" i="49" s="1"/>
  <c r="N194" i="49"/>
  <c r="M194" i="49"/>
  <c r="L194" i="49"/>
  <c r="A194" i="49"/>
  <c r="AA193" i="49"/>
  <c r="Z193" i="49"/>
  <c r="W193" i="49"/>
  <c r="P193" i="49"/>
  <c r="A193" i="49"/>
  <c r="Z192" i="49"/>
  <c r="Y192" i="49"/>
  <c r="Y191" i="49" s="1"/>
  <c r="V192" i="49"/>
  <c r="S192" i="49"/>
  <c r="AA192" i="49" s="1"/>
  <c r="Q192" i="49"/>
  <c r="O192" i="49"/>
  <c r="N192" i="49"/>
  <c r="M192" i="49"/>
  <c r="L192" i="49"/>
  <c r="L191" i="49" s="1"/>
  <c r="A192" i="49"/>
  <c r="V191" i="49"/>
  <c r="N191" i="49"/>
  <c r="A191" i="49"/>
  <c r="AA190" i="49"/>
  <c r="Z190" i="49"/>
  <c r="X190" i="49"/>
  <c r="W190" i="49"/>
  <c r="U190" i="49"/>
  <c r="R190" i="49"/>
  <c r="T190" i="49" s="1"/>
  <c r="T189" i="49" s="1"/>
  <c r="A190" i="49"/>
  <c r="AA189" i="49"/>
  <c r="Z189" i="49"/>
  <c r="Y189" i="49"/>
  <c r="W189" i="49"/>
  <c r="W188" i="49" s="1"/>
  <c r="V189" i="49"/>
  <c r="S189" i="49"/>
  <c r="R189" i="49"/>
  <c r="U189" i="49" s="1"/>
  <c r="Q189" i="49"/>
  <c r="P189" i="49"/>
  <c r="O189" i="49"/>
  <c r="O188" i="49" s="1"/>
  <c r="N189" i="49"/>
  <c r="M189" i="49"/>
  <c r="L189" i="49"/>
  <c r="A189" i="49"/>
  <c r="Z188" i="49"/>
  <c r="Y188" i="49"/>
  <c r="V188" i="49"/>
  <c r="U188" i="49"/>
  <c r="T188" i="49"/>
  <c r="R188" i="49"/>
  <c r="Q188" i="49"/>
  <c r="P188" i="49"/>
  <c r="N188" i="49"/>
  <c r="M188" i="49"/>
  <c r="L188" i="49"/>
  <c r="A188" i="49"/>
  <c r="AA187" i="49"/>
  <c r="Z187" i="49"/>
  <c r="X187" i="49"/>
  <c r="W187" i="49"/>
  <c r="R187" i="49"/>
  <c r="A187" i="49"/>
  <c r="Z186" i="49"/>
  <c r="Y186" i="49"/>
  <c r="W186" i="49"/>
  <c r="V186" i="49"/>
  <c r="S186" i="49"/>
  <c r="X186" i="49" s="1"/>
  <c r="Q186" i="49"/>
  <c r="P186" i="49"/>
  <c r="O186" i="49"/>
  <c r="N186" i="49"/>
  <c r="M186" i="49"/>
  <c r="M179" i="49" s="1"/>
  <c r="L186" i="49"/>
  <c r="A186" i="49"/>
  <c r="AA185" i="49"/>
  <c r="Z185" i="49"/>
  <c r="Z184" i="49" s="1"/>
  <c r="Z179" i="49" s="1"/>
  <c r="X185" i="49"/>
  <c r="W185" i="49"/>
  <c r="U185" i="49"/>
  <c r="T185" i="49"/>
  <c r="T184" i="49" s="1"/>
  <c r="R185" i="49"/>
  <c r="A185" i="49"/>
  <c r="Y184" i="49"/>
  <c r="W184" i="49"/>
  <c r="W179" i="49" s="1"/>
  <c r="V184" i="49"/>
  <c r="V179" i="49" s="1"/>
  <c r="S184" i="49"/>
  <c r="X184" i="49" s="1"/>
  <c r="R184" i="49"/>
  <c r="Q184" i="49"/>
  <c r="P184" i="49"/>
  <c r="O184" i="49"/>
  <c r="N184" i="49"/>
  <c r="N179" i="49" s="1"/>
  <c r="M184" i="49"/>
  <c r="L184" i="49"/>
  <c r="A184" i="49"/>
  <c r="AA183" i="49"/>
  <c r="Z183" i="49"/>
  <c r="X183" i="49"/>
  <c r="W183" i="49"/>
  <c r="U183" i="49"/>
  <c r="R183" i="49"/>
  <c r="T183" i="49" s="1"/>
  <c r="T182" i="49" s="1"/>
  <c r="A183" i="49"/>
  <c r="Z182" i="49"/>
  <c r="Y182" i="49"/>
  <c r="W182" i="49"/>
  <c r="V182" i="49"/>
  <c r="S182" i="49"/>
  <c r="X182" i="49" s="1"/>
  <c r="Q182" i="49"/>
  <c r="P182" i="49"/>
  <c r="O182" i="49"/>
  <c r="N182" i="49"/>
  <c r="M182" i="49"/>
  <c r="L182" i="49"/>
  <c r="A182" i="49"/>
  <c r="AA181" i="49"/>
  <c r="Z181" i="49"/>
  <c r="X181" i="49"/>
  <c r="W181" i="49"/>
  <c r="W180" i="49" s="1"/>
  <c r="R181" i="49"/>
  <c r="U181" i="49" s="1"/>
  <c r="A181" i="49"/>
  <c r="Z180" i="49"/>
  <c r="Y180" i="49"/>
  <c r="X180" i="49"/>
  <c r="V180" i="49"/>
  <c r="S180" i="49"/>
  <c r="AA180" i="49" s="1"/>
  <c r="Q180" i="49"/>
  <c r="P180" i="49"/>
  <c r="O180" i="49"/>
  <c r="N180" i="49"/>
  <c r="M180" i="49"/>
  <c r="L180" i="49"/>
  <c r="A180" i="49"/>
  <c r="Y179" i="49"/>
  <c r="Q179" i="49"/>
  <c r="A179" i="49"/>
  <c r="AA178" i="49"/>
  <c r="Z178" i="49"/>
  <c r="Z177" i="49" s="1"/>
  <c r="Z174" i="49" s="1"/>
  <c r="X178" i="49"/>
  <c r="W178" i="49"/>
  <c r="U178" i="49"/>
  <c r="T178" i="49"/>
  <c r="T177" i="49" s="1"/>
  <c r="R178" i="49"/>
  <c r="A178" i="49"/>
  <c r="Y177" i="49"/>
  <c r="W177" i="49"/>
  <c r="V177" i="49"/>
  <c r="V174" i="49" s="1"/>
  <c r="S177" i="49"/>
  <c r="X177" i="49" s="1"/>
  <c r="R177" i="49"/>
  <c r="U177" i="49" s="1"/>
  <c r="Q177" i="49"/>
  <c r="P177" i="49"/>
  <c r="O177" i="49"/>
  <c r="N177" i="49"/>
  <c r="N174" i="49" s="1"/>
  <c r="M177" i="49"/>
  <c r="L177" i="49"/>
  <c r="A177" i="49"/>
  <c r="AA176" i="49"/>
  <c r="Z176" i="49"/>
  <c r="X176" i="49"/>
  <c r="W176" i="49"/>
  <c r="U176" i="49"/>
  <c r="R176" i="49"/>
  <c r="T176" i="49" s="1"/>
  <c r="T175" i="49" s="1"/>
  <c r="T174" i="49" s="1"/>
  <c r="A176" i="49"/>
  <c r="Z175" i="49"/>
  <c r="Y175" i="49"/>
  <c r="W175" i="49"/>
  <c r="W174" i="49" s="1"/>
  <c r="V175" i="49"/>
  <c r="S175" i="49"/>
  <c r="Q175" i="49"/>
  <c r="P175" i="49"/>
  <c r="O175" i="49"/>
  <c r="O174" i="49" s="1"/>
  <c r="N175" i="49"/>
  <c r="M175" i="49"/>
  <c r="L175" i="49"/>
  <c r="A175" i="49"/>
  <c r="Y174" i="49"/>
  <c r="Q174" i="49"/>
  <c r="P174" i="49"/>
  <c r="M174" i="49"/>
  <c r="L174" i="49"/>
  <c r="A174" i="49"/>
  <c r="AA173" i="49"/>
  <c r="Z173" i="49"/>
  <c r="X173" i="49"/>
  <c r="W173" i="49"/>
  <c r="R173" i="49"/>
  <c r="A173" i="49"/>
  <c r="Z172" i="49"/>
  <c r="Y172" i="49"/>
  <c r="W172" i="49"/>
  <c r="V172" i="49"/>
  <c r="S172" i="49"/>
  <c r="X172" i="49" s="1"/>
  <c r="Q172" i="49"/>
  <c r="P172" i="49"/>
  <c r="O172" i="49"/>
  <c r="N172" i="49"/>
  <c r="M172" i="49"/>
  <c r="L172" i="49"/>
  <c r="A172" i="49"/>
  <c r="AA171" i="49"/>
  <c r="Z171" i="49"/>
  <c r="W171" i="49"/>
  <c r="X171" i="49" s="1"/>
  <c r="U171" i="49"/>
  <c r="T171" i="49"/>
  <c r="Q171" i="49"/>
  <c r="R171" i="49" s="1"/>
  <c r="P171" i="49"/>
  <c r="P168" i="49" s="1"/>
  <c r="A171" i="49"/>
  <c r="AA170" i="49"/>
  <c r="Z170" i="49"/>
  <c r="X170" i="49"/>
  <c r="W170" i="49"/>
  <c r="R170" i="49"/>
  <c r="A170" i="49"/>
  <c r="AA169" i="49"/>
  <c r="Z169" i="49"/>
  <c r="X169" i="49"/>
  <c r="W169" i="49"/>
  <c r="O169" i="49"/>
  <c r="O168" i="49" s="1"/>
  <c r="A169" i="49"/>
  <c r="Z168" i="49"/>
  <c r="Z166" i="49" s="1"/>
  <c r="Y168" i="49"/>
  <c r="V168" i="49"/>
  <c r="V166" i="49" s="1"/>
  <c r="S168" i="49"/>
  <c r="Q168" i="49"/>
  <c r="N168" i="49"/>
  <c r="N166" i="49" s="1"/>
  <c r="N147" i="49" s="1"/>
  <c r="N146" i="49" s="1"/>
  <c r="M168" i="49"/>
  <c r="M166" i="49" s="1"/>
  <c r="L168" i="49"/>
  <c r="A168" i="49"/>
  <c r="Q167" i="49"/>
  <c r="S166" i="49"/>
  <c r="P166" i="49"/>
  <c r="O166" i="49"/>
  <c r="L166" i="49"/>
  <c r="A166" i="49"/>
  <c r="AA165" i="49"/>
  <c r="Z165" i="49"/>
  <c r="X165" i="49"/>
  <c r="W165" i="49"/>
  <c r="W164" i="49" s="1"/>
  <c r="R165" i="49"/>
  <c r="A165" i="49"/>
  <c r="Z164" i="49"/>
  <c r="Y164" i="49"/>
  <c r="X164" i="49"/>
  <c r="V164" i="49"/>
  <c r="S164" i="49"/>
  <c r="AA164" i="49" s="1"/>
  <c r="Q164" i="49"/>
  <c r="P164" i="49"/>
  <c r="P157" i="49" s="1"/>
  <c r="O164" i="49"/>
  <c r="N164" i="49"/>
  <c r="M164" i="49"/>
  <c r="L164" i="49"/>
  <c r="A164" i="49"/>
  <c r="AA163" i="49"/>
  <c r="Z163" i="49"/>
  <c r="X163" i="49"/>
  <c r="W163" i="49"/>
  <c r="R163" i="49"/>
  <c r="U163" i="49" s="1"/>
  <c r="A163" i="49"/>
  <c r="Z162" i="49"/>
  <c r="Y162" i="49"/>
  <c r="W162" i="49"/>
  <c r="V162" i="49"/>
  <c r="U162" i="49"/>
  <c r="S162" i="49"/>
  <c r="X162" i="49" s="1"/>
  <c r="R162" i="49"/>
  <c r="Q162" i="49"/>
  <c r="Q157" i="49" s="1"/>
  <c r="P162" i="49"/>
  <c r="O162" i="49"/>
  <c r="N162" i="49"/>
  <c r="M162" i="49"/>
  <c r="M157" i="49" s="1"/>
  <c r="L162" i="49"/>
  <c r="A162" i="49"/>
  <c r="AA161" i="49"/>
  <c r="Z161" i="49"/>
  <c r="Z160" i="49" s="1"/>
  <c r="Z157" i="49" s="1"/>
  <c r="X161" i="49"/>
  <c r="W161" i="49"/>
  <c r="U161" i="49"/>
  <c r="T161" i="49"/>
  <c r="T160" i="49" s="1"/>
  <c r="R161" i="49"/>
  <c r="A161" i="49"/>
  <c r="Y160" i="49"/>
  <c r="W160" i="49"/>
  <c r="V160" i="49"/>
  <c r="S160" i="49"/>
  <c r="R160" i="49"/>
  <c r="Q160" i="49"/>
  <c r="P160" i="49"/>
  <c r="O160" i="49"/>
  <c r="N160" i="49"/>
  <c r="N157" i="49" s="1"/>
  <c r="M160" i="49"/>
  <c r="L160" i="49"/>
  <c r="A160" i="49"/>
  <c r="AA159" i="49"/>
  <c r="Z159" i="49"/>
  <c r="X159" i="49"/>
  <c r="W159" i="49"/>
  <c r="W158" i="49" s="1"/>
  <c r="W157" i="49" s="1"/>
  <c r="U159" i="49"/>
  <c r="R159" i="49"/>
  <c r="T159" i="49" s="1"/>
  <c r="A159" i="49"/>
  <c r="AA158" i="49"/>
  <c r="Z158" i="49"/>
  <c r="Y158" i="49"/>
  <c r="V158" i="49"/>
  <c r="T158" i="49"/>
  <c r="S158" i="49"/>
  <c r="Q158" i="49"/>
  <c r="P158" i="49"/>
  <c r="O158" i="49"/>
  <c r="N158" i="49"/>
  <c r="M158" i="49"/>
  <c r="L158" i="49"/>
  <c r="A158" i="49"/>
  <c r="Y157" i="49"/>
  <c r="A157" i="49"/>
  <c r="AA156" i="49"/>
  <c r="Z156" i="49"/>
  <c r="X156" i="49"/>
  <c r="W156" i="49"/>
  <c r="T156" i="49"/>
  <c r="T154" i="49" s="1"/>
  <c r="R156" i="49"/>
  <c r="U156" i="49" s="1"/>
  <c r="P156" i="49"/>
  <c r="A156" i="49"/>
  <c r="AA155" i="49"/>
  <c r="Z155" i="49"/>
  <c r="X155" i="49"/>
  <c r="W155" i="49"/>
  <c r="U155" i="49"/>
  <c r="T155" i="49"/>
  <c r="R155" i="49"/>
  <c r="A155" i="49"/>
  <c r="AA154" i="49"/>
  <c r="Z154" i="49"/>
  <c r="Y154" i="49"/>
  <c r="W154" i="49"/>
  <c r="V154" i="49"/>
  <c r="V148" i="49" s="1"/>
  <c r="S154" i="49"/>
  <c r="X154" i="49" s="1"/>
  <c r="Q154" i="49"/>
  <c r="P154" i="49"/>
  <c r="O154" i="49"/>
  <c r="N154" i="49"/>
  <c r="N148" i="49" s="1"/>
  <c r="M154" i="49"/>
  <c r="L154" i="49"/>
  <c r="A154" i="49"/>
  <c r="AA153" i="49"/>
  <c r="Z153" i="49"/>
  <c r="W153" i="49"/>
  <c r="X153" i="49" s="1"/>
  <c r="U153" i="49"/>
  <c r="P153" i="49"/>
  <c r="O153" i="49"/>
  <c r="R153" i="49" s="1"/>
  <c r="T153" i="49" s="1"/>
  <c r="A153" i="49"/>
  <c r="AA152" i="49"/>
  <c r="Z152" i="49"/>
  <c r="X152" i="49"/>
  <c r="W152" i="49"/>
  <c r="T152" i="49"/>
  <c r="R152" i="49"/>
  <c r="U152" i="49" s="1"/>
  <c r="A152" i="49"/>
  <c r="AA151" i="49"/>
  <c r="Z151" i="49"/>
  <c r="Z149" i="49" s="1"/>
  <c r="Z148" i="49" s="1"/>
  <c r="X151" i="49"/>
  <c r="W151" i="49"/>
  <c r="T151" i="49"/>
  <c r="T149" i="49" s="1"/>
  <c r="R151" i="49"/>
  <c r="P151" i="49"/>
  <c r="O151" i="49"/>
  <c r="A151" i="49"/>
  <c r="AA150" i="49"/>
  <c r="Z150" i="49"/>
  <c r="X150" i="49"/>
  <c r="W150" i="49"/>
  <c r="W149" i="49" s="1"/>
  <c r="W148" i="49" s="1"/>
  <c r="U150" i="49"/>
  <c r="R150" i="49"/>
  <c r="T150" i="49" s="1"/>
  <c r="A150" i="49"/>
  <c r="AA149" i="49"/>
  <c r="Y149" i="49"/>
  <c r="V149" i="49"/>
  <c r="S149" i="49"/>
  <c r="Q149" i="49"/>
  <c r="P149" i="49"/>
  <c r="P148" i="49" s="1"/>
  <c r="O149" i="49"/>
  <c r="O148" i="49" s="1"/>
  <c r="N149" i="49"/>
  <c r="M149" i="49"/>
  <c r="L149" i="49"/>
  <c r="L148" i="49" s="1"/>
  <c r="A149" i="49"/>
  <c r="Y148" i="49"/>
  <c r="Q148" i="49"/>
  <c r="M148" i="49"/>
  <c r="A148" i="49"/>
  <c r="A147" i="49"/>
  <c r="A146" i="49"/>
  <c r="AA145" i="49"/>
  <c r="Z145" i="49"/>
  <c r="X145" i="49"/>
  <c r="W145" i="49"/>
  <c r="W143" i="49" s="1"/>
  <c r="U145" i="49"/>
  <c r="R145" i="49"/>
  <c r="T145" i="49" s="1"/>
  <c r="A145" i="49"/>
  <c r="AA144" i="49"/>
  <c r="Z144" i="49"/>
  <c r="X144" i="49"/>
  <c r="W144" i="49"/>
  <c r="U144" i="49"/>
  <c r="R144" i="49"/>
  <c r="T144" i="49" s="1"/>
  <c r="A144" i="49"/>
  <c r="AA143" i="49"/>
  <c r="Z143" i="49"/>
  <c r="Y143" i="49"/>
  <c r="V143" i="49"/>
  <c r="T143" i="49"/>
  <c r="S143" i="49"/>
  <c r="X143" i="49" s="1"/>
  <c r="Q143" i="49"/>
  <c r="P143" i="49"/>
  <c r="O143" i="49"/>
  <c r="N143" i="49"/>
  <c r="M143" i="49"/>
  <c r="L143" i="49"/>
  <c r="A143" i="49"/>
  <c r="AA142" i="49"/>
  <c r="Z142" i="49"/>
  <c r="Z141" i="49" s="1"/>
  <c r="X142" i="49"/>
  <c r="W142" i="49"/>
  <c r="R142" i="49"/>
  <c r="U142" i="49" s="1"/>
  <c r="A142" i="49"/>
  <c r="Y141" i="49"/>
  <c r="X141" i="49"/>
  <c r="W141" i="49"/>
  <c r="V141" i="49"/>
  <c r="S141" i="49"/>
  <c r="AA141" i="49" s="1"/>
  <c r="Q141" i="49"/>
  <c r="P141" i="49"/>
  <c r="O141" i="49"/>
  <c r="N141" i="49"/>
  <c r="M141" i="49"/>
  <c r="L141" i="49"/>
  <c r="A141" i="49"/>
  <c r="AA140" i="49"/>
  <c r="Z140" i="49"/>
  <c r="X140" i="49"/>
  <c r="W140" i="49"/>
  <c r="W139" i="49" s="1"/>
  <c r="R140" i="49"/>
  <c r="A140" i="49"/>
  <c r="Z139" i="49"/>
  <c r="Y139" i="49"/>
  <c r="X139" i="49"/>
  <c r="V139" i="49"/>
  <c r="S139" i="49"/>
  <c r="AA139" i="49" s="1"/>
  <c r="Q139" i="49"/>
  <c r="P139" i="49"/>
  <c r="O139" i="49"/>
  <c r="N139" i="49"/>
  <c r="M139" i="49"/>
  <c r="M132" i="49" s="1"/>
  <c r="M118" i="49" s="1"/>
  <c r="L139" i="49"/>
  <c r="A139" i="49"/>
  <c r="AA138" i="49"/>
  <c r="Z138" i="49"/>
  <c r="Z137" i="49" s="1"/>
  <c r="Z132" i="49" s="1"/>
  <c r="X138" i="49"/>
  <c r="W138" i="49"/>
  <c r="T138" i="49"/>
  <c r="T137" i="49" s="1"/>
  <c r="R138" i="49"/>
  <c r="U138" i="49" s="1"/>
  <c r="A138" i="49"/>
  <c r="Y137" i="49"/>
  <c r="W137" i="49"/>
  <c r="V137" i="49"/>
  <c r="V132" i="49" s="1"/>
  <c r="S137" i="49"/>
  <c r="X137" i="49" s="1"/>
  <c r="R137" i="49"/>
  <c r="Q137" i="49"/>
  <c r="P137" i="49"/>
  <c r="O137" i="49"/>
  <c r="N137" i="49"/>
  <c r="N132" i="49" s="1"/>
  <c r="M137" i="49"/>
  <c r="L137" i="49"/>
  <c r="A137" i="49"/>
  <c r="AA136" i="49"/>
  <c r="Z136" i="49"/>
  <c r="W136" i="49"/>
  <c r="X136" i="49" s="1"/>
  <c r="U136" i="49"/>
  <c r="T136" i="49"/>
  <c r="T135" i="49" s="1"/>
  <c r="R136" i="49"/>
  <c r="A136" i="49"/>
  <c r="Z135" i="49"/>
  <c r="Y135" i="49"/>
  <c r="W135" i="49"/>
  <c r="V135" i="49"/>
  <c r="S135" i="49"/>
  <c r="R135" i="49"/>
  <c r="U135" i="49" s="1"/>
  <c r="Q135" i="49"/>
  <c r="P135" i="49"/>
  <c r="O135" i="49"/>
  <c r="N135" i="49"/>
  <c r="M135" i="49"/>
  <c r="L135" i="49"/>
  <c r="A135" i="49"/>
  <c r="AA134" i="49"/>
  <c r="Z134" i="49"/>
  <c r="W134" i="49"/>
  <c r="U134" i="49"/>
  <c r="R134" i="49"/>
  <c r="T134" i="49" s="1"/>
  <c r="T133" i="49" s="1"/>
  <c r="A134" i="49"/>
  <c r="Z133" i="49"/>
  <c r="Y133" i="49"/>
  <c r="V133" i="49"/>
  <c r="S133" i="49"/>
  <c r="AA133" i="49" s="1"/>
  <c r="Q133" i="49"/>
  <c r="P133" i="49"/>
  <c r="O133" i="49"/>
  <c r="N133" i="49"/>
  <c r="M133" i="49"/>
  <c r="L133" i="49"/>
  <c r="A133" i="49"/>
  <c r="Y132" i="49"/>
  <c r="Q132" i="49"/>
  <c r="A132" i="49"/>
  <c r="AA131" i="49"/>
  <c r="Z131" i="49"/>
  <c r="Z130" i="49" s="1"/>
  <c r="X131" i="49"/>
  <c r="W131" i="49"/>
  <c r="T131" i="49"/>
  <c r="T130" i="49" s="1"/>
  <c r="R131" i="49"/>
  <c r="U131" i="49" s="1"/>
  <c r="A131" i="49"/>
  <c r="Y130" i="49"/>
  <c r="W130" i="49"/>
  <c r="V130" i="49"/>
  <c r="S130" i="49"/>
  <c r="X130" i="49" s="1"/>
  <c r="R130" i="49"/>
  <c r="U130" i="49" s="1"/>
  <c r="Q130" i="49"/>
  <c r="P130" i="49"/>
  <c r="O130" i="49"/>
  <c r="N130" i="49"/>
  <c r="M130" i="49"/>
  <c r="L130" i="49"/>
  <c r="A130" i="49"/>
  <c r="AA129" i="49"/>
  <c r="Z129" i="49"/>
  <c r="X129" i="49"/>
  <c r="W129" i="49"/>
  <c r="U129" i="49"/>
  <c r="T129" i="49"/>
  <c r="T128" i="49" s="1"/>
  <c r="R129" i="49"/>
  <c r="A129" i="49"/>
  <c r="AA128" i="49"/>
  <c r="Z128" i="49"/>
  <c r="Y128" i="49"/>
  <c r="W128" i="49"/>
  <c r="V128" i="49"/>
  <c r="S128" i="49"/>
  <c r="X128" i="49" s="1"/>
  <c r="R128" i="49"/>
  <c r="U128" i="49" s="1"/>
  <c r="Q128" i="49"/>
  <c r="P128" i="49"/>
  <c r="O128" i="49"/>
  <c r="N128" i="49"/>
  <c r="M128" i="49"/>
  <c r="L128" i="49"/>
  <c r="A128" i="49"/>
  <c r="AA127" i="49"/>
  <c r="Z127" i="49"/>
  <c r="X127" i="49"/>
  <c r="W127" i="49"/>
  <c r="U127" i="49"/>
  <c r="R127" i="49"/>
  <c r="T127" i="49" s="1"/>
  <c r="A127" i="49"/>
  <c r="Z126" i="49"/>
  <c r="Y126" i="49"/>
  <c r="W126" i="49"/>
  <c r="V126" i="49"/>
  <c r="T126" i="49"/>
  <c r="S126" i="49"/>
  <c r="Q126" i="49"/>
  <c r="P126" i="49"/>
  <c r="O126" i="49"/>
  <c r="N126" i="49"/>
  <c r="M126" i="49"/>
  <c r="L126" i="49"/>
  <c r="A126" i="49"/>
  <c r="AA125" i="49"/>
  <c r="Z125" i="49"/>
  <c r="X125" i="49"/>
  <c r="W125" i="49"/>
  <c r="W124" i="49" s="1"/>
  <c r="R125" i="49"/>
  <c r="A125" i="49"/>
  <c r="Z124" i="49"/>
  <c r="Y124" i="49"/>
  <c r="X124" i="49"/>
  <c r="V124" i="49"/>
  <c r="S124" i="49"/>
  <c r="AA124" i="49" s="1"/>
  <c r="Q124" i="49"/>
  <c r="P124" i="49"/>
  <c r="O124" i="49"/>
  <c r="N124" i="49"/>
  <c r="M124" i="49"/>
  <c r="L124" i="49"/>
  <c r="A124" i="49"/>
  <c r="AA123" i="49"/>
  <c r="Z123" i="49"/>
  <c r="X123" i="49"/>
  <c r="W123" i="49"/>
  <c r="T123" i="49"/>
  <c r="T122" i="49" s="1"/>
  <c r="R123" i="49"/>
  <c r="U123" i="49" s="1"/>
  <c r="A123" i="49"/>
  <c r="Z122" i="49"/>
  <c r="Y122" i="49"/>
  <c r="Y119" i="49" s="1"/>
  <c r="Y118" i="49" s="1"/>
  <c r="Y117" i="49" s="1"/>
  <c r="W122" i="49"/>
  <c r="V122" i="49"/>
  <c r="U122" i="49"/>
  <c r="S122" i="49"/>
  <c r="X122" i="49" s="1"/>
  <c r="R122" i="49"/>
  <c r="Q122" i="49"/>
  <c r="Q119" i="49" s="1"/>
  <c r="P122" i="49"/>
  <c r="O122" i="49"/>
  <c r="N122" i="49"/>
  <c r="M122" i="49"/>
  <c r="M119" i="49" s="1"/>
  <c r="L122" i="49"/>
  <c r="A122" i="49"/>
  <c r="AA121" i="49"/>
  <c r="Z121" i="49"/>
  <c r="X121" i="49"/>
  <c r="W121" i="49"/>
  <c r="U121" i="49"/>
  <c r="T121" i="49"/>
  <c r="T120" i="49" s="1"/>
  <c r="R121" i="49"/>
  <c r="A121" i="49"/>
  <c r="Z120" i="49"/>
  <c r="Y120" i="49"/>
  <c r="W120" i="49"/>
  <c r="W119" i="49" s="1"/>
  <c r="V120" i="49"/>
  <c r="S120" i="49"/>
  <c r="X120" i="49" s="1"/>
  <c r="R120" i="49"/>
  <c r="Q120" i="49"/>
  <c r="P120" i="49"/>
  <c r="O120" i="49"/>
  <c r="O119" i="49" s="1"/>
  <c r="N120" i="49"/>
  <c r="M120" i="49"/>
  <c r="L120" i="49"/>
  <c r="A120" i="49"/>
  <c r="P119" i="49"/>
  <c r="L119" i="49"/>
  <c r="A119" i="49"/>
  <c r="Q118" i="49"/>
  <c r="Q117" i="49" s="1"/>
  <c r="A118" i="49"/>
  <c r="M117" i="49"/>
  <c r="A117" i="49"/>
  <c r="A116" i="49"/>
  <c r="AA115" i="49"/>
  <c r="Z115" i="49"/>
  <c r="X115" i="49"/>
  <c r="W115" i="49"/>
  <c r="U115" i="49"/>
  <c r="R115" i="49"/>
  <c r="T115" i="49" s="1"/>
  <c r="A115" i="49"/>
  <c r="AA114" i="49"/>
  <c r="Z114" i="49"/>
  <c r="X114" i="49"/>
  <c r="W114" i="49"/>
  <c r="U114" i="49"/>
  <c r="R114" i="49"/>
  <c r="T114" i="49" s="1"/>
  <c r="AA113" i="49"/>
  <c r="Z113" i="49"/>
  <c r="Y113" i="49"/>
  <c r="W113" i="49"/>
  <c r="V113" i="49"/>
  <c r="V107" i="49" s="1"/>
  <c r="S113" i="49"/>
  <c r="X113" i="49" s="1"/>
  <c r="R113" i="49"/>
  <c r="U113" i="49" s="1"/>
  <c r="Q113" i="49"/>
  <c r="P113" i="49"/>
  <c r="O113" i="49"/>
  <c r="N113" i="49"/>
  <c r="N107" i="49" s="1"/>
  <c r="M113" i="49"/>
  <c r="L113" i="49"/>
  <c r="A113" i="49"/>
  <c r="AA112" i="49"/>
  <c r="Z112" i="49"/>
  <c r="W112" i="49"/>
  <c r="X112" i="49" s="1"/>
  <c r="U112" i="49"/>
  <c r="R112" i="49"/>
  <c r="T112" i="49" s="1"/>
  <c r="A112" i="49"/>
  <c r="AA111" i="49"/>
  <c r="Z111" i="49"/>
  <c r="W111" i="49"/>
  <c r="X111" i="49" s="1"/>
  <c r="U111" i="49"/>
  <c r="R111" i="49"/>
  <c r="T111" i="49" s="1"/>
  <c r="T109" i="49" s="1"/>
  <c r="A111" i="49"/>
  <c r="AA110" i="49"/>
  <c r="Z110" i="49"/>
  <c r="W110" i="49"/>
  <c r="X110" i="49" s="1"/>
  <c r="U110" i="49"/>
  <c r="R110" i="49"/>
  <c r="T110" i="49" s="1"/>
  <c r="A110" i="49"/>
  <c r="AA109" i="49"/>
  <c r="Z109" i="49"/>
  <c r="Y109" i="49"/>
  <c r="W109" i="49"/>
  <c r="W108" i="49" s="1"/>
  <c r="W107" i="49" s="1"/>
  <c r="V109" i="49"/>
  <c r="S109" i="49"/>
  <c r="S108" i="49" s="1"/>
  <c r="Q109" i="49"/>
  <c r="P109" i="49"/>
  <c r="O109" i="49"/>
  <c r="O108" i="49" s="1"/>
  <c r="O107" i="49" s="1"/>
  <c r="N109" i="49"/>
  <c r="M109" i="49"/>
  <c r="L109" i="49"/>
  <c r="A109" i="49"/>
  <c r="Z108" i="49"/>
  <c r="Y108" i="49"/>
  <c r="V108" i="49"/>
  <c r="T108" i="49"/>
  <c r="Q108" i="49"/>
  <c r="P108" i="49"/>
  <c r="P107" i="49" s="1"/>
  <c r="N108" i="49"/>
  <c r="M108" i="49"/>
  <c r="M107" i="49" s="1"/>
  <c r="L108" i="49"/>
  <c r="L107" i="49" s="1"/>
  <c r="A108" i="49"/>
  <c r="Z107" i="49"/>
  <c r="Y107" i="49"/>
  <c r="Q107" i="49"/>
  <c r="A107" i="49"/>
  <c r="AA106" i="49"/>
  <c r="Z106" i="49"/>
  <c r="W106" i="49"/>
  <c r="X106" i="49" s="1"/>
  <c r="U106" i="49"/>
  <c r="T106" i="49"/>
  <c r="T105" i="49" s="1"/>
  <c r="T104" i="49" s="1"/>
  <c r="R106" i="49"/>
  <c r="A106" i="49"/>
  <c r="Z105" i="49"/>
  <c r="Z104" i="49" s="1"/>
  <c r="Y105" i="49"/>
  <c r="W105" i="49"/>
  <c r="V105" i="49"/>
  <c r="V104" i="49" s="1"/>
  <c r="S105" i="49"/>
  <c r="R105" i="49"/>
  <c r="Q105" i="49"/>
  <c r="P105" i="49"/>
  <c r="O105" i="49"/>
  <c r="O104" i="49" s="1"/>
  <c r="N105" i="49"/>
  <c r="N104" i="49" s="1"/>
  <c r="M105" i="49"/>
  <c r="L105" i="49"/>
  <c r="A105" i="49"/>
  <c r="Y104" i="49"/>
  <c r="W104" i="49"/>
  <c r="Q104" i="49"/>
  <c r="P104" i="49"/>
  <c r="P90" i="49" s="1"/>
  <c r="M104" i="49"/>
  <c r="L104" i="49"/>
  <c r="A104" i="49"/>
  <c r="AA103" i="49"/>
  <c r="Z103" i="49"/>
  <c r="X103" i="49"/>
  <c r="W103" i="49"/>
  <c r="R103" i="49"/>
  <c r="A103" i="49"/>
  <c r="AA102" i="49"/>
  <c r="Z102" i="49"/>
  <c r="W102" i="49"/>
  <c r="X102" i="49" s="1"/>
  <c r="R102" i="49"/>
  <c r="A102" i="49"/>
  <c r="AA101" i="49"/>
  <c r="Z101" i="49"/>
  <c r="W101" i="49"/>
  <c r="R101" i="49"/>
  <c r="A101" i="49"/>
  <c r="Z100" i="49"/>
  <c r="Y100" i="49"/>
  <c r="Y99" i="49" s="1"/>
  <c r="Y98" i="49" s="1"/>
  <c r="Y90" i="49" s="1"/>
  <c r="V100" i="49"/>
  <c r="S100" i="49"/>
  <c r="Q100" i="49"/>
  <c r="P100" i="49"/>
  <c r="P99" i="49" s="1"/>
  <c r="O100" i="49"/>
  <c r="N100" i="49"/>
  <c r="M100" i="49"/>
  <c r="L100" i="49"/>
  <c r="L99" i="49" s="1"/>
  <c r="L98" i="49" s="1"/>
  <c r="L90" i="49" s="1"/>
  <c r="A100" i="49"/>
  <c r="Z99" i="49"/>
  <c r="V99" i="49"/>
  <c r="S99" i="49"/>
  <c r="Q99" i="49"/>
  <c r="Q98" i="49" s="1"/>
  <c r="O99" i="49"/>
  <c r="N99" i="49"/>
  <c r="M99" i="49"/>
  <c r="M98" i="49" s="1"/>
  <c r="A99" i="49"/>
  <c r="Z98" i="49"/>
  <c r="V98" i="49"/>
  <c r="S98" i="49"/>
  <c r="P98" i="49"/>
  <c r="O98" i="49"/>
  <c r="N98" i="49"/>
  <c r="A98" i="49"/>
  <c r="AA97" i="49"/>
  <c r="Z97" i="49"/>
  <c r="X97" i="49"/>
  <c r="W97" i="49"/>
  <c r="U97" i="49"/>
  <c r="R97" i="49"/>
  <c r="T97" i="49" s="1"/>
  <c r="A97" i="49"/>
  <c r="AA96" i="49"/>
  <c r="Z96" i="49"/>
  <c r="X96" i="49"/>
  <c r="W96" i="49"/>
  <c r="R96" i="49"/>
  <c r="A96" i="49"/>
  <c r="AA95" i="49"/>
  <c r="Z95" i="49"/>
  <c r="X95" i="49"/>
  <c r="W95" i="49"/>
  <c r="U95" i="49"/>
  <c r="R95" i="49"/>
  <c r="A95" i="49"/>
  <c r="AA94" i="49"/>
  <c r="Z94" i="49"/>
  <c r="W94" i="49"/>
  <c r="X94" i="49" s="1"/>
  <c r="U94" i="49"/>
  <c r="R94" i="49"/>
  <c r="A94" i="49"/>
  <c r="AA93" i="49"/>
  <c r="Z93" i="49"/>
  <c r="X93" i="49"/>
  <c r="W93" i="49"/>
  <c r="U93" i="49"/>
  <c r="T93" i="49"/>
  <c r="R93" i="49"/>
  <c r="A93" i="49"/>
  <c r="AA92" i="49"/>
  <c r="Z92" i="49"/>
  <c r="Z91" i="49" s="1"/>
  <c r="Z90" i="49" s="1"/>
  <c r="Y92" i="49"/>
  <c r="Y91" i="49" s="1"/>
  <c r="V92" i="49"/>
  <c r="V91" i="49" s="1"/>
  <c r="V90" i="49" s="1"/>
  <c r="S92" i="49"/>
  <c r="Q92" i="49"/>
  <c r="Q91" i="49" s="1"/>
  <c r="Q90" i="49" s="1"/>
  <c r="P92" i="49"/>
  <c r="O92" i="49"/>
  <c r="N92" i="49"/>
  <c r="M92" i="49"/>
  <c r="M91" i="49" s="1"/>
  <c r="M90" i="49" s="1"/>
  <c r="L92" i="49"/>
  <c r="A92" i="49"/>
  <c r="S91" i="49"/>
  <c r="P91" i="49"/>
  <c r="O91" i="49"/>
  <c r="N91" i="49"/>
  <c r="N90" i="49" s="1"/>
  <c r="L91" i="49"/>
  <c r="A91" i="49"/>
  <c r="O90" i="49"/>
  <c r="A90" i="49"/>
  <c r="AA89" i="49"/>
  <c r="Z89" i="49"/>
  <c r="W89" i="49"/>
  <c r="X89" i="49" s="1"/>
  <c r="P89" i="49"/>
  <c r="R89" i="49" s="1"/>
  <c r="U89" i="49" s="1"/>
  <c r="A89" i="49"/>
  <c r="AA88" i="49"/>
  <c r="Z88" i="49"/>
  <c r="X88" i="49"/>
  <c r="W88" i="49"/>
  <c r="U88" i="49"/>
  <c r="R88" i="49"/>
  <c r="T88" i="49" s="1"/>
  <c r="A88" i="49"/>
  <c r="AA87" i="49"/>
  <c r="Z87" i="49"/>
  <c r="W87" i="49"/>
  <c r="X87" i="49" s="1"/>
  <c r="U87" i="49"/>
  <c r="R87" i="49"/>
  <c r="T87" i="49" s="1"/>
  <c r="A87" i="49"/>
  <c r="AA86" i="49"/>
  <c r="Z86" i="49"/>
  <c r="W86" i="49"/>
  <c r="X86" i="49" s="1"/>
  <c r="U86" i="49"/>
  <c r="P86" i="49"/>
  <c r="R86" i="49" s="1"/>
  <c r="T86" i="49" s="1"/>
  <c r="A86" i="49"/>
  <c r="AA85" i="49"/>
  <c r="Z85" i="49"/>
  <c r="W85" i="49"/>
  <c r="X85" i="49" s="1"/>
  <c r="R85" i="49"/>
  <c r="U85" i="49" s="1"/>
  <c r="A85" i="49"/>
  <c r="AA84" i="49"/>
  <c r="Z84" i="49"/>
  <c r="W84" i="49"/>
  <c r="R84" i="49"/>
  <c r="U84" i="49" s="1"/>
  <c r="A84" i="49"/>
  <c r="Z83" i="49"/>
  <c r="Y83" i="49"/>
  <c r="V83" i="49"/>
  <c r="S83" i="49"/>
  <c r="AA83" i="49" s="1"/>
  <c r="Q83" i="49"/>
  <c r="P83" i="49"/>
  <c r="O83" i="49"/>
  <c r="N83" i="49"/>
  <c r="M83" i="49"/>
  <c r="L83" i="49"/>
  <c r="A83" i="49"/>
  <c r="AA82" i="49"/>
  <c r="Z82" i="49"/>
  <c r="X82" i="49"/>
  <c r="W82" i="49"/>
  <c r="R82" i="49"/>
  <c r="A82" i="49"/>
  <c r="AA81" i="49"/>
  <c r="Z81" i="49"/>
  <c r="X81" i="49"/>
  <c r="W81" i="49"/>
  <c r="R81" i="49"/>
  <c r="O81" i="49"/>
  <c r="A81" i="49"/>
  <c r="AA80" i="49"/>
  <c r="Z80" i="49"/>
  <c r="W80" i="49"/>
  <c r="X80" i="49" s="1"/>
  <c r="P80" i="49"/>
  <c r="O80" i="49"/>
  <c r="R80" i="49" s="1"/>
  <c r="U80" i="49" s="1"/>
  <c r="A80" i="49"/>
  <c r="AA79" i="49"/>
  <c r="Z79" i="49"/>
  <c r="W79" i="49"/>
  <c r="X79" i="49" s="1"/>
  <c r="P79" i="49"/>
  <c r="A79" i="49"/>
  <c r="AA78" i="49"/>
  <c r="Z78" i="49"/>
  <c r="Z76" i="49" s="1"/>
  <c r="X78" i="49"/>
  <c r="W78" i="49"/>
  <c r="R78" i="49"/>
  <c r="P78" i="49"/>
  <c r="O78" i="49"/>
  <c r="A78" i="49"/>
  <c r="AA77" i="49"/>
  <c r="Z77" i="49"/>
  <c r="W77" i="49"/>
  <c r="X77" i="49" s="1"/>
  <c r="U77" i="49"/>
  <c r="R77" i="49"/>
  <c r="T77" i="49" s="1"/>
  <c r="A77" i="49"/>
  <c r="Y76" i="49"/>
  <c r="W76" i="49"/>
  <c r="V76" i="49"/>
  <c r="S76" i="49"/>
  <c r="Q76" i="49"/>
  <c r="O76" i="49"/>
  <c r="N76" i="49"/>
  <c r="M76" i="49"/>
  <c r="L76" i="49"/>
  <c r="A76" i="49"/>
  <c r="AA75" i="49"/>
  <c r="Z75" i="49"/>
  <c r="W75" i="49"/>
  <c r="X75" i="49" s="1"/>
  <c r="R75" i="49"/>
  <c r="U75" i="49" s="1"/>
  <c r="A75" i="49"/>
  <c r="AA74" i="49"/>
  <c r="Z74" i="49"/>
  <c r="W74" i="49"/>
  <c r="P74" i="49"/>
  <c r="O74" i="49"/>
  <c r="A74" i="49"/>
  <c r="Z73" i="49"/>
  <c r="Z65" i="49" s="1"/>
  <c r="Y73" i="49"/>
  <c r="V73" i="49"/>
  <c r="S73" i="49"/>
  <c r="Q73" i="49"/>
  <c r="O73" i="49"/>
  <c r="N73" i="49"/>
  <c r="M73" i="49"/>
  <c r="L73" i="49"/>
  <c r="A73" i="49"/>
  <c r="AA72" i="49"/>
  <c r="Z72" i="49"/>
  <c r="W72" i="49"/>
  <c r="X72" i="49" s="1"/>
  <c r="U72" i="49"/>
  <c r="R72" i="49"/>
  <c r="T72" i="49" s="1"/>
  <c r="A72" i="49"/>
  <c r="AA71" i="49"/>
  <c r="Z71" i="49"/>
  <c r="W71" i="49"/>
  <c r="X71" i="49" s="1"/>
  <c r="U71" i="49"/>
  <c r="R71" i="49"/>
  <c r="T71" i="49" s="1"/>
  <c r="A71" i="49"/>
  <c r="AA70" i="49"/>
  <c r="Z70" i="49"/>
  <c r="X70" i="49"/>
  <c r="W70" i="49"/>
  <c r="U70" i="49"/>
  <c r="R70" i="49"/>
  <c r="T70" i="49" s="1"/>
  <c r="A70" i="49"/>
  <c r="AA69" i="49"/>
  <c r="Z69" i="49"/>
  <c r="W69" i="49"/>
  <c r="X69" i="49" s="1"/>
  <c r="U69" i="49"/>
  <c r="R69" i="49"/>
  <c r="T69" i="49" s="1"/>
  <c r="A69" i="49"/>
  <c r="AA68" i="49"/>
  <c r="Z68" i="49"/>
  <c r="W68" i="49"/>
  <c r="X68" i="49" s="1"/>
  <c r="O68" i="49"/>
  <c r="R68" i="49" s="1"/>
  <c r="T68" i="49" s="1"/>
  <c r="A68" i="49"/>
  <c r="AA67" i="49"/>
  <c r="Z67" i="49"/>
  <c r="W67" i="49"/>
  <c r="O67" i="49"/>
  <c r="A67" i="49"/>
  <c r="Z66" i="49"/>
  <c r="Y66" i="49"/>
  <c r="Y65" i="49" s="1"/>
  <c r="V66" i="49"/>
  <c r="S66" i="49"/>
  <c r="Q66" i="49"/>
  <c r="Q65" i="49" s="1"/>
  <c r="P66" i="49"/>
  <c r="N66" i="49"/>
  <c r="M66" i="49"/>
  <c r="M65" i="49" s="1"/>
  <c r="L66" i="49"/>
  <c r="A66" i="49"/>
  <c r="V65" i="49"/>
  <c r="N65" i="49"/>
  <c r="A65" i="49"/>
  <c r="AA64" i="49"/>
  <c r="Z64" i="49"/>
  <c r="X64" i="49"/>
  <c r="W64" i="49"/>
  <c r="U64" i="49"/>
  <c r="R64" i="49"/>
  <c r="T64" i="49" s="1"/>
  <c r="A64" i="49"/>
  <c r="AA63" i="49"/>
  <c r="Z63" i="49"/>
  <c r="X63" i="49"/>
  <c r="W63" i="49"/>
  <c r="P63" i="49"/>
  <c r="R63" i="49" s="1"/>
  <c r="T63" i="49" s="1"/>
  <c r="A63" i="49"/>
  <c r="AA62" i="49"/>
  <c r="Z62" i="49"/>
  <c r="W62" i="49"/>
  <c r="X62" i="49" s="1"/>
  <c r="R62" i="49"/>
  <c r="U62" i="49" s="1"/>
  <c r="A62" i="49"/>
  <c r="AA61" i="49"/>
  <c r="Z61" i="49"/>
  <c r="X61" i="49"/>
  <c r="W61" i="49"/>
  <c r="W59" i="49" s="1"/>
  <c r="P61" i="49"/>
  <c r="A61" i="49"/>
  <c r="AA60" i="49"/>
  <c r="Z60" i="49"/>
  <c r="X60" i="49"/>
  <c r="W60" i="49"/>
  <c r="R60" i="49"/>
  <c r="A60" i="49"/>
  <c r="Z59" i="49"/>
  <c r="Y59" i="49"/>
  <c r="V59" i="49"/>
  <c r="S59" i="49"/>
  <c r="Q59" i="49"/>
  <c r="O59" i="49"/>
  <c r="N59" i="49"/>
  <c r="M59" i="49"/>
  <c r="L59" i="49"/>
  <c r="A59" i="49"/>
  <c r="AA58" i="49"/>
  <c r="Z58" i="49"/>
  <c r="W58" i="49"/>
  <c r="X58" i="49" s="1"/>
  <c r="U58" i="49"/>
  <c r="T58" i="49"/>
  <c r="R58" i="49"/>
  <c r="A58" i="49"/>
  <c r="AA57" i="49"/>
  <c r="Z57" i="49"/>
  <c r="X57" i="49"/>
  <c r="W57" i="49"/>
  <c r="U57" i="49"/>
  <c r="T57" i="49"/>
  <c r="R57" i="49"/>
  <c r="A57" i="49"/>
  <c r="AA56" i="49"/>
  <c r="Z56" i="49"/>
  <c r="W56" i="49"/>
  <c r="X56" i="49" s="1"/>
  <c r="U56" i="49"/>
  <c r="T56" i="49"/>
  <c r="R56" i="49"/>
  <c r="A56" i="49"/>
  <c r="AA55" i="49"/>
  <c r="Z55" i="49"/>
  <c r="W55" i="49"/>
  <c r="X55" i="49" s="1"/>
  <c r="U55" i="49"/>
  <c r="T55" i="49"/>
  <c r="R55" i="49"/>
  <c r="A55" i="49"/>
  <c r="AA54" i="49"/>
  <c r="Z54" i="49"/>
  <c r="W54" i="49"/>
  <c r="X54" i="49" s="1"/>
  <c r="U54" i="49"/>
  <c r="T54" i="49"/>
  <c r="R54" i="49"/>
  <c r="A54" i="49"/>
  <c r="AA53" i="49"/>
  <c r="Z53" i="49"/>
  <c r="W53" i="49"/>
  <c r="X53" i="49" s="1"/>
  <c r="U53" i="49"/>
  <c r="T53" i="49"/>
  <c r="R53" i="49"/>
  <c r="A53" i="49"/>
  <c r="Z52" i="49"/>
  <c r="Z46" i="49" s="1"/>
  <c r="Y52" i="49"/>
  <c r="W52" i="49"/>
  <c r="V52" i="49"/>
  <c r="V46" i="49" s="1"/>
  <c r="S52" i="49"/>
  <c r="X52" i="49" s="1"/>
  <c r="R52" i="49"/>
  <c r="U52" i="49" s="1"/>
  <c r="Q52" i="49"/>
  <c r="P52" i="49"/>
  <c r="O52" i="49"/>
  <c r="N52" i="49"/>
  <c r="N46" i="49" s="1"/>
  <c r="M52" i="49"/>
  <c r="L52" i="49"/>
  <c r="A52" i="49"/>
  <c r="AA51" i="49"/>
  <c r="Z51" i="49"/>
  <c r="X51" i="49"/>
  <c r="W51" i="49"/>
  <c r="U51" i="49"/>
  <c r="R51" i="49"/>
  <c r="T51" i="49" s="1"/>
  <c r="T50" i="49" s="1"/>
  <c r="A51" i="49"/>
  <c r="AA50" i="49"/>
  <c r="Z50" i="49"/>
  <c r="Y50" i="49"/>
  <c r="W50" i="49"/>
  <c r="V50" i="49"/>
  <c r="S50" i="49"/>
  <c r="Q50" i="49"/>
  <c r="P50" i="49"/>
  <c r="O50" i="49"/>
  <c r="O46" i="49" s="1"/>
  <c r="N50" i="49"/>
  <c r="M50" i="49"/>
  <c r="L50" i="49"/>
  <c r="A50" i="49"/>
  <c r="AA49" i="49"/>
  <c r="Z49" i="49"/>
  <c r="X49" i="49"/>
  <c r="W49" i="49"/>
  <c r="R49" i="49"/>
  <c r="U49" i="49" s="1"/>
  <c r="A49" i="49"/>
  <c r="AA48" i="49"/>
  <c r="Z48" i="49"/>
  <c r="W48" i="49"/>
  <c r="R48" i="49"/>
  <c r="U48" i="49" s="1"/>
  <c r="A48" i="49"/>
  <c r="Z47" i="49"/>
  <c r="Y47" i="49"/>
  <c r="V47" i="49"/>
  <c r="S47" i="49"/>
  <c r="AA47" i="49" s="1"/>
  <c r="Q47" i="49"/>
  <c r="P47" i="49"/>
  <c r="O47" i="49"/>
  <c r="N47" i="49"/>
  <c r="M47" i="49"/>
  <c r="L47" i="49"/>
  <c r="L46" i="49" s="1"/>
  <c r="A47" i="49"/>
  <c r="Y46" i="49"/>
  <c r="Q46" i="49"/>
  <c r="M46" i="49"/>
  <c r="M45" i="49" s="1"/>
  <c r="M44" i="49" s="1"/>
  <c r="A46" i="49"/>
  <c r="V45" i="49"/>
  <c r="V44" i="49" s="1"/>
  <c r="N45" i="49"/>
  <c r="N44" i="49" s="1"/>
  <c r="A45" i="49"/>
  <c r="A44" i="49"/>
  <c r="AA43" i="49"/>
  <c r="Z43" i="49"/>
  <c r="W43" i="49"/>
  <c r="X43" i="49" s="1"/>
  <c r="R43" i="49"/>
  <c r="U43" i="49" s="1"/>
  <c r="A43" i="49"/>
  <c r="AA42" i="49"/>
  <c r="Z42" i="49"/>
  <c r="W42" i="49"/>
  <c r="X42" i="49" s="1"/>
  <c r="R42" i="49"/>
  <c r="A42" i="49"/>
  <c r="AA41" i="49"/>
  <c r="Z41" i="49"/>
  <c r="X41" i="49"/>
  <c r="W41" i="49"/>
  <c r="R41" i="49"/>
  <c r="A41" i="49"/>
  <c r="AA40" i="49"/>
  <c r="Z40" i="49"/>
  <c r="W40" i="49"/>
  <c r="X40" i="49" s="1"/>
  <c r="R40" i="49"/>
  <c r="A40" i="49"/>
  <c r="AA39" i="49"/>
  <c r="Z39" i="49"/>
  <c r="X39" i="49"/>
  <c r="W39" i="49"/>
  <c r="R39" i="49"/>
  <c r="A39" i="49"/>
  <c r="AA38" i="49"/>
  <c r="Z38" i="49"/>
  <c r="W38" i="49"/>
  <c r="X38" i="49" s="1"/>
  <c r="R38" i="49"/>
  <c r="A38" i="49"/>
  <c r="AA37" i="49"/>
  <c r="Z37" i="49"/>
  <c r="X37" i="49"/>
  <c r="W37" i="49"/>
  <c r="R37" i="49"/>
  <c r="A37" i="49"/>
  <c r="AA36" i="49"/>
  <c r="Z36" i="49"/>
  <c r="W36" i="49"/>
  <c r="W35" i="49" s="1"/>
  <c r="W34" i="49" s="1"/>
  <c r="R36" i="49"/>
  <c r="A36" i="49"/>
  <c r="Z35" i="49"/>
  <c r="Y35" i="49"/>
  <c r="Y34" i="49" s="1"/>
  <c r="Y10" i="49" s="1"/>
  <c r="Y9" i="49" s="1"/>
  <c r="V35" i="49"/>
  <c r="S35" i="49"/>
  <c r="Q35" i="49"/>
  <c r="P35" i="49"/>
  <c r="P34" i="49" s="1"/>
  <c r="O35" i="49"/>
  <c r="N35" i="49"/>
  <c r="M35" i="49"/>
  <c r="L35" i="49"/>
  <c r="L34" i="49" s="1"/>
  <c r="A35" i="49"/>
  <c r="Z34" i="49"/>
  <c r="V34" i="49"/>
  <c r="S34" i="49"/>
  <c r="Q34" i="49"/>
  <c r="O34" i="49"/>
  <c r="N34" i="49"/>
  <c r="M34" i="49"/>
  <c r="A34" i="49"/>
  <c r="AA33" i="49"/>
  <c r="Z33" i="49"/>
  <c r="W33" i="49"/>
  <c r="X33" i="49" s="1"/>
  <c r="U33" i="49"/>
  <c r="T33" i="49"/>
  <c r="R33" i="49"/>
  <c r="A33" i="49"/>
  <c r="AA32" i="49"/>
  <c r="Z32" i="49"/>
  <c r="W32" i="49"/>
  <c r="X32" i="49" s="1"/>
  <c r="U32" i="49"/>
  <c r="T32" i="49"/>
  <c r="R32" i="49"/>
  <c r="A32" i="49"/>
  <c r="AA31" i="49"/>
  <c r="Z31" i="49"/>
  <c r="W31" i="49"/>
  <c r="X31" i="49" s="1"/>
  <c r="U31" i="49"/>
  <c r="T31" i="49"/>
  <c r="R31" i="49"/>
  <c r="A31" i="49"/>
  <c r="AA30" i="49"/>
  <c r="Z30" i="49"/>
  <c r="W30" i="49"/>
  <c r="X30" i="49" s="1"/>
  <c r="U30" i="49"/>
  <c r="T30" i="49"/>
  <c r="R30" i="49"/>
  <c r="A30" i="49"/>
  <c r="AA29" i="49"/>
  <c r="Z29" i="49"/>
  <c r="W29" i="49"/>
  <c r="X29" i="49" s="1"/>
  <c r="U29" i="49"/>
  <c r="T29" i="49"/>
  <c r="R29" i="49"/>
  <c r="A29" i="49"/>
  <c r="AA28" i="49"/>
  <c r="Z28" i="49"/>
  <c r="W28" i="49"/>
  <c r="X28" i="49" s="1"/>
  <c r="U28" i="49"/>
  <c r="T28" i="49"/>
  <c r="R28" i="49"/>
  <c r="A28" i="49"/>
  <c r="AA27" i="49"/>
  <c r="Z27" i="49"/>
  <c r="W27" i="49"/>
  <c r="X27" i="49" s="1"/>
  <c r="U27" i="49"/>
  <c r="T27" i="49"/>
  <c r="R27" i="49"/>
  <c r="A27" i="49"/>
  <c r="AA26" i="49"/>
  <c r="Z26" i="49"/>
  <c r="W26" i="49"/>
  <c r="X26" i="49" s="1"/>
  <c r="U26" i="49"/>
  <c r="T26" i="49"/>
  <c r="R26" i="49"/>
  <c r="A26" i="49"/>
  <c r="AA25" i="49"/>
  <c r="Z25" i="49"/>
  <c r="W25" i="49"/>
  <c r="X25" i="49" s="1"/>
  <c r="U25" i="49"/>
  <c r="T25" i="49"/>
  <c r="T24" i="49" s="1"/>
  <c r="R25" i="49"/>
  <c r="A25" i="49"/>
  <c r="Z24" i="49"/>
  <c r="Z10" i="49" s="1"/>
  <c r="Z9" i="49" s="1"/>
  <c r="Y24" i="49"/>
  <c r="W24" i="49"/>
  <c r="V24" i="49"/>
  <c r="S24" i="49"/>
  <c r="X24" i="49" s="1"/>
  <c r="R24" i="49"/>
  <c r="Q24" i="49"/>
  <c r="P24" i="49"/>
  <c r="O24" i="49"/>
  <c r="N24" i="49"/>
  <c r="M24" i="49"/>
  <c r="L24" i="49"/>
  <c r="A24" i="49"/>
  <c r="AA23" i="49"/>
  <c r="Z23" i="49"/>
  <c r="W23" i="49"/>
  <c r="X23" i="49" s="1"/>
  <c r="U23" i="49"/>
  <c r="R23" i="49"/>
  <c r="T23" i="49" s="1"/>
  <c r="A23" i="49"/>
  <c r="AA22" i="49"/>
  <c r="Z22" i="49"/>
  <c r="W22" i="49"/>
  <c r="X22" i="49" s="1"/>
  <c r="U22" i="49"/>
  <c r="R22" i="49"/>
  <c r="T22" i="49" s="1"/>
  <c r="A22" i="49"/>
  <c r="AA21" i="49"/>
  <c r="Z21" i="49"/>
  <c r="W21" i="49"/>
  <c r="X21" i="49" s="1"/>
  <c r="U21" i="49"/>
  <c r="R21" i="49"/>
  <c r="T21" i="49" s="1"/>
  <c r="A21" i="49"/>
  <c r="AA20" i="49"/>
  <c r="Z20" i="49"/>
  <c r="W20" i="49"/>
  <c r="X20" i="49" s="1"/>
  <c r="U20" i="49"/>
  <c r="R20" i="49"/>
  <c r="T20" i="49" s="1"/>
  <c r="A20" i="49"/>
  <c r="AA19" i="49"/>
  <c r="Z19" i="49"/>
  <c r="W19" i="49"/>
  <c r="X19" i="49" s="1"/>
  <c r="U19" i="49"/>
  <c r="R19" i="49"/>
  <c r="T19" i="49" s="1"/>
  <c r="A19" i="49"/>
  <c r="AA18" i="49"/>
  <c r="Z18" i="49"/>
  <c r="W18" i="49"/>
  <c r="X18" i="49" s="1"/>
  <c r="U18" i="49"/>
  <c r="R18" i="49"/>
  <c r="T18" i="49" s="1"/>
  <c r="A18" i="49"/>
  <c r="AA17" i="49"/>
  <c r="Z17" i="49"/>
  <c r="W17" i="49"/>
  <c r="X17" i="49" s="1"/>
  <c r="U17" i="49"/>
  <c r="R17" i="49"/>
  <c r="T17" i="49" s="1"/>
  <c r="A17" i="49"/>
  <c r="AA16" i="49"/>
  <c r="Z16" i="49"/>
  <c r="W16" i="49"/>
  <c r="X16" i="49" s="1"/>
  <c r="U16" i="49"/>
  <c r="R16" i="49"/>
  <c r="T16" i="49" s="1"/>
  <c r="A16" i="49"/>
  <c r="AA15" i="49"/>
  <c r="Z15" i="49"/>
  <c r="W15" i="49"/>
  <c r="X15" i="49" s="1"/>
  <c r="U15" i="49"/>
  <c r="R15" i="49"/>
  <c r="T15" i="49" s="1"/>
  <c r="A15" i="49"/>
  <c r="AA14" i="49"/>
  <c r="Z14" i="49"/>
  <c r="W14" i="49"/>
  <c r="X14" i="49" s="1"/>
  <c r="U14" i="49"/>
  <c r="R14" i="49"/>
  <c r="T14" i="49" s="1"/>
  <c r="A14" i="49"/>
  <c r="AA13" i="49"/>
  <c r="Z13" i="49"/>
  <c r="W13" i="49"/>
  <c r="X13" i="49" s="1"/>
  <c r="U13" i="49"/>
  <c r="R13" i="49"/>
  <c r="T13" i="49" s="1"/>
  <c r="A13" i="49"/>
  <c r="AA12" i="49"/>
  <c r="Z12" i="49"/>
  <c r="Y12" i="49"/>
  <c r="V12" i="49"/>
  <c r="T12" i="49"/>
  <c r="T11" i="49" s="1"/>
  <c r="S12" i="49"/>
  <c r="S11" i="49" s="1"/>
  <c r="Q12" i="49"/>
  <c r="P12" i="49"/>
  <c r="P11" i="49" s="1"/>
  <c r="P10" i="49" s="1"/>
  <c r="P9" i="49" s="1"/>
  <c r="O12" i="49"/>
  <c r="O11" i="49" s="1"/>
  <c r="N12" i="49"/>
  <c r="M12" i="49"/>
  <c r="L12" i="49"/>
  <c r="L11" i="49" s="1"/>
  <c r="L10" i="49" s="1"/>
  <c r="L9" i="49" s="1"/>
  <c r="A12" i="49"/>
  <c r="Z11" i="49"/>
  <c r="Y11" i="49"/>
  <c r="V11" i="49"/>
  <c r="Q11" i="49"/>
  <c r="Q10" i="49" s="1"/>
  <c r="Q9" i="49" s="1"/>
  <c r="N11" i="49"/>
  <c r="M11" i="49"/>
  <c r="A11" i="49"/>
  <c r="V10" i="49"/>
  <c r="V9" i="49" s="1"/>
  <c r="V8" i="49" s="1"/>
  <c r="N10" i="49"/>
  <c r="N9" i="49" s="1"/>
  <c r="N8" i="49" s="1"/>
  <c r="M10" i="49"/>
  <c r="M9" i="49" s="1"/>
  <c r="A10" i="49"/>
  <c r="A9" i="49"/>
  <c r="A8" i="49"/>
  <c r="N242" i="49" l="1"/>
  <c r="Z45" i="49"/>
  <c r="Z44" i="49" s="1"/>
  <c r="Z8" i="49" s="1"/>
  <c r="W66" i="49"/>
  <c r="W65" i="49" s="1"/>
  <c r="X67" i="49"/>
  <c r="T96" i="49"/>
  <c r="T92" i="49" s="1"/>
  <c r="T91" i="49" s="1"/>
  <c r="R92" i="49"/>
  <c r="U96" i="49"/>
  <c r="AA98" i="49"/>
  <c r="W100" i="49"/>
  <c r="X101" i="49"/>
  <c r="T225" i="49"/>
  <c r="U233" i="49"/>
  <c r="T233" i="49"/>
  <c r="R232" i="49"/>
  <c r="W239" i="49"/>
  <c r="X240" i="49"/>
  <c r="W12" i="49"/>
  <c r="W11" i="49" s="1"/>
  <c r="AA24" i="49"/>
  <c r="X36" i="49"/>
  <c r="U37" i="49"/>
  <c r="T37" i="49"/>
  <c r="U39" i="49"/>
  <c r="T39" i="49"/>
  <c r="U41" i="49"/>
  <c r="T41" i="49"/>
  <c r="Q45" i="49"/>
  <c r="Q44" i="49" s="1"/>
  <c r="Q8" i="49" s="1"/>
  <c r="L45" i="49"/>
  <c r="L44" i="49" s="1"/>
  <c r="L8" i="49" s="1"/>
  <c r="L242" i="49" s="1"/>
  <c r="L245" i="49" s="1"/>
  <c r="U68" i="49"/>
  <c r="X73" i="49"/>
  <c r="L65" i="49"/>
  <c r="T80" i="49"/>
  <c r="U82" i="49"/>
  <c r="T82" i="49"/>
  <c r="W83" i="49"/>
  <c r="X83" i="49" s="1"/>
  <c r="X84" i="49"/>
  <c r="X105" i="49"/>
  <c r="S104" i="49"/>
  <c r="S90" i="49" s="1"/>
  <c r="AA105" i="49"/>
  <c r="U125" i="49"/>
  <c r="T125" i="49"/>
  <c r="T124" i="49" s="1"/>
  <c r="T119" i="49" s="1"/>
  <c r="T118" i="49" s="1"/>
  <c r="T117" i="49" s="1"/>
  <c r="R124" i="49"/>
  <c r="U124" i="49" s="1"/>
  <c r="AA126" i="49"/>
  <c r="S119" i="49"/>
  <c r="X126" i="49"/>
  <c r="U60" i="49"/>
  <c r="T60" i="49"/>
  <c r="X74" i="49"/>
  <c r="W73" i="49"/>
  <c r="U78" i="49"/>
  <c r="T78" i="49"/>
  <c r="P118" i="49"/>
  <c r="P117" i="49" s="1"/>
  <c r="AA11" i="49"/>
  <c r="S10" i="49"/>
  <c r="X12" i="49"/>
  <c r="X59" i="49"/>
  <c r="P59" i="49"/>
  <c r="P46" i="49" s="1"/>
  <c r="P45" i="49" s="1"/>
  <c r="P44" i="49" s="1"/>
  <c r="P8" i="49" s="1"/>
  <c r="R61" i="49"/>
  <c r="U63" i="49"/>
  <c r="X76" i="49"/>
  <c r="S65" i="49"/>
  <c r="AA76" i="49"/>
  <c r="R79" i="49"/>
  <c r="P76" i="49"/>
  <c r="T89" i="49"/>
  <c r="L147" i="49"/>
  <c r="L146" i="49" s="1"/>
  <c r="M8" i="49"/>
  <c r="O10" i="49"/>
  <c r="O9" i="49" s="1"/>
  <c r="U24" i="49"/>
  <c r="X34" i="49"/>
  <c r="AA35" i="49"/>
  <c r="X35" i="49"/>
  <c r="U36" i="49"/>
  <c r="T36" i="49"/>
  <c r="R35" i="49"/>
  <c r="U38" i="49"/>
  <c r="T38" i="49"/>
  <c r="U40" i="49"/>
  <c r="T40" i="49"/>
  <c r="U42" i="49"/>
  <c r="T42" i="49"/>
  <c r="Y45" i="49"/>
  <c r="Y44" i="49" s="1"/>
  <c r="Y8" i="49" s="1"/>
  <c r="W47" i="49"/>
  <c r="X48" i="49"/>
  <c r="S46" i="49"/>
  <c r="X50" i="49"/>
  <c r="T52" i="49"/>
  <c r="O66" i="49"/>
  <c r="O65" i="49" s="1"/>
  <c r="O45" i="49" s="1"/>
  <c r="O44" i="49" s="1"/>
  <c r="R67" i="49"/>
  <c r="P73" i="49"/>
  <c r="P65" i="49" s="1"/>
  <c r="R74" i="49"/>
  <c r="U81" i="49"/>
  <c r="T81" i="49"/>
  <c r="AA91" i="49"/>
  <c r="AA52" i="49"/>
  <c r="AA73" i="49"/>
  <c r="U102" i="49"/>
  <c r="T102" i="49"/>
  <c r="AA108" i="49"/>
  <c r="S107" i="49"/>
  <c r="X109" i="49"/>
  <c r="T113" i="49"/>
  <c r="T107" i="49" s="1"/>
  <c r="N119" i="49"/>
  <c r="N118" i="49" s="1"/>
  <c r="N117" i="49" s="1"/>
  <c r="N116" i="49" s="1"/>
  <c r="U120" i="49"/>
  <c r="U140" i="49"/>
  <c r="T140" i="49"/>
  <c r="T139" i="49" s="1"/>
  <c r="R139" i="49"/>
  <c r="U139" i="49" s="1"/>
  <c r="T148" i="49"/>
  <c r="U173" i="49"/>
  <c r="T173" i="49"/>
  <c r="T172" i="49" s="1"/>
  <c r="AA34" i="49"/>
  <c r="T43" i="49"/>
  <c r="R47" i="49"/>
  <c r="T48" i="49"/>
  <c r="T47" i="49" s="1"/>
  <c r="T49" i="49"/>
  <c r="AA59" i="49"/>
  <c r="T62" i="49"/>
  <c r="AA66" i="49"/>
  <c r="T75" i="49"/>
  <c r="R83" i="49"/>
  <c r="U83" i="49" s="1"/>
  <c r="T84" i="49"/>
  <c r="T85" i="49"/>
  <c r="W92" i="49"/>
  <c r="W91" i="49" s="1"/>
  <c r="Z119" i="49"/>
  <c r="Z118" i="49" s="1"/>
  <c r="Z117" i="49" s="1"/>
  <c r="X135" i="49"/>
  <c r="U137" i="49"/>
  <c r="T132" i="49"/>
  <c r="L157" i="49"/>
  <c r="X160" i="49"/>
  <c r="AA160" i="49"/>
  <c r="AA166" i="49"/>
  <c r="U170" i="49"/>
  <c r="T170" i="49"/>
  <c r="R172" i="49"/>
  <c r="U172" i="49" s="1"/>
  <c r="P205" i="49"/>
  <c r="P202" i="49" s="1"/>
  <c r="R206" i="49"/>
  <c r="R12" i="49"/>
  <c r="R50" i="49"/>
  <c r="U50" i="49" s="1"/>
  <c r="X92" i="49"/>
  <c r="AA100" i="49"/>
  <c r="U101" i="49"/>
  <c r="T101" i="49"/>
  <c r="R100" i="49"/>
  <c r="U103" i="49"/>
  <c r="T103" i="49"/>
  <c r="U105" i="49"/>
  <c r="R104" i="49"/>
  <c r="U104" i="49" s="1"/>
  <c r="X108" i="49"/>
  <c r="V119" i="49"/>
  <c r="V118" i="49" s="1"/>
  <c r="V117" i="49" s="1"/>
  <c r="AA120" i="49"/>
  <c r="W133" i="49"/>
  <c r="X133" i="49" s="1"/>
  <c r="X134" i="49"/>
  <c r="AA135" i="49"/>
  <c r="O132" i="49"/>
  <c r="O118" i="49" s="1"/>
  <c r="O117" i="49" s="1"/>
  <c r="L132" i="49"/>
  <c r="L118" i="49" s="1"/>
  <c r="L117" i="49" s="1"/>
  <c r="L116" i="49" s="1"/>
  <c r="P132" i="49"/>
  <c r="S174" i="49"/>
  <c r="X175" i="49"/>
  <c r="AA175" i="49"/>
  <c r="AA99" i="49"/>
  <c r="AA122" i="49"/>
  <c r="AA130" i="49"/>
  <c r="AA137" i="49"/>
  <c r="S157" i="49"/>
  <c r="X158" i="49"/>
  <c r="V157" i="49"/>
  <c r="V147" i="49" s="1"/>
  <c r="V146" i="49" s="1"/>
  <c r="Q166" i="49"/>
  <c r="U184" i="49"/>
  <c r="T179" i="49"/>
  <c r="U187" i="49"/>
  <c r="T187" i="49"/>
  <c r="T186" i="49" s="1"/>
  <c r="R186" i="49"/>
  <c r="U186" i="49" s="1"/>
  <c r="P192" i="49"/>
  <c r="P191" i="49" s="1"/>
  <c r="R193" i="49"/>
  <c r="X194" i="49"/>
  <c r="S191" i="49"/>
  <c r="AA194" i="49"/>
  <c r="X205" i="49"/>
  <c r="AA205" i="49"/>
  <c r="W215" i="49"/>
  <c r="W214" i="49" s="1"/>
  <c r="X216" i="49"/>
  <c r="Z214" i="49"/>
  <c r="Z147" i="49" s="1"/>
  <c r="Z146" i="49" s="1"/>
  <c r="R109" i="49"/>
  <c r="R126" i="49"/>
  <c r="U126" i="49" s="1"/>
  <c r="S132" i="49"/>
  <c r="R133" i="49"/>
  <c r="U133" i="49" s="1"/>
  <c r="R141" i="49"/>
  <c r="U141" i="49" s="1"/>
  <c r="T142" i="49"/>
  <c r="T141" i="49" s="1"/>
  <c r="S148" i="49"/>
  <c r="X149" i="49"/>
  <c r="R154" i="49"/>
  <c r="U154" i="49" s="1"/>
  <c r="O157" i="49"/>
  <c r="T163" i="49"/>
  <c r="T162" i="49" s="1"/>
  <c r="T157" i="49" s="1"/>
  <c r="U165" i="49"/>
  <c r="T165" i="49"/>
  <c r="T164" i="49" s="1"/>
  <c r="R164" i="49"/>
  <c r="U164" i="49" s="1"/>
  <c r="X166" i="49"/>
  <c r="Y166" i="49"/>
  <c r="R169" i="49"/>
  <c r="AA182" i="49"/>
  <c r="O179" i="49"/>
  <c r="Q191" i="49"/>
  <c r="W192" i="49"/>
  <c r="X193" i="49"/>
  <c r="Y202" i="49"/>
  <c r="R149" i="49"/>
  <c r="U151" i="49"/>
  <c r="U160" i="49"/>
  <c r="W168" i="49"/>
  <c r="W166" i="49" s="1"/>
  <c r="L179" i="49"/>
  <c r="P179" i="49"/>
  <c r="P147" i="49" s="1"/>
  <c r="P146" i="49" s="1"/>
  <c r="S188" i="49"/>
  <c r="X189" i="49"/>
  <c r="M191" i="49"/>
  <c r="X212" i="49"/>
  <c r="W211" i="49"/>
  <c r="AA177" i="49"/>
  <c r="AA184" i="49"/>
  <c r="X203" i="49"/>
  <c r="X207" i="49"/>
  <c r="R212" i="49"/>
  <c r="O211" i="49"/>
  <c r="X215" i="49"/>
  <c r="U224" i="49"/>
  <c r="T224" i="49"/>
  <c r="R222" i="49"/>
  <c r="U222" i="49" s="1"/>
  <c r="U230" i="49"/>
  <c r="T230" i="49"/>
  <c r="T235" i="49"/>
  <c r="U235" i="49"/>
  <c r="AA162" i="49"/>
  <c r="AA168" i="49"/>
  <c r="AA172" i="49"/>
  <c r="S179" i="49"/>
  <c r="R180" i="49"/>
  <c r="U180" i="49" s="1"/>
  <c r="T181" i="49"/>
  <c r="T180" i="49" s="1"/>
  <c r="AA186" i="49"/>
  <c r="AA198" i="49"/>
  <c r="X199" i="49"/>
  <c r="S202" i="49"/>
  <c r="X204" i="49"/>
  <c r="W203" i="49"/>
  <c r="Q202" i="49"/>
  <c r="R210" i="49"/>
  <c r="O209" i="49"/>
  <c r="X217" i="49"/>
  <c r="S214" i="49"/>
  <c r="AA217" i="49"/>
  <c r="R143" i="49"/>
  <c r="U143" i="49" s="1"/>
  <c r="R158" i="49"/>
  <c r="R175" i="49"/>
  <c r="R182" i="49"/>
  <c r="U182" i="49" s="1"/>
  <c r="R204" i="49"/>
  <c r="O203" i="49"/>
  <c r="R207" i="49"/>
  <c r="U208" i="49"/>
  <c r="M202" i="49"/>
  <c r="M147" i="49" s="1"/>
  <c r="M146" i="49" s="1"/>
  <c r="M116" i="49" s="1"/>
  <c r="AA209" i="49"/>
  <c r="X211" i="49"/>
  <c r="O215" i="49"/>
  <c r="R216" i="49"/>
  <c r="AA225" i="49"/>
  <c r="AA237" i="49"/>
  <c r="T219" i="49"/>
  <c r="T217" i="49" s="1"/>
  <c r="O222" i="49"/>
  <c r="AA222" i="49"/>
  <c r="T223" i="49"/>
  <c r="T227" i="49"/>
  <c r="AA231" i="49"/>
  <c r="W232" i="49"/>
  <c r="W231" i="49" s="1"/>
  <c r="X231" i="49" s="1"/>
  <c r="AA232" i="49"/>
  <c r="AA238" i="49"/>
  <c r="X241" i="49"/>
  <c r="AA203" i="49"/>
  <c r="AA211" i="49"/>
  <c r="AA215" i="49"/>
  <c r="U219" i="49"/>
  <c r="R221" i="49"/>
  <c r="U227" i="49"/>
  <c r="R229" i="49"/>
  <c r="P232" i="49"/>
  <c r="P231" i="49" s="1"/>
  <c r="T236" i="49"/>
  <c r="R240" i="49"/>
  <c r="T241" i="49"/>
  <c r="T240" i="49" s="1"/>
  <c r="T239" i="49" s="1"/>
  <c r="T238" i="49" s="1"/>
  <c r="T237" i="49" s="1"/>
  <c r="R199" i="49"/>
  <c r="W209" i="49"/>
  <c r="O147" i="49" l="1"/>
  <c r="O146" i="49" s="1"/>
  <c r="O116" i="49"/>
  <c r="AA90" i="49"/>
  <c r="T90" i="49"/>
  <c r="T221" i="49"/>
  <c r="T220" i="49" s="1"/>
  <c r="R220" i="49"/>
  <c r="U220" i="49" s="1"/>
  <c r="U221" i="49"/>
  <c r="U216" i="49"/>
  <c r="T216" i="49"/>
  <c r="T215" i="49" s="1"/>
  <c r="R215" i="49"/>
  <c r="U158" i="49"/>
  <c r="R157" i="49"/>
  <c r="U157" i="49" s="1"/>
  <c r="AA132" i="49"/>
  <c r="Z116" i="49"/>
  <c r="Z242" i="49" s="1"/>
  <c r="Z245" i="49" s="1"/>
  <c r="X107" i="49"/>
  <c r="AA107" i="49"/>
  <c r="U79" i="49"/>
  <c r="T79" i="49"/>
  <c r="T76" i="49" s="1"/>
  <c r="P116" i="49"/>
  <c r="P242" i="49" s="1"/>
  <c r="P245" i="49" s="1"/>
  <c r="X239" i="49"/>
  <c r="W238" i="49"/>
  <c r="W99" i="49"/>
  <c r="X100" i="49"/>
  <c r="U199" i="49"/>
  <c r="R198" i="49"/>
  <c r="U198" i="49" s="1"/>
  <c r="O214" i="49"/>
  <c r="T204" i="49"/>
  <c r="T203" i="49" s="1"/>
  <c r="U204" i="49"/>
  <c r="R203" i="49"/>
  <c r="U203" i="49" s="1"/>
  <c r="X179" i="49"/>
  <c r="AA179" i="49"/>
  <c r="AA191" i="49"/>
  <c r="R179" i="49"/>
  <c r="U179" i="49" s="1"/>
  <c r="AA174" i="49"/>
  <c r="X174" i="49"/>
  <c r="T100" i="49"/>
  <c r="T99" i="49" s="1"/>
  <c r="T98" i="49" s="1"/>
  <c r="U12" i="49"/>
  <c r="R11" i="49"/>
  <c r="R132" i="49"/>
  <c r="U132" i="49" s="1"/>
  <c r="X91" i="49"/>
  <c r="T35" i="49"/>
  <c r="T34" i="49" s="1"/>
  <c r="T10" i="49" s="1"/>
  <c r="T9" i="49" s="1"/>
  <c r="U61" i="49"/>
  <c r="T61" i="49"/>
  <c r="X10" i="49"/>
  <c r="AA10" i="49"/>
  <c r="S9" i="49"/>
  <c r="R59" i="49"/>
  <c r="U59" i="49" s="1"/>
  <c r="S118" i="49"/>
  <c r="AA119" i="49"/>
  <c r="X119" i="49"/>
  <c r="U232" i="49"/>
  <c r="R231" i="49"/>
  <c r="U231" i="49" s="1"/>
  <c r="X209" i="49"/>
  <c r="W202" i="49"/>
  <c r="M242" i="49"/>
  <c r="M245" i="49" s="1"/>
  <c r="AA104" i="49"/>
  <c r="X104" i="49"/>
  <c r="T229" i="49"/>
  <c r="T228" i="49" s="1"/>
  <c r="R228" i="49"/>
  <c r="U228" i="49" s="1"/>
  <c r="U229" i="49"/>
  <c r="X192" i="49"/>
  <c r="W191" i="49"/>
  <c r="W147" i="49" s="1"/>
  <c r="W146" i="49" s="1"/>
  <c r="T46" i="49"/>
  <c r="W132" i="49"/>
  <c r="W118" i="49" s="1"/>
  <c r="W117" i="49" s="1"/>
  <c r="U67" i="49"/>
  <c r="T67" i="49"/>
  <c r="T66" i="49" s="1"/>
  <c r="R66" i="49"/>
  <c r="AA46" i="49"/>
  <c r="S45" i="49"/>
  <c r="X65" i="49"/>
  <c r="AA65" i="49"/>
  <c r="T59" i="49"/>
  <c r="X66" i="49"/>
  <c r="W10" i="49"/>
  <c r="W9" i="49" s="1"/>
  <c r="X11" i="49"/>
  <c r="T232" i="49"/>
  <c r="T231" i="49" s="1"/>
  <c r="X214" i="49"/>
  <c r="AA214" i="49"/>
  <c r="AA148" i="49"/>
  <c r="S147" i="49"/>
  <c r="X148" i="49"/>
  <c r="R99" i="49"/>
  <c r="U100" i="49"/>
  <c r="U74" i="49"/>
  <c r="T74" i="49"/>
  <c r="T73" i="49" s="1"/>
  <c r="R73" i="49"/>
  <c r="U73" i="49" s="1"/>
  <c r="W46" i="49"/>
  <c r="W45" i="49" s="1"/>
  <c r="W44" i="49" s="1"/>
  <c r="X47" i="49"/>
  <c r="R34" i="49"/>
  <c r="U34" i="49" s="1"/>
  <c r="U35" i="49"/>
  <c r="U207" i="49"/>
  <c r="O202" i="49"/>
  <c r="T212" i="49"/>
  <c r="T211" i="49" s="1"/>
  <c r="U212" i="49"/>
  <c r="R211" i="49"/>
  <c r="U211" i="49" s="1"/>
  <c r="U149" i="49"/>
  <c r="R148" i="49"/>
  <c r="U169" i="49"/>
  <c r="T169" i="49"/>
  <c r="T168" i="49" s="1"/>
  <c r="T166" i="49" s="1"/>
  <c r="R168" i="49"/>
  <c r="U109" i="49"/>
  <c r="R108" i="49"/>
  <c r="AA157" i="49"/>
  <c r="X157" i="49"/>
  <c r="V116" i="49"/>
  <c r="V242" i="49" s="1"/>
  <c r="V245" i="49" s="1"/>
  <c r="U240" i="49"/>
  <c r="R239" i="49"/>
  <c r="T222" i="49"/>
  <c r="U175" i="49"/>
  <c r="R174" i="49"/>
  <c r="U174" i="49" s="1"/>
  <c r="R209" i="49"/>
  <c r="U209" i="49" s="1"/>
  <c r="U210" i="49"/>
  <c r="T210" i="49"/>
  <c r="T209" i="49" s="1"/>
  <c r="X202" i="49"/>
  <c r="AA202" i="49"/>
  <c r="AA188" i="49"/>
  <c r="X188" i="49"/>
  <c r="X168" i="49"/>
  <c r="Y147" i="49"/>
  <c r="Y146" i="49" s="1"/>
  <c r="Y116" i="49" s="1"/>
  <c r="Y242" i="49" s="1"/>
  <c r="Y245" i="49" s="1"/>
  <c r="U193" i="49"/>
  <c r="T193" i="49"/>
  <c r="T192" i="49" s="1"/>
  <c r="T191" i="49" s="1"/>
  <c r="R192" i="49"/>
  <c r="Q147" i="49"/>
  <c r="Q146" i="49" s="1"/>
  <c r="Q116" i="49" s="1"/>
  <c r="Q242" i="49" s="1"/>
  <c r="Q245" i="49" s="1"/>
  <c r="R76" i="49"/>
  <c r="U76" i="49" s="1"/>
  <c r="U206" i="49"/>
  <c r="T206" i="49"/>
  <c r="T205" i="49" s="1"/>
  <c r="R205" i="49"/>
  <c r="U205" i="49" s="1"/>
  <c r="T83" i="49"/>
  <c r="U47" i="49"/>
  <c r="R46" i="49"/>
  <c r="R119" i="49"/>
  <c r="O8" i="49"/>
  <c r="X232" i="49"/>
  <c r="R91" i="49"/>
  <c r="U92" i="49"/>
  <c r="U46" i="49" l="1"/>
  <c r="R191" i="49"/>
  <c r="U191" i="49" s="1"/>
  <c r="U192" i="49"/>
  <c r="U108" i="49"/>
  <c r="R107" i="49"/>
  <c r="U107" i="49" s="1"/>
  <c r="T202" i="49"/>
  <c r="U148" i="49"/>
  <c r="R98" i="49"/>
  <c r="U98" i="49" s="1"/>
  <c r="U99" i="49"/>
  <c r="U66" i="49"/>
  <c r="R65" i="49"/>
  <c r="U65" i="49" s="1"/>
  <c r="W98" i="49"/>
  <c r="X99" i="49"/>
  <c r="U91" i="49"/>
  <c r="R90" i="49"/>
  <c r="U90" i="49" s="1"/>
  <c r="X46" i="49"/>
  <c r="X45" i="49"/>
  <c r="AA45" i="49"/>
  <c r="S44" i="49"/>
  <c r="S8" i="49" s="1"/>
  <c r="X9" i="49"/>
  <c r="AA9" i="49"/>
  <c r="W237" i="49"/>
  <c r="X237" i="49" s="1"/>
  <c r="X238" i="49"/>
  <c r="U215" i="49"/>
  <c r="R214" i="49"/>
  <c r="U214" i="49" s="1"/>
  <c r="AA118" i="49"/>
  <c r="S117" i="49"/>
  <c r="X118" i="49"/>
  <c r="U11" i="49"/>
  <c r="R10" i="49"/>
  <c r="O242" i="49"/>
  <c r="O245" i="49" s="1"/>
  <c r="R166" i="49"/>
  <c r="U166" i="49" s="1"/>
  <c r="U168" i="49"/>
  <c r="T65" i="49"/>
  <c r="T45" i="49" s="1"/>
  <c r="T44" i="49" s="1"/>
  <c r="T8" i="49" s="1"/>
  <c r="U119" i="49"/>
  <c r="R118" i="49"/>
  <c r="U239" i="49"/>
  <c r="R238" i="49"/>
  <c r="R202" i="49"/>
  <c r="U202" i="49" s="1"/>
  <c r="X147" i="49"/>
  <c r="AA147" i="49"/>
  <c r="S146" i="49"/>
  <c r="X191" i="49"/>
  <c r="X132" i="49"/>
  <c r="T214" i="49"/>
  <c r="AA8" i="49" l="1"/>
  <c r="T242" i="49"/>
  <c r="T245" i="49" s="1"/>
  <c r="U238" i="49"/>
  <c r="R237" i="49"/>
  <c r="U237" i="49" s="1"/>
  <c r="U10" i="49"/>
  <c r="R9" i="49"/>
  <c r="T147" i="49"/>
  <c r="T146" i="49" s="1"/>
  <c r="T116" i="49" s="1"/>
  <c r="W116" i="49"/>
  <c r="R45" i="49"/>
  <c r="X146" i="49"/>
  <c r="AA146" i="49"/>
  <c r="X44" i="49"/>
  <c r="AA44" i="49"/>
  <c r="R117" i="49"/>
  <c r="U118" i="49"/>
  <c r="X117" i="49"/>
  <c r="AA117" i="49"/>
  <c r="S116" i="49"/>
  <c r="X98" i="49"/>
  <c r="W90" i="49"/>
  <c r="R147" i="49"/>
  <c r="U45" i="49" l="1"/>
  <c r="R44" i="49"/>
  <c r="U44" i="49" s="1"/>
  <c r="R116" i="49"/>
  <c r="U116" i="49" s="1"/>
  <c r="U117" i="49"/>
  <c r="X116" i="49"/>
  <c r="AA116" i="49"/>
  <c r="U9" i="49"/>
  <c r="R8" i="49"/>
  <c r="R146" i="49"/>
  <c r="U146" i="49" s="1"/>
  <c r="U147" i="49"/>
  <c r="X90" i="49"/>
  <c r="W8" i="49"/>
  <c r="S242" i="49"/>
  <c r="R242" i="49" l="1"/>
  <c r="U8" i="49"/>
  <c r="W242" i="49"/>
  <c r="W245" i="49" s="1"/>
  <c r="X8" i="49"/>
  <c r="AA242" i="49"/>
  <c r="AA244" i="49" s="1"/>
  <c r="S245" i="49"/>
  <c r="X242" i="49" l="1"/>
  <c r="X244" i="49" s="1"/>
  <c r="R245" i="49"/>
  <c r="U242" i="49"/>
  <c r="U244" i="49" s="1"/>
  <c r="A244" i="48" l="1"/>
  <c r="AC241" i="48"/>
  <c r="AB241" i="48"/>
  <c r="Z241" i="48"/>
  <c r="Y241" i="48"/>
  <c r="T241" i="48"/>
  <c r="B241" i="48"/>
  <c r="A241" i="48"/>
  <c r="AB240" i="48"/>
  <c r="AA240" i="48"/>
  <c r="Y240" i="48"/>
  <c r="Y239" i="48" s="1"/>
  <c r="X240" i="48"/>
  <c r="X239" i="48" s="1"/>
  <c r="X238" i="48" s="1"/>
  <c r="X237" i="48" s="1"/>
  <c r="U240" i="48"/>
  <c r="U239" i="48" s="1"/>
  <c r="AC239" i="48" s="1"/>
  <c r="S240" i="48"/>
  <c r="R240" i="48"/>
  <c r="Q240" i="48"/>
  <c r="Q239" i="48" s="1"/>
  <c r="Q238" i="48" s="1"/>
  <c r="Q237" i="48" s="1"/>
  <c r="P240" i="48"/>
  <c r="O240" i="48"/>
  <c r="N240" i="48"/>
  <c r="N239" i="48" s="1"/>
  <c r="N238" i="48" s="1"/>
  <c r="N237" i="48" s="1"/>
  <c r="B240" i="48"/>
  <c r="A240" i="48" s="1"/>
  <c r="AB239" i="48"/>
  <c r="AB238" i="48" s="1"/>
  <c r="AB237" i="48" s="1"/>
  <c r="AA239" i="48"/>
  <c r="AA238" i="48" s="1"/>
  <c r="Z239" i="48"/>
  <c r="S239" i="48"/>
  <c r="S238" i="48" s="1"/>
  <c r="R239" i="48"/>
  <c r="R238" i="48" s="1"/>
  <c r="R237" i="48" s="1"/>
  <c r="P239" i="48"/>
  <c r="O239" i="48"/>
  <c r="O238" i="48" s="1"/>
  <c r="B239" i="48"/>
  <c r="A239" i="48"/>
  <c r="Z238" i="48"/>
  <c r="Y238" i="48"/>
  <c r="Y237" i="48" s="1"/>
  <c r="U238" i="48"/>
  <c r="P238" i="48"/>
  <c r="P237" i="48" s="1"/>
  <c r="B238" i="48"/>
  <c r="A238" i="48" s="1"/>
  <c r="AA237" i="48"/>
  <c r="S237" i="48"/>
  <c r="O237" i="48"/>
  <c r="B237" i="48"/>
  <c r="A237" i="48"/>
  <c r="AC236" i="48"/>
  <c r="AB236" i="48"/>
  <c r="Y236" i="48"/>
  <c r="Z236" i="48" s="1"/>
  <c r="W236" i="48"/>
  <c r="V236" i="48"/>
  <c r="T236" i="48"/>
  <c r="B236" i="48"/>
  <c r="AC235" i="48"/>
  <c r="AB235" i="48"/>
  <c r="AB232" i="48" s="1"/>
  <c r="AB231" i="48" s="1"/>
  <c r="Y235" i="48"/>
  <c r="Z235" i="48" s="1"/>
  <c r="W235" i="48"/>
  <c r="R235" i="48"/>
  <c r="T235" i="48" s="1"/>
  <c r="V235" i="48" s="1"/>
  <c r="B235" i="48"/>
  <c r="AC234" i="48"/>
  <c r="AB234" i="48"/>
  <c r="Z234" i="48"/>
  <c r="Y234" i="48"/>
  <c r="W234" i="48"/>
  <c r="T234" i="48"/>
  <c r="V234" i="48" s="1"/>
  <c r="B234" i="48"/>
  <c r="AC233" i="48"/>
  <c r="AB233" i="48"/>
  <c r="Y233" i="48"/>
  <c r="T233" i="48"/>
  <c r="Q233" i="48"/>
  <c r="Q232" i="48" s="1"/>
  <c r="B233" i="48"/>
  <c r="AA232" i="48"/>
  <c r="AA231" i="48" s="1"/>
  <c r="AC231" i="48" s="1"/>
  <c r="X232" i="48"/>
  <c r="X231" i="48" s="1"/>
  <c r="U232" i="48"/>
  <c r="S232" i="48"/>
  <c r="R232" i="48"/>
  <c r="R231" i="48" s="1"/>
  <c r="P232" i="48"/>
  <c r="P231" i="48" s="1"/>
  <c r="O232" i="48"/>
  <c r="N232" i="48"/>
  <c r="N231" i="48" s="1"/>
  <c r="B232" i="48"/>
  <c r="U231" i="48"/>
  <c r="S231" i="48"/>
  <c r="Q231" i="48"/>
  <c r="O231" i="48"/>
  <c r="B231" i="48"/>
  <c r="AC230" i="48"/>
  <c r="AB230" i="48"/>
  <c r="Z230" i="48"/>
  <c r="Y230" i="48"/>
  <c r="R230" i="48"/>
  <c r="B230" i="48"/>
  <c r="A230" i="48"/>
  <c r="AC229" i="48"/>
  <c r="AB229" i="48"/>
  <c r="AB228" i="48" s="1"/>
  <c r="Z229" i="48"/>
  <c r="Y229" i="48"/>
  <c r="T229" i="48"/>
  <c r="Q229" i="48"/>
  <c r="Q228" i="48" s="1"/>
  <c r="B229" i="48"/>
  <c r="A229" i="48"/>
  <c r="AC228" i="48"/>
  <c r="AA228" i="48"/>
  <c r="Y228" i="48"/>
  <c r="X228" i="48"/>
  <c r="U228" i="48"/>
  <c r="Z228" i="48" s="1"/>
  <c r="S228" i="48"/>
  <c r="P228" i="48"/>
  <c r="O228" i="48"/>
  <c r="N228" i="48"/>
  <c r="B228" i="48"/>
  <c r="A228" i="48"/>
  <c r="AC227" i="48"/>
  <c r="AB227" i="48"/>
  <c r="Y227" i="48"/>
  <c r="Z227" i="48" s="1"/>
  <c r="T227" i="48"/>
  <c r="W227" i="48" s="1"/>
  <c r="R227" i="48"/>
  <c r="B227" i="48"/>
  <c r="A227" i="48"/>
  <c r="AC226" i="48"/>
  <c r="AB226" i="48"/>
  <c r="Y226" i="48"/>
  <c r="Q226" i="48"/>
  <c r="B226" i="48"/>
  <c r="A226" i="48" s="1"/>
  <c r="AB225" i="48"/>
  <c r="AA225" i="48"/>
  <c r="X225" i="48"/>
  <c r="U225" i="48"/>
  <c r="AC225" i="48" s="1"/>
  <c r="S225" i="48"/>
  <c r="R225" i="48"/>
  <c r="P225" i="48"/>
  <c r="O225" i="48"/>
  <c r="N225" i="48"/>
  <c r="B225" i="48"/>
  <c r="A225" i="48"/>
  <c r="AC224" i="48"/>
  <c r="AB224" i="48"/>
  <c r="Z224" i="48"/>
  <c r="Y224" i="48"/>
  <c r="W224" i="48"/>
  <c r="V224" i="48"/>
  <c r="Q224" i="48"/>
  <c r="T224" i="48" s="1"/>
  <c r="B224" i="48"/>
  <c r="A224" i="48" s="1"/>
  <c r="AC223" i="48"/>
  <c r="AB223" i="48"/>
  <c r="Z223" i="48"/>
  <c r="Y223" i="48"/>
  <c r="Y222" i="48" s="1"/>
  <c r="Q223" i="48"/>
  <c r="B223" i="48"/>
  <c r="A223" i="48"/>
  <c r="AB222" i="48"/>
  <c r="AA222" i="48"/>
  <c r="X222" i="48"/>
  <c r="U222" i="48"/>
  <c r="Z222" i="48" s="1"/>
  <c r="S222" i="48"/>
  <c r="R222" i="48"/>
  <c r="P222" i="48"/>
  <c r="O222" i="48"/>
  <c r="N222" i="48"/>
  <c r="B222" i="48"/>
  <c r="A222" i="48" s="1"/>
  <c r="AC221" i="48"/>
  <c r="AB221" i="48"/>
  <c r="Z221" i="48"/>
  <c r="Y221" i="48"/>
  <c r="V221" i="48"/>
  <c r="V220" i="48" s="1"/>
  <c r="Q221" i="48"/>
  <c r="T221" i="48" s="1"/>
  <c r="B221" i="48"/>
  <c r="A221" i="48"/>
  <c r="AB220" i="48"/>
  <c r="AA220" i="48"/>
  <c r="Z220" i="48"/>
  <c r="Y220" i="48"/>
  <c r="X220" i="48"/>
  <c r="U220" i="48"/>
  <c r="S220" i="48"/>
  <c r="R220" i="48"/>
  <c r="Q220" i="48"/>
  <c r="P220" i="48"/>
  <c r="O220" i="48"/>
  <c r="N220" i="48"/>
  <c r="B220" i="48"/>
  <c r="A220" i="48" s="1"/>
  <c r="AC219" i="48"/>
  <c r="AB219" i="48"/>
  <c r="Z219" i="48"/>
  <c r="Y219" i="48"/>
  <c r="R219" i="48"/>
  <c r="T219" i="48" s="1"/>
  <c r="B219" i="48"/>
  <c r="A219" i="48"/>
  <c r="AC218" i="48"/>
  <c r="AB218" i="48"/>
  <c r="AB217" i="48" s="1"/>
  <c r="Y218" i="48"/>
  <c r="Q218" i="48"/>
  <c r="B218" i="48"/>
  <c r="A218" i="48"/>
  <c r="AA217" i="48"/>
  <c r="X217" i="48"/>
  <c r="U217" i="48"/>
  <c r="S217" i="48"/>
  <c r="R217" i="48"/>
  <c r="P217" i="48"/>
  <c r="O217" i="48"/>
  <c r="N217" i="48"/>
  <c r="B217" i="48"/>
  <c r="A217" i="48"/>
  <c r="AC216" i="48"/>
  <c r="AB216" i="48"/>
  <c r="Y216" i="48"/>
  <c r="Q216" i="48"/>
  <c r="B216" i="48"/>
  <c r="A216" i="48" s="1"/>
  <c r="AB215" i="48"/>
  <c r="AA215" i="48"/>
  <c r="X215" i="48"/>
  <c r="U215" i="48"/>
  <c r="AC215" i="48" s="1"/>
  <c r="S215" i="48"/>
  <c r="S214" i="48" s="1"/>
  <c r="R215" i="48"/>
  <c r="P215" i="48"/>
  <c r="O215" i="48"/>
  <c r="N215" i="48"/>
  <c r="B215" i="48"/>
  <c r="A215" i="48"/>
  <c r="N214" i="48"/>
  <c r="B214" i="48"/>
  <c r="A214" i="48"/>
  <c r="AC213" i="48"/>
  <c r="AB213" i="48"/>
  <c r="AB211" i="48" s="1"/>
  <c r="AB202" i="48" s="1"/>
  <c r="Z213" i="48"/>
  <c r="Y213" i="48"/>
  <c r="Y211" i="48" s="1"/>
  <c r="Z211" i="48" s="1"/>
  <c r="T213" i="48"/>
  <c r="T211" i="48" s="1"/>
  <c r="W211" i="48" s="1"/>
  <c r="B213" i="48"/>
  <c r="A213" i="48" s="1"/>
  <c r="AC212" i="48"/>
  <c r="AB212" i="48"/>
  <c r="Z212" i="48"/>
  <c r="Y212" i="48"/>
  <c r="T212" i="48"/>
  <c r="R212" i="48"/>
  <c r="Q212" i="48"/>
  <c r="Q211" i="48" s="1"/>
  <c r="B212" i="48"/>
  <c r="A212" i="48"/>
  <c r="AA211" i="48"/>
  <c r="X211" i="48"/>
  <c r="X202" i="48" s="1"/>
  <c r="U211" i="48"/>
  <c r="S211" i="48"/>
  <c r="R211" i="48"/>
  <c r="P211" i="48"/>
  <c r="O211" i="48"/>
  <c r="N211" i="48"/>
  <c r="B211" i="48"/>
  <c r="A211" i="48"/>
  <c r="AC210" i="48"/>
  <c r="AB210" i="48"/>
  <c r="Z210" i="48"/>
  <c r="Y210" i="48"/>
  <c r="R210" i="48"/>
  <c r="R209" i="48" s="1"/>
  <c r="Q210" i="48"/>
  <c r="B210" i="48"/>
  <c r="A210" i="48" s="1"/>
  <c r="AC209" i="48"/>
  <c r="AB209" i="48"/>
  <c r="AA209" i="48"/>
  <c r="Y209" i="48"/>
  <c r="X209" i="48"/>
  <c r="U209" i="48"/>
  <c r="Z209" i="48" s="1"/>
  <c r="S209" i="48"/>
  <c r="Q209" i="48"/>
  <c r="P209" i="48"/>
  <c r="O209" i="48"/>
  <c r="O202" i="48" s="1"/>
  <c r="N209" i="48"/>
  <c r="B209" i="48"/>
  <c r="A209" i="48" s="1"/>
  <c r="AC208" i="48"/>
  <c r="AB208" i="48"/>
  <c r="Z208" i="48"/>
  <c r="Y208" i="48"/>
  <c r="W208" i="48"/>
  <c r="R208" i="48"/>
  <c r="T208" i="48" s="1"/>
  <c r="Q208" i="48"/>
  <c r="B208" i="48"/>
  <c r="A208" i="48"/>
  <c r="AC207" i="48"/>
  <c r="AB207" i="48"/>
  <c r="AA207" i="48"/>
  <c r="Y207" i="48"/>
  <c r="X207" i="48"/>
  <c r="U207" i="48"/>
  <c r="Z207" i="48" s="1"/>
  <c r="S207" i="48"/>
  <c r="R207" i="48"/>
  <c r="R202" i="48" s="1"/>
  <c r="Q207" i="48"/>
  <c r="P207" i="48"/>
  <c r="O207" i="48"/>
  <c r="N207" i="48"/>
  <c r="B207" i="48"/>
  <c r="A207" i="48"/>
  <c r="AC206" i="48"/>
  <c r="AB206" i="48"/>
  <c r="AB205" i="48" s="1"/>
  <c r="Z206" i="48"/>
  <c r="Y206" i="48"/>
  <c r="T206" i="48"/>
  <c r="R206" i="48"/>
  <c r="Q206" i="48"/>
  <c r="B206" i="48"/>
  <c r="A206" i="48"/>
  <c r="AA205" i="48"/>
  <c r="Y205" i="48"/>
  <c r="X205" i="48"/>
  <c r="U205" i="48"/>
  <c r="S205" i="48"/>
  <c r="R205" i="48"/>
  <c r="Q205" i="48"/>
  <c r="P205" i="48"/>
  <c r="O205" i="48"/>
  <c r="N205" i="48"/>
  <c r="B205" i="48"/>
  <c r="A205" i="48" s="1"/>
  <c r="AC204" i="48"/>
  <c r="AB204" i="48"/>
  <c r="AB203" i="48" s="1"/>
  <c r="Z204" i="48"/>
  <c r="Y204" i="48"/>
  <c r="R204" i="48"/>
  <c r="Q204" i="48"/>
  <c r="B204" i="48"/>
  <c r="A204" i="48" s="1"/>
  <c r="AA203" i="48"/>
  <c r="Z203" i="48"/>
  <c r="Y203" i="48"/>
  <c r="X203" i="48"/>
  <c r="U203" i="48"/>
  <c r="AC203" i="48" s="1"/>
  <c r="S203" i="48"/>
  <c r="R203" i="48"/>
  <c r="P203" i="48"/>
  <c r="O203" i="48"/>
  <c r="N203" i="48"/>
  <c r="B203" i="48"/>
  <c r="A203" i="48"/>
  <c r="P202" i="48"/>
  <c r="B202" i="48"/>
  <c r="A202" i="48"/>
  <c r="AC201" i="48"/>
  <c r="AB201" i="48"/>
  <c r="Y201" i="48"/>
  <c r="T201" i="48"/>
  <c r="W201" i="48" s="1"/>
  <c r="B201" i="48"/>
  <c r="A201" i="48" s="1"/>
  <c r="AC200" i="48"/>
  <c r="AB200" i="48"/>
  <c r="Z200" i="48"/>
  <c r="Y200" i="48"/>
  <c r="W200" i="48"/>
  <c r="T200" i="48"/>
  <c r="V200" i="48" s="1"/>
  <c r="B200" i="48"/>
  <c r="A200" i="48"/>
  <c r="AB199" i="48"/>
  <c r="AA199" i="48"/>
  <c r="X199" i="48"/>
  <c r="U199" i="48"/>
  <c r="T199" i="48"/>
  <c r="S199" i="48"/>
  <c r="R199" i="48"/>
  <c r="Q199" i="48"/>
  <c r="Q198" i="48" s="1"/>
  <c r="P199" i="48"/>
  <c r="O199" i="48"/>
  <c r="N199" i="48"/>
  <c r="B199" i="48"/>
  <c r="A199" i="48" s="1"/>
  <c r="AB198" i="48"/>
  <c r="AA198" i="48"/>
  <c r="X198" i="48"/>
  <c r="T198" i="48"/>
  <c r="S198" i="48"/>
  <c r="R198" i="48"/>
  <c r="P198" i="48"/>
  <c r="O198" i="48"/>
  <c r="N198" i="48"/>
  <c r="B198" i="48"/>
  <c r="A198" i="48" s="1"/>
  <c r="AC197" i="48"/>
  <c r="AB197" i="48"/>
  <c r="Z197" i="48"/>
  <c r="Y197" i="48"/>
  <c r="T197" i="48"/>
  <c r="B197" i="48"/>
  <c r="A197" i="48" s="1"/>
  <c r="AB196" i="48"/>
  <c r="AA196" i="48"/>
  <c r="Y196" i="48"/>
  <c r="X196" i="48"/>
  <c r="U196" i="48"/>
  <c r="Z196" i="48" s="1"/>
  <c r="S196" i="48"/>
  <c r="R196" i="48"/>
  <c r="Q196" i="48"/>
  <c r="P196" i="48"/>
  <c r="O196" i="48"/>
  <c r="N196" i="48"/>
  <c r="B196" i="48"/>
  <c r="A196" i="48"/>
  <c r="AC195" i="48"/>
  <c r="AB195" i="48"/>
  <c r="Y195" i="48"/>
  <c r="T195" i="48"/>
  <c r="W195" i="48" s="1"/>
  <c r="B195" i="48"/>
  <c r="A195" i="48" s="1"/>
  <c r="AB194" i="48"/>
  <c r="AA194" i="48"/>
  <c r="X194" i="48"/>
  <c r="W194" i="48"/>
  <c r="U194" i="48"/>
  <c r="T194" i="48"/>
  <c r="S194" i="48"/>
  <c r="R194" i="48"/>
  <c r="Q194" i="48"/>
  <c r="P194" i="48"/>
  <c r="O194" i="48"/>
  <c r="N194" i="48"/>
  <c r="B194" i="48"/>
  <c r="A194" i="48"/>
  <c r="AC193" i="48"/>
  <c r="AB193" i="48"/>
  <c r="Y193" i="48"/>
  <c r="Y192" i="48" s="1"/>
  <c r="W193" i="48"/>
  <c r="T193" i="48"/>
  <c r="V193" i="48" s="1"/>
  <c r="B193" i="48"/>
  <c r="A193" i="48"/>
  <c r="AB192" i="48"/>
  <c r="AA192" i="48"/>
  <c r="Z192" i="48"/>
  <c r="X192" i="48"/>
  <c r="W192" i="48"/>
  <c r="V192" i="48"/>
  <c r="U192" i="48"/>
  <c r="AC192" i="48" s="1"/>
  <c r="T192" i="48"/>
  <c r="S192" i="48"/>
  <c r="S191" i="48" s="1"/>
  <c r="R192" i="48"/>
  <c r="R191" i="48" s="1"/>
  <c r="Q192" i="48"/>
  <c r="P192" i="48"/>
  <c r="O192" i="48"/>
  <c r="O191" i="48" s="1"/>
  <c r="N192" i="48"/>
  <c r="N191" i="48" s="1"/>
  <c r="B192" i="48"/>
  <c r="A192" i="48"/>
  <c r="AB191" i="48"/>
  <c r="X191" i="48"/>
  <c r="U191" i="48"/>
  <c r="Q191" i="48"/>
  <c r="P191" i="48"/>
  <c r="B191" i="48"/>
  <c r="A191" i="48"/>
  <c r="AC190" i="48"/>
  <c r="AB190" i="48"/>
  <c r="Z190" i="48"/>
  <c r="Y190" i="48"/>
  <c r="Y189" i="48" s="1"/>
  <c r="T190" i="48"/>
  <c r="W190" i="48" s="1"/>
  <c r="B190" i="48"/>
  <c r="A190" i="48" s="1"/>
  <c r="AB189" i="48"/>
  <c r="AB188" i="48" s="1"/>
  <c r="AA189" i="48"/>
  <c r="AA188" i="48" s="1"/>
  <c r="X189" i="48"/>
  <c r="X188" i="48" s="1"/>
  <c r="W189" i="48"/>
  <c r="U189" i="48"/>
  <c r="Z189" i="48" s="1"/>
  <c r="T189" i="48"/>
  <c r="T188" i="48" s="1"/>
  <c r="W188" i="48" s="1"/>
  <c r="S189" i="48"/>
  <c r="S188" i="48" s="1"/>
  <c r="R189" i="48"/>
  <c r="Q189" i="48"/>
  <c r="P189" i="48"/>
  <c r="P188" i="48" s="1"/>
  <c r="O189" i="48"/>
  <c r="O188" i="48" s="1"/>
  <c r="N189" i="48"/>
  <c r="B189" i="48"/>
  <c r="A189" i="48"/>
  <c r="AC188" i="48"/>
  <c r="Y188" i="48"/>
  <c r="U188" i="48"/>
  <c r="Z188" i="48" s="1"/>
  <c r="R188" i="48"/>
  <c r="Q188" i="48"/>
  <c r="N188" i="48"/>
  <c r="B188" i="48"/>
  <c r="A188" i="48" s="1"/>
  <c r="AC187" i="48"/>
  <c r="AB187" i="48"/>
  <c r="Z187" i="48"/>
  <c r="Y187" i="48"/>
  <c r="T187" i="48"/>
  <c r="B187" i="48"/>
  <c r="A187" i="48" s="1"/>
  <c r="AB186" i="48"/>
  <c r="AA186" i="48"/>
  <c r="Y186" i="48"/>
  <c r="X186" i="48"/>
  <c r="X179" i="48" s="1"/>
  <c r="U186" i="48"/>
  <c r="Z186" i="48" s="1"/>
  <c r="T186" i="48"/>
  <c r="W186" i="48" s="1"/>
  <c r="S186" i="48"/>
  <c r="R186" i="48"/>
  <c r="Q186" i="48"/>
  <c r="Q179" i="48" s="1"/>
  <c r="P186" i="48"/>
  <c r="O186" i="48"/>
  <c r="N186" i="48"/>
  <c r="B186" i="48"/>
  <c r="A186" i="48"/>
  <c r="AC185" i="48"/>
  <c r="AB185" i="48"/>
  <c r="Z185" i="48"/>
  <c r="Y185" i="48"/>
  <c r="Y184" i="48" s="1"/>
  <c r="T185" i="48"/>
  <c r="B185" i="48"/>
  <c r="A185" i="48" s="1"/>
  <c r="AB184" i="48"/>
  <c r="AA184" i="48"/>
  <c r="X184" i="48"/>
  <c r="W184" i="48"/>
  <c r="U184" i="48"/>
  <c r="Z184" i="48" s="1"/>
  <c r="T184" i="48"/>
  <c r="S184" i="48"/>
  <c r="R184" i="48"/>
  <c r="Q184" i="48"/>
  <c r="P184" i="48"/>
  <c r="O184" i="48"/>
  <c r="N184" i="48"/>
  <c r="B184" i="48"/>
  <c r="A184" i="48"/>
  <c r="AC183" i="48"/>
  <c r="AB183" i="48"/>
  <c r="Z183" i="48"/>
  <c r="Y183" i="48"/>
  <c r="Y182" i="48" s="1"/>
  <c r="W183" i="48"/>
  <c r="T183" i="48"/>
  <c r="V183" i="48" s="1"/>
  <c r="B183" i="48"/>
  <c r="A183" i="48"/>
  <c r="AB182" i="48"/>
  <c r="AA182" i="48"/>
  <c r="Z182" i="48"/>
  <c r="X182" i="48"/>
  <c r="W182" i="48"/>
  <c r="V182" i="48"/>
  <c r="U182" i="48"/>
  <c r="AC182" i="48" s="1"/>
  <c r="T182" i="48"/>
  <c r="S182" i="48"/>
  <c r="R182" i="48"/>
  <c r="R179" i="48" s="1"/>
  <c r="Q182" i="48"/>
  <c r="P182" i="48"/>
  <c r="O182" i="48"/>
  <c r="N182" i="48"/>
  <c r="N179" i="48" s="1"/>
  <c r="B182" i="48"/>
  <c r="A182" i="48"/>
  <c r="AC181" i="48"/>
  <c r="AB181" i="48"/>
  <c r="AB180" i="48" s="1"/>
  <c r="AB179" i="48" s="1"/>
  <c r="Z181" i="48"/>
  <c r="Y181" i="48"/>
  <c r="W181" i="48"/>
  <c r="V181" i="48"/>
  <c r="V180" i="48" s="1"/>
  <c r="T181" i="48"/>
  <c r="B181" i="48"/>
  <c r="A181" i="48"/>
  <c r="AC180" i="48"/>
  <c r="AA180" i="48"/>
  <c r="Z180" i="48"/>
  <c r="Y180" i="48"/>
  <c r="X180" i="48"/>
  <c r="W180" i="48"/>
  <c r="U180" i="48"/>
  <c r="T180" i="48"/>
  <c r="S180" i="48"/>
  <c r="R180" i="48"/>
  <c r="Q180" i="48"/>
  <c r="P180" i="48"/>
  <c r="O180" i="48"/>
  <c r="N180" i="48"/>
  <c r="B180" i="48"/>
  <c r="A180" i="48" s="1"/>
  <c r="T179" i="48"/>
  <c r="W179" i="48" s="1"/>
  <c r="S179" i="48"/>
  <c r="P179" i="48"/>
  <c r="O179" i="48"/>
  <c r="B179" i="48"/>
  <c r="A179" i="48"/>
  <c r="AC178" i="48"/>
  <c r="AB178" i="48"/>
  <c r="Z178" i="48"/>
  <c r="Y178" i="48"/>
  <c r="Y177" i="48" s="1"/>
  <c r="W178" i="48"/>
  <c r="T178" i="48"/>
  <c r="V178" i="48" s="1"/>
  <c r="B178" i="48"/>
  <c r="A178" i="48" s="1"/>
  <c r="AB177" i="48"/>
  <c r="AA177" i="48"/>
  <c r="Z177" i="48"/>
  <c r="X177" i="48"/>
  <c r="W177" i="48"/>
  <c r="V177" i="48"/>
  <c r="U177" i="48"/>
  <c r="AC177" i="48" s="1"/>
  <c r="T177" i="48"/>
  <c r="S177" i="48"/>
  <c r="S174" i="48" s="1"/>
  <c r="R177" i="48"/>
  <c r="Q177" i="48"/>
  <c r="P177" i="48"/>
  <c r="O177" i="48"/>
  <c r="O174" i="48" s="1"/>
  <c r="N177" i="48"/>
  <c r="B177" i="48"/>
  <c r="A177" i="48"/>
  <c r="AC176" i="48"/>
  <c r="AB176" i="48"/>
  <c r="AB175" i="48" s="1"/>
  <c r="Z176" i="48"/>
  <c r="Y176" i="48"/>
  <c r="W176" i="48"/>
  <c r="V176" i="48"/>
  <c r="T176" i="48"/>
  <c r="B176" i="48"/>
  <c r="A176" i="48"/>
  <c r="AA175" i="48"/>
  <c r="Y175" i="48"/>
  <c r="Y174" i="48" s="1"/>
  <c r="X175" i="48"/>
  <c r="V175" i="48"/>
  <c r="V174" i="48" s="1"/>
  <c r="U175" i="48"/>
  <c r="AC175" i="48" s="1"/>
  <c r="T175" i="48"/>
  <c r="S175" i="48"/>
  <c r="R175" i="48"/>
  <c r="R174" i="48" s="1"/>
  <c r="Q175" i="48"/>
  <c r="Q174" i="48" s="1"/>
  <c r="P175" i="48"/>
  <c r="O175" i="48"/>
  <c r="N175" i="48"/>
  <c r="N174" i="48" s="1"/>
  <c r="B175" i="48"/>
  <c r="A175" i="48" s="1"/>
  <c r="AB174" i="48"/>
  <c r="AA174" i="48"/>
  <c r="X174" i="48"/>
  <c r="T174" i="48"/>
  <c r="P174" i="48"/>
  <c r="B174" i="48"/>
  <c r="A174" i="48"/>
  <c r="AC173" i="48"/>
  <c r="AB173" i="48"/>
  <c r="Y173" i="48"/>
  <c r="W173" i="48"/>
  <c r="T173" i="48"/>
  <c r="V173" i="48" s="1"/>
  <c r="V172" i="48" s="1"/>
  <c r="B173" i="48"/>
  <c r="A173" i="48"/>
  <c r="AB172" i="48"/>
  <c r="AA172" i="48"/>
  <c r="X172" i="48"/>
  <c r="W172" i="48"/>
  <c r="U172" i="48"/>
  <c r="T172" i="48"/>
  <c r="S172" i="48"/>
  <c r="R172" i="48"/>
  <c r="Q172" i="48"/>
  <c r="P172" i="48"/>
  <c r="O172" i="48"/>
  <c r="N172" i="48"/>
  <c r="B172" i="48"/>
  <c r="A172" i="48"/>
  <c r="AC171" i="48"/>
  <c r="AB171" i="48"/>
  <c r="Y171" i="48"/>
  <c r="Z171" i="48" s="1"/>
  <c r="R171" i="48"/>
  <c r="T171" i="48" s="1"/>
  <c r="V171" i="48" s="1"/>
  <c r="B171" i="48"/>
  <c r="A171" i="48"/>
  <c r="AC170" i="48"/>
  <c r="AB170" i="48"/>
  <c r="Z170" i="48"/>
  <c r="Y170" i="48"/>
  <c r="Y168" i="48" s="1"/>
  <c r="T170" i="48"/>
  <c r="B170" i="48"/>
  <c r="A170" i="48" s="1"/>
  <c r="AC169" i="48"/>
  <c r="AB169" i="48"/>
  <c r="AB168" i="48" s="1"/>
  <c r="Z169" i="48"/>
  <c r="Y169" i="48"/>
  <c r="T169" i="48"/>
  <c r="Q169" i="48"/>
  <c r="B169" i="48"/>
  <c r="A169" i="48"/>
  <c r="AA168" i="48"/>
  <c r="X168" i="48"/>
  <c r="U168" i="48"/>
  <c r="U166" i="48" s="1"/>
  <c r="S168" i="48"/>
  <c r="S166" i="48" s="1"/>
  <c r="R168" i="48"/>
  <c r="Q168" i="48"/>
  <c r="P168" i="48"/>
  <c r="O168" i="48"/>
  <c r="O166" i="48" s="1"/>
  <c r="N168" i="48"/>
  <c r="B168" i="48"/>
  <c r="A168" i="48" s="1"/>
  <c r="S167" i="48"/>
  <c r="AB166" i="48"/>
  <c r="X166" i="48"/>
  <c r="Q166" i="48"/>
  <c r="P166" i="48"/>
  <c r="B166" i="48"/>
  <c r="A166" i="48"/>
  <c r="AC165" i="48"/>
  <c r="AB165" i="48"/>
  <c r="AB164" i="48" s="1"/>
  <c r="Z165" i="48"/>
  <c r="Y165" i="48"/>
  <c r="Y164" i="48" s="1"/>
  <c r="T165" i="48"/>
  <c r="B165" i="48"/>
  <c r="A165" i="48" s="1"/>
  <c r="AA164" i="48"/>
  <c r="X164" i="48"/>
  <c r="U164" i="48"/>
  <c r="S164" i="48"/>
  <c r="R164" i="48"/>
  <c r="Q164" i="48"/>
  <c r="P164" i="48"/>
  <c r="O164" i="48"/>
  <c r="N164" i="48"/>
  <c r="B164" i="48"/>
  <c r="A164" i="48" s="1"/>
  <c r="AC163" i="48"/>
  <c r="AB163" i="48"/>
  <c r="Z163" i="48"/>
  <c r="Y163" i="48"/>
  <c r="Y162" i="48" s="1"/>
  <c r="W163" i="48"/>
  <c r="T163" i="48"/>
  <c r="V163" i="48" s="1"/>
  <c r="B163" i="48"/>
  <c r="A163" i="48" s="1"/>
  <c r="AB162" i="48"/>
  <c r="AA162" i="48"/>
  <c r="Z162" i="48"/>
  <c r="X162" i="48"/>
  <c r="W162" i="48"/>
  <c r="V162" i="48"/>
  <c r="U162" i="48"/>
  <c r="AC162" i="48" s="1"/>
  <c r="T162" i="48"/>
  <c r="S162" i="48"/>
  <c r="R162" i="48"/>
  <c r="Q162" i="48"/>
  <c r="P162" i="48"/>
  <c r="O162" i="48"/>
  <c r="N162" i="48"/>
  <c r="B162" i="48"/>
  <c r="A162" i="48" s="1"/>
  <c r="AC161" i="48"/>
  <c r="AB161" i="48"/>
  <c r="Z161" i="48"/>
  <c r="Y161" i="48"/>
  <c r="Y160" i="48" s="1"/>
  <c r="W161" i="48"/>
  <c r="T161" i="48"/>
  <c r="V161" i="48" s="1"/>
  <c r="B161" i="48"/>
  <c r="A161" i="48"/>
  <c r="AB160" i="48"/>
  <c r="AA160" i="48"/>
  <c r="Z160" i="48"/>
  <c r="X160" i="48"/>
  <c r="V160" i="48"/>
  <c r="U160" i="48"/>
  <c r="AC160" i="48" s="1"/>
  <c r="T160" i="48"/>
  <c r="S160" i="48"/>
  <c r="R160" i="48"/>
  <c r="Q160" i="48"/>
  <c r="P160" i="48"/>
  <c r="P157" i="48" s="1"/>
  <c r="O160" i="48"/>
  <c r="N160" i="48"/>
  <c r="B160" i="48"/>
  <c r="A160" i="48"/>
  <c r="AC159" i="48"/>
  <c r="AB159" i="48"/>
  <c r="AB158" i="48" s="1"/>
  <c r="AB157" i="48" s="1"/>
  <c r="Z159" i="48"/>
  <c r="Y159" i="48"/>
  <c r="Y158" i="48" s="1"/>
  <c r="Y157" i="48" s="1"/>
  <c r="W159" i="48"/>
  <c r="V159" i="48"/>
  <c r="T159" i="48"/>
  <c r="B159" i="48"/>
  <c r="A159" i="48" s="1"/>
  <c r="AC158" i="48"/>
  <c r="AA158" i="48"/>
  <c r="Z158" i="48"/>
  <c r="X158" i="48"/>
  <c r="W158" i="48"/>
  <c r="V158" i="48"/>
  <c r="U158" i="48"/>
  <c r="T158" i="48"/>
  <c r="S158" i="48"/>
  <c r="R158" i="48"/>
  <c r="R157" i="48" s="1"/>
  <c r="Q158" i="48"/>
  <c r="P158" i="48"/>
  <c r="O158" i="48"/>
  <c r="O157" i="48" s="1"/>
  <c r="N158" i="48"/>
  <c r="N157" i="48" s="1"/>
  <c r="B158" i="48"/>
  <c r="A158" i="48" s="1"/>
  <c r="AA157" i="48"/>
  <c r="X157" i="48"/>
  <c r="U157" i="48"/>
  <c r="S157" i="48"/>
  <c r="Q157" i="48"/>
  <c r="B157" i="48"/>
  <c r="A157" i="48" s="1"/>
  <c r="AC156" i="48"/>
  <c r="AB156" i="48"/>
  <c r="Z156" i="48"/>
  <c r="Y156" i="48"/>
  <c r="Y154" i="48" s="1"/>
  <c r="R156" i="48"/>
  <c r="T156" i="48" s="1"/>
  <c r="B156" i="48"/>
  <c r="A156" i="48" s="1"/>
  <c r="AC155" i="48"/>
  <c r="AB155" i="48"/>
  <c r="Z155" i="48"/>
  <c r="Y155" i="48"/>
  <c r="W155" i="48"/>
  <c r="T155" i="48"/>
  <c r="V155" i="48" s="1"/>
  <c r="B155" i="48"/>
  <c r="A155" i="48"/>
  <c r="AB154" i="48"/>
  <c r="AA154" i="48"/>
  <c r="X154" i="48"/>
  <c r="U154" i="48"/>
  <c r="AC154" i="48" s="1"/>
  <c r="S154" i="48"/>
  <c r="Q154" i="48"/>
  <c r="Q148" i="48" s="1"/>
  <c r="P154" i="48"/>
  <c r="O154" i="48"/>
  <c r="N154" i="48"/>
  <c r="B154" i="48"/>
  <c r="A154" i="48" s="1"/>
  <c r="AC153" i="48"/>
  <c r="AB153" i="48"/>
  <c r="Z153" i="48"/>
  <c r="Y153" i="48"/>
  <c r="R153" i="48"/>
  <c r="T153" i="48" s="1"/>
  <c r="Q153" i="48"/>
  <c r="B153" i="48"/>
  <c r="A153" i="48" s="1"/>
  <c r="AC152" i="48"/>
  <c r="AB152" i="48"/>
  <c r="Z152" i="48"/>
  <c r="Y152" i="48"/>
  <c r="W152" i="48"/>
  <c r="T152" i="48"/>
  <c r="V152" i="48" s="1"/>
  <c r="B152" i="48"/>
  <c r="A152" i="48" s="1"/>
  <c r="AC151" i="48"/>
  <c r="AB151" i="48"/>
  <c r="Z151" i="48"/>
  <c r="Y151" i="48"/>
  <c r="R151" i="48"/>
  <c r="T151" i="48" s="1"/>
  <c r="W151" i="48" s="1"/>
  <c r="Q151" i="48"/>
  <c r="B151" i="48"/>
  <c r="A151" i="48" s="1"/>
  <c r="AC150" i="48"/>
  <c r="AB150" i="48"/>
  <c r="Z150" i="48"/>
  <c r="Y150" i="48"/>
  <c r="W150" i="48"/>
  <c r="T150" i="48"/>
  <c r="V150" i="48" s="1"/>
  <c r="B150" i="48"/>
  <c r="A150" i="48" s="1"/>
  <c r="AB149" i="48"/>
  <c r="AB148" i="48" s="1"/>
  <c r="AA149" i="48"/>
  <c r="AA148" i="48" s="1"/>
  <c r="X149" i="48"/>
  <c r="U149" i="48"/>
  <c r="AC149" i="48" s="1"/>
  <c r="S149" i="48"/>
  <c r="S148" i="48" s="1"/>
  <c r="Q149" i="48"/>
  <c r="P149" i="48"/>
  <c r="O149" i="48"/>
  <c r="O148" i="48" s="1"/>
  <c r="N149" i="48"/>
  <c r="N148" i="48" s="1"/>
  <c r="B149" i="48"/>
  <c r="A149" i="48"/>
  <c r="X148" i="48"/>
  <c r="P148" i="48"/>
  <c r="B148" i="48"/>
  <c r="A148" i="48" s="1"/>
  <c r="B147" i="48"/>
  <c r="A147" i="48"/>
  <c r="B146" i="48"/>
  <c r="A146" i="48" s="1"/>
  <c r="AC145" i="48"/>
  <c r="AB145" i="48"/>
  <c r="Z145" i="48"/>
  <c r="Y145" i="48"/>
  <c r="V145" i="48"/>
  <c r="T145" i="48"/>
  <c r="W145" i="48" s="1"/>
  <c r="B145" i="48"/>
  <c r="A145" i="48" s="1"/>
  <c r="AC144" i="48"/>
  <c r="AB144" i="48"/>
  <c r="AB143" i="48" s="1"/>
  <c r="Z144" i="48"/>
  <c r="Y144" i="48"/>
  <c r="W144" i="48"/>
  <c r="V144" i="48"/>
  <c r="V143" i="48" s="1"/>
  <c r="T144" i="48"/>
  <c r="B144" i="48"/>
  <c r="A144" i="48"/>
  <c r="AC143" i="48"/>
  <c r="AA143" i="48"/>
  <c r="Y143" i="48"/>
  <c r="X143" i="48"/>
  <c r="U143" i="48"/>
  <c r="Z143" i="48" s="1"/>
  <c r="T143" i="48"/>
  <c r="W143" i="48" s="1"/>
  <c r="S143" i="48"/>
  <c r="R143" i="48"/>
  <c r="Q143" i="48"/>
  <c r="P143" i="48"/>
  <c r="O143" i="48"/>
  <c r="N143" i="48"/>
  <c r="B143" i="48"/>
  <c r="A143" i="48"/>
  <c r="AC142" i="48"/>
  <c r="AB142" i="48"/>
  <c r="AB141" i="48" s="1"/>
  <c r="Y142" i="48"/>
  <c r="T142" i="48"/>
  <c r="W142" i="48" s="1"/>
  <c r="B142" i="48"/>
  <c r="A142" i="48" s="1"/>
  <c r="AC141" i="48"/>
  <c r="AA141" i="48"/>
  <c r="X141" i="48"/>
  <c r="U141" i="48"/>
  <c r="S141" i="48"/>
  <c r="R141" i="48"/>
  <c r="Q141" i="48"/>
  <c r="P141" i="48"/>
  <c r="O141" i="48"/>
  <c r="N141" i="48"/>
  <c r="B141" i="48"/>
  <c r="A141" i="48" s="1"/>
  <c r="AC140" i="48"/>
  <c r="AB140" i="48"/>
  <c r="Z140" i="48"/>
  <c r="Y140" i="48"/>
  <c r="Y139" i="48" s="1"/>
  <c r="W140" i="48"/>
  <c r="T140" i="48"/>
  <c r="V140" i="48" s="1"/>
  <c r="B140" i="48"/>
  <c r="A140" i="48" s="1"/>
  <c r="AB139" i="48"/>
  <c r="AA139" i="48"/>
  <c r="Z139" i="48"/>
  <c r="X139" i="48"/>
  <c r="W139" i="48"/>
  <c r="V139" i="48"/>
  <c r="U139" i="48"/>
  <c r="AC139" i="48" s="1"/>
  <c r="T139" i="48"/>
  <c r="S139" i="48"/>
  <c r="R139" i="48"/>
  <c r="Q139" i="48"/>
  <c r="P139" i="48"/>
  <c r="O139" i="48"/>
  <c r="N139" i="48"/>
  <c r="B139" i="48"/>
  <c r="A139" i="48"/>
  <c r="AC138" i="48"/>
  <c r="AB138" i="48"/>
  <c r="AB137" i="48" s="1"/>
  <c r="Z138" i="48"/>
  <c r="Y138" i="48"/>
  <c r="W138" i="48"/>
  <c r="V138" i="48"/>
  <c r="T138" i="48"/>
  <c r="B138" i="48"/>
  <c r="A138" i="48"/>
  <c r="AA137" i="48"/>
  <c r="AA132" i="48" s="1"/>
  <c r="Y137" i="48"/>
  <c r="X137" i="48"/>
  <c r="W137" i="48"/>
  <c r="V137" i="48"/>
  <c r="U137" i="48"/>
  <c r="T137" i="48"/>
  <c r="S137" i="48"/>
  <c r="S132" i="48" s="1"/>
  <c r="R137" i="48"/>
  <c r="Q137" i="48"/>
  <c r="P137" i="48"/>
  <c r="O137" i="48"/>
  <c r="N137" i="48"/>
  <c r="N132" i="48" s="1"/>
  <c r="B137" i="48"/>
  <c r="A137" i="48" s="1"/>
  <c r="AC136" i="48"/>
  <c r="AB136" i="48"/>
  <c r="AB135" i="48" s="1"/>
  <c r="Z136" i="48"/>
  <c r="Y136" i="48"/>
  <c r="V136" i="48"/>
  <c r="T136" i="48"/>
  <c r="W136" i="48" s="1"/>
  <c r="B136" i="48"/>
  <c r="A136" i="48"/>
  <c r="AC135" i="48"/>
  <c r="AA135" i="48"/>
  <c r="Y135" i="48"/>
  <c r="X135" i="48"/>
  <c r="V135" i="48"/>
  <c r="U135" i="48"/>
  <c r="Z135" i="48" s="1"/>
  <c r="T135" i="48"/>
  <c r="W135" i="48" s="1"/>
  <c r="S135" i="48"/>
  <c r="R135" i="48"/>
  <c r="R132" i="48" s="1"/>
  <c r="Q135" i="48"/>
  <c r="P135" i="48"/>
  <c r="O135" i="48"/>
  <c r="N135" i="48"/>
  <c r="B135" i="48"/>
  <c r="A135" i="48"/>
  <c r="AC134" i="48"/>
  <c r="AB134" i="48"/>
  <c r="AB133" i="48" s="1"/>
  <c r="Y134" i="48"/>
  <c r="Z134" i="48" s="1"/>
  <c r="T134" i="48"/>
  <c r="B134" i="48"/>
  <c r="A134" i="48" s="1"/>
  <c r="AA133" i="48"/>
  <c r="X133" i="48"/>
  <c r="U133" i="48"/>
  <c r="S133" i="48"/>
  <c r="R133" i="48"/>
  <c r="Q133" i="48"/>
  <c r="P133" i="48"/>
  <c r="O133" i="48"/>
  <c r="N133" i="48"/>
  <c r="B133" i="48"/>
  <c r="A133" i="48" s="1"/>
  <c r="O132" i="48"/>
  <c r="B132" i="48"/>
  <c r="A132" i="48" s="1"/>
  <c r="AC131" i="48"/>
  <c r="AB131" i="48"/>
  <c r="AB130" i="48" s="1"/>
  <c r="Z131" i="48"/>
  <c r="Y131" i="48"/>
  <c r="W131" i="48"/>
  <c r="V131" i="48"/>
  <c r="V130" i="48" s="1"/>
  <c r="T131" i="48"/>
  <c r="B131" i="48"/>
  <c r="A131" i="48"/>
  <c r="AC130" i="48"/>
  <c r="AA130" i="48"/>
  <c r="Y130" i="48"/>
  <c r="X130" i="48"/>
  <c r="U130" i="48"/>
  <c r="Z130" i="48" s="1"/>
  <c r="T130" i="48"/>
  <c r="W130" i="48" s="1"/>
  <c r="S130" i="48"/>
  <c r="R130" i="48"/>
  <c r="Q130" i="48"/>
  <c r="P130" i="48"/>
  <c r="O130" i="48"/>
  <c r="N130" i="48"/>
  <c r="B130" i="48"/>
  <c r="A130" i="48"/>
  <c r="AC129" i="48"/>
  <c r="AB129" i="48"/>
  <c r="AB128" i="48" s="1"/>
  <c r="Z129" i="48"/>
  <c r="Y129" i="48"/>
  <c r="Y128" i="48" s="1"/>
  <c r="T129" i="48"/>
  <c r="W129" i="48" s="1"/>
  <c r="B129" i="48"/>
  <c r="A129" i="48" s="1"/>
  <c r="AC128" i="48"/>
  <c r="AA128" i="48"/>
  <c r="X128" i="48"/>
  <c r="U128" i="48"/>
  <c r="Z128" i="48" s="1"/>
  <c r="S128" i="48"/>
  <c r="R128" i="48"/>
  <c r="Q128" i="48"/>
  <c r="P128" i="48"/>
  <c r="O128" i="48"/>
  <c r="N128" i="48"/>
  <c r="B128" i="48"/>
  <c r="A128" i="48" s="1"/>
  <c r="AC127" i="48"/>
  <c r="AB127" i="48"/>
  <c r="Z127" i="48"/>
  <c r="Y127" i="48"/>
  <c r="Y126" i="48" s="1"/>
  <c r="W127" i="48"/>
  <c r="T127" i="48"/>
  <c r="V127" i="48" s="1"/>
  <c r="B127" i="48"/>
  <c r="A127" i="48"/>
  <c r="AB126" i="48"/>
  <c r="AA126" i="48"/>
  <c r="Z126" i="48"/>
  <c r="X126" i="48"/>
  <c r="V126" i="48"/>
  <c r="U126" i="48"/>
  <c r="AC126" i="48" s="1"/>
  <c r="T126" i="48"/>
  <c r="W126" i="48" s="1"/>
  <c r="S126" i="48"/>
  <c r="R126" i="48"/>
  <c r="Q126" i="48"/>
  <c r="P126" i="48"/>
  <c r="O126" i="48"/>
  <c r="N126" i="48"/>
  <c r="B126" i="48"/>
  <c r="A126" i="48"/>
  <c r="AC125" i="48"/>
  <c r="AB125" i="48"/>
  <c r="AB124" i="48" s="1"/>
  <c r="Z125" i="48"/>
  <c r="Y125" i="48"/>
  <c r="W125" i="48"/>
  <c r="V125" i="48"/>
  <c r="V124" i="48" s="1"/>
  <c r="T125" i="48"/>
  <c r="B125" i="48"/>
  <c r="A125" i="48" s="1"/>
  <c r="AA124" i="48"/>
  <c r="Y124" i="48"/>
  <c r="X124" i="48"/>
  <c r="W124" i="48"/>
  <c r="U124" i="48"/>
  <c r="Z124" i="48" s="1"/>
  <c r="T124" i="48"/>
  <c r="S124" i="48"/>
  <c r="R124" i="48"/>
  <c r="Q124" i="48"/>
  <c r="Q119" i="48" s="1"/>
  <c r="P124" i="48"/>
  <c r="O124" i="48"/>
  <c r="N124" i="48"/>
  <c r="B124" i="48"/>
  <c r="A124" i="48" s="1"/>
  <c r="AC123" i="48"/>
  <c r="AB123" i="48"/>
  <c r="Z123" i="48"/>
  <c r="Y123" i="48"/>
  <c r="T123" i="48"/>
  <c r="B123" i="48"/>
  <c r="A123" i="48"/>
  <c r="AB122" i="48"/>
  <c r="AA122" i="48"/>
  <c r="Z122" i="48"/>
  <c r="Y122" i="48"/>
  <c r="X122" i="48"/>
  <c r="U122" i="48"/>
  <c r="AC122" i="48" s="1"/>
  <c r="T122" i="48"/>
  <c r="W122" i="48" s="1"/>
  <c r="S122" i="48"/>
  <c r="R122" i="48"/>
  <c r="R119" i="48" s="1"/>
  <c r="R118" i="48" s="1"/>
  <c r="R117" i="48" s="1"/>
  <c r="Q122" i="48"/>
  <c r="P122" i="48"/>
  <c r="O122" i="48"/>
  <c r="N122" i="48"/>
  <c r="N119" i="48" s="1"/>
  <c r="N118" i="48" s="1"/>
  <c r="N117" i="48" s="1"/>
  <c r="B122" i="48"/>
  <c r="A122" i="48"/>
  <c r="AC121" i="48"/>
  <c r="AB121" i="48"/>
  <c r="AB120" i="48" s="1"/>
  <c r="AB119" i="48" s="1"/>
  <c r="Z121" i="48"/>
  <c r="Y121" i="48"/>
  <c r="Y120" i="48" s="1"/>
  <c r="Y119" i="48" s="1"/>
  <c r="V121" i="48"/>
  <c r="V120" i="48" s="1"/>
  <c r="T121" i="48"/>
  <c r="W121" i="48" s="1"/>
  <c r="B121" i="48"/>
  <c r="A121" i="48" s="1"/>
  <c r="AA120" i="48"/>
  <c r="AA119" i="48" s="1"/>
  <c r="AA118" i="48" s="1"/>
  <c r="AA117" i="48" s="1"/>
  <c r="X120" i="48"/>
  <c r="W120" i="48"/>
  <c r="U120" i="48"/>
  <c r="Z120" i="48" s="1"/>
  <c r="T120" i="48"/>
  <c r="S120" i="48"/>
  <c r="S119" i="48" s="1"/>
  <c r="S118" i="48" s="1"/>
  <c r="S117" i="48" s="1"/>
  <c r="R120" i="48"/>
  <c r="Q120" i="48"/>
  <c r="P120" i="48"/>
  <c r="P119" i="48" s="1"/>
  <c r="O120" i="48"/>
  <c r="O119" i="48" s="1"/>
  <c r="N120" i="48"/>
  <c r="B120" i="48"/>
  <c r="A120" i="48" s="1"/>
  <c r="U119" i="48"/>
  <c r="B119" i="48"/>
  <c r="A119" i="48" s="1"/>
  <c r="O118" i="48"/>
  <c r="O117" i="48" s="1"/>
  <c r="B118" i="48"/>
  <c r="A118" i="48" s="1"/>
  <c r="B117" i="48"/>
  <c r="A117" i="48" s="1"/>
  <c r="A116" i="48"/>
  <c r="AC115" i="48"/>
  <c r="AB115" i="48"/>
  <c r="AB113" i="48" s="1"/>
  <c r="Z115" i="48"/>
  <c r="Y115" i="48"/>
  <c r="W115" i="48"/>
  <c r="V115" i="48"/>
  <c r="T115" i="48"/>
  <c r="B115" i="48"/>
  <c r="A115" i="48" s="1"/>
  <c r="AC114" i="48"/>
  <c r="AB114" i="48"/>
  <c r="Z114" i="48"/>
  <c r="Y114" i="48"/>
  <c r="W114" i="48"/>
  <c r="T114" i="48"/>
  <c r="B114" i="48"/>
  <c r="AA113" i="48"/>
  <c r="Y113" i="48"/>
  <c r="X113" i="48"/>
  <c r="U113" i="48"/>
  <c r="Z113" i="48" s="1"/>
  <c r="S113" i="48"/>
  <c r="R113" i="48"/>
  <c r="Q113" i="48"/>
  <c r="P113" i="48"/>
  <c r="O113" i="48"/>
  <c r="N113" i="48"/>
  <c r="B113" i="48"/>
  <c r="A113" i="48" s="1"/>
  <c r="AC112" i="48"/>
  <c r="AB112" i="48"/>
  <c r="Z112" i="48"/>
  <c r="Y112" i="48"/>
  <c r="W112" i="48"/>
  <c r="T112" i="48"/>
  <c r="V112" i="48" s="1"/>
  <c r="B112" i="48"/>
  <c r="A112" i="48"/>
  <c r="AC111" i="48"/>
  <c r="AB111" i="48"/>
  <c r="AB109" i="48" s="1"/>
  <c r="AB108" i="48" s="1"/>
  <c r="AB107" i="48" s="1"/>
  <c r="Y111" i="48"/>
  <c r="Z111" i="48" s="1"/>
  <c r="W111" i="48"/>
  <c r="V111" i="48"/>
  <c r="T111" i="48"/>
  <c r="B111" i="48"/>
  <c r="A111" i="48" s="1"/>
  <c r="AC110" i="48"/>
  <c r="AB110" i="48"/>
  <c r="Z110" i="48"/>
  <c r="Y110" i="48"/>
  <c r="Y109" i="48" s="1"/>
  <c r="Y108" i="48" s="1"/>
  <c r="Y107" i="48" s="1"/>
  <c r="T110" i="48"/>
  <c r="V110" i="48" s="1"/>
  <c r="V109" i="48" s="1"/>
  <c r="V108" i="48" s="1"/>
  <c r="B110" i="48"/>
  <c r="A110" i="48"/>
  <c r="AA109" i="48"/>
  <c r="AA108" i="48" s="1"/>
  <c r="AA107" i="48" s="1"/>
  <c r="X109" i="48"/>
  <c r="X108" i="48" s="1"/>
  <c r="X107" i="48" s="1"/>
  <c r="U109" i="48"/>
  <c r="AC109" i="48" s="1"/>
  <c r="S109" i="48"/>
  <c r="S108" i="48" s="1"/>
  <c r="S107" i="48" s="1"/>
  <c r="R109" i="48"/>
  <c r="Q109" i="48"/>
  <c r="P109" i="48"/>
  <c r="O109" i="48"/>
  <c r="O108" i="48" s="1"/>
  <c r="O107" i="48" s="1"/>
  <c r="N109" i="48"/>
  <c r="B109" i="48"/>
  <c r="A109" i="48"/>
  <c r="U108" i="48"/>
  <c r="U107" i="48" s="1"/>
  <c r="AC107" i="48" s="1"/>
  <c r="R108" i="48"/>
  <c r="R107" i="48" s="1"/>
  <c r="Q108" i="48"/>
  <c r="Q107" i="48" s="1"/>
  <c r="P108" i="48"/>
  <c r="P107" i="48" s="1"/>
  <c r="N108" i="48"/>
  <c r="B108" i="48"/>
  <c r="A108" i="48"/>
  <c r="N107" i="48"/>
  <c r="B107" i="48"/>
  <c r="A107" i="48"/>
  <c r="AC106" i="48"/>
  <c r="AB106" i="48"/>
  <c r="AB105" i="48" s="1"/>
  <c r="AB104" i="48" s="1"/>
  <c r="Y106" i="48"/>
  <c r="Z106" i="48" s="1"/>
  <c r="W106" i="48"/>
  <c r="V106" i="48"/>
  <c r="V105" i="48" s="1"/>
  <c r="V104" i="48" s="1"/>
  <c r="T106" i="48"/>
  <c r="B106" i="48"/>
  <c r="A106" i="48" s="1"/>
  <c r="AA105" i="48"/>
  <c r="X105" i="48"/>
  <c r="U105" i="48"/>
  <c r="T105" i="48"/>
  <c r="S105" i="48"/>
  <c r="S104" i="48" s="1"/>
  <c r="R105" i="48"/>
  <c r="R104" i="48" s="1"/>
  <c r="Q105" i="48"/>
  <c r="Q104" i="48" s="1"/>
  <c r="Q90" i="48" s="1"/>
  <c r="P105" i="48"/>
  <c r="O105" i="48"/>
  <c r="O104" i="48" s="1"/>
  <c r="N105" i="48"/>
  <c r="N104" i="48" s="1"/>
  <c r="B105" i="48"/>
  <c r="A105" i="48" s="1"/>
  <c r="AA104" i="48"/>
  <c r="X104" i="48"/>
  <c r="U104" i="48"/>
  <c r="T104" i="48"/>
  <c r="P104" i="48"/>
  <c r="B104" i="48"/>
  <c r="A104" i="48" s="1"/>
  <c r="AC103" i="48"/>
  <c r="AB103" i="48"/>
  <c r="Z103" i="48"/>
  <c r="Y103" i="48"/>
  <c r="T103" i="48"/>
  <c r="V103" i="48" s="1"/>
  <c r="B103" i="48"/>
  <c r="A103" i="48"/>
  <c r="AC102" i="48"/>
  <c r="AB102" i="48"/>
  <c r="AB100" i="48" s="1"/>
  <c r="AB99" i="48" s="1"/>
  <c r="AB98" i="48" s="1"/>
  <c r="Y102" i="48"/>
  <c r="V102" i="48"/>
  <c r="T102" i="48"/>
  <c r="W102" i="48" s="1"/>
  <c r="B102" i="48"/>
  <c r="A102" i="48" s="1"/>
  <c r="AC101" i="48"/>
  <c r="AB101" i="48"/>
  <c r="Z101" i="48"/>
  <c r="Y101" i="48"/>
  <c r="T101" i="48"/>
  <c r="V101" i="48" s="1"/>
  <c r="V100" i="48" s="1"/>
  <c r="V99" i="48" s="1"/>
  <c r="V98" i="48" s="1"/>
  <c r="B101" i="48"/>
  <c r="A101" i="48"/>
  <c r="AA100" i="48"/>
  <c r="X100" i="48"/>
  <c r="X99" i="48" s="1"/>
  <c r="X98" i="48" s="1"/>
  <c r="U100" i="48"/>
  <c r="U99" i="48" s="1"/>
  <c r="S100" i="48"/>
  <c r="R100" i="48"/>
  <c r="Q100" i="48"/>
  <c r="Q99" i="48" s="1"/>
  <c r="Q98" i="48" s="1"/>
  <c r="P100" i="48"/>
  <c r="O100" i="48"/>
  <c r="N100" i="48"/>
  <c r="B100" i="48"/>
  <c r="A100" i="48"/>
  <c r="AA99" i="48"/>
  <c r="AA98" i="48" s="1"/>
  <c r="S99" i="48"/>
  <c r="S98" i="48" s="1"/>
  <c r="R99" i="48"/>
  <c r="P99" i="48"/>
  <c r="P98" i="48" s="1"/>
  <c r="O99" i="48"/>
  <c r="O98" i="48" s="1"/>
  <c r="N99" i="48"/>
  <c r="B99" i="48"/>
  <c r="A99" i="48"/>
  <c r="R98" i="48"/>
  <c r="N98" i="48"/>
  <c r="B98" i="48"/>
  <c r="A98" i="48"/>
  <c r="AC97" i="48"/>
  <c r="AB97" i="48"/>
  <c r="Z97" i="48"/>
  <c r="Y97" i="48"/>
  <c r="V97" i="48"/>
  <c r="T97" i="48"/>
  <c r="W97" i="48" s="1"/>
  <c r="B97" i="48"/>
  <c r="A97" i="48" s="1"/>
  <c r="AC96" i="48"/>
  <c r="AB96" i="48"/>
  <c r="Z96" i="48"/>
  <c r="Y96" i="48"/>
  <c r="W96" i="48"/>
  <c r="T96" i="48"/>
  <c r="V96" i="48" s="1"/>
  <c r="B96" i="48"/>
  <c r="A96" i="48"/>
  <c r="AC95" i="48"/>
  <c r="AB95" i="48"/>
  <c r="Y95" i="48"/>
  <c r="Z95" i="48" s="1"/>
  <c r="T95" i="48"/>
  <c r="W95" i="48" s="1"/>
  <c r="B95" i="48"/>
  <c r="A95" i="48"/>
  <c r="AC94" i="48"/>
  <c r="AB94" i="48"/>
  <c r="Y94" i="48"/>
  <c r="Z94" i="48" s="1"/>
  <c r="T94" i="48"/>
  <c r="B94" i="48"/>
  <c r="A94" i="48"/>
  <c r="AC93" i="48"/>
  <c r="AB93" i="48"/>
  <c r="Z93" i="48"/>
  <c r="Y93" i="48"/>
  <c r="W93" i="48"/>
  <c r="V93" i="48"/>
  <c r="V92" i="48" s="1"/>
  <c r="V91" i="48" s="1"/>
  <c r="T93" i="48"/>
  <c r="B93" i="48"/>
  <c r="A93" i="48" s="1"/>
  <c r="AC92" i="48"/>
  <c r="AA92" i="48"/>
  <c r="Y92" i="48"/>
  <c r="Y91" i="48" s="1"/>
  <c r="X92" i="48"/>
  <c r="U92" i="48"/>
  <c r="S92" i="48"/>
  <c r="S91" i="48" s="1"/>
  <c r="S90" i="48" s="1"/>
  <c r="R92" i="48"/>
  <c r="R91" i="48" s="1"/>
  <c r="Q92" i="48"/>
  <c r="P92" i="48"/>
  <c r="O92" i="48"/>
  <c r="N92" i="48"/>
  <c r="N91" i="48" s="1"/>
  <c r="B92" i="48"/>
  <c r="A92" i="48" s="1"/>
  <c r="AA91" i="48"/>
  <c r="AA90" i="48" s="1"/>
  <c r="X91" i="48"/>
  <c r="U91" i="48"/>
  <c r="Q91" i="48"/>
  <c r="P91" i="48"/>
  <c r="O91" i="48"/>
  <c r="O90" i="48" s="1"/>
  <c r="B91" i="48"/>
  <c r="A91" i="48" s="1"/>
  <c r="B90" i="48"/>
  <c r="A90" i="48" s="1"/>
  <c r="AC89" i="48"/>
  <c r="AB89" i="48"/>
  <c r="Z89" i="48"/>
  <c r="Y89" i="48"/>
  <c r="T89" i="48"/>
  <c r="V89" i="48" s="1"/>
  <c r="R89" i="48"/>
  <c r="B89" i="48"/>
  <c r="A89" i="48" s="1"/>
  <c r="AC88" i="48"/>
  <c r="AB88" i="48"/>
  <c r="Z88" i="48"/>
  <c r="Y88" i="48"/>
  <c r="T88" i="48"/>
  <c r="V88" i="48" s="1"/>
  <c r="B88" i="48"/>
  <c r="A88" i="48"/>
  <c r="AC87" i="48"/>
  <c r="AB87" i="48"/>
  <c r="Y87" i="48"/>
  <c r="Z87" i="48" s="1"/>
  <c r="T87" i="48"/>
  <c r="W87" i="48" s="1"/>
  <c r="B87" i="48"/>
  <c r="A87" i="48" s="1"/>
  <c r="AC86" i="48"/>
  <c r="AB86" i="48"/>
  <c r="Z86" i="48"/>
  <c r="Y86" i="48"/>
  <c r="T86" i="48"/>
  <c r="W86" i="48" s="1"/>
  <c r="R86" i="48"/>
  <c r="B86" i="48"/>
  <c r="A86" i="48" s="1"/>
  <c r="AC85" i="48"/>
  <c r="AB85" i="48"/>
  <c r="Z85" i="48"/>
  <c r="Y85" i="48"/>
  <c r="W85" i="48"/>
  <c r="T85" i="48"/>
  <c r="V85" i="48" s="1"/>
  <c r="B85" i="48"/>
  <c r="A85" i="48" s="1"/>
  <c r="AC84" i="48"/>
  <c r="AB84" i="48"/>
  <c r="Z84" i="48"/>
  <c r="Y84" i="48"/>
  <c r="V84" i="48"/>
  <c r="T84" i="48"/>
  <c r="W84" i="48" s="1"/>
  <c r="B84" i="48"/>
  <c r="A84" i="48" s="1"/>
  <c r="AC83" i="48"/>
  <c r="AB83" i="48"/>
  <c r="AA83" i="48"/>
  <c r="Y83" i="48"/>
  <c r="X83" i="48"/>
  <c r="U83" i="48"/>
  <c r="S83" i="48"/>
  <c r="R83" i="48"/>
  <c r="Q83" i="48"/>
  <c r="P83" i="48"/>
  <c r="O83" i="48"/>
  <c r="N83" i="48"/>
  <c r="B83" i="48"/>
  <c r="A83" i="48"/>
  <c r="AC82" i="48"/>
  <c r="AB82" i="48"/>
  <c r="Y82" i="48"/>
  <c r="Z82" i="48" s="1"/>
  <c r="T82" i="48"/>
  <c r="V82" i="48" s="1"/>
  <c r="B82" i="48"/>
  <c r="A82" i="48"/>
  <c r="AC81" i="48"/>
  <c r="AB81" i="48"/>
  <c r="Y81" i="48"/>
  <c r="Z81" i="48" s="1"/>
  <c r="T81" i="48"/>
  <c r="W81" i="48" s="1"/>
  <c r="Q81" i="48"/>
  <c r="B81" i="48"/>
  <c r="A81" i="48"/>
  <c r="AC80" i="48"/>
  <c r="AB80" i="48"/>
  <c r="Y80" i="48"/>
  <c r="Z80" i="48" s="1"/>
  <c r="V80" i="48"/>
  <c r="R80" i="48"/>
  <c r="Q80" i="48"/>
  <c r="T80" i="48" s="1"/>
  <c r="W80" i="48" s="1"/>
  <c r="B80" i="48"/>
  <c r="A80" i="48" s="1"/>
  <c r="AC79" i="48"/>
  <c r="AB79" i="48"/>
  <c r="Z79" i="48"/>
  <c r="Y79" i="48"/>
  <c r="W79" i="48"/>
  <c r="T79" i="48"/>
  <c r="V79" i="48" s="1"/>
  <c r="R79" i="48"/>
  <c r="B79" i="48"/>
  <c r="A79" i="48" s="1"/>
  <c r="AC78" i="48"/>
  <c r="AB78" i="48"/>
  <c r="Z78" i="48"/>
  <c r="Y78" i="48"/>
  <c r="R78" i="48"/>
  <c r="R76" i="48" s="1"/>
  <c r="Q78" i="48"/>
  <c r="B78" i="48"/>
  <c r="A78" i="48"/>
  <c r="AC77" i="48"/>
  <c r="AB77" i="48"/>
  <c r="Y77" i="48"/>
  <c r="Z77" i="48" s="1"/>
  <c r="W77" i="48"/>
  <c r="V77" i="48"/>
  <c r="T77" i="48"/>
  <c r="B77" i="48"/>
  <c r="A77" i="48" s="1"/>
  <c r="AC76" i="48"/>
  <c r="AA76" i="48"/>
  <c r="X76" i="48"/>
  <c r="U76" i="48"/>
  <c r="S76" i="48"/>
  <c r="Q76" i="48"/>
  <c r="P76" i="48"/>
  <c r="O76" i="48"/>
  <c r="O65" i="48" s="1"/>
  <c r="N76" i="48"/>
  <c r="B76" i="48"/>
  <c r="A76" i="48" s="1"/>
  <c r="AC75" i="48"/>
  <c r="AB75" i="48"/>
  <c r="AB73" i="48" s="1"/>
  <c r="Z75" i="48"/>
  <c r="Y75" i="48"/>
  <c r="W75" i="48"/>
  <c r="V75" i="48"/>
  <c r="T75" i="48"/>
  <c r="B75" i="48"/>
  <c r="A75" i="48"/>
  <c r="AC74" i="48"/>
  <c r="AB74" i="48"/>
  <c r="Y74" i="48"/>
  <c r="Z74" i="48" s="1"/>
  <c r="V74" i="48"/>
  <c r="V73" i="48" s="1"/>
  <c r="R74" i="48"/>
  <c r="R73" i="48" s="1"/>
  <c r="Q74" i="48"/>
  <c r="T74" i="48" s="1"/>
  <c r="W74" i="48" s="1"/>
  <c r="B74" i="48"/>
  <c r="A74" i="48" s="1"/>
  <c r="AC73" i="48"/>
  <c r="AA73" i="48"/>
  <c r="X73" i="48"/>
  <c r="U73" i="48"/>
  <c r="S73" i="48"/>
  <c r="P73" i="48"/>
  <c r="O73" i="48"/>
  <c r="N73" i="48"/>
  <c r="B73" i="48"/>
  <c r="A73" i="48"/>
  <c r="AC72" i="48"/>
  <c r="AB72" i="48"/>
  <c r="Y72" i="48"/>
  <c r="Z72" i="48" s="1"/>
  <c r="T72" i="48"/>
  <c r="V72" i="48" s="1"/>
  <c r="B72" i="48"/>
  <c r="A72" i="48"/>
  <c r="AC71" i="48"/>
  <c r="AB71" i="48"/>
  <c r="Y71" i="48"/>
  <c r="Z71" i="48" s="1"/>
  <c r="T71" i="48"/>
  <c r="W71" i="48" s="1"/>
  <c r="B71" i="48"/>
  <c r="A71" i="48" s="1"/>
  <c r="AC70" i="48"/>
  <c r="AB70" i="48"/>
  <c r="Z70" i="48"/>
  <c r="Y70" i="48"/>
  <c r="T70" i="48"/>
  <c r="W70" i="48" s="1"/>
  <c r="B70" i="48"/>
  <c r="A70" i="48"/>
  <c r="AC69" i="48"/>
  <c r="AB69" i="48"/>
  <c r="Y69" i="48"/>
  <c r="Z69" i="48" s="1"/>
  <c r="W69" i="48"/>
  <c r="V69" i="48"/>
  <c r="T69" i="48"/>
  <c r="B69" i="48"/>
  <c r="A69" i="48"/>
  <c r="AC68" i="48"/>
  <c r="AB68" i="48"/>
  <c r="Y68" i="48"/>
  <c r="Z68" i="48" s="1"/>
  <c r="T68" i="48"/>
  <c r="V68" i="48" s="1"/>
  <c r="Q68" i="48"/>
  <c r="B68" i="48"/>
  <c r="A68" i="48" s="1"/>
  <c r="AC67" i="48"/>
  <c r="AB67" i="48"/>
  <c r="AB66" i="48" s="1"/>
  <c r="Z67" i="48"/>
  <c r="Y67" i="48"/>
  <c r="W67" i="48"/>
  <c r="V67" i="48"/>
  <c r="T67" i="48"/>
  <c r="Q67" i="48"/>
  <c r="B67" i="48"/>
  <c r="A67" i="48"/>
  <c r="AA66" i="48"/>
  <c r="Y66" i="48"/>
  <c r="X66" i="48"/>
  <c r="U66" i="48"/>
  <c r="AC66" i="48" s="1"/>
  <c r="S66" i="48"/>
  <c r="R66" i="48"/>
  <c r="Q66" i="48"/>
  <c r="P66" i="48"/>
  <c r="O66" i="48"/>
  <c r="N66" i="48"/>
  <c r="B66" i="48"/>
  <c r="A66" i="48" s="1"/>
  <c r="AA65" i="48"/>
  <c r="X65" i="48"/>
  <c r="S65" i="48"/>
  <c r="P65" i="48"/>
  <c r="N65" i="48"/>
  <c r="B65" i="48"/>
  <c r="A65" i="48"/>
  <c r="AC64" i="48"/>
  <c r="AB64" i="48"/>
  <c r="Z64" i="48"/>
  <c r="Y64" i="48"/>
  <c r="W64" i="48"/>
  <c r="V64" i="48"/>
  <c r="T64" i="48"/>
  <c r="B64" i="48"/>
  <c r="A64" i="48" s="1"/>
  <c r="AC63" i="48"/>
  <c r="AB63" i="48"/>
  <c r="Z63" i="48"/>
  <c r="Y63" i="48"/>
  <c r="W63" i="48"/>
  <c r="T63" i="48"/>
  <c r="V63" i="48" s="1"/>
  <c r="R63" i="48"/>
  <c r="B63" i="48"/>
  <c r="A63" i="48" s="1"/>
  <c r="AC62" i="48"/>
  <c r="AB62" i="48"/>
  <c r="Z62" i="48"/>
  <c r="Y62" i="48"/>
  <c r="T62" i="48"/>
  <c r="W62" i="48" s="1"/>
  <c r="B62" i="48"/>
  <c r="A62" i="48"/>
  <c r="AC61" i="48"/>
  <c r="AB61" i="48"/>
  <c r="Z61" i="48"/>
  <c r="Y61" i="48"/>
  <c r="R61" i="48"/>
  <c r="T61" i="48" s="1"/>
  <c r="B61" i="48"/>
  <c r="A61" i="48"/>
  <c r="AC60" i="48"/>
  <c r="AB60" i="48"/>
  <c r="AB59" i="48" s="1"/>
  <c r="Z60" i="48"/>
  <c r="Y60" i="48"/>
  <c r="Y59" i="48" s="1"/>
  <c r="V60" i="48"/>
  <c r="T60" i="48"/>
  <c r="W60" i="48" s="1"/>
  <c r="B60" i="48"/>
  <c r="A60" i="48" s="1"/>
  <c r="AA59" i="48"/>
  <c r="X59" i="48"/>
  <c r="U59" i="48"/>
  <c r="Z59" i="48" s="1"/>
  <c r="S59" i="48"/>
  <c r="Q59" i="48"/>
  <c r="P59" i="48"/>
  <c r="O59" i="48"/>
  <c r="N59" i="48"/>
  <c r="B59" i="48"/>
  <c r="A59" i="48" s="1"/>
  <c r="AC58" i="48"/>
  <c r="AB58" i="48"/>
  <c r="Z58" i="48"/>
  <c r="Y58" i="48"/>
  <c r="W58" i="48"/>
  <c r="T58" i="48"/>
  <c r="V58" i="48" s="1"/>
  <c r="B58" i="48"/>
  <c r="A58" i="48"/>
  <c r="AC57" i="48"/>
  <c r="AB57" i="48"/>
  <c r="Z57" i="48"/>
  <c r="Y57" i="48"/>
  <c r="V57" i="48"/>
  <c r="T57" i="48"/>
  <c r="W57" i="48" s="1"/>
  <c r="B57" i="48"/>
  <c r="A57" i="48" s="1"/>
  <c r="AC56" i="48"/>
  <c r="AB56" i="48"/>
  <c r="Z56" i="48"/>
  <c r="Y56" i="48"/>
  <c r="T56" i="48"/>
  <c r="W56" i="48" s="1"/>
  <c r="B56" i="48"/>
  <c r="A56" i="48"/>
  <c r="AC55" i="48"/>
  <c r="AB55" i="48"/>
  <c r="Y55" i="48"/>
  <c r="Z55" i="48" s="1"/>
  <c r="W55" i="48"/>
  <c r="V55" i="48"/>
  <c r="T55" i="48"/>
  <c r="B55" i="48"/>
  <c r="A55" i="48" s="1"/>
  <c r="AC54" i="48"/>
  <c r="AB54" i="48"/>
  <c r="Z54" i="48"/>
  <c r="Y54" i="48"/>
  <c r="W54" i="48"/>
  <c r="T54" i="48"/>
  <c r="V54" i="48" s="1"/>
  <c r="B54" i="48"/>
  <c r="A54" i="48"/>
  <c r="AC53" i="48"/>
  <c r="AB53" i="48"/>
  <c r="AB52" i="48" s="1"/>
  <c r="Y53" i="48"/>
  <c r="Y52" i="48" s="1"/>
  <c r="V53" i="48"/>
  <c r="T53" i="48"/>
  <c r="W53" i="48" s="1"/>
  <c r="B53" i="48"/>
  <c r="A53" i="48" s="1"/>
  <c r="AA52" i="48"/>
  <c r="X52" i="48"/>
  <c r="U52" i="48"/>
  <c r="Z52" i="48" s="1"/>
  <c r="S52" i="48"/>
  <c r="R52" i="48"/>
  <c r="Q52" i="48"/>
  <c r="Q46" i="48" s="1"/>
  <c r="P52" i="48"/>
  <c r="O52" i="48"/>
  <c r="N52" i="48"/>
  <c r="B52" i="48"/>
  <c r="A52" i="48" s="1"/>
  <c r="AC51" i="48"/>
  <c r="AB51" i="48"/>
  <c r="Z51" i="48"/>
  <c r="Y51" i="48"/>
  <c r="Y50" i="48" s="1"/>
  <c r="W51" i="48"/>
  <c r="T51" i="48"/>
  <c r="V51" i="48" s="1"/>
  <c r="V50" i="48" s="1"/>
  <c r="B51" i="48"/>
  <c r="A51" i="48"/>
  <c r="AB50" i="48"/>
  <c r="AA50" i="48"/>
  <c r="Z50" i="48"/>
  <c r="X50" i="48"/>
  <c r="U50" i="48"/>
  <c r="AC50" i="48" s="1"/>
  <c r="T50" i="48"/>
  <c r="W50" i="48" s="1"/>
  <c r="S50" i="48"/>
  <c r="R50" i="48"/>
  <c r="Q50" i="48"/>
  <c r="P50" i="48"/>
  <c r="O50" i="48"/>
  <c r="N50" i="48"/>
  <c r="B50" i="48"/>
  <c r="A50" i="48"/>
  <c r="AC49" i="48"/>
  <c r="AB49" i="48"/>
  <c r="AB47" i="48" s="1"/>
  <c r="Z49" i="48"/>
  <c r="Y49" i="48"/>
  <c r="W49" i="48"/>
  <c r="V49" i="48"/>
  <c r="T49" i="48"/>
  <c r="B49" i="48"/>
  <c r="A49" i="48" s="1"/>
  <c r="AC48" i="48"/>
  <c r="AB48" i="48"/>
  <c r="Z48" i="48"/>
  <c r="Y48" i="48"/>
  <c r="Y47" i="48" s="1"/>
  <c r="W48" i="48"/>
  <c r="T48" i="48"/>
  <c r="V48" i="48" s="1"/>
  <c r="V47" i="48" s="1"/>
  <c r="B48" i="48"/>
  <c r="A48" i="48"/>
  <c r="AA47" i="48"/>
  <c r="AA46" i="48" s="1"/>
  <c r="AA45" i="48" s="1"/>
  <c r="AA44" i="48" s="1"/>
  <c r="X47" i="48"/>
  <c r="U47" i="48"/>
  <c r="AC47" i="48" s="1"/>
  <c r="T47" i="48"/>
  <c r="W47" i="48" s="1"/>
  <c r="S47" i="48"/>
  <c r="S46" i="48" s="1"/>
  <c r="S45" i="48" s="1"/>
  <c r="S44" i="48" s="1"/>
  <c r="R47" i="48"/>
  <c r="Q47" i="48"/>
  <c r="P47" i="48"/>
  <c r="O47" i="48"/>
  <c r="O46" i="48" s="1"/>
  <c r="O45" i="48" s="1"/>
  <c r="O44" i="48" s="1"/>
  <c r="N47" i="48"/>
  <c r="N46" i="48" s="1"/>
  <c r="N45" i="48" s="1"/>
  <c r="N44" i="48" s="1"/>
  <c r="B47" i="48"/>
  <c r="A47" i="48"/>
  <c r="X46" i="48"/>
  <c r="X45" i="48" s="1"/>
  <c r="X44" i="48" s="1"/>
  <c r="P46" i="48"/>
  <c r="P45" i="48" s="1"/>
  <c r="P44" i="48" s="1"/>
  <c r="B46" i="48"/>
  <c r="A46" i="48"/>
  <c r="B45" i="48"/>
  <c r="A45" i="48"/>
  <c r="B44" i="48"/>
  <c r="A44" i="48"/>
  <c r="AC43" i="48"/>
  <c r="AB43" i="48"/>
  <c r="Y43" i="48"/>
  <c r="Z43" i="48" s="1"/>
  <c r="V43" i="48"/>
  <c r="T43" i="48"/>
  <c r="W43" i="48" s="1"/>
  <c r="B43" i="48"/>
  <c r="A43" i="48" s="1"/>
  <c r="AC42" i="48"/>
  <c r="AB42" i="48"/>
  <c r="Z42" i="48"/>
  <c r="Y42" i="48"/>
  <c r="T42" i="48"/>
  <c r="W42" i="48" s="1"/>
  <c r="B42" i="48"/>
  <c r="A42" i="48"/>
  <c r="AC41" i="48"/>
  <c r="AB41" i="48"/>
  <c r="Z41" i="48"/>
  <c r="Y41" i="48"/>
  <c r="W41" i="48"/>
  <c r="V41" i="48"/>
  <c r="T41" i="48"/>
  <c r="B41" i="48"/>
  <c r="A41" i="48" s="1"/>
  <c r="AC40" i="48"/>
  <c r="AB40" i="48"/>
  <c r="Z40" i="48"/>
  <c r="Y40" i="48"/>
  <c r="W40" i="48"/>
  <c r="T40" i="48"/>
  <c r="V40" i="48" s="1"/>
  <c r="B40" i="48"/>
  <c r="A40" i="48"/>
  <c r="AC39" i="48"/>
  <c r="AB39" i="48"/>
  <c r="Y39" i="48"/>
  <c r="Z39" i="48" s="1"/>
  <c r="V39" i="48"/>
  <c r="T39" i="48"/>
  <c r="W39" i="48" s="1"/>
  <c r="B39" i="48"/>
  <c r="A39" i="48" s="1"/>
  <c r="AC38" i="48"/>
  <c r="AB38" i="48"/>
  <c r="Z38" i="48"/>
  <c r="Y38" i="48"/>
  <c r="T38" i="48"/>
  <c r="W38" i="48" s="1"/>
  <c r="B38" i="48"/>
  <c r="A38" i="48"/>
  <c r="AC37" i="48"/>
  <c r="AB37" i="48"/>
  <c r="AB35" i="48" s="1"/>
  <c r="AB34" i="48" s="1"/>
  <c r="Y37" i="48"/>
  <c r="Z37" i="48" s="1"/>
  <c r="W37" i="48"/>
  <c r="V37" i="48"/>
  <c r="T37" i="48"/>
  <c r="B37" i="48"/>
  <c r="A37" i="48" s="1"/>
  <c r="AC36" i="48"/>
  <c r="AB36" i="48"/>
  <c r="Z36" i="48"/>
  <c r="Y36" i="48"/>
  <c r="Y35" i="48" s="1"/>
  <c r="W36" i="48"/>
  <c r="T36" i="48"/>
  <c r="V36" i="48" s="1"/>
  <c r="B36" i="48"/>
  <c r="A36" i="48"/>
  <c r="AA35" i="48"/>
  <c r="AA34" i="48" s="1"/>
  <c r="X35" i="48"/>
  <c r="U35" i="48"/>
  <c r="AC35" i="48" s="1"/>
  <c r="S35" i="48"/>
  <c r="S34" i="48" s="1"/>
  <c r="R35" i="48"/>
  <c r="R34" i="48" s="1"/>
  <c r="Q35" i="48"/>
  <c r="P35" i="48"/>
  <c r="O35" i="48"/>
  <c r="O34" i="48" s="1"/>
  <c r="N35" i="48"/>
  <c r="N34" i="48" s="1"/>
  <c r="B35" i="48"/>
  <c r="A35" i="48"/>
  <c r="X34" i="48"/>
  <c r="U34" i="48"/>
  <c r="AC34" i="48" s="1"/>
  <c r="Q34" i="48"/>
  <c r="P34" i="48"/>
  <c r="B34" i="48"/>
  <c r="A34" i="48"/>
  <c r="AC33" i="48"/>
  <c r="AB33" i="48"/>
  <c r="Y33" i="48"/>
  <c r="Z33" i="48" s="1"/>
  <c r="V33" i="48"/>
  <c r="T33" i="48"/>
  <c r="W33" i="48" s="1"/>
  <c r="B33" i="48"/>
  <c r="A33" i="48" s="1"/>
  <c r="AC32" i="48"/>
  <c r="AB32" i="48"/>
  <c r="Z32" i="48"/>
  <c r="Y32" i="48"/>
  <c r="T32" i="48"/>
  <c r="W32" i="48" s="1"/>
  <c r="B32" i="48"/>
  <c r="A32" i="48"/>
  <c r="AC31" i="48"/>
  <c r="AB31" i="48"/>
  <c r="Y31" i="48"/>
  <c r="Z31" i="48" s="1"/>
  <c r="W31" i="48"/>
  <c r="V31" i="48"/>
  <c r="T31" i="48"/>
  <c r="B31" i="48"/>
  <c r="A31" i="48" s="1"/>
  <c r="AC30" i="48"/>
  <c r="AB30" i="48"/>
  <c r="Z30" i="48"/>
  <c r="Y30" i="48"/>
  <c r="W30" i="48"/>
  <c r="T30" i="48"/>
  <c r="V30" i="48" s="1"/>
  <c r="B30" i="48"/>
  <c r="A30" i="48"/>
  <c r="AC29" i="48"/>
  <c r="AB29" i="48"/>
  <c r="Y29" i="48"/>
  <c r="Z29" i="48" s="1"/>
  <c r="V29" i="48"/>
  <c r="T29" i="48"/>
  <c r="W29" i="48" s="1"/>
  <c r="B29" i="48"/>
  <c r="A29" i="48" s="1"/>
  <c r="AC28" i="48"/>
  <c r="AB28" i="48"/>
  <c r="Z28" i="48"/>
  <c r="Y28" i="48"/>
  <c r="T28" i="48"/>
  <c r="W28" i="48" s="1"/>
  <c r="B28" i="48"/>
  <c r="A28" i="48"/>
  <c r="AC27" i="48"/>
  <c r="AB27" i="48"/>
  <c r="Y27" i="48"/>
  <c r="Z27" i="48" s="1"/>
  <c r="W27" i="48"/>
  <c r="V27" i="48"/>
  <c r="T27" i="48"/>
  <c r="B27" i="48"/>
  <c r="A27" i="48" s="1"/>
  <c r="AC26" i="48"/>
  <c r="AB26" i="48"/>
  <c r="Z26" i="48"/>
  <c r="Y26" i="48"/>
  <c r="W26" i="48"/>
  <c r="T26" i="48"/>
  <c r="V26" i="48" s="1"/>
  <c r="B26" i="48"/>
  <c r="A26" i="48"/>
  <c r="AC25" i="48"/>
  <c r="AB25" i="48"/>
  <c r="AB24" i="48" s="1"/>
  <c r="Y25" i="48"/>
  <c r="Y24" i="48" s="1"/>
  <c r="V25" i="48"/>
  <c r="T25" i="48"/>
  <c r="W25" i="48" s="1"/>
  <c r="B25" i="48"/>
  <c r="A25" i="48" s="1"/>
  <c r="AA24" i="48"/>
  <c r="X24" i="48"/>
  <c r="U24" i="48"/>
  <c r="Z24" i="48" s="1"/>
  <c r="S24" i="48"/>
  <c r="R24" i="48"/>
  <c r="Q24" i="48"/>
  <c r="P24" i="48"/>
  <c r="O24" i="48"/>
  <c r="N24" i="48"/>
  <c r="B24" i="48"/>
  <c r="A24" i="48" s="1"/>
  <c r="AC23" i="48"/>
  <c r="AB23" i="48"/>
  <c r="Z23" i="48"/>
  <c r="Y23" i="48"/>
  <c r="W23" i="48"/>
  <c r="T23" i="48"/>
  <c r="V23" i="48" s="1"/>
  <c r="B23" i="48"/>
  <c r="A23" i="48"/>
  <c r="AC22" i="48"/>
  <c r="AB22" i="48"/>
  <c r="Y22" i="48"/>
  <c r="Z22" i="48" s="1"/>
  <c r="V22" i="48"/>
  <c r="T22" i="48"/>
  <c r="W22" i="48" s="1"/>
  <c r="B22" i="48"/>
  <c r="A22" i="48" s="1"/>
  <c r="AC21" i="48"/>
  <c r="AB21" i="48"/>
  <c r="Z21" i="48"/>
  <c r="Y21" i="48"/>
  <c r="T21" i="48"/>
  <c r="W21" i="48" s="1"/>
  <c r="B21" i="48"/>
  <c r="A21" i="48"/>
  <c r="AC20" i="48"/>
  <c r="AB20" i="48"/>
  <c r="Y20" i="48"/>
  <c r="Z20" i="48" s="1"/>
  <c r="W20" i="48"/>
  <c r="V20" i="48"/>
  <c r="T20" i="48"/>
  <c r="B20" i="48"/>
  <c r="A20" i="48" s="1"/>
  <c r="AC19" i="48"/>
  <c r="AB19" i="48"/>
  <c r="Z19" i="48"/>
  <c r="Y19" i="48"/>
  <c r="W19" i="48"/>
  <c r="T19" i="48"/>
  <c r="V19" i="48" s="1"/>
  <c r="B19" i="48"/>
  <c r="A19" i="48"/>
  <c r="AC18" i="48"/>
  <c r="AB18" i="48"/>
  <c r="Y18" i="48"/>
  <c r="Z18" i="48" s="1"/>
  <c r="V18" i="48"/>
  <c r="T18" i="48"/>
  <c r="W18" i="48" s="1"/>
  <c r="B18" i="48"/>
  <c r="A18" i="48" s="1"/>
  <c r="AC17" i="48"/>
  <c r="AB17" i="48"/>
  <c r="Z17" i="48"/>
  <c r="Y17" i="48"/>
  <c r="T17" i="48"/>
  <c r="W17" i="48" s="1"/>
  <c r="B17" i="48"/>
  <c r="A17" i="48"/>
  <c r="AC16" i="48"/>
  <c r="AB16" i="48"/>
  <c r="Y16" i="48"/>
  <c r="Z16" i="48" s="1"/>
  <c r="W16" i="48"/>
  <c r="V16" i="48"/>
  <c r="T16" i="48"/>
  <c r="B16" i="48"/>
  <c r="A16" i="48" s="1"/>
  <c r="AC15" i="48"/>
  <c r="AB15" i="48"/>
  <c r="Z15" i="48"/>
  <c r="Y15" i="48"/>
  <c r="W15" i="48"/>
  <c r="T15" i="48"/>
  <c r="V15" i="48" s="1"/>
  <c r="B15" i="48"/>
  <c r="A15" i="48"/>
  <c r="AC14" i="48"/>
  <c r="AB14" i="48"/>
  <c r="Y14" i="48"/>
  <c r="Z14" i="48" s="1"/>
  <c r="V14" i="48"/>
  <c r="T14" i="48"/>
  <c r="W14" i="48" s="1"/>
  <c r="B14" i="48"/>
  <c r="A14" i="48" s="1"/>
  <c r="AC13" i="48"/>
  <c r="AB13" i="48"/>
  <c r="Z13" i="48"/>
  <c r="Y13" i="48"/>
  <c r="T13" i="48"/>
  <c r="W13" i="48" s="1"/>
  <c r="B13" i="48"/>
  <c r="A13" i="48"/>
  <c r="AB12" i="48"/>
  <c r="AB11" i="48" s="1"/>
  <c r="AB10" i="48" s="1"/>
  <c r="AB9" i="48" s="1"/>
  <c r="AA12" i="48"/>
  <c r="X12" i="48"/>
  <c r="X11" i="48" s="1"/>
  <c r="X10" i="48" s="1"/>
  <c r="X9" i="48" s="1"/>
  <c r="U12" i="48"/>
  <c r="U11" i="48" s="1"/>
  <c r="S12" i="48"/>
  <c r="R12" i="48"/>
  <c r="Q12" i="48"/>
  <c r="Q11" i="48" s="1"/>
  <c r="Q10" i="48" s="1"/>
  <c r="Q9" i="48" s="1"/>
  <c r="P12" i="48"/>
  <c r="P11" i="48" s="1"/>
  <c r="P10" i="48" s="1"/>
  <c r="P9" i="48" s="1"/>
  <c r="O12" i="48"/>
  <c r="N12" i="48"/>
  <c r="B12" i="48"/>
  <c r="A12" i="48"/>
  <c r="AA11" i="48"/>
  <c r="AA10" i="48" s="1"/>
  <c r="AA9" i="48" s="1"/>
  <c r="AA8" i="48" s="1"/>
  <c r="S11" i="48"/>
  <c r="S10" i="48" s="1"/>
  <c r="S9" i="48" s="1"/>
  <c r="R11" i="48"/>
  <c r="R10" i="48" s="1"/>
  <c r="R9" i="48" s="1"/>
  <c r="O11" i="48"/>
  <c r="O10" i="48" s="1"/>
  <c r="O9" i="48" s="1"/>
  <c r="N11" i="48"/>
  <c r="N10" i="48" s="1"/>
  <c r="N9" i="48" s="1"/>
  <c r="B11" i="48"/>
  <c r="A11" i="48"/>
  <c r="B10" i="48"/>
  <c r="A10" i="48"/>
  <c r="B9" i="48"/>
  <c r="A9" i="48"/>
  <c r="A8" i="48"/>
  <c r="AB46" i="48" l="1"/>
  <c r="S8" i="48"/>
  <c r="Z35" i="48"/>
  <c r="Y34" i="48"/>
  <c r="Z34" i="48" s="1"/>
  <c r="Z47" i="48"/>
  <c r="Y46" i="48"/>
  <c r="Q65" i="48"/>
  <c r="Q45" i="48" s="1"/>
  <c r="Q44" i="48" s="1"/>
  <c r="Q8" i="48" s="1"/>
  <c r="O8" i="48"/>
  <c r="AC11" i="48"/>
  <c r="U10" i="48"/>
  <c r="W61" i="48"/>
  <c r="T59" i="48"/>
  <c r="W59" i="48" s="1"/>
  <c r="V61" i="48"/>
  <c r="V59" i="48" s="1"/>
  <c r="Z91" i="48"/>
  <c r="Z119" i="48"/>
  <c r="Z133" i="48"/>
  <c r="AC133" i="48"/>
  <c r="W134" i="48"/>
  <c r="T133" i="48"/>
  <c r="W133" i="48" s="1"/>
  <c r="V134" i="48"/>
  <c r="V133" i="48" s="1"/>
  <c r="Z157" i="48"/>
  <c r="AC157" i="48"/>
  <c r="W174" i="48"/>
  <c r="Y12" i="48"/>
  <c r="AC12" i="48"/>
  <c r="V13" i="48"/>
  <c r="V17" i="48"/>
  <c r="V21" i="48"/>
  <c r="T24" i="48"/>
  <c r="W24" i="48" s="1"/>
  <c r="Z25" i="48"/>
  <c r="V28" i="48"/>
  <c r="V24" i="48" s="1"/>
  <c r="V32" i="48"/>
  <c r="V38" i="48"/>
  <c r="V35" i="48" s="1"/>
  <c r="V34" i="48" s="1"/>
  <c r="V42" i="48"/>
  <c r="U46" i="48"/>
  <c r="T52" i="48"/>
  <c r="Z53" i="48"/>
  <c r="V56" i="48"/>
  <c r="V52" i="48" s="1"/>
  <c r="V46" i="48" s="1"/>
  <c r="V62" i="48"/>
  <c r="Z66" i="48"/>
  <c r="W68" i="48"/>
  <c r="V70" i="48"/>
  <c r="V66" i="48" s="1"/>
  <c r="V71" i="48"/>
  <c r="W72" i="48"/>
  <c r="T73" i="48"/>
  <c r="W73" i="48" s="1"/>
  <c r="Y73" i="48"/>
  <c r="Y65" i="48" s="1"/>
  <c r="Y76" i="48"/>
  <c r="Z76" i="48" s="1"/>
  <c r="T78" i="48"/>
  <c r="V81" i="48"/>
  <c r="W82" i="48"/>
  <c r="V86" i="48"/>
  <c r="V83" i="48" s="1"/>
  <c r="V87" i="48"/>
  <c r="W88" i="48"/>
  <c r="W89" i="48"/>
  <c r="P90" i="48"/>
  <c r="P8" i="48" s="1"/>
  <c r="AC91" i="48"/>
  <c r="Z92" i="48"/>
  <c r="V90" i="48"/>
  <c r="AB92" i="48"/>
  <c r="AB91" i="48" s="1"/>
  <c r="AB90" i="48" s="1"/>
  <c r="T92" i="48"/>
  <c r="W94" i="48"/>
  <c r="T100" i="48"/>
  <c r="W103" i="48"/>
  <c r="W104" i="48"/>
  <c r="AC104" i="48"/>
  <c r="Y105" i="48"/>
  <c r="Y104" i="48" s="1"/>
  <c r="Z104" i="48" s="1"/>
  <c r="T109" i="48"/>
  <c r="Z109" i="48"/>
  <c r="V114" i="48"/>
  <c r="V113" i="48" s="1"/>
  <c r="V107" i="48" s="1"/>
  <c r="T113" i="48"/>
  <c r="W113" i="48" s="1"/>
  <c r="X119" i="48"/>
  <c r="X118" i="48" s="1"/>
  <c r="X117" i="48" s="1"/>
  <c r="AC124" i="48"/>
  <c r="W153" i="48"/>
  <c r="V153" i="48"/>
  <c r="T12" i="48"/>
  <c r="AC24" i="48"/>
  <c r="T35" i="48"/>
  <c r="AC52" i="48"/>
  <c r="AC59" i="48"/>
  <c r="U65" i="48"/>
  <c r="R65" i="48"/>
  <c r="T83" i="48"/>
  <c r="W83" i="48" s="1"/>
  <c r="U90" i="48"/>
  <c r="X90" i="48"/>
  <c r="X8" i="48" s="1"/>
  <c r="AC99" i="48"/>
  <c r="U98" i="48"/>
  <c r="Z105" i="48"/>
  <c r="AC119" i="48"/>
  <c r="T119" i="48"/>
  <c r="Z142" i="48"/>
  <c r="Y141" i="48"/>
  <c r="U148" i="48"/>
  <c r="Z154" i="48"/>
  <c r="V156" i="48"/>
  <c r="V154" i="48" s="1"/>
  <c r="T154" i="48"/>
  <c r="W154" i="48" s="1"/>
  <c r="W160" i="48"/>
  <c r="T157" i="48"/>
  <c r="W157" i="48" s="1"/>
  <c r="Z164" i="48"/>
  <c r="AC164" i="48"/>
  <c r="W197" i="48"/>
  <c r="V197" i="48"/>
  <c r="V196" i="48" s="1"/>
  <c r="T196" i="48"/>
  <c r="R59" i="48"/>
  <c r="R46" i="48" s="1"/>
  <c r="R45" i="48" s="1"/>
  <c r="R44" i="48" s="1"/>
  <c r="R8" i="48" s="1"/>
  <c r="T66" i="48"/>
  <c r="Q73" i="48"/>
  <c r="AB76" i="48"/>
  <c r="AB65" i="48" s="1"/>
  <c r="Z83" i="48"/>
  <c r="N90" i="48"/>
  <c r="N8" i="48" s="1"/>
  <c r="R90" i="48"/>
  <c r="W101" i="48"/>
  <c r="Z102" i="48"/>
  <c r="Y100" i="48"/>
  <c r="W105" i="48"/>
  <c r="AC105" i="48"/>
  <c r="Z107" i="48"/>
  <c r="Z108" i="48"/>
  <c r="W110" i="48"/>
  <c r="AC113" i="48"/>
  <c r="W123" i="48"/>
  <c r="V123" i="48"/>
  <c r="V122" i="48" s="1"/>
  <c r="V119" i="48" s="1"/>
  <c r="U132" i="48"/>
  <c r="U118" i="48" s="1"/>
  <c r="Q132" i="48"/>
  <c r="Q118" i="48" s="1"/>
  <c r="Q117" i="48" s="1"/>
  <c r="AC137" i="48"/>
  <c r="Z137" i="48"/>
  <c r="V151" i="48"/>
  <c r="V149" i="48" s="1"/>
  <c r="V148" i="48" s="1"/>
  <c r="W156" i="48"/>
  <c r="AC100" i="48"/>
  <c r="AC108" i="48"/>
  <c r="T128" i="48"/>
  <c r="W128" i="48" s="1"/>
  <c r="P132" i="48"/>
  <c r="P118" i="48" s="1"/>
  <c r="P117" i="48" s="1"/>
  <c r="T132" i="48"/>
  <c r="W132" i="48" s="1"/>
  <c r="X132" i="48"/>
  <c r="T141" i="48"/>
  <c r="W141" i="48" s="1"/>
  <c r="R149" i="48"/>
  <c r="R154" i="48"/>
  <c r="W165" i="48"/>
  <c r="T164" i="48"/>
  <c r="W164" i="48" s="1"/>
  <c r="V165" i="48"/>
  <c r="V164" i="48" s="1"/>
  <c r="V157" i="48" s="1"/>
  <c r="AC168" i="48"/>
  <c r="T168" i="48"/>
  <c r="W169" i="48"/>
  <c r="V169" i="48"/>
  <c r="AC205" i="48"/>
  <c r="U202" i="48"/>
  <c r="Z205" i="48"/>
  <c r="W206" i="48"/>
  <c r="T205" i="48"/>
  <c r="W205" i="48" s="1"/>
  <c r="V206" i="48"/>
  <c r="V205" i="48" s="1"/>
  <c r="AC120" i="48"/>
  <c r="Z141" i="48"/>
  <c r="Y172" i="48"/>
  <c r="Z172" i="48" s="1"/>
  <c r="Z173" i="48"/>
  <c r="AA179" i="48"/>
  <c r="Y179" i="48"/>
  <c r="Y202" i="48"/>
  <c r="Z226" i="48"/>
  <c r="Y225" i="48"/>
  <c r="Z225" i="48" s="1"/>
  <c r="T230" i="48"/>
  <c r="R228" i="48"/>
  <c r="R214" i="48" s="1"/>
  <c r="U237" i="48"/>
  <c r="AC238" i="48"/>
  <c r="V129" i="48"/>
  <c r="V128" i="48" s="1"/>
  <c r="Y133" i="48"/>
  <c r="Y132" i="48" s="1"/>
  <c r="Y118" i="48" s="1"/>
  <c r="Y117" i="48" s="1"/>
  <c r="AB132" i="48"/>
  <c r="AB118" i="48" s="1"/>
  <c r="AB117" i="48" s="1"/>
  <c r="V142" i="48"/>
  <c r="V141" i="48" s="1"/>
  <c r="T149" i="48"/>
  <c r="Y149" i="48"/>
  <c r="N166" i="48"/>
  <c r="N147" i="48" s="1"/>
  <c r="N146" i="48" s="1"/>
  <c r="N116" i="48" s="1"/>
  <c r="R166" i="48"/>
  <c r="Z168" i="48"/>
  <c r="W171" i="48"/>
  <c r="Y194" i="48"/>
  <c r="Z194" i="48" s="1"/>
  <c r="Z195" i="48"/>
  <c r="AC199" i="48"/>
  <c r="U198" i="48"/>
  <c r="Q203" i="48"/>
  <c r="Q202" i="48" s="1"/>
  <c r="T204" i="48"/>
  <c r="V233" i="48"/>
  <c r="V232" i="48" s="1"/>
  <c r="V231" i="48" s="1"/>
  <c r="T232" i="48"/>
  <c r="W233" i="48"/>
  <c r="AA166" i="48"/>
  <c r="AA147" i="48" s="1"/>
  <c r="AA146" i="48" s="1"/>
  <c r="AA116" i="48" s="1"/>
  <c r="AA242" i="48" s="1"/>
  <c r="W170" i="48"/>
  <c r="V170" i="48"/>
  <c r="W185" i="48"/>
  <c r="V185" i="48"/>
  <c r="V184" i="48" s="1"/>
  <c r="W187" i="48"/>
  <c r="V187" i="48"/>
  <c r="V186" i="48" s="1"/>
  <c r="AC194" i="48"/>
  <c r="W212" i="48"/>
  <c r="V212" i="48"/>
  <c r="V211" i="48" s="1"/>
  <c r="P214" i="48"/>
  <c r="P147" i="48" s="1"/>
  <c r="P146" i="48" s="1"/>
  <c r="AB214" i="48"/>
  <c r="AB147" i="48" s="1"/>
  <c r="AB146" i="48" s="1"/>
  <c r="W219" i="48"/>
  <c r="V219" i="48"/>
  <c r="AC220" i="48"/>
  <c r="U214" i="48"/>
  <c r="W221" i="48"/>
  <c r="T220" i="48"/>
  <c r="W220" i="48" s="1"/>
  <c r="AC172" i="48"/>
  <c r="W175" i="48"/>
  <c r="U174" i="48"/>
  <c r="Z175" i="48"/>
  <c r="AA191" i="48"/>
  <c r="AC191" i="48" s="1"/>
  <c r="Y199" i="48"/>
  <c r="Z201" i="48"/>
  <c r="N202" i="48"/>
  <c r="V208" i="48"/>
  <c r="V207" i="48" s="1"/>
  <c r="T207" i="48"/>
  <c r="W213" i="48"/>
  <c r="V213" i="48"/>
  <c r="Z216" i="48"/>
  <c r="Y215" i="48"/>
  <c r="X214" i="48"/>
  <c r="X147" i="48" s="1"/>
  <c r="X146" i="48" s="1"/>
  <c r="T218" i="48"/>
  <c r="Q217" i="48"/>
  <c r="Q222" i="48"/>
  <c r="T223" i="48"/>
  <c r="W229" i="48"/>
  <c r="V229" i="48"/>
  <c r="W241" i="48"/>
  <c r="V241" i="48"/>
  <c r="V240" i="48" s="1"/>
  <c r="V239" i="48" s="1"/>
  <c r="V238" i="48" s="1"/>
  <c r="V237" i="48" s="1"/>
  <c r="T240" i="48"/>
  <c r="AC186" i="48"/>
  <c r="AC196" i="48"/>
  <c r="AA202" i="48"/>
  <c r="T210" i="48"/>
  <c r="AC211" i="48"/>
  <c r="AA214" i="48"/>
  <c r="T216" i="48"/>
  <c r="Q215" i="48"/>
  <c r="Q214" i="48" s="1"/>
  <c r="Q147" i="48" s="1"/>
  <c r="Q146" i="48" s="1"/>
  <c r="AC222" i="48"/>
  <c r="T226" i="48"/>
  <c r="Q225" i="48"/>
  <c r="AC240" i="48"/>
  <c r="U179" i="48"/>
  <c r="AC184" i="48"/>
  <c r="AC189" i="48"/>
  <c r="V190" i="48"/>
  <c r="V189" i="48" s="1"/>
  <c r="V188" i="48" s="1"/>
  <c r="Z193" i="48"/>
  <c r="V195" i="48"/>
  <c r="V194" i="48" s="1"/>
  <c r="V191" i="48" s="1"/>
  <c r="Y232" i="48"/>
  <c r="Z240" i="48"/>
  <c r="W199" i="48"/>
  <c r="V201" i="48"/>
  <c r="V199" i="48" s="1"/>
  <c r="V198" i="48" s="1"/>
  <c r="S202" i="48"/>
  <c r="S147" i="48" s="1"/>
  <c r="S146" i="48" s="1"/>
  <c r="S116" i="48" s="1"/>
  <c r="O214" i="48"/>
  <c r="O147" i="48" s="1"/>
  <c r="O146" i="48" s="1"/>
  <c r="O116" i="48" s="1"/>
  <c r="AC217" i="48"/>
  <c r="Z218" i="48"/>
  <c r="Y217" i="48"/>
  <c r="Z217" i="48" s="1"/>
  <c r="V227" i="48"/>
  <c r="AC232" i="48"/>
  <c r="Z233" i="48"/>
  <c r="AB116" i="48" l="1"/>
  <c r="N242" i="48"/>
  <c r="R242" i="48"/>
  <c r="Q242" i="48"/>
  <c r="P116" i="48"/>
  <c r="P242" i="48" s="1"/>
  <c r="Q116" i="48"/>
  <c r="X242" i="48"/>
  <c r="Z118" i="48"/>
  <c r="AC118" i="48"/>
  <c r="U117" i="48"/>
  <c r="W232" i="48"/>
  <c r="T231" i="48"/>
  <c r="W231" i="48" s="1"/>
  <c r="X116" i="48"/>
  <c r="U45" i="48"/>
  <c r="Z46" i="48"/>
  <c r="AC46" i="48"/>
  <c r="Y45" i="48"/>
  <c r="Y44" i="48" s="1"/>
  <c r="W240" i="48"/>
  <c r="T239" i="48"/>
  <c r="Z174" i="48"/>
  <c r="AC174" i="48"/>
  <c r="W168" i="48"/>
  <c r="T166" i="48"/>
  <c r="W166" i="48" s="1"/>
  <c r="R148" i="48"/>
  <c r="R147" i="48" s="1"/>
  <c r="R146" i="48" s="1"/>
  <c r="R116" i="48" s="1"/>
  <c r="Y166" i="48"/>
  <c r="Z166" i="48" s="1"/>
  <c r="W119" i="48"/>
  <c r="T118" i="48"/>
  <c r="AC98" i="48"/>
  <c r="W12" i="48"/>
  <c r="T11" i="48"/>
  <c r="W100" i="48"/>
  <c r="T99" i="48"/>
  <c r="V12" i="48"/>
  <c r="V11" i="48" s="1"/>
  <c r="V10" i="48" s="1"/>
  <c r="V9" i="48" s="1"/>
  <c r="AB45" i="48"/>
  <c r="AB44" i="48" s="1"/>
  <c r="AB8" i="48" s="1"/>
  <c r="AB242" i="48" s="1"/>
  <c r="V210" i="48"/>
  <c r="V209" i="48" s="1"/>
  <c r="T209" i="48"/>
  <c r="W209" i="48" s="1"/>
  <c r="W210" i="48"/>
  <c r="W207" i="48"/>
  <c r="AC198" i="48"/>
  <c r="W66" i="48"/>
  <c r="AC90" i="48"/>
  <c r="W109" i="48"/>
  <c r="T108" i="48"/>
  <c r="V202" i="48"/>
  <c r="Y148" i="48"/>
  <c r="Z149" i="48"/>
  <c r="Z179" i="48"/>
  <c r="AC179" i="48"/>
  <c r="W223" i="48"/>
  <c r="V223" i="48"/>
  <c r="V222" i="48" s="1"/>
  <c r="T222" i="48"/>
  <c r="W222" i="48" s="1"/>
  <c r="AC214" i="48"/>
  <c r="V179" i="48"/>
  <c r="V204" i="48"/>
  <c r="V203" i="48" s="1"/>
  <c r="T203" i="48"/>
  <c r="W203" i="48" s="1"/>
  <c r="W204" i="48"/>
  <c r="W198" i="48"/>
  <c r="T148" i="48"/>
  <c r="W149" i="48"/>
  <c r="W230" i="48"/>
  <c r="V230" i="48"/>
  <c r="T228" i="48"/>
  <c r="W228" i="48" s="1"/>
  <c r="W196" i="48"/>
  <c r="T191" i="48"/>
  <c r="W191" i="48" s="1"/>
  <c r="U147" i="48"/>
  <c r="AC148" i="48"/>
  <c r="Z148" i="48"/>
  <c r="Z73" i="48"/>
  <c r="S242" i="48"/>
  <c r="Z232" i="48"/>
  <c r="Y231" i="48"/>
  <c r="Z231" i="48" s="1"/>
  <c r="V228" i="48"/>
  <c r="Z215" i="48"/>
  <c r="Y214" i="48"/>
  <c r="Z214" i="48" s="1"/>
  <c r="Y198" i="48"/>
  <c r="Z198" i="48" s="1"/>
  <c r="Z199" i="48"/>
  <c r="AC237" i="48"/>
  <c r="Z237" i="48"/>
  <c r="Z202" i="48"/>
  <c r="AC202" i="48"/>
  <c r="Y99" i="48"/>
  <c r="Z100" i="48"/>
  <c r="Z65" i="48"/>
  <c r="AC65" i="48"/>
  <c r="W216" i="48"/>
  <c r="T215" i="48"/>
  <c r="V216" i="48"/>
  <c r="V215" i="48" s="1"/>
  <c r="W218" i="48"/>
  <c r="T217" i="48"/>
  <c r="W217" i="48" s="1"/>
  <c r="V218" i="48"/>
  <c r="V217" i="48" s="1"/>
  <c r="W226" i="48"/>
  <c r="T225" i="48"/>
  <c r="W225" i="48" s="1"/>
  <c r="V226" i="48"/>
  <c r="V225" i="48" s="1"/>
  <c r="Y191" i="48"/>
  <c r="Z191" i="48" s="1"/>
  <c r="V132" i="48"/>
  <c r="V118" i="48" s="1"/>
  <c r="V117" i="48" s="1"/>
  <c r="V168" i="48"/>
  <c r="V166" i="48" s="1"/>
  <c r="AC166" i="48"/>
  <c r="AC132" i="48"/>
  <c r="Z132" i="48"/>
  <c r="T34" i="48"/>
  <c r="W34" i="48" s="1"/>
  <c r="W35" i="48"/>
  <c r="T91" i="48"/>
  <c r="W92" i="48"/>
  <c r="V78" i="48"/>
  <c r="V76" i="48" s="1"/>
  <c r="V65" i="48" s="1"/>
  <c r="V45" i="48" s="1"/>
  <c r="V44" i="48" s="1"/>
  <c r="T76" i="48"/>
  <c r="W76" i="48" s="1"/>
  <c r="W78" i="48"/>
  <c r="W52" i="48"/>
  <c r="T46" i="48"/>
  <c r="Y11" i="48"/>
  <c r="Z12" i="48"/>
  <c r="U9" i="48"/>
  <c r="AC10" i="48"/>
  <c r="O242" i="48"/>
  <c r="W11" i="48" l="1"/>
  <c r="T10" i="48"/>
  <c r="T117" i="48"/>
  <c r="W118" i="48"/>
  <c r="AC9" i="48"/>
  <c r="U8" i="48"/>
  <c r="V214" i="48"/>
  <c r="V147" i="48" s="1"/>
  <c r="V146" i="48" s="1"/>
  <c r="V116" i="48" s="1"/>
  <c r="Y147" i="48"/>
  <c r="Y146" i="48" s="1"/>
  <c r="Y116" i="48" s="1"/>
  <c r="V8" i="48"/>
  <c r="AC45" i="48"/>
  <c r="U44" i="48"/>
  <c r="Z45" i="48"/>
  <c r="Z117" i="48"/>
  <c r="AC117" i="48"/>
  <c r="W46" i="48"/>
  <c r="T238" i="48"/>
  <c r="W239" i="48"/>
  <c r="W91" i="48"/>
  <c r="W215" i="48"/>
  <c r="T214" i="48"/>
  <c r="W214" i="48" s="1"/>
  <c r="W99" i="48"/>
  <c r="T98" i="48"/>
  <c r="W98" i="48" s="1"/>
  <c r="Y10" i="48"/>
  <c r="Z11" i="48"/>
  <c r="Y98" i="48"/>
  <c r="Z99" i="48"/>
  <c r="AC147" i="48"/>
  <c r="U146" i="48"/>
  <c r="W148" i="48"/>
  <c r="W108" i="48"/>
  <c r="T107" i="48"/>
  <c r="W107" i="48" s="1"/>
  <c r="T65" i="48"/>
  <c r="W65" i="48" s="1"/>
  <c r="T202" i="48"/>
  <c r="W202" i="48" s="1"/>
  <c r="T45" i="48" l="1"/>
  <c r="W10" i="48"/>
  <c r="T9" i="48"/>
  <c r="AC146" i="48"/>
  <c r="Z146" i="48"/>
  <c r="T90" i="48"/>
  <c r="W90" i="48" s="1"/>
  <c r="Z147" i="48"/>
  <c r="Z44" i="48"/>
  <c r="AC44" i="48"/>
  <c r="V242" i="48"/>
  <c r="U242" i="48"/>
  <c r="AC8" i="48"/>
  <c r="Y90" i="48"/>
  <c r="Z90" i="48" s="1"/>
  <c r="Z98" i="48"/>
  <c r="T147" i="48"/>
  <c r="Y9" i="48"/>
  <c r="Z10" i="48"/>
  <c r="W238" i="48"/>
  <c r="T237" i="48"/>
  <c r="W237" i="48" s="1"/>
  <c r="U116" i="48"/>
  <c r="W117" i="48"/>
  <c r="T146" i="48" l="1"/>
  <c r="W147" i="48"/>
  <c r="AC242" i="48"/>
  <c r="W9" i="48"/>
  <c r="Z116" i="48"/>
  <c r="AC116" i="48"/>
  <c r="Y8" i="48"/>
  <c r="Z9" i="48"/>
  <c r="T44" i="48"/>
  <c r="W44" i="48" s="1"/>
  <c r="W45" i="48"/>
  <c r="Y242" i="48" l="1"/>
  <c r="Z242" i="48" s="1"/>
  <c r="Z8" i="48"/>
  <c r="T8" i="48"/>
  <c r="W146" i="48"/>
  <c r="T116" i="48"/>
  <c r="W116" i="48" s="1"/>
  <c r="T242" i="48" l="1"/>
  <c r="W242" i="48" s="1"/>
  <c r="W8" i="48"/>
  <c r="R204" i="43" l="1"/>
  <c r="Q204" i="43"/>
  <c r="A203" i="43"/>
  <c r="AC200" i="43"/>
  <c r="AB200" i="43"/>
  <c r="AB199" i="43" s="1"/>
  <c r="AB198" i="43" s="1"/>
  <c r="AB197" i="43" s="1"/>
  <c r="AB196" i="43" s="1"/>
  <c r="Y200" i="43"/>
  <c r="Z200" i="43" s="1"/>
  <c r="W200" i="43"/>
  <c r="V200" i="43"/>
  <c r="V199" i="43" s="1"/>
  <c r="V198" i="43" s="1"/>
  <c r="V197" i="43" s="1"/>
  <c r="V196" i="43" s="1"/>
  <c r="T200" i="43"/>
  <c r="B200" i="43"/>
  <c r="A200" i="43" s="1"/>
  <c r="AA199" i="43"/>
  <c r="Y199" i="43"/>
  <c r="Y198" i="43" s="1"/>
  <c r="X199" i="43"/>
  <c r="U199" i="43"/>
  <c r="T199" i="43"/>
  <c r="S199" i="43"/>
  <c r="R199" i="43"/>
  <c r="R198" i="43" s="1"/>
  <c r="R197" i="43" s="1"/>
  <c r="R196" i="43" s="1"/>
  <c r="Q199" i="43"/>
  <c r="Q198" i="43" s="1"/>
  <c r="P199" i="43"/>
  <c r="O199" i="43"/>
  <c r="N199" i="43"/>
  <c r="N198" i="43" s="1"/>
  <c r="N197" i="43" s="1"/>
  <c r="N196" i="43" s="1"/>
  <c r="B199" i="43"/>
  <c r="A199" i="43" s="1"/>
  <c r="AA198" i="43"/>
  <c r="AA197" i="43" s="1"/>
  <c r="X198" i="43"/>
  <c r="X197" i="43" s="1"/>
  <c r="X196" i="43" s="1"/>
  <c r="T198" i="43"/>
  <c r="T197" i="43" s="1"/>
  <c r="S198" i="43"/>
  <c r="S197" i="43" s="1"/>
  <c r="P198" i="43"/>
  <c r="P197" i="43" s="1"/>
  <c r="P196" i="43" s="1"/>
  <c r="O198" i="43"/>
  <c r="O197" i="43" s="1"/>
  <c r="O196" i="43" s="1"/>
  <c r="B198" i="43"/>
  <c r="A198" i="43" s="1"/>
  <c r="Y197" i="43"/>
  <c r="Y196" i="43" s="1"/>
  <c r="Q197" i="43"/>
  <c r="Q196" i="43" s="1"/>
  <c r="B197" i="43"/>
  <c r="A197" i="43" s="1"/>
  <c r="AA196" i="43"/>
  <c r="S196" i="43"/>
  <c r="B196" i="43"/>
  <c r="A196" i="43" s="1"/>
  <c r="AC195" i="43"/>
  <c r="AB195" i="43"/>
  <c r="Z195" i="43"/>
  <c r="Y195" i="43"/>
  <c r="W195" i="43"/>
  <c r="T195" i="43"/>
  <c r="V195" i="43" s="1"/>
  <c r="B195" i="43"/>
  <c r="A195" i="43"/>
  <c r="AC194" i="43"/>
  <c r="AB194" i="43"/>
  <c r="Y194" i="43"/>
  <c r="Q194" i="43"/>
  <c r="B194" i="43"/>
  <c r="A194" i="43"/>
  <c r="AB193" i="43"/>
  <c r="AB192" i="43" s="1"/>
  <c r="AA193" i="43"/>
  <c r="X193" i="43"/>
  <c r="X192" i="43" s="1"/>
  <c r="U193" i="43"/>
  <c r="U192" i="43" s="1"/>
  <c r="AC192" i="43" s="1"/>
  <c r="S193" i="43"/>
  <c r="R193" i="43"/>
  <c r="P193" i="43"/>
  <c r="P192" i="43" s="1"/>
  <c r="O193" i="43"/>
  <c r="N193" i="43"/>
  <c r="B193" i="43"/>
  <c r="A193" i="43"/>
  <c r="AA192" i="43"/>
  <c r="S192" i="43"/>
  <c r="R192" i="43"/>
  <c r="O192" i="43"/>
  <c r="N192" i="43"/>
  <c r="B192" i="43"/>
  <c r="A192" i="43"/>
  <c r="AC191" i="43"/>
  <c r="AB191" i="43"/>
  <c r="AB190" i="43" s="1"/>
  <c r="Z191" i="43"/>
  <c r="Y191" i="43"/>
  <c r="Y190" i="43" s="1"/>
  <c r="V191" i="43"/>
  <c r="V190" i="43" s="1"/>
  <c r="R191" i="43"/>
  <c r="T191" i="43" s="1"/>
  <c r="B191" i="43"/>
  <c r="A191" i="43"/>
  <c r="AA190" i="43"/>
  <c r="Z190" i="43"/>
  <c r="X190" i="43"/>
  <c r="U190" i="43"/>
  <c r="AC190" i="43" s="1"/>
  <c r="S190" i="43"/>
  <c r="R190" i="43"/>
  <c r="Q190" i="43"/>
  <c r="P190" i="43"/>
  <c r="O190" i="43"/>
  <c r="N190" i="43"/>
  <c r="B190" i="43"/>
  <c r="A190" i="43"/>
  <c r="AC189" i="43"/>
  <c r="AB189" i="43"/>
  <c r="AB188" i="43" s="1"/>
  <c r="Y189" i="43"/>
  <c r="Z189" i="43" s="1"/>
  <c r="W189" i="43"/>
  <c r="V189" i="43"/>
  <c r="V188" i="43" s="1"/>
  <c r="T189" i="43"/>
  <c r="B189" i="43"/>
  <c r="A189" i="43" s="1"/>
  <c r="AA188" i="43"/>
  <c r="AA185" i="43" s="1"/>
  <c r="Y188" i="43"/>
  <c r="X188" i="43"/>
  <c r="U188" i="43"/>
  <c r="T188" i="43"/>
  <c r="S188" i="43"/>
  <c r="S185" i="43" s="1"/>
  <c r="R188" i="43"/>
  <c r="Q188" i="43"/>
  <c r="Q185" i="43" s="1"/>
  <c r="P188" i="43"/>
  <c r="O188" i="43"/>
  <c r="O185" i="43" s="1"/>
  <c r="N188" i="43"/>
  <c r="B188" i="43"/>
  <c r="A188" i="43" s="1"/>
  <c r="AC187" i="43"/>
  <c r="AB187" i="43"/>
  <c r="Z187" i="43"/>
  <c r="Y187" i="43"/>
  <c r="T187" i="43"/>
  <c r="T186" i="43" s="1"/>
  <c r="B187" i="43"/>
  <c r="A187" i="43"/>
  <c r="AB186" i="43"/>
  <c r="AB185" i="43" s="1"/>
  <c r="AA186" i="43"/>
  <c r="Z186" i="43"/>
  <c r="Y186" i="43"/>
  <c r="X186" i="43"/>
  <c r="X185" i="43" s="1"/>
  <c r="U186" i="43"/>
  <c r="AC186" i="43" s="1"/>
  <c r="S186" i="43"/>
  <c r="R186" i="43"/>
  <c r="Q186" i="43"/>
  <c r="P186" i="43"/>
  <c r="P185" i="43" s="1"/>
  <c r="O186" i="43"/>
  <c r="N186" i="43"/>
  <c r="B186" i="43"/>
  <c r="A186" i="43"/>
  <c r="R185" i="43"/>
  <c r="N185" i="43"/>
  <c r="B185" i="43"/>
  <c r="A185" i="43"/>
  <c r="AC184" i="43"/>
  <c r="AB184" i="43"/>
  <c r="AB183" i="43" s="1"/>
  <c r="AB182" i="43" s="1"/>
  <c r="Y184" i="43"/>
  <c r="Z184" i="43" s="1"/>
  <c r="V184" i="43"/>
  <c r="V183" i="43" s="1"/>
  <c r="V182" i="43" s="1"/>
  <c r="T184" i="43"/>
  <c r="W184" i="43" s="1"/>
  <c r="B184" i="43"/>
  <c r="A184" i="43" s="1"/>
  <c r="AA183" i="43"/>
  <c r="Y183" i="43"/>
  <c r="Y182" i="43" s="1"/>
  <c r="X183" i="43"/>
  <c r="U183" i="43"/>
  <c r="T183" i="43"/>
  <c r="S183" i="43"/>
  <c r="R183" i="43"/>
  <c r="Q183" i="43"/>
  <c r="Q182" i="43" s="1"/>
  <c r="P183" i="43"/>
  <c r="O183" i="43"/>
  <c r="N183" i="43"/>
  <c r="B183" i="43"/>
  <c r="A183" i="43" s="1"/>
  <c r="AA182" i="43"/>
  <c r="X182" i="43"/>
  <c r="T182" i="43"/>
  <c r="S182" i="43"/>
  <c r="R182" i="43"/>
  <c r="P182" i="43"/>
  <c r="O182" i="43"/>
  <c r="N182" i="43"/>
  <c r="B182" i="43"/>
  <c r="A182" i="43" s="1"/>
  <c r="AC181" i="43"/>
  <c r="AB181" i="43"/>
  <c r="Z181" i="43"/>
  <c r="Y181" i="43"/>
  <c r="W181" i="43"/>
  <c r="T181" i="43"/>
  <c r="V181" i="43" s="1"/>
  <c r="B181" i="43"/>
  <c r="A181" i="43"/>
  <c r="AB180" i="43"/>
  <c r="AA180" i="43"/>
  <c r="Z180" i="43"/>
  <c r="Y180" i="43"/>
  <c r="X180" i="43"/>
  <c r="V180" i="43"/>
  <c r="U180" i="43"/>
  <c r="AC180" i="43" s="1"/>
  <c r="T180" i="43"/>
  <c r="W180" i="43" s="1"/>
  <c r="S180" i="43"/>
  <c r="R180" i="43"/>
  <c r="Q180" i="43"/>
  <c r="P180" i="43"/>
  <c r="O180" i="43"/>
  <c r="N180" i="43"/>
  <c r="B180" i="43"/>
  <c r="A180" i="43"/>
  <c r="AC179" i="43"/>
  <c r="AB179" i="43"/>
  <c r="AB178" i="43" s="1"/>
  <c r="Y179" i="43"/>
  <c r="Z179" i="43" s="1"/>
  <c r="V179" i="43"/>
  <c r="V178" i="43" s="1"/>
  <c r="T179" i="43"/>
  <c r="W179" i="43" s="1"/>
  <c r="B179" i="43"/>
  <c r="A179" i="43" s="1"/>
  <c r="AA178" i="43"/>
  <c r="Y178" i="43"/>
  <c r="X178" i="43"/>
  <c r="U178" i="43"/>
  <c r="T178" i="43"/>
  <c r="S178" i="43"/>
  <c r="R178" i="43"/>
  <c r="Q178" i="43"/>
  <c r="P178" i="43"/>
  <c r="O178" i="43"/>
  <c r="N178" i="43"/>
  <c r="B178" i="43"/>
  <c r="A178" i="43" s="1"/>
  <c r="AC177" i="43"/>
  <c r="AB177" i="43"/>
  <c r="Z177" i="43"/>
  <c r="Y177" i="43"/>
  <c r="Y176" i="43" s="1"/>
  <c r="Z176" i="43" s="1"/>
  <c r="T177" i="43"/>
  <c r="T176" i="43" s="1"/>
  <c r="B177" i="43"/>
  <c r="A177" i="43" s="1"/>
  <c r="AB176" i="43"/>
  <c r="AA176" i="43"/>
  <c r="X176" i="43"/>
  <c r="X173" i="43" s="1"/>
  <c r="U176" i="43"/>
  <c r="AC176" i="43" s="1"/>
  <c r="S176" i="43"/>
  <c r="R176" i="43"/>
  <c r="Q176" i="43"/>
  <c r="P176" i="43"/>
  <c r="O176" i="43"/>
  <c r="N176" i="43"/>
  <c r="B176" i="43"/>
  <c r="A176" i="43"/>
  <c r="AC175" i="43"/>
  <c r="AB175" i="43"/>
  <c r="Y175" i="43"/>
  <c r="Q175" i="43"/>
  <c r="B175" i="43"/>
  <c r="A175" i="43" s="1"/>
  <c r="AB174" i="43"/>
  <c r="AA174" i="43"/>
  <c r="AA173" i="43" s="1"/>
  <c r="X174" i="43"/>
  <c r="U174" i="43"/>
  <c r="AC174" i="43" s="1"/>
  <c r="S174" i="43"/>
  <c r="S173" i="43" s="1"/>
  <c r="R174" i="43"/>
  <c r="P174" i="43"/>
  <c r="O174" i="43"/>
  <c r="O173" i="43" s="1"/>
  <c r="N174" i="43"/>
  <c r="B174" i="43"/>
  <c r="A174" i="43"/>
  <c r="R173" i="43"/>
  <c r="N173" i="43"/>
  <c r="B173" i="43"/>
  <c r="A173" i="43" s="1"/>
  <c r="AC172" i="43"/>
  <c r="AB172" i="43"/>
  <c r="AB171" i="43" s="1"/>
  <c r="Z172" i="43"/>
  <c r="Y172" i="43"/>
  <c r="V172" i="43"/>
  <c r="V171" i="43" s="1"/>
  <c r="T172" i="43"/>
  <c r="W172" i="43" s="1"/>
  <c r="B172" i="43"/>
  <c r="A172" i="43" s="1"/>
  <c r="AA171" i="43"/>
  <c r="Y171" i="43"/>
  <c r="X171" i="43"/>
  <c r="U171" i="43"/>
  <c r="T171" i="43"/>
  <c r="W171" i="43" s="1"/>
  <c r="S171" i="43"/>
  <c r="R171" i="43"/>
  <c r="Q171" i="43"/>
  <c r="P171" i="43"/>
  <c r="O171" i="43"/>
  <c r="N171" i="43"/>
  <c r="B171" i="43"/>
  <c r="A171" i="43" s="1"/>
  <c r="AC170" i="43"/>
  <c r="AB170" i="43"/>
  <c r="Z170" i="43"/>
  <c r="Y170" i="43"/>
  <c r="Y169" i="43" s="1"/>
  <c r="Y168" i="43" s="1"/>
  <c r="T170" i="43"/>
  <c r="B170" i="43"/>
  <c r="A170" i="43" s="1"/>
  <c r="AB169" i="43"/>
  <c r="AB168" i="43" s="1"/>
  <c r="AA169" i="43"/>
  <c r="AA168" i="43" s="1"/>
  <c r="X169" i="43"/>
  <c r="X168" i="43" s="1"/>
  <c r="U169" i="43"/>
  <c r="Z169" i="43" s="1"/>
  <c r="T169" i="43"/>
  <c r="S169" i="43"/>
  <c r="S168" i="43" s="1"/>
  <c r="R169" i="43"/>
  <c r="Q169" i="43"/>
  <c r="P169" i="43"/>
  <c r="P168" i="43" s="1"/>
  <c r="O169" i="43"/>
  <c r="O168" i="43" s="1"/>
  <c r="N169" i="43"/>
  <c r="B169" i="43"/>
  <c r="A169" i="43"/>
  <c r="R168" i="43"/>
  <c r="Q168" i="43"/>
  <c r="N168" i="43"/>
  <c r="B168" i="43"/>
  <c r="A168" i="43" s="1"/>
  <c r="AC167" i="43"/>
  <c r="AB167" i="43"/>
  <c r="AB166" i="43" s="1"/>
  <c r="Z167" i="43"/>
  <c r="Y167" i="43"/>
  <c r="T167" i="43"/>
  <c r="B167" i="43"/>
  <c r="A167" i="43" s="1"/>
  <c r="AC166" i="43"/>
  <c r="AA166" i="43"/>
  <c r="Y166" i="43"/>
  <c r="X166" i="43"/>
  <c r="U166" i="43"/>
  <c r="T166" i="43"/>
  <c r="W166" i="43" s="1"/>
  <c r="S166" i="43"/>
  <c r="R166" i="43"/>
  <c r="Q166" i="43"/>
  <c r="P166" i="43"/>
  <c r="P161" i="43" s="1"/>
  <c r="O166" i="43"/>
  <c r="N166" i="43"/>
  <c r="B166" i="43"/>
  <c r="A166" i="43"/>
  <c r="AC165" i="43"/>
  <c r="AB165" i="43"/>
  <c r="Y165" i="43"/>
  <c r="Z165" i="43" s="1"/>
  <c r="T165" i="43"/>
  <c r="R165" i="43"/>
  <c r="R162" i="43" s="1"/>
  <c r="B165" i="43"/>
  <c r="A165" i="43" s="1"/>
  <c r="AC164" i="43"/>
  <c r="AB164" i="43"/>
  <c r="AB162" i="43" s="1"/>
  <c r="AB161" i="43" s="1"/>
  <c r="Z164" i="43"/>
  <c r="Y164" i="43"/>
  <c r="W164" i="43"/>
  <c r="V164" i="43"/>
  <c r="T164" i="43"/>
  <c r="B164" i="43"/>
  <c r="A164" i="43"/>
  <c r="AC163" i="43"/>
  <c r="AB163" i="43"/>
  <c r="Y163" i="43"/>
  <c r="Q163" i="43"/>
  <c r="B163" i="43"/>
  <c r="A163" i="43" s="1"/>
  <c r="AA162" i="43"/>
  <c r="AA161" i="43" s="1"/>
  <c r="X162" i="43"/>
  <c r="X161" i="43" s="1"/>
  <c r="U162" i="43"/>
  <c r="S162" i="43"/>
  <c r="P162" i="43"/>
  <c r="O162" i="43"/>
  <c r="N162" i="43"/>
  <c r="B162" i="43"/>
  <c r="A162" i="43"/>
  <c r="U161" i="43"/>
  <c r="AC161" i="43" s="1"/>
  <c r="S161" i="43"/>
  <c r="R161" i="43"/>
  <c r="O161" i="43"/>
  <c r="N161" i="43"/>
  <c r="B161" i="43"/>
  <c r="A161" i="43" s="1"/>
  <c r="AC160" i="43"/>
  <c r="AB160" i="43"/>
  <c r="Z160" i="43"/>
  <c r="Y160" i="43"/>
  <c r="Y159" i="43" s="1"/>
  <c r="Z159" i="43" s="1"/>
  <c r="T160" i="43"/>
  <c r="B160" i="43"/>
  <c r="A160" i="43" s="1"/>
  <c r="AB159" i="43"/>
  <c r="AA159" i="43"/>
  <c r="X159" i="43"/>
  <c r="X152" i="43" s="1"/>
  <c r="U159" i="43"/>
  <c r="AC159" i="43" s="1"/>
  <c r="S159" i="43"/>
  <c r="R159" i="43"/>
  <c r="Q159" i="43"/>
  <c r="P159" i="43"/>
  <c r="P152" i="43" s="1"/>
  <c r="O159" i="43"/>
  <c r="N159" i="43"/>
  <c r="B159" i="43"/>
  <c r="A159" i="43"/>
  <c r="AC158" i="43"/>
  <c r="AB158" i="43"/>
  <c r="AB157" i="43" s="1"/>
  <c r="Y158" i="43"/>
  <c r="W158" i="43"/>
  <c r="V158" i="43"/>
  <c r="T158" i="43"/>
  <c r="B158" i="43"/>
  <c r="A158" i="43" s="1"/>
  <c r="AA157" i="43"/>
  <c r="X157" i="43"/>
  <c r="W157" i="43"/>
  <c r="V157" i="43"/>
  <c r="U157" i="43"/>
  <c r="T157" i="43"/>
  <c r="S157" i="43"/>
  <c r="R157" i="43"/>
  <c r="Q157" i="43"/>
  <c r="P157" i="43"/>
  <c r="O157" i="43"/>
  <c r="O152" i="43" s="1"/>
  <c r="N157" i="43"/>
  <c r="B157" i="43"/>
  <c r="A157" i="43" s="1"/>
  <c r="AC156" i="43"/>
  <c r="AB156" i="43"/>
  <c r="Z156" i="43"/>
  <c r="Y156" i="43"/>
  <c r="W156" i="43"/>
  <c r="T156" i="43"/>
  <c r="V156" i="43" s="1"/>
  <c r="B156" i="43"/>
  <c r="A156" i="43"/>
  <c r="AB155" i="43"/>
  <c r="AA155" i="43"/>
  <c r="Z155" i="43"/>
  <c r="Y155" i="43"/>
  <c r="X155" i="43"/>
  <c r="V155" i="43"/>
  <c r="U155" i="43"/>
  <c r="AC155" i="43" s="1"/>
  <c r="T155" i="43"/>
  <c r="W155" i="43" s="1"/>
  <c r="S155" i="43"/>
  <c r="R155" i="43"/>
  <c r="R152" i="43" s="1"/>
  <c r="Q155" i="43"/>
  <c r="P155" i="43"/>
  <c r="O155" i="43"/>
  <c r="N155" i="43"/>
  <c r="N152" i="43" s="1"/>
  <c r="B155" i="43"/>
  <c r="A155" i="43"/>
  <c r="AC154" i="43"/>
  <c r="AB154" i="43"/>
  <c r="AB153" i="43" s="1"/>
  <c r="AB152" i="43" s="1"/>
  <c r="Y154" i="43"/>
  <c r="Z154" i="43" s="1"/>
  <c r="V154" i="43"/>
  <c r="V153" i="43" s="1"/>
  <c r="T154" i="43"/>
  <c r="W154" i="43" s="1"/>
  <c r="B154" i="43"/>
  <c r="A154" i="43" s="1"/>
  <c r="AA153" i="43"/>
  <c r="Y153" i="43"/>
  <c r="X153" i="43"/>
  <c r="U153" i="43"/>
  <c r="T153" i="43"/>
  <c r="S153" i="43"/>
  <c r="R153" i="43"/>
  <c r="Q153" i="43"/>
  <c r="Q152" i="43" s="1"/>
  <c r="P153" i="43"/>
  <c r="O153" i="43"/>
  <c r="N153" i="43"/>
  <c r="B153" i="43"/>
  <c r="A153" i="43" s="1"/>
  <c r="AA152" i="43"/>
  <c r="S152" i="43"/>
  <c r="B152" i="43"/>
  <c r="A152" i="43" s="1"/>
  <c r="AC151" i="43"/>
  <c r="AB151" i="43"/>
  <c r="Z151" i="43"/>
  <c r="Y151" i="43"/>
  <c r="W151" i="43"/>
  <c r="T151" i="43"/>
  <c r="V151" i="43" s="1"/>
  <c r="B151" i="43"/>
  <c r="A151" i="43"/>
  <c r="AB150" i="43"/>
  <c r="AA150" i="43"/>
  <c r="Z150" i="43"/>
  <c r="Y150" i="43"/>
  <c r="X150" i="43"/>
  <c r="V150" i="43"/>
  <c r="U150" i="43"/>
  <c r="AC150" i="43" s="1"/>
  <c r="T150" i="43"/>
  <c r="W150" i="43" s="1"/>
  <c r="S150" i="43"/>
  <c r="R150" i="43"/>
  <c r="R145" i="43" s="1"/>
  <c r="R144" i="43" s="1"/>
  <c r="R143" i="43" s="1"/>
  <c r="Q150" i="43"/>
  <c r="P150" i="43"/>
  <c r="O150" i="43"/>
  <c r="N150" i="43"/>
  <c r="B150" i="43"/>
  <c r="A150" i="43"/>
  <c r="AC149" i="43"/>
  <c r="AB149" i="43"/>
  <c r="Y149" i="43"/>
  <c r="Z149" i="43" s="1"/>
  <c r="W149" i="43"/>
  <c r="V149" i="43"/>
  <c r="T149" i="43"/>
  <c r="B149" i="43"/>
  <c r="A149" i="43" s="1"/>
  <c r="AC148" i="43"/>
  <c r="AB148" i="43"/>
  <c r="Z148" i="43"/>
  <c r="Y148" i="43"/>
  <c r="W148" i="43"/>
  <c r="T148" i="43"/>
  <c r="V148" i="43" s="1"/>
  <c r="Q148" i="43"/>
  <c r="B148" i="43"/>
  <c r="A148" i="43" s="1"/>
  <c r="AC147" i="43"/>
  <c r="AB147" i="43"/>
  <c r="Z147" i="43"/>
  <c r="Y147" i="43"/>
  <c r="T147" i="43"/>
  <c r="R147" i="43"/>
  <c r="B147" i="43"/>
  <c r="A147" i="43" s="1"/>
  <c r="AA146" i="43"/>
  <c r="Y146" i="43"/>
  <c r="Y145" i="43" s="1"/>
  <c r="X146" i="43"/>
  <c r="U146" i="43"/>
  <c r="S146" i="43"/>
  <c r="R146" i="43"/>
  <c r="Q146" i="43"/>
  <c r="Q145" i="43" s="1"/>
  <c r="P146" i="43"/>
  <c r="O146" i="43"/>
  <c r="N146" i="43"/>
  <c r="B146" i="43"/>
  <c r="A146" i="43" s="1"/>
  <c r="AA145" i="43"/>
  <c r="AA144" i="43" s="1"/>
  <c r="X145" i="43"/>
  <c r="S145" i="43"/>
  <c r="S144" i="43" s="1"/>
  <c r="S143" i="43" s="1"/>
  <c r="P145" i="43"/>
  <c r="O145" i="43"/>
  <c r="B145" i="43"/>
  <c r="A145" i="43" s="1"/>
  <c r="B144" i="43"/>
  <c r="A144" i="43" s="1"/>
  <c r="AA143" i="43"/>
  <c r="B143" i="43"/>
  <c r="A143" i="43" s="1"/>
  <c r="AC142" i="43"/>
  <c r="AB142" i="43"/>
  <c r="Z142" i="43"/>
  <c r="Y142" i="43"/>
  <c r="W142" i="43"/>
  <c r="T142" i="43"/>
  <c r="V142" i="43" s="1"/>
  <c r="B142" i="43"/>
  <c r="A142" i="43"/>
  <c r="AC141" i="43"/>
  <c r="AB141" i="43"/>
  <c r="AB140" i="43" s="1"/>
  <c r="Y141" i="43"/>
  <c r="V141" i="43"/>
  <c r="V140" i="43" s="1"/>
  <c r="T141" i="43"/>
  <c r="W141" i="43" s="1"/>
  <c r="B141" i="43"/>
  <c r="A141" i="43" s="1"/>
  <c r="AA140" i="43"/>
  <c r="X140" i="43"/>
  <c r="U140" i="43"/>
  <c r="S140" i="43"/>
  <c r="R140" i="43"/>
  <c r="Q140" i="43"/>
  <c r="P140" i="43"/>
  <c r="O140" i="43"/>
  <c r="N140" i="43"/>
  <c r="B140" i="43"/>
  <c r="A140" i="43" s="1"/>
  <c r="AC139" i="43"/>
  <c r="AB139" i="43"/>
  <c r="Z139" i="43"/>
  <c r="Y139" i="43"/>
  <c r="Y138" i="43" s="1"/>
  <c r="W139" i="43"/>
  <c r="T139" i="43"/>
  <c r="V139" i="43" s="1"/>
  <c r="V138" i="43" s="1"/>
  <c r="B139" i="43"/>
  <c r="A139" i="43"/>
  <c r="AB138" i="43"/>
  <c r="AA138" i="43"/>
  <c r="Z138" i="43"/>
  <c r="X138" i="43"/>
  <c r="U138" i="43"/>
  <c r="AC138" i="43" s="1"/>
  <c r="T138" i="43"/>
  <c r="W138" i="43" s="1"/>
  <c r="S138" i="43"/>
  <c r="R138" i="43"/>
  <c r="R129" i="43" s="1"/>
  <c r="Q138" i="43"/>
  <c r="P138" i="43"/>
  <c r="O138" i="43"/>
  <c r="N138" i="43"/>
  <c r="B138" i="43"/>
  <c r="A138" i="43"/>
  <c r="AC137" i="43"/>
  <c r="AB137" i="43"/>
  <c r="AB136" i="43" s="1"/>
  <c r="Y137" i="43"/>
  <c r="Z137" i="43" s="1"/>
  <c r="W137" i="43"/>
  <c r="V137" i="43"/>
  <c r="V136" i="43" s="1"/>
  <c r="T137" i="43"/>
  <c r="B137" i="43"/>
  <c r="A137" i="43" s="1"/>
  <c r="AA136" i="43"/>
  <c r="Y136" i="43"/>
  <c r="X136" i="43"/>
  <c r="U136" i="43"/>
  <c r="T136" i="43"/>
  <c r="S136" i="43"/>
  <c r="R136" i="43"/>
  <c r="Q136" i="43"/>
  <c r="Q129" i="43" s="1"/>
  <c r="P136" i="43"/>
  <c r="O136" i="43"/>
  <c r="N136" i="43"/>
  <c r="B136" i="43"/>
  <c r="A136" i="43" s="1"/>
  <c r="AC135" i="43"/>
  <c r="AB135" i="43"/>
  <c r="Z135" i="43"/>
  <c r="Y135" i="43"/>
  <c r="T135" i="43"/>
  <c r="B135" i="43"/>
  <c r="A135" i="43"/>
  <c r="AB134" i="43"/>
  <c r="AB129" i="43" s="1"/>
  <c r="AA134" i="43"/>
  <c r="Z134" i="43"/>
  <c r="Y134" i="43"/>
  <c r="X134" i="43"/>
  <c r="U134" i="43"/>
  <c r="AC134" i="43" s="1"/>
  <c r="T134" i="43"/>
  <c r="W134" i="43" s="1"/>
  <c r="S134" i="43"/>
  <c r="R134" i="43"/>
  <c r="Q134" i="43"/>
  <c r="P134" i="43"/>
  <c r="O134" i="43"/>
  <c r="N134" i="43"/>
  <c r="B134" i="43"/>
  <c r="A134" i="43"/>
  <c r="AC133" i="43"/>
  <c r="AB133" i="43"/>
  <c r="Y133" i="43"/>
  <c r="T133" i="43"/>
  <c r="W133" i="43" s="1"/>
  <c r="B133" i="43"/>
  <c r="A133" i="43" s="1"/>
  <c r="AB132" i="43"/>
  <c r="AA132" i="43"/>
  <c r="X132" i="43"/>
  <c r="W132" i="43"/>
  <c r="U132" i="43"/>
  <c r="T132" i="43"/>
  <c r="S132" i="43"/>
  <c r="R132" i="43"/>
  <c r="Q132" i="43"/>
  <c r="P132" i="43"/>
  <c r="O132" i="43"/>
  <c r="N132" i="43"/>
  <c r="B132" i="43"/>
  <c r="A132" i="43" s="1"/>
  <c r="AC131" i="43"/>
  <c r="AB131" i="43"/>
  <c r="Z131" i="43"/>
  <c r="Y131" i="43"/>
  <c r="Y130" i="43" s="1"/>
  <c r="W131" i="43"/>
  <c r="T131" i="43"/>
  <c r="V131" i="43" s="1"/>
  <c r="B131" i="43"/>
  <c r="A131" i="43"/>
  <c r="AB130" i="43"/>
  <c r="AA130" i="43"/>
  <c r="Z130" i="43"/>
  <c r="X130" i="43"/>
  <c r="V130" i="43"/>
  <c r="U130" i="43"/>
  <c r="AC130" i="43" s="1"/>
  <c r="T130" i="43"/>
  <c r="W130" i="43" s="1"/>
  <c r="S130" i="43"/>
  <c r="R130" i="43"/>
  <c r="Q130" i="43"/>
  <c r="P130" i="43"/>
  <c r="P129" i="43" s="1"/>
  <c r="P115" i="43" s="1"/>
  <c r="P114" i="43" s="1"/>
  <c r="O130" i="43"/>
  <c r="N130" i="43"/>
  <c r="B130" i="43"/>
  <c r="A130" i="43"/>
  <c r="U129" i="43"/>
  <c r="N129" i="43"/>
  <c r="B129" i="43"/>
  <c r="A129" i="43"/>
  <c r="AC128" i="43"/>
  <c r="AB128" i="43"/>
  <c r="Y128" i="43"/>
  <c r="Z128" i="43" s="1"/>
  <c r="V128" i="43"/>
  <c r="V127" i="43" s="1"/>
  <c r="T128" i="43"/>
  <c r="B128" i="43"/>
  <c r="A128" i="43" s="1"/>
  <c r="AB127" i="43"/>
  <c r="AA127" i="43"/>
  <c r="X127" i="43"/>
  <c r="U127" i="43"/>
  <c r="S127" i="43"/>
  <c r="R127" i="43"/>
  <c r="Q127" i="43"/>
  <c r="P127" i="43"/>
  <c r="O127" i="43"/>
  <c r="N127" i="43"/>
  <c r="B127" i="43"/>
  <c r="A127" i="43" s="1"/>
  <c r="AC126" i="43"/>
  <c r="AB126" i="43"/>
  <c r="Z126" i="43"/>
  <c r="Y126" i="43"/>
  <c r="Y125" i="43" s="1"/>
  <c r="T126" i="43"/>
  <c r="B126" i="43"/>
  <c r="A126" i="43" s="1"/>
  <c r="AB125" i="43"/>
  <c r="AA125" i="43"/>
  <c r="Z125" i="43"/>
  <c r="X125" i="43"/>
  <c r="U125" i="43"/>
  <c r="AC125" i="43" s="1"/>
  <c r="S125" i="43"/>
  <c r="R125" i="43"/>
  <c r="R116" i="43" s="1"/>
  <c r="R115" i="43" s="1"/>
  <c r="Q125" i="43"/>
  <c r="P125" i="43"/>
  <c r="O125" i="43"/>
  <c r="N125" i="43"/>
  <c r="N116" i="43" s="1"/>
  <c r="N115" i="43" s="1"/>
  <c r="N114" i="43" s="1"/>
  <c r="B125" i="43"/>
  <c r="A125" i="43"/>
  <c r="AC124" i="43"/>
  <c r="AB124" i="43"/>
  <c r="AB123" i="43" s="1"/>
  <c r="Y124" i="43"/>
  <c r="W124" i="43"/>
  <c r="V124" i="43"/>
  <c r="T124" i="43"/>
  <c r="B124" i="43"/>
  <c r="A124" i="43" s="1"/>
  <c r="AA123" i="43"/>
  <c r="AC123" i="43" s="1"/>
  <c r="X123" i="43"/>
  <c r="W123" i="43"/>
  <c r="V123" i="43"/>
  <c r="U123" i="43"/>
  <c r="T123" i="43"/>
  <c r="S123" i="43"/>
  <c r="R123" i="43"/>
  <c r="Q123" i="43"/>
  <c r="P123" i="43"/>
  <c r="O123" i="43"/>
  <c r="N123" i="43"/>
  <c r="B123" i="43"/>
  <c r="A123" i="43" s="1"/>
  <c r="AC122" i="43"/>
  <c r="AB122" i="43"/>
  <c r="Z122" i="43"/>
  <c r="Y122" i="43"/>
  <c r="V122" i="43"/>
  <c r="V121" i="43" s="1"/>
  <c r="T122" i="43"/>
  <c r="W122" i="43" s="1"/>
  <c r="B122" i="43"/>
  <c r="A122" i="43"/>
  <c r="AC121" i="43"/>
  <c r="AB121" i="43"/>
  <c r="AA121" i="43"/>
  <c r="Y121" i="43"/>
  <c r="X121" i="43"/>
  <c r="U121" i="43"/>
  <c r="Z121" i="43" s="1"/>
  <c r="S121" i="43"/>
  <c r="R121" i="43"/>
  <c r="Q121" i="43"/>
  <c r="P121" i="43"/>
  <c r="O121" i="43"/>
  <c r="N121" i="43"/>
  <c r="B121" i="43"/>
  <c r="A121" i="43"/>
  <c r="AC120" i="43"/>
  <c r="AB120" i="43"/>
  <c r="Y120" i="43"/>
  <c r="Z120" i="43" s="1"/>
  <c r="V120" i="43"/>
  <c r="V119" i="43" s="1"/>
  <c r="T120" i="43"/>
  <c r="W120" i="43" s="1"/>
  <c r="B120" i="43"/>
  <c r="A120" i="43" s="1"/>
  <c r="AC119" i="43"/>
  <c r="AB119" i="43"/>
  <c r="AA119" i="43"/>
  <c r="Y119" i="43"/>
  <c r="X119" i="43"/>
  <c r="U119" i="43"/>
  <c r="T119" i="43"/>
  <c r="S119" i="43"/>
  <c r="R119" i="43"/>
  <c r="Q119" i="43"/>
  <c r="P119" i="43"/>
  <c r="O119" i="43"/>
  <c r="N119" i="43"/>
  <c r="B119" i="43"/>
  <c r="A119" i="43" s="1"/>
  <c r="AC118" i="43"/>
  <c r="AB118" i="43"/>
  <c r="Z118" i="43"/>
  <c r="Y118" i="43"/>
  <c r="Y117" i="43" s="1"/>
  <c r="T118" i="43"/>
  <c r="B118" i="43"/>
  <c r="A118" i="43" s="1"/>
  <c r="AB117" i="43"/>
  <c r="AA117" i="43"/>
  <c r="X117" i="43"/>
  <c r="X116" i="43" s="1"/>
  <c r="U117" i="43"/>
  <c r="Z117" i="43" s="1"/>
  <c r="S117" i="43"/>
  <c r="S116" i="43" s="1"/>
  <c r="R117" i="43"/>
  <c r="Q117" i="43"/>
  <c r="P117" i="43"/>
  <c r="P116" i="43" s="1"/>
  <c r="O117" i="43"/>
  <c r="O116" i="43" s="1"/>
  <c r="N117" i="43"/>
  <c r="B117" i="43"/>
  <c r="A117" i="43"/>
  <c r="U116" i="43"/>
  <c r="Q116" i="43"/>
  <c r="Q115" i="43" s="1"/>
  <c r="B116" i="43"/>
  <c r="A116" i="43" s="1"/>
  <c r="B115" i="43"/>
  <c r="A115" i="43"/>
  <c r="R114" i="43"/>
  <c r="R113" i="43" s="1"/>
  <c r="Q114" i="43"/>
  <c r="B114" i="43"/>
  <c r="A114" i="43" s="1"/>
  <c r="A113" i="43"/>
  <c r="AC112" i="43"/>
  <c r="AB112" i="43"/>
  <c r="AB111" i="43" s="1"/>
  <c r="Y112" i="43"/>
  <c r="Z112" i="43" s="1"/>
  <c r="W112" i="43"/>
  <c r="V112" i="43"/>
  <c r="V111" i="43" s="1"/>
  <c r="T112" i="43"/>
  <c r="B112" i="43"/>
  <c r="A112" i="43"/>
  <c r="AA111" i="43"/>
  <c r="Y111" i="43"/>
  <c r="X111" i="43"/>
  <c r="U111" i="43"/>
  <c r="W111" i="43" s="1"/>
  <c r="T111" i="43"/>
  <c r="S111" i="43"/>
  <c r="R111" i="43"/>
  <c r="Q111" i="43"/>
  <c r="P111" i="43"/>
  <c r="O111" i="43"/>
  <c r="N111" i="43"/>
  <c r="B111" i="43"/>
  <c r="A111" i="43" s="1"/>
  <c r="AC110" i="43"/>
  <c r="AB110" i="43"/>
  <c r="AB107" i="43" s="1"/>
  <c r="AB106" i="43" s="1"/>
  <c r="AB105" i="43" s="1"/>
  <c r="Z110" i="43"/>
  <c r="Y110" i="43"/>
  <c r="V110" i="43"/>
  <c r="T110" i="43"/>
  <c r="W110" i="43" s="1"/>
  <c r="Q110" i="43"/>
  <c r="B110" i="43"/>
  <c r="A110" i="43"/>
  <c r="AC109" i="43"/>
  <c r="AB109" i="43"/>
  <c r="Y109" i="43"/>
  <c r="Z109" i="43" s="1"/>
  <c r="W109" i="43"/>
  <c r="T109" i="43"/>
  <c r="V109" i="43" s="1"/>
  <c r="B109" i="43"/>
  <c r="A109" i="43"/>
  <c r="AC108" i="43"/>
  <c r="AB108" i="43"/>
  <c r="Y108" i="43"/>
  <c r="Y107" i="43" s="1"/>
  <c r="Y106" i="43" s="1"/>
  <c r="Y105" i="43" s="1"/>
  <c r="T108" i="43"/>
  <c r="B108" i="43"/>
  <c r="A108" i="43" s="1"/>
  <c r="AA107" i="43"/>
  <c r="AA106" i="43" s="1"/>
  <c r="AA105" i="43" s="1"/>
  <c r="X107" i="43"/>
  <c r="X106" i="43" s="1"/>
  <c r="X105" i="43" s="1"/>
  <c r="U107" i="43"/>
  <c r="S107" i="43"/>
  <c r="S106" i="43" s="1"/>
  <c r="S105" i="43" s="1"/>
  <c r="R107" i="43"/>
  <c r="Q107" i="43"/>
  <c r="P107" i="43"/>
  <c r="P106" i="43" s="1"/>
  <c r="P105" i="43" s="1"/>
  <c r="O107" i="43"/>
  <c r="O106" i="43" s="1"/>
  <c r="O105" i="43" s="1"/>
  <c r="N107" i="43"/>
  <c r="B107" i="43"/>
  <c r="A107" i="43"/>
  <c r="U106" i="43"/>
  <c r="R106" i="43"/>
  <c r="R105" i="43" s="1"/>
  <c r="Q106" i="43"/>
  <c r="N106" i="43"/>
  <c r="N105" i="43" s="1"/>
  <c r="B106" i="43"/>
  <c r="A106" i="43" s="1"/>
  <c r="Q105" i="43"/>
  <c r="B105" i="43"/>
  <c r="A105" i="43"/>
  <c r="AC104" i="43"/>
  <c r="AB104" i="43"/>
  <c r="Z104" i="43"/>
  <c r="Y104" i="43"/>
  <c r="Y103" i="43" s="1"/>
  <c r="W104" i="43"/>
  <c r="T104" i="43"/>
  <c r="V104" i="43" s="1"/>
  <c r="B104" i="43"/>
  <c r="A104" i="43"/>
  <c r="AB103" i="43"/>
  <c r="AB102" i="43" s="1"/>
  <c r="AA103" i="43"/>
  <c r="AA102" i="43" s="1"/>
  <c r="Z103" i="43"/>
  <c r="X103" i="43"/>
  <c r="X102" i="43" s="1"/>
  <c r="V103" i="43"/>
  <c r="U103" i="43"/>
  <c r="AC103" i="43" s="1"/>
  <c r="T103" i="43"/>
  <c r="W103" i="43" s="1"/>
  <c r="S103" i="43"/>
  <c r="S102" i="43" s="1"/>
  <c r="R103" i="43"/>
  <c r="Q103" i="43"/>
  <c r="P103" i="43"/>
  <c r="P102" i="43" s="1"/>
  <c r="O103" i="43"/>
  <c r="O102" i="43" s="1"/>
  <c r="N103" i="43"/>
  <c r="B103" i="43"/>
  <c r="A103" i="43"/>
  <c r="Y102" i="43"/>
  <c r="V102" i="43"/>
  <c r="U102" i="43"/>
  <c r="AC102" i="43" s="1"/>
  <c r="T102" i="43"/>
  <c r="W102" i="43" s="1"/>
  <c r="R102" i="43"/>
  <c r="Q102" i="43"/>
  <c r="N102" i="43"/>
  <c r="B102" i="43"/>
  <c r="A102" i="43" s="1"/>
  <c r="AC101" i="43"/>
  <c r="AB101" i="43"/>
  <c r="Z101" i="43"/>
  <c r="Y101" i="43"/>
  <c r="T101" i="43"/>
  <c r="B101" i="43"/>
  <c r="A101" i="43" s="1"/>
  <c r="AC100" i="43"/>
  <c r="AB100" i="43"/>
  <c r="Z100" i="43"/>
  <c r="Y100" i="43"/>
  <c r="T100" i="43"/>
  <c r="B100" i="43"/>
  <c r="A100" i="43"/>
  <c r="AC99" i="43"/>
  <c r="AB99" i="43"/>
  <c r="Y99" i="43"/>
  <c r="Z99" i="43" s="1"/>
  <c r="W99" i="43"/>
  <c r="V99" i="43"/>
  <c r="T99" i="43"/>
  <c r="B99" i="43"/>
  <c r="A99" i="43" s="1"/>
  <c r="AA98" i="43"/>
  <c r="AC98" i="43" s="1"/>
  <c r="X98" i="43"/>
  <c r="U98" i="43"/>
  <c r="S98" i="43"/>
  <c r="S97" i="43" s="1"/>
  <c r="S96" i="43" s="1"/>
  <c r="R98" i="43"/>
  <c r="R97" i="43" s="1"/>
  <c r="R96" i="43" s="1"/>
  <c r="Q98" i="43"/>
  <c r="P98" i="43"/>
  <c r="O98" i="43"/>
  <c r="O97" i="43" s="1"/>
  <c r="O96" i="43" s="1"/>
  <c r="N98" i="43"/>
  <c r="N97" i="43" s="1"/>
  <c r="N96" i="43" s="1"/>
  <c r="B98" i="43"/>
  <c r="A98" i="43" s="1"/>
  <c r="X97" i="43"/>
  <c r="X96" i="43" s="1"/>
  <c r="U97" i="43"/>
  <c r="Q97" i="43"/>
  <c r="Q96" i="43" s="1"/>
  <c r="P97" i="43"/>
  <c r="P96" i="43" s="1"/>
  <c r="B97" i="43"/>
  <c r="A97" i="43"/>
  <c r="B96" i="43"/>
  <c r="A96" i="43" s="1"/>
  <c r="AC95" i="43"/>
  <c r="AB95" i="43"/>
  <c r="Z95" i="43"/>
  <c r="Y95" i="43"/>
  <c r="T95" i="43"/>
  <c r="B95" i="43"/>
  <c r="A95" i="43" s="1"/>
  <c r="AC94" i="43"/>
  <c r="AB94" i="43"/>
  <c r="AB92" i="43" s="1"/>
  <c r="AB91" i="43" s="1"/>
  <c r="Z94" i="43"/>
  <c r="Y94" i="43"/>
  <c r="W94" i="43"/>
  <c r="V94" i="43"/>
  <c r="T94" i="43"/>
  <c r="B94" i="43"/>
  <c r="A94" i="43"/>
  <c r="AC93" i="43"/>
  <c r="AB93" i="43"/>
  <c r="Y93" i="43"/>
  <c r="Z93" i="43" s="1"/>
  <c r="O93" i="43"/>
  <c r="T93" i="43" s="1"/>
  <c r="W93" i="43" s="1"/>
  <c r="B93" i="43"/>
  <c r="A93" i="43" s="1"/>
  <c r="AA92" i="43"/>
  <c r="AA91" i="43" s="1"/>
  <c r="X92" i="43"/>
  <c r="X91" i="43" s="1"/>
  <c r="X90" i="43" s="1"/>
  <c r="U92" i="43"/>
  <c r="AC92" i="43" s="1"/>
  <c r="S92" i="43"/>
  <c r="S91" i="43" s="1"/>
  <c r="R92" i="43"/>
  <c r="Q92" i="43"/>
  <c r="P92" i="43"/>
  <c r="P91" i="43" s="1"/>
  <c r="P90" i="43" s="1"/>
  <c r="O92" i="43"/>
  <c r="O91" i="43" s="1"/>
  <c r="N92" i="43"/>
  <c r="B92" i="43"/>
  <c r="A92" i="43"/>
  <c r="U91" i="43"/>
  <c r="R91" i="43"/>
  <c r="Q91" i="43"/>
  <c r="Q90" i="43" s="1"/>
  <c r="N91" i="43"/>
  <c r="B91" i="43"/>
  <c r="A91" i="43" s="1"/>
  <c r="S90" i="43"/>
  <c r="O90" i="43"/>
  <c r="B90" i="43"/>
  <c r="A90" i="43"/>
  <c r="AC89" i="43"/>
  <c r="AB89" i="43"/>
  <c r="Y89" i="43"/>
  <c r="Z89" i="43" s="1"/>
  <c r="W89" i="43"/>
  <c r="V89" i="43"/>
  <c r="T89" i="43"/>
  <c r="B89" i="43"/>
  <c r="A89" i="43"/>
  <c r="AC88" i="43"/>
  <c r="AB88" i="43"/>
  <c r="Y88" i="43"/>
  <c r="Z88" i="43" s="1"/>
  <c r="R88" i="43"/>
  <c r="B88" i="43"/>
  <c r="A88" i="43" s="1"/>
  <c r="AC87" i="43"/>
  <c r="AB87" i="43"/>
  <c r="Z87" i="43"/>
  <c r="Y87" i="43"/>
  <c r="W87" i="43"/>
  <c r="V87" i="43"/>
  <c r="T87" i="43"/>
  <c r="B87" i="43"/>
  <c r="A87" i="43"/>
  <c r="AC86" i="43"/>
  <c r="AB86" i="43"/>
  <c r="Y86" i="43"/>
  <c r="Z86" i="43" s="1"/>
  <c r="W86" i="43"/>
  <c r="V86" i="43"/>
  <c r="T86" i="43"/>
  <c r="B86" i="43"/>
  <c r="A86" i="43"/>
  <c r="AC85" i="43"/>
  <c r="AB85" i="43"/>
  <c r="Y85" i="43"/>
  <c r="T85" i="43"/>
  <c r="W85" i="43" s="1"/>
  <c r="B85" i="43"/>
  <c r="A85" i="43" s="1"/>
  <c r="AC84" i="43"/>
  <c r="AB84" i="43"/>
  <c r="Z84" i="43"/>
  <c r="Y84" i="43"/>
  <c r="T84" i="43"/>
  <c r="B84" i="43"/>
  <c r="A84" i="43" s="1"/>
  <c r="AB83" i="43"/>
  <c r="AA83" i="43"/>
  <c r="X83" i="43"/>
  <c r="U83" i="43"/>
  <c r="S83" i="43"/>
  <c r="Q83" i="43"/>
  <c r="P83" i="43"/>
  <c r="O83" i="43"/>
  <c r="N83" i="43"/>
  <c r="B83" i="43"/>
  <c r="A83" i="43"/>
  <c r="AC82" i="43"/>
  <c r="AB82" i="43"/>
  <c r="Y82" i="43"/>
  <c r="Z82" i="43" s="1"/>
  <c r="T82" i="43"/>
  <c r="W82" i="43" s="1"/>
  <c r="B82" i="43"/>
  <c r="A82" i="43" s="1"/>
  <c r="AC81" i="43"/>
  <c r="AB81" i="43"/>
  <c r="Z81" i="43"/>
  <c r="Y81" i="43"/>
  <c r="T81" i="43"/>
  <c r="R81" i="43"/>
  <c r="Q81" i="43"/>
  <c r="B81" i="43"/>
  <c r="A81" i="43"/>
  <c r="AC80" i="43"/>
  <c r="AB80" i="43"/>
  <c r="Y80" i="43"/>
  <c r="Z80" i="43" s="1"/>
  <c r="R80" i="43"/>
  <c r="T80" i="43" s="1"/>
  <c r="Q80" i="43"/>
  <c r="B80" i="43"/>
  <c r="A80" i="43"/>
  <c r="AC79" i="43"/>
  <c r="AB79" i="43"/>
  <c r="Y79" i="43"/>
  <c r="Z79" i="43" s="1"/>
  <c r="R79" i="43"/>
  <c r="R76" i="43" s="1"/>
  <c r="Q79" i="43"/>
  <c r="B79" i="43"/>
  <c r="A79" i="43"/>
  <c r="AC78" i="43"/>
  <c r="AB78" i="43"/>
  <c r="AB76" i="43" s="1"/>
  <c r="Y78" i="43"/>
  <c r="Z78" i="43" s="1"/>
  <c r="V78" i="43"/>
  <c r="R78" i="43"/>
  <c r="T78" i="43" s="1"/>
  <c r="B78" i="43"/>
  <c r="A78" i="43"/>
  <c r="AC77" i="43"/>
  <c r="AB77" i="43"/>
  <c r="Y77" i="43"/>
  <c r="T77" i="43"/>
  <c r="W77" i="43" s="1"/>
  <c r="B77" i="43"/>
  <c r="A77" i="43" s="1"/>
  <c r="AA76" i="43"/>
  <c r="X76" i="43"/>
  <c r="U76" i="43"/>
  <c r="S76" i="43"/>
  <c r="P76" i="43"/>
  <c r="O76" i="43"/>
  <c r="N76" i="43"/>
  <c r="B76" i="43"/>
  <c r="A76" i="43"/>
  <c r="AC75" i="43"/>
  <c r="AB75" i="43"/>
  <c r="Y75" i="43"/>
  <c r="Z75" i="43" s="1"/>
  <c r="Q75" i="43"/>
  <c r="T75" i="43" s="1"/>
  <c r="V75" i="43" s="1"/>
  <c r="B75" i="43"/>
  <c r="A75" i="43" s="1"/>
  <c r="AC74" i="43"/>
  <c r="AB74" i="43"/>
  <c r="Z74" i="43"/>
  <c r="Y74" i="43"/>
  <c r="T74" i="43"/>
  <c r="B74" i="43"/>
  <c r="A74" i="43" s="1"/>
  <c r="AB73" i="43"/>
  <c r="AA73" i="43"/>
  <c r="Y73" i="43"/>
  <c r="X73" i="43"/>
  <c r="U73" i="43"/>
  <c r="Z73" i="43" s="1"/>
  <c r="T73" i="43"/>
  <c r="W73" i="43" s="1"/>
  <c r="S73" i="43"/>
  <c r="R73" i="43"/>
  <c r="Q73" i="43"/>
  <c r="P73" i="43"/>
  <c r="O73" i="43"/>
  <c r="N73" i="43"/>
  <c r="B73" i="43"/>
  <c r="A73" i="43"/>
  <c r="AC72" i="43"/>
  <c r="AB72" i="43"/>
  <c r="Y72" i="43"/>
  <c r="Z72" i="43" s="1"/>
  <c r="Q72" i="43"/>
  <c r="B72" i="43"/>
  <c r="A72" i="43" s="1"/>
  <c r="AC71" i="43"/>
  <c r="AB71" i="43"/>
  <c r="AB66" i="43" s="1"/>
  <c r="Z71" i="43"/>
  <c r="Y71" i="43"/>
  <c r="W71" i="43"/>
  <c r="V71" i="43"/>
  <c r="T71" i="43"/>
  <c r="B71" i="43"/>
  <c r="A71" i="43"/>
  <c r="AC70" i="43"/>
  <c r="AB70" i="43"/>
  <c r="Z70" i="43"/>
  <c r="Y70" i="43"/>
  <c r="W70" i="43"/>
  <c r="V70" i="43"/>
  <c r="T70" i="43"/>
  <c r="B70" i="43"/>
  <c r="A70" i="43"/>
  <c r="AC69" i="43"/>
  <c r="AB69" i="43"/>
  <c r="Y69" i="43"/>
  <c r="Z69" i="43" s="1"/>
  <c r="T69" i="43"/>
  <c r="W69" i="43" s="1"/>
  <c r="B69" i="43"/>
  <c r="A69" i="43" s="1"/>
  <c r="AC68" i="43"/>
  <c r="AB68" i="43"/>
  <c r="Z68" i="43"/>
  <c r="Y68" i="43"/>
  <c r="T68" i="43"/>
  <c r="R68" i="43"/>
  <c r="Q68" i="43"/>
  <c r="B68" i="43"/>
  <c r="A68" i="43"/>
  <c r="AC67" i="43"/>
  <c r="AB67" i="43"/>
  <c r="Y67" i="43"/>
  <c r="T67" i="43"/>
  <c r="W67" i="43" s="1"/>
  <c r="B67" i="43"/>
  <c r="A67" i="43" s="1"/>
  <c r="AA66" i="43"/>
  <c r="AA65" i="43" s="1"/>
  <c r="X66" i="43"/>
  <c r="X65" i="43" s="1"/>
  <c r="U66" i="43"/>
  <c r="S66" i="43"/>
  <c r="S65" i="43" s="1"/>
  <c r="R66" i="43"/>
  <c r="P66" i="43"/>
  <c r="O66" i="43"/>
  <c r="N66" i="43"/>
  <c r="B66" i="43"/>
  <c r="A66" i="43"/>
  <c r="U65" i="43"/>
  <c r="N65" i="43"/>
  <c r="B65" i="43"/>
  <c r="A65" i="43" s="1"/>
  <c r="AC64" i="43"/>
  <c r="AB64" i="43"/>
  <c r="Z64" i="43"/>
  <c r="Y64" i="43"/>
  <c r="T64" i="43"/>
  <c r="B64" i="43"/>
  <c r="A64" i="43" s="1"/>
  <c r="AC63" i="43"/>
  <c r="AB63" i="43"/>
  <c r="Z63" i="43"/>
  <c r="Y63" i="43"/>
  <c r="W63" i="43"/>
  <c r="V63" i="43"/>
  <c r="T63" i="43"/>
  <c r="R63" i="43"/>
  <c r="B63" i="43"/>
  <c r="A63" i="43"/>
  <c r="AC62" i="43"/>
  <c r="AB62" i="43"/>
  <c r="Y62" i="43"/>
  <c r="Z62" i="43" s="1"/>
  <c r="T62" i="43"/>
  <c r="W62" i="43" s="1"/>
  <c r="B62" i="43"/>
  <c r="A62" i="43" s="1"/>
  <c r="AC61" i="43"/>
  <c r="AB61" i="43"/>
  <c r="Z61" i="43"/>
  <c r="Y61" i="43"/>
  <c r="T61" i="43"/>
  <c r="B61" i="43"/>
  <c r="A61" i="43" s="1"/>
  <c r="AC60" i="43"/>
  <c r="AB60" i="43"/>
  <c r="AB59" i="43" s="1"/>
  <c r="AB46" i="43" s="1"/>
  <c r="Z60" i="43"/>
  <c r="Y60" i="43"/>
  <c r="W60" i="43"/>
  <c r="V60" i="43"/>
  <c r="T60" i="43"/>
  <c r="B60" i="43"/>
  <c r="A60" i="43"/>
  <c r="AA59" i="43"/>
  <c r="Y59" i="43"/>
  <c r="X59" i="43"/>
  <c r="U59" i="43"/>
  <c r="Z59" i="43" s="1"/>
  <c r="S59" i="43"/>
  <c r="R59" i="43"/>
  <c r="Q59" i="43"/>
  <c r="P59" i="43"/>
  <c r="O59" i="43"/>
  <c r="N59" i="43"/>
  <c r="B59" i="43"/>
  <c r="A59" i="43" s="1"/>
  <c r="AC58" i="43"/>
  <c r="AB58" i="43"/>
  <c r="Z58" i="43"/>
  <c r="Y58" i="43"/>
  <c r="T58" i="43"/>
  <c r="B58" i="43"/>
  <c r="A58" i="43" s="1"/>
  <c r="AC57" i="43"/>
  <c r="AB57" i="43"/>
  <c r="Z57" i="43"/>
  <c r="Y57" i="43"/>
  <c r="W57" i="43"/>
  <c r="V57" i="43"/>
  <c r="T57" i="43"/>
  <c r="B57" i="43"/>
  <c r="A57" i="43"/>
  <c r="AC56" i="43"/>
  <c r="AB56" i="43"/>
  <c r="Y56" i="43"/>
  <c r="Z56" i="43" s="1"/>
  <c r="W56" i="43"/>
  <c r="V56" i="43"/>
  <c r="T56" i="43"/>
  <c r="B56" i="43"/>
  <c r="A56" i="43"/>
  <c r="AC55" i="43"/>
  <c r="AB55" i="43"/>
  <c r="Y55" i="43"/>
  <c r="Z55" i="43" s="1"/>
  <c r="T55" i="43"/>
  <c r="W55" i="43" s="1"/>
  <c r="B55" i="43"/>
  <c r="A55" i="43" s="1"/>
  <c r="AC54" i="43"/>
  <c r="AB54" i="43"/>
  <c r="Z54" i="43"/>
  <c r="Y54" i="43"/>
  <c r="T54" i="43"/>
  <c r="B54" i="43"/>
  <c r="A54" i="43" s="1"/>
  <c r="AC53" i="43"/>
  <c r="AB53" i="43"/>
  <c r="AB52" i="43" s="1"/>
  <c r="Z53" i="43"/>
  <c r="Y53" i="43"/>
  <c r="W53" i="43"/>
  <c r="V53" i="43"/>
  <c r="T53" i="43"/>
  <c r="B53" i="43"/>
  <c r="A53" i="43"/>
  <c r="AA52" i="43"/>
  <c r="Y52" i="43"/>
  <c r="X52" i="43"/>
  <c r="U52" i="43"/>
  <c r="Z52" i="43" s="1"/>
  <c r="S52" i="43"/>
  <c r="R52" i="43"/>
  <c r="Q52" i="43"/>
  <c r="P52" i="43"/>
  <c r="O52" i="43"/>
  <c r="N52" i="43"/>
  <c r="B52" i="43"/>
  <c r="A52" i="43" s="1"/>
  <c r="AC51" i="43"/>
  <c r="AB51" i="43"/>
  <c r="Z51" i="43"/>
  <c r="Y51" i="43"/>
  <c r="T51" i="43"/>
  <c r="B51" i="43"/>
  <c r="A51" i="43" s="1"/>
  <c r="AB50" i="43"/>
  <c r="AA50" i="43"/>
  <c r="Y50" i="43"/>
  <c r="X50" i="43"/>
  <c r="X46" i="43" s="1"/>
  <c r="X45" i="43" s="1"/>
  <c r="X44" i="43" s="1"/>
  <c r="U50" i="43"/>
  <c r="S50" i="43"/>
  <c r="R50" i="43"/>
  <c r="Q50" i="43"/>
  <c r="P50" i="43"/>
  <c r="O50" i="43"/>
  <c r="N50" i="43"/>
  <c r="B50" i="43"/>
  <c r="A50" i="43"/>
  <c r="AC49" i="43"/>
  <c r="AB49" i="43"/>
  <c r="Y49" i="43"/>
  <c r="Z49" i="43" s="1"/>
  <c r="T49" i="43"/>
  <c r="B49" i="43"/>
  <c r="A49" i="43" s="1"/>
  <c r="AC48" i="43"/>
  <c r="AB48" i="43"/>
  <c r="AB47" i="43" s="1"/>
  <c r="Z48" i="43"/>
  <c r="Y48" i="43"/>
  <c r="V48" i="43"/>
  <c r="T48" i="43"/>
  <c r="R48" i="43"/>
  <c r="B48" i="43"/>
  <c r="A48" i="43"/>
  <c r="AA47" i="43"/>
  <c r="Y47" i="43"/>
  <c r="Y46" i="43" s="1"/>
  <c r="X47" i="43"/>
  <c r="U47" i="43"/>
  <c r="S47" i="43"/>
  <c r="R47" i="43"/>
  <c r="R46" i="43" s="1"/>
  <c r="Q47" i="43"/>
  <c r="P47" i="43"/>
  <c r="O47" i="43"/>
  <c r="N47" i="43"/>
  <c r="N46" i="43" s="1"/>
  <c r="B47" i="43"/>
  <c r="A47" i="43" s="1"/>
  <c r="AA46" i="43"/>
  <c r="AA45" i="43" s="1"/>
  <c r="AA44" i="43" s="1"/>
  <c r="S46" i="43"/>
  <c r="S45" i="43" s="1"/>
  <c r="S44" i="43" s="1"/>
  <c r="P46" i="43"/>
  <c r="O46" i="43"/>
  <c r="B46" i="43"/>
  <c r="A46" i="43"/>
  <c r="N45" i="43"/>
  <c r="N44" i="43" s="1"/>
  <c r="B45" i="43"/>
  <c r="A45" i="43" s="1"/>
  <c r="B44" i="43"/>
  <c r="A44" i="43"/>
  <c r="AC43" i="43"/>
  <c r="AB43" i="43"/>
  <c r="Y43" i="43"/>
  <c r="Z43" i="43" s="1"/>
  <c r="W43" i="43"/>
  <c r="T43" i="43"/>
  <c r="V43" i="43" s="1"/>
  <c r="B43" i="43"/>
  <c r="A43" i="43"/>
  <c r="AC42" i="43"/>
  <c r="AB42" i="43"/>
  <c r="Y42" i="43"/>
  <c r="Z42" i="43" s="1"/>
  <c r="T42" i="43"/>
  <c r="B42" i="43"/>
  <c r="A42" i="43" s="1"/>
  <c r="AC41" i="43"/>
  <c r="AB41" i="43"/>
  <c r="Z41" i="43"/>
  <c r="Y41" i="43"/>
  <c r="T41" i="43"/>
  <c r="W41" i="43" s="1"/>
  <c r="B41" i="43"/>
  <c r="A41" i="43"/>
  <c r="AC40" i="43"/>
  <c r="AB40" i="43"/>
  <c r="Y40" i="43"/>
  <c r="Z40" i="43" s="1"/>
  <c r="W40" i="43"/>
  <c r="V40" i="43"/>
  <c r="T40" i="43"/>
  <c r="B40" i="43"/>
  <c r="A40" i="43"/>
  <c r="AC39" i="43"/>
  <c r="AB39" i="43"/>
  <c r="Y39" i="43"/>
  <c r="Z39" i="43" s="1"/>
  <c r="W39" i="43"/>
  <c r="T39" i="43"/>
  <c r="V39" i="43" s="1"/>
  <c r="B39" i="43"/>
  <c r="A39" i="43"/>
  <c r="AC38" i="43"/>
  <c r="AB38" i="43"/>
  <c r="Y38" i="43"/>
  <c r="Y35" i="43" s="1"/>
  <c r="Y34" i="43" s="1"/>
  <c r="T38" i="43"/>
  <c r="B38" i="43"/>
  <c r="A38" i="43" s="1"/>
  <c r="AC37" i="43"/>
  <c r="AB37" i="43"/>
  <c r="Z37" i="43"/>
  <c r="Y37" i="43"/>
  <c r="T37" i="43"/>
  <c r="B37" i="43"/>
  <c r="A37" i="43"/>
  <c r="AC36" i="43"/>
  <c r="AB36" i="43"/>
  <c r="AB35" i="43" s="1"/>
  <c r="Y36" i="43"/>
  <c r="Z36" i="43" s="1"/>
  <c r="W36" i="43"/>
  <c r="V36" i="43"/>
  <c r="T36" i="43"/>
  <c r="B36" i="43"/>
  <c r="A36" i="43"/>
  <c r="AA35" i="43"/>
  <c r="X35" i="43"/>
  <c r="U35" i="43"/>
  <c r="U34" i="43" s="1"/>
  <c r="S35" i="43"/>
  <c r="R35" i="43"/>
  <c r="R34" i="43" s="1"/>
  <c r="Q35" i="43"/>
  <c r="Q34" i="43" s="1"/>
  <c r="P35" i="43"/>
  <c r="O35" i="43"/>
  <c r="N35" i="43"/>
  <c r="N34" i="43" s="1"/>
  <c r="B35" i="43"/>
  <c r="A35" i="43" s="1"/>
  <c r="AB34" i="43"/>
  <c r="AA34" i="43"/>
  <c r="X34" i="43"/>
  <c r="S34" i="43"/>
  <c r="P34" i="43"/>
  <c r="O34" i="43"/>
  <c r="B34" i="43"/>
  <c r="A34" i="43"/>
  <c r="AC33" i="43"/>
  <c r="AB33" i="43"/>
  <c r="Y33" i="43"/>
  <c r="Z33" i="43" s="1"/>
  <c r="W33" i="43"/>
  <c r="T33" i="43"/>
  <c r="V33" i="43" s="1"/>
  <c r="B33" i="43"/>
  <c r="A33" i="43"/>
  <c r="AC32" i="43"/>
  <c r="AB32" i="43"/>
  <c r="Y32" i="43"/>
  <c r="Z32" i="43" s="1"/>
  <c r="T32" i="43"/>
  <c r="B32" i="43"/>
  <c r="A32" i="43" s="1"/>
  <c r="AC31" i="43"/>
  <c r="AB31" i="43"/>
  <c r="Z31" i="43"/>
  <c r="Y31" i="43"/>
  <c r="T31" i="43"/>
  <c r="W31" i="43" s="1"/>
  <c r="B31" i="43"/>
  <c r="A31" i="43"/>
  <c r="AC30" i="43"/>
  <c r="AB30" i="43"/>
  <c r="Y30" i="43"/>
  <c r="Z30" i="43" s="1"/>
  <c r="W30" i="43"/>
  <c r="V30" i="43"/>
  <c r="T30" i="43"/>
  <c r="B30" i="43"/>
  <c r="A30" i="43"/>
  <c r="AC29" i="43"/>
  <c r="AB29" i="43"/>
  <c r="Y29" i="43"/>
  <c r="Z29" i="43" s="1"/>
  <c r="W29" i="43"/>
  <c r="T29" i="43"/>
  <c r="V29" i="43" s="1"/>
  <c r="B29" i="43"/>
  <c r="A29" i="43" s="1"/>
  <c r="AC28" i="43"/>
  <c r="AB28" i="43"/>
  <c r="Z28" i="43"/>
  <c r="Y28" i="43"/>
  <c r="T28" i="43"/>
  <c r="B28" i="43"/>
  <c r="A28" i="43" s="1"/>
  <c r="AC27" i="43"/>
  <c r="AB27" i="43"/>
  <c r="Z27" i="43"/>
  <c r="Y27" i="43"/>
  <c r="V27" i="43"/>
  <c r="T27" i="43"/>
  <c r="B27" i="43"/>
  <c r="A27" i="43"/>
  <c r="AC26" i="43"/>
  <c r="AB26" i="43"/>
  <c r="Y26" i="43"/>
  <c r="Z26" i="43" s="1"/>
  <c r="W26" i="43"/>
  <c r="V26" i="43"/>
  <c r="T26" i="43"/>
  <c r="B26" i="43"/>
  <c r="A26" i="43"/>
  <c r="AC25" i="43"/>
  <c r="AB25" i="43"/>
  <c r="Y25" i="43"/>
  <c r="W25" i="43"/>
  <c r="T25" i="43"/>
  <c r="V25" i="43" s="1"/>
  <c r="B25" i="43"/>
  <c r="A25" i="43"/>
  <c r="AA24" i="43"/>
  <c r="X24" i="43"/>
  <c r="U24" i="43"/>
  <c r="AC24" i="43" s="1"/>
  <c r="S24" i="43"/>
  <c r="R24" i="43"/>
  <c r="Q24" i="43"/>
  <c r="P24" i="43"/>
  <c r="O24" i="43"/>
  <c r="N24" i="43"/>
  <c r="B24" i="43"/>
  <c r="A24" i="43"/>
  <c r="AC23" i="43"/>
  <c r="AB23" i="43"/>
  <c r="Y23" i="43"/>
  <c r="Z23" i="43" s="1"/>
  <c r="B23" i="43"/>
  <c r="A23" i="43"/>
  <c r="N23" i="43" s="1"/>
  <c r="T23" i="43" s="1"/>
  <c r="V23" i="43" s="1"/>
  <c r="AC22" i="43"/>
  <c r="AB22" i="43"/>
  <c r="Y22" i="43"/>
  <c r="Z22" i="43" s="1"/>
  <c r="T22" i="43"/>
  <c r="R22" i="43"/>
  <c r="B22" i="43"/>
  <c r="A22" i="43"/>
  <c r="AC21" i="43"/>
  <c r="AB21" i="43"/>
  <c r="Y21" i="43"/>
  <c r="Z21" i="43" s="1"/>
  <c r="W21" i="43"/>
  <c r="V21" i="43"/>
  <c r="T21" i="43"/>
  <c r="B21" i="43"/>
  <c r="A21" i="43"/>
  <c r="AC20" i="43"/>
  <c r="AB20" i="43"/>
  <c r="Y20" i="43"/>
  <c r="Z20" i="43" s="1"/>
  <c r="W20" i="43"/>
  <c r="T20" i="43"/>
  <c r="V20" i="43" s="1"/>
  <c r="B20" i="43"/>
  <c r="A20" i="43"/>
  <c r="AC19" i="43"/>
  <c r="AB19" i="43"/>
  <c r="Y19" i="43"/>
  <c r="Z19" i="43" s="1"/>
  <c r="T19" i="43"/>
  <c r="B19" i="43"/>
  <c r="A19" i="43" s="1"/>
  <c r="AC18" i="43"/>
  <c r="AB18" i="43"/>
  <c r="Z18" i="43"/>
  <c r="Y18" i="43"/>
  <c r="T18" i="43"/>
  <c r="W18" i="43" s="1"/>
  <c r="B18" i="43"/>
  <c r="A18" i="43"/>
  <c r="AC17" i="43"/>
  <c r="AB17" i="43"/>
  <c r="Y17" i="43"/>
  <c r="Z17" i="43" s="1"/>
  <c r="W17" i="43"/>
  <c r="V17" i="43"/>
  <c r="T17" i="43"/>
  <c r="B17" i="43"/>
  <c r="A17" i="43"/>
  <c r="AC16" i="43"/>
  <c r="AB16" i="43"/>
  <c r="Y16" i="43"/>
  <c r="Z16" i="43" s="1"/>
  <c r="W16" i="43"/>
  <c r="T16" i="43"/>
  <c r="V16" i="43" s="1"/>
  <c r="B16" i="43"/>
  <c r="A16" i="43"/>
  <c r="AC15" i="43"/>
  <c r="AB15" i="43"/>
  <c r="Y15" i="43"/>
  <c r="Y12" i="43" s="1"/>
  <c r="Y11" i="43" s="1"/>
  <c r="T15" i="43"/>
  <c r="B15" i="43"/>
  <c r="A15" i="43" s="1"/>
  <c r="AC14" i="43"/>
  <c r="AB14" i="43"/>
  <c r="Z14" i="43"/>
  <c r="Y14" i="43"/>
  <c r="T14" i="43"/>
  <c r="B14" i="43"/>
  <c r="A14" i="43"/>
  <c r="AC13" i="43"/>
  <c r="AB13" i="43"/>
  <c r="AB12" i="43" s="1"/>
  <c r="Y13" i="43"/>
  <c r="Z13" i="43" s="1"/>
  <c r="W13" i="43"/>
  <c r="V13" i="43"/>
  <c r="T13" i="43"/>
  <c r="B13" i="43"/>
  <c r="A13" i="43"/>
  <c r="AA12" i="43"/>
  <c r="X12" i="43"/>
  <c r="U12" i="43"/>
  <c r="U11" i="43" s="1"/>
  <c r="S12" i="43"/>
  <c r="R12" i="43"/>
  <c r="R11" i="43" s="1"/>
  <c r="Q12" i="43"/>
  <c r="Q11" i="43" s="1"/>
  <c r="P12" i="43"/>
  <c r="O12" i="43"/>
  <c r="B12" i="43"/>
  <c r="A12" i="43" s="1"/>
  <c r="AB11" i="43"/>
  <c r="AA11" i="43"/>
  <c r="X11" i="43"/>
  <c r="X10" i="43" s="1"/>
  <c r="X9" i="43" s="1"/>
  <c r="X8" i="43" s="1"/>
  <c r="S11" i="43"/>
  <c r="S10" i="43" s="1"/>
  <c r="P11" i="43"/>
  <c r="P10" i="43" s="1"/>
  <c r="P9" i="43" s="1"/>
  <c r="O11" i="43"/>
  <c r="O10" i="43" s="1"/>
  <c r="O9" i="43" s="1"/>
  <c r="B11" i="43"/>
  <c r="A11" i="43"/>
  <c r="R10" i="43"/>
  <c r="R9" i="43" s="1"/>
  <c r="Q10" i="43"/>
  <c r="Q9" i="43" s="1"/>
  <c r="B10" i="43"/>
  <c r="A10" i="43" s="1"/>
  <c r="S9" i="43"/>
  <c r="B9" i="43"/>
  <c r="A9" i="43"/>
  <c r="A8" i="43"/>
  <c r="W23" i="43" l="1"/>
  <c r="AB45" i="43"/>
  <c r="AB44" i="43" s="1"/>
  <c r="Z11" i="43"/>
  <c r="AC11" i="43"/>
  <c r="W38" i="43"/>
  <c r="V38" i="43"/>
  <c r="W58" i="43"/>
  <c r="V58" i="43"/>
  <c r="U96" i="43"/>
  <c r="T12" i="43"/>
  <c r="W14" i="43"/>
  <c r="U46" i="43"/>
  <c r="Z47" i="43"/>
  <c r="W51" i="43"/>
  <c r="V51" i="43"/>
  <c r="V50" i="43" s="1"/>
  <c r="AC52" i="43"/>
  <c r="AB65" i="43"/>
  <c r="Z83" i="43"/>
  <c r="Z85" i="43"/>
  <c r="Y83" i="43"/>
  <c r="N90" i="43"/>
  <c r="W101" i="43"/>
  <c r="V101" i="43"/>
  <c r="Z106" i="43"/>
  <c r="U105" i="43"/>
  <c r="Z12" i="43"/>
  <c r="W22" i="43"/>
  <c r="V22" i="43"/>
  <c r="Z35" i="43"/>
  <c r="Y66" i="43"/>
  <c r="Z67" i="43"/>
  <c r="V93" i="43"/>
  <c r="V92" i="43" s="1"/>
  <c r="V91" i="43" s="1"/>
  <c r="T92" i="43"/>
  <c r="U115" i="43"/>
  <c r="W169" i="43"/>
  <c r="T168" i="43"/>
  <c r="T194" i="43"/>
  <c r="Q193" i="43"/>
  <c r="Q192" i="43" s="1"/>
  <c r="W19" i="43"/>
  <c r="V19" i="43"/>
  <c r="V31" i="43"/>
  <c r="T35" i="43"/>
  <c r="W37" i="43"/>
  <c r="U10" i="43"/>
  <c r="N12" i="43"/>
  <c r="N11" i="43" s="1"/>
  <c r="N10" i="43" s="1"/>
  <c r="N9" i="43" s="1"/>
  <c r="AC12" i="43"/>
  <c r="V14" i="43"/>
  <c r="Z15" i="43"/>
  <c r="Y24" i="43"/>
  <c r="Z24" i="43" s="1"/>
  <c r="Z25" i="43"/>
  <c r="W28" i="43"/>
  <c r="V28" i="43"/>
  <c r="V24" i="43" s="1"/>
  <c r="AC35" i="43"/>
  <c r="V37" i="43"/>
  <c r="V35" i="43" s="1"/>
  <c r="Z38" i="43"/>
  <c r="Q46" i="43"/>
  <c r="W49" i="43"/>
  <c r="V49" i="43"/>
  <c r="V47" i="43" s="1"/>
  <c r="T50" i="43"/>
  <c r="W50" i="43" s="1"/>
  <c r="AC65" i="43"/>
  <c r="O65" i="43"/>
  <c r="O45" i="43" s="1"/>
  <c r="O44" i="43" s="1"/>
  <c r="O8" i="43" s="1"/>
  <c r="Z66" i="43"/>
  <c r="W75" i="43"/>
  <c r="Y76" i="43"/>
  <c r="Z76" i="43" s="1"/>
  <c r="Z77" i="43"/>
  <c r="T79" i="43"/>
  <c r="T76" i="43" s="1"/>
  <c r="W76" i="43" s="1"/>
  <c r="Q76" i="43"/>
  <c r="W84" i="43"/>
  <c r="V84" i="43"/>
  <c r="R83" i="43"/>
  <c r="T88" i="43"/>
  <c r="AC91" i="43"/>
  <c r="AA97" i="43"/>
  <c r="AA96" i="43" s="1"/>
  <c r="AA90" i="43" s="1"/>
  <c r="AC106" i="43"/>
  <c r="S8" i="43"/>
  <c r="W15" i="43"/>
  <c r="V15" i="43"/>
  <c r="Z34" i="43"/>
  <c r="AC34" i="43"/>
  <c r="T52" i="43"/>
  <c r="W52" i="43" s="1"/>
  <c r="W54" i="43"/>
  <c r="V54" i="43"/>
  <c r="V52" i="43" s="1"/>
  <c r="AC59" i="43"/>
  <c r="V59" i="43"/>
  <c r="W64" i="43"/>
  <c r="V64" i="43"/>
  <c r="Q66" i="43"/>
  <c r="Q65" i="43" s="1"/>
  <c r="T72" i="43"/>
  <c r="T66" i="43" s="1"/>
  <c r="W42" i="43"/>
  <c r="V42" i="43"/>
  <c r="AA10" i="43"/>
  <c r="AA9" i="43" s="1"/>
  <c r="AA8" i="43" s="1"/>
  <c r="V18" i="43"/>
  <c r="AB24" i="43"/>
  <c r="AB10" i="43" s="1"/>
  <c r="AB9" i="43" s="1"/>
  <c r="W27" i="43"/>
  <c r="T24" i="43"/>
  <c r="W24" i="43" s="1"/>
  <c r="W32" i="43"/>
  <c r="V32" i="43"/>
  <c r="V41" i="43"/>
  <c r="AC47" i="43"/>
  <c r="T47" i="43"/>
  <c r="W48" i="43"/>
  <c r="Z50" i="43"/>
  <c r="AC50" i="43"/>
  <c r="T59" i="43"/>
  <c r="W59" i="43" s="1"/>
  <c r="W61" i="43"/>
  <c r="V61" i="43"/>
  <c r="P65" i="43"/>
  <c r="P45" i="43" s="1"/>
  <c r="P44" i="43" s="1"/>
  <c r="P8" i="43" s="1"/>
  <c r="W68" i="43"/>
  <c r="V68" i="43"/>
  <c r="W74" i="43"/>
  <c r="V74" i="43"/>
  <c r="V73" i="43" s="1"/>
  <c r="W78" i="43"/>
  <c r="R65" i="43"/>
  <c r="R45" i="43" s="1"/>
  <c r="R44" i="43" s="1"/>
  <c r="R8" i="43" s="1"/>
  <c r="R201" i="43" s="1"/>
  <c r="R205" i="43" s="1"/>
  <c r="W80" i="43"/>
  <c r="V80" i="43"/>
  <c r="W81" i="43"/>
  <c r="V81" i="43"/>
  <c r="R90" i="43"/>
  <c r="W95" i="43"/>
  <c r="V95" i="43"/>
  <c r="AB98" i="43"/>
  <c r="AB97" i="43" s="1"/>
  <c r="AB96" i="43" s="1"/>
  <c r="AB90" i="43" s="1"/>
  <c r="T98" i="43"/>
  <c r="W100" i="43"/>
  <c r="V100" i="43"/>
  <c r="V98" i="43" s="1"/>
  <c r="V97" i="43" s="1"/>
  <c r="V96" i="43" s="1"/>
  <c r="W108" i="43"/>
  <c r="V108" i="43"/>
  <c r="V107" i="43" s="1"/>
  <c r="V106" i="43" s="1"/>
  <c r="V105" i="43" s="1"/>
  <c r="T107" i="43"/>
  <c r="W118" i="43"/>
  <c r="V118" i="43"/>
  <c r="V117" i="43" s="1"/>
  <c r="V116" i="43" s="1"/>
  <c r="T117" i="43"/>
  <c r="AC73" i="43"/>
  <c r="AC83" i="43"/>
  <c r="Z102" i="43"/>
  <c r="Z111" i="43"/>
  <c r="AA116" i="43"/>
  <c r="AA115" i="43" s="1"/>
  <c r="AA114" i="43" s="1"/>
  <c r="AA113" i="43" s="1"/>
  <c r="W119" i="43"/>
  <c r="V126" i="43"/>
  <c r="V125" i="43" s="1"/>
  <c r="T125" i="43"/>
  <c r="W125" i="43" s="1"/>
  <c r="W126" i="43"/>
  <c r="AC127" i="43"/>
  <c r="AC129" i="43"/>
  <c r="Y140" i="43"/>
  <c r="Y129" i="43" s="1"/>
  <c r="Z129" i="43" s="1"/>
  <c r="Z141" i="43"/>
  <c r="V55" i="43"/>
  <c r="V62" i="43"/>
  <c r="AC66" i="43"/>
  <c r="V67" i="43"/>
  <c r="V69" i="43"/>
  <c r="AC76" i="43"/>
  <c r="V77" i="43"/>
  <c r="V82" i="43"/>
  <c r="V85" i="43"/>
  <c r="Y92" i="43"/>
  <c r="Y98" i="43"/>
  <c r="Z107" i="43"/>
  <c r="Z108" i="43"/>
  <c r="AB116" i="43"/>
  <c r="AB115" i="43" s="1"/>
  <c r="AB114" i="43" s="1"/>
  <c r="Z119" i="43"/>
  <c r="T121" i="43"/>
  <c r="W121" i="43" s="1"/>
  <c r="W160" i="43"/>
  <c r="V160" i="43"/>
  <c r="V159" i="43" s="1"/>
  <c r="T159" i="43"/>
  <c r="AC111" i="43"/>
  <c r="Z124" i="43"/>
  <c r="Y123" i="43"/>
  <c r="Z123" i="43" s="1"/>
  <c r="W128" i="43"/>
  <c r="T127" i="43"/>
  <c r="W127" i="43" s="1"/>
  <c r="X129" i="43"/>
  <c r="X115" i="43" s="1"/>
  <c r="X114" i="43" s="1"/>
  <c r="X113" i="43" s="1"/>
  <c r="X201" i="43" s="1"/>
  <c r="X205" i="43" s="1"/>
  <c r="AC107" i="43"/>
  <c r="AC117" i="43"/>
  <c r="O129" i="43"/>
  <c r="O115" i="43" s="1"/>
  <c r="O114" i="43" s="1"/>
  <c r="S129" i="43"/>
  <c r="S115" i="43" s="1"/>
  <c r="S114" i="43" s="1"/>
  <c r="S113" i="43" s="1"/>
  <c r="N145" i="43"/>
  <c r="N144" i="43" s="1"/>
  <c r="N143" i="43" s="1"/>
  <c r="N113" i="43" s="1"/>
  <c r="AB146" i="43"/>
  <c r="AB145" i="43" s="1"/>
  <c r="Y152" i="43"/>
  <c r="Y127" i="43"/>
  <c r="Z127" i="43" s="1"/>
  <c r="Y132" i="43"/>
  <c r="Z133" i="43"/>
  <c r="W135" i="43"/>
  <c r="V135" i="43"/>
  <c r="V134" i="43" s="1"/>
  <c r="AA129" i="43"/>
  <c r="O144" i="43"/>
  <c r="O143" i="43" s="1"/>
  <c r="X144" i="43"/>
  <c r="X143" i="43" s="1"/>
  <c r="T146" i="43"/>
  <c r="W147" i="43"/>
  <c r="V147" i="43"/>
  <c r="V146" i="43" s="1"/>
  <c r="V145" i="43" s="1"/>
  <c r="V152" i="43"/>
  <c r="Z157" i="43"/>
  <c r="W176" i="43"/>
  <c r="W186" i="43"/>
  <c r="Z132" i="43"/>
  <c r="W136" i="43"/>
  <c r="Z136" i="43"/>
  <c r="AC136" i="43"/>
  <c r="U145" i="43"/>
  <c r="Z146" i="43"/>
  <c r="AC146" i="43"/>
  <c r="W153" i="43"/>
  <c r="U152" i="43"/>
  <c r="Z153" i="43"/>
  <c r="AC153" i="43"/>
  <c r="Y157" i="43"/>
  <c r="Z158" i="43"/>
  <c r="W167" i="43"/>
  <c r="V167" i="43"/>
  <c r="V166" i="43" s="1"/>
  <c r="U173" i="43"/>
  <c r="W178" i="43"/>
  <c r="Z178" i="43"/>
  <c r="AC178" i="43"/>
  <c r="U185" i="43"/>
  <c r="W188" i="43"/>
  <c r="Z188" i="43"/>
  <c r="AC188" i="43"/>
  <c r="T140" i="43"/>
  <c r="AC162" i="43"/>
  <c r="Z163" i="43"/>
  <c r="Y162" i="43"/>
  <c r="Z166" i="43"/>
  <c r="T175" i="43"/>
  <c r="Q174" i="43"/>
  <c r="Q173" i="43" s="1"/>
  <c r="Q144" i="43" s="1"/>
  <c r="Q143" i="43" s="1"/>
  <c r="Q113" i="43" s="1"/>
  <c r="P173" i="43"/>
  <c r="P144" i="43" s="1"/>
  <c r="P143" i="43" s="1"/>
  <c r="P113" i="43" s="1"/>
  <c r="AB173" i="43"/>
  <c r="W183" i="43"/>
  <c r="U182" i="43"/>
  <c r="Z183" i="43"/>
  <c r="AC183" i="43"/>
  <c r="Y185" i="43"/>
  <c r="Z194" i="43"/>
  <c r="Y193" i="43"/>
  <c r="AC132" i="43"/>
  <c r="V133" i="43"/>
  <c r="V132" i="43" s="1"/>
  <c r="AC140" i="43"/>
  <c r="AC157" i="43"/>
  <c r="W170" i="43"/>
  <c r="V170" i="43"/>
  <c r="V169" i="43" s="1"/>
  <c r="V168" i="43" s="1"/>
  <c r="Z175" i="43"/>
  <c r="Y174" i="43"/>
  <c r="Z174" i="43" s="1"/>
  <c r="Y173" i="43"/>
  <c r="T196" i="43"/>
  <c r="W199" i="43"/>
  <c r="U198" i="43"/>
  <c r="Z199" i="43"/>
  <c r="AC199" i="43"/>
  <c r="T163" i="43"/>
  <c r="Q162" i="43"/>
  <c r="Q161" i="43" s="1"/>
  <c r="W165" i="43"/>
  <c r="V165" i="43"/>
  <c r="U168" i="43"/>
  <c r="Z171" i="43"/>
  <c r="AC171" i="43"/>
  <c r="W177" i="43"/>
  <c r="V177" i="43"/>
  <c r="V176" i="43" s="1"/>
  <c r="W187" i="43"/>
  <c r="V187" i="43"/>
  <c r="V186" i="43" s="1"/>
  <c r="V185" i="43" s="1"/>
  <c r="T190" i="43"/>
  <c r="W190" i="43" s="1"/>
  <c r="W191" i="43"/>
  <c r="AC169" i="43"/>
  <c r="AC193" i="43"/>
  <c r="AB8" i="43" l="1"/>
  <c r="W66" i="43"/>
  <c r="P201" i="43"/>
  <c r="P205" i="43" s="1"/>
  <c r="V46" i="43"/>
  <c r="AC96" i="43"/>
  <c r="AC116" i="43"/>
  <c r="V90" i="43"/>
  <c r="Z198" i="43"/>
  <c r="AC198" i="43"/>
  <c r="W198" i="43"/>
  <c r="U197" i="43"/>
  <c r="W140" i="43"/>
  <c r="T129" i="43"/>
  <c r="W129" i="43" s="1"/>
  <c r="AC185" i="43"/>
  <c r="Z185" i="43"/>
  <c r="AC173" i="43"/>
  <c r="Z173" i="43"/>
  <c r="Z152" i="43"/>
  <c r="AC152" i="43"/>
  <c r="Z145" i="43"/>
  <c r="AC145" i="43"/>
  <c r="U144" i="43"/>
  <c r="AB144" i="43"/>
  <c r="AB143" i="43" s="1"/>
  <c r="AB113" i="43" s="1"/>
  <c r="O113" i="43"/>
  <c r="O201" i="43" s="1"/>
  <c r="O205" i="43" s="1"/>
  <c r="Z92" i="43"/>
  <c r="Y91" i="43"/>
  <c r="AA201" i="43"/>
  <c r="AA205" i="43" s="1"/>
  <c r="V34" i="43"/>
  <c r="W35" i="43"/>
  <c r="T34" i="43"/>
  <c r="W34" i="43" s="1"/>
  <c r="Z105" i="43"/>
  <c r="AC105" i="43"/>
  <c r="W12" i="43"/>
  <c r="T11" i="43"/>
  <c r="AC97" i="43"/>
  <c r="U90" i="43"/>
  <c r="W175" i="43"/>
  <c r="V175" i="43"/>
  <c r="V174" i="43" s="1"/>
  <c r="T174" i="43"/>
  <c r="W159" i="43"/>
  <c r="T152" i="43"/>
  <c r="W152" i="43" s="1"/>
  <c r="Z98" i="43"/>
  <c r="Y97" i="43"/>
  <c r="W72" i="43"/>
  <c r="V72" i="43"/>
  <c r="V79" i="43"/>
  <c r="V76" i="43" s="1"/>
  <c r="W79" i="43"/>
  <c r="V12" i="43"/>
  <c r="V11" i="43" s="1"/>
  <c r="V10" i="43" s="1"/>
  <c r="V9" i="43" s="1"/>
  <c r="V173" i="43"/>
  <c r="AC168" i="43"/>
  <c r="Z168" i="43"/>
  <c r="V163" i="43"/>
  <c r="V162" i="43" s="1"/>
  <c r="V161" i="43" s="1"/>
  <c r="V144" i="43" s="1"/>
  <c r="V143" i="43" s="1"/>
  <c r="T162" i="43"/>
  <c r="W163" i="43"/>
  <c r="Y192" i="43"/>
  <c r="Z192" i="43" s="1"/>
  <c r="Z193" i="43"/>
  <c r="Z162" i="43"/>
  <c r="Y161" i="43"/>
  <c r="Z161" i="43" s="1"/>
  <c r="T116" i="43"/>
  <c r="W117" i="43"/>
  <c r="T106" i="43"/>
  <c r="W107" i="43"/>
  <c r="S201" i="43"/>
  <c r="S205" i="43" s="1"/>
  <c r="Q45" i="43"/>
  <c r="Q44" i="43" s="1"/>
  <c r="Q8" i="43" s="1"/>
  <c r="Q201" i="43" s="1"/>
  <c r="Q205" i="43" s="1"/>
  <c r="N8" i="43"/>
  <c r="N201" i="43" s="1"/>
  <c r="N205" i="43" s="1"/>
  <c r="W194" i="43"/>
  <c r="V194" i="43"/>
  <c r="V193" i="43" s="1"/>
  <c r="V192" i="43" s="1"/>
  <c r="T193" i="43"/>
  <c r="AC115" i="43"/>
  <c r="U114" i="43"/>
  <c r="Y65" i="43"/>
  <c r="Y10" i="43"/>
  <c r="Y9" i="43" s="1"/>
  <c r="Z182" i="43"/>
  <c r="AC182" i="43"/>
  <c r="W182" i="43"/>
  <c r="T185" i="43"/>
  <c r="W185" i="43" s="1"/>
  <c r="W146" i="43"/>
  <c r="T145" i="43"/>
  <c r="V129" i="43"/>
  <c r="V115" i="43" s="1"/>
  <c r="V114" i="43" s="1"/>
  <c r="Z140" i="43"/>
  <c r="V66" i="43"/>
  <c r="T97" i="43"/>
  <c r="W98" i="43"/>
  <c r="W47" i="43"/>
  <c r="T46" i="43"/>
  <c r="Y116" i="43"/>
  <c r="W88" i="43"/>
  <c r="V88" i="43"/>
  <c r="V83" i="43" s="1"/>
  <c r="T83" i="43"/>
  <c r="W83" i="43" s="1"/>
  <c r="U9" i="43"/>
  <c r="AC10" i="43"/>
  <c r="W168" i="43"/>
  <c r="T91" i="43"/>
  <c r="W92" i="43"/>
  <c r="Z46" i="43"/>
  <c r="AC46" i="43"/>
  <c r="U45" i="43"/>
  <c r="V113" i="43" l="1"/>
  <c r="W145" i="43"/>
  <c r="W193" i="43"/>
  <c r="T192" i="43"/>
  <c r="W192" i="43" s="1"/>
  <c r="AC90" i="43"/>
  <c r="U196" i="43"/>
  <c r="Z197" i="43"/>
  <c r="AC197" i="43"/>
  <c r="W197" i="43"/>
  <c r="U44" i="43"/>
  <c r="AC45" i="43"/>
  <c r="Y115" i="43"/>
  <c r="Z116" i="43"/>
  <c r="Z10" i="43"/>
  <c r="V65" i="43"/>
  <c r="U113" i="43"/>
  <c r="AC114" i="43"/>
  <c r="W116" i="43"/>
  <c r="T115" i="43"/>
  <c r="Y96" i="43"/>
  <c r="Z96" i="43" s="1"/>
  <c r="Z97" i="43"/>
  <c r="W174" i="43"/>
  <c r="T173" i="43"/>
  <c r="W173" i="43" s="1"/>
  <c r="U143" i="43"/>
  <c r="AC144" i="43"/>
  <c r="Y144" i="43"/>
  <c r="Y143" i="43" s="1"/>
  <c r="T65" i="43"/>
  <c r="W65" i="43" s="1"/>
  <c r="W91" i="43"/>
  <c r="Z9" i="43"/>
  <c r="AC9" i="43"/>
  <c r="U8" i="43"/>
  <c r="T96" i="43"/>
  <c r="W96" i="43" s="1"/>
  <c r="W97" i="43"/>
  <c r="T45" i="43"/>
  <c r="W46" i="43"/>
  <c r="Z65" i="43"/>
  <c r="Y45" i="43"/>
  <c r="Y44" i="43" s="1"/>
  <c r="Y8" i="43" s="1"/>
  <c r="T10" i="43"/>
  <c r="W11" i="43"/>
  <c r="V45" i="43"/>
  <c r="V44" i="43" s="1"/>
  <c r="V8" i="43" s="1"/>
  <c r="V201" i="43" s="1"/>
  <c r="V205" i="43" s="1"/>
  <c r="W106" i="43"/>
  <c r="T105" i="43"/>
  <c r="W105" i="43" s="1"/>
  <c r="T161" i="43"/>
  <c r="W161" i="43" s="1"/>
  <c r="W162" i="43"/>
  <c r="Y90" i="43"/>
  <c r="Z90" i="43" s="1"/>
  <c r="Z91" i="43"/>
  <c r="AB201" i="43"/>
  <c r="AB205" i="43" s="1"/>
  <c r="T114" i="43" l="1"/>
  <c r="W115" i="43"/>
  <c r="AC113" i="43"/>
  <c r="Y114" i="43"/>
  <c r="Z115" i="43"/>
  <c r="T90" i="43"/>
  <c r="W90" i="43" s="1"/>
  <c r="Z45" i="43"/>
  <c r="U201" i="43"/>
  <c r="AC8" i="43"/>
  <c r="Z8" i="43"/>
  <c r="Z144" i="43"/>
  <c r="T144" i="43"/>
  <c r="W10" i="43"/>
  <c r="T9" i="43"/>
  <c r="W45" i="43"/>
  <c r="T44" i="43"/>
  <c r="W44" i="43" s="1"/>
  <c r="Z143" i="43"/>
  <c r="AC143" i="43"/>
  <c r="Z44" i="43"/>
  <c r="AC44" i="43"/>
  <c r="Z196" i="43"/>
  <c r="AC196" i="43"/>
  <c r="W196" i="43"/>
  <c r="T8" i="43" l="1"/>
  <c r="W9" i="43"/>
  <c r="W144" i="43"/>
  <c r="T143" i="43"/>
  <c r="W143" i="43" s="1"/>
  <c r="AC201" i="43"/>
  <c r="U205" i="43"/>
  <c r="Y113" i="43"/>
  <c r="Z114" i="43"/>
  <c r="W114" i="43"/>
  <c r="T113" i="43"/>
  <c r="W113" i="43" s="1"/>
  <c r="Y201" i="43" l="1"/>
  <c r="Z113" i="43"/>
  <c r="T201" i="43"/>
  <c r="W8" i="43"/>
  <c r="T205" i="43" l="1"/>
  <c r="W201" i="43"/>
  <c r="W205" i="43" s="1"/>
  <c r="Y205" i="43"/>
  <c r="Z201" i="43"/>
  <c r="Z205" i="43" s="1"/>
  <c r="A200" i="41" l="1"/>
  <c r="AC197" i="41"/>
  <c r="AB197" i="41"/>
  <c r="AB196" i="41" s="1"/>
  <c r="AB195" i="41" s="1"/>
  <c r="AB194" i="41" s="1"/>
  <c r="AB193" i="41" s="1"/>
  <c r="Y197" i="41"/>
  <c r="Z197" i="41" s="1"/>
  <c r="V197" i="41"/>
  <c r="V196" i="41" s="1"/>
  <c r="V195" i="41" s="1"/>
  <c r="V194" i="41" s="1"/>
  <c r="V193" i="41" s="1"/>
  <c r="T197" i="41"/>
  <c r="W197" i="41" s="1"/>
  <c r="B197" i="41"/>
  <c r="A197" i="41" s="1"/>
  <c r="AA196" i="41"/>
  <c r="AA195" i="41" s="1"/>
  <c r="AA194" i="41" s="1"/>
  <c r="AA193" i="41" s="1"/>
  <c r="X196" i="41"/>
  <c r="X195" i="41" s="1"/>
  <c r="X194" i="41" s="1"/>
  <c r="X193" i="41" s="1"/>
  <c r="U196" i="41"/>
  <c r="T196" i="41"/>
  <c r="T195" i="41" s="1"/>
  <c r="T194" i="41" s="1"/>
  <c r="T193" i="41" s="1"/>
  <c r="S196" i="41"/>
  <c r="R196" i="41"/>
  <c r="Q196" i="41"/>
  <c r="P196" i="41"/>
  <c r="P195" i="41" s="1"/>
  <c r="P194" i="41" s="1"/>
  <c r="P193" i="41" s="1"/>
  <c r="O196" i="41"/>
  <c r="O195" i="41" s="1"/>
  <c r="O194" i="41" s="1"/>
  <c r="N196" i="41"/>
  <c r="B196" i="41"/>
  <c r="A196" i="41" s="1"/>
  <c r="S195" i="41"/>
  <c r="S194" i="41" s="1"/>
  <c r="S193" i="41" s="1"/>
  <c r="R195" i="41"/>
  <c r="R194" i="41" s="1"/>
  <c r="R193" i="41" s="1"/>
  <c r="Q195" i="41"/>
  <c r="Q194" i="41" s="1"/>
  <c r="Q193" i="41" s="1"/>
  <c r="N195" i="41"/>
  <c r="N194" i="41" s="1"/>
  <c r="N193" i="41" s="1"/>
  <c r="B195" i="41"/>
  <c r="A195" i="41" s="1"/>
  <c r="B194" i="41"/>
  <c r="A194" i="41" s="1"/>
  <c r="O193" i="41"/>
  <c r="B193" i="41"/>
  <c r="A193" i="41" s="1"/>
  <c r="AC192" i="41"/>
  <c r="AB192" i="41"/>
  <c r="Z192" i="41"/>
  <c r="Y192" i="41"/>
  <c r="W192" i="41"/>
  <c r="T192" i="41"/>
  <c r="V192" i="41" s="1"/>
  <c r="B192" i="41"/>
  <c r="A192" i="41"/>
  <c r="AC191" i="41"/>
  <c r="AB191" i="41"/>
  <c r="Y191" i="41"/>
  <c r="Q191" i="41"/>
  <c r="B191" i="41"/>
  <c r="A191" i="41"/>
  <c r="AB190" i="41"/>
  <c r="AB189" i="41" s="1"/>
  <c r="AA190" i="41"/>
  <c r="X190" i="41"/>
  <c r="X189" i="41" s="1"/>
  <c r="U190" i="41"/>
  <c r="AC190" i="41" s="1"/>
  <c r="S190" i="41"/>
  <c r="R190" i="41"/>
  <c r="R189" i="41" s="1"/>
  <c r="P190" i="41"/>
  <c r="O190" i="41"/>
  <c r="N190" i="41"/>
  <c r="N189" i="41" s="1"/>
  <c r="B190" i="41"/>
  <c r="A190" i="41"/>
  <c r="AA189" i="41"/>
  <c r="U189" i="41"/>
  <c r="AC189" i="41" s="1"/>
  <c r="S189" i="41"/>
  <c r="P189" i="41"/>
  <c r="O189" i="41"/>
  <c r="B189" i="41"/>
  <c r="A189" i="41"/>
  <c r="AC188" i="41"/>
  <c r="AB188" i="41"/>
  <c r="AB187" i="41" s="1"/>
  <c r="Z188" i="41"/>
  <c r="Y188" i="41"/>
  <c r="Y187" i="41" s="1"/>
  <c r="V188" i="41"/>
  <c r="V187" i="41" s="1"/>
  <c r="T188" i="41"/>
  <c r="W188" i="41" s="1"/>
  <c r="B188" i="41"/>
  <c r="A188" i="41" s="1"/>
  <c r="AC187" i="41"/>
  <c r="AA187" i="41"/>
  <c r="X187" i="41"/>
  <c r="W187" i="41"/>
  <c r="U187" i="41"/>
  <c r="Z187" i="41" s="1"/>
  <c r="T187" i="41"/>
  <c r="S187" i="41"/>
  <c r="R187" i="41"/>
  <c r="Q187" i="41"/>
  <c r="P187" i="41"/>
  <c r="O187" i="41"/>
  <c r="N187" i="41"/>
  <c r="B187" i="41"/>
  <c r="A187" i="41" s="1"/>
  <c r="AC186" i="41"/>
  <c r="AB186" i="41"/>
  <c r="Z186" i="41"/>
  <c r="Y186" i="41"/>
  <c r="Y185" i="41" s="1"/>
  <c r="T186" i="41"/>
  <c r="V186" i="41" s="1"/>
  <c r="V185" i="41" s="1"/>
  <c r="B186" i="41"/>
  <c r="A186" i="41"/>
  <c r="AB185" i="41"/>
  <c r="AA185" i="41"/>
  <c r="Z185" i="41"/>
  <c r="X185" i="41"/>
  <c r="X182" i="41" s="1"/>
  <c r="U185" i="41"/>
  <c r="AC185" i="41" s="1"/>
  <c r="T185" i="41"/>
  <c r="S185" i="41"/>
  <c r="R185" i="41"/>
  <c r="Q185" i="41"/>
  <c r="P185" i="41"/>
  <c r="P182" i="41" s="1"/>
  <c r="O185" i="41"/>
  <c r="N185" i="41"/>
  <c r="B185" i="41"/>
  <c r="A185" i="41"/>
  <c r="AC184" i="41"/>
  <c r="AB184" i="41"/>
  <c r="AB183" i="41" s="1"/>
  <c r="AB182" i="41" s="1"/>
  <c r="Y184" i="41"/>
  <c r="Z184" i="41" s="1"/>
  <c r="W184" i="41"/>
  <c r="V184" i="41"/>
  <c r="V183" i="41" s="1"/>
  <c r="T184" i="41"/>
  <c r="B184" i="41"/>
  <c r="A184" i="41" s="1"/>
  <c r="AC183" i="41"/>
  <c r="AA183" i="41"/>
  <c r="AA182" i="41" s="1"/>
  <c r="X183" i="41"/>
  <c r="W183" i="41"/>
  <c r="U183" i="41"/>
  <c r="U182" i="41" s="1"/>
  <c r="T183" i="41"/>
  <c r="S183" i="41"/>
  <c r="R183" i="41"/>
  <c r="R182" i="41" s="1"/>
  <c r="Q183" i="41"/>
  <c r="P183" i="41"/>
  <c r="O183" i="41"/>
  <c r="N183" i="41"/>
  <c r="N182" i="41" s="1"/>
  <c r="B183" i="41"/>
  <c r="A183" i="41" s="1"/>
  <c r="S182" i="41"/>
  <c r="Q182" i="41"/>
  <c r="O182" i="41"/>
  <c r="B182" i="41"/>
  <c r="A182" i="41" s="1"/>
  <c r="AC181" i="41"/>
  <c r="AB181" i="41"/>
  <c r="Z181" i="41"/>
  <c r="Y181" i="41"/>
  <c r="Y180" i="41" s="1"/>
  <c r="Y179" i="41" s="1"/>
  <c r="T181" i="41"/>
  <c r="B181" i="41"/>
  <c r="A181" i="41"/>
  <c r="AB180" i="41"/>
  <c r="AB179" i="41" s="1"/>
  <c r="AA180" i="41"/>
  <c r="AA179" i="41" s="1"/>
  <c r="Z180" i="41"/>
  <c r="X180" i="41"/>
  <c r="U180" i="41"/>
  <c r="AC180" i="41" s="1"/>
  <c r="S180" i="41"/>
  <c r="S179" i="41" s="1"/>
  <c r="R180" i="41"/>
  <c r="Q180" i="41"/>
  <c r="P180" i="41"/>
  <c r="P179" i="41" s="1"/>
  <c r="O180" i="41"/>
  <c r="O179" i="41" s="1"/>
  <c r="N180" i="41"/>
  <c r="B180" i="41"/>
  <c r="A180" i="41"/>
  <c r="Z179" i="41"/>
  <c r="X179" i="41"/>
  <c r="U179" i="41"/>
  <c r="R179" i="41"/>
  <c r="Q179" i="41"/>
  <c r="N179" i="41"/>
  <c r="B179" i="41"/>
  <c r="A179" i="41"/>
  <c r="AC178" i="41"/>
  <c r="AB178" i="41"/>
  <c r="AB177" i="41" s="1"/>
  <c r="Y178" i="41"/>
  <c r="V178" i="41"/>
  <c r="V177" i="41" s="1"/>
  <c r="T178" i="41"/>
  <c r="W178" i="41" s="1"/>
  <c r="B178" i="41"/>
  <c r="A178" i="41" s="1"/>
  <c r="AC177" i="41"/>
  <c r="AA177" i="41"/>
  <c r="X177" i="41"/>
  <c r="W177" i="41"/>
  <c r="U177" i="41"/>
  <c r="T177" i="41"/>
  <c r="S177" i="41"/>
  <c r="R177" i="41"/>
  <c r="Q177" i="41"/>
  <c r="P177" i="41"/>
  <c r="O177" i="41"/>
  <c r="N177" i="41"/>
  <c r="B177" i="41"/>
  <c r="A177" i="41" s="1"/>
  <c r="AC176" i="41"/>
  <c r="AB176" i="41"/>
  <c r="Z176" i="41"/>
  <c r="Y176" i="41"/>
  <c r="Y175" i="41" s="1"/>
  <c r="T176" i="41"/>
  <c r="V176" i="41" s="1"/>
  <c r="V175" i="41" s="1"/>
  <c r="V170" i="41" s="1"/>
  <c r="B176" i="41"/>
  <c r="A176" i="41"/>
  <c r="AB175" i="41"/>
  <c r="AA175" i="41"/>
  <c r="Z175" i="41"/>
  <c r="X175" i="41"/>
  <c r="U175" i="41"/>
  <c r="AC175" i="41" s="1"/>
  <c r="T175" i="41"/>
  <c r="S175" i="41"/>
  <c r="R175" i="41"/>
  <c r="Q175" i="41"/>
  <c r="P175" i="41"/>
  <c r="O175" i="41"/>
  <c r="N175" i="41"/>
  <c r="B175" i="41"/>
  <c r="A175" i="41"/>
  <c r="AC174" i="41"/>
  <c r="AB174" i="41"/>
  <c r="AB173" i="41" s="1"/>
  <c r="Y174" i="41"/>
  <c r="Z174" i="41" s="1"/>
  <c r="W174" i="41"/>
  <c r="V174" i="41"/>
  <c r="V173" i="41" s="1"/>
  <c r="T174" i="41"/>
  <c r="B174" i="41"/>
  <c r="A174" i="41" s="1"/>
  <c r="AC173" i="41"/>
  <c r="AA173" i="41"/>
  <c r="X173" i="41"/>
  <c r="W173" i="41"/>
  <c r="U173" i="41"/>
  <c r="T173" i="41"/>
  <c r="S173" i="41"/>
  <c r="R173" i="41"/>
  <c r="Q173" i="41"/>
  <c r="P173" i="41"/>
  <c r="O173" i="41"/>
  <c r="N173" i="41"/>
  <c r="B173" i="41"/>
  <c r="A173" i="41" s="1"/>
  <c r="AC172" i="41"/>
  <c r="AB172" i="41"/>
  <c r="Z172" i="41"/>
  <c r="Y172" i="41"/>
  <c r="T172" i="41"/>
  <c r="V172" i="41" s="1"/>
  <c r="B172" i="41"/>
  <c r="A172" i="41"/>
  <c r="AB171" i="41"/>
  <c r="AA171" i="41"/>
  <c r="Z171" i="41"/>
  <c r="Y171" i="41"/>
  <c r="X171" i="41"/>
  <c r="V171" i="41"/>
  <c r="U171" i="41"/>
  <c r="AC171" i="41" s="1"/>
  <c r="T171" i="41"/>
  <c r="W171" i="41" s="1"/>
  <c r="S171" i="41"/>
  <c r="R171" i="41"/>
  <c r="Q171" i="41"/>
  <c r="P171" i="41"/>
  <c r="O171" i="41"/>
  <c r="N171" i="41"/>
  <c r="B171" i="41"/>
  <c r="A171" i="41"/>
  <c r="AB170" i="41"/>
  <c r="X170" i="41"/>
  <c r="R170" i="41"/>
  <c r="P170" i="41"/>
  <c r="N170" i="41"/>
  <c r="B170" i="41"/>
  <c r="A170" i="41"/>
  <c r="AC169" i="41"/>
  <c r="AB169" i="41"/>
  <c r="AB168" i="41" s="1"/>
  <c r="AB165" i="41" s="1"/>
  <c r="Z169" i="41"/>
  <c r="Y169" i="41"/>
  <c r="Y168" i="41" s="1"/>
  <c r="W169" i="41"/>
  <c r="V169" i="41"/>
  <c r="V168" i="41" s="1"/>
  <c r="T169" i="41"/>
  <c r="B169" i="41"/>
  <c r="A169" i="41" s="1"/>
  <c r="AC168" i="41"/>
  <c r="AA168" i="41"/>
  <c r="AA165" i="41" s="1"/>
  <c r="X168" i="41"/>
  <c r="W168" i="41"/>
  <c r="U168" i="41"/>
  <c r="Z168" i="41" s="1"/>
  <c r="T168" i="41"/>
  <c r="S168" i="41"/>
  <c r="S165" i="41" s="1"/>
  <c r="R168" i="41"/>
  <c r="Q168" i="41"/>
  <c r="P168" i="41"/>
  <c r="O168" i="41"/>
  <c r="O165" i="41" s="1"/>
  <c r="N168" i="41"/>
  <c r="B168" i="41"/>
  <c r="A168" i="41" s="1"/>
  <c r="AC167" i="41"/>
  <c r="AB167" i="41"/>
  <c r="Z167" i="41"/>
  <c r="Y167" i="41"/>
  <c r="T167" i="41"/>
  <c r="V167" i="41" s="1"/>
  <c r="B167" i="41"/>
  <c r="A167" i="41"/>
  <c r="AB166" i="41"/>
  <c r="AA166" i="41"/>
  <c r="Z166" i="41"/>
  <c r="Y166" i="41"/>
  <c r="X166" i="41"/>
  <c r="V166" i="41"/>
  <c r="U166" i="41"/>
  <c r="U165" i="41" s="1"/>
  <c r="T166" i="41"/>
  <c r="W166" i="41" s="1"/>
  <c r="S166" i="41"/>
  <c r="R166" i="41"/>
  <c r="Q166" i="41"/>
  <c r="Q165" i="41" s="1"/>
  <c r="P166" i="41"/>
  <c r="O166" i="41"/>
  <c r="N166" i="41"/>
  <c r="B166" i="41"/>
  <c r="A166" i="41"/>
  <c r="X165" i="41"/>
  <c r="V165" i="41"/>
  <c r="R165" i="41"/>
  <c r="P165" i="41"/>
  <c r="N165" i="41"/>
  <c r="B165" i="41"/>
  <c r="A165" i="41"/>
  <c r="AC164" i="41"/>
  <c r="AB164" i="41"/>
  <c r="AB163" i="41" s="1"/>
  <c r="Y164" i="41"/>
  <c r="Z164" i="41" s="1"/>
  <c r="W164" i="41"/>
  <c r="V164" i="41"/>
  <c r="V163" i="41" s="1"/>
  <c r="T164" i="41"/>
  <c r="B164" i="41"/>
  <c r="A164" i="41" s="1"/>
  <c r="AA163" i="41"/>
  <c r="AA158" i="41" s="1"/>
  <c r="Y163" i="41"/>
  <c r="X163" i="41"/>
  <c r="U163" i="41"/>
  <c r="T163" i="41"/>
  <c r="S163" i="41"/>
  <c r="R163" i="41"/>
  <c r="Q163" i="41"/>
  <c r="P163" i="41"/>
  <c r="O163" i="41"/>
  <c r="N163" i="41"/>
  <c r="B163" i="41"/>
  <c r="A163" i="41" s="1"/>
  <c r="AC162" i="41"/>
  <c r="AB162" i="41"/>
  <c r="Z162" i="41"/>
  <c r="Y162" i="41"/>
  <c r="W162" i="41"/>
  <c r="T162" i="41"/>
  <c r="V162" i="41" s="1"/>
  <c r="R162" i="41"/>
  <c r="B162" i="41"/>
  <c r="A162" i="41" s="1"/>
  <c r="AC161" i="41"/>
  <c r="AB161" i="41"/>
  <c r="Z161" i="41"/>
  <c r="Y161" i="41"/>
  <c r="W161" i="41"/>
  <c r="T161" i="41"/>
  <c r="V161" i="41" s="1"/>
  <c r="B161" i="41"/>
  <c r="A161" i="41"/>
  <c r="AC160" i="41"/>
  <c r="AB160" i="41"/>
  <c r="Y160" i="41"/>
  <c r="Q160" i="41"/>
  <c r="B160" i="41"/>
  <c r="A160" i="41"/>
  <c r="AB159" i="41"/>
  <c r="AB158" i="41" s="1"/>
  <c r="AA159" i="41"/>
  <c r="X159" i="41"/>
  <c r="U159" i="41"/>
  <c r="S159" i="41"/>
  <c r="R159" i="41"/>
  <c r="R158" i="41" s="1"/>
  <c r="P159" i="41"/>
  <c r="P158" i="41" s="1"/>
  <c r="O159" i="41"/>
  <c r="N159" i="41"/>
  <c r="B159" i="41"/>
  <c r="A159" i="41"/>
  <c r="X158" i="41"/>
  <c r="S158" i="41"/>
  <c r="O158" i="41"/>
  <c r="N158" i="41"/>
  <c r="B158" i="41"/>
  <c r="A158" i="41"/>
  <c r="AC157" i="41"/>
  <c r="AB157" i="41"/>
  <c r="AB156" i="41" s="1"/>
  <c r="Y157" i="41"/>
  <c r="Z157" i="41" s="1"/>
  <c r="W157" i="41"/>
  <c r="V157" i="41"/>
  <c r="T157" i="41"/>
  <c r="B157" i="41"/>
  <c r="A157" i="41"/>
  <c r="AC156" i="41"/>
  <c r="AA156" i="41"/>
  <c r="Y156" i="41"/>
  <c r="X156" i="41"/>
  <c r="V156" i="41"/>
  <c r="U156" i="41"/>
  <c r="W156" i="41" s="1"/>
  <c r="T156" i="41"/>
  <c r="S156" i="41"/>
  <c r="R156" i="41"/>
  <c r="Q156" i="41"/>
  <c r="P156" i="41"/>
  <c r="O156" i="41"/>
  <c r="N156" i="41"/>
  <c r="B156" i="41"/>
  <c r="A156" i="41" s="1"/>
  <c r="AC155" i="41"/>
  <c r="AB155" i="41"/>
  <c r="Z155" i="41"/>
  <c r="Y155" i="41"/>
  <c r="V155" i="41"/>
  <c r="V154" i="41" s="1"/>
  <c r="T155" i="41"/>
  <c r="W155" i="41" s="1"/>
  <c r="B155" i="41"/>
  <c r="A155" i="41"/>
  <c r="AC154" i="41"/>
  <c r="AB154" i="41"/>
  <c r="AA154" i="41"/>
  <c r="Y154" i="41"/>
  <c r="X154" i="41"/>
  <c r="X149" i="41" s="1"/>
  <c r="U154" i="41"/>
  <c r="Z154" i="41" s="1"/>
  <c r="T154" i="41"/>
  <c r="W154" i="41" s="1"/>
  <c r="S154" i="41"/>
  <c r="R154" i="41"/>
  <c r="Q154" i="41"/>
  <c r="P154" i="41"/>
  <c r="O154" i="41"/>
  <c r="N154" i="41"/>
  <c r="B154" i="41"/>
  <c r="A154" i="41"/>
  <c r="AC153" i="41"/>
  <c r="AB153" i="41"/>
  <c r="Y153" i="41"/>
  <c r="T153" i="41"/>
  <c r="B153" i="41"/>
  <c r="A153" i="41" s="1"/>
  <c r="AB152" i="41"/>
  <c r="AA152" i="41"/>
  <c r="X152" i="41"/>
  <c r="U152" i="41"/>
  <c r="T152" i="41"/>
  <c r="S152" i="41"/>
  <c r="R152" i="41"/>
  <c r="Q152" i="41"/>
  <c r="P152" i="41"/>
  <c r="P149" i="41" s="1"/>
  <c r="P141" i="41" s="1"/>
  <c r="P140" i="41" s="1"/>
  <c r="O152" i="41"/>
  <c r="N152" i="41"/>
  <c r="B152" i="41"/>
  <c r="A152" i="41"/>
  <c r="AC151" i="41"/>
  <c r="AB151" i="41"/>
  <c r="Y151" i="41"/>
  <c r="W151" i="41"/>
  <c r="T151" i="41"/>
  <c r="V151" i="41" s="1"/>
  <c r="B151" i="41"/>
  <c r="A151" i="41" s="1"/>
  <c r="AB150" i="41"/>
  <c r="AA150" i="41"/>
  <c r="X150" i="41"/>
  <c r="W150" i="41"/>
  <c r="V150" i="41"/>
  <c r="U150" i="41"/>
  <c r="AC150" i="41" s="1"/>
  <c r="T150" i="41"/>
  <c r="S150" i="41"/>
  <c r="S149" i="41" s="1"/>
  <c r="R150" i="41"/>
  <c r="Q150" i="41"/>
  <c r="P150" i="41"/>
  <c r="O150" i="41"/>
  <c r="O149" i="41" s="1"/>
  <c r="N150" i="41"/>
  <c r="B150" i="41"/>
  <c r="A150" i="41"/>
  <c r="U149" i="41"/>
  <c r="Q149" i="41"/>
  <c r="B149" i="41"/>
  <c r="A149" i="41" s="1"/>
  <c r="AC148" i="41"/>
  <c r="AB148" i="41"/>
  <c r="Z148" i="41"/>
  <c r="Y148" i="41"/>
  <c r="Y147" i="41" s="1"/>
  <c r="T148" i="41"/>
  <c r="B148" i="41"/>
  <c r="A148" i="41" s="1"/>
  <c r="AB147" i="41"/>
  <c r="AA147" i="41"/>
  <c r="X147" i="41"/>
  <c r="U147" i="41"/>
  <c r="Z147" i="41" s="1"/>
  <c r="S147" i="41"/>
  <c r="R147" i="41"/>
  <c r="Q147" i="41"/>
  <c r="P147" i="41"/>
  <c r="O147" i="41"/>
  <c r="N147" i="41"/>
  <c r="B147" i="41"/>
  <c r="A147" i="41"/>
  <c r="AC146" i="41"/>
  <c r="AB146" i="41"/>
  <c r="Y146" i="41"/>
  <c r="Z146" i="41" s="1"/>
  <c r="W146" i="41"/>
  <c r="T146" i="41"/>
  <c r="V146" i="41" s="1"/>
  <c r="B146" i="41"/>
  <c r="A146" i="41"/>
  <c r="AC145" i="41"/>
  <c r="AB145" i="41"/>
  <c r="Y145" i="41"/>
  <c r="T145" i="41"/>
  <c r="B145" i="41"/>
  <c r="A145" i="41" s="1"/>
  <c r="AC144" i="41"/>
  <c r="AB144" i="41"/>
  <c r="AB143" i="41" s="1"/>
  <c r="AB142" i="41" s="1"/>
  <c r="Z144" i="41"/>
  <c r="Y144" i="41"/>
  <c r="T144" i="41"/>
  <c r="B144" i="41"/>
  <c r="A144" i="41"/>
  <c r="AA143" i="41"/>
  <c r="X143" i="41"/>
  <c r="U143" i="41"/>
  <c r="S143" i="41"/>
  <c r="R143" i="41"/>
  <c r="Q143" i="41"/>
  <c r="Q142" i="41" s="1"/>
  <c r="P143" i="41"/>
  <c r="P142" i="41" s="1"/>
  <c r="O143" i="41"/>
  <c r="N143" i="41"/>
  <c r="B143" i="41"/>
  <c r="A143" i="41" s="1"/>
  <c r="AA142" i="41"/>
  <c r="S142" i="41"/>
  <c r="R142" i="41"/>
  <c r="O142" i="41"/>
  <c r="N142" i="41"/>
  <c r="B142" i="41"/>
  <c r="A142" i="41"/>
  <c r="B141" i="41"/>
  <c r="A141" i="41" s="1"/>
  <c r="B140" i="41"/>
  <c r="A140" i="41"/>
  <c r="AC139" i="41"/>
  <c r="AB139" i="41"/>
  <c r="AB137" i="41" s="1"/>
  <c r="Y139" i="41"/>
  <c r="Z139" i="41" s="1"/>
  <c r="W139" i="41"/>
  <c r="V139" i="41"/>
  <c r="T139" i="41"/>
  <c r="B139" i="41"/>
  <c r="A139" i="41"/>
  <c r="AC138" i="41"/>
  <c r="AB138" i="41"/>
  <c r="Y138" i="41"/>
  <c r="W138" i="41"/>
  <c r="T138" i="41"/>
  <c r="V138" i="41" s="1"/>
  <c r="V137" i="41" s="1"/>
  <c r="B138" i="41"/>
  <c r="A138" i="41"/>
  <c r="AA137" i="41"/>
  <c r="X137" i="41"/>
  <c r="W137" i="41"/>
  <c r="U137" i="41"/>
  <c r="AC137" i="41" s="1"/>
  <c r="T137" i="41"/>
  <c r="S137" i="41"/>
  <c r="R137" i="41"/>
  <c r="Q137" i="41"/>
  <c r="P137" i="41"/>
  <c r="O137" i="41"/>
  <c r="N137" i="41"/>
  <c r="B137" i="41"/>
  <c r="A137" i="41"/>
  <c r="AC136" i="41"/>
  <c r="AB136" i="41"/>
  <c r="AB135" i="41" s="1"/>
  <c r="Y136" i="41"/>
  <c r="W136" i="41"/>
  <c r="V136" i="41"/>
  <c r="T136" i="41"/>
  <c r="B136" i="41"/>
  <c r="A136" i="41" s="1"/>
  <c r="AC135" i="41"/>
  <c r="AA135" i="41"/>
  <c r="X135" i="41"/>
  <c r="W135" i="41"/>
  <c r="V135" i="41"/>
  <c r="U135" i="41"/>
  <c r="T135" i="41"/>
  <c r="S135" i="41"/>
  <c r="R135" i="41"/>
  <c r="Q135" i="41"/>
  <c r="P135" i="41"/>
  <c r="O135" i="41"/>
  <c r="N135" i="41"/>
  <c r="B135" i="41"/>
  <c r="A135" i="41" s="1"/>
  <c r="AC134" i="41"/>
  <c r="AB134" i="41"/>
  <c r="Z134" i="41"/>
  <c r="Y134" i="41"/>
  <c r="T134" i="41"/>
  <c r="B134" i="41"/>
  <c r="A134" i="41"/>
  <c r="AB133" i="41"/>
  <c r="AA133" i="41"/>
  <c r="Y133" i="41"/>
  <c r="X133" i="41"/>
  <c r="X126" i="41" s="1"/>
  <c r="U133" i="41"/>
  <c r="Z133" i="41" s="1"/>
  <c r="S133" i="41"/>
  <c r="R133" i="41"/>
  <c r="Q133" i="41"/>
  <c r="P133" i="41"/>
  <c r="O133" i="41"/>
  <c r="N133" i="41"/>
  <c r="B133" i="41"/>
  <c r="A133" i="41" s="1"/>
  <c r="AC132" i="41"/>
  <c r="AB132" i="41"/>
  <c r="Z132" i="41"/>
  <c r="Y132" i="41"/>
  <c r="V132" i="41"/>
  <c r="V131" i="41" s="1"/>
  <c r="T132" i="41"/>
  <c r="W132" i="41" s="1"/>
  <c r="B132" i="41"/>
  <c r="A132" i="41" s="1"/>
  <c r="AC131" i="41"/>
  <c r="AB131" i="41"/>
  <c r="AB126" i="41" s="1"/>
  <c r="AA131" i="41"/>
  <c r="Y131" i="41"/>
  <c r="X131" i="41"/>
  <c r="W131" i="41"/>
  <c r="U131" i="41"/>
  <c r="T131" i="41"/>
  <c r="S131" i="41"/>
  <c r="R131" i="41"/>
  <c r="Q131" i="41"/>
  <c r="P131" i="41"/>
  <c r="P126" i="41" s="1"/>
  <c r="O131" i="41"/>
  <c r="N131" i="41"/>
  <c r="B131" i="41"/>
  <c r="A131" i="41"/>
  <c r="AC130" i="41"/>
  <c r="AB130" i="41"/>
  <c r="Y130" i="41"/>
  <c r="Y129" i="41" s="1"/>
  <c r="T130" i="41"/>
  <c r="B130" i="41"/>
  <c r="A130" i="41"/>
  <c r="AB129" i="41"/>
  <c r="AA129" i="41"/>
  <c r="X129" i="41"/>
  <c r="U129" i="41"/>
  <c r="S129" i="41"/>
  <c r="R129" i="41"/>
  <c r="Q129" i="41"/>
  <c r="P129" i="41"/>
  <c r="O129" i="41"/>
  <c r="N129" i="41"/>
  <c r="B129" i="41"/>
  <c r="A129" i="41"/>
  <c r="AC128" i="41"/>
  <c r="AB128" i="41"/>
  <c r="AB127" i="41" s="1"/>
  <c r="Y128" i="41"/>
  <c r="Z128" i="41" s="1"/>
  <c r="W128" i="41"/>
  <c r="V128" i="41"/>
  <c r="V127" i="41" s="1"/>
  <c r="T128" i="41"/>
  <c r="B128" i="41"/>
  <c r="A128" i="41" s="1"/>
  <c r="AA127" i="41"/>
  <c r="Y127" i="41"/>
  <c r="X127" i="41"/>
  <c r="U127" i="41"/>
  <c r="T127" i="41"/>
  <c r="S127" i="41"/>
  <c r="R127" i="41"/>
  <c r="Q127" i="41"/>
  <c r="P127" i="41"/>
  <c r="O127" i="41"/>
  <c r="N127" i="41"/>
  <c r="B127" i="41"/>
  <c r="A127" i="41" s="1"/>
  <c r="AA126" i="41"/>
  <c r="U126" i="41"/>
  <c r="S126" i="41"/>
  <c r="Q126" i="41"/>
  <c r="O126" i="41"/>
  <c r="B126" i="41"/>
  <c r="A126" i="41" s="1"/>
  <c r="AC125" i="41"/>
  <c r="AB125" i="41"/>
  <c r="Z125" i="41"/>
  <c r="Y125" i="41"/>
  <c r="Y124" i="41" s="1"/>
  <c r="Z124" i="41" s="1"/>
  <c r="T125" i="41"/>
  <c r="B125" i="41"/>
  <c r="A125" i="41"/>
  <c r="AB124" i="41"/>
  <c r="AA124" i="41"/>
  <c r="X124" i="41"/>
  <c r="U124" i="41"/>
  <c r="AC124" i="41" s="1"/>
  <c r="S124" i="41"/>
  <c r="R124" i="41"/>
  <c r="Q124" i="41"/>
  <c r="P124" i="41"/>
  <c r="O124" i="41"/>
  <c r="N124" i="41"/>
  <c r="B124" i="41"/>
  <c r="A124" i="41"/>
  <c r="AC123" i="41"/>
  <c r="AB123" i="41"/>
  <c r="AB122" i="41" s="1"/>
  <c r="Y123" i="41"/>
  <c r="W123" i="41"/>
  <c r="V123" i="41"/>
  <c r="V122" i="41" s="1"/>
  <c r="T123" i="41"/>
  <c r="B123" i="41"/>
  <c r="A123" i="41" s="1"/>
  <c r="AA122" i="41"/>
  <c r="X122" i="41"/>
  <c r="U122" i="41"/>
  <c r="T122" i="41"/>
  <c r="S122" i="41"/>
  <c r="R122" i="41"/>
  <c r="Q122" i="41"/>
  <c r="P122" i="41"/>
  <c r="O122" i="41"/>
  <c r="N122" i="41"/>
  <c r="B122" i="41"/>
  <c r="A122" i="41" s="1"/>
  <c r="AC121" i="41"/>
  <c r="AB121" i="41"/>
  <c r="Z121" i="41"/>
  <c r="Y121" i="41"/>
  <c r="T121" i="41"/>
  <c r="B121" i="41"/>
  <c r="A121" i="41"/>
  <c r="AB120" i="41"/>
  <c r="AA120" i="41"/>
  <c r="Z120" i="41"/>
  <c r="Y120" i="41"/>
  <c r="X120" i="41"/>
  <c r="U120" i="41"/>
  <c r="AC120" i="41" s="1"/>
  <c r="S120" i="41"/>
  <c r="R120" i="41"/>
  <c r="Q120" i="41"/>
  <c r="P120" i="41"/>
  <c r="O120" i="41"/>
  <c r="N120" i="41"/>
  <c r="B120" i="41"/>
  <c r="A120" i="41"/>
  <c r="AC119" i="41"/>
  <c r="AB119" i="41"/>
  <c r="AB118" i="41" s="1"/>
  <c r="Y119" i="41"/>
  <c r="Z119" i="41" s="1"/>
  <c r="V119" i="41"/>
  <c r="V118" i="41" s="1"/>
  <c r="T119" i="41"/>
  <c r="W119" i="41" s="1"/>
  <c r="B119" i="41"/>
  <c r="A119" i="41" s="1"/>
  <c r="AA118" i="41"/>
  <c r="Y118" i="41"/>
  <c r="X118" i="41"/>
  <c r="U118" i="41"/>
  <c r="Z118" i="41" s="1"/>
  <c r="T118" i="41"/>
  <c r="S118" i="41"/>
  <c r="R118" i="41"/>
  <c r="Q118" i="41"/>
  <c r="P118" i="41"/>
  <c r="O118" i="41"/>
  <c r="N118" i="41"/>
  <c r="B118" i="41"/>
  <c r="A118" i="41" s="1"/>
  <c r="AC117" i="41"/>
  <c r="AB117" i="41"/>
  <c r="Z117" i="41"/>
  <c r="Y117" i="41"/>
  <c r="Y116" i="41" s="1"/>
  <c r="Z116" i="41" s="1"/>
  <c r="T117" i="41"/>
  <c r="B117" i="41"/>
  <c r="A117" i="41"/>
  <c r="AB116" i="41"/>
  <c r="AA116" i="41"/>
  <c r="X116" i="41"/>
  <c r="X113" i="41" s="1"/>
  <c r="X112" i="41" s="1"/>
  <c r="X111" i="41" s="1"/>
  <c r="U116" i="41"/>
  <c r="AC116" i="41" s="1"/>
  <c r="S116" i="41"/>
  <c r="R116" i="41"/>
  <c r="Q116" i="41"/>
  <c r="P116" i="41"/>
  <c r="O116" i="41"/>
  <c r="N116" i="41"/>
  <c r="B116" i="41"/>
  <c r="A116" i="41"/>
  <c r="AC115" i="41"/>
  <c r="AB115" i="41"/>
  <c r="AB114" i="41" s="1"/>
  <c r="Y115" i="41"/>
  <c r="W115" i="41"/>
  <c r="V115" i="41"/>
  <c r="V114" i="41" s="1"/>
  <c r="T115" i="41"/>
  <c r="B115" i="41"/>
  <c r="A115" i="41" s="1"/>
  <c r="AA114" i="41"/>
  <c r="X114" i="41"/>
  <c r="U114" i="41"/>
  <c r="U113" i="41" s="1"/>
  <c r="T114" i="41"/>
  <c r="S114" i="41"/>
  <c r="R114" i="41"/>
  <c r="Q114" i="41"/>
  <c r="Q113" i="41" s="1"/>
  <c r="Q112" i="41" s="1"/>
  <c r="Q111" i="41" s="1"/>
  <c r="P114" i="41"/>
  <c r="O114" i="41"/>
  <c r="O113" i="41" s="1"/>
  <c r="O112" i="41" s="1"/>
  <c r="N114" i="41"/>
  <c r="B114" i="41"/>
  <c r="A114" i="41" s="1"/>
  <c r="AA113" i="41"/>
  <c r="AA112" i="41" s="1"/>
  <c r="AA111" i="41" s="1"/>
  <c r="S113" i="41"/>
  <c r="S112" i="41" s="1"/>
  <c r="S111" i="41" s="1"/>
  <c r="B113" i="41"/>
  <c r="A113" i="41" s="1"/>
  <c r="B112" i="41"/>
  <c r="A112" i="41" s="1"/>
  <c r="O111" i="41"/>
  <c r="B111" i="41"/>
  <c r="A111" i="41" s="1"/>
  <c r="A110" i="41"/>
  <c r="AC109" i="41"/>
  <c r="AB109" i="41"/>
  <c r="AB108" i="41" s="1"/>
  <c r="Y109" i="41"/>
  <c r="Z109" i="41" s="1"/>
  <c r="V109" i="41"/>
  <c r="V108" i="41" s="1"/>
  <c r="T109" i="41"/>
  <c r="W109" i="41" s="1"/>
  <c r="B109" i="41"/>
  <c r="A109" i="41" s="1"/>
  <c r="AA108" i="41"/>
  <c r="Y108" i="41"/>
  <c r="X108" i="41"/>
  <c r="U108" i="41"/>
  <c r="Z108" i="41" s="1"/>
  <c r="T108" i="41"/>
  <c r="S108" i="41"/>
  <c r="R108" i="41"/>
  <c r="Q108" i="41"/>
  <c r="P108" i="41"/>
  <c r="O108" i="41"/>
  <c r="N108" i="41"/>
  <c r="B108" i="41"/>
  <c r="A108" i="41" s="1"/>
  <c r="AC107" i="41"/>
  <c r="AB107" i="41"/>
  <c r="Z107" i="41"/>
  <c r="Y107" i="41"/>
  <c r="T107" i="41"/>
  <c r="B107" i="41"/>
  <c r="A107" i="41"/>
  <c r="AC106" i="41"/>
  <c r="AB106" i="41"/>
  <c r="AB104" i="41" s="1"/>
  <c r="Y106" i="41"/>
  <c r="V106" i="41"/>
  <c r="T106" i="41"/>
  <c r="W106" i="41" s="1"/>
  <c r="B106" i="41"/>
  <c r="A106" i="41" s="1"/>
  <c r="AC105" i="41"/>
  <c r="AB105" i="41"/>
  <c r="Z105" i="41"/>
  <c r="Y105" i="41"/>
  <c r="T105" i="41"/>
  <c r="V105" i="41" s="1"/>
  <c r="B105" i="41"/>
  <c r="A105" i="41"/>
  <c r="AA104" i="41"/>
  <c r="X104" i="41"/>
  <c r="X103" i="41" s="1"/>
  <c r="X102" i="41" s="1"/>
  <c r="U104" i="41"/>
  <c r="U103" i="41" s="1"/>
  <c r="S104" i="41"/>
  <c r="R104" i="41"/>
  <c r="Q104" i="41"/>
  <c r="Q103" i="41" s="1"/>
  <c r="Q102" i="41" s="1"/>
  <c r="P104" i="41"/>
  <c r="O104" i="41"/>
  <c r="N104" i="41"/>
  <c r="B104" i="41"/>
  <c r="A104" i="41"/>
  <c r="AB103" i="41"/>
  <c r="AB102" i="41" s="1"/>
  <c r="AA103" i="41"/>
  <c r="S103" i="41"/>
  <c r="R103" i="41"/>
  <c r="P103" i="41"/>
  <c r="P102" i="41" s="1"/>
  <c r="O103" i="41"/>
  <c r="N103" i="41"/>
  <c r="B103" i="41"/>
  <c r="A103" i="41"/>
  <c r="R102" i="41"/>
  <c r="N102" i="41"/>
  <c r="B102" i="41"/>
  <c r="A102" i="41"/>
  <c r="AC101" i="41"/>
  <c r="AB101" i="41"/>
  <c r="AB100" i="41" s="1"/>
  <c r="AB99" i="41" s="1"/>
  <c r="Z101" i="41"/>
  <c r="Y101" i="41"/>
  <c r="V101" i="41"/>
  <c r="V100" i="41" s="1"/>
  <c r="V99" i="41" s="1"/>
  <c r="T101" i="41"/>
  <c r="W101" i="41" s="1"/>
  <c r="B101" i="41"/>
  <c r="A101" i="41" s="1"/>
  <c r="AC100" i="41"/>
  <c r="AA100" i="41"/>
  <c r="AA99" i="41" s="1"/>
  <c r="Y100" i="41"/>
  <c r="Y99" i="41" s="1"/>
  <c r="X100" i="41"/>
  <c r="X99" i="41" s="1"/>
  <c r="W100" i="41"/>
  <c r="U100" i="41"/>
  <c r="Z100" i="41" s="1"/>
  <c r="T100" i="41"/>
  <c r="T99" i="41" s="1"/>
  <c r="W99" i="41" s="1"/>
  <c r="S100" i="41"/>
  <c r="R100" i="41"/>
  <c r="Q100" i="41"/>
  <c r="P100" i="41"/>
  <c r="P99" i="41" s="1"/>
  <c r="O100" i="41"/>
  <c r="N100" i="41"/>
  <c r="B100" i="41"/>
  <c r="A100" i="41" s="1"/>
  <c r="AC99" i="41"/>
  <c r="U99" i="41"/>
  <c r="Z99" i="41" s="1"/>
  <c r="S99" i="41"/>
  <c r="R99" i="41"/>
  <c r="Q99" i="41"/>
  <c r="O99" i="41"/>
  <c r="N99" i="41"/>
  <c r="B99" i="41"/>
  <c r="A99" i="41" s="1"/>
  <c r="AC98" i="41"/>
  <c r="AB98" i="41"/>
  <c r="Z98" i="41"/>
  <c r="Y98" i="41"/>
  <c r="T98" i="41"/>
  <c r="B98" i="41"/>
  <c r="A98" i="41"/>
  <c r="AC97" i="41"/>
  <c r="AB97" i="41"/>
  <c r="AB95" i="41" s="1"/>
  <c r="AB94" i="41" s="1"/>
  <c r="AB93" i="41" s="1"/>
  <c r="Y97" i="41"/>
  <c r="Z97" i="41" s="1"/>
  <c r="W97" i="41"/>
  <c r="V97" i="41"/>
  <c r="T97" i="41"/>
  <c r="B97" i="41"/>
  <c r="A97" i="41"/>
  <c r="AC96" i="41"/>
  <c r="AB96" i="41"/>
  <c r="Y96" i="41"/>
  <c r="Y95" i="41" s="1"/>
  <c r="Z95" i="41" s="1"/>
  <c r="T96" i="41"/>
  <c r="B96" i="41"/>
  <c r="A96" i="41"/>
  <c r="AA95" i="41"/>
  <c r="AA94" i="41" s="1"/>
  <c r="X95" i="41"/>
  <c r="X94" i="41" s="1"/>
  <c r="X93" i="41" s="1"/>
  <c r="U95" i="41"/>
  <c r="S95" i="41"/>
  <c r="S94" i="41" s="1"/>
  <c r="R95" i="41"/>
  <c r="R94" i="41" s="1"/>
  <c r="R93" i="41" s="1"/>
  <c r="Q95" i="41"/>
  <c r="P95" i="41"/>
  <c r="P94" i="41" s="1"/>
  <c r="P93" i="41" s="1"/>
  <c r="P88" i="41" s="1"/>
  <c r="O95" i="41"/>
  <c r="O94" i="41" s="1"/>
  <c r="N95" i="41"/>
  <c r="N94" i="41" s="1"/>
  <c r="N93" i="41" s="1"/>
  <c r="B95" i="41"/>
  <c r="A95" i="41"/>
  <c r="Y94" i="41"/>
  <c r="Y93" i="41" s="1"/>
  <c r="Z93" i="41" s="1"/>
  <c r="U94" i="41"/>
  <c r="U93" i="41" s="1"/>
  <c r="Q94" i="41"/>
  <c r="Q93" i="41" s="1"/>
  <c r="B94" i="41"/>
  <c r="A94" i="41"/>
  <c r="S93" i="41"/>
  <c r="O93" i="41"/>
  <c r="B93" i="41"/>
  <c r="A93" i="41"/>
  <c r="AC92" i="41"/>
  <c r="AB92" i="41"/>
  <c r="AB90" i="41" s="1"/>
  <c r="AB89" i="41" s="1"/>
  <c r="Z92" i="41"/>
  <c r="Y92" i="41"/>
  <c r="Y90" i="41" s="1"/>
  <c r="Y89" i="41" s="1"/>
  <c r="W92" i="41"/>
  <c r="V92" i="41"/>
  <c r="T92" i="41"/>
  <c r="B92" i="41"/>
  <c r="A92" i="41" s="1"/>
  <c r="AC91" i="41"/>
  <c r="AB91" i="41"/>
  <c r="Z91" i="41"/>
  <c r="Y91" i="41"/>
  <c r="W91" i="41"/>
  <c r="O91" i="41"/>
  <c r="T91" i="41" s="1"/>
  <c r="B91" i="41"/>
  <c r="A91" i="41" s="1"/>
  <c r="AC90" i="41"/>
  <c r="AA90" i="41"/>
  <c r="AA89" i="41" s="1"/>
  <c r="X90" i="41"/>
  <c r="X89" i="41" s="1"/>
  <c r="U90" i="41"/>
  <c r="S90" i="41"/>
  <c r="S89" i="41" s="1"/>
  <c r="S88" i="41" s="1"/>
  <c r="R90" i="41"/>
  <c r="Q90" i="41"/>
  <c r="Q89" i="41" s="1"/>
  <c r="Q88" i="41" s="1"/>
  <c r="P90" i="41"/>
  <c r="P89" i="41" s="1"/>
  <c r="O90" i="41"/>
  <c r="O89" i="41" s="1"/>
  <c r="N90" i="41"/>
  <c r="B90" i="41"/>
  <c r="A90" i="41" s="1"/>
  <c r="U89" i="41"/>
  <c r="Z89" i="41" s="1"/>
  <c r="R89" i="41"/>
  <c r="N89" i="41"/>
  <c r="B89" i="41"/>
  <c r="A89" i="41" s="1"/>
  <c r="Y88" i="41"/>
  <c r="O88" i="41"/>
  <c r="B88" i="41"/>
  <c r="A88" i="41"/>
  <c r="AC87" i="41"/>
  <c r="AB87" i="41"/>
  <c r="Y87" i="41"/>
  <c r="Z87" i="41" s="1"/>
  <c r="T87" i="41"/>
  <c r="B87" i="41"/>
  <c r="A87" i="41"/>
  <c r="AC86" i="41"/>
  <c r="AB86" i="41"/>
  <c r="Y86" i="41"/>
  <c r="Z86" i="41" s="1"/>
  <c r="T86" i="41"/>
  <c r="B86" i="41"/>
  <c r="A86" i="41" s="1"/>
  <c r="AC85" i="41"/>
  <c r="AB85" i="41"/>
  <c r="Z85" i="41"/>
  <c r="Y85" i="41"/>
  <c r="T85" i="41"/>
  <c r="B85" i="41"/>
  <c r="A85" i="41"/>
  <c r="AC84" i="41"/>
  <c r="AB84" i="41"/>
  <c r="Y84" i="41"/>
  <c r="Z84" i="41" s="1"/>
  <c r="W84" i="41"/>
  <c r="V84" i="41"/>
  <c r="T84" i="41"/>
  <c r="B84" i="41"/>
  <c r="A84" i="41"/>
  <c r="AC83" i="41"/>
  <c r="AB83" i="41"/>
  <c r="Y83" i="41"/>
  <c r="Z83" i="41" s="1"/>
  <c r="T83" i="41"/>
  <c r="B83" i="41"/>
  <c r="A83" i="41"/>
  <c r="AC82" i="41"/>
  <c r="AB82" i="41"/>
  <c r="Z82" i="41"/>
  <c r="Y82" i="41"/>
  <c r="Y81" i="41" s="1"/>
  <c r="T82" i="41"/>
  <c r="B82" i="41"/>
  <c r="A82" i="41" s="1"/>
  <c r="AA81" i="41"/>
  <c r="AC81" i="41" s="1"/>
  <c r="X81" i="41"/>
  <c r="U81" i="41"/>
  <c r="S81" i="41"/>
  <c r="R81" i="41"/>
  <c r="Q81" i="41"/>
  <c r="P81" i="41"/>
  <c r="O81" i="41"/>
  <c r="N81" i="41"/>
  <c r="B81" i="41"/>
  <c r="A81" i="41"/>
  <c r="AC80" i="41"/>
  <c r="AB80" i="41"/>
  <c r="Y80" i="41"/>
  <c r="Z80" i="41" s="1"/>
  <c r="W80" i="41"/>
  <c r="V80" i="41"/>
  <c r="T80" i="41"/>
  <c r="B80" i="41"/>
  <c r="A80" i="41" s="1"/>
  <c r="AC79" i="41"/>
  <c r="AB79" i="41"/>
  <c r="Z79" i="41"/>
  <c r="Y79" i="41"/>
  <c r="R79" i="41"/>
  <c r="Q79" i="41"/>
  <c r="T79" i="41" s="1"/>
  <c r="V79" i="41" s="1"/>
  <c r="B79" i="41"/>
  <c r="A79" i="41"/>
  <c r="AC78" i="41"/>
  <c r="AB78" i="41"/>
  <c r="AB74" i="41" s="1"/>
  <c r="Y78" i="41"/>
  <c r="Z78" i="41" s="1"/>
  <c r="Q78" i="41"/>
  <c r="B78" i="41"/>
  <c r="A78" i="41"/>
  <c r="AC77" i="41"/>
  <c r="AB77" i="41"/>
  <c r="Y77" i="41"/>
  <c r="R77" i="41"/>
  <c r="T77" i="41" s="1"/>
  <c r="W77" i="41" s="1"/>
  <c r="Q77" i="41"/>
  <c r="B77" i="41"/>
  <c r="A77" i="41" s="1"/>
  <c r="AC76" i="41"/>
  <c r="AB76" i="41"/>
  <c r="Z76" i="41"/>
  <c r="Y76" i="41"/>
  <c r="T76" i="41"/>
  <c r="V76" i="41" s="1"/>
  <c r="R76" i="41"/>
  <c r="B76" i="41"/>
  <c r="A76" i="41" s="1"/>
  <c r="AC75" i="41"/>
  <c r="AB75" i="41"/>
  <c r="Z75" i="41"/>
  <c r="Y75" i="41"/>
  <c r="T75" i="41"/>
  <c r="V75" i="41" s="1"/>
  <c r="B75" i="41"/>
  <c r="A75" i="41"/>
  <c r="AA74" i="41"/>
  <c r="X74" i="41"/>
  <c r="U74" i="41"/>
  <c r="AC74" i="41" s="1"/>
  <c r="S74" i="41"/>
  <c r="P74" i="41"/>
  <c r="O74" i="41"/>
  <c r="N74" i="41"/>
  <c r="B74" i="41"/>
  <c r="A74" i="41"/>
  <c r="AC73" i="41"/>
  <c r="AB73" i="41"/>
  <c r="AB71" i="41" s="1"/>
  <c r="Y73" i="41"/>
  <c r="V73" i="41"/>
  <c r="T73" i="41"/>
  <c r="W73" i="41" s="1"/>
  <c r="B73" i="41"/>
  <c r="A73" i="41" s="1"/>
  <c r="AC72" i="41"/>
  <c r="AB72" i="41"/>
  <c r="Z72" i="41"/>
  <c r="Y72" i="41"/>
  <c r="T72" i="41"/>
  <c r="V72" i="41" s="1"/>
  <c r="V71" i="41" s="1"/>
  <c r="B72" i="41"/>
  <c r="A72" i="41"/>
  <c r="AA71" i="41"/>
  <c r="X71" i="41"/>
  <c r="U71" i="41"/>
  <c r="AC71" i="41" s="1"/>
  <c r="S71" i="41"/>
  <c r="R71" i="41"/>
  <c r="Q71" i="41"/>
  <c r="P71" i="41"/>
  <c r="O71" i="41"/>
  <c r="N71" i="41"/>
  <c r="B71" i="41"/>
  <c r="A71" i="41"/>
  <c r="AC70" i="41"/>
  <c r="AB70" i="41"/>
  <c r="Y70" i="41"/>
  <c r="Z70" i="41" s="1"/>
  <c r="V70" i="41"/>
  <c r="T70" i="41"/>
  <c r="W70" i="41" s="1"/>
  <c r="B70" i="41"/>
  <c r="A70" i="41" s="1"/>
  <c r="AC69" i="41"/>
  <c r="AB69" i="41"/>
  <c r="Z69" i="41"/>
  <c r="Y69" i="41"/>
  <c r="W69" i="41"/>
  <c r="T69" i="41"/>
  <c r="V69" i="41" s="1"/>
  <c r="B69" i="41"/>
  <c r="A69" i="41"/>
  <c r="AC68" i="41"/>
  <c r="AB68" i="41"/>
  <c r="Z68" i="41"/>
  <c r="Y68" i="41"/>
  <c r="W68" i="41"/>
  <c r="V68" i="41"/>
  <c r="T68" i="41"/>
  <c r="B68" i="41"/>
  <c r="A68" i="41" s="1"/>
  <c r="AC67" i="41"/>
  <c r="AB67" i="41"/>
  <c r="Z67" i="41"/>
  <c r="Y67" i="41"/>
  <c r="W67" i="41"/>
  <c r="T67" i="41"/>
  <c r="V67" i="41" s="1"/>
  <c r="B67" i="41"/>
  <c r="A67" i="41"/>
  <c r="AC66" i="41"/>
  <c r="AB66" i="41"/>
  <c r="Y66" i="41"/>
  <c r="Z66" i="41" s="1"/>
  <c r="R66" i="41"/>
  <c r="T66" i="41" s="1"/>
  <c r="W66" i="41" s="1"/>
  <c r="Q66" i="41"/>
  <c r="B66" i="41"/>
  <c r="A66" i="41" s="1"/>
  <c r="AC65" i="41"/>
  <c r="AB65" i="41"/>
  <c r="Z65" i="41"/>
  <c r="Y65" i="41"/>
  <c r="Y64" i="41" s="1"/>
  <c r="Z64" i="41" s="1"/>
  <c r="T65" i="41"/>
  <c r="V65" i="41" s="1"/>
  <c r="B65" i="41"/>
  <c r="A65" i="41"/>
  <c r="AB64" i="41"/>
  <c r="AA64" i="41"/>
  <c r="AA63" i="41" s="1"/>
  <c r="X64" i="41"/>
  <c r="X63" i="41" s="1"/>
  <c r="U64" i="41"/>
  <c r="AC64" i="41" s="1"/>
  <c r="S64" i="41"/>
  <c r="S63" i="41" s="1"/>
  <c r="Q64" i="41"/>
  <c r="P64" i="41"/>
  <c r="O64" i="41"/>
  <c r="O63" i="41" s="1"/>
  <c r="N64" i="41"/>
  <c r="B64" i="41"/>
  <c r="A64" i="41"/>
  <c r="U63" i="41"/>
  <c r="AC63" i="41" s="1"/>
  <c r="P63" i="41"/>
  <c r="N63" i="41"/>
  <c r="B63" i="41"/>
  <c r="A63" i="41"/>
  <c r="AC62" i="41"/>
  <c r="AB62" i="41"/>
  <c r="Y62" i="41"/>
  <c r="Z62" i="41" s="1"/>
  <c r="R62" i="41"/>
  <c r="B62" i="41"/>
  <c r="A62" i="41"/>
  <c r="AC61" i="41"/>
  <c r="AB61" i="41"/>
  <c r="Z61" i="41"/>
  <c r="Y61" i="41"/>
  <c r="W61" i="41"/>
  <c r="V61" i="41"/>
  <c r="T61" i="41"/>
  <c r="B61" i="41"/>
  <c r="A61" i="41" s="1"/>
  <c r="AC60" i="41"/>
  <c r="AB60" i="41"/>
  <c r="Z60" i="41"/>
  <c r="Y60" i="41"/>
  <c r="T60" i="41"/>
  <c r="W60" i="41" s="1"/>
  <c r="B60" i="41"/>
  <c r="A60" i="41"/>
  <c r="AC59" i="41"/>
  <c r="AB59" i="41"/>
  <c r="Y59" i="41"/>
  <c r="Z59" i="41" s="1"/>
  <c r="V59" i="41"/>
  <c r="T59" i="41"/>
  <c r="W59" i="41" s="1"/>
  <c r="B59" i="41"/>
  <c r="A59" i="41" s="1"/>
  <c r="AC58" i="41"/>
  <c r="AA58" i="41"/>
  <c r="X58" i="41"/>
  <c r="U58" i="41"/>
  <c r="S58" i="41"/>
  <c r="Q58" i="41"/>
  <c r="P58" i="41"/>
  <c r="O58" i="41"/>
  <c r="N58" i="41"/>
  <c r="B58" i="41"/>
  <c r="A58" i="41" s="1"/>
  <c r="AC57" i="41"/>
  <c r="AB57" i="41"/>
  <c r="Z57" i="41"/>
  <c r="Y57" i="41"/>
  <c r="W57" i="41"/>
  <c r="T57" i="41"/>
  <c r="V57" i="41" s="1"/>
  <c r="B57" i="41"/>
  <c r="A57" i="41"/>
  <c r="AC56" i="41"/>
  <c r="AB56" i="41"/>
  <c r="Y56" i="41"/>
  <c r="Z56" i="41" s="1"/>
  <c r="V56" i="41"/>
  <c r="T56" i="41"/>
  <c r="W56" i="41" s="1"/>
  <c r="B56" i="41"/>
  <c r="A56" i="41" s="1"/>
  <c r="AC55" i="41"/>
  <c r="AB55" i="41"/>
  <c r="Z55" i="41"/>
  <c r="Y55" i="41"/>
  <c r="T55" i="41"/>
  <c r="V55" i="41" s="1"/>
  <c r="B55" i="41"/>
  <c r="A55" i="41"/>
  <c r="AC54" i="41"/>
  <c r="AB54" i="41"/>
  <c r="Z54" i="41"/>
  <c r="Y54" i="41"/>
  <c r="W54" i="41"/>
  <c r="V54" i="41"/>
  <c r="T54" i="41"/>
  <c r="B54" i="41"/>
  <c r="A54" i="41" s="1"/>
  <c r="AC53" i="41"/>
  <c r="AB53" i="41"/>
  <c r="Z53" i="41"/>
  <c r="Y53" i="41"/>
  <c r="T53" i="41"/>
  <c r="W53" i="41" s="1"/>
  <c r="B53" i="41"/>
  <c r="A53" i="41"/>
  <c r="AC52" i="41"/>
  <c r="AB52" i="41"/>
  <c r="AB51" i="41" s="1"/>
  <c r="Y52" i="41"/>
  <c r="Z52" i="41" s="1"/>
  <c r="V52" i="41"/>
  <c r="T52" i="41"/>
  <c r="W52" i="41" s="1"/>
  <c r="B52" i="41"/>
  <c r="A52" i="41" s="1"/>
  <c r="AC51" i="41"/>
  <c r="AA51" i="41"/>
  <c r="X51" i="41"/>
  <c r="U51" i="41"/>
  <c r="S51" i="41"/>
  <c r="R51" i="41"/>
  <c r="Q51" i="41"/>
  <c r="Q45" i="41" s="1"/>
  <c r="P51" i="41"/>
  <c r="O51" i="41"/>
  <c r="N51" i="41"/>
  <c r="B51" i="41"/>
  <c r="A51" i="41" s="1"/>
  <c r="AC50" i="41"/>
  <c r="AB50" i="41"/>
  <c r="Z50" i="41"/>
  <c r="Y50" i="41"/>
  <c r="Y49" i="41" s="1"/>
  <c r="T50" i="41"/>
  <c r="V50" i="41" s="1"/>
  <c r="V49" i="41" s="1"/>
  <c r="B50" i="41"/>
  <c r="A50" i="41"/>
  <c r="AB49" i="41"/>
  <c r="AA49" i="41"/>
  <c r="Z49" i="41"/>
  <c r="X49" i="41"/>
  <c r="U49" i="41"/>
  <c r="AC49" i="41" s="1"/>
  <c r="T49" i="41"/>
  <c r="W49" i="41" s="1"/>
  <c r="S49" i="41"/>
  <c r="R49" i="41"/>
  <c r="Q49" i="41"/>
  <c r="P49" i="41"/>
  <c r="O49" i="41"/>
  <c r="N49" i="41"/>
  <c r="B49" i="41"/>
  <c r="A49" i="41"/>
  <c r="AC48" i="41"/>
  <c r="AB48" i="41"/>
  <c r="Y48" i="41"/>
  <c r="Z48" i="41" s="1"/>
  <c r="W48" i="41"/>
  <c r="V48" i="41"/>
  <c r="T48" i="41"/>
  <c r="B48" i="41"/>
  <c r="A48" i="41" s="1"/>
  <c r="AC47" i="41"/>
  <c r="AB47" i="41"/>
  <c r="Z47" i="41"/>
  <c r="Y47" i="41"/>
  <c r="Y46" i="41" s="1"/>
  <c r="T47" i="41"/>
  <c r="V47" i="41" s="1"/>
  <c r="V46" i="41" s="1"/>
  <c r="B47" i="41"/>
  <c r="A47" i="41"/>
  <c r="AB46" i="41"/>
  <c r="AA46" i="41"/>
  <c r="AA45" i="41" s="1"/>
  <c r="AA44" i="41" s="1"/>
  <c r="AA43" i="41" s="1"/>
  <c r="X46" i="41"/>
  <c r="U46" i="41"/>
  <c r="AC46" i="41" s="1"/>
  <c r="S46" i="41"/>
  <c r="S45" i="41" s="1"/>
  <c r="R46" i="41"/>
  <c r="Q46" i="41"/>
  <c r="P46" i="41"/>
  <c r="O46" i="41"/>
  <c r="O45" i="41" s="1"/>
  <c r="N46" i="41"/>
  <c r="N45" i="41" s="1"/>
  <c r="N44" i="41" s="1"/>
  <c r="N43" i="41" s="1"/>
  <c r="B46" i="41"/>
  <c r="A46" i="41"/>
  <c r="X45" i="41"/>
  <c r="P45" i="41"/>
  <c r="P44" i="41" s="1"/>
  <c r="P43" i="41" s="1"/>
  <c r="B45" i="41"/>
  <c r="A45" i="41"/>
  <c r="B44" i="41"/>
  <c r="A44" i="41"/>
  <c r="B43" i="41"/>
  <c r="A43" i="41"/>
  <c r="AC42" i="41"/>
  <c r="AB42" i="41"/>
  <c r="Y42" i="41"/>
  <c r="Z42" i="41" s="1"/>
  <c r="V42" i="41"/>
  <c r="T42" i="41"/>
  <c r="W42" i="41" s="1"/>
  <c r="B42" i="41"/>
  <c r="A42" i="41" s="1"/>
  <c r="AC41" i="41"/>
  <c r="AB41" i="41"/>
  <c r="Z41" i="41"/>
  <c r="Y41" i="41"/>
  <c r="T41" i="41"/>
  <c r="V41" i="41" s="1"/>
  <c r="B41" i="41"/>
  <c r="A41" i="41"/>
  <c r="AC40" i="41"/>
  <c r="AB40" i="41"/>
  <c r="Z40" i="41"/>
  <c r="Y40" i="41"/>
  <c r="W40" i="41"/>
  <c r="V40" i="41"/>
  <c r="T40" i="41"/>
  <c r="B40" i="41"/>
  <c r="A40" i="41" s="1"/>
  <c r="AC39" i="41"/>
  <c r="AB39" i="41"/>
  <c r="Z39" i="41"/>
  <c r="Y39" i="41"/>
  <c r="T39" i="41"/>
  <c r="V39" i="41" s="1"/>
  <c r="B39" i="41"/>
  <c r="A39" i="41"/>
  <c r="AC38" i="41"/>
  <c r="AB38" i="41"/>
  <c r="Y38" i="41"/>
  <c r="Z38" i="41" s="1"/>
  <c r="V38" i="41"/>
  <c r="T38" i="41"/>
  <c r="W38" i="41" s="1"/>
  <c r="B38" i="41"/>
  <c r="A38" i="41" s="1"/>
  <c r="AC37" i="41"/>
  <c r="AB37" i="41"/>
  <c r="Z37" i="41"/>
  <c r="Y37" i="41"/>
  <c r="W37" i="41"/>
  <c r="T37" i="41"/>
  <c r="V37" i="41" s="1"/>
  <c r="B37" i="41"/>
  <c r="A37" i="41"/>
  <c r="AC36" i="41"/>
  <c r="AB36" i="41"/>
  <c r="Y36" i="41"/>
  <c r="Z36" i="41" s="1"/>
  <c r="W36" i="41"/>
  <c r="V36" i="41"/>
  <c r="T36" i="41"/>
  <c r="B36" i="41"/>
  <c r="A36" i="41" s="1"/>
  <c r="AC35" i="41"/>
  <c r="AB35" i="41"/>
  <c r="Z35" i="41"/>
  <c r="Y35" i="41"/>
  <c r="Y34" i="41" s="1"/>
  <c r="T35" i="41"/>
  <c r="V35" i="41" s="1"/>
  <c r="V34" i="41" s="1"/>
  <c r="V33" i="41" s="1"/>
  <c r="B35" i="41"/>
  <c r="A35" i="41"/>
  <c r="AB34" i="41"/>
  <c r="AB33" i="41" s="1"/>
  <c r="AA34" i="41"/>
  <c r="AA33" i="41" s="1"/>
  <c r="X34" i="41"/>
  <c r="U34" i="41"/>
  <c r="AC34" i="41" s="1"/>
  <c r="S34" i="41"/>
  <c r="S33" i="41" s="1"/>
  <c r="R34" i="41"/>
  <c r="Q34" i="41"/>
  <c r="P34" i="41"/>
  <c r="O34" i="41"/>
  <c r="O33" i="41" s="1"/>
  <c r="N34" i="41"/>
  <c r="B34" i="41"/>
  <c r="A34" i="41"/>
  <c r="X33" i="41"/>
  <c r="U33" i="41"/>
  <c r="R33" i="41"/>
  <c r="Q33" i="41"/>
  <c r="P33" i="41"/>
  <c r="N33" i="41"/>
  <c r="B33" i="41"/>
  <c r="A33" i="41"/>
  <c r="AC32" i="41"/>
  <c r="AB32" i="41"/>
  <c r="Y32" i="41"/>
  <c r="Z32" i="41" s="1"/>
  <c r="V32" i="41"/>
  <c r="T32" i="41"/>
  <c r="W32" i="41" s="1"/>
  <c r="B32" i="41"/>
  <c r="A32" i="41" s="1"/>
  <c r="AC31" i="41"/>
  <c r="AB31" i="41"/>
  <c r="Z31" i="41"/>
  <c r="Y31" i="41"/>
  <c r="W31" i="41"/>
  <c r="T31" i="41"/>
  <c r="V31" i="41" s="1"/>
  <c r="B31" i="41"/>
  <c r="A31" i="41"/>
  <c r="AC30" i="41"/>
  <c r="AB30" i="41"/>
  <c r="Y30" i="41"/>
  <c r="Z30" i="41" s="1"/>
  <c r="W30" i="41"/>
  <c r="V30" i="41"/>
  <c r="T30" i="41"/>
  <c r="B30" i="41"/>
  <c r="A30" i="41"/>
  <c r="AC29" i="41"/>
  <c r="AB29" i="41"/>
  <c r="Y29" i="41"/>
  <c r="Z29" i="41" s="1"/>
  <c r="T29" i="41"/>
  <c r="V29" i="41" s="1"/>
  <c r="B29" i="41"/>
  <c r="A29" i="41"/>
  <c r="AC28" i="41"/>
  <c r="AB28" i="41"/>
  <c r="Y28" i="41"/>
  <c r="Z28" i="41" s="1"/>
  <c r="T28" i="41"/>
  <c r="W28" i="41" s="1"/>
  <c r="B28" i="41"/>
  <c r="A28" i="41" s="1"/>
  <c r="AC27" i="41"/>
  <c r="AB27" i="41"/>
  <c r="Z27" i="41"/>
  <c r="Y27" i="41"/>
  <c r="W27" i="41"/>
  <c r="T27" i="41"/>
  <c r="V27" i="41" s="1"/>
  <c r="B27" i="41"/>
  <c r="A27" i="41"/>
  <c r="AC26" i="41"/>
  <c r="AB26" i="41"/>
  <c r="Y26" i="41"/>
  <c r="Z26" i="41" s="1"/>
  <c r="W26" i="41"/>
  <c r="V26" i="41"/>
  <c r="T26" i="41"/>
  <c r="B26" i="41"/>
  <c r="A26" i="41"/>
  <c r="AC25" i="41"/>
  <c r="AB25" i="41"/>
  <c r="Y25" i="41"/>
  <c r="Z25" i="41" s="1"/>
  <c r="T25" i="41"/>
  <c r="V25" i="41" s="1"/>
  <c r="B25" i="41"/>
  <c r="A25" i="41"/>
  <c r="AC24" i="41"/>
  <c r="AB24" i="41"/>
  <c r="AB23" i="41" s="1"/>
  <c r="Y24" i="41"/>
  <c r="Y23" i="41" s="1"/>
  <c r="T24" i="41"/>
  <c r="W24" i="41" s="1"/>
  <c r="B24" i="41"/>
  <c r="A24" i="41" s="1"/>
  <c r="AC23" i="41"/>
  <c r="AA23" i="41"/>
  <c r="X23" i="41"/>
  <c r="U23" i="41"/>
  <c r="T23" i="41"/>
  <c r="W23" i="41" s="1"/>
  <c r="S23" i="41"/>
  <c r="R23" i="41"/>
  <c r="Q23" i="41"/>
  <c r="P23" i="41"/>
  <c r="P10" i="41" s="1"/>
  <c r="P9" i="41" s="1"/>
  <c r="O23" i="41"/>
  <c r="N23" i="41"/>
  <c r="B23" i="41"/>
  <c r="A23" i="41"/>
  <c r="AC22" i="41"/>
  <c r="AB22" i="41"/>
  <c r="Y22" i="41"/>
  <c r="Z22" i="41" s="1"/>
  <c r="W22" i="41"/>
  <c r="T22" i="41"/>
  <c r="V22" i="41" s="1"/>
  <c r="B22" i="41"/>
  <c r="A22" i="41"/>
  <c r="AC21" i="41"/>
  <c r="AB21" i="41"/>
  <c r="Y21" i="41"/>
  <c r="Z21" i="41" s="1"/>
  <c r="V21" i="41"/>
  <c r="T21" i="41"/>
  <c r="W21" i="41" s="1"/>
  <c r="B21" i="41"/>
  <c r="A21" i="41" s="1"/>
  <c r="AC20" i="41"/>
  <c r="AB20" i="41"/>
  <c r="Z20" i="41"/>
  <c r="Y20" i="41"/>
  <c r="W20" i="41"/>
  <c r="V20" i="41"/>
  <c r="T20" i="41"/>
  <c r="B20" i="41"/>
  <c r="A20" i="41"/>
  <c r="AC19" i="41"/>
  <c r="AB19" i="41"/>
  <c r="Y19" i="41"/>
  <c r="Z19" i="41" s="1"/>
  <c r="W19" i="41"/>
  <c r="V19" i="41"/>
  <c r="T19" i="41"/>
  <c r="B19" i="41"/>
  <c r="A19" i="41"/>
  <c r="AC18" i="41"/>
  <c r="AB18" i="41"/>
  <c r="Y18" i="41"/>
  <c r="Z18" i="41" s="1"/>
  <c r="W18" i="41"/>
  <c r="T18" i="41"/>
  <c r="V18" i="41" s="1"/>
  <c r="B18" i="41"/>
  <c r="A18" i="41"/>
  <c r="AC17" i="41"/>
  <c r="AB17" i="41"/>
  <c r="Y17" i="41"/>
  <c r="Z17" i="41" s="1"/>
  <c r="V17" i="41"/>
  <c r="T17" i="41"/>
  <c r="W17" i="41" s="1"/>
  <c r="B17" i="41"/>
  <c r="A17" i="41" s="1"/>
  <c r="AC16" i="41"/>
  <c r="AB16" i="41"/>
  <c r="Z16" i="41"/>
  <c r="Y16" i="41"/>
  <c r="W16" i="41"/>
  <c r="V16" i="41"/>
  <c r="T16" i="41"/>
  <c r="B16" i="41"/>
  <c r="A16" i="41"/>
  <c r="AC15" i="41"/>
  <c r="AB15" i="41"/>
  <c r="Y15" i="41"/>
  <c r="Z15" i="41" s="1"/>
  <c r="W15" i="41"/>
  <c r="V15" i="41"/>
  <c r="T15" i="41"/>
  <c r="B15" i="41"/>
  <c r="A15" i="41"/>
  <c r="AC14" i="41"/>
  <c r="AB14" i="41"/>
  <c r="Y14" i="41"/>
  <c r="Z14" i="41" s="1"/>
  <c r="W14" i="41"/>
  <c r="T14" i="41"/>
  <c r="V14" i="41" s="1"/>
  <c r="B14" i="41"/>
  <c r="A14" i="41"/>
  <c r="AC13" i="41"/>
  <c r="AB13" i="41"/>
  <c r="Y13" i="41"/>
  <c r="Z13" i="41" s="1"/>
  <c r="V13" i="41"/>
  <c r="V12" i="41" s="1"/>
  <c r="T13" i="41"/>
  <c r="W13" i="41" s="1"/>
  <c r="B13" i="41"/>
  <c r="A13" i="41" s="1"/>
  <c r="AC12" i="41"/>
  <c r="AB12" i="41"/>
  <c r="AB11" i="41" s="1"/>
  <c r="AA12" i="41"/>
  <c r="X12" i="41"/>
  <c r="X11" i="41" s="1"/>
  <c r="W12" i="41"/>
  <c r="U12" i="41"/>
  <c r="T12" i="41"/>
  <c r="T11" i="41" s="1"/>
  <c r="S12" i="41"/>
  <c r="S11" i="41" s="1"/>
  <c r="S10" i="41" s="1"/>
  <c r="S9" i="41" s="1"/>
  <c r="R12" i="41"/>
  <c r="Q12" i="41"/>
  <c r="P12" i="41"/>
  <c r="P11" i="41" s="1"/>
  <c r="O12" i="41"/>
  <c r="O11" i="41" s="1"/>
  <c r="O10" i="41" s="1"/>
  <c r="O9" i="41" s="1"/>
  <c r="N12" i="41"/>
  <c r="B12" i="41"/>
  <c r="A12" i="41"/>
  <c r="AA11" i="41"/>
  <c r="AC11" i="41" s="1"/>
  <c r="W11" i="41"/>
  <c r="V11" i="41"/>
  <c r="U11" i="41"/>
  <c r="R11" i="41"/>
  <c r="Q11" i="41"/>
  <c r="Q10" i="41" s="1"/>
  <c r="Q9" i="41" s="1"/>
  <c r="N11" i="41"/>
  <c r="B11" i="41"/>
  <c r="A11" i="41" s="1"/>
  <c r="X10" i="41"/>
  <c r="X9" i="41" s="1"/>
  <c r="U10" i="41"/>
  <c r="B10" i="41"/>
  <c r="A10" i="41" s="1"/>
  <c r="U9" i="41"/>
  <c r="B9" i="41"/>
  <c r="A9" i="41"/>
  <c r="A8" i="41"/>
  <c r="S8" i="41" l="1"/>
  <c r="AB63" i="41"/>
  <c r="P8" i="41"/>
  <c r="X44" i="41"/>
  <c r="X43" i="41" s="1"/>
  <c r="X8" i="41" s="1"/>
  <c r="X198" i="41" s="1"/>
  <c r="X202" i="41" s="1"/>
  <c r="V64" i="41"/>
  <c r="AB10" i="41"/>
  <c r="AB9" i="41" s="1"/>
  <c r="T64" i="41"/>
  <c r="T71" i="41"/>
  <c r="W71" i="41" s="1"/>
  <c r="T78" i="41"/>
  <c r="Q74" i="41"/>
  <c r="Q63" i="41" s="1"/>
  <c r="Q44" i="41" s="1"/>
  <c r="Q43" i="41" s="1"/>
  <c r="Q8" i="41" s="1"/>
  <c r="AA93" i="41"/>
  <c r="AC94" i="41"/>
  <c r="V107" i="41"/>
  <c r="W107" i="41"/>
  <c r="V125" i="41"/>
  <c r="V124" i="41" s="1"/>
  <c r="T124" i="41"/>
  <c r="W124" i="41" s="1"/>
  <c r="W125" i="41"/>
  <c r="V130" i="41"/>
  <c r="V129" i="41" s="1"/>
  <c r="V126" i="41" s="1"/>
  <c r="T129" i="41"/>
  <c r="W129" i="41" s="1"/>
  <c r="W130" i="41"/>
  <c r="T126" i="41"/>
  <c r="W126" i="41" s="1"/>
  <c r="Y63" i="41"/>
  <c r="Z63" i="41" s="1"/>
  <c r="W85" i="41"/>
  <c r="V85" i="41"/>
  <c r="AA88" i="41"/>
  <c r="Z24" i="41"/>
  <c r="AA10" i="41"/>
  <c r="Y12" i="41"/>
  <c r="Y11" i="41" s="1"/>
  <c r="Y10" i="41" s="1"/>
  <c r="Y9" i="41" s="1"/>
  <c r="Z23" i="41"/>
  <c r="AC33" i="41"/>
  <c r="Y33" i="41"/>
  <c r="Z33" i="41" s="1"/>
  <c r="W39" i="41"/>
  <c r="W41" i="41"/>
  <c r="O44" i="41"/>
  <c r="O43" i="41" s="1"/>
  <c r="S44" i="41"/>
  <c r="S43" i="41" s="1"/>
  <c r="Y45" i="41"/>
  <c r="Y44" i="41" s="1"/>
  <c r="Y43" i="41" s="1"/>
  <c r="Y51" i="41"/>
  <c r="W55" i="41"/>
  <c r="Y58" i="41"/>
  <c r="Z58" i="41" s="1"/>
  <c r="W79" i="41"/>
  <c r="AB81" i="41"/>
  <c r="V83" i="41"/>
  <c r="W83" i="41"/>
  <c r="W86" i="41"/>
  <c r="V86" i="41"/>
  <c r="AC89" i="41"/>
  <c r="V98" i="41"/>
  <c r="W98" i="41"/>
  <c r="Y152" i="41"/>
  <c r="Z153" i="41"/>
  <c r="Z77" i="41"/>
  <c r="Y74" i="41"/>
  <c r="Z74" i="41" s="1"/>
  <c r="V87" i="41"/>
  <c r="W87" i="41"/>
  <c r="V96" i="41"/>
  <c r="V95" i="41" s="1"/>
  <c r="V94" i="41" s="1"/>
  <c r="V93" i="41" s="1"/>
  <c r="T95" i="41"/>
  <c r="W96" i="41"/>
  <c r="V104" i="41"/>
  <c r="V103" i="41" s="1"/>
  <c r="V102" i="41" s="1"/>
  <c r="Z113" i="41"/>
  <c r="AC113" i="41"/>
  <c r="V117" i="41"/>
  <c r="V116" i="41" s="1"/>
  <c r="T116" i="41"/>
  <c r="W117" i="41"/>
  <c r="V121" i="41"/>
  <c r="V120" i="41" s="1"/>
  <c r="T120" i="41"/>
  <c r="W120" i="41" s="1"/>
  <c r="W121" i="41"/>
  <c r="Z123" i="41"/>
  <c r="Y122" i="41"/>
  <c r="R10" i="41"/>
  <c r="R9" i="41" s="1"/>
  <c r="W35" i="41"/>
  <c r="W47" i="41"/>
  <c r="V53" i="41"/>
  <c r="T51" i="41"/>
  <c r="W51" i="41" s="1"/>
  <c r="AB58" i="41"/>
  <c r="AB45" i="41" s="1"/>
  <c r="AB44" i="41" s="1"/>
  <c r="AB43" i="41" s="1"/>
  <c r="V60" i="41"/>
  <c r="R58" i="41"/>
  <c r="R45" i="41" s="1"/>
  <c r="T62" i="41"/>
  <c r="N10" i="41"/>
  <c r="N9" i="41" s="1"/>
  <c r="N8" i="41" s="1"/>
  <c r="V24" i="41"/>
  <c r="W25" i="41"/>
  <c r="V28" i="41"/>
  <c r="W29" i="41"/>
  <c r="T34" i="41"/>
  <c r="Z34" i="41"/>
  <c r="T46" i="41"/>
  <c r="Z46" i="41"/>
  <c r="W50" i="41"/>
  <c r="Z51" i="41"/>
  <c r="U45" i="41"/>
  <c r="V51" i="41"/>
  <c r="R64" i="41"/>
  <c r="R63" i="41" s="1"/>
  <c r="W65" i="41"/>
  <c r="V66" i="41"/>
  <c r="W72" i="41"/>
  <c r="Z73" i="41"/>
  <c r="Y71" i="41"/>
  <c r="Z71" i="41" s="1"/>
  <c r="R74" i="41"/>
  <c r="W75" i="41"/>
  <c r="W76" i="41"/>
  <c r="V77" i="41"/>
  <c r="W82" i="41"/>
  <c r="T81" i="41"/>
  <c r="W81" i="41" s="1"/>
  <c r="V82" i="41"/>
  <c r="V81" i="41" s="1"/>
  <c r="R88" i="41"/>
  <c r="X88" i="41"/>
  <c r="V91" i="41"/>
  <c r="V90" i="41" s="1"/>
  <c r="V89" i="41" s="1"/>
  <c r="T90" i="41"/>
  <c r="AB88" i="41"/>
  <c r="U112" i="41"/>
  <c r="Z115" i="41"/>
  <c r="Y114" i="41"/>
  <c r="Y113" i="41" s="1"/>
  <c r="Y143" i="41"/>
  <c r="Y142" i="41" s="1"/>
  <c r="Z145" i="41"/>
  <c r="U88" i="41"/>
  <c r="N88" i="41"/>
  <c r="T104" i="41"/>
  <c r="AB113" i="41"/>
  <c r="AB112" i="41" s="1"/>
  <c r="AB111" i="41" s="1"/>
  <c r="W127" i="41"/>
  <c r="Z127" i="41"/>
  <c r="AC127" i="41"/>
  <c r="W134" i="41"/>
  <c r="V134" i="41"/>
  <c r="V133" i="41" s="1"/>
  <c r="T133" i="41"/>
  <c r="W133" i="41" s="1"/>
  <c r="Z136" i="41"/>
  <c r="Y135" i="41"/>
  <c r="W144" i="41"/>
  <c r="T143" i="41"/>
  <c r="V144" i="41"/>
  <c r="T149" i="41"/>
  <c r="W149" i="41" s="1"/>
  <c r="W152" i="41"/>
  <c r="AB149" i="41"/>
  <c r="AB141" i="41" s="1"/>
  <c r="AB140" i="41" s="1"/>
  <c r="Z191" i="41"/>
  <c r="Y190" i="41"/>
  <c r="Z90" i="41"/>
  <c r="S102" i="41"/>
  <c r="AC103" i="41"/>
  <c r="U102" i="41"/>
  <c r="Z114" i="41"/>
  <c r="V113" i="41"/>
  <c r="X110" i="41"/>
  <c r="Z122" i="41"/>
  <c r="AC126" i="41"/>
  <c r="AC165" i="41"/>
  <c r="Z165" i="41"/>
  <c r="V181" i="41"/>
  <c r="V180" i="41" s="1"/>
  <c r="V179" i="41" s="1"/>
  <c r="T180" i="41"/>
  <c r="W181" i="41"/>
  <c r="Z81" i="41"/>
  <c r="AC93" i="41"/>
  <c r="Z94" i="41"/>
  <c r="AC95" i="41"/>
  <c r="Z96" i="41"/>
  <c r="O102" i="41"/>
  <c r="O8" i="41" s="1"/>
  <c r="AA102" i="41"/>
  <c r="W105" i="41"/>
  <c r="Z106" i="41"/>
  <c r="Y104" i="41"/>
  <c r="W108" i="41"/>
  <c r="AC108" i="41"/>
  <c r="N113" i="41"/>
  <c r="R113" i="41"/>
  <c r="W114" i="41"/>
  <c r="AC114" i="41"/>
  <c r="P113" i="41"/>
  <c r="P112" i="41" s="1"/>
  <c r="P111" i="41" s="1"/>
  <c r="P110" i="41" s="1"/>
  <c r="W118" i="41"/>
  <c r="AC118" i="41"/>
  <c r="W122" i="41"/>
  <c r="AC122" i="41"/>
  <c r="N126" i="41"/>
  <c r="R126" i="41"/>
  <c r="U142" i="41"/>
  <c r="Z143" i="41"/>
  <c r="AC143" i="41"/>
  <c r="AC104" i="41"/>
  <c r="AC133" i="41"/>
  <c r="R141" i="41"/>
  <c r="R140" i="41" s="1"/>
  <c r="X142" i="41"/>
  <c r="X141" i="41" s="1"/>
  <c r="X140" i="41" s="1"/>
  <c r="Y150" i="41"/>
  <c r="Z151" i="41"/>
  <c r="Z152" i="41"/>
  <c r="Z163" i="41"/>
  <c r="AC163" i="41"/>
  <c r="W163" i="41"/>
  <c r="W175" i="41"/>
  <c r="T170" i="41"/>
  <c r="Y137" i="41"/>
  <c r="Z137" i="41" s="1"/>
  <c r="Z138" i="41"/>
  <c r="S141" i="41"/>
  <c r="S140" i="41" s="1"/>
  <c r="S110" i="41" s="1"/>
  <c r="W148" i="41"/>
  <c r="V148" i="41"/>
  <c r="V147" i="41" s="1"/>
  <c r="Z178" i="41"/>
  <c r="Y177" i="41"/>
  <c r="Z182" i="41"/>
  <c r="AC182" i="41"/>
  <c r="W185" i="41"/>
  <c r="T182" i="41"/>
  <c r="W182" i="41" s="1"/>
  <c r="AC129" i="41"/>
  <c r="Z129" i="41"/>
  <c r="Z130" i="41"/>
  <c r="Z131" i="41"/>
  <c r="W145" i="41"/>
  <c r="V145" i="41"/>
  <c r="T147" i="41"/>
  <c r="W147" i="41" s="1"/>
  <c r="N149" i="41"/>
  <c r="N141" i="41" s="1"/>
  <c r="N140" i="41" s="1"/>
  <c r="R149" i="41"/>
  <c r="V149" i="41"/>
  <c r="AA149" i="41"/>
  <c r="AC149" i="41" s="1"/>
  <c r="W153" i="41"/>
  <c r="V153" i="41"/>
  <c r="V152" i="41" s="1"/>
  <c r="Z156" i="41"/>
  <c r="U195" i="41"/>
  <c r="AC196" i="41"/>
  <c r="W196" i="41"/>
  <c r="AC147" i="41"/>
  <c r="AC152" i="41"/>
  <c r="Z160" i="41"/>
  <c r="Y159" i="41"/>
  <c r="O170" i="41"/>
  <c r="O141" i="41" s="1"/>
  <c r="O140" i="41" s="1"/>
  <c r="O110" i="41" s="1"/>
  <c r="S170" i="41"/>
  <c r="T165" i="41"/>
  <c r="W165" i="41" s="1"/>
  <c r="W167" i="41"/>
  <c r="W172" i="41"/>
  <c r="Y173" i="41"/>
  <c r="Z173" i="41" s="1"/>
  <c r="W176" i="41"/>
  <c r="AC179" i="41"/>
  <c r="Y183" i="41"/>
  <c r="Y182" i="41" s="1"/>
  <c r="W186" i="41"/>
  <c r="T191" i="41"/>
  <c r="Q190" i="41"/>
  <c r="Q189" i="41" s="1"/>
  <c r="Q141" i="41" s="1"/>
  <c r="Q140" i="41" s="1"/>
  <c r="Q110" i="41" s="1"/>
  <c r="U158" i="41"/>
  <c r="T160" i="41"/>
  <c r="Q159" i="41"/>
  <c r="Q158" i="41" s="1"/>
  <c r="Y165" i="41"/>
  <c r="Y170" i="41"/>
  <c r="Q170" i="41"/>
  <c r="Z177" i="41"/>
  <c r="U170" i="41"/>
  <c r="AA170" i="41"/>
  <c r="Z183" i="41"/>
  <c r="V182" i="41"/>
  <c r="Y196" i="41"/>
  <c r="Y195" i="41" s="1"/>
  <c r="Y194" i="41" s="1"/>
  <c r="Y193" i="41" s="1"/>
  <c r="AC159" i="41"/>
  <c r="AC166" i="41"/>
  <c r="Q198" i="41" l="1"/>
  <c r="Q202" i="41" s="1"/>
  <c r="V74" i="41"/>
  <c r="V63" i="41" s="1"/>
  <c r="V58" i="41"/>
  <c r="V45" i="41" s="1"/>
  <c r="V44" i="41" s="1"/>
  <c r="V43" i="41" s="1"/>
  <c r="O198" i="41"/>
  <c r="O202" i="41" s="1"/>
  <c r="Y189" i="41"/>
  <c r="Z189" i="41" s="1"/>
  <c r="Z190" i="41"/>
  <c r="Y126" i="41"/>
  <c r="Z126" i="41" s="1"/>
  <c r="Z135" i="41"/>
  <c r="Z11" i="41"/>
  <c r="Y103" i="41"/>
  <c r="Z104" i="41"/>
  <c r="V143" i="41"/>
  <c r="V142" i="41" s="1"/>
  <c r="V141" i="41" s="1"/>
  <c r="V140" i="41" s="1"/>
  <c r="V88" i="41"/>
  <c r="AA9" i="41"/>
  <c r="AC10" i="41"/>
  <c r="W160" i="41"/>
  <c r="T159" i="41"/>
  <c r="V160" i="41"/>
  <c r="V159" i="41" s="1"/>
  <c r="V158" i="41" s="1"/>
  <c r="Z150" i="41"/>
  <c r="Y149" i="41"/>
  <c r="Z149" i="41" s="1"/>
  <c r="W143" i="41"/>
  <c r="T142" i="41"/>
  <c r="R44" i="41"/>
  <c r="R43" i="41" s="1"/>
  <c r="R8" i="41"/>
  <c r="Z10" i="41"/>
  <c r="AB8" i="41"/>
  <c r="Y158" i="41"/>
  <c r="Z159" i="41"/>
  <c r="W180" i="41"/>
  <c r="T179" i="41"/>
  <c r="W179" i="41" s="1"/>
  <c r="AC102" i="41"/>
  <c r="AB110" i="41"/>
  <c r="T89" i="41"/>
  <c r="W90" i="41"/>
  <c r="U44" i="41"/>
  <c r="AC45" i="41"/>
  <c r="Z45" i="41"/>
  <c r="W46" i="41"/>
  <c r="T45" i="41"/>
  <c r="Z9" i="41"/>
  <c r="W64" i="41"/>
  <c r="T63" i="41"/>
  <c r="W63" i="41" s="1"/>
  <c r="S198" i="41"/>
  <c r="S202" i="41" s="1"/>
  <c r="W191" i="41"/>
  <c r="V191" i="41"/>
  <c r="V190" i="41" s="1"/>
  <c r="V189" i="41" s="1"/>
  <c r="T190" i="41"/>
  <c r="R112" i="41"/>
  <c r="R111" i="41" s="1"/>
  <c r="R110" i="41" s="1"/>
  <c r="W104" i="41"/>
  <c r="T103" i="41"/>
  <c r="Y141" i="41"/>
  <c r="Y140" i="41" s="1"/>
  <c r="W62" i="41"/>
  <c r="V62" i="41"/>
  <c r="W116" i="41"/>
  <c r="T113" i="41"/>
  <c r="W78" i="41"/>
  <c r="V78" i="41"/>
  <c r="Z195" i="41"/>
  <c r="AC195" i="41"/>
  <c r="U194" i="41"/>
  <c r="W195" i="41"/>
  <c r="AC142" i="41"/>
  <c r="Z142" i="41"/>
  <c r="U141" i="41"/>
  <c r="N112" i="41"/>
  <c r="N111" i="41" s="1"/>
  <c r="N110" i="41" s="1"/>
  <c r="N198" i="41" s="1"/>
  <c r="N202" i="41" s="1"/>
  <c r="V112" i="41"/>
  <c r="V111" i="41" s="1"/>
  <c r="U111" i="41"/>
  <c r="AC112" i="41"/>
  <c r="W34" i="41"/>
  <c r="T33" i="41"/>
  <c r="V23" i="41"/>
  <c r="V10" i="41" s="1"/>
  <c r="V9" i="41" s="1"/>
  <c r="T74" i="41"/>
  <c r="W74" i="41" s="1"/>
  <c r="AC170" i="41"/>
  <c r="Z170" i="41"/>
  <c r="AC158" i="41"/>
  <c r="Z158" i="41"/>
  <c r="Z196" i="41"/>
  <c r="AA141" i="41"/>
  <c r="AA140" i="41" s="1"/>
  <c r="AA110" i="41" s="1"/>
  <c r="W170" i="41"/>
  <c r="Z88" i="41"/>
  <c r="AC88" i="41"/>
  <c r="Z12" i="41"/>
  <c r="T58" i="41"/>
  <c r="W58" i="41" s="1"/>
  <c r="T94" i="41"/>
  <c r="W95" i="41"/>
  <c r="P198" i="41"/>
  <c r="P202" i="41" s="1"/>
  <c r="V8" i="41" l="1"/>
  <c r="AC111" i="41"/>
  <c r="U110" i="41"/>
  <c r="U140" i="41"/>
  <c r="Z141" i="41"/>
  <c r="AC141" i="41"/>
  <c r="Z194" i="41"/>
  <c r="U193" i="41"/>
  <c r="W194" i="41"/>
  <c r="AC194" i="41"/>
  <c r="W159" i="41"/>
  <c r="T158" i="41"/>
  <c r="W158" i="41" s="1"/>
  <c r="W94" i="41"/>
  <c r="T93" i="41"/>
  <c r="W93" i="41" s="1"/>
  <c r="V110" i="41"/>
  <c r="W103" i="41"/>
  <c r="T102" i="41"/>
  <c r="W102" i="41" s="1"/>
  <c r="Y112" i="41"/>
  <c r="W33" i="41"/>
  <c r="T10" i="41"/>
  <c r="T112" i="41"/>
  <c r="W113" i="41"/>
  <c r="W190" i="41"/>
  <c r="T189" i="41"/>
  <c r="W189" i="41" s="1"/>
  <c r="W45" i="41"/>
  <c r="T44" i="41"/>
  <c r="AC44" i="41"/>
  <c r="U43" i="41"/>
  <c r="Z44" i="41"/>
  <c r="R198" i="41"/>
  <c r="R202" i="41" s="1"/>
  <c r="T88" i="41"/>
  <c r="W88" i="41" s="1"/>
  <c r="W89" i="41"/>
  <c r="AB198" i="41"/>
  <c r="AB202" i="41" s="1"/>
  <c r="T141" i="41"/>
  <c r="W142" i="41"/>
  <c r="AA8" i="41"/>
  <c r="AA198" i="41" s="1"/>
  <c r="AA202" i="41" s="1"/>
  <c r="AC9" i="41"/>
  <c r="Y102" i="41"/>
  <c r="Z103" i="41"/>
  <c r="AC110" i="41" l="1"/>
  <c r="Z102" i="41"/>
  <c r="Y8" i="41"/>
  <c r="T111" i="41"/>
  <c r="W112" i="41"/>
  <c r="W141" i="41"/>
  <c r="T140" i="41"/>
  <c r="W140" i="41" s="1"/>
  <c r="W44" i="41"/>
  <c r="T43" i="41"/>
  <c r="W43" i="41" s="1"/>
  <c r="Y111" i="41"/>
  <c r="Z112" i="41"/>
  <c r="AC43" i="41"/>
  <c r="Z43" i="41"/>
  <c r="U8" i="41"/>
  <c r="T9" i="41"/>
  <c r="W10" i="41"/>
  <c r="Z193" i="41"/>
  <c r="AC193" i="41"/>
  <c r="W193" i="41"/>
  <c r="AC140" i="41"/>
  <c r="Z140" i="41"/>
  <c r="V198" i="41"/>
  <c r="V202" i="41" s="1"/>
  <c r="T8" i="41" l="1"/>
  <c r="W9" i="41"/>
  <c r="U198" i="41"/>
  <c r="Z8" i="41"/>
  <c r="AC8" i="41"/>
  <c r="Y110" i="41"/>
  <c r="Z110" i="41" s="1"/>
  <c r="Z111" i="41"/>
  <c r="T110" i="41"/>
  <c r="W110" i="41" s="1"/>
  <c r="W111" i="41"/>
  <c r="AC198" i="41" l="1"/>
  <c r="U202" i="41"/>
  <c r="Y198" i="41"/>
  <c r="Y202" i="41" s="1"/>
  <c r="T198" i="41"/>
  <c r="W8" i="41"/>
  <c r="Z198" i="41" l="1"/>
  <c r="Z202" i="41" s="1"/>
  <c r="T202" i="41"/>
  <c r="W198" i="41"/>
  <c r="W202" i="41" s="1"/>
  <c r="R200" i="40" l="1"/>
  <c r="Q200" i="40"/>
  <c r="A199" i="40"/>
  <c r="AC196" i="40"/>
  <c r="AB196" i="40"/>
  <c r="Y196" i="40"/>
  <c r="W196" i="40"/>
  <c r="T196" i="40"/>
  <c r="V196" i="40" s="1"/>
  <c r="V195" i="40" s="1"/>
  <c r="V194" i="40" s="1"/>
  <c r="V193" i="40" s="1"/>
  <c r="V192" i="40" s="1"/>
  <c r="B196" i="40"/>
  <c r="A196" i="40" s="1"/>
  <c r="AB195" i="40"/>
  <c r="AA195" i="40"/>
  <c r="AA194" i="40" s="1"/>
  <c r="AA193" i="40" s="1"/>
  <c r="AA192" i="40" s="1"/>
  <c r="X195" i="40"/>
  <c r="W195" i="40"/>
  <c r="U195" i="40"/>
  <c r="T195" i="40"/>
  <c r="S195" i="40"/>
  <c r="S194" i="40" s="1"/>
  <c r="R195" i="40"/>
  <c r="R194" i="40" s="1"/>
  <c r="R193" i="40" s="1"/>
  <c r="R192" i="40" s="1"/>
  <c r="Q195" i="40"/>
  <c r="P195" i="40"/>
  <c r="O195" i="40"/>
  <c r="O194" i="40" s="1"/>
  <c r="O193" i="40" s="1"/>
  <c r="O192" i="40" s="1"/>
  <c r="N195" i="40"/>
  <c r="N194" i="40" s="1"/>
  <c r="B195" i="40"/>
  <c r="A195" i="40" s="1"/>
  <c r="AB194" i="40"/>
  <c r="AB193" i="40" s="1"/>
  <c r="AB192" i="40" s="1"/>
  <c r="X194" i="40"/>
  <c r="X193" i="40" s="1"/>
  <c r="U194" i="40"/>
  <c r="T194" i="40"/>
  <c r="Q194" i="40"/>
  <c r="Q193" i="40" s="1"/>
  <c r="P194" i="40"/>
  <c r="P193" i="40" s="1"/>
  <c r="B194" i="40"/>
  <c r="A194" i="40"/>
  <c r="S193" i="40"/>
  <c r="S192" i="40" s="1"/>
  <c r="N193" i="40"/>
  <c r="N192" i="40" s="1"/>
  <c r="B193" i="40"/>
  <c r="A193" i="40" s="1"/>
  <c r="X192" i="40"/>
  <c r="Q192" i="40"/>
  <c r="P192" i="40"/>
  <c r="B192" i="40"/>
  <c r="A192" i="40" s="1"/>
  <c r="AC191" i="40"/>
  <c r="AB191" i="40"/>
  <c r="Z191" i="40"/>
  <c r="Y191" i="40"/>
  <c r="T191" i="40"/>
  <c r="B191" i="40"/>
  <c r="A191" i="40" s="1"/>
  <c r="AC190" i="40"/>
  <c r="AB190" i="40"/>
  <c r="AB189" i="40" s="1"/>
  <c r="Z190" i="40"/>
  <c r="Y190" i="40"/>
  <c r="V190" i="40"/>
  <c r="T190" i="40"/>
  <c r="Q190" i="40"/>
  <c r="B190" i="40"/>
  <c r="A190" i="40"/>
  <c r="AA189" i="40"/>
  <c r="Y189" i="40"/>
  <c r="Y188" i="40" s="1"/>
  <c r="X189" i="40"/>
  <c r="U189" i="40"/>
  <c r="S189" i="40"/>
  <c r="R189" i="40"/>
  <c r="R188" i="40" s="1"/>
  <c r="Q189" i="40"/>
  <c r="Q188" i="40" s="1"/>
  <c r="P189" i="40"/>
  <c r="O189" i="40"/>
  <c r="N189" i="40"/>
  <c r="N188" i="40" s="1"/>
  <c r="B189" i="40"/>
  <c r="A189" i="40" s="1"/>
  <c r="AB188" i="40"/>
  <c r="AA188" i="40"/>
  <c r="X188" i="40"/>
  <c r="S188" i="40"/>
  <c r="P188" i="40"/>
  <c r="O188" i="40"/>
  <c r="B188" i="40"/>
  <c r="A188" i="40"/>
  <c r="AC187" i="40"/>
  <c r="AB187" i="40"/>
  <c r="AB186" i="40" s="1"/>
  <c r="Z187" i="40"/>
  <c r="Y187" i="40"/>
  <c r="Y186" i="40" s="1"/>
  <c r="W187" i="40"/>
  <c r="V187" i="40"/>
  <c r="T187" i="40"/>
  <c r="B187" i="40"/>
  <c r="A187" i="40" s="1"/>
  <c r="AA186" i="40"/>
  <c r="Z186" i="40"/>
  <c r="X186" i="40"/>
  <c r="W186" i="40"/>
  <c r="V186" i="40"/>
  <c r="U186" i="40"/>
  <c r="AC186" i="40" s="1"/>
  <c r="T186" i="40"/>
  <c r="S186" i="40"/>
  <c r="R186" i="40"/>
  <c r="Q186" i="40"/>
  <c r="P186" i="40"/>
  <c r="O186" i="40"/>
  <c r="N186" i="40"/>
  <c r="B186" i="40"/>
  <c r="A186" i="40" s="1"/>
  <c r="AC185" i="40"/>
  <c r="AB185" i="40"/>
  <c r="AB184" i="40" s="1"/>
  <c r="Z185" i="40"/>
  <c r="Y185" i="40"/>
  <c r="W185" i="40"/>
  <c r="V185" i="40"/>
  <c r="T185" i="40"/>
  <c r="B185" i="40"/>
  <c r="A185" i="40"/>
  <c r="AA184" i="40"/>
  <c r="Y184" i="40"/>
  <c r="X184" i="40"/>
  <c r="V184" i="40"/>
  <c r="U184" i="40"/>
  <c r="AC184" i="40" s="1"/>
  <c r="T184" i="40"/>
  <c r="S184" i="40"/>
  <c r="R184" i="40"/>
  <c r="R181" i="40" s="1"/>
  <c r="Q184" i="40"/>
  <c r="P184" i="40"/>
  <c r="O184" i="40"/>
  <c r="N184" i="40"/>
  <c r="N181" i="40" s="1"/>
  <c r="B184" i="40"/>
  <c r="A184" i="40" s="1"/>
  <c r="AC183" i="40"/>
  <c r="AB183" i="40"/>
  <c r="Z183" i="40"/>
  <c r="Y183" i="40"/>
  <c r="V183" i="40"/>
  <c r="V182" i="40" s="1"/>
  <c r="T183" i="40"/>
  <c r="W183" i="40" s="1"/>
  <c r="B183" i="40"/>
  <c r="A183" i="40" s="1"/>
  <c r="AC182" i="40"/>
  <c r="AB182" i="40"/>
  <c r="AA182" i="40"/>
  <c r="Y182" i="40"/>
  <c r="Y181" i="40" s="1"/>
  <c r="X182" i="40"/>
  <c r="X181" i="40" s="1"/>
  <c r="U182" i="40"/>
  <c r="T182" i="40"/>
  <c r="S182" i="40"/>
  <c r="R182" i="40"/>
  <c r="Q182" i="40"/>
  <c r="P182" i="40"/>
  <c r="P181" i="40" s="1"/>
  <c r="O182" i="40"/>
  <c r="N182" i="40"/>
  <c r="B182" i="40"/>
  <c r="A182" i="40" s="1"/>
  <c r="AA181" i="40"/>
  <c r="S181" i="40"/>
  <c r="O181" i="40"/>
  <c r="B181" i="40"/>
  <c r="A181" i="40" s="1"/>
  <c r="AC180" i="40"/>
  <c r="AB180" i="40"/>
  <c r="AB179" i="40" s="1"/>
  <c r="Z180" i="40"/>
  <c r="Y180" i="40"/>
  <c r="W180" i="40"/>
  <c r="V180" i="40"/>
  <c r="V179" i="40" s="1"/>
  <c r="V178" i="40" s="1"/>
  <c r="T180" i="40"/>
  <c r="B180" i="40"/>
  <c r="A180" i="40"/>
  <c r="AA179" i="40"/>
  <c r="Y179" i="40"/>
  <c r="Y178" i="40" s="1"/>
  <c r="X179" i="40"/>
  <c r="U179" i="40"/>
  <c r="T179" i="40"/>
  <c r="W179" i="40" s="1"/>
  <c r="S179" i="40"/>
  <c r="R179" i="40"/>
  <c r="R178" i="40" s="1"/>
  <c r="Q179" i="40"/>
  <c r="Q178" i="40" s="1"/>
  <c r="P179" i="40"/>
  <c r="O179" i="40"/>
  <c r="N179" i="40"/>
  <c r="N178" i="40" s="1"/>
  <c r="B179" i="40"/>
  <c r="A179" i="40" s="1"/>
  <c r="AB178" i="40"/>
  <c r="AA178" i="40"/>
  <c r="X178" i="40"/>
  <c r="T178" i="40"/>
  <c r="S178" i="40"/>
  <c r="P178" i="40"/>
  <c r="O178" i="40"/>
  <c r="B178" i="40"/>
  <c r="A178" i="40"/>
  <c r="AC177" i="40"/>
  <c r="AB177" i="40"/>
  <c r="AB176" i="40" s="1"/>
  <c r="Y177" i="40"/>
  <c r="W177" i="40"/>
  <c r="V177" i="40"/>
  <c r="T177" i="40"/>
  <c r="B177" i="40"/>
  <c r="A177" i="40" s="1"/>
  <c r="AA176" i="40"/>
  <c r="X176" i="40"/>
  <c r="W176" i="40"/>
  <c r="V176" i="40"/>
  <c r="U176" i="40"/>
  <c r="AC176" i="40" s="1"/>
  <c r="T176" i="40"/>
  <c r="S176" i="40"/>
  <c r="S169" i="40" s="1"/>
  <c r="R176" i="40"/>
  <c r="Q176" i="40"/>
  <c r="P176" i="40"/>
  <c r="O176" i="40"/>
  <c r="O169" i="40" s="1"/>
  <c r="N176" i="40"/>
  <c r="B176" i="40"/>
  <c r="A176" i="40" s="1"/>
  <c r="AC175" i="40"/>
  <c r="AB175" i="40"/>
  <c r="AB174" i="40" s="1"/>
  <c r="Z175" i="40"/>
  <c r="Y175" i="40"/>
  <c r="W175" i="40"/>
  <c r="V175" i="40"/>
  <c r="V174" i="40" s="1"/>
  <c r="T175" i="40"/>
  <c r="B175" i="40"/>
  <c r="A175" i="40"/>
  <c r="AA174" i="40"/>
  <c r="Y174" i="40"/>
  <c r="X174" i="40"/>
  <c r="U174" i="40"/>
  <c r="T174" i="40"/>
  <c r="S174" i="40"/>
  <c r="R174" i="40"/>
  <c r="Q174" i="40"/>
  <c r="Q169" i="40" s="1"/>
  <c r="P174" i="40"/>
  <c r="O174" i="40"/>
  <c r="N174" i="40"/>
  <c r="B174" i="40"/>
  <c r="A174" i="40" s="1"/>
  <c r="AC173" i="40"/>
  <c r="AB173" i="40"/>
  <c r="Z173" i="40"/>
  <c r="Y173" i="40"/>
  <c r="V173" i="40"/>
  <c r="V172" i="40" s="1"/>
  <c r="T173" i="40"/>
  <c r="W173" i="40" s="1"/>
  <c r="B173" i="40"/>
  <c r="A173" i="40" s="1"/>
  <c r="AC172" i="40"/>
  <c r="AB172" i="40"/>
  <c r="AA172" i="40"/>
  <c r="Y172" i="40"/>
  <c r="X172" i="40"/>
  <c r="X169" i="40" s="1"/>
  <c r="U172" i="40"/>
  <c r="Z172" i="40" s="1"/>
  <c r="T172" i="40"/>
  <c r="S172" i="40"/>
  <c r="R172" i="40"/>
  <c r="Q172" i="40"/>
  <c r="P172" i="40"/>
  <c r="O172" i="40"/>
  <c r="N172" i="40"/>
  <c r="B172" i="40"/>
  <c r="A172" i="40" s="1"/>
  <c r="AC171" i="40"/>
  <c r="AB171" i="40"/>
  <c r="Z171" i="40"/>
  <c r="Y171" i="40"/>
  <c r="Y170" i="40" s="1"/>
  <c r="Z170" i="40" s="1"/>
  <c r="T171" i="40"/>
  <c r="B171" i="40"/>
  <c r="A171" i="40" s="1"/>
  <c r="AB170" i="40"/>
  <c r="AA170" i="40"/>
  <c r="X170" i="40"/>
  <c r="W170" i="40"/>
  <c r="U170" i="40"/>
  <c r="AC170" i="40" s="1"/>
  <c r="T170" i="40"/>
  <c r="S170" i="40"/>
  <c r="R170" i="40"/>
  <c r="Q170" i="40"/>
  <c r="P170" i="40"/>
  <c r="O170" i="40"/>
  <c r="N170" i="40"/>
  <c r="B170" i="40"/>
  <c r="A170" i="40"/>
  <c r="R169" i="40"/>
  <c r="N169" i="40"/>
  <c r="B169" i="40"/>
  <c r="A169" i="40" s="1"/>
  <c r="AC168" i="40"/>
  <c r="AB168" i="40"/>
  <c r="AB167" i="40" s="1"/>
  <c r="Z168" i="40"/>
  <c r="Y168" i="40"/>
  <c r="T168" i="40"/>
  <c r="W168" i="40" s="1"/>
  <c r="B168" i="40"/>
  <c r="A168" i="40" s="1"/>
  <c r="AA167" i="40"/>
  <c r="Y167" i="40"/>
  <c r="X167" i="40"/>
  <c r="U167" i="40"/>
  <c r="S167" i="40"/>
  <c r="R167" i="40"/>
  <c r="Q167" i="40"/>
  <c r="P167" i="40"/>
  <c r="O167" i="40"/>
  <c r="N167" i="40"/>
  <c r="B167" i="40"/>
  <c r="A167" i="40"/>
  <c r="AC166" i="40"/>
  <c r="AB166" i="40"/>
  <c r="Z166" i="40"/>
  <c r="Y166" i="40"/>
  <c r="Y165" i="40" s="1"/>
  <c r="Y164" i="40" s="1"/>
  <c r="T166" i="40"/>
  <c r="B166" i="40"/>
  <c r="A166" i="40" s="1"/>
  <c r="AB165" i="40"/>
  <c r="AA165" i="40"/>
  <c r="AA164" i="40" s="1"/>
  <c r="Z165" i="40"/>
  <c r="X165" i="40"/>
  <c r="X164" i="40" s="1"/>
  <c r="W165" i="40"/>
  <c r="U165" i="40"/>
  <c r="AC165" i="40" s="1"/>
  <c r="T165" i="40"/>
  <c r="S165" i="40"/>
  <c r="S164" i="40" s="1"/>
  <c r="R165" i="40"/>
  <c r="Q165" i="40"/>
  <c r="P165" i="40"/>
  <c r="O165" i="40"/>
  <c r="O164" i="40" s="1"/>
  <c r="N165" i="40"/>
  <c r="B165" i="40"/>
  <c r="A165" i="40"/>
  <c r="R164" i="40"/>
  <c r="Q164" i="40"/>
  <c r="N164" i="40"/>
  <c r="B164" i="40"/>
  <c r="A164" i="40" s="1"/>
  <c r="AC163" i="40"/>
  <c r="AB163" i="40"/>
  <c r="AB162" i="40" s="1"/>
  <c r="AB157" i="40" s="1"/>
  <c r="Z163" i="40"/>
  <c r="Y163" i="40"/>
  <c r="T163" i="40"/>
  <c r="W163" i="40" s="1"/>
  <c r="B163" i="40"/>
  <c r="A163" i="40" s="1"/>
  <c r="AA162" i="40"/>
  <c r="Y162" i="40"/>
  <c r="X162" i="40"/>
  <c r="U162" i="40"/>
  <c r="S162" i="40"/>
  <c r="R162" i="40"/>
  <c r="Q162" i="40"/>
  <c r="P162" i="40"/>
  <c r="O162" i="40"/>
  <c r="N162" i="40"/>
  <c r="B162" i="40"/>
  <c r="A162" i="40"/>
  <c r="AC161" i="40"/>
  <c r="AB161" i="40"/>
  <c r="Y161" i="40"/>
  <c r="Z161" i="40" s="1"/>
  <c r="T161" i="40"/>
  <c r="S161" i="40"/>
  <c r="R161" i="40"/>
  <c r="B161" i="40"/>
  <c r="A161" i="40"/>
  <c r="AC160" i="40"/>
  <c r="AB160" i="40"/>
  <c r="Z160" i="40"/>
  <c r="Y160" i="40"/>
  <c r="W160" i="40"/>
  <c r="T160" i="40"/>
  <c r="V160" i="40" s="1"/>
  <c r="B160" i="40"/>
  <c r="A160" i="40" s="1"/>
  <c r="AC159" i="40"/>
  <c r="AB159" i="40"/>
  <c r="Z159" i="40"/>
  <c r="Y159" i="40"/>
  <c r="S159" i="40"/>
  <c r="Q159" i="40"/>
  <c r="B159" i="40"/>
  <c r="A159" i="40"/>
  <c r="AC158" i="40"/>
  <c r="AB158" i="40"/>
  <c r="AA158" i="40"/>
  <c r="Y158" i="40"/>
  <c r="Y157" i="40" s="1"/>
  <c r="X158" i="40"/>
  <c r="U158" i="40"/>
  <c r="R158" i="40"/>
  <c r="R157" i="40" s="1"/>
  <c r="Q158" i="40"/>
  <c r="Q157" i="40" s="1"/>
  <c r="P158" i="40"/>
  <c r="O158" i="40"/>
  <c r="N158" i="40"/>
  <c r="N157" i="40" s="1"/>
  <c r="B158" i="40"/>
  <c r="A158" i="40" s="1"/>
  <c r="AA157" i="40"/>
  <c r="X157" i="40"/>
  <c r="P157" i="40"/>
  <c r="O157" i="40"/>
  <c r="B157" i="40"/>
  <c r="A157" i="40" s="1"/>
  <c r="AC156" i="40"/>
  <c r="AB156" i="40"/>
  <c r="Z156" i="40"/>
  <c r="Y156" i="40"/>
  <c r="W156" i="40"/>
  <c r="V156" i="40"/>
  <c r="V155" i="40" s="1"/>
  <c r="T156" i="40"/>
  <c r="B156" i="40"/>
  <c r="A156" i="40"/>
  <c r="AC155" i="40"/>
  <c r="AB155" i="40"/>
  <c r="AA155" i="40"/>
  <c r="Y155" i="40"/>
  <c r="X155" i="40"/>
  <c r="U155" i="40"/>
  <c r="T155" i="40"/>
  <c r="W155" i="40" s="1"/>
  <c r="S155" i="40"/>
  <c r="R155" i="40"/>
  <c r="Q155" i="40"/>
  <c r="P155" i="40"/>
  <c r="O155" i="40"/>
  <c r="N155" i="40"/>
  <c r="B155" i="40"/>
  <c r="A155" i="40" s="1"/>
  <c r="AC154" i="40"/>
  <c r="AB154" i="40"/>
  <c r="AB153" i="40" s="1"/>
  <c r="AB148" i="40" s="1"/>
  <c r="Z154" i="40"/>
  <c r="Y154" i="40"/>
  <c r="T154" i="40"/>
  <c r="W154" i="40" s="1"/>
  <c r="B154" i="40"/>
  <c r="A154" i="40" s="1"/>
  <c r="AA153" i="40"/>
  <c r="Y153" i="40"/>
  <c r="X153" i="40"/>
  <c r="U153" i="40"/>
  <c r="U148" i="40" s="1"/>
  <c r="S153" i="40"/>
  <c r="R153" i="40"/>
  <c r="Q153" i="40"/>
  <c r="Q148" i="40" s="1"/>
  <c r="P153" i="40"/>
  <c r="O153" i="40"/>
  <c r="N153" i="40"/>
  <c r="B153" i="40"/>
  <c r="A153" i="40" s="1"/>
  <c r="AC152" i="40"/>
  <c r="AB152" i="40"/>
  <c r="Z152" i="40"/>
  <c r="Y152" i="40"/>
  <c r="Y151" i="40" s="1"/>
  <c r="Z151" i="40" s="1"/>
  <c r="T152" i="40"/>
  <c r="B152" i="40"/>
  <c r="A152" i="40" s="1"/>
  <c r="AB151" i="40"/>
  <c r="AA151" i="40"/>
  <c r="X151" i="40"/>
  <c r="U151" i="40"/>
  <c r="AC151" i="40" s="1"/>
  <c r="T151" i="40"/>
  <c r="W151" i="40" s="1"/>
  <c r="S151" i="40"/>
  <c r="R151" i="40"/>
  <c r="Q151" i="40"/>
  <c r="P151" i="40"/>
  <c r="P148" i="40" s="1"/>
  <c r="O151" i="40"/>
  <c r="N151" i="40"/>
  <c r="B151" i="40"/>
  <c r="A151" i="40"/>
  <c r="AC150" i="40"/>
  <c r="AB150" i="40"/>
  <c r="AB149" i="40" s="1"/>
  <c r="Y150" i="40"/>
  <c r="W150" i="40"/>
  <c r="V150" i="40"/>
  <c r="T150" i="40"/>
  <c r="B150" i="40"/>
  <c r="A150" i="40" s="1"/>
  <c r="AA149" i="40"/>
  <c r="X149" i="40"/>
  <c r="W149" i="40"/>
  <c r="V149" i="40"/>
  <c r="U149" i="40"/>
  <c r="AC149" i="40" s="1"/>
  <c r="T149" i="40"/>
  <c r="S149" i="40"/>
  <c r="S148" i="40" s="1"/>
  <c r="R149" i="40"/>
  <c r="R148" i="40" s="1"/>
  <c r="Q149" i="40"/>
  <c r="P149" i="40"/>
  <c r="O149" i="40"/>
  <c r="O148" i="40" s="1"/>
  <c r="N149" i="40"/>
  <c r="N148" i="40" s="1"/>
  <c r="B149" i="40"/>
  <c r="A149" i="40" s="1"/>
  <c r="X148" i="40"/>
  <c r="B148" i="40"/>
  <c r="A148" i="40" s="1"/>
  <c r="AC147" i="40"/>
  <c r="AB147" i="40"/>
  <c r="Z147" i="40"/>
  <c r="Y147" i="40"/>
  <c r="Y146" i="40" s="1"/>
  <c r="Z146" i="40" s="1"/>
  <c r="T147" i="40"/>
  <c r="B147" i="40"/>
  <c r="A147" i="40" s="1"/>
  <c r="AB146" i="40"/>
  <c r="AA146" i="40"/>
  <c r="AA141" i="40" s="1"/>
  <c r="X146" i="40"/>
  <c r="U146" i="40"/>
  <c r="AC146" i="40" s="1"/>
  <c r="T146" i="40"/>
  <c r="W146" i="40" s="1"/>
  <c r="S146" i="40"/>
  <c r="R146" i="40"/>
  <c r="Q146" i="40"/>
  <c r="P146" i="40"/>
  <c r="O146" i="40"/>
  <c r="N146" i="40"/>
  <c r="B146" i="40"/>
  <c r="A146" i="40"/>
  <c r="AC145" i="40"/>
  <c r="AB145" i="40"/>
  <c r="Y145" i="40"/>
  <c r="Z145" i="40" s="1"/>
  <c r="W145" i="40"/>
  <c r="V145" i="40"/>
  <c r="T145" i="40"/>
  <c r="B145" i="40"/>
  <c r="A145" i="40"/>
  <c r="AC144" i="40"/>
  <c r="AB144" i="40"/>
  <c r="Y144" i="40"/>
  <c r="Y142" i="40" s="1"/>
  <c r="Y141" i="40" s="1"/>
  <c r="T144" i="40"/>
  <c r="B144" i="40"/>
  <c r="A144" i="40" s="1"/>
  <c r="AC143" i="40"/>
  <c r="AB143" i="40"/>
  <c r="AB142" i="40" s="1"/>
  <c r="AB141" i="40" s="1"/>
  <c r="Z143" i="40"/>
  <c r="Y143" i="40"/>
  <c r="T143" i="40"/>
  <c r="W143" i="40" s="1"/>
  <c r="B143" i="40"/>
  <c r="A143" i="40" s="1"/>
  <c r="AA142" i="40"/>
  <c r="X142" i="40"/>
  <c r="X141" i="40" s="1"/>
  <c r="X140" i="40" s="1"/>
  <c r="X139" i="40" s="1"/>
  <c r="X109" i="40" s="1"/>
  <c r="U142" i="40"/>
  <c r="S142" i="40"/>
  <c r="R142" i="40"/>
  <c r="Q142" i="40"/>
  <c r="Q141" i="40" s="1"/>
  <c r="P142" i="40"/>
  <c r="O142" i="40"/>
  <c r="N142" i="40"/>
  <c r="B142" i="40"/>
  <c r="A142" i="40" s="1"/>
  <c r="S141" i="40"/>
  <c r="R141" i="40"/>
  <c r="O141" i="40"/>
  <c r="N141" i="40"/>
  <c r="N140" i="40" s="1"/>
  <c r="N139" i="40" s="1"/>
  <c r="B141" i="40"/>
  <c r="A141" i="40" s="1"/>
  <c r="B140" i="40"/>
  <c r="A140" i="40"/>
  <c r="B139" i="40"/>
  <c r="A139" i="40" s="1"/>
  <c r="AC138" i="40"/>
  <c r="AB138" i="40"/>
  <c r="Z138" i="40"/>
  <c r="Y138" i="40"/>
  <c r="W138" i="40"/>
  <c r="V138" i="40"/>
  <c r="T138" i="40"/>
  <c r="T136" i="40" s="1"/>
  <c r="W136" i="40" s="1"/>
  <c r="B138" i="40"/>
  <c r="A138" i="40"/>
  <c r="AC137" i="40"/>
  <c r="AB137" i="40"/>
  <c r="AB136" i="40" s="1"/>
  <c r="Y137" i="40"/>
  <c r="W137" i="40"/>
  <c r="V137" i="40"/>
  <c r="T137" i="40"/>
  <c r="B137" i="40"/>
  <c r="A137" i="40" s="1"/>
  <c r="AA136" i="40"/>
  <c r="X136" i="40"/>
  <c r="V136" i="40"/>
  <c r="U136" i="40"/>
  <c r="AC136" i="40" s="1"/>
  <c r="S136" i="40"/>
  <c r="R136" i="40"/>
  <c r="Q136" i="40"/>
  <c r="P136" i="40"/>
  <c r="O136" i="40"/>
  <c r="N136" i="40"/>
  <c r="B136" i="40"/>
  <c r="A136" i="40" s="1"/>
  <c r="AC135" i="40"/>
  <c r="AB135" i="40"/>
  <c r="AB134" i="40" s="1"/>
  <c r="Z135" i="40"/>
  <c r="Y135" i="40"/>
  <c r="W135" i="40"/>
  <c r="V135" i="40"/>
  <c r="V134" i="40" s="1"/>
  <c r="T135" i="40"/>
  <c r="B135" i="40"/>
  <c r="A135" i="40"/>
  <c r="AC134" i="40"/>
  <c r="AA134" i="40"/>
  <c r="Y134" i="40"/>
  <c r="X134" i="40"/>
  <c r="U134" i="40"/>
  <c r="T134" i="40"/>
  <c r="W134" i="40" s="1"/>
  <c r="S134" i="40"/>
  <c r="R134" i="40"/>
  <c r="Q134" i="40"/>
  <c r="P134" i="40"/>
  <c r="O134" i="40"/>
  <c r="N134" i="40"/>
  <c r="B134" i="40"/>
  <c r="A134" i="40" s="1"/>
  <c r="AC133" i="40"/>
  <c r="AB133" i="40"/>
  <c r="AB132" i="40" s="1"/>
  <c r="AB125" i="40" s="1"/>
  <c r="Z133" i="40"/>
  <c r="Y133" i="40"/>
  <c r="T133" i="40"/>
  <c r="W133" i="40" s="1"/>
  <c r="B133" i="40"/>
  <c r="A133" i="40" s="1"/>
  <c r="AA132" i="40"/>
  <c r="Y132" i="40"/>
  <c r="X132" i="40"/>
  <c r="X125" i="40" s="1"/>
  <c r="U132" i="40"/>
  <c r="S132" i="40"/>
  <c r="R132" i="40"/>
  <c r="Q132" i="40"/>
  <c r="Q125" i="40" s="1"/>
  <c r="P132" i="40"/>
  <c r="O132" i="40"/>
  <c r="N132" i="40"/>
  <c r="B132" i="40"/>
  <c r="A132" i="40"/>
  <c r="AC131" i="40"/>
  <c r="AB131" i="40"/>
  <c r="Y131" i="40"/>
  <c r="Y130" i="40" s="1"/>
  <c r="T131" i="40"/>
  <c r="B131" i="40"/>
  <c r="A131" i="40" s="1"/>
  <c r="AB130" i="40"/>
  <c r="AA130" i="40"/>
  <c r="X130" i="40"/>
  <c r="U130" i="40"/>
  <c r="T130" i="40"/>
  <c r="W130" i="40" s="1"/>
  <c r="S130" i="40"/>
  <c r="R130" i="40"/>
  <c r="Q130" i="40"/>
  <c r="P130" i="40"/>
  <c r="O130" i="40"/>
  <c r="N130" i="40"/>
  <c r="B130" i="40"/>
  <c r="A130" i="40"/>
  <c r="AC129" i="40"/>
  <c r="AB129" i="40"/>
  <c r="AB128" i="40" s="1"/>
  <c r="Y129" i="40"/>
  <c r="W129" i="40"/>
  <c r="V129" i="40"/>
  <c r="T129" i="40"/>
  <c r="B129" i="40"/>
  <c r="A129" i="40" s="1"/>
  <c r="AA128" i="40"/>
  <c r="X128" i="40"/>
  <c r="W128" i="40"/>
  <c r="V128" i="40"/>
  <c r="U128" i="40"/>
  <c r="AC128" i="40" s="1"/>
  <c r="T128" i="40"/>
  <c r="S128" i="40"/>
  <c r="R128" i="40"/>
  <c r="Q128" i="40"/>
  <c r="P128" i="40"/>
  <c r="O128" i="40"/>
  <c r="N128" i="40"/>
  <c r="B128" i="40"/>
  <c r="A128" i="40" s="1"/>
  <c r="AC127" i="40"/>
  <c r="AB127" i="40"/>
  <c r="AB126" i="40" s="1"/>
  <c r="Z127" i="40"/>
  <c r="Y127" i="40"/>
  <c r="W127" i="40"/>
  <c r="V127" i="40"/>
  <c r="V126" i="40" s="1"/>
  <c r="T127" i="40"/>
  <c r="B127" i="40"/>
  <c r="A127" i="40"/>
  <c r="AC126" i="40"/>
  <c r="AA126" i="40"/>
  <c r="Y126" i="40"/>
  <c r="X126" i="40"/>
  <c r="U126" i="40"/>
  <c r="T126" i="40"/>
  <c r="W126" i="40" s="1"/>
  <c r="S126" i="40"/>
  <c r="R126" i="40"/>
  <c r="Q126" i="40"/>
  <c r="P126" i="40"/>
  <c r="O126" i="40"/>
  <c r="N126" i="40"/>
  <c r="B126" i="40"/>
  <c r="A126" i="40" s="1"/>
  <c r="AA125" i="40"/>
  <c r="S125" i="40"/>
  <c r="B125" i="40"/>
  <c r="A125" i="40"/>
  <c r="AC124" i="40"/>
  <c r="AB124" i="40"/>
  <c r="AB123" i="40" s="1"/>
  <c r="Y124" i="40"/>
  <c r="W124" i="40"/>
  <c r="V124" i="40"/>
  <c r="T124" i="40"/>
  <c r="B124" i="40"/>
  <c r="A124" i="40"/>
  <c r="AA123" i="40"/>
  <c r="X123" i="40"/>
  <c r="W123" i="40"/>
  <c r="V123" i="40"/>
  <c r="U123" i="40"/>
  <c r="AC123" i="40" s="1"/>
  <c r="T123" i="40"/>
  <c r="S123" i="40"/>
  <c r="R123" i="40"/>
  <c r="Q123" i="40"/>
  <c r="P123" i="40"/>
  <c r="O123" i="40"/>
  <c r="N123" i="40"/>
  <c r="B123" i="40"/>
  <c r="A123" i="40" s="1"/>
  <c r="AC122" i="40"/>
  <c r="AB122" i="40"/>
  <c r="AB121" i="40" s="1"/>
  <c r="Z122" i="40"/>
  <c r="Y122" i="40"/>
  <c r="W122" i="40"/>
  <c r="V122" i="40"/>
  <c r="V121" i="40" s="1"/>
  <c r="T122" i="40"/>
  <c r="B122" i="40"/>
  <c r="A122" i="40"/>
  <c r="AC121" i="40"/>
  <c r="AA121" i="40"/>
  <c r="Y121" i="40"/>
  <c r="X121" i="40"/>
  <c r="U121" i="40"/>
  <c r="T121" i="40"/>
  <c r="W121" i="40" s="1"/>
  <c r="S121" i="40"/>
  <c r="R121" i="40"/>
  <c r="Q121" i="40"/>
  <c r="P121" i="40"/>
  <c r="O121" i="40"/>
  <c r="N121" i="40"/>
  <c r="B121" i="40"/>
  <c r="A121" i="40" s="1"/>
  <c r="AC120" i="40"/>
  <c r="AB120" i="40"/>
  <c r="AB119" i="40" s="1"/>
  <c r="Z120" i="40"/>
  <c r="Y120" i="40"/>
  <c r="T120" i="40"/>
  <c r="W120" i="40" s="1"/>
  <c r="B120" i="40"/>
  <c r="A120" i="40" s="1"/>
  <c r="AA119" i="40"/>
  <c r="Y119" i="40"/>
  <c r="X119" i="40"/>
  <c r="U119" i="40"/>
  <c r="S119" i="40"/>
  <c r="R119" i="40"/>
  <c r="Q119" i="40"/>
  <c r="P119" i="40"/>
  <c r="O119" i="40"/>
  <c r="N119" i="40"/>
  <c r="B119" i="40"/>
  <c r="A119" i="40"/>
  <c r="AC118" i="40"/>
  <c r="AB118" i="40"/>
  <c r="Y118" i="40"/>
  <c r="Y117" i="40" s="1"/>
  <c r="Z117" i="40" s="1"/>
  <c r="T118" i="40"/>
  <c r="B118" i="40"/>
  <c r="A118" i="40" s="1"/>
  <c r="AB117" i="40"/>
  <c r="AA117" i="40"/>
  <c r="X117" i="40"/>
  <c r="W117" i="40"/>
  <c r="U117" i="40"/>
  <c r="AC117" i="40" s="1"/>
  <c r="T117" i="40"/>
  <c r="S117" i="40"/>
  <c r="R117" i="40"/>
  <c r="Q117" i="40"/>
  <c r="P117" i="40"/>
  <c r="O117" i="40"/>
  <c r="N117" i="40"/>
  <c r="B117" i="40"/>
  <c r="A117" i="40"/>
  <c r="AC116" i="40"/>
  <c r="AB116" i="40"/>
  <c r="AB115" i="40" s="1"/>
  <c r="Y116" i="40"/>
  <c r="W116" i="40"/>
  <c r="V116" i="40"/>
  <c r="T116" i="40"/>
  <c r="B116" i="40"/>
  <c r="A116" i="40" s="1"/>
  <c r="AA115" i="40"/>
  <c r="AC115" i="40" s="1"/>
  <c r="X115" i="40"/>
  <c r="W115" i="40"/>
  <c r="V115" i="40"/>
  <c r="U115" i="40"/>
  <c r="T115" i="40"/>
  <c r="S115" i="40"/>
  <c r="S112" i="40" s="1"/>
  <c r="S111" i="40" s="1"/>
  <c r="S110" i="40" s="1"/>
  <c r="R115" i="40"/>
  <c r="R112" i="40" s="1"/>
  <c r="Q115" i="40"/>
  <c r="P115" i="40"/>
  <c r="O115" i="40"/>
  <c r="N115" i="40"/>
  <c r="B115" i="40"/>
  <c r="A115" i="40" s="1"/>
  <c r="AC114" i="40"/>
  <c r="AB114" i="40"/>
  <c r="Z114" i="40"/>
  <c r="Y114" i="40"/>
  <c r="T114" i="40"/>
  <c r="W114" i="40" s="1"/>
  <c r="B114" i="40"/>
  <c r="A114" i="40"/>
  <c r="AB113" i="40"/>
  <c r="AA113" i="40"/>
  <c r="Y113" i="40"/>
  <c r="X113" i="40"/>
  <c r="X112" i="40" s="1"/>
  <c r="U113" i="40"/>
  <c r="T113" i="40"/>
  <c r="S113" i="40"/>
  <c r="R113" i="40"/>
  <c r="Q113" i="40"/>
  <c r="Q112" i="40" s="1"/>
  <c r="Q111" i="40" s="1"/>
  <c r="Q110" i="40" s="1"/>
  <c r="P113" i="40"/>
  <c r="P112" i="40" s="1"/>
  <c r="O113" i="40"/>
  <c r="N113" i="40"/>
  <c r="B113" i="40"/>
  <c r="A113" i="40"/>
  <c r="O112" i="40"/>
  <c r="N112" i="40"/>
  <c r="B112" i="40"/>
  <c r="A112" i="40"/>
  <c r="X111" i="40"/>
  <c r="X110" i="40" s="1"/>
  <c r="B111" i="40"/>
  <c r="A111" i="40"/>
  <c r="B110" i="40"/>
  <c r="A110" i="40"/>
  <c r="A109" i="40"/>
  <c r="AC108" i="40"/>
  <c r="AB108" i="40"/>
  <c r="Y108" i="40"/>
  <c r="W108" i="40"/>
  <c r="T108" i="40"/>
  <c r="V108" i="40" s="1"/>
  <c r="B108" i="40"/>
  <c r="A108" i="40"/>
  <c r="AB107" i="40"/>
  <c r="AA107" i="40"/>
  <c r="X107" i="40"/>
  <c r="W107" i="40"/>
  <c r="V107" i="40"/>
  <c r="U107" i="40"/>
  <c r="T107" i="40"/>
  <c r="S107" i="40"/>
  <c r="R107" i="40"/>
  <c r="Q107" i="40"/>
  <c r="P107" i="40"/>
  <c r="O107" i="40"/>
  <c r="O101" i="40" s="1"/>
  <c r="N107" i="40"/>
  <c r="B107" i="40"/>
  <c r="A107" i="40"/>
  <c r="AC106" i="40"/>
  <c r="AB106" i="40"/>
  <c r="Y106" i="40"/>
  <c r="Z106" i="40" s="1"/>
  <c r="W106" i="40"/>
  <c r="V106" i="40"/>
  <c r="T106" i="40"/>
  <c r="B106" i="40"/>
  <c r="A106" i="40"/>
  <c r="AC105" i="40"/>
  <c r="AB105" i="40"/>
  <c r="Y105" i="40"/>
  <c r="Z105" i="40" s="1"/>
  <c r="W105" i="40"/>
  <c r="T105" i="40"/>
  <c r="V105" i="40" s="1"/>
  <c r="B105" i="40"/>
  <c r="A105" i="40" s="1"/>
  <c r="AC104" i="40"/>
  <c r="AB104" i="40"/>
  <c r="Z104" i="40"/>
  <c r="Y104" i="40"/>
  <c r="Y103" i="40" s="1"/>
  <c r="T104" i="40"/>
  <c r="B104" i="40"/>
  <c r="A104" i="40" s="1"/>
  <c r="AB103" i="40"/>
  <c r="AB102" i="40" s="1"/>
  <c r="AB101" i="40" s="1"/>
  <c r="AA103" i="40"/>
  <c r="AA102" i="40" s="1"/>
  <c r="X103" i="40"/>
  <c r="X102" i="40" s="1"/>
  <c r="X101" i="40" s="1"/>
  <c r="U103" i="40"/>
  <c r="Z103" i="40" s="1"/>
  <c r="S103" i="40"/>
  <c r="S102" i="40" s="1"/>
  <c r="R103" i="40"/>
  <c r="Q103" i="40"/>
  <c r="P103" i="40"/>
  <c r="P102" i="40" s="1"/>
  <c r="O103" i="40"/>
  <c r="O102" i="40" s="1"/>
  <c r="N103" i="40"/>
  <c r="B103" i="40"/>
  <c r="A103" i="40"/>
  <c r="Y102" i="40"/>
  <c r="U102" i="40"/>
  <c r="U101" i="40" s="1"/>
  <c r="R102" i="40"/>
  <c r="Q102" i="40"/>
  <c r="Q101" i="40" s="1"/>
  <c r="N102" i="40"/>
  <c r="B102" i="40"/>
  <c r="A102" i="40" s="1"/>
  <c r="AA101" i="40"/>
  <c r="S101" i="40"/>
  <c r="P101" i="40"/>
  <c r="B101" i="40"/>
  <c r="A101" i="40"/>
  <c r="AC100" i="40"/>
  <c r="AB100" i="40"/>
  <c r="Z100" i="40"/>
  <c r="Y100" i="40"/>
  <c r="Y99" i="40" s="1"/>
  <c r="Y98" i="40" s="1"/>
  <c r="W100" i="40"/>
  <c r="T100" i="40"/>
  <c r="V100" i="40" s="1"/>
  <c r="B100" i="40"/>
  <c r="A100" i="40"/>
  <c r="AB99" i="40"/>
  <c r="AA99" i="40"/>
  <c r="AA98" i="40" s="1"/>
  <c r="Z99" i="40"/>
  <c r="X99" i="40"/>
  <c r="W99" i="40"/>
  <c r="V99" i="40"/>
  <c r="V98" i="40" s="1"/>
  <c r="U99" i="40"/>
  <c r="AC99" i="40" s="1"/>
  <c r="T99" i="40"/>
  <c r="S99" i="40"/>
  <c r="S98" i="40" s="1"/>
  <c r="R99" i="40"/>
  <c r="R98" i="40" s="1"/>
  <c r="Q99" i="40"/>
  <c r="P99" i="40"/>
  <c r="O99" i="40"/>
  <c r="O98" i="40" s="1"/>
  <c r="N99" i="40"/>
  <c r="N98" i="40" s="1"/>
  <c r="B99" i="40"/>
  <c r="A99" i="40"/>
  <c r="AB98" i="40"/>
  <c r="X98" i="40"/>
  <c r="U98" i="40"/>
  <c r="Z98" i="40" s="1"/>
  <c r="T98" i="40"/>
  <c r="W98" i="40" s="1"/>
  <c r="Q98" i="40"/>
  <c r="P98" i="40"/>
  <c r="B98" i="40"/>
  <c r="A98" i="40"/>
  <c r="AC97" i="40"/>
  <c r="AB97" i="40"/>
  <c r="Y97" i="40"/>
  <c r="Z97" i="40" s="1"/>
  <c r="N97" i="40"/>
  <c r="N94" i="40" s="1"/>
  <c r="N93" i="40" s="1"/>
  <c r="N92" i="40" s="1"/>
  <c r="B97" i="40"/>
  <c r="A97" i="40"/>
  <c r="AC96" i="40"/>
  <c r="AB96" i="40"/>
  <c r="AB94" i="40" s="1"/>
  <c r="AB93" i="40" s="1"/>
  <c r="AB92" i="40" s="1"/>
  <c r="Y96" i="40"/>
  <c r="Z96" i="40" s="1"/>
  <c r="W96" i="40"/>
  <c r="V96" i="40"/>
  <c r="T96" i="40"/>
  <c r="B96" i="40"/>
  <c r="A96" i="40"/>
  <c r="AC95" i="40"/>
  <c r="AB95" i="40"/>
  <c r="Y95" i="40"/>
  <c r="W95" i="40"/>
  <c r="T95" i="40"/>
  <c r="V95" i="40" s="1"/>
  <c r="B95" i="40"/>
  <c r="A95" i="40" s="1"/>
  <c r="AA94" i="40"/>
  <c r="AA93" i="40" s="1"/>
  <c r="X94" i="40"/>
  <c r="U94" i="40"/>
  <c r="AC94" i="40" s="1"/>
  <c r="S94" i="40"/>
  <c r="S93" i="40" s="1"/>
  <c r="S92" i="40" s="1"/>
  <c r="R94" i="40"/>
  <c r="R93" i="40" s="1"/>
  <c r="Q94" i="40"/>
  <c r="P94" i="40"/>
  <c r="O94" i="40"/>
  <c r="O93" i="40" s="1"/>
  <c r="B94" i="40"/>
  <c r="A94" i="40"/>
  <c r="X93" i="40"/>
  <c r="X92" i="40" s="1"/>
  <c r="U93" i="40"/>
  <c r="Q93" i="40"/>
  <c r="Q92" i="40" s="1"/>
  <c r="P93" i="40"/>
  <c r="P92" i="40" s="1"/>
  <c r="B93" i="40"/>
  <c r="A93" i="40" s="1"/>
  <c r="AA92" i="40"/>
  <c r="R92" i="40"/>
  <c r="O92" i="40"/>
  <c r="B92" i="40"/>
  <c r="A92" i="40"/>
  <c r="AC91" i="40"/>
  <c r="AB91" i="40"/>
  <c r="AB90" i="40" s="1"/>
  <c r="Z91" i="40"/>
  <c r="Y91" i="40"/>
  <c r="W91" i="40"/>
  <c r="V91" i="40"/>
  <c r="T91" i="40"/>
  <c r="B91" i="40"/>
  <c r="A91" i="40"/>
  <c r="AA90" i="40"/>
  <c r="Y90" i="40"/>
  <c r="Y89" i="40" s="1"/>
  <c r="X90" i="40"/>
  <c r="W90" i="40"/>
  <c r="V90" i="40"/>
  <c r="V89" i="40" s="1"/>
  <c r="U90" i="40"/>
  <c r="U89" i="40" s="1"/>
  <c r="T90" i="40"/>
  <c r="S90" i="40"/>
  <c r="R90" i="40"/>
  <c r="R89" i="40" s="1"/>
  <c r="Q90" i="40"/>
  <c r="Q89" i="40" s="1"/>
  <c r="Q88" i="40" s="1"/>
  <c r="P90" i="40"/>
  <c r="O90" i="40"/>
  <c r="N90" i="40"/>
  <c r="N89" i="40" s="1"/>
  <c r="B90" i="40"/>
  <c r="A90" i="40" s="1"/>
  <c r="AB89" i="40"/>
  <c r="AA89" i="40"/>
  <c r="AA88" i="40" s="1"/>
  <c r="X89" i="40"/>
  <c r="W89" i="40"/>
  <c r="T89" i="40"/>
  <c r="S89" i="40"/>
  <c r="P89" i="40"/>
  <c r="O89" i="40"/>
  <c r="O88" i="40" s="1"/>
  <c r="B89" i="40"/>
  <c r="A89" i="40"/>
  <c r="R88" i="40"/>
  <c r="B88" i="40"/>
  <c r="A88" i="40" s="1"/>
  <c r="AC87" i="40"/>
  <c r="AB87" i="40"/>
  <c r="Z87" i="40"/>
  <c r="Y87" i="40"/>
  <c r="B87" i="40"/>
  <c r="A87" i="40"/>
  <c r="N87" i="40" s="1"/>
  <c r="T87" i="40" s="1"/>
  <c r="AC86" i="40"/>
  <c r="AB86" i="40"/>
  <c r="Y86" i="40"/>
  <c r="Z86" i="40" s="1"/>
  <c r="W86" i="40"/>
  <c r="T86" i="40"/>
  <c r="V86" i="40" s="1"/>
  <c r="B86" i="40"/>
  <c r="A86" i="40"/>
  <c r="AC85" i="40"/>
  <c r="AB85" i="40"/>
  <c r="Y85" i="40"/>
  <c r="Z85" i="40" s="1"/>
  <c r="T85" i="40"/>
  <c r="B85" i="40"/>
  <c r="A85" i="40" s="1"/>
  <c r="AC84" i="40"/>
  <c r="AB84" i="40"/>
  <c r="Z84" i="40"/>
  <c r="Y84" i="40"/>
  <c r="T84" i="40"/>
  <c r="B84" i="40"/>
  <c r="A84" i="40"/>
  <c r="AC83" i="40"/>
  <c r="AB83" i="40"/>
  <c r="AB81" i="40" s="1"/>
  <c r="Y83" i="40"/>
  <c r="Z83" i="40" s="1"/>
  <c r="W83" i="40"/>
  <c r="V83" i="40"/>
  <c r="T83" i="40"/>
  <c r="B83" i="40"/>
  <c r="A83" i="40"/>
  <c r="AC82" i="40"/>
  <c r="AB82" i="40"/>
  <c r="Z82" i="40"/>
  <c r="Y82" i="40"/>
  <c r="Y81" i="40" s="1"/>
  <c r="Z81" i="40" s="1"/>
  <c r="W82" i="40"/>
  <c r="T82" i="40"/>
  <c r="V82" i="40" s="1"/>
  <c r="B82" i="40"/>
  <c r="A82" i="40"/>
  <c r="AA81" i="40"/>
  <c r="X81" i="40"/>
  <c r="U81" i="40"/>
  <c r="AC81" i="40" s="1"/>
  <c r="S81" i="40"/>
  <c r="S63" i="40" s="1"/>
  <c r="R81" i="40"/>
  <c r="Q81" i="40"/>
  <c r="P81" i="40"/>
  <c r="O81" i="40"/>
  <c r="N81" i="40"/>
  <c r="B81" i="40"/>
  <c r="A81" i="40"/>
  <c r="AC80" i="40"/>
  <c r="AB80" i="40"/>
  <c r="Y80" i="40"/>
  <c r="Z80" i="40" s="1"/>
  <c r="W80" i="40"/>
  <c r="V80" i="40"/>
  <c r="T80" i="40"/>
  <c r="B80" i="40"/>
  <c r="A80" i="40"/>
  <c r="AC79" i="40"/>
  <c r="AB79" i="40"/>
  <c r="Y79" i="40"/>
  <c r="Z79" i="40" s="1"/>
  <c r="R79" i="40"/>
  <c r="Q79" i="40"/>
  <c r="T79" i="40" s="1"/>
  <c r="V79" i="40" s="1"/>
  <c r="B79" i="40"/>
  <c r="A79" i="40"/>
  <c r="AC78" i="40"/>
  <c r="AB78" i="40"/>
  <c r="AB74" i="40" s="1"/>
  <c r="Y78" i="40"/>
  <c r="Z78" i="40" s="1"/>
  <c r="Q78" i="40"/>
  <c r="T78" i="40" s="1"/>
  <c r="W78" i="40" s="1"/>
  <c r="B78" i="40"/>
  <c r="A78" i="40"/>
  <c r="AC77" i="40"/>
  <c r="AB77" i="40"/>
  <c r="Y77" i="40"/>
  <c r="Z77" i="40" s="1"/>
  <c r="R77" i="40"/>
  <c r="T77" i="40" s="1"/>
  <c r="Q77" i="40"/>
  <c r="B77" i="40"/>
  <c r="A77" i="40"/>
  <c r="AC76" i="40"/>
  <c r="AB76" i="40"/>
  <c r="Y76" i="40"/>
  <c r="Z76" i="40" s="1"/>
  <c r="R76" i="40"/>
  <c r="B76" i="40"/>
  <c r="A76" i="40" s="1"/>
  <c r="AC75" i="40"/>
  <c r="AB75" i="40"/>
  <c r="Z75" i="40"/>
  <c r="Y75" i="40"/>
  <c r="T75" i="40"/>
  <c r="W75" i="40" s="1"/>
  <c r="B75" i="40"/>
  <c r="A75" i="40"/>
  <c r="AA74" i="40"/>
  <c r="X74" i="40"/>
  <c r="U74" i="40"/>
  <c r="S74" i="40"/>
  <c r="P74" i="40"/>
  <c r="O74" i="40"/>
  <c r="N74" i="40"/>
  <c r="B74" i="40"/>
  <c r="A74" i="40"/>
  <c r="AC73" i="40"/>
  <c r="AB73" i="40"/>
  <c r="Y73" i="40"/>
  <c r="Y71" i="40" s="1"/>
  <c r="T73" i="40"/>
  <c r="T71" i="40" s="1"/>
  <c r="W71" i="40" s="1"/>
  <c r="B73" i="40"/>
  <c r="A73" i="40" s="1"/>
  <c r="AC72" i="40"/>
  <c r="AB72" i="40"/>
  <c r="Z72" i="40"/>
  <c r="Y72" i="40"/>
  <c r="T72" i="40"/>
  <c r="W72" i="40" s="1"/>
  <c r="B72" i="40"/>
  <c r="A72" i="40"/>
  <c r="AB71" i="40"/>
  <c r="AA71" i="40"/>
  <c r="X71" i="40"/>
  <c r="U71" i="40"/>
  <c r="S71" i="40"/>
  <c r="R71" i="40"/>
  <c r="Q71" i="40"/>
  <c r="P71" i="40"/>
  <c r="P63" i="40" s="1"/>
  <c r="O71" i="40"/>
  <c r="N71" i="40"/>
  <c r="B71" i="40"/>
  <c r="A71" i="40"/>
  <c r="AC70" i="40"/>
  <c r="AB70" i="40"/>
  <c r="Y70" i="40"/>
  <c r="Y64" i="40" s="1"/>
  <c r="T70" i="40"/>
  <c r="B70" i="40"/>
  <c r="A70" i="40" s="1"/>
  <c r="AC69" i="40"/>
  <c r="AB69" i="40"/>
  <c r="Z69" i="40"/>
  <c r="Y69" i="40"/>
  <c r="T69" i="40"/>
  <c r="W69" i="40" s="1"/>
  <c r="B69" i="40"/>
  <c r="A69" i="40"/>
  <c r="AC68" i="40"/>
  <c r="AB68" i="40"/>
  <c r="Z68" i="40"/>
  <c r="Y68" i="40"/>
  <c r="W68" i="40"/>
  <c r="V68" i="40"/>
  <c r="T68" i="40"/>
  <c r="B68" i="40"/>
  <c r="A68" i="40"/>
  <c r="AC67" i="40"/>
  <c r="AB67" i="40"/>
  <c r="Y67" i="40"/>
  <c r="Z67" i="40" s="1"/>
  <c r="W67" i="40"/>
  <c r="T67" i="40"/>
  <c r="V67" i="40" s="1"/>
  <c r="B67" i="40"/>
  <c r="A67" i="40"/>
  <c r="AC66" i="40"/>
  <c r="AB66" i="40"/>
  <c r="Y66" i="40"/>
  <c r="Z66" i="40" s="1"/>
  <c r="R66" i="40"/>
  <c r="T66" i="40" s="1"/>
  <c r="B66" i="40"/>
  <c r="A66" i="40"/>
  <c r="AC65" i="40"/>
  <c r="AB65" i="40"/>
  <c r="AB64" i="40" s="1"/>
  <c r="AB63" i="40" s="1"/>
  <c r="Y65" i="40"/>
  <c r="Z65" i="40" s="1"/>
  <c r="W65" i="40"/>
  <c r="V65" i="40"/>
  <c r="T65" i="40"/>
  <c r="B65" i="40"/>
  <c r="A65" i="40"/>
  <c r="AC64" i="40"/>
  <c r="AA64" i="40"/>
  <c r="X64" i="40"/>
  <c r="U64" i="40"/>
  <c r="S64" i="40"/>
  <c r="Q64" i="40"/>
  <c r="P64" i="40"/>
  <c r="O64" i="40"/>
  <c r="N64" i="40"/>
  <c r="B64" i="40"/>
  <c r="A64" i="40" s="1"/>
  <c r="AA63" i="40"/>
  <c r="X63" i="40"/>
  <c r="O63" i="40"/>
  <c r="B63" i="40"/>
  <c r="A63" i="40"/>
  <c r="AC62" i="40"/>
  <c r="AB62" i="40"/>
  <c r="Y62" i="40"/>
  <c r="Z62" i="40" s="1"/>
  <c r="R62" i="40"/>
  <c r="B62" i="40"/>
  <c r="A62" i="40" s="1"/>
  <c r="AC61" i="40"/>
  <c r="AB61" i="40"/>
  <c r="AB58" i="40" s="1"/>
  <c r="Z61" i="40"/>
  <c r="Y61" i="40"/>
  <c r="B61" i="40"/>
  <c r="A61" i="40"/>
  <c r="N61" i="40" s="1"/>
  <c r="T61" i="40" s="1"/>
  <c r="AC60" i="40"/>
  <c r="AB60" i="40"/>
  <c r="Z60" i="40"/>
  <c r="Y60" i="40"/>
  <c r="Y58" i="40" s="1"/>
  <c r="B60" i="40"/>
  <c r="A60" i="40" s="1"/>
  <c r="N60" i="40" s="1"/>
  <c r="AC59" i="40"/>
  <c r="AB59" i="40"/>
  <c r="Z59" i="40"/>
  <c r="Y59" i="40"/>
  <c r="V59" i="40"/>
  <c r="T59" i="40"/>
  <c r="W59" i="40" s="1"/>
  <c r="B59" i="40"/>
  <c r="A59" i="40"/>
  <c r="AC58" i="40"/>
  <c r="AA58" i="40"/>
  <c r="X58" i="40"/>
  <c r="U58" i="40"/>
  <c r="S58" i="40"/>
  <c r="Q58" i="40"/>
  <c r="P58" i="40"/>
  <c r="O58" i="40"/>
  <c r="B58" i="40"/>
  <c r="A58" i="40"/>
  <c r="AC57" i="40"/>
  <c r="AB57" i="40"/>
  <c r="Y57" i="40"/>
  <c r="Z57" i="40" s="1"/>
  <c r="T57" i="40"/>
  <c r="B57" i="40"/>
  <c r="A57" i="40" s="1"/>
  <c r="AC56" i="40"/>
  <c r="AB56" i="40"/>
  <c r="Z56" i="40"/>
  <c r="Y56" i="40"/>
  <c r="T56" i="40"/>
  <c r="W56" i="40" s="1"/>
  <c r="B56" i="40"/>
  <c r="A56" i="40"/>
  <c r="AC55" i="40"/>
  <c r="AB55" i="40"/>
  <c r="Z55" i="40"/>
  <c r="Y55" i="40"/>
  <c r="W55" i="40"/>
  <c r="V55" i="40"/>
  <c r="T55" i="40"/>
  <c r="B55" i="40"/>
  <c r="A55" i="40"/>
  <c r="AC54" i="40"/>
  <c r="AB54" i="40"/>
  <c r="Z54" i="40"/>
  <c r="Y54" i="40"/>
  <c r="W54" i="40"/>
  <c r="T54" i="40"/>
  <c r="V54" i="40" s="1"/>
  <c r="B54" i="40"/>
  <c r="A54" i="40"/>
  <c r="AC53" i="40"/>
  <c r="AB53" i="40"/>
  <c r="Y53" i="40"/>
  <c r="Z53" i="40" s="1"/>
  <c r="V53" i="40"/>
  <c r="T53" i="40"/>
  <c r="W53" i="40" s="1"/>
  <c r="B53" i="40"/>
  <c r="A53" i="40" s="1"/>
  <c r="AC52" i="40"/>
  <c r="AB52" i="40"/>
  <c r="AB51" i="40" s="1"/>
  <c r="Z52" i="40"/>
  <c r="Y52" i="40"/>
  <c r="W52" i="40"/>
  <c r="V52" i="40"/>
  <c r="T52" i="40"/>
  <c r="B52" i="40"/>
  <c r="A52" i="40"/>
  <c r="AC51" i="40"/>
  <c r="AA51" i="40"/>
  <c r="Y51" i="40"/>
  <c r="X51" i="40"/>
  <c r="U51" i="40"/>
  <c r="Z51" i="40" s="1"/>
  <c r="T51" i="40"/>
  <c r="W51" i="40" s="1"/>
  <c r="S51" i="40"/>
  <c r="R51" i="40"/>
  <c r="Q51" i="40"/>
  <c r="P51" i="40"/>
  <c r="O51" i="40"/>
  <c r="N51" i="40"/>
  <c r="B51" i="40"/>
  <c r="A51" i="40"/>
  <c r="AC50" i="40"/>
  <c r="AB50" i="40"/>
  <c r="AB49" i="40" s="1"/>
  <c r="Z50" i="40"/>
  <c r="Y50" i="40"/>
  <c r="Y49" i="40" s="1"/>
  <c r="T50" i="40"/>
  <c r="W50" i="40" s="1"/>
  <c r="B50" i="40"/>
  <c r="A50" i="40" s="1"/>
  <c r="AC49" i="40"/>
  <c r="AA49" i="40"/>
  <c r="X49" i="40"/>
  <c r="U49" i="40"/>
  <c r="Z49" i="40" s="1"/>
  <c r="T49" i="40"/>
  <c r="W49" i="40" s="1"/>
  <c r="S49" i="40"/>
  <c r="R49" i="40"/>
  <c r="Q49" i="40"/>
  <c r="P49" i="40"/>
  <c r="O49" i="40"/>
  <c r="N49" i="40"/>
  <c r="B49" i="40"/>
  <c r="A49" i="40"/>
  <c r="AC48" i="40"/>
  <c r="AB48" i="40"/>
  <c r="Z48" i="40"/>
  <c r="Y48" i="40"/>
  <c r="W48" i="40"/>
  <c r="T48" i="40"/>
  <c r="V48" i="40" s="1"/>
  <c r="B48" i="40"/>
  <c r="A48" i="40"/>
  <c r="AC47" i="40"/>
  <c r="AB47" i="40"/>
  <c r="Z47" i="40"/>
  <c r="Y47" i="40"/>
  <c r="Y46" i="40" s="1"/>
  <c r="Y45" i="40" s="1"/>
  <c r="V47" i="40"/>
  <c r="V46" i="40" s="1"/>
  <c r="T47" i="40"/>
  <c r="W47" i="40" s="1"/>
  <c r="B47" i="40"/>
  <c r="A47" i="40" s="1"/>
  <c r="AC46" i="40"/>
  <c r="AB46" i="40"/>
  <c r="AA46" i="40"/>
  <c r="X46" i="40"/>
  <c r="W46" i="40"/>
  <c r="U46" i="40"/>
  <c r="Z46" i="40" s="1"/>
  <c r="T46" i="40"/>
  <c r="S46" i="40"/>
  <c r="S45" i="40" s="1"/>
  <c r="R46" i="40"/>
  <c r="Q46" i="40"/>
  <c r="P46" i="40"/>
  <c r="O46" i="40"/>
  <c r="O45" i="40" s="1"/>
  <c r="O44" i="40" s="1"/>
  <c r="O43" i="40" s="1"/>
  <c r="N46" i="40"/>
  <c r="B46" i="40"/>
  <c r="A46" i="40"/>
  <c r="AA45" i="40"/>
  <c r="AA44" i="40" s="1"/>
  <c r="AA43" i="40" s="1"/>
  <c r="Q45" i="40"/>
  <c r="B45" i="40"/>
  <c r="A45" i="40" s="1"/>
  <c r="B44" i="40"/>
  <c r="A44" i="40" s="1"/>
  <c r="B43" i="40"/>
  <c r="A43" i="40" s="1"/>
  <c r="AC42" i="40"/>
  <c r="AB42" i="40"/>
  <c r="Z42" i="40"/>
  <c r="Y42" i="40"/>
  <c r="W42" i="40"/>
  <c r="V42" i="40"/>
  <c r="T42" i="40"/>
  <c r="B42" i="40"/>
  <c r="A42" i="40"/>
  <c r="AC41" i="40"/>
  <c r="AB41" i="40"/>
  <c r="Y41" i="40"/>
  <c r="Z41" i="40" s="1"/>
  <c r="W41" i="40"/>
  <c r="V41" i="40"/>
  <c r="T41" i="40"/>
  <c r="B41" i="40"/>
  <c r="A41" i="40"/>
  <c r="AC40" i="40"/>
  <c r="AB40" i="40"/>
  <c r="Z40" i="40"/>
  <c r="Y40" i="40"/>
  <c r="W40" i="40"/>
  <c r="T40" i="40"/>
  <c r="V40" i="40" s="1"/>
  <c r="B40" i="40"/>
  <c r="A40" i="40"/>
  <c r="AC39" i="40"/>
  <c r="AB39" i="40"/>
  <c r="Y39" i="40"/>
  <c r="Z39" i="40" s="1"/>
  <c r="V39" i="40"/>
  <c r="T39" i="40"/>
  <c r="W39" i="40" s="1"/>
  <c r="B39" i="40"/>
  <c r="A39" i="40" s="1"/>
  <c r="AC38" i="40"/>
  <c r="AB38" i="40"/>
  <c r="Z38" i="40"/>
  <c r="Y38" i="40"/>
  <c r="W38" i="40"/>
  <c r="V38" i="40"/>
  <c r="T38" i="40"/>
  <c r="B38" i="40"/>
  <c r="A38" i="40"/>
  <c r="AC37" i="40"/>
  <c r="AB37" i="40"/>
  <c r="Y37" i="40"/>
  <c r="Z37" i="40" s="1"/>
  <c r="W37" i="40"/>
  <c r="V37" i="40"/>
  <c r="T37" i="40"/>
  <c r="B37" i="40"/>
  <c r="A37" i="40"/>
  <c r="AC36" i="40"/>
  <c r="AB36" i="40"/>
  <c r="Y36" i="40"/>
  <c r="Z36" i="40" s="1"/>
  <c r="W36" i="40"/>
  <c r="T36" i="40"/>
  <c r="V36" i="40" s="1"/>
  <c r="B36" i="40"/>
  <c r="A36" i="40"/>
  <c r="AC35" i="40"/>
  <c r="AB35" i="40"/>
  <c r="Y35" i="40"/>
  <c r="Y34" i="40" s="1"/>
  <c r="W35" i="40"/>
  <c r="T35" i="40"/>
  <c r="V35" i="40" s="1"/>
  <c r="V34" i="40" s="1"/>
  <c r="V33" i="40" s="1"/>
  <c r="B35" i="40"/>
  <c r="A35" i="40"/>
  <c r="AB34" i="40"/>
  <c r="AA34" i="40"/>
  <c r="AA33" i="40" s="1"/>
  <c r="X34" i="40"/>
  <c r="W34" i="40"/>
  <c r="U34" i="40"/>
  <c r="AC34" i="40" s="1"/>
  <c r="T34" i="40"/>
  <c r="S34" i="40"/>
  <c r="S33" i="40" s="1"/>
  <c r="R34" i="40"/>
  <c r="R33" i="40" s="1"/>
  <c r="Q34" i="40"/>
  <c r="P34" i="40"/>
  <c r="O34" i="40"/>
  <c r="O33" i="40" s="1"/>
  <c r="N34" i="40"/>
  <c r="N33" i="40" s="1"/>
  <c r="B34" i="40"/>
  <c r="A34" i="40"/>
  <c r="AB33" i="40"/>
  <c r="X33" i="40"/>
  <c r="U33" i="40"/>
  <c r="AC33" i="40" s="1"/>
  <c r="T33" i="40"/>
  <c r="W33" i="40" s="1"/>
  <c r="Q33" i="40"/>
  <c r="P33" i="40"/>
  <c r="B33" i="40"/>
  <c r="A33" i="40"/>
  <c r="AC32" i="40"/>
  <c r="AB32" i="40"/>
  <c r="Y32" i="40"/>
  <c r="Z32" i="40" s="1"/>
  <c r="T32" i="40"/>
  <c r="W32" i="40" s="1"/>
  <c r="B32" i="40"/>
  <c r="A32" i="40" s="1"/>
  <c r="AC31" i="40"/>
  <c r="AB31" i="40"/>
  <c r="Z31" i="40"/>
  <c r="Y31" i="40"/>
  <c r="T31" i="40"/>
  <c r="W31" i="40" s="1"/>
  <c r="B31" i="40"/>
  <c r="A31" i="40"/>
  <c r="AC30" i="40"/>
  <c r="AB30" i="40"/>
  <c r="Y30" i="40"/>
  <c r="Z30" i="40" s="1"/>
  <c r="W30" i="40"/>
  <c r="V30" i="40"/>
  <c r="T30" i="40"/>
  <c r="B30" i="40"/>
  <c r="A30" i="40"/>
  <c r="AC29" i="40"/>
  <c r="AB29" i="40"/>
  <c r="Y29" i="40"/>
  <c r="Z29" i="40" s="1"/>
  <c r="W29" i="40"/>
  <c r="T29" i="40"/>
  <c r="V29" i="40" s="1"/>
  <c r="B29" i="40"/>
  <c r="A29" i="40"/>
  <c r="AC28" i="40"/>
  <c r="AB28" i="40"/>
  <c r="Y28" i="40"/>
  <c r="Z28" i="40" s="1"/>
  <c r="T28" i="40"/>
  <c r="W28" i="40" s="1"/>
  <c r="B28" i="40"/>
  <c r="A28" i="40" s="1"/>
  <c r="AC27" i="40"/>
  <c r="AB27" i="40"/>
  <c r="Z27" i="40"/>
  <c r="Y27" i="40"/>
  <c r="T27" i="40"/>
  <c r="W27" i="40" s="1"/>
  <c r="B27" i="40"/>
  <c r="A27" i="40"/>
  <c r="AC26" i="40"/>
  <c r="AB26" i="40"/>
  <c r="AB23" i="40" s="1"/>
  <c r="Y26" i="40"/>
  <c r="Z26" i="40" s="1"/>
  <c r="W26" i="40"/>
  <c r="V26" i="40"/>
  <c r="T26" i="40"/>
  <c r="B26" i="40"/>
  <c r="A26" i="40"/>
  <c r="AC25" i="40"/>
  <c r="AB25" i="40"/>
  <c r="Y25" i="40"/>
  <c r="Z25" i="40" s="1"/>
  <c r="W25" i="40"/>
  <c r="T25" i="40"/>
  <c r="V25" i="40" s="1"/>
  <c r="B25" i="40"/>
  <c r="A25" i="40"/>
  <c r="AC24" i="40"/>
  <c r="AB24" i="40"/>
  <c r="Y24" i="40"/>
  <c r="Y23" i="40" s="1"/>
  <c r="T24" i="40"/>
  <c r="W24" i="40" s="1"/>
  <c r="B24" i="40"/>
  <c r="A24" i="40" s="1"/>
  <c r="AA23" i="40"/>
  <c r="X23" i="40"/>
  <c r="U23" i="40"/>
  <c r="S23" i="40"/>
  <c r="R23" i="40"/>
  <c r="Q23" i="40"/>
  <c r="P23" i="40"/>
  <c r="O23" i="40"/>
  <c r="N23" i="40"/>
  <c r="B23" i="40"/>
  <c r="A23" i="40"/>
  <c r="AC22" i="40"/>
  <c r="AB22" i="40"/>
  <c r="Y22" i="40"/>
  <c r="Z22" i="40" s="1"/>
  <c r="W22" i="40"/>
  <c r="T22" i="40"/>
  <c r="V22" i="40" s="1"/>
  <c r="B22" i="40"/>
  <c r="A22" i="40"/>
  <c r="AC21" i="40"/>
  <c r="AB21" i="40"/>
  <c r="Y21" i="40"/>
  <c r="Z21" i="40" s="1"/>
  <c r="T21" i="40"/>
  <c r="W21" i="40" s="1"/>
  <c r="B21" i="40"/>
  <c r="A21" i="40" s="1"/>
  <c r="AC20" i="40"/>
  <c r="AB20" i="40"/>
  <c r="Z20" i="40"/>
  <c r="Y20" i="40"/>
  <c r="T20" i="40"/>
  <c r="W20" i="40" s="1"/>
  <c r="B20" i="40"/>
  <c r="A20" i="40"/>
  <c r="AC19" i="40"/>
  <c r="AB19" i="40"/>
  <c r="Y19" i="40"/>
  <c r="Z19" i="40" s="1"/>
  <c r="W19" i="40"/>
  <c r="V19" i="40"/>
  <c r="T19" i="40"/>
  <c r="B19" i="40"/>
  <c r="A19" i="40"/>
  <c r="AC18" i="40"/>
  <c r="AB18" i="40"/>
  <c r="Y18" i="40"/>
  <c r="Z18" i="40" s="1"/>
  <c r="W18" i="40"/>
  <c r="T18" i="40"/>
  <c r="V18" i="40" s="1"/>
  <c r="B18" i="40"/>
  <c r="A18" i="40"/>
  <c r="AC17" i="40"/>
  <c r="AB17" i="40"/>
  <c r="Y17" i="40"/>
  <c r="Z17" i="40" s="1"/>
  <c r="T17" i="40"/>
  <c r="W17" i="40" s="1"/>
  <c r="B17" i="40"/>
  <c r="A17" i="40" s="1"/>
  <c r="AC16" i="40"/>
  <c r="AB16" i="40"/>
  <c r="Z16" i="40"/>
  <c r="Y16" i="40"/>
  <c r="T16" i="40"/>
  <c r="V16" i="40" s="1"/>
  <c r="B16" i="40"/>
  <c r="A16" i="40"/>
  <c r="AC15" i="40"/>
  <c r="AB15" i="40"/>
  <c r="AB12" i="40" s="1"/>
  <c r="AB11" i="40" s="1"/>
  <c r="Y15" i="40"/>
  <c r="Z15" i="40" s="1"/>
  <c r="W15" i="40"/>
  <c r="V15" i="40"/>
  <c r="T15" i="40"/>
  <c r="B15" i="40"/>
  <c r="A15" i="40"/>
  <c r="AC14" i="40"/>
  <c r="AB14" i="40"/>
  <c r="Y14" i="40"/>
  <c r="Z14" i="40" s="1"/>
  <c r="W14" i="40"/>
  <c r="T14" i="40"/>
  <c r="V14" i="40" s="1"/>
  <c r="B14" i="40"/>
  <c r="A14" i="40"/>
  <c r="AC13" i="40"/>
  <c r="AB13" i="40"/>
  <c r="Y13" i="40"/>
  <c r="Y12" i="40" s="1"/>
  <c r="Y11" i="40" s="1"/>
  <c r="T13" i="40"/>
  <c r="W13" i="40" s="1"/>
  <c r="B13" i="40"/>
  <c r="A13" i="40" s="1"/>
  <c r="AA12" i="40"/>
  <c r="AA11" i="40" s="1"/>
  <c r="X12" i="40"/>
  <c r="X11" i="40" s="1"/>
  <c r="X10" i="40" s="1"/>
  <c r="X9" i="40" s="1"/>
  <c r="U12" i="40"/>
  <c r="Z12" i="40" s="1"/>
  <c r="S12" i="40"/>
  <c r="S11" i="40" s="1"/>
  <c r="R12" i="40"/>
  <c r="Q12" i="40"/>
  <c r="P12" i="40"/>
  <c r="P11" i="40" s="1"/>
  <c r="P10" i="40" s="1"/>
  <c r="P9" i="40" s="1"/>
  <c r="O12" i="40"/>
  <c r="O11" i="40" s="1"/>
  <c r="N12" i="40"/>
  <c r="B12" i="40"/>
  <c r="A12" i="40"/>
  <c r="U11" i="40"/>
  <c r="U10" i="40" s="1"/>
  <c r="R11" i="40"/>
  <c r="R10" i="40" s="1"/>
  <c r="R9" i="40" s="1"/>
  <c r="Q11" i="40"/>
  <c r="Q10" i="40" s="1"/>
  <c r="Q9" i="40" s="1"/>
  <c r="N11" i="40"/>
  <c r="N10" i="40" s="1"/>
  <c r="N9" i="40" s="1"/>
  <c r="B11" i="40"/>
  <c r="A11" i="40" s="1"/>
  <c r="B10" i="40"/>
  <c r="A10" i="40"/>
  <c r="B9" i="40"/>
  <c r="A9" i="40" s="1"/>
  <c r="A8" i="40"/>
  <c r="AC11" i="40" l="1"/>
  <c r="AA10" i="40"/>
  <c r="AA9" i="40" s="1"/>
  <c r="AA8" i="40" s="1"/>
  <c r="W66" i="40"/>
  <c r="T64" i="40"/>
  <c r="V66" i="40"/>
  <c r="Q140" i="40"/>
  <c r="Q139" i="40" s="1"/>
  <c r="Q109" i="40" s="1"/>
  <c r="AC10" i="40"/>
  <c r="U9" i="40"/>
  <c r="O10" i="40"/>
  <c r="O9" i="40" s="1"/>
  <c r="O8" i="40" s="1"/>
  <c r="S10" i="40"/>
  <c r="S9" i="40" s="1"/>
  <c r="S44" i="40"/>
  <c r="S43" i="40" s="1"/>
  <c r="W77" i="40"/>
  <c r="V77" i="40"/>
  <c r="N88" i="40"/>
  <c r="W61" i="40"/>
  <c r="V61" i="40"/>
  <c r="Y10" i="40"/>
  <c r="Y9" i="40" s="1"/>
  <c r="AB10" i="40"/>
  <c r="AB9" i="40" s="1"/>
  <c r="Z23" i="40"/>
  <c r="Y33" i="40"/>
  <c r="Z34" i="40"/>
  <c r="T60" i="40"/>
  <c r="N58" i="40"/>
  <c r="N45" i="40" s="1"/>
  <c r="W87" i="40"/>
  <c r="V87" i="40"/>
  <c r="W113" i="40"/>
  <c r="T112" i="40"/>
  <c r="Y136" i="40"/>
  <c r="Z136" i="40" s="1"/>
  <c r="Z137" i="40"/>
  <c r="Y149" i="40"/>
  <c r="Z150" i="40"/>
  <c r="AC174" i="40"/>
  <c r="U169" i="40"/>
  <c r="W194" i="40"/>
  <c r="T193" i="40"/>
  <c r="Z89" i="40"/>
  <c r="AC89" i="40"/>
  <c r="V56" i="40"/>
  <c r="V51" i="40" s="1"/>
  <c r="T62" i="40"/>
  <c r="R58" i="40"/>
  <c r="R45" i="40" s="1"/>
  <c r="N63" i="40"/>
  <c r="R64" i="40"/>
  <c r="V69" i="40"/>
  <c r="Z70" i="40"/>
  <c r="Z71" i="40"/>
  <c r="V78" i="40"/>
  <c r="W85" i="40"/>
  <c r="V85" i="40"/>
  <c r="P88" i="40"/>
  <c r="X88" i="40"/>
  <c r="Z90" i="40"/>
  <c r="T97" i="40"/>
  <c r="R101" i="40"/>
  <c r="Z102" i="40"/>
  <c r="U112" i="40"/>
  <c r="Z113" i="40"/>
  <c r="AB112" i="40"/>
  <c r="AB111" i="40" s="1"/>
  <c r="AB110" i="40" s="1"/>
  <c r="Z116" i="40"/>
  <c r="Y115" i="40"/>
  <c r="Z115" i="40" s="1"/>
  <c r="T119" i="40"/>
  <c r="W119" i="40" s="1"/>
  <c r="V120" i="40"/>
  <c r="V119" i="40" s="1"/>
  <c r="Z130" i="40"/>
  <c r="T132" i="40"/>
  <c r="V133" i="40"/>
  <c r="V132" i="40" s="1"/>
  <c r="O140" i="40"/>
  <c r="O139" i="40" s="1"/>
  <c r="V143" i="40"/>
  <c r="Z144" i="40"/>
  <c r="V163" i="40"/>
  <c r="V162" i="40" s="1"/>
  <c r="T76" i="40"/>
  <c r="R74" i="40"/>
  <c r="Z11" i="40"/>
  <c r="Z13" i="40"/>
  <c r="T23" i="40"/>
  <c r="W23" i="40" s="1"/>
  <c r="Z24" i="40"/>
  <c r="V13" i="40"/>
  <c r="W16" i="40"/>
  <c r="V28" i="40"/>
  <c r="Z33" i="40"/>
  <c r="Z35" i="40"/>
  <c r="P45" i="40"/>
  <c r="P44" i="40" s="1"/>
  <c r="P43" i="40" s="1"/>
  <c r="P8" i="40" s="1"/>
  <c r="AC71" i="40"/>
  <c r="V72" i="40"/>
  <c r="Z73" i="40"/>
  <c r="Q74" i="40"/>
  <c r="Q63" i="40" s="1"/>
  <c r="Q44" i="40" s="1"/>
  <c r="Q43" i="40" s="1"/>
  <c r="Q8" i="40" s="1"/>
  <c r="Q197" i="40" s="1"/>
  <c r="Q201" i="40" s="1"/>
  <c r="AC74" i="40"/>
  <c r="V75" i="40"/>
  <c r="W79" i="40"/>
  <c r="W84" i="40"/>
  <c r="T81" i="40"/>
  <c r="W81" i="40" s="1"/>
  <c r="S88" i="40"/>
  <c r="AC101" i="40"/>
  <c r="AC102" i="40"/>
  <c r="W104" i="40"/>
  <c r="V104" i="40"/>
  <c r="V103" i="40" s="1"/>
  <c r="V102" i="40" s="1"/>
  <c r="V101" i="40" s="1"/>
  <c r="Y107" i="40"/>
  <c r="Z107" i="40" s="1"/>
  <c r="Z108" i="40"/>
  <c r="AC113" i="40"/>
  <c r="V114" i="40"/>
  <c r="V113" i="40" s="1"/>
  <c r="Z118" i="40"/>
  <c r="Z119" i="40"/>
  <c r="AC119" i="40"/>
  <c r="Z121" i="40"/>
  <c r="Y123" i="40"/>
  <c r="Z123" i="40" s="1"/>
  <c r="Z124" i="40"/>
  <c r="P125" i="40"/>
  <c r="P111" i="40" s="1"/>
  <c r="P110" i="40" s="1"/>
  <c r="Z131" i="40"/>
  <c r="Z132" i="40"/>
  <c r="U125" i="40"/>
  <c r="AC132" i="40"/>
  <c r="Z134" i="40"/>
  <c r="O125" i="40"/>
  <c r="O111" i="40" s="1"/>
  <c r="O110" i="40" s="1"/>
  <c r="O109" i="40" s="1"/>
  <c r="P141" i="40"/>
  <c r="T142" i="40"/>
  <c r="T153" i="40"/>
  <c r="V154" i="40"/>
  <c r="V153" i="40" s="1"/>
  <c r="S158" i="40"/>
  <c r="S157" i="40" s="1"/>
  <c r="T159" i="40"/>
  <c r="T162" i="40"/>
  <c r="W162" i="40" s="1"/>
  <c r="V168" i="40"/>
  <c r="V167" i="40" s="1"/>
  <c r="Z179" i="40"/>
  <c r="AB45" i="40"/>
  <c r="AB44" i="40" s="1"/>
  <c r="AB43" i="40" s="1"/>
  <c r="W73" i="40"/>
  <c r="V73" i="40"/>
  <c r="U92" i="40"/>
  <c r="AC93" i="40"/>
  <c r="T12" i="40"/>
  <c r="V20" i="40"/>
  <c r="V27" i="40"/>
  <c r="V31" i="40"/>
  <c r="X45" i="40"/>
  <c r="X44" i="40" s="1"/>
  <c r="X43" i="40" s="1"/>
  <c r="X8" i="40" s="1"/>
  <c r="X197" i="40" s="1"/>
  <c r="X201" i="40" s="1"/>
  <c r="AC12" i="40"/>
  <c r="V17" i="40"/>
  <c r="V21" i="40"/>
  <c r="AC23" i="40"/>
  <c r="V24" i="40"/>
  <c r="V32" i="40"/>
  <c r="U45" i="40"/>
  <c r="V50" i="40"/>
  <c r="V49" i="40" s="1"/>
  <c r="W57" i="40"/>
  <c r="V57" i="40"/>
  <c r="Z58" i="40"/>
  <c r="U63" i="40"/>
  <c r="Z64" i="40"/>
  <c r="W70" i="40"/>
  <c r="V70" i="40"/>
  <c r="Y74" i="40"/>
  <c r="Z74" i="40" s="1"/>
  <c r="V84" i="40"/>
  <c r="V81" i="40" s="1"/>
  <c r="AB88" i="40"/>
  <c r="AC90" i="40"/>
  <c r="Y94" i="40"/>
  <c r="Z95" i="40"/>
  <c r="AC98" i="40"/>
  <c r="N101" i="40"/>
  <c r="T103" i="40"/>
  <c r="AC107" i="40"/>
  <c r="AA112" i="40"/>
  <c r="AA111" i="40" s="1"/>
  <c r="AA110" i="40" s="1"/>
  <c r="Y112" i="40"/>
  <c r="Z126" i="40"/>
  <c r="Y128" i="40"/>
  <c r="Z128" i="40" s="1"/>
  <c r="Z129" i="40"/>
  <c r="AC130" i="40"/>
  <c r="U141" i="40"/>
  <c r="Z142" i="40"/>
  <c r="AC142" i="40"/>
  <c r="AA140" i="40"/>
  <c r="AA139" i="40" s="1"/>
  <c r="Z153" i="40"/>
  <c r="AC153" i="40"/>
  <c r="Z155" i="40"/>
  <c r="T167" i="40"/>
  <c r="W167" i="40" s="1"/>
  <c r="W174" i="40"/>
  <c r="Z174" i="40"/>
  <c r="Y176" i="40"/>
  <c r="Z177" i="40"/>
  <c r="U188" i="40"/>
  <c r="AC189" i="40"/>
  <c r="Z189" i="40"/>
  <c r="W191" i="40"/>
  <c r="V191" i="40"/>
  <c r="V189" i="40" s="1"/>
  <c r="V188" i="40" s="1"/>
  <c r="AC103" i="40"/>
  <c r="R140" i="40"/>
  <c r="R139" i="40" s="1"/>
  <c r="Z162" i="40"/>
  <c r="AC162" i="40"/>
  <c r="AB164" i="40"/>
  <c r="AB140" i="40" s="1"/>
  <c r="AB139" i="40" s="1"/>
  <c r="Z167" i="40"/>
  <c r="AC167" i="40"/>
  <c r="U164" i="40"/>
  <c r="U178" i="40"/>
  <c r="AC179" i="40"/>
  <c r="V181" i="40"/>
  <c r="W118" i="40"/>
  <c r="V118" i="40"/>
  <c r="V117" i="40" s="1"/>
  <c r="W131" i="40"/>
  <c r="V131" i="40"/>
  <c r="V130" i="40" s="1"/>
  <c r="V125" i="40" s="1"/>
  <c r="N125" i="40"/>
  <c r="N111" i="40" s="1"/>
  <c r="N110" i="40" s="1"/>
  <c r="N109" i="40" s="1"/>
  <c r="R125" i="40"/>
  <c r="R111" i="40" s="1"/>
  <c r="R110" i="40" s="1"/>
  <c r="R109" i="40" s="1"/>
  <c r="S140" i="40"/>
  <c r="S139" i="40" s="1"/>
  <c r="S109" i="40" s="1"/>
  <c r="W144" i="40"/>
  <c r="V144" i="40"/>
  <c r="W147" i="40"/>
  <c r="V147" i="40"/>
  <c r="V146" i="40" s="1"/>
  <c r="AA148" i="40"/>
  <c r="AC148" i="40" s="1"/>
  <c r="W152" i="40"/>
  <c r="V152" i="40"/>
  <c r="V151" i="40" s="1"/>
  <c r="V148" i="40" s="1"/>
  <c r="Z184" i="40"/>
  <c r="U157" i="40"/>
  <c r="Z158" i="40"/>
  <c r="W171" i="40"/>
  <c r="V171" i="40"/>
  <c r="V170" i="40" s="1"/>
  <c r="V169" i="40" s="1"/>
  <c r="AA169" i="40"/>
  <c r="W182" i="40"/>
  <c r="T181" i="40"/>
  <c r="W181" i="40" s="1"/>
  <c r="T189" i="40"/>
  <c r="W190" i="40"/>
  <c r="U193" i="40"/>
  <c r="AC194" i="40"/>
  <c r="Y195" i="40"/>
  <c r="Z196" i="40"/>
  <c r="W161" i="40"/>
  <c r="V161" i="40"/>
  <c r="P164" i="40"/>
  <c r="W166" i="40"/>
  <c r="V166" i="40"/>
  <c r="V165" i="40" s="1"/>
  <c r="P169" i="40"/>
  <c r="W172" i="40"/>
  <c r="T169" i="40"/>
  <c r="W169" i="40" s="1"/>
  <c r="AB169" i="40"/>
  <c r="Q181" i="40"/>
  <c r="U181" i="40"/>
  <c r="Z182" i="40"/>
  <c r="AB181" i="40"/>
  <c r="W184" i="40"/>
  <c r="AC195" i="40"/>
  <c r="O197" i="40" l="1"/>
  <c r="O201" i="40" s="1"/>
  <c r="AC193" i="40"/>
  <c r="U192" i="40"/>
  <c r="W153" i="40"/>
  <c r="T148" i="40"/>
  <c r="W148" i="40" s="1"/>
  <c r="V112" i="40"/>
  <c r="V111" i="40" s="1"/>
  <c r="V110" i="40" s="1"/>
  <c r="AB109" i="40"/>
  <c r="Y148" i="40"/>
  <c r="Z149" i="40"/>
  <c r="Y63" i="40"/>
  <c r="Y44" i="40" s="1"/>
  <c r="Y43" i="40" s="1"/>
  <c r="Z9" i="40"/>
  <c r="AC9" i="40"/>
  <c r="Z63" i="40"/>
  <c r="AC63" i="40"/>
  <c r="T11" i="40"/>
  <c r="W12" i="40"/>
  <c r="V76" i="40"/>
  <c r="V74" i="40" s="1"/>
  <c r="W76" i="40"/>
  <c r="T74" i="40"/>
  <c r="W74" i="40" s="1"/>
  <c r="AC181" i="40"/>
  <c r="Z181" i="40"/>
  <c r="T164" i="40"/>
  <c r="W164" i="40" s="1"/>
  <c r="Z178" i="40"/>
  <c r="AC178" i="40"/>
  <c r="Z176" i="40"/>
  <c r="Y169" i="40"/>
  <c r="Z169" i="40" s="1"/>
  <c r="Z45" i="40"/>
  <c r="U44" i="40"/>
  <c r="AC45" i="40"/>
  <c r="Z195" i="40"/>
  <c r="Y194" i="40"/>
  <c r="Z157" i="40"/>
  <c r="AC157" i="40"/>
  <c r="AC164" i="40"/>
  <c r="Z164" i="40"/>
  <c r="Z188" i="40"/>
  <c r="AC188" i="40"/>
  <c r="W159" i="40"/>
  <c r="T158" i="40"/>
  <c r="V159" i="40"/>
  <c r="V158" i="40" s="1"/>
  <c r="V157" i="40" s="1"/>
  <c r="W142" i="40"/>
  <c r="T141" i="40"/>
  <c r="V71" i="40"/>
  <c r="V12" i="40"/>
  <c r="V11" i="40" s="1"/>
  <c r="V10" i="40" s="1"/>
  <c r="V9" i="40" s="1"/>
  <c r="W132" i="40"/>
  <c r="T125" i="40"/>
  <c r="W125" i="40" s="1"/>
  <c r="V62" i="40"/>
  <c r="W62" i="40"/>
  <c r="AC169" i="40"/>
  <c r="N44" i="40"/>
  <c r="N43" i="40" s="1"/>
  <c r="N8" i="40" s="1"/>
  <c r="N197" i="40" s="1"/>
  <c r="N201" i="40" s="1"/>
  <c r="V64" i="40"/>
  <c r="AA197" i="40"/>
  <c r="AA201" i="40" s="1"/>
  <c r="W112" i="40"/>
  <c r="T111" i="40"/>
  <c r="AA109" i="40"/>
  <c r="V164" i="40"/>
  <c r="W189" i="40"/>
  <c r="T188" i="40"/>
  <c r="W188" i="40" s="1"/>
  <c r="W178" i="40"/>
  <c r="AC141" i="40"/>
  <c r="Z141" i="40"/>
  <c r="U140" i="40"/>
  <c r="T102" i="40"/>
  <c r="W103" i="40"/>
  <c r="Y93" i="40"/>
  <c r="Z94" i="40"/>
  <c r="V23" i="40"/>
  <c r="AC92" i="40"/>
  <c r="P140" i="40"/>
  <c r="P139" i="40" s="1"/>
  <c r="P109" i="40" s="1"/>
  <c r="P197" i="40" s="1"/>
  <c r="P201" i="40" s="1"/>
  <c r="AC125" i="40"/>
  <c r="V142" i="40"/>
  <c r="V141" i="40" s="1"/>
  <c r="V140" i="40" s="1"/>
  <c r="V139" i="40" s="1"/>
  <c r="Y125" i="40"/>
  <c r="Y111" i="40" s="1"/>
  <c r="Y110" i="40" s="1"/>
  <c r="AC112" i="40"/>
  <c r="Z112" i="40"/>
  <c r="U111" i="40"/>
  <c r="W97" i="40"/>
  <c r="V97" i="40"/>
  <c r="V94" i="40" s="1"/>
  <c r="V93" i="40" s="1"/>
  <c r="V92" i="40" s="1"/>
  <c r="V88" i="40" s="1"/>
  <c r="T94" i="40"/>
  <c r="U88" i="40"/>
  <c r="R63" i="40"/>
  <c r="R44" i="40" s="1"/>
  <c r="R43" i="40" s="1"/>
  <c r="R8" i="40" s="1"/>
  <c r="R197" i="40" s="1"/>
  <c r="R201" i="40" s="1"/>
  <c r="W193" i="40"/>
  <c r="T192" i="40"/>
  <c r="W192" i="40" s="1"/>
  <c r="Y101" i="40"/>
  <c r="Z101" i="40" s="1"/>
  <c r="V60" i="40"/>
  <c r="V58" i="40" s="1"/>
  <c r="V45" i="40" s="1"/>
  <c r="W60" i="40"/>
  <c r="T58" i="40"/>
  <c r="AB8" i="40"/>
  <c r="AB197" i="40" s="1"/>
  <c r="AB201" i="40" s="1"/>
  <c r="S8" i="40"/>
  <c r="S197" i="40" s="1"/>
  <c r="S201" i="40" s="1"/>
  <c r="Z10" i="40"/>
  <c r="W64" i="40"/>
  <c r="T63" i="40"/>
  <c r="W63" i="40" s="1"/>
  <c r="Y92" i="40" l="1"/>
  <c r="Z93" i="40"/>
  <c r="W111" i="40"/>
  <c r="T110" i="40"/>
  <c r="V63" i="40"/>
  <c r="V44" i="40" s="1"/>
  <c r="V43" i="40" s="1"/>
  <c r="V8" i="40" s="1"/>
  <c r="V197" i="40" s="1"/>
  <c r="AC192" i="40"/>
  <c r="W141" i="40"/>
  <c r="T140" i="40"/>
  <c r="W58" i="40"/>
  <c r="T45" i="40"/>
  <c r="W94" i="40"/>
  <c r="T93" i="40"/>
  <c r="Z44" i="40"/>
  <c r="AC44" i="40"/>
  <c r="U43" i="40"/>
  <c r="V109" i="40"/>
  <c r="U139" i="40"/>
  <c r="AC140" i="40"/>
  <c r="AC88" i="40"/>
  <c r="U110" i="40"/>
  <c r="Z111" i="40"/>
  <c r="AC111" i="40"/>
  <c r="Z125" i="40"/>
  <c r="W102" i="40"/>
  <c r="T101" i="40"/>
  <c r="W101" i="40" s="1"/>
  <c r="W158" i="40"/>
  <c r="T157" i="40"/>
  <c r="W157" i="40" s="1"/>
  <c r="Y193" i="40"/>
  <c r="Z194" i="40"/>
  <c r="T10" i="40"/>
  <c r="W11" i="40"/>
  <c r="Z148" i="40"/>
  <c r="Y140" i="40"/>
  <c r="Y139" i="40" s="1"/>
  <c r="AC43" i="40" l="1"/>
  <c r="Z43" i="40"/>
  <c r="U8" i="40"/>
  <c r="Y88" i="40"/>
  <c r="Z92" i="40"/>
  <c r="W93" i="40"/>
  <c r="T92" i="40"/>
  <c r="Y192" i="40"/>
  <c r="Z192" i="40" s="1"/>
  <c r="Z193" i="40"/>
  <c r="AC110" i="40"/>
  <c r="Z110" i="40"/>
  <c r="U109" i="40"/>
  <c r="Z140" i="40"/>
  <c r="W45" i="40"/>
  <c r="T44" i="40"/>
  <c r="W110" i="40"/>
  <c r="T9" i="40"/>
  <c r="W10" i="40"/>
  <c r="W140" i="40"/>
  <c r="T139" i="40"/>
  <c r="W139" i="40" s="1"/>
  <c r="AC139" i="40"/>
  <c r="Z139" i="40"/>
  <c r="W9" i="40" l="1"/>
  <c r="T109" i="40"/>
  <c r="W109" i="40" s="1"/>
  <c r="Z109" i="40"/>
  <c r="AC109" i="40"/>
  <c r="Y8" i="40"/>
  <c r="Z88" i="40"/>
  <c r="T43" i="40"/>
  <c r="W43" i="40" s="1"/>
  <c r="W44" i="40"/>
  <c r="W92" i="40"/>
  <c r="T88" i="40"/>
  <c r="W88" i="40" s="1"/>
  <c r="U197" i="40"/>
  <c r="AC8" i="40"/>
  <c r="Y109" i="40"/>
  <c r="U201" i="40" l="1"/>
  <c r="AC197" i="40"/>
  <c r="Y197" i="40"/>
  <c r="Y201" i="40" s="1"/>
  <c r="T8" i="40"/>
  <c r="Z8" i="40"/>
  <c r="T197" i="40" l="1"/>
  <c r="W8" i="40"/>
  <c r="Z197" i="40"/>
  <c r="Z201" i="40" s="1"/>
  <c r="T201" i="40" l="1"/>
  <c r="W197" i="40"/>
  <c r="W201" i="40" s="1"/>
  <c r="V200" i="40"/>
  <c r="V201" i="40" s="1"/>
  <c r="A195" i="39" l="1"/>
  <c r="AC192" i="39"/>
  <c r="AB192" i="39"/>
  <c r="Y192" i="39"/>
  <c r="W192" i="39"/>
  <c r="T192" i="39"/>
  <c r="V192" i="39" s="1"/>
  <c r="V191" i="39" s="1"/>
  <c r="V190" i="39" s="1"/>
  <c r="V189" i="39" s="1"/>
  <c r="V188" i="39" s="1"/>
  <c r="B192" i="39"/>
  <c r="A192" i="39" s="1"/>
  <c r="AB191" i="39"/>
  <c r="AB190" i="39" s="1"/>
  <c r="AB189" i="39" s="1"/>
  <c r="AB188" i="39" s="1"/>
  <c r="AA191" i="39"/>
  <c r="AA190" i="39" s="1"/>
  <c r="AA189" i="39" s="1"/>
  <c r="AA188" i="39" s="1"/>
  <c r="X191" i="39"/>
  <c r="U191" i="39"/>
  <c r="U190" i="39" s="1"/>
  <c r="AC190" i="39" s="1"/>
  <c r="T191" i="39"/>
  <c r="S191" i="39"/>
  <c r="S190" i="39" s="1"/>
  <c r="S189" i="39" s="1"/>
  <c r="S188" i="39" s="1"/>
  <c r="R191" i="39"/>
  <c r="R190" i="39" s="1"/>
  <c r="R189" i="39" s="1"/>
  <c r="R188" i="39" s="1"/>
  <c r="Q191" i="39"/>
  <c r="Q190" i="39" s="1"/>
  <c r="Q189" i="39" s="1"/>
  <c r="Q188" i="39" s="1"/>
  <c r="P191" i="39"/>
  <c r="P190" i="39" s="1"/>
  <c r="P189" i="39" s="1"/>
  <c r="P188" i="39" s="1"/>
  <c r="O191" i="39"/>
  <c r="O190" i="39" s="1"/>
  <c r="N191" i="39"/>
  <c r="N190" i="39" s="1"/>
  <c r="N189" i="39" s="1"/>
  <c r="N188" i="39" s="1"/>
  <c r="B191" i="39"/>
  <c r="A191" i="39" s="1"/>
  <c r="X190" i="39"/>
  <c r="X189" i="39" s="1"/>
  <c r="X188" i="39" s="1"/>
  <c r="T190" i="39"/>
  <c r="B190" i="39"/>
  <c r="A190" i="39" s="1"/>
  <c r="O189" i="39"/>
  <c r="O188" i="39" s="1"/>
  <c r="B189" i="39"/>
  <c r="A189" i="39" s="1"/>
  <c r="B188" i="39"/>
  <c r="A188" i="39" s="1"/>
  <c r="AC187" i="39"/>
  <c r="AB187" i="39"/>
  <c r="AB186" i="39" s="1"/>
  <c r="Z187" i="39"/>
  <c r="Y187" i="39"/>
  <c r="Y186" i="39" s="1"/>
  <c r="T187" i="39"/>
  <c r="T186" i="39" s="1"/>
  <c r="B187" i="39"/>
  <c r="A187" i="39" s="1"/>
  <c r="AA186" i="39"/>
  <c r="Z186" i="39"/>
  <c r="X186" i="39"/>
  <c r="U186" i="39"/>
  <c r="AC186" i="39" s="1"/>
  <c r="S186" i="39"/>
  <c r="R186" i="39"/>
  <c r="Q186" i="39"/>
  <c r="P186" i="39"/>
  <c r="O186" i="39"/>
  <c r="N186" i="39"/>
  <c r="B186" i="39"/>
  <c r="A186" i="39"/>
  <c r="AC185" i="39"/>
  <c r="AB185" i="39"/>
  <c r="AB184" i="39" s="1"/>
  <c r="Y185" i="39"/>
  <c r="W185" i="39"/>
  <c r="V185" i="39"/>
  <c r="V184" i="39" s="1"/>
  <c r="T185" i="39"/>
  <c r="B185" i="39"/>
  <c r="A185" i="39" s="1"/>
  <c r="AA184" i="39"/>
  <c r="AA181" i="39" s="1"/>
  <c r="X184" i="39"/>
  <c r="U184" i="39"/>
  <c r="AC184" i="39" s="1"/>
  <c r="T184" i="39"/>
  <c r="S184" i="39"/>
  <c r="R184" i="39"/>
  <c r="Q184" i="39"/>
  <c r="P184" i="39"/>
  <c r="O184" i="39"/>
  <c r="N184" i="39"/>
  <c r="B184" i="39"/>
  <c r="A184" i="39" s="1"/>
  <c r="AC183" i="39"/>
  <c r="AB183" i="39"/>
  <c r="AB182" i="39" s="1"/>
  <c r="Y183" i="39"/>
  <c r="Z183" i="39" s="1"/>
  <c r="W183" i="39"/>
  <c r="V183" i="39"/>
  <c r="T183" i="39"/>
  <c r="B183" i="39"/>
  <c r="A183" i="39"/>
  <c r="AA182" i="39"/>
  <c r="X182" i="39"/>
  <c r="V182" i="39"/>
  <c r="U182" i="39"/>
  <c r="T182" i="39"/>
  <c r="W182" i="39" s="1"/>
  <c r="S182" i="39"/>
  <c r="R182" i="39"/>
  <c r="R181" i="39" s="1"/>
  <c r="Q182" i="39"/>
  <c r="P182" i="39"/>
  <c r="O182" i="39"/>
  <c r="N182" i="39"/>
  <c r="N181" i="39" s="1"/>
  <c r="B182" i="39"/>
  <c r="A182" i="39" s="1"/>
  <c r="P181" i="39"/>
  <c r="B181" i="39"/>
  <c r="A181" i="39" s="1"/>
  <c r="AC180" i="39"/>
  <c r="AB180" i="39"/>
  <c r="AB179" i="39" s="1"/>
  <c r="AB178" i="39" s="1"/>
  <c r="Y180" i="39"/>
  <c r="V180" i="39"/>
  <c r="V179" i="39" s="1"/>
  <c r="V178" i="39" s="1"/>
  <c r="T180" i="39"/>
  <c r="W180" i="39" s="1"/>
  <c r="B180" i="39"/>
  <c r="A180" i="39" s="1"/>
  <c r="AA179" i="39"/>
  <c r="AA178" i="39" s="1"/>
  <c r="X179" i="39"/>
  <c r="U179" i="39"/>
  <c r="AC179" i="39" s="1"/>
  <c r="T179" i="39"/>
  <c r="T178" i="39" s="1"/>
  <c r="W178" i="39" s="1"/>
  <c r="S179" i="39"/>
  <c r="S178" i="39" s="1"/>
  <c r="R179" i="39"/>
  <c r="R178" i="39" s="1"/>
  <c r="Q179" i="39"/>
  <c r="P179" i="39"/>
  <c r="O179" i="39"/>
  <c r="O178" i="39" s="1"/>
  <c r="N179" i="39"/>
  <c r="N178" i="39" s="1"/>
  <c r="B179" i="39"/>
  <c r="A179" i="39" s="1"/>
  <c r="AC178" i="39"/>
  <c r="X178" i="39"/>
  <c r="U178" i="39"/>
  <c r="Q178" i="39"/>
  <c r="P178" i="39"/>
  <c r="B178" i="39"/>
  <c r="A178" i="39" s="1"/>
  <c r="AC177" i="39"/>
  <c r="AB177" i="39"/>
  <c r="Z177" i="39"/>
  <c r="Y177" i="39"/>
  <c r="Y176" i="39" s="1"/>
  <c r="T177" i="39"/>
  <c r="B177" i="39"/>
  <c r="A177" i="39" s="1"/>
  <c r="AB176" i="39"/>
  <c r="AA176" i="39"/>
  <c r="X176" i="39"/>
  <c r="U176" i="39"/>
  <c r="Z176" i="39" s="1"/>
  <c r="S176" i="39"/>
  <c r="R176" i="39"/>
  <c r="Q176" i="39"/>
  <c r="P176" i="39"/>
  <c r="O176" i="39"/>
  <c r="O169" i="39" s="1"/>
  <c r="N176" i="39"/>
  <c r="B176" i="39"/>
  <c r="A176" i="39"/>
  <c r="AC175" i="39"/>
  <c r="AB175" i="39"/>
  <c r="Y175" i="39"/>
  <c r="T175" i="39"/>
  <c r="V175" i="39" s="1"/>
  <c r="V174" i="39" s="1"/>
  <c r="B175" i="39"/>
  <c r="A175" i="39" s="1"/>
  <c r="AB174" i="39"/>
  <c r="AA174" i="39"/>
  <c r="X174" i="39"/>
  <c r="U174" i="39"/>
  <c r="S174" i="39"/>
  <c r="R174" i="39"/>
  <c r="Q174" i="39"/>
  <c r="P174" i="39"/>
  <c r="O174" i="39"/>
  <c r="N174" i="39"/>
  <c r="B174" i="39"/>
  <c r="A174" i="39" s="1"/>
  <c r="AC173" i="39"/>
  <c r="AB173" i="39"/>
  <c r="AB172" i="39" s="1"/>
  <c r="Y173" i="39"/>
  <c r="Z173" i="39" s="1"/>
  <c r="V173" i="39"/>
  <c r="V172" i="39" s="1"/>
  <c r="T173" i="39"/>
  <c r="W173" i="39" s="1"/>
  <c r="B173" i="39"/>
  <c r="A173" i="39" s="1"/>
  <c r="AA172" i="39"/>
  <c r="Y172" i="39"/>
  <c r="X172" i="39"/>
  <c r="U172" i="39"/>
  <c r="T172" i="39"/>
  <c r="S172" i="39"/>
  <c r="R172" i="39"/>
  <c r="Q172" i="39"/>
  <c r="Q169" i="39" s="1"/>
  <c r="P172" i="39"/>
  <c r="O172" i="39"/>
  <c r="N172" i="39"/>
  <c r="B172" i="39"/>
  <c r="A172" i="39" s="1"/>
  <c r="AC171" i="39"/>
  <c r="AB171" i="39"/>
  <c r="Y171" i="39"/>
  <c r="V171" i="39"/>
  <c r="V170" i="39" s="1"/>
  <c r="T171" i="39"/>
  <c r="W171" i="39" s="1"/>
  <c r="B171" i="39"/>
  <c r="A171" i="39" s="1"/>
  <c r="AB170" i="39"/>
  <c r="AA170" i="39"/>
  <c r="X170" i="39"/>
  <c r="U170" i="39"/>
  <c r="T170" i="39"/>
  <c r="S170" i="39"/>
  <c r="R170" i="39"/>
  <c r="R169" i="39" s="1"/>
  <c r="Q170" i="39"/>
  <c r="P170" i="39"/>
  <c r="O170" i="39"/>
  <c r="N170" i="39"/>
  <c r="N169" i="39" s="1"/>
  <c r="B170" i="39"/>
  <c r="A170" i="39" s="1"/>
  <c r="B169" i="39"/>
  <c r="A169" i="39" s="1"/>
  <c r="AC168" i="39"/>
  <c r="AB168" i="39"/>
  <c r="AB167" i="39" s="1"/>
  <c r="Z168" i="39"/>
  <c r="Y168" i="39"/>
  <c r="T168" i="39"/>
  <c r="W168" i="39" s="1"/>
  <c r="B168" i="39"/>
  <c r="A168" i="39" s="1"/>
  <c r="AA167" i="39"/>
  <c r="Y167" i="39"/>
  <c r="X167" i="39"/>
  <c r="U167" i="39"/>
  <c r="Z167" i="39" s="1"/>
  <c r="S167" i="39"/>
  <c r="R167" i="39"/>
  <c r="Q167" i="39"/>
  <c r="P167" i="39"/>
  <c r="O167" i="39"/>
  <c r="N167" i="39"/>
  <c r="B167" i="39"/>
  <c r="A167" i="39" s="1"/>
  <c r="AC166" i="39"/>
  <c r="AB166" i="39"/>
  <c r="Z166" i="39"/>
  <c r="Y166" i="39"/>
  <c r="Y165" i="39" s="1"/>
  <c r="V166" i="39"/>
  <c r="V165" i="39" s="1"/>
  <c r="T166" i="39"/>
  <c r="W166" i="39" s="1"/>
  <c r="B166" i="39"/>
  <c r="A166" i="39" s="1"/>
  <c r="AB165" i="39"/>
  <c r="AB164" i="39" s="1"/>
  <c r="AA165" i="39"/>
  <c r="X165" i="39"/>
  <c r="X164" i="39" s="1"/>
  <c r="U165" i="39"/>
  <c r="T165" i="39"/>
  <c r="S165" i="39"/>
  <c r="R165" i="39"/>
  <c r="Q165" i="39"/>
  <c r="P165" i="39"/>
  <c r="P164" i="39" s="1"/>
  <c r="O165" i="39"/>
  <c r="O164" i="39" s="1"/>
  <c r="N165" i="39"/>
  <c r="B165" i="39"/>
  <c r="A165" i="39" s="1"/>
  <c r="AA164" i="39"/>
  <c r="S164" i="39"/>
  <c r="N164" i="39"/>
  <c r="B164" i="39"/>
  <c r="A164" i="39" s="1"/>
  <c r="AC163" i="39"/>
  <c r="AB163" i="39"/>
  <c r="AB162" i="39" s="1"/>
  <c r="Y163" i="39"/>
  <c r="Z163" i="39" s="1"/>
  <c r="T163" i="39"/>
  <c r="T162" i="39" s="1"/>
  <c r="B163" i="39"/>
  <c r="A163" i="39" s="1"/>
  <c r="AA162" i="39"/>
  <c r="Y162" i="39"/>
  <c r="X162" i="39"/>
  <c r="U162" i="39"/>
  <c r="S162" i="39"/>
  <c r="S157" i="39" s="1"/>
  <c r="R162" i="39"/>
  <c r="Q162" i="39"/>
  <c r="P162" i="39"/>
  <c r="O162" i="39"/>
  <c r="N162" i="39"/>
  <c r="B162" i="39"/>
  <c r="A162" i="39" s="1"/>
  <c r="AC161" i="39"/>
  <c r="AB161" i="39"/>
  <c r="Y161" i="39"/>
  <c r="Z161" i="39" s="1"/>
  <c r="T161" i="39"/>
  <c r="S161" i="39"/>
  <c r="R161" i="39"/>
  <c r="B161" i="39"/>
  <c r="A161" i="39"/>
  <c r="AC160" i="39"/>
  <c r="AB160" i="39"/>
  <c r="Z160" i="39"/>
  <c r="Y160" i="39"/>
  <c r="Y158" i="39" s="1"/>
  <c r="T160" i="39"/>
  <c r="B160" i="39"/>
  <c r="A160" i="39" s="1"/>
  <c r="AC159" i="39"/>
  <c r="AB159" i="39"/>
  <c r="Z159" i="39"/>
  <c r="Y159" i="39"/>
  <c r="T159" i="39"/>
  <c r="Q159" i="39"/>
  <c r="B159" i="39"/>
  <c r="A159" i="39" s="1"/>
  <c r="AA158" i="39"/>
  <c r="X158" i="39"/>
  <c r="X157" i="39" s="1"/>
  <c r="U158" i="39"/>
  <c r="U157" i="39" s="1"/>
  <c r="S158" i="39"/>
  <c r="R158" i="39"/>
  <c r="R157" i="39" s="1"/>
  <c r="Q158" i="39"/>
  <c r="Q157" i="39" s="1"/>
  <c r="P158" i="39"/>
  <c r="O158" i="39"/>
  <c r="N158" i="39"/>
  <c r="N157" i="39" s="1"/>
  <c r="B158" i="39"/>
  <c r="A158" i="39" s="1"/>
  <c r="P157" i="39"/>
  <c r="B157" i="39"/>
  <c r="A157" i="39"/>
  <c r="AC156" i="39"/>
  <c r="AB156" i="39"/>
  <c r="Y156" i="39"/>
  <c r="W156" i="39"/>
  <c r="T156" i="39"/>
  <c r="V156" i="39" s="1"/>
  <c r="V155" i="39" s="1"/>
  <c r="B156" i="39"/>
  <c r="A156" i="39" s="1"/>
  <c r="AB155" i="39"/>
  <c r="AA155" i="39"/>
  <c r="X155" i="39"/>
  <c r="U155" i="39"/>
  <c r="U148" i="39" s="1"/>
  <c r="T155" i="39"/>
  <c r="W155" i="39" s="1"/>
  <c r="S155" i="39"/>
  <c r="R155" i="39"/>
  <c r="Q155" i="39"/>
  <c r="P155" i="39"/>
  <c r="O155" i="39"/>
  <c r="N155" i="39"/>
  <c r="B155" i="39"/>
  <c r="A155" i="39" s="1"/>
  <c r="AC154" i="39"/>
  <c r="AB154" i="39"/>
  <c r="AB153" i="39" s="1"/>
  <c r="Y154" i="39"/>
  <c r="W154" i="39"/>
  <c r="T154" i="39"/>
  <c r="V154" i="39" s="1"/>
  <c r="B154" i="39"/>
  <c r="A154" i="39" s="1"/>
  <c r="AA153" i="39"/>
  <c r="X153" i="39"/>
  <c r="V153" i="39"/>
  <c r="U153" i="39"/>
  <c r="T153" i="39"/>
  <c r="S153" i="39"/>
  <c r="R153" i="39"/>
  <c r="Q153" i="39"/>
  <c r="P153" i="39"/>
  <c r="O153" i="39"/>
  <c r="N153" i="39"/>
  <c r="B153" i="39"/>
  <c r="A153" i="39" s="1"/>
  <c r="AC152" i="39"/>
  <c r="AB152" i="39"/>
  <c r="AB151" i="39" s="1"/>
  <c r="Z152" i="39"/>
  <c r="Y152" i="39"/>
  <c r="T152" i="39"/>
  <c r="B152" i="39"/>
  <c r="A152" i="39" s="1"/>
  <c r="AA151" i="39"/>
  <c r="AC151" i="39" s="1"/>
  <c r="Y151" i="39"/>
  <c r="X151" i="39"/>
  <c r="U151" i="39"/>
  <c r="T151" i="39"/>
  <c r="S151" i="39"/>
  <c r="R151" i="39"/>
  <c r="Q151" i="39"/>
  <c r="P151" i="39"/>
  <c r="P148" i="39" s="1"/>
  <c r="O151" i="39"/>
  <c r="N151" i="39"/>
  <c r="B151" i="39"/>
  <c r="A151" i="39" s="1"/>
  <c r="AC150" i="39"/>
  <c r="AB150" i="39"/>
  <c r="AB149" i="39" s="1"/>
  <c r="Z150" i="39"/>
  <c r="Y150" i="39"/>
  <c r="Y149" i="39" s="1"/>
  <c r="W150" i="39"/>
  <c r="T150" i="39"/>
  <c r="V150" i="39" s="1"/>
  <c r="V149" i="39" s="1"/>
  <c r="B150" i="39"/>
  <c r="A150" i="39" s="1"/>
  <c r="AA149" i="39"/>
  <c r="X149" i="39"/>
  <c r="X148" i="39" s="1"/>
  <c r="U149" i="39"/>
  <c r="S149" i="39"/>
  <c r="R149" i="39"/>
  <c r="Q149" i="39"/>
  <c r="P149" i="39"/>
  <c r="O149" i="39"/>
  <c r="N149" i="39"/>
  <c r="B149" i="39"/>
  <c r="A149" i="39" s="1"/>
  <c r="Q148" i="39"/>
  <c r="B148" i="39"/>
  <c r="A148" i="39" s="1"/>
  <c r="AC147" i="39"/>
  <c r="AB147" i="39"/>
  <c r="AB146" i="39" s="1"/>
  <c r="Z147" i="39"/>
  <c r="Y147" i="39"/>
  <c r="Y146" i="39" s="1"/>
  <c r="T147" i="39"/>
  <c r="B147" i="39"/>
  <c r="A147" i="39" s="1"/>
  <c r="AA146" i="39"/>
  <c r="X146" i="39"/>
  <c r="U146" i="39"/>
  <c r="AC146" i="39" s="1"/>
  <c r="S146" i="39"/>
  <c r="R146" i="39"/>
  <c r="Q146" i="39"/>
  <c r="P146" i="39"/>
  <c r="O146" i="39"/>
  <c r="N146" i="39"/>
  <c r="B146" i="39"/>
  <c r="A146" i="39"/>
  <c r="AC145" i="39"/>
  <c r="AB145" i="39"/>
  <c r="Y145" i="39"/>
  <c r="Z145" i="39" s="1"/>
  <c r="W145" i="39"/>
  <c r="T145" i="39"/>
  <c r="V145" i="39" s="1"/>
  <c r="B145" i="39"/>
  <c r="A145" i="39" s="1"/>
  <c r="AC144" i="39"/>
  <c r="AB144" i="39"/>
  <c r="Y144" i="39"/>
  <c r="Z144" i="39" s="1"/>
  <c r="T144" i="39"/>
  <c r="B144" i="39"/>
  <c r="A144" i="39" s="1"/>
  <c r="AC143" i="39"/>
  <c r="AB143" i="39"/>
  <c r="AB142" i="39" s="1"/>
  <c r="AB141" i="39" s="1"/>
  <c r="Z143" i="39"/>
  <c r="Y143" i="39"/>
  <c r="T143" i="39"/>
  <c r="B143" i="39"/>
  <c r="A143" i="39" s="1"/>
  <c r="AA142" i="39"/>
  <c r="AA141" i="39" s="1"/>
  <c r="X142" i="39"/>
  <c r="U142" i="39"/>
  <c r="AC142" i="39" s="1"/>
  <c r="S142" i="39"/>
  <c r="R142" i="39"/>
  <c r="R141" i="39" s="1"/>
  <c r="Q142" i="39"/>
  <c r="Q141" i="39" s="1"/>
  <c r="P142" i="39"/>
  <c r="O142" i="39"/>
  <c r="N142" i="39"/>
  <c r="N141" i="39" s="1"/>
  <c r="B142" i="39"/>
  <c r="A142" i="39" s="1"/>
  <c r="S141" i="39"/>
  <c r="O141" i="39"/>
  <c r="B141" i="39"/>
  <c r="A141" i="39" s="1"/>
  <c r="B140" i="39"/>
  <c r="A140" i="39" s="1"/>
  <c r="B139" i="39"/>
  <c r="A139" i="39" s="1"/>
  <c r="AC138" i="39"/>
  <c r="AB138" i="39"/>
  <c r="Z138" i="39"/>
  <c r="Y138" i="39"/>
  <c r="T138" i="39"/>
  <c r="B138" i="39"/>
  <c r="A138" i="39" s="1"/>
  <c r="AC137" i="39"/>
  <c r="AB137" i="39"/>
  <c r="Y137" i="39"/>
  <c r="T137" i="39"/>
  <c r="B137" i="39"/>
  <c r="A137" i="39" s="1"/>
  <c r="AA136" i="39"/>
  <c r="X136" i="39"/>
  <c r="U136" i="39"/>
  <c r="S136" i="39"/>
  <c r="R136" i="39"/>
  <c r="Q136" i="39"/>
  <c r="P136" i="39"/>
  <c r="O136" i="39"/>
  <c r="N136" i="39"/>
  <c r="B136" i="39"/>
  <c r="A136" i="39" s="1"/>
  <c r="AC135" i="39"/>
  <c r="AB135" i="39"/>
  <c r="AB134" i="39" s="1"/>
  <c r="Y135" i="39"/>
  <c r="W135" i="39"/>
  <c r="T135" i="39"/>
  <c r="V135" i="39" s="1"/>
  <c r="B135" i="39"/>
  <c r="A135" i="39" s="1"/>
  <c r="AA134" i="39"/>
  <c r="X134" i="39"/>
  <c r="V134" i="39"/>
  <c r="U134" i="39"/>
  <c r="AC134" i="39" s="1"/>
  <c r="T134" i="39"/>
  <c r="S134" i="39"/>
  <c r="R134" i="39"/>
  <c r="Q134" i="39"/>
  <c r="P134" i="39"/>
  <c r="O134" i="39"/>
  <c r="N134" i="39"/>
  <c r="B134" i="39"/>
  <c r="A134" i="39" s="1"/>
  <c r="AC133" i="39"/>
  <c r="AB133" i="39"/>
  <c r="AB132" i="39" s="1"/>
  <c r="Z133" i="39"/>
  <c r="Y133" i="39"/>
  <c r="T133" i="39"/>
  <c r="B133" i="39"/>
  <c r="A133" i="39" s="1"/>
  <c r="AA132" i="39"/>
  <c r="AC132" i="39" s="1"/>
  <c r="Y132" i="39"/>
  <c r="X132" i="39"/>
  <c r="U132" i="39"/>
  <c r="T132" i="39"/>
  <c r="S132" i="39"/>
  <c r="R132" i="39"/>
  <c r="Q132" i="39"/>
  <c r="P132" i="39"/>
  <c r="O132" i="39"/>
  <c r="N132" i="39"/>
  <c r="B132" i="39"/>
  <c r="A132" i="39" s="1"/>
  <c r="AC131" i="39"/>
  <c r="AB131" i="39"/>
  <c r="AB130" i="39" s="1"/>
  <c r="Y131" i="39"/>
  <c r="Y130" i="39" s="1"/>
  <c r="T131" i="39"/>
  <c r="B131" i="39"/>
  <c r="A131" i="39" s="1"/>
  <c r="AA130" i="39"/>
  <c r="X130" i="39"/>
  <c r="U130" i="39"/>
  <c r="AC130" i="39" s="1"/>
  <c r="S130" i="39"/>
  <c r="R130" i="39"/>
  <c r="Q130" i="39"/>
  <c r="P130" i="39"/>
  <c r="O130" i="39"/>
  <c r="N130" i="39"/>
  <c r="B130" i="39"/>
  <c r="A130" i="39"/>
  <c r="AC129" i="39"/>
  <c r="AB129" i="39"/>
  <c r="AB128" i="39" s="1"/>
  <c r="Y129" i="39"/>
  <c r="W129" i="39"/>
  <c r="T129" i="39"/>
  <c r="V129" i="39" s="1"/>
  <c r="B129" i="39"/>
  <c r="A129" i="39" s="1"/>
  <c r="AA128" i="39"/>
  <c r="X128" i="39"/>
  <c r="V128" i="39"/>
  <c r="U128" i="39"/>
  <c r="S128" i="39"/>
  <c r="R128" i="39"/>
  <c r="Q128" i="39"/>
  <c r="P128" i="39"/>
  <c r="O128" i="39"/>
  <c r="N128" i="39"/>
  <c r="B128" i="39"/>
  <c r="A128" i="39" s="1"/>
  <c r="AC127" i="39"/>
  <c r="AB127" i="39"/>
  <c r="AB126" i="39" s="1"/>
  <c r="Y127" i="39"/>
  <c r="Z127" i="39" s="1"/>
  <c r="T127" i="39"/>
  <c r="B127" i="39"/>
  <c r="A127" i="39" s="1"/>
  <c r="AA126" i="39"/>
  <c r="Y126" i="39"/>
  <c r="X126" i="39"/>
  <c r="U126" i="39"/>
  <c r="AC126" i="39" s="1"/>
  <c r="T126" i="39"/>
  <c r="S126" i="39"/>
  <c r="S125" i="39" s="1"/>
  <c r="R126" i="39"/>
  <c r="Q126" i="39"/>
  <c r="P126" i="39"/>
  <c r="O126" i="39"/>
  <c r="N126" i="39"/>
  <c r="B126" i="39"/>
  <c r="A126" i="39" s="1"/>
  <c r="P125" i="39"/>
  <c r="B125" i="39"/>
  <c r="A125" i="39"/>
  <c r="AC124" i="39"/>
  <c r="AB124" i="39"/>
  <c r="Y124" i="39"/>
  <c r="T124" i="39"/>
  <c r="V124" i="39" s="1"/>
  <c r="V123" i="39" s="1"/>
  <c r="B124" i="39"/>
  <c r="A124" i="39" s="1"/>
  <c r="AB123" i="39"/>
  <c r="AA123" i="39"/>
  <c r="X123" i="39"/>
  <c r="U123" i="39"/>
  <c r="AC123" i="39" s="1"/>
  <c r="S123" i="39"/>
  <c r="R123" i="39"/>
  <c r="Q123" i="39"/>
  <c r="P123" i="39"/>
  <c r="O123" i="39"/>
  <c r="N123" i="39"/>
  <c r="B123" i="39"/>
  <c r="A123" i="39" s="1"/>
  <c r="AC122" i="39"/>
  <c r="AB122" i="39"/>
  <c r="AB121" i="39" s="1"/>
  <c r="Y122" i="39"/>
  <c r="Z122" i="39" s="1"/>
  <c r="W122" i="39"/>
  <c r="V122" i="39"/>
  <c r="V121" i="39" s="1"/>
  <c r="T122" i="39"/>
  <c r="B122" i="39"/>
  <c r="A122" i="39"/>
  <c r="AA121" i="39"/>
  <c r="Y121" i="39"/>
  <c r="X121" i="39"/>
  <c r="U121" i="39"/>
  <c r="W121" i="39" s="1"/>
  <c r="T121" i="39"/>
  <c r="S121" i="39"/>
  <c r="R121" i="39"/>
  <c r="Q121" i="39"/>
  <c r="P121" i="39"/>
  <c r="O121" i="39"/>
  <c r="N121" i="39"/>
  <c r="B121" i="39"/>
  <c r="A121" i="39" s="1"/>
  <c r="AC120" i="39"/>
  <c r="AB120" i="39"/>
  <c r="Z120" i="39"/>
  <c r="Y120" i="39"/>
  <c r="T120" i="39"/>
  <c r="W120" i="39" s="1"/>
  <c r="B120" i="39"/>
  <c r="A120" i="39"/>
  <c r="AB119" i="39"/>
  <c r="AA119" i="39"/>
  <c r="Y119" i="39"/>
  <c r="X119" i="39"/>
  <c r="U119" i="39"/>
  <c r="S119" i="39"/>
  <c r="R119" i="39"/>
  <c r="Q119" i="39"/>
  <c r="P119" i="39"/>
  <c r="O119" i="39"/>
  <c r="N119" i="39"/>
  <c r="B119" i="39"/>
  <c r="A119" i="39" s="1"/>
  <c r="AC118" i="39"/>
  <c r="AB118" i="39"/>
  <c r="Z118" i="39"/>
  <c r="Y118" i="39"/>
  <c r="Y117" i="39" s="1"/>
  <c r="T118" i="39"/>
  <c r="B118" i="39"/>
  <c r="A118" i="39" s="1"/>
  <c r="AB117" i="39"/>
  <c r="AB112" i="39" s="1"/>
  <c r="AA117" i="39"/>
  <c r="X117" i="39"/>
  <c r="U117" i="39"/>
  <c r="Z117" i="39" s="1"/>
  <c r="S117" i="39"/>
  <c r="R117" i="39"/>
  <c r="Q117" i="39"/>
  <c r="P117" i="39"/>
  <c r="O117" i="39"/>
  <c r="N117" i="39"/>
  <c r="B117" i="39"/>
  <c r="A117" i="39"/>
  <c r="AC116" i="39"/>
  <c r="AB116" i="39"/>
  <c r="Y116" i="39"/>
  <c r="T116" i="39"/>
  <c r="V116" i="39" s="1"/>
  <c r="V115" i="39" s="1"/>
  <c r="B116" i="39"/>
  <c r="A116" i="39" s="1"/>
  <c r="AB115" i="39"/>
  <c r="AA115" i="39"/>
  <c r="X115" i="39"/>
  <c r="U115" i="39"/>
  <c r="AC115" i="39" s="1"/>
  <c r="S115" i="39"/>
  <c r="R115" i="39"/>
  <c r="Q115" i="39"/>
  <c r="P115" i="39"/>
  <c r="O115" i="39"/>
  <c r="N115" i="39"/>
  <c r="B115" i="39"/>
  <c r="A115" i="39" s="1"/>
  <c r="AC114" i="39"/>
  <c r="AB114" i="39"/>
  <c r="AB113" i="39" s="1"/>
  <c r="Y114" i="39"/>
  <c r="W114" i="39"/>
  <c r="T114" i="39"/>
  <c r="V114" i="39" s="1"/>
  <c r="V113" i="39" s="1"/>
  <c r="B114" i="39"/>
  <c r="A114" i="39" s="1"/>
  <c r="AA113" i="39"/>
  <c r="AA112" i="39" s="1"/>
  <c r="X113" i="39"/>
  <c r="U113" i="39"/>
  <c r="T113" i="39"/>
  <c r="S113" i="39"/>
  <c r="R113" i="39"/>
  <c r="Q113" i="39"/>
  <c r="P113" i="39"/>
  <c r="O113" i="39"/>
  <c r="N113" i="39"/>
  <c r="B113" i="39"/>
  <c r="A113" i="39" s="1"/>
  <c r="P112" i="39"/>
  <c r="P111" i="39" s="1"/>
  <c r="P110" i="39" s="1"/>
  <c r="B112" i="39"/>
  <c r="A112" i="39" s="1"/>
  <c r="B111" i="39"/>
  <c r="A111" i="39" s="1"/>
  <c r="B110" i="39"/>
  <c r="A110" i="39" s="1"/>
  <c r="A109" i="39"/>
  <c r="AC108" i="39"/>
  <c r="AB108" i="39"/>
  <c r="AB107" i="39" s="1"/>
  <c r="Z108" i="39"/>
  <c r="Y108" i="39"/>
  <c r="Y107" i="39" s="1"/>
  <c r="T108" i="39"/>
  <c r="W108" i="39" s="1"/>
  <c r="B108" i="39"/>
  <c r="A108" i="39" s="1"/>
  <c r="AA107" i="39"/>
  <c r="X107" i="39"/>
  <c r="U107" i="39"/>
  <c r="Z107" i="39" s="1"/>
  <c r="T107" i="39"/>
  <c r="W107" i="39" s="1"/>
  <c r="S107" i="39"/>
  <c r="R107" i="39"/>
  <c r="Q107" i="39"/>
  <c r="P107" i="39"/>
  <c r="O107" i="39"/>
  <c r="N107" i="39"/>
  <c r="B107" i="39"/>
  <c r="A107" i="39" s="1"/>
  <c r="AC106" i="39"/>
  <c r="AB106" i="39"/>
  <c r="Z106" i="39"/>
  <c r="Y106" i="39"/>
  <c r="T106" i="39"/>
  <c r="B106" i="39"/>
  <c r="A106" i="39" s="1"/>
  <c r="AC105" i="39"/>
  <c r="AB105" i="39"/>
  <c r="Z105" i="39"/>
  <c r="Y105" i="39"/>
  <c r="T105" i="39"/>
  <c r="V105" i="39" s="1"/>
  <c r="B105" i="39"/>
  <c r="A105" i="39" s="1"/>
  <c r="AC104" i="39"/>
  <c r="AB104" i="39"/>
  <c r="Z104" i="39"/>
  <c r="Y104" i="39"/>
  <c r="T104" i="39"/>
  <c r="B104" i="39"/>
  <c r="A104" i="39" s="1"/>
  <c r="AA103" i="39"/>
  <c r="Y103" i="39"/>
  <c r="Y102" i="39" s="1"/>
  <c r="X103" i="39"/>
  <c r="U103" i="39"/>
  <c r="AC103" i="39" s="1"/>
  <c r="S103" i="39"/>
  <c r="R103" i="39"/>
  <c r="R102" i="39" s="1"/>
  <c r="R101" i="39" s="1"/>
  <c r="Q103" i="39"/>
  <c r="Q102" i="39" s="1"/>
  <c r="P103" i="39"/>
  <c r="O103" i="39"/>
  <c r="O102" i="39" s="1"/>
  <c r="O101" i="39" s="1"/>
  <c r="N103" i="39"/>
  <c r="N102" i="39" s="1"/>
  <c r="N101" i="39" s="1"/>
  <c r="B103" i="39"/>
  <c r="A103" i="39" s="1"/>
  <c r="AA102" i="39"/>
  <c r="X102" i="39"/>
  <c r="X101" i="39" s="1"/>
  <c r="S102" i="39"/>
  <c r="S101" i="39" s="1"/>
  <c r="P102" i="39"/>
  <c r="B102" i="39"/>
  <c r="A102" i="39" s="1"/>
  <c r="B101" i="39"/>
  <c r="A101" i="39" s="1"/>
  <c r="AC100" i="39"/>
  <c r="AB100" i="39"/>
  <c r="AB99" i="39" s="1"/>
  <c r="AB98" i="39" s="1"/>
  <c r="Z100" i="39"/>
  <c r="Y100" i="39"/>
  <c r="T100" i="39"/>
  <c r="B100" i="39"/>
  <c r="A100" i="39" s="1"/>
  <c r="AA99" i="39"/>
  <c r="Y99" i="39"/>
  <c r="Y98" i="39" s="1"/>
  <c r="X99" i="39"/>
  <c r="X98" i="39" s="1"/>
  <c r="U99" i="39"/>
  <c r="S99" i="39"/>
  <c r="R99" i="39"/>
  <c r="Q99" i="39"/>
  <c r="Q98" i="39" s="1"/>
  <c r="P99" i="39"/>
  <c r="P98" i="39" s="1"/>
  <c r="O99" i="39"/>
  <c r="O98" i="39" s="1"/>
  <c r="N99" i="39"/>
  <c r="N98" i="39" s="1"/>
  <c r="B99" i="39"/>
  <c r="A99" i="39" s="1"/>
  <c r="AA98" i="39"/>
  <c r="S98" i="39"/>
  <c r="R98" i="39"/>
  <c r="B98" i="39"/>
  <c r="A98" i="39" s="1"/>
  <c r="AC97" i="39"/>
  <c r="AB97" i="39"/>
  <c r="Y97" i="39"/>
  <c r="Z97" i="39" s="1"/>
  <c r="B97" i="39"/>
  <c r="A97" i="39" s="1"/>
  <c r="N97" i="39" s="1"/>
  <c r="AC96" i="39"/>
  <c r="AB96" i="39"/>
  <c r="Y96" i="39"/>
  <c r="Z96" i="39" s="1"/>
  <c r="T96" i="39"/>
  <c r="B96" i="39"/>
  <c r="A96" i="39" s="1"/>
  <c r="AC95" i="39"/>
  <c r="AB95" i="39"/>
  <c r="AB94" i="39" s="1"/>
  <c r="AB93" i="39" s="1"/>
  <c r="AB92" i="39" s="1"/>
  <c r="Z95" i="39"/>
  <c r="Y95" i="39"/>
  <c r="T95" i="39"/>
  <c r="W95" i="39" s="1"/>
  <c r="B95" i="39"/>
  <c r="A95" i="39" s="1"/>
  <c r="AA94" i="39"/>
  <c r="AA93" i="39" s="1"/>
  <c r="AA92" i="39" s="1"/>
  <c r="X94" i="39"/>
  <c r="X93" i="39" s="1"/>
  <c r="X92" i="39" s="1"/>
  <c r="U94" i="39"/>
  <c r="S94" i="39"/>
  <c r="R94" i="39"/>
  <c r="R93" i="39" s="1"/>
  <c r="R92" i="39" s="1"/>
  <c r="Q94" i="39"/>
  <c r="Q93" i="39" s="1"/>
  <c r="P94" i="39"/>
  <c r="P93" i="39" s="1"/>
  <c r="O94" i="39"/>
  <c r="O93" i="39" s="1"/>
  <c r="O92" i="39" s="1"/>
  <c r="B94" i="39"/>
  <c r="A94" i="39" s="1"/>
  <c r="S93" i="39"/>
  <c r="S92" i="39" s="1"/>
  <c r="S88" i="39" s="1"/>
  <c r="B93" i="39"/>
  <c r="A93" i="39" s="1"/>
  <c r="Q92" i="39"/>
  <c r="P92" i="39"/>
  <c r="B92" i="39"/>
  <c r="A92" i="39" s="1"/>
  <c r="AC91" i="39"/>
  <c r="AB91" i="39"/>
  <c r="Z91" i="39"/>
  <c r="Y91" i="39"/>
  <c r="Y90" i="39" s="1"/>
  <c r="T91" i="39"/>
  <c r="B91" i="39"/>
  <c r="A91" i="39" s="1"/>
  <c r="AB90" i="39"/>
  <c r="AB89" i="39" s="1"/>
  <c r="AB88" i="39" s="1"/>
  <c r="AA90" i="39"/>
  <c r="AA89" i="39" s="1"/>
  <c r="X90" i="39"/>
  <c r="X89" i="39" s="1"/>
  <c r="W90" i="39"/>
  <c r="U90" i="39"/>
  <c r="AC90" i="39" s="1"/>
  <c r="T90" i="39"/>
  <c r="T89" i="39" s="1"/>
  <c r="W89" i="39" s="1"/>
  <c r="S90" i="39"/>
  <c r="S89" i="39" s="1"/>
  <c r="R90" i="39"/>
  <c r="R89" i="39" s="1"/>
  <c r="Q90" i="39"/>
  <c r="P90" i="39"/>
  <c r="P89" i="39" s="1"/>
  <c r="O90" i="39"/>
  <c r="O89" i="39" s="1"/>
  <c r="N90" i="39"/>
  <c r="N89" i="39" s="1"/>
  <c r="B90" i="39"/>
  <c r="A90" i="39" s="1"/>
  <c r="Z89" i="39"/>
  <c r="Y89" i="39"/>
  <c r="U89" i="39"/>
  <c r="Q89" i="39"/>
  <c r="B89" i="39"/>
  <c r="A89" i="39" s="1"/>
  <c r="P88" i="39"/>
  <c r="B88" i="39"/>
  <c r="A88" i="39" s="1"/>
  <c r="AC87" i="39"/>
  <c r="AB87" i="39"/>
  <c r="Y87" i="39"/>
  <c r="Z87" i="39" s="1"/>
  <c r="B87" i="39"/>
  <c r="A87" i="39" s="1"/>
  <c r="N87" i="39" s="1"/>
  <c r="T87" i="39" s="1"/>
  <c r="V87" i="39" s="1"/>
  <c r="AC86" i="39"/>
  <c r="AB86" i="39"/>
  <c r="Y86" i="39"/>
  <c r="Z86" i="39" s="1"/>
  <c r="V86" i="39"/>
  <c r="T86" i="39"/>
  <c r="W86" i="39" s="1"/>
  <c r="B86" i="39"/>
  <c r="A86" i="39" s="1"/>
  <c r="AC85" i="39"/>
  <c r="AB85" i="39"/>
  <c r="Z85" i="39"/>
  <c r="Y85" i="39"/>
  <c r="W85" i="39"/>
  <c r="V85" i="39"/>
  <c r="T85" i="39"/>
  <c r="B85" i="39"/>
  <c r="A85" i="39"/>
  <c r="AC84" i="39"/>
  <c r="AB84" i="39"/>
  <c r="Y84" i="39"/>
  <c r="Z84" i="39" s="1"/>
  <c r="W84" i="39"/>
  <c r="T84" i="39"/>
  <c r="V84" i="39" s="1"/>
  <c r="B84" i="39"/>
  <c r="A84" i="39" s="1"/>
  <c r="AC83" i="39"/>
  <c r="AB83" i="39"/>
  <c r="Y83" i="39"/>
  <c r="Z83" i="39" s="1"/>
  <c r="T83" i="39"/>
  <c r="B83" i="39"/>
  <c r="A83" i="39" s="1"/>
  <c r="AC82" i="39"/>
  <c r="AB82" i="39"/>
  <c r="Z82" i="39"/>
  <c r="Y82" i="39"/>
  <c r="T82" i="39"/>
  <c r="B82" i="39"/>
  <c r="A82" i="39" s="1"/>
  <c r="AA81" i="39"/>
  <c r="X81" i="39"/>
  <c r="U81" i="39"/>
  <c r="AC81" i="39" s="1"/>
  <c r="S81" i="39"/>
  <c r="R81" i="39"/>
  <c r="Q81" i="39"/>
  <c r="P81" i="39"/>
  <c r="O81" i="39"/>
  <c r="N81" i="39"/>
  <c r="B81" i="39"/>
  <c r="A81" i="39" s="1"/>
  <c r="AC80" i="39"/>
  <c r="AB80" i="39"/>
  <c r="Y80" i="39"/>
  <c r="Z80" i="39" s="1"/>
  <c r="T80" i="39"/>
  <c r="B80" i="39"/>
  <c r="A80" i="39" s="1"/>
  <c r="AC79" i="39"/>
  <c r="AB79" i="39"/>
  <c r="Y79" i="39"/>
  <c r="Z79" i="39" s="1"/>
  <c r="T79" i="39"/>
  <c r="W79" i="39" s="1"/>
  <c r="B79" i="39"/>
  <c r="A79" i="39" s="1"/>
  <c r="AC78" i="39"/>
  <c r="AB78" i="39"/>
  <c r="Z78" i="39"/>
  <c r="Y78" i="39"/>
  <c r="T78" i="39"/>
  <c r="W78" i="39" s="1"/>
  <c r="B78" i="39"/>
  <c r="A78" i="39" s="1"/>
  <c r="AC77" i="39"/>
  <c r="AB77" i="39"/>
  <c r="Y77" i="39"/>
  <c r="Z77" i="39" s="1"/>
  <c r="V77" i="39"/>
  <c r="T77" i="39"/>
  <c r="W77" i="39" s="1"/>
  <c r="B77" i="39"/>
  <c r="A77" i="39" s="1"/>
  <c r="AC76" i="39"/>
  <c r="AB76" i="39"/>
  <c r="Y76" i="39"/>
  <c r="T76" i="39"/>
  <c r="B76" i="39"/>
  <c r="A76" i="39" s="1"/>
  <c r="AC75" i="39"/>
  <c r="AB75" i="39"/>
  <c r="Y75" i="39"/>
  <c r="Z75" i="39" s="1"/>
  <c r="T75" i="39"/>
  <c r="B75" i="39"/>
  <c r="A75" i="39" s="1"/>
  <c r="AA74" i="39"/>
  <c r="X74" i="39"/>
  <c r="U74" i="39"/>
  <c r="AC74" i="39" s="1"/>
  <c r="S74" i="39"/>
  <c r="S63" i="39" s="1"/>
  <c r="R74" i="39"/>
  <c r="Q74" i="39"/>
  <c r="P74" i="39"/>
  <c r="O74" i="39"/>
  <c r="N74" i="39"/>
  <c r="B74" i="39"/>
  <c r="A74" i="39" s="1"/>
  <c r="AC73" i="39"/>
  <c r="AB73" i="39"/>
  <c r="Y73" i="39"/>
  <c r="T73" i="39"/>
  <c r="B73" i="39"/>
  <c r="A73" i="39" s="1"/>
  <c r="AC72" i="39"/>
  <c r="AB72" i="39"/>
  <c r="Y72" i="39"/>
  <c r="Z72" i="39" s="1"/>
  <c r="T72" i="39"/>
  <c r="T71" i="39" s="1"/>
  <c r="W71" i="39" s="1"/>
  <c r="B72" i="39"/>
  <c r="A72" i="39" s="1"/>
  <c r="AA71" i="39"/>
  <c r="X71" i="39"/>
  <c r="U71" i="39"/>
  <c r="AC71" i="39" s="1"/>
  <c r="S71" i="39"/>
  <c r="R71" i="39"/>
  <c r="Q71" i="39"/>
  <c r="P71" i="39"/>
  <c r="O71" i="39"/>
  <c r="O63" i="39" s="1"/>
  <c r="O44" i="39" s="1"/>
  <c r="O43" i="39" s="1"/>
  <c r="N71" i="39"/>
  <c r="B71" i="39"/>
  <c r="A71" i="39" s="1"/>
  <c r="AC70" i="39"/>
  <c r="AB70" i="39"/>
  <c r="Y70" i="39"/>
  <c r="Z70" i="39" s="1"/>
  <c r="T70" i="39"/>
  <c r="B70" i="39"/>
  <c r="A70" i="39" s="1"/>
  <c r="AC69" i="39"/>
  <c r="AB69" i="39"/>
  <c r="Y69" i="39"/>
  <c r="Z69" i="39" s="1"/>
  <c r="T69" i="39"/>
  <c r="B69" i="39"/>
  <c r="A69" i="39" s="1"/>
  <c r="AC68" i="39"/>
  <c r="AB68" i="39"/>
  <c r="Z68" i="39"/>
  <c r="Y68" i="39"/>
  <c r="T68" i="39"/>
  <c r="V68" i="39" s="1"/>
  <c r="B68" i="39"/>
  <c r="A68" i="39" s="1"/>
  <c r="AC67" i="39"/>
  <c r="AB67" i="39"/>
  <c r="Y67" i="39"/>
  <c r="Z67" i="39" s="1"/>
  <c r="T67" i="39"/>
  <c r="V67" i="39" s="1"/>
  <c r="B67" i="39"/>
  <c r="A67" i="39" s="1"/>
  <c r="AC66" i="39"/>
  <c r="AB66" i="39"/>
  <c r="Y66" i="39"/>
  <c r="Z66" i="39" s="1"/>
  <c r="T66" i="39"/>
  <c r="B66" i="39"/>
  <c r="A66" i="39" s="1"/>
  <c r="AC65" i="39"/>
  <c r="AB65" i="39"/>
  <c r="Y65" i="39"/>
  <c r="Z65" i="39" s="1"/>
  <c r="T65" i="39"/>
  <c r="W65" i="39" s="1"/>
  <c r="B65" i="39"/>
  <c r="A65" i="39" s="1"/>
  <c r="AA64" i="39"/>
  <c r="AA63" i="39" s="1"/>
  <c r="X64" i="39"/>
  <c r="X63" i="39" s="1"/>
  <c r="U64" i="39"/>
  <c r="AC64" i="39" s="1"/>
  <c r="S64" i="39"/>
  <c r="R64" i="39"/>
  <c r="Q64" i="39"/>
  <c r="Q63" i="39" s="1"/>
  <c r="P64" i="39"/>
  <c r="O64" i="39"/>
  <c r="N64" i="39"/>
  <c r="N63" i="39" s="1"/>
  <c r="B64" i="39"/>
  <c r="A64" i="39" s="1"/>
  <c r="R63" i="39"/>
  <c r="B63" i="39"/>
  <c r="A63" i="39" s="1"/>
  <c r="AC62" i="39"/>
  <c r="AB62" i="39"/>
  <c r="Y62" i="39"/>
  <c r="Z62" i="39" s="1"/>
  <c r="W62" i="39"/>
  <c r="V62" i="39"/>
  <c r="T62" i="39"/>
  <c r="R62" i="39"/>
  <c r="B62" i="39"/>
  <c r="A62" i="39" s="1"/>
  <c r="AC61" i="39"/>
  <c r="AB61" i="39"/>
  <c r="Z61" i="39"/>
  <c r="Y61" i="39"/>
  <c r="B61" i="39"/>
  <c r="A61" i="39" s="1"/>
  <c r="N61" i="39" s="1"/>
  <c r="T61" i="39" s="1"/>
  <c r="AC60" i="39"/>
  <c r="AB60" i="39"/>
  <c r="AB58" i="39" s="1"/>
  <c r="Z60" i="39"/>
  <c r="Y60" i="39"/>
  <c r="B60" i="39"/>
  <c r="A60" i="39"/>
  <c r="N60" i="39" s="1"/>
  <c r="AC59" i="39"/>
  <c r="AB59" i="39"/>
  <c r="Z59" i="39"/>
  <c r="Y59" i="39"/>
  <c r="T59" i="39"/>
  <c r="B59" i="39"/>
  <c r="A59" i="39" s="1"/>
  <c r="AA58" i="39"/>
  <c r="X58" i="39"/>
  <c r="U58" i="39"/>
  <c r="S58" i="39"/>
  <c r="R58" i="39"/>
  <c r="Q58" i="39"/>
  <c r="P58" i="39"/>
  <c r="O58" i="39"/>
  <c r="B58" i="39"/>
  <c r="A58" i="39"/>
  <c r="AC57" i="39"/>
  <c r="AB57" i="39"/>
  <c r="Y57" i="39"/>
  <c r="Z57" i="39" s="1"/>
  <c r="W57" i="39"/>
  <c r="V57" i="39"/>
  <c r="T57" i="39"/>
  <c r="B57" i="39"/>
  <c r="A57" i="39" s="1"/>
  <c r="AC56" i="39"/>
  <c r="AB56" i="39"/>
  <c r="Z56" i="39"/>
  <c r="Y56" i="39"/>
  <c r="T56" i="39"/>
  <c r="B56" i="39"/>
  <c r="A56" i="39" s="1"/>
  <c r="AC55" i="39"/>
  <c r="AB55" i="39"/>
  <c r="Z55" i="39"/>
  <c r="Y55" i="39"/>
  <c r="V55" i="39"/>
  <c r="T55" i="39"/>
  <c r="W55" i="39" s="1"/>
  <c r="B55" i="39"/>
  <c r="A55" i="39" s="1"/>
  <c r="AC54" i="39"/>
  <c r="AB54" i="39"/>
  <c r="Z54" i="39"/>
  <c r="Y54" i="39"/>
  <c r="W54" i="39"/>
  <c r="V54" i="39"/>
  <c r="T54" i="39"/>
  <c r="B54" i="39"/>
  <c r="A54" i="39"/>
  <c r="AC53" i="39"/>
  <c r="AB53" i="39"/>
  <c r="Y53" i="39"/>
  <c r="Z53" i="39" s="1"/>
  <c r="W53" i="39"/>
  <c r="V53" i="39"/>
  <c r="T53" i="39"/>
  <c r="B53" i="39"/>
  <c r="A53" i="39" s="1"/>
  <c r="AC52" i="39"/>
  <c r="AB52" i="39"/>
  <c r="AB51" i="39" s="1"/>
  <c r="Y52" i="39"/>
  <c r="Z52" i="39" s="1"/>
  <c r="T52" i="39"/>
  <c r="B52" i="39"/>
  <c r="A52" i="39" s="1"/>
  <c r="AA51" i="39"/>
  <c r="X51" i="39"/>
  <c r="U51" i="39"/>
  <c r="S51" i="39"/>
  <c r="R51" i="39"/>
  <c r="Q51" i="39"/>
  <c r="P51" i="39"/>
  <c r="O51" i="39"/>
  <c r="N51" i="39"/>
  <c r="B51" i="39"/>
  <c r="A51" i="39" s="1"/>
  <c r="AC50" i="39"/>
  <c r="AB50" i="39"/>
  <c r="AB49" i="39" s="1"/>
  <c r="Z50" i="39"/>
  <c r="Y50" i="39"/>
  <c r="Y49" i="39" s="1"/>
  <c r="T50" i="39"/>
  <c r="V50" i="39" s="1"/>
  <c r="V49" i="39" s="1"/>
  <c r="B50" i="39"/>
  <c r="A50" i="39" s="1"/>
  <c r="AA49" i="39"/>
  <c r="X49" i="39"/>
  <c r="U49" i="39"/>
  <c r="AC49" i="39" s="1"/>
  <c r="T49" i="39"/>
  <c r="W49" i="39" s="1"/>
  <c r="S49" i="39"/>
  <c r="R49" i="39"/>
  <c r="Q49" i="39"/>
  <c r="Q45" i="39" s="1"/>
  <c r="Q44" i="39" s="1"/>
  <c r="Q43" i="39" s="1"/>
  <c r="P49" i="39"/>
  <c r="O49" i="39"/>
  <c r="N49" i="39"/>
  <c r="B49" i="39"/>
  <c r="A49" i="39"/>
  <c r="AC48" i="39"/>
  <c r="AB48" i="39"/>
  <c r="Z48" i="39"/>
  <c r="Y48" i="39"/>
  <c r="T48" i="39"/>
  <c r="W48" i="39" s="1"/>
  <c r="B48" i="39"/>
  <c r="A48" i="39" s="1"/>
  <c r="AC47" i="39"/>
  <c r="AB47" i="39"/>
  <c r="Z47" i="39"/>
  <c r="Y47" i="39"/>
  <c r="T47" i="39"/>
  <c r="V47" i="39" s="1"/>
  <c r="B47" i="39"/>
  <c r="A47" i="39" s="1"/>
  <c r="AA46" i="39"/>
  <c r="Z46" i="39"/>
  <c r="X46" i="39"/>
  <c r="U46" i="39"/>
  <c r="AC46" i="39" s="1"/>
  <c r="T46" i="39"/>
  <c r="W46" i="39" s="1"/>
  <c r="S46" i="39"/>
  <c r="S45" i="39" s="1"/>
  <c r="R46" i="39"/>
  <c r="Q46" i="39"/>
  <c r="P46" i="39"/>
  <c r="O46" i="39"/>
  <c r="O45" i="39" s="1"/>
  <c r="N46" i="39"/>
  <c r="B46" i="39"/>
  <c r="A46" i="39"/>
  <c r="U45" i="39"/>
  <c r="B45" i="39"/>
  <c r="A45" i="39" s="1"/>
  <c r="B44" i="39"/>
  <c r="A44" i="39" s="1"/>
  <c r="B43" i="39"/>
  <c r="A43" i="39"/>
  <c r="AC42" i="39"/>
  <c r="AB42" i="39"/>
  <c r="Y42" i="39"/>
  <c r="Z42" i="39" s="1"/>
  <c r="T42" i="39"/>
  <c r="B42" i="39"/>
  <c r="A42" i="39" s="1"/>
  <c r="AC41" i="39"/>
  <c r="AB41" i="39"/>
  <c r="Z41" i="39"/>
  <c r="Y41" i="39"/>
  <c r="T41" i="39"/>
  <c r="W41" i="39" s="1"/>
  <c r="B41" i="39"/>
  <c r="A41" i="39" s="1"/>
  <c r="AC40" i="39"/>
  <c r="AB40" i="39"/>
  <c r="Z40" i="39"/>
  <c r="Y40" i="39"/>
  <c r="W40" i="39"/>
  <c r="V40" i="39"/>
  <c r="T40" i="39"/>
  <c r="B40" i="39"/>
  <c r="A40" i="39"/>
  <c r="AC39" i="39"/>
  <c r="AB39" i="39"/>
  <c r="Y39" i="39"/>
  <c r="Z39" i="39" s="1"/>
  <c r="W39" i="39"/>
  <c r="V39" i="39"/>
  <c r="T39" i="39"/>
  <c r="B39" i="39"/>
  <c r="A39" i="39"/>
  <c r="AC38" i="39"/>
  <c r="AB38" i="39"/>
  <c r="Y38" i="39"/>
  <c r="Z38" i="39" s="1"/>
  <c r="T38" i="39"/>
  <c r="B38" i="39"/>
  <c r="A38" i="39" s="1"/>
  <c r="AC37" i="39"/>
  <c r="AB37" i="39"/>
  <c r="Z37" i="39"/>
  <c r="Y37" i="39"/>
  <c r="T37" i="39"/>
  <c r="B37" i="39"/>
  <c r="A37" i="39" s="1"/>
  <c r="AC36" i="39"/>
  <c r="AB36" i="39"/>
  <c r="Y36" i="39"/>
  <c r="Z36" i="39" s="1"/>
  <c r="W36" i="39"/>
  <c r="V36" i="39"/>
  <c r="T36" i="39"/>
  <c r="B36" i="39"/>
  <c r="A36" i="39"/>
  <c r="AC35" i="39"/>
  <c r="AB35" i="39"/>
  <c r="Y35" i="39"/>
  <c r="W35" i="39"/>
  <c r="V35" i="39"/>
  <c r="T35" i="39"/>
  <c r="B35" i="39"/>
  <c r="A35" i="39"/>
  <c r="AA34" i="39"/>
  <c r="AA33" i="39" s="1"/>
  <c r="X34" i="39"/>
  <c r="U34" i="39"/>
  <c r="AC34" i="39" s="1"/>
  <c r="S34" i="39"/>
  <c r="S33" i="39" s="1"/>
  <c r="R34" i="39"/>
  <c r="R33" i="39" s="1"/>
  <c r="Q34" i="39"/>
  <c r="P34" i="39"/>
  <c r="O34" i="39"/>
  <c r="O33" i="39" s="1"/>
  <c r="N34" i="39"/>
  <c r="N33" i="39" s="1"/>
  <c r="B34" i="39"/>
  <c r="A34" i="39" s="1"/>
  <c r="X33" i="39"/>
  <c r="Q33" i="39"/>
  <c r="P33" i="39"/>
  <c r="B33" i="39"/>
  <c r="A33" i="39" s="1"/>
  <c r="AC32" i="39"/>
  <c r="AB32" i="39"/>
  <c r="Y32" i="39"/>
  <c r="Z32" i="39" s="1"/>
  <c r="T32" i="39"/>
  <c r="B32" i="39"/>
  <c r="A32" i="39" s="1"/>
  <c r="AC31" i="39"/>
  <c r="AB31" i="39"/>
  <c r="Z31" i="39"/>
  <c r="Y31" i="39"/>
  <c r="T31" i="39"/>
  <c r="W31" i="39" s="1"/>
  <c r="B31" i="39"/>
  <c r="A31" i="39" s="1"/>
  <c r="AC30" i="39"/>
  <c r="AB30" i="39"/>
  <c r="Z30" i="39"/>
  <c r="Y30" i="39"/>
  <c r="T30" i="39"/>
  <c r="V30" i="39" s="1"/>
  <c r="B30" i="39"/>
  <c r="A30" i="39"/>
  <c r="AC29" i="39"/>
  <c r="AB29" i="39"/>
  <c r="Y29" i="39"/>
  <c r="Z29" i="39" s="1"/>
  <c r="W29" i="39"/>
  <c r="V29" i="39"/>
  <c r="T29" i="39"/>
  <c r="B29" i="39"/>
  <c r="A29" i="39" s="1"/>
  <c r="AC28" i="39"/>
  <c r="AB28" i="39"/>
  <c r="Y28" i="39"/>
  <c r="Z28" i="39" s="1"/>
  <c r="T28" i="39"/>
  <c r="V28" i="39" s="1"/>
  <c r="B28" i="39"/>
  <c r="A28" i="39" s="1"/>
  <c r="AC27" i="39"/>
  <c r="AB27" i="39"/>
  <c r="Y27" i="39"/>
  <c r="Z27" i="39" s="1"/>
  <c r="T27" i="39"/>
  <c r="W27" i="39" s="1"/>
  <c r="B27" i="39"/>
  <c r="A27" i="39" s="1"/>
  <c r="AC26" i="39"/>
  <c r="AB26" i="39"/>
  <c r="Y26" i="39"/>
  <c r="Z26" i="39" s="1"/>
  <c r="T26" i="39"/>
  <c r="V26" i="39" s="1"/>
  <c r="B26" i="39"/>
  <c r="A26" i="39"/>
  <c r="AC25" i="39"/>
  <c r="AB25" i="39"/>
  <c r="Y25" i="39"/>
  <c r="Z25" i="39" s="1"/>
  <c r="W25" i="39"/>
  <c r="V25" i="39"/>
  <c r="T25" i="39"/>
  <c r="B25" i="39"/>
  <c r="A25" i="39" s="1"/>
  <c r="AC24" i="39"/>
  <c r="AB24" i="39"/>
  <c r="Z24" i="39"/>
  <c r="Y24" i="39"/>
  <c r="T24" i="39"/>
  <c r="V24" i="39" s="1"/>
  <c r="B24" i="39"/>
  <c r="A24" i="39" s="1"/>
  <c r="AA23" i="39"/>
  <c r="X23" i="39"/>
  <c r="U23" i="39"/>
  <c r="AC23" i="39" s="1"/>
  <c r="S23" i="39"/>
  <c r="R23" i="39"/>
  <c r="Q23" i="39"/>
  <c r="P23" i="39"/>
  <c r="O23" i="39"/>
  <c r="N23" i="39"/>
  <c r="B23" i="39"/>
  <c r="A23" i="39" s="1"/>
  <c r="AC22" i="39"/>
  <c r="AB22" i="39"/>
  <c r="Y22" i="39"/>
  <c r="Z22" i="39" s="1"/>
  <c r="T22" i="39"/>
  <c r="W22" i="39" s="1"/>
  <c r="B22" i="39"/>
  <c r="A22" i="39" s="1"/>
  <c r="AC21" i="39"/>
  <c r="AB21" i="39"/>
  <c r="Y21" i="39"/>
  <c r="Z21" i="39" s="1"/>
  <c r="W21" i="39"/>
  <c r="T21" i="39"/>
  <c r="V21" i="39" s="1"/>
  <c r="B21" i="39"/>
  <c r="A21" i="39"/>
  <c r="AC20" i="39"/>
  <c r="AB20" i="39"/>
  <c r="Y20" i="39"/>
  <c r="Z20" i="39" s="1"/>
  <c r="V20" i="39"/>
  <c r="T20" i="39"/>
  <c r="W20" i="39" s="1"/>
  <c r="B20" i="39"/>
  <c r="A20" i="39" s="1"/>
  <c r="AC19" i="39"/>
  <c r="AB19" i="39"/>
  <c r="Z19" i="39"/>
  <c r="Y19" i="39"/>
  <c r="T19" i="39"/>
  <c r="V19" i="39" s="1"/>
  <c r="B19" i="39"/>
  <c r="A19" i="39" s="1"/>
  <c r="AC18" i="39"/>
  <c r="AB18" i="39"/>
  <c r="Y18" i="39"/>
  <c r="Z18" i="39" s="1"/>
  <c r="T18" i="39"/>
  <c r="W18" i="39" s="1"/>
  <c r="B18" i="39"/>
  <c r="A18" i="39" s="1"/>
  <c r="AC17" i="39"/>
  <c r="AB17" i="39"/>
  <c r="Y17" i="39"/>
  <c r="Z17" i="39" s="1"/>
  <c r="T17" i="39"/>
  <c r="V17" i="39" s="1"/>
  <c r="B17" i="39"/>
  <c r="A17" i="39"/>
  <c r="AC16" i="39"/>
  <c r="AB16" i="39"/>
  <c r="Y16" i="39"/>
  <c r="Z16" i="39" s="1"/>
  <c r="T16" i="39"/>
  <c r="W16" i="39" s="1"/>
  <c r="B16" i="39"/>
  <c r="A16" i="39" s="1"/>
  <c r="AC15" i="39"/>
  <c r="AB15" i="39"/>
  <c r="Z15" i="39"/>
  <c r="Y15" i="39"/>
  <c r="T15" i="39"/>
  <c r="V15" i="39" s="1"/>
  <c r="B15" i="39"/>
  <c r="A15" i="39"/>
  <c r="AC14" i="39"/>
  <c r="AB14" i="39"/>
  <c r="Y14" i="39"/>
  <c r="W14" i="39"/>
  <c r="V14" i="39"/>
  <c r="T14" i="39"/>
  <c r="B14" i="39"/>
  <c r="A14" i="39" s="1"/>
  <c r="AC13" i="39"/>
  <c r="AB13" i="39"/>
  <c r="Y13" i="39"/>
  <c r="Z13" i="39" s="1"/>
  <c r="T13" i="39"/>
  <c r="V13" i="39" s="1"/>
  <c r="B13" i="39"/>
  <c r="A13" i="39" s="1"/>
  <c r="AA12" i="39"/>
  <c r="X12" i="39"/>
  <c r="U12" i="39"/>
  <c r="S12" i="39"/>
  <c r="S11" i="39" s="1"/>
  <c r="S10" i="39" s="1"/>
  <c r="S9" i="39" s="1"/>
  <c r="R12" i="39"/>
  <c r="R11" i="39" s="1"/>
  <c r="R10" i="39" s="1"/>
  <c r="R9" i="39" s="1"/>
  <c r="Q12" i="39"/>
  <c r="P12" i="39"/>
  <c r="P11" i="39" s="1"/>
  <c r="O12" i="39"/>
  <c r="N12" i="39"/>
  <c r="N11" i="39" s="1"/>
  <c r="N10" i="39" s="1"/>
  <c r="N9" i="39" s="1"/>
  <c r="B12" i="39"/>
  <c r="A12" i="39" s="1"/>
  <c r="AA11" i="39"/>
  <c r="X11" i="39"/>
  <c r="X10" i="39" s="1"/>
  <c r="X9" i="39" s="1"/>
  <c r="U11" i="39"/>
  <c r="Q11" i="39"/>
  <c r="O11" i="39"/>
  <c r="O10" i="39" s="1"/>
  <c r="O9" i="39" s="1"/>
  <c r="B11" i="39"/>
  <c r="A11" i="39" s="1"/>
  <c r="AA10" i="39"/>
  <c r="B10" i="39"/>
  <c r="A10" i="39"/>
  <c r="AA9" i="39"/>
  <c r="B9" i="39"/>
  <c r="A9" i="39"/>
  <c r="A8" i="39"/>
  <c r="S44" i="39" l="1"/>
  <c r="S43" i="39" s="1"/>
  <c r="S8" i="39" s="1"/>
  <c r="AB45" i="39"/>
  <c r="W186" i="39"/>
  <c r="T181" i="39"/>
  <c r="P45" i="39"/>
  <c r="W100" i="39"/>
  <c r="T99" i="39"/>
  <c r="AC167" i="39"/>
  <c r="V16" i="39"/>
  <c r="V12" i="39" s="1"/>
  <c r="V11" i="39" s="1"/>
  <c r="Z49" i="39"/>
  <c r="Y58" i="39"/>
  <c r="Z58" i="39" s="1"/>
  <c r="T74" i="39"/>
  <c r="W74" i="39" s="1"/>
  <c r="R88" i="39"/>
  <c r="Y94" i="39"/>
  <c r="Y93" i="39" s="1"/>
  <c r="Y92" i="39" s="1"/>
  <c r="V95" i="39"/>
  <c r="V100" i="39"/>
  <c r="V99" i="39" s="1"/>
  <c r="V98" i="39" s="1"/>
  <c r="W137" i="39"/>
  <c r="V137" i="39"/>
  <c r="AA148" i="39"/>
  <c r="AC148" i="39" s="1"/>
  <c r="AA157" i="39"/>
  <c r="AC158" i="39"/>
  <c r="Q164" i="39"/>
  <c r="W191" i="39"/>
  <c r="P10" i="39"/>
  <c r="P9" i="39" s="1"/>
  <c r="T12" i="39"/>
  <c r="W12" i="39" s="1"/>
  <c r="AB12" i="39"/>
  <c r="AB11" i="39" s="1"/>
  <c r="V18" i="39"/>
  <c r="V22" i="39"/>
  <c r="V27" i="39"/>
  <c r="Q10" i="39"/>
  <c r="Q9" i="39" s="1"/>
  <c r="W47" i="39"/>
  <c r="V48" i="39"/>
  <c r="V46" i="39" s="1"/>
  <c r="AB46" i="39"/>
  <c r="W50" i="39"/>
  <c r="W67" i="39"/>
  <c r="W68" i="39"/>
  <c r="V78" i="39"/>
  <c r="O88" i="39"/>
  <c r="Y101" i="39"/>
  <c r="W104" i="39"/>
  <c r="V104" i="39"/>
  <c r="Q112" i="39"/>
  <c r="AC113" i="39"/>
  <c r="U112" i="39"/>
  <c r="AC112" i="39" s="1"/>
  <c r="W116" i="39"/>
  <c r="W124" i="39"/>
  <c r="W133" i="39"/>
  <c r="V133" i="39"/>
  <c r="V132" i="39" s="1"/>
  <c r="T136" i="39"/>
  <c r="W136" i="39" s="1"/>
  <c r="W138" i="39"/>
  <c r="V138" i="39"/>
  <c r="V136" i="39" s="1"/>
  <c r="O148" i="39"/>
  <c r="S148" i="39"/>
  <c r="W152" i="39"/>
  <c r="V152" i="39"/>
  <c r="V151" i="39" s="1"/>
  <c r="O157" i="39"/>
  <c r="S169" i="39"/>
  <c r="AA169" i="39"/>
  <c r="W175" i="39"/>
  <c r="Y182" i="39"/>
  <c r="Z182" i="39" s="1"/>
  <c r="X45" i="39"/>
  <c r="X44" i="39" s="1"/>
  <c r="X43" i="39" s="1"/>
  <c r="X8" i="39" s="1"/>
  <c r="W82" i="39"/>
  <c r="T81" i="39"/>
  <c r="W81" i="39" s="1"/>
  <c r="W143" i="39"/>
  <c r="V143" i="39"/>
  <c r="W163" i="39"/>
  <c r="V163" i="39"/>
  <c r="V162" i="39" s="1"/>
  <c r="V31" i="39"/>
  <c r="AC11" i="39"/>
  <c r="AC12" i="39"/>
  <c r="T23" i="39"/>
  <c r="W23" i="39" s="1"/>
  <c r="AB23" i="39"/>
  <c r="U33" i="39"/>
  <c r="AC33" i="39" s="1"/>
  <c r="R45" i="39"/>
  <c r="R44" i="39" s="1"/>
  <c r="R43" i="39" s="1"/>
  <c r="R8" i="39" s="1"/>
  <c r="Y46" i="39"/>
  <c r="AB64" i="39"/>
  <c r="AB71" i="39"/>
  <c r="AB74" i="39"/>
  <c r="AA88" i="39"/>
  <c r="Z103" i="39"/>
  <c r="T115" i="39"/>
  <c r="W115" i="39" s="1"/>
  <c r="AC121" i="39"/>
  <c r="T123" i="39"/>
  <c r="W123" i="39" s="1"/>
  <c r="W127" i="39"/>
  <c r="V127" i="39"/>
  <c r="V126" i="39" s="1"/>
  <c r="AC128" i="39"/>
  <c r="O125" i="39"/>
  <c r="Z135" i="39"/>
  <c r="Y134" i="39"/>
  <c r="V148" i="39"/>
  <c r="AB148" i="39"/>
  <c r="Z154" i="39"/>
  <c r="Y153" i="39"/>
  <c r="Z153" i="39" s="1"/>
  <c r="AB158" i="39"/>
  <c r="AB157" i="39" s="1"/>
  <c r="AB140" i="39" s="1"/>
  <c r="AB139" i="39" s="1"/>
  <c r="Y157" i="39"/>
  <c r="T167" i="39"/>
  <c r="W167" i="39" s="1"/>
  <c r="V168" i="39"/>
  <c r="V167" i="39" s="1"/>
  <c r="V164" i="39" s="1"/>
  <c r="Z170" i="39"/>
  <c r="AC170" i="39"/>
  <c r="Z171" i="39"/>
  <c r="Y170" i="39"/>
  <c r="T174" i="39"/>
  <c r="W174" i="39" s="1"/>
  <c r="W179" i="39"/>
  <c r="W184" i="39"/>
  <c r="Z90" i="39"/>
  <c r="AA101" i="39"/>
  <c r="AB103" i="39"/>
  <c r="AB102" i="39" s="1"/>
  <c r="AB101" i="39" s="1"/>
  <c r="N112" i="39"/>
  <c r="R112" i="39"/>
  <c r="Z119" i="39"/>
  <c r="AA125" i="39"/>
  <c r="AA111" i="39" s="1"/>
  <c r="AA110" i="39" s="1"/>
  <c r="Z146" i="39"/>
  <c r="Z162" i="39"/>
  <c r="AC162" i="39"/>
  <c r="R164" i="39"/>
  <c r="AC174" i="39"/>
  <c r="X169" i="39"/>
  <c r="Q181" i="39"/>
  <c r="Q140" i="39" s="1"/>
  <c r="Q139" i="39" s="1"/>
  <c r="AC182" i="39"/>
  <c r="AB81" i="39"/>
  <c r="X88" i="39"/>
  <c r="P101" i="39"/>
  <c r="Q101" i="39"/>
  <c r="V108" i="39"/>
  <c r="V107" i="39" s="1"/>
  <c r="O112" i="39"/>
  <c r="O111" i="39" s="1"/>
  <c r="O110" i="39" s="1"/>
  <c r="S112" i="39"/>
  <c r="S111" i="39" s="1"/>
  <c r="S110" i="39" s="1"/>
  <c r="X112" i="39"/>
  <c r="AC119" i="39"/>
  <c r="V120" i="39"/>
  <c r="V119" i="39" s="1"/>
  <c r="T128" i="39"/>
  <c r="W128" i="39" s="1"/>
  <c r="Z131" i="39"/>
  <c r="X125" i="39"/>
  <c r="P141" i="39"/>
  <c r="AB181" i="39"/>
  <c r="O181" i="39"/>
  <c r="S181" i="39"/>
  <c r="S140" i="39" s="1"/>
  <c r="S139" i="39" s="1"/>
  <c r="S109" i="39" s="1"/>
  <c r="S193" i="39" s="1"/>
  <c r="S197" i="39" s="1"/>
  <c r="X181" i="39"/>
  <c r="W15" i="39"/>
  <c r="W56" i="39"/>
  <c r="V56" i="39"/>
  <c r="W13" i="39"/>
  <c r="W30" i="39"/>
  <c r="O8" i="39"/>
  <c r="T60" i="39"/>
  <c r="N58" i="39"/>
  <c r="N45" i="39" s="1"/>
  <c r="N44" i="39" s="1"/>
  <c r="N43" i="39" s="1"/>
  <c r="W69" i="39"/>
  <c r="T64" i="39"/>
  <c r="V69" i="39"/>
  <c r="W72" i="39"/>
  <c r="V72" i="39"/>
  <c r="W75" i="39"/>
  <c r="V75" i="39"/>
  <c r="W96" i="39"/>
  <c r="V96" i="39"/>
  <c r="W106" i="39"/>
  <c r="V106" i="39"/>
  <c r="V103" i="39" s="1"/>
  <c r="V102" i="39" s="1"/>
  <c r="W147" i="39"/>
  <c r="V147" i="39"/>
  <c r="V146" i="39" s="1"/>
  <c r="T146" i="39"/>
  <c r="W146" i="39" s="1"/>
  <c r="U164" i="39"/>
  <c r="Z165" i="39"/>
  <c r="AC165" i="39"/>
  <c r="T11" i="39"/>
  <c r="W26" i="39"/>
  <c r="Y71" i="39"/>
  <c r="Z71" i="39" s="1"/>
  <c r="Z73" i="39"/>
  <c r="Y74" i="39"/>
  <c r="Z76" i="39"/>
  <c r="W19" i="39"/>
  <c r="W24" i="39"/>
  <c r="Z14" i="39"/>
  <c r="Y12" i="39"/>
  <c r="W17" i="39"/>
  <c r="Y23" i="39"/>
  <c r="Z23" i="39" s="1"/>
  <c r="W28" i="39"/>
  <c r="U10" i="39"/>
  <c r="W37" i="39"/>
  <c r="T34" i="39"/>
  <c r="V37" i="39"/>
  <c r="V34" i="39" s="1"/>
  <c r="T97" i="39"/>
  <c r="N94" i="39"/>
  <c r="N93" i="39" s="1"/>
  <c r="N92" i="39" s="1"/>
  <c r="N88" i="39" s="1"/>
  <c r="U98" i="39"/>
  <c r="Z99" i="39"/>
  <c r="AC99" i="39"/>
  <c r="W61" i="39"/>
  <c r="V61" i="39"/>
  <c r="AB34" i="39"/>
  <c r="AB33" i="39" s="1"/>
  <c r="AB10" i="39" s="1"/>
  <c r="AB9" i="39" s="1"/>
  <c r="W42" i="39"/>
  <c r="V42" i="39"/>
  <c r="AA45" i="39"/>
  <c r="AA44" i="39" s="1"/>
  <c r="AA43" i="39" s="1"/>
  <c r="AC58" i="39"/>
  <c r="Y64" i="39"/>
  <c r="Y63" i="39" s="1"/>
  <c r="W66" i="39"/>
  <c r="V66" i="39"/>
  <c r="Z74" i="39"/>
  <c r="W80" i="39"/>
  <c r="V80" i="39"/>
  <c r="Y81" i="39"/>
  <c r="W83" i="39"/>
  <c r="V83" i="39"/>
  <c r="AC89" i="39"/>
  <c r="T103" i="39"/>
  <c r="AC107" i="39"/>
  <c r="T158" i="39"/>
  <c r="W159" i="39"/>
  <c r="V159" i="39"/>
  <c r="P63" i="39"/>
  <c r="P44" i="39" s="1"/>
  <c r="P43" i="39" s="1"/>
  <c r="P8" i="39" s="1"/>
  <c r="W91" i="39"/>
  <c r="V91" i="39"/>
  <c r="V90" i="39" s="1"/>
  <c r="V89" i="39" s="1"/>
  <c r="U93" i="39"/>
  <c r="Z94" i="39"/>
  <c r="R111" i="39"/>
  <c r="R110" i="39" s="1"/>
  <c r="Z114" i="39"/>
  <c r="Y113" i="39"/>
  <c r="W32" i="39"/>
  <c r="V32" i="39"/>
  <c r="V23" i="39" s="1"/>
  <c r="AC45" i="39"/>
  <c r="W52" i="39"/>
  <c r="V52" i="39"/>
  <c r="V51" i="39" s="1"/>
  <c r="Y34" i="39"/>
  <c r="Z35" i="39"/>
  <c r="W38" i="39"/>
  <c r="V38" i="39"/>
  <c r="V41" i="39"/>
  <c r="T51" i="39"/>
  <c r="Y51" i="39"/>
  <c r="Y45" i="39" s="1"/>
  <c r="W59" i="39"/>
  <c r="V59" i="39"/>
  <c r="U63" i="39"/>
  <c r="U44" i="39" s="1"/>
  <c r="V65" i="39"/>
  <c r="V64" i="39" s="1"/>
  <c r="W70" i="39"/>
  <c r="V70" i="39"/>
  <c r="W73" i="39"/>
  <c r="V73" i="39"/>
  <c r="W76" i="39"/>
  <c r="V76" i="39"/>
  <c r="V79" i="39"/>
  <c r="Z81" i="39"/>
  <c r="V82" i="39"/>
  <c r="V81" i="39" s="1"/>
  <c r="W87" i="39"/>
  <c r="Q88" i="39"/>
  <c r="Q8" i="39" s="1"/>
  <c r="Y88" i="39"/>
  <c r="AC94" i="39"/>
  <c r="W99" i="39"/>
  <c r="Z126" i="39"/>
  <c r="Z134" i="39"/>
  <c r="X141" i="39"/>
  <c r="AC51" i="39"/>
  <c r="T98" i="39"/>
  <c r="W98" i="39" s="1"/>
  <c r="U102" i="39"/>
  <c r="W105" i="39"/>
  <c r="W113" i="39"/>
  <c r="W118" i="39"/>
  <c r="V118" i="39"/>
  <c r="V117" i="39" s="1"/>
  <c r="Z121" i="39"/>
  <c r="W131" i="39"/>
  <c r="V131" i="39"/>
  <c r="V130" i="39" s="1"/>
  <c r="V125" i="39" s="1"/>
  <c r="N125" i="39"/>
  <c r="N111" i="39" s="1"/>
  <c r="N110" i="39" s="1"/>
  <c r="R125" i="39"/>
  <c r="AA140" i="39"/>
  <c r="AA139" i="39" s="1"/>
  <c r="Y142" i="39"/>
  <c r="Y141" i="39" s="1"/>
  <c r="W144" i="39"/>
  <c r="V144" i="39"/>
  <c r="V142" i="39" s="1"/>
  <c r="N148" i="39"/>
  <c r="N140" i="39" s="1"/>
  <c r="N139" i="39" s="1"/>
  <c r="R148" i="39"/>
  <c r="R140" i="39" s="1"/>
  <c r="R139" i="39" s="1"/>
  <c r="U169" i="39"/>
  <c r="W172" i="39"/>
  <c r="AC172" i="39"/>
  <c r="Z172" i="39"/>
  <c r="T117" i="39"/>
  <c r="T119" i="39"/>
  <c r="W119" i="39" s="1"/>
  <c r="T130" i="39"/>
  <c r="Z130" i="39"/>
  <c r="W132" i="39"/>
  <c r="Y136" i="39"/>
  <c r="Z136" i="39" s="1"/>
  <c r="Z137" i="39"/>
  <c r="T142" i="39"/>
  <c r="Y115" i="39"/>
  <c r="Z115" i="39" s="1"/>
  <c r="Z116" i="39"/>
  <c r="Y123" i="39"/>
  <c r="Z123" i="39" s="1"/>
  <c r="Z124" i="39"/>
  <c r="W126" i="39"/>
  <c r="Y128" i="39"/>
  <c r="Z128" i="39" s="1"/>
  <c r="Z129" i="39"/>
  <c r="Q125" i="39"/>
  <c r="Q111" i="39" s="1"/>
  <c r="Q110" i="39" s="1"/>
  <c r="Z132" i="39"/>
  <c r="U125" i="39"/>
  <c r="W134" i="39"/>
  <c r="AC136" i="39"/>
  <c r="AB136" i="39"/>
  <c r="AB125" i="39" s="1"/>
  <c r="AB111" i="39" s="1"/>
  <c r="AB110" i="39" s="1"/>
  <c r="O140" i="39"/>
  <c r="O139" i="39" s="1"/>
  <c r="O109" i="39" s="1"/>
  <c r="U141" i="39"/>
  <c r="Z142" i="39"/>
  <c r="W161" i="39"/>
  <c r="V161" i="39"/>
  <c r="W177" i="39"/>
  <c r="V177" i="39"/>
  <c r="V176" i="39" s="1"/>
  <c r="V169" i="39" s="1"/>
  <c r="T176" i="39"/>
  <c r="U189" i="39"/>
  <c r="AC117" i="39"/>
  <c r="T149" i="39"/>
  <c r="W151" i="39"/>
  <c r="AC153" i="39"/>
  <c r="W162" i="39"/>
  <c r="W187" i="39"/>
  <c r="V187" i="39"/>
  <c r="V186" i="39" s="1"/>
  <c r="V181" i="39" s="1"/>
  <c r="AC191" i="39"/>
  <c r="Y191" i="39"/>
  <c r="Z192" i="39"/>
  <c r="AC149" i="39"/>
  <c r="Z149" i="39"/>
  <c r="Z151" i="39"/>
  <c r="W153" i="39"/>
  <c r="Y155" i="39"/>
  <c r="Z156" i="39"/>
  <c r="Z157" i="39"/>
  <c r="AC157" i="39"/>
  <c r="Z158" i="39"/>
  <c r="Y164" i="39"/>
  <c r="W170" i="39"/>
  <c r="P169" i="39"/>
  <c r="P140" i="39" s="1"/>
  <c r="P139" i="39" s="1"/>
  <c r="P109" i="39" s="1"/>
  <c r="AB169" i="39"/>
  <c r="Y179" i="39"/>
  <c r="Z180" i="39"/>
  <c r="AC155" i="39"/>
  <c r="W160" i="39"/>
  <c r="V160" i="39"/>
  <c r="W165" i="39"/>
  <c r="T164" i="39"/>
  <c r="Y174" i="39"/>
  <c r="Z175" i="39"/>
  <c r="Y184" i="39"/>
  <c r="Z184" i="39" s="1"/>
  <c r="Z185" i="39"/>
  <c r="W190" i="39"/>
  <c r="AC176" i="39"/>
  <c r="U181" i="39"/>
  <c r="T189" i="39"/>
  <c r="N8" i="39" l="1"/>
  <c r="AA109" i="39"/>
  <c r="V141" i="39"/>
  <c r="Q109" i="39"/>
  <c r="X140" i="39"/>
  <c r="X139" i="39" s="1"/>
  <c r="AA8" i="39"/>
  <c r="V101" i="39"/>
  <c r="X111" i="39"/>
  <c r="X110" i="39" s="1"/>
  <c r="AB63" i="39"/>
  <c r="AB44" i="39" s="1"/>
  <c r="AB43" i="39" s="1"/>
  <c r="AB8" i="39" s="1"/>
  <c r="AB193" i="39" s="1"/>
  <c r="AB197" i="39" s="1"/>
  <c r="V112" i="39"/>
  <c r="V111" i="39" s="1"/>
  <c r="V110" i="39" s="1"/>
  <c r="P193" i="39"/>
  <c r="P197" i="39" s="1"/>
  <c r="AB109" i="39"/>
  <c r="Q193" i="39"/>
  <c r="Q197" i="39" s="1"/>
  <c r="AC125" i="39"/>
  <c r="Z64" i="39"/>
  <c r="Y44" i="39"/>
  <c r="Y43" i="39" s="1"/>
  <c r="Y112" i="39"/>
  <c r="Z113" i="39"/>
  <c r="N109" i="39"/>
  <c r="AC93" i="39"/>
  <c r="Z93" i="39"/>
  <c r="U92" i="39"/>
  <c r="Z51" i="39"/>
  <c r="V71" i="39"/>
  <c r="O193" i="39"/>
  <c r="O197" i="39" s="1"/>
  <c r="Z174" i="39"/>
  <c r="Y169" i="39"/>
  <c r="AC141" i="39"/>
  <c r="U140" i="39"/>
  <c r="Z141" i="39"/>
  <c r="V97" i="39"/>
  <c r="V94" i="39" s="1"/>
  <c r="V93" i="39" s="1"/>
  <c r="V92" i="39" s="1"/>
  <c r="V88" i="39" s="1"/>
  <c r="W97" i="39"/>
  <c r="T188" i="39"/>
  <c r="W189" i="39"/>
  <c r="Z155" i="39"/>
  <c r="Y148" i="39"/>
  <c r="Z148" i="39" s="1"/>
  <c r="AC169" i="39"/>
  <c r="Z169" i="39"/>
  <c r="Y181" i="39"/>
  <c r="Z181" i="39" s="1"/>
  <c r="AC189" i="39"/>
  <c r="U188" i="39"/>
  <c r="U101" i="39"/>
  <c r="Z102" i="39"/>
  <c r="AC102" i="39"/>
  <c r="AC63" i="39"/>
  <c r="Z63" i="39"/>
  <c r="W51" i="39"/>
  <c r="V158" i="39"/>
  <c r="V157" i="39" s="1"/>
  <c r="AA193" i="39"/>
  <c r="AA197" i="39" s="1"/>
  <c r="Z98" i="39"/>
  <c r="AC98" i="39"/>
  <c r="U9" i="39"/>
  <c r="AC10" i="39"/>
  <c r="Z179" i="39"/>
  <c r="Y178" i="39"/>
  <c r="Z178" i="39" s="1"/>
  <c r="W142" i="39"/>
  <c r="T141" i="39"/>
  <c r="AC44" i="39"/>
  <c r="U43" i="39"/>
  <c r="R109" i="39"/>
  <c r="R193" i="39" s="1"/>
  <c r="R197" i="39" s="1"/>
  <c r="W158" i="39"/>
  <c r="T157" i="39"/>
  <c r="W157" i="39" s="1"/>
  <c r="W103" i="39"/>
  <c r="T102" i="39"/>
  <c r="T33" i="39"/>
  <c r="W33" i="39" s="1"/>
  <c r="W34" i="39"/>
  <c r="W11" i="39"/>
  <c r="AC164" i="39"/>
  <c r="Z164" i="39"/>
  <c r="T94" i="39"/>
  <c r="W64" i="39"/>
  <c r="T63" i="39"/>
  <c r="W63" i="39" s="1"/>
  <c r="W164" i="39"/>
  <c r="Y125" i="39"/>
  <c r="Z125" i="39" s="1"/>
  <c r="T112" i="39"/>
  <c r="W117" i="39"/>
  <c r="AC181" i="39"/>
  <c r="Z191" i="39"/>
  <c r="Y190" i="39"/>
  <c r="T148" i="39"/>
  <c r="W148" i="39" s="1"/>
  <c r="W149" i="39"/>
  <c r="W176" i="39"/>
  <c r="T169" i="39"/>
  <c r="W169" i="39" s="1"/>
  <c r="W181" i="39"/>
  <c r="T125" i="39"/>
  <c r="W125" i="39" s="1"/>
  <c r="W130" i="39"/>
  <c r="U111" i="39"/>
  <c r="Y33" i="39"/>
  <c r="Z33" i="39" s="1"/>
  <c r="Z34" i="39"/>
  <c r="Z45" i="39"/>
  <c r="V33" i="39"/>
  <c r="V10" i="39" s="1"/>
  <c r="V9" i="39" s="1"/>
  <c r="Y11" i="39"/>
  <c r="Z12" i="39"/>
  <c r="V74" i="39"/>
  <c r="W60" i="39"/>
  <c r="V60" i="39"/>
  <c r="V58" i="39" s="1"/>
  <c r="V45" i="39" s="1"/>
  <c r="T58" i="39"/>
  <c r="W58" i="39" s="1"/>
  <c r="T10" i="39" l="1"/>
  <c r="V140" i="39"/>
  <c r="V139" i="39" s="1"/>
  <c r="V109" i="39" s="1"/>
  <c r="V63" i="39"/>
  <c r="V44" i="39"/>
  <c r="V43" i="39" s="1"/>
  <c r="N193" i="39"/>
  <c r="N197" i="39" s="1"/>
  <c r="X109" i="39"/>
  <c r="X193" i="39" s="1"/>
  <c r="X197" i="39" s="1"/>
  <c r="AC188" i="39"/>
  <c r="V8" i="39"/>
  <c r="V193" i="39" s="1"/>
  <c r="V197" i="39" s="1"/>
  <c r="Y10" i="39"/>
  <c r="Z11" i="39"/>
  <c r="W94" i="39"/>
  <c r="T93" i="39"/>
  <c r="Z43" i="39"/>
  <c r="AC43" i="39"/>
  <c r="W188" i="39"/>
  <c r="T45" i="39"/>
  <c r="Z44" i="39"/>
  <c r="AC9" i="39"/>
  <c r="AC101" i="39"/>
  <c r="Z101" i="39"/>
  <c r="Z92" i="39"/>
  <c r="AC92" i="39"/>
  <c r="U88" i="39"/>
  <c r="W112" i="39"/>
  <c r="T111" i="39"/>
  <c r="W10" i="39"/>
  <c r="T9" i="39"/>
  <c r="W102" i="39"/>
  <c r="T101" i="39"/>
  <c r="W101" i="39" s="1"/>
  <c r="W141" i="39"/>
  <c r="T140" i="39"/>
  <c r="AC111" i="39"/>
  <c r="U110" i="39"/>
  <c r="Y189" i="39"/>
  <c r="Z190" i="39"/>
  <c r="Y140" i="39"/>
  <c r="Y139" i="39" s="1"/>
  <c r="U139" i="39"/>
  <c r="AC140" i="39"/>
  <c r="Y111" i="39"/>
  <c r="Y110" i="39" s="1"/>
  <c r="Z112" i="39"/>
  <c r="Z140" i="39" l="1"/>
  <c r="AC139" i="39"/>
  <c r="Z139" i="39"/>
  <c r="U109" i="39"/>
  <c r="Z110" i="39"/>
  <c r="AC110" i="39"/>
  <c r="W45" i="39"/>
  <c r="T44" i="39"/>
  <c r="W93" i="39"/>
  <c r="T92" i="39"/>
  <c r="W140" i="39"/>
  <c r="T139" i="39"/>
  <c r="W139" i="39" s="1"/>
  <c r="Z88" i="39"/>
  <c r="AC88" i="39"/>
  <c r="T110" i="39"/>
  <c r="W111" i="39"/>
  <c r="U8" i="39"/>
  <c r="Y188" i="39"/>
  <c r="Z188" i="39" s="1"/>
  <c r="Z189" i="39"/>
  <c r="W9" i="39"/>
  <c r="Y9" i="39"/>
  <c r="Z10" i="39"/>
  <c r="Z111" i="39"/>
  <c r="W110" i="39" l="1"/>
  <c r="T109" i="39"/>
  <c r="W109" i="39" s="1"/>
  <c r="W44" i="39"/>
  <c r="T43" i="39"/>
  <c r="AC109" i="39"/>
  <c r="Y8" i="39"/>
  <c r="Z9" i="39"/>
  <c r="Y109" i="39"/>
  <c r="Z109" i="39" s="1"/>
  <c r="U193" i="39"/>
  <c r="AC8" i="39"/>
  <c r="Z8" i="39"/>
  <c r="W92" i="39"/>
  <c r="T88" i="39"/>
  <c r="W88" i="39" s="1"/>
  <c r="W43" i="39" l="1"/>
  <c r="T8" i="39"/>
  <c r="Y193" i="39"/>
  <c r="Y197" i="39" s="1"/>
  <c r="AC193" i="39"/>
  <c r="U197" i="39"/>
  <c r="Z193" i="39" l="1"/>
  <c r="Z197" i="39" s="1"/>
  <c r="T193" i="39"/>
  <c r="W8" i="39"/>
  <c r="T197" i="39" l="1"/>
  <c r="W193" i="39"/>
  <c r="W197" i="39" s="1"/>
  <c r="M244" i="1" l="1"/>
  <c r="M247" i="2"/>
  <c r="N206" i="3"/>
  <c r="M229" i="27"/>
  <c r="M232" i="24"/>
  <c r="N243" i="21"/>
  <c r="N198" i="18"/>
  <c r="S227" i="27" l="1"/>
  <c r="S226" i="27"/>
  <c r="S225" i="27"/>
  <c r="S224" i="27"/>
  <c r="S223" i="27"/>
  <c r="S222" i="27"/>
  <c r="S221" i="27"/>
  <c r="S220" i="27"/>
  <c r="S219" i="27"/>
  <c r="S218" i="27"/>
  <c r="S217" i="27"/>
  <c r="S216" i="27"/>
  <c r="S215" i="27"/>
  <c r="S214" i="27"/>
  <c r="S213" i="27"/>
  <c r="S212" i="27"/>
  <c r="S211" i="27"/>
  <c r="S210" i="27"/>
  <c r="S209" i="27"/>
  <c r="S208" i="27"/>
  <c r="S207" i="27"/>
  <c r="S206" i="27"/>
  <c r="S205" i="27"/>
  <c r="S204" i="27"/>
  <c r="S203" i="27"/>
  <c r="S202" i="27"/>
  <c r="S201" i="27"/>
  <c r="S200" i="27"/>
  <c r="S199" i="27"/>
  <c r="S198" i="27"/>
  <c r="S197" i="27"/>
  <c r="S196" i="27"/>
  <c r="S195" i="27"/>
  <c r="S194" i="27"/>
  <c r="S193" i="27"/>
  <c r="S192" i="27"/>
  <c r="S191" i="27"/>
  <c r="S190" i="27"/>
  <c r="S189" i="27"/>
  <c r="S188" i="27"/>
  <c r="S187" i="27"/>
  <c r="S186" i="27"/>
  <c r="S185" i="27"/>
  <c r="S184" i="27"/>
  <c r="S183" i="27"/>
  <c r="S182" i="27"/>
  <c r="S181" i="27"/>
  <c r="S180" i="27"/>
  <c r="S179" i="27"/>
  <c r="S178" i="27"/>
  <c r="S177" i="27"/>
  <c r="S176" i="27"/>
  <c r="S175" i="27"/>
  <c r="S174" i="27"/>
  <c r="S173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60" i="27"/>
  <c r="S159" i="27"/>
  <c r="S158" i="27"/>
  <c r="S157" i="27"/>
  <c r="S156" i="27"/>
  <c r="S155" i="27"/>
  <c r="S154" i="27"/>
  <c r="S153" i="27"/>
  <c r="S152" i="27"/>
  <c r="S151" i="27"/>
  <c r="S150" i="27"/>
  <c r="S149" i="27"/>
  <c r="S148" i="27"/>
  <c r="S147" i="27"/>
  <c r="S146" i="27"/>
  <c r="S145" i="27"/>
  <c r="S144" i="27"/>
  <c r="S143" i="27"/>
  <c r="S142" i="27"/>
  <c r="S141" i="27"/>
  <c r="S140" i="27"/>
  <c r="S139" i="27"/>
  <c r="S138" i="27"/>
  <c r="S137" i="27"/>
  <c r="S136" i="27"/>
  <c r="S135" i="27"/>
  <c r="S134" i="27"/>
  <c r="S133" i="27"/>
  <c r="S132" i="27"/>
  <c r="S131" i="27"/>
  <c r="S130" i="27"/>
  <c r="S129" i="27"/>
  <c r="S128" i="27"/>
  <c r="S127" i="27"/>
  <c r="S126" i="27"/>
  <c r="S125" i="27"/>
  <c r="S124" i="27"/>
  <c r="S123" i="27"/>
  <c r="S122" i="27"/>
  <c r="S121" i="27"/>
  <c r="S120" i="27"/>
  <c r="S119" i="27"/>
  <c r="S118" i="27"/>
  <c r="S117" i="27"/>
  <c r="S116" i="27"/>
  <c r="S115" i="27"/>
  <c r="S114" i="27"/>
  <c r="S113" i="27"/>
  <c r="S112" i="27"/>
  <c r="S111" i="27"/>
  <c r="S110" i="27"/>
  <c r="S109" i="27"/>
  <c r="S108" i="27"/>
  <c r="S107" i="27"/>
  <c r="S106" i="27"/>
  <c r="S105" i="27"/>
  <c r="S104" i="27"/>
  <c r="S103" i="27"/>
  <c r="S102" i="27"/>
  <c r="S101" i="27"/>
  <c r="S100" i="27"/>
  <c r="S99" i="27"/>
  <c r="S98" i="27"/>
  <c r="S97" i="27"/>
  <c r="S96" i="27"/>
  <c r="S95" i="27"/>
  <c r="S94" i="27"/>
  <c r="S93" i="27"/>
  <c r="S92" i="27"/>
  <c r="S91" i="27"/>
  <c r="S90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70" i="27"/>
  <c r="S69" i="27"/>
  <c r="S68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4" i="27"/>
  <c r="S53" i="27"/>
  <c r="S52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8" i="27"/>
  <c r="S37" i="27"/>
  <c r="S36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22" i="27"/>
  <c r="S21" i="27"/>
  <c r="S20" i="27"/>
  <c r="S19" i="27"/>
  <c r="S18" i="27"/>
  <c r="S17" i="27"/>
  <c r="S16" i="27"/>
  <c r="S15" i="27"/>
  <c r="S14" i="27"/>
  <c r="S13" i="27"/>
  <c r="S12" i="27"/>
  <c r="S11" i="27"/>
  <c r="S10" i="27"/>
  <c r="S9" i="27"/>
  <c r="S8" i="27"/>
  <c r="S7" i="27"/>
  <c r="Q227" i="27"/>
  <c r="Q226" i="27"/>
  <c r="Q225" i="27"/>
  <c r="Q224" i="27"/>
  <c r="Q223" i="27"/>
  <c r="Q222" i="27"/>
  <c r="Q221" i="27"/>
  <c r="Q220" i="27"/>
  <c r="Q219" i="27"/>
  <c r="Q218" i="27"/>
  <c r="Q217" i="27"/>
  <c r="Q216" i="27"/>
  <c r="Q215" i="27"/>
  <c r="Q214" i="27"/>
  <c r="Q213" i="27"/>
  <c r="Q212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6" i="27"/>
  <c r="Q165" i="27"/>
  <c r="Q164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50" i="27"/>
  <c r="Q149" i="27"/>
  <c r="Q148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4" i="27"/>
  <c r="Q133" i="27"/>
  <c r="Q132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102" i="27"/>
  <c r="Q101" i="27"/>
  <c r="Q100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6" i="27"/>
  <c r="Q85" i="27"/>
  <c r="Q84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70" i="27"/>
  <c r="Q69" i="27"/>
  <c r="Q68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8" i="27"/>
  <c r="Q37" i="27"/>
  <c r="Q36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13" i="27"/>
  <c r="Q12" i="27"/>
  <c r="Q11" i="27"/>
  <c r="Q10" i="27"/>
  <c r="Q9" i="27"/>
  <c r="Q8" i="27"/>
  <c r="Q7" i="27"/>
  <c r="O227" i="27"/>
  <c r="O226" i="27"/>
  <c r="O225" i="27"/>
  <c r="O224" i="27"/>
  <c r="O223" i="27"/>
  <c r="O222" i="27"/>
  <c r="O221" i="27"/>
  <c r="O220" i="27"/>
  <c r="O219" i="27"/>
  <c r="O218" i="27"/>
  <c r="O217" i="27"/>
  <c r="O216" i="27"/>
  <c r="O215" i="27"/>
  <c r="O214" i="27"/>
  <c r="O213" i="27"/>
  <c r="O212" i="27"/>
  <c r="O211" i="27"/>
  <c r="O210" i="27"/>
  <c r="O209" i="27"/>
  <c r="O208" i="27"/>
  <c r="O207" i="27"/>
  <c r="O206" i="27"/>
  <c r="O205" i="27"/>
  <c r="O204" i="27"/>
  <c r="O203" i="27"/>
  <c r="O202" i="27"/>
  <c r="O201" i="27"/>
  <c r="O200" i="27"/>
  <c r="O199" i="27"/>
  <c r="O198" i="27"/>
  <c r="O197" i="27"/>
  <c r="O196" i="27"/>
  <c r="O195" i="27"/>
  <c r="O194" i="27"/>
  <c r="O193" i="27"/>
  <c r="O192" i="27"/>
  <c r="O191" i="27"/>
  <c r="O190" i="27"/>
  <c r="O189" i="27"/>
  <c r="O188" i="27"/>
  <c r="O187" i="27"/>
  <c r="O186" i="27"/>
  <c r="O185" i="27"/>
  <c r="O184" i="27"/>
  <c r="O183" i="27"/>
  <c r="O182" i="27"/>
  <c r="O181" i="27"/>
  <c r="O180" i="27"/>
  <c r="O179" i="27"/>
  <c r="O178" i="27"/>
  <c r="O177" i="27"/>
  <c r="O176" i="27"/>
  <c r="O175" i="27"/>
  <c r="O174" i="27"/>
  <c r="O173" i="27"/>
  <c r="O172" i="27"/>
  <c r="O171" i="27"/>
  <c r="O170" i="27"/>
  <c r="O169" i="27"/>
  <c r="O168" i="27"/>
  <c r="O167" i="27"/>
  <c r="O166" i="27"/>
  <c r="O165" i="27"/>
  <c r="O164" i="27"/>
  <c r="O163" i="27"/>
  <c r="O162" i="27"/>
  <c r="O161" i="27"/>
  <c r="O160" i="27"/>
  <c r="O159" i="27"/>
  <c r="O158" i="27"/>
  <c r="O157" i="27"/>
  <c r="O156" i="27"/>
  <c r="O155" i="27"/>
  <c r="O154" i="27"/>
  <c r="O153" i="27"/>
  <c r="O152" i="27"/>
  <c r="O151" i="27"/>
  <c r="O150" i="27"/>
  <c r="O149" i="27"/>
  <c r="O148" i="27"/>
  <c r="O147" i="27"/>
  <c r="O146" i="27"/>
  <c r="O145" i="27"/>
  <c r="O144" i="27"/>
  <c r="O143" i="27"/>
  <c r="O142" i="27"/>
  <c r="O141" i="27"/>
  <c r="O140" i="27"/>
  <c r="O139" i="27"/>
  <c r="O138" i="27"/>
  <c r="O137" i="27"/>
  <c r="O136" i="27"/>
  <c r="O135" i="27"/>
  <c r="O134" i="27"/>
  <c r="O133" i="27"/>
  <c r="O132" i="27"/>
  <c r="O131" i="27"/>
  <c r="O130" i="27"/>
  <c r="O129" i="27"/>
  <c r="O128" i="27"/>
  <c r="O127" i="27"/>
  <c r="O126" i="27"/>
  <c r="O125" i="27"/>
  <c r="O124" i="27"/>
  <c r="O123" i="27"/>
  <c r="O122" i="27"/>
  <c r="O121" i="27"/>
  <c r="O120" i="27"/>
  <c r="O119" i="27"/>
  <c r="O118" i="27"/>
  <c r="O117" i="27"/>
  <c r="O116" i="27"/>
  <c r="O115" i="27"/>
  <c r="O114" i="27"/>
  <c r="O113" i="27"/>
  <c r="O112" i="27"/>
  <c r="O111" i="27"/>
  <c r="O110" i="27"/>
  <c r="O109" i="27"/>
  <c r="O108" i="27"/>
  <c r="O107" i="27"/>
  <c r="O106" i="27"/>
  <c r="O105" i="27"/>
  <c r="O104" i="27"/>
  <c r="O103" i="27"/>
  <c r="O102" i="27"/>
  <c r="O101" i="27"/>
  <c r="O100" i="27"/>
  <c r="O99" i="27"/>
  <c r="O98" i="27"/>
  <c r="O97" i="27"/>
  <c r="O96" i="27"/>
  <c r="O95" i="27"/>
  <c r="O94" i="27"/>
  <c r="O93" i="27"/>
  <c r="O92" i="27"/>
  <c r="O91" i="27"/>
  <c r="O90" i="27"/>
  <c r="O89" i="27"/>
  <c r="O88" i="27"/>
  <c r="O87" i="27"/>
  <c r="O86" i="27"/>
  <c r="O85" i="27"/>
  <c r="O84" i="27"/>
  <c r="O83" i="27"/>
  <c r="O82" i="27"/>
  <c r="O81" i="27"/>
  <c r="O80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S242" i="1" l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S237" i="26"/>
  <c r="S236" i="26"/>
  <c r="S235" i="26"/>
  <c r="S234" i="26"/>
  <c r="S233" i="26"/>
  <c r="S232" i="26"/>
  <c r="S231" i="26"/>
  <c r="S230" i="26"/>
  <c r="S229" i="26"/>
  <c r="S228" i="26"/>
  <c r="S227" i="26"/>
  <c r="S226" i="26"/>
  <c r="S225" i="26"/>
  <c r="S224" i="26"/>
  <c r="S223" i="26"/>
  <c r="S222" i="26"/>
  <c r="S221" i="26"/>
  <c r="S220" i="26"/>
  <c r="S219" i="26"/>
  <c r="S218" i="26"/>
  <c r="S217" i="26"/>
  <c r="S216" i="26"/>
  <c r="S215" i="26"/>
  <c r="S214" i="26"/>
  <c r="S213" i="26"/>
  <c r="S212" i="26"/>
  <c r="S211" i="26"/>
  <c r="S210" i="26"/>
  <c r="S209" i="26"/>
  <c r="S208" i="26"/>
  <c r="S207" i="26"/>
  <c r="S206" i="26"/>
  <c r="S205" i="26"/>
  <c r="S204" i="26"/>
  <c r="S203" i="26"/>
  <c r="S202" i="26"/>
  <c r="S201" i="26"/>
  <c r="S200" i="26"/>
  <c r="S199" i="26"/>
  <c r="S198" i="26"/>
  <c r="S197" i="26"/>
  <c r="S196" i="26"/>
  <c r="S195" i="26"/>
  <c r="S194" i="26"/>
  <c r="S193" i="26"/>
  <c r="S192" i="26"/>
  <c r="S191" i="26"/>
  <c r="S190" i="26"/>
  <c r="S189" i="26"/>
  <c r="S188" i="26"/>
  <c r="S187" i="26"/>
  <c r="S186" i="26"/>
  <c r="S185" i="26"/>
  <c r="S184" i="26"/>
  <c r="S183" i="26"/>
  <c r="S182" i="26"/>
  <c r="S181" i="26"/>
  <c r="S180" i="26"/>
  <c r="S179" i="26"/>
  <c r="S178" i="26"/>
  <c r="S177" i="26"/>
  <c r="S176" i="26"/>
  <c r="S175" i="26"/>
  <c r="S174" i="26"/>
  <c r="S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S160" i="26"/>
  <c r="S159" i="26"/>
  <c r="S158" i="26"/>
  <c r="S157" i="26"/>
  <c r="S156" i="26"/>
  <c r="S155" i="26"/>
  <c r="S154" i="26"/>
  <c r="S153" i="26"/>
  <c r="S152" i="26"/>
  <c r="S151" i="26"/>
  <c r="S150" i="26"/>
  <c r="S149" i="26"/>
  <c r="S148" i="26"/>
  <c r="S147" i="26"/>
  <c r="S146" i="26"/>
  <c r="S145" i="26"/>
  <c r="S144" i="26"/>
  <c r="S143" i="26"/>
  <c r="S142" i="26"/>
  <c r="S141" i="26"/>
  <c r="S140" i="26"/>
  <c r="S139" i="26"/>
  <c r="S138" i="26"/>
  <c r="S137" i="26"/>
  <c r="S136" i="26"/>
  <c r="S135" i="26"/>
  <c r="S134" i="26"/>
  <c r="S133" i="26"/>
  <c r="S132" i="26"/>
  <c r="S131" i="26"/>
  <c r="S130" i="26"/>
  <c r="S129" i="26"/>
  <c r="S128" i="26"/>
  <c r="S127" i="26"/>
  <c r="S126" i="26"/>
  <c r="S125" i="26"/>
  <c r="S124" i="26"/>
  <c r="S123" i="26"/>
  <c r="S122" i="26"/>
  <c r="S121" i="26"/>
  <c r="S120" i="26"/>
  <c r="S119" i="26"/>
  <c r="S118" i="26"/>
  <c r="S117" i="26"/>
  <c r="S116" i="26"/>
  <c r="S115" i="26"/>
  <c r="S114" i="26"/>
  <c r="S113" i="26"/>
  <c r="S112" i="26"/>
  <c r="S111" i="26"/>
  <c r="S110" i="26"/>
  <c r="S109" i="26"/>
  <c r="S108" i="26"/>
  <c r="S107" i="26"/>
  <c r="S106" i="26"/>
  <c r="S105" i="26"/>
  <c r="S104" i="26"/>
  <c r="S103" i="26"/>
  <c r="S102" i="26"/>
  <c r="S101" i="26"/>
  <c r="S100" i="26"/>
  <c r="S99" i="26"/>
  <c r="S98" i="26"/>
  <c r="S97" i="26"/>
  <c r="S96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8" i="26"/>
  <c r="S67" i="26"/>
  <c r="S66" i="26"/>
  <c r="S65" i="26"/>
  <c r="S64" i="26"/>
  <c r="S63" i="26"/>
  <c r="S62" i="26"/>
  <c r="S61" i="26"/>
  <c r="S60" i="26"/>
  <c r="S59" i="26"/>
  <c r="S58" i="26"/>
  <c r="S57" i="26"/>
  <c r="S56" i="26"/>
  <c r="S55" i="26"/>
  <c r="S54" i="26"/>
  <c r="S53" i="26"/>
  <c r="S52" i="26"/>
  <c r="S51" i="26"/>
  <c r="S50" i="26"/>
  <c r="S49" i="26"/>
  <c r="S48" i="26"/>
  <c r="S47" i="26"/>
  <c r="S46" i="26"/>
  <c r="S45" i="26"/>
  <c r="S44" i="26"/>
  <c r="S43" i="26"/>
  <c r="S42" i="26"/>
  <c r="S41" i="26"/>
  <c r="S40" i="26"/>
  <c r="S39" i="26"/>
  <c r="S38" i="26"/>
  <c r="S37" i="26"/>
  <c r="S36" i="26"/>
  <c r="S35" i="26"/>
  <c r="S34" i="26"/>
  <c r="S33" i="26"/>
  <c r="S32" i="26"/>
  <c r="S31" i="26"/>
  <c r="S30" i="26"/>
  <c r="S29" i="26"/>
  <c r="S28" i="26"/>
  <c r="S27" i="26"/>
  <c r="S26" i="26"/>
  <c r="S25" i="26"/>
  <c r="S24" i="26"/>
  <c r="S23" i="26"/>
  <c r="S22" i="26"/>
  <c r="S21" i="26"/>
  <c r="S20" i="26"/>
  <c r="S19" i="26"/>
  <c r="S18" i="26"/>
  <c r="S17" i="26"/>
  <c r="S16" i="26"/>
  <c r="S15" i="26"/>
  <c r="S14" i="26"/>
  <c r="S13" i="26"/>
  <c r="S12" i="26"/>
  <c r="S11" i="26"/>
  <c r="S10" i="26"/>
  <c r="S9" i="26"/>
  <c r="S8" i="26"/>
  <c r="S7" i="26"/>
  <c r="Q237" i="26"/>
  <c r="Q236" i="26"/>
  <c r="Q235" i="26"/>
  <c r="Q234" i="26"/>
  <c r="Q233" i="26"/>
  <c r="Q232" i="26"/>
  <c r="Q231" i="26"/>
  <c r="Q230" i="26"/>
  <c r="Q229" i="26"/>
  <c r="Q228" i="26"/>
  <c r="Q227" i="26"/>
  <c r="Q226" i="26"/>
  <c r="Q225" i="26"/>
  <c r="Q224" i="26"/>
  <c r="Q223" i="26"/>
  <c r="Q222" i="26"/>
  <c r="Q221" i="26"/>
  <c r="Q220" i="26"/>
  <c r="Q219" i="26"/>
  <c r="Q218" i="26"/>
  <c r="Q217" i="26"/>
  <c r="Q216" i="26"/>
  <c r="Q215" i="26"/>
  <c r="Q214" i="26"/>
  <c r="Q213" i="26"/>
  <c r="Q212" i="26"/>
  <c r="Q211" i="26"/>
  <c r="Q210" i="26"/>
  <c r="Q209" i="26"/>
  <c r="Q208" i="26"/>
  <c r="Q207" i="26"/>
  <c r="Q206" i="26"/>
  <c r="Q205" i="26"/>
  <c r="Q204" i="26"/>
  <c r="Q203" i="26"/>
  <c r="Q202" i="26"/>
  <c r="Q201" i="26"/>
  <c r="Q200" i="26"/>
  <c r="Q199" i="26"/>
  <c r="Q198" i="26"/>
  <c r="Q197" i="26"/>
  <c r="Q196" i="26"/>
  <c r="Q195" i="26"/>
  <c r="Q194" i="26"/>
  <c r="Q193" i="26"/>
  <c r="Q192" i="26"/>
  <c r="Q191" i="26"/>
  <c r="Q190" i="26"/>
  <c r="Q189" i="26"/>
  <c r="Q188" i="26"/>
  <c r="Q187" i="26"/>
  <c r="Q186" i="26"/>
  <c r="Q185" i="26"/>
  <c r="Q184" i="26"/>
  <c r="Q183" i="26"/>
  <c r="Q182" i="26"/>
  <c r="Q181" i="26"/>
  <c r="Q180" i="26"/>
  <c r="Q179" i="26"/>
  <c r="Q178" i="26"/>
  <c r="Q177" i="26"/>
  <c r="Q176" i="26"/>
  <c r="Q175" i="26"/>
  <c r="Q174" i="26"/>
  <c r="Q173" i="26"/>
  <c r="Q172" i="26"/>
  <c r="Q171" i="26"/>
  <c r="Q170" i="26"/>
  <c r="Q169" i="26"/>
  <c r="Q168" i="26"/>
  <c r="Q167" i="26"/>
  <c r="Q166" i="26"/>
  <c r="Q165" i="26"/>
  <c r="Q164" i="26"/>
  <c r="Q163" i="26"/>
  <c r="Q162" i="26"/>
  <c r="Q161" i="26"/>
  <c r="Q160" i="26"/>
  <c r="Q159" i="26"/>
  <c r="Q158" i="26"/>
  <c r="Q157" i="26"/>
  <c r="Q156" i="26"/>
  <c r="Q155" i="26"/>
  <c r="Q154" i="26"/>
  <c r="Q153" i="26"/>
  <c r="Q152" i="26"/>
  <c r="Q151" i="26"/>
  <c r="Q150" i="26"/>
  <c r="Q149" i="26"/>
  <c r="Q148" i="26"/>
  <c r="Q147" i="26"/>
  <c r="Q146" i="26"/>
  <c r="Q145" i="26"/>
  <c r="Q144" i="26"/>
  <c r="Q143" i="26"/>
  <c r="Q142" i="26"/>
  <c r="Q141" i="26"/>
  <c r="Q140" i="26"/>
  <c r="Q139" i="26"/>
  <c r="Q138" i="26"/>
  <c r="Q137" i="26"/>
  <c r="Q136" i="26"/>
  <c r="Q135" i="26"/>
  <c r="Q134" i="26"/>
  <c r="Q133" i="26"/>
  <c r="Q132" i="26"/>
  <c r="Q131" i="26"/>
  <c r="Q130" i="26"/>
  <c r="Q129" i="26"/>
  <c r="Q128" i="26"/>
  <c r="Q127" i="26"/>
  <c r="Q126" i="26"/>
  <c r="Q125" i="26"/>
  <c r="Q124" i="26"/>
  <c r="Q123" i="26"/>
  <c r="Q122" i="26"/>
  <c r="Q121" i="26"/>
  <c r="Q120" i="26"/>
  <c r="Q119" i="26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Q106" i="26"/>
  <c r="Q105" i="26"/>
  <c r="Q104" i="26"/>
  <c r="Q103" i="26"/>
  <c r="Q102" i="26"/>
  <c r="Q101" i="26"/>
  <c r="Q100" i="26"/>
  <c r="Q99" i="26"/>
  <c r="Q98" i="26"/>
  <c r="Q97" i="26"/>
  <c r="Q96" i="26"/>
  <c r="Q95" i="26"/>
  <c r="Q94" i="26"/>
  <c r="Q93" i="26"/>
  <c r="Q92" i="26"/>
  <c r="Q91" i="26"/>
  <c r="Q90" i="26"/>
  <c r="Q89" i="26"/>
  <c r="Q88" i="26"/>
  <c r="Q87" i="26"/>
  <c r="Q86" i="26"/>
  <c r="Q85" i="26"/>
  <c r="Q84" i="26"/>
  <c r="Q83" i="26"/>
  <c r="Q82" i="26"/>
  <c r="Q81" i="26"/>
  <c r="Q80" i="26"/>
  <c r="Q79" i="26"/>
  <c r="Q78" i="26"/>
  <c r="Q77" i="26"/>
  <c r="Q76" i="26"/>
  <c r="Q75" i="26"/>
  <c r="Q74" i="26"/>
  <c r="Q73" i="26"/>
  <c r="Q72" i="26"/>
  <c r="Q71" i="26"/>
  <c r="Q70" i="26"/>
  <c r="Q69" i="26"/>
  <c r="Q68" i="26"/>
  <c r="Q67" i="26"/>
  <c r="Q66" i="26"/>
  <c r="Q65" i="26"/>
  <c r="Q64" i="26"/>
  <c r="Q63" i="26"/>
  <c r="Q62" i="26"/>
  <c r="Q61" i="26"/>
  <c r="Q60" i="26"/>
  <c r="Q59" i="26"/>
  <c r="Q58" i="26"/>
  <c r="Q57" i="26"/>
  <c r="Q56" i="26"/>
  <c r="Q55" i="26"/>
  <c r="Q54" i="26"/>
  <c r="Q53" i="26"/>
  <c r="Q52" i="26"/>
  <c r="Q51" i="26"/>
  <c r="Q50" i="26"/>
  <c r="Q49" i="26"/>
  <c r="Q48" i="26"/>
  <c r="Q47" i="26"/>
  <c r="Q46" i="26"/>
  <c r="Q45" i="26"/>
  <c r="Q44" i="26"/>
  <c r="Q43" i="26"/>
  <c r="Q42" i="26"/>
  <c r="Q41" i="26"/>
  <c r="Q40" i="26"/>
  <c r="Q39" i="26"/>
  <c r="Q38" i="26"/>
  <c r="Q37" i="26"/>
  <c r="Q36" i="26"/>
  <c r="Q35" i="26"/>
  <c r="Q34" i="26"/>
  <c r="Q33" i="26"/>
  <c r="Q32" i="26"/>
  <c r="Q31" i="26"/>
  <c r="Q30" i="26"/>
  <c r="Q29" i="26"/>
  <c r="Q28" i="26"/>
  <c r="Q27" i="26"/>
  <c r="Q26" i="26"/>
  <c r="Q25" i="26"/>
  <c r="Q24" i="26"/>
  <c r="Q23" i="26"/>
  <c r="Q22" i="26"/>
  <c r="Q21" i="26"/>
  <c r="Q20" i="26"/>
  <c r="Q19" i="26"/>
  <c r="Q18" i="26"/>
  <c r="Q17" i="26"/>
  <c r="Q16" i="26"/>
  <c r="Q15" i="26"/>
  <c r="Q14" i="26"/>
  <c r="Q13" i="26"/>
  <c r="Q12" i="26"/>
  <c r="Q11" i="26"/>
  <c r="Q10" i="26"/>
  <c r="Q9" i="26"/>
  <c r="Q8" i="26"/>
  <c r="Q7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9" i="26"/>
  <c r="O88" i="26"/>
  <c r="O87" i="26"/>
  <c r="O86" i="26"/>
  <c r="O85" i="26"/>
  <c r="O84" i="26"/>
  <c r="O83" i="26"/>
  <c r="O82" i="26"/>
  <c r="O81" i="26"/>
  <c r="O80" i="26"/>
  <c r="O79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S232" i="25" l="1"/>
  <c r="S231" i="25"/>
  <c r="S230" i="25"/>
  <c r="S229" i="25"/>
  <c r="S228" i="25"/>
  <c r="S227" i="25"/>
  <c r="S226" i="25"/>
  <c r="S225" i="25"/>
  <c r="S224" i="25"/>
  <c r="S223" i="25"/>
  <c r="S222" i="25"/>
  <c r="S221" i="25"/>
  <c r="S220" i="25"/>
  <c r="S219" i="25"/>
  <c r="S218" i="25"/>
  <c r="S217" i="25"/>
  <c r="S216" i="25"/>
  <c r="S215" i="25"/>
  <c r="S214" i="25"/>
  <c r="S213" i="25"/>
  <c r="S212" i="25"/>
  <c r="S211" i="25"/>
  <c r="S210" i="25"/>
  <c r="S209" i="25"/>
  <c r="S208" i="25"/>
  <c r="S207" i="25"/>
  <c r="S206" i="25"/>
  <c r="S205" i="25"/>
  <c r="S204" i="25"/>
  <c r="S203" i="25"/>
  <c r="S202" i="25"/>
  <c r="S201" i="25"/>
  <c r="S200" i="25"/>
  <c r="S199" i="25"/>
  <c r="S198" i="25"/>
  <c r="S197" i="25"/>
  <c r="S196" i="25"/>
  <c r="S195" i="25"/>
  <c r="S194" i="25"/>
  <c r="S193" i="25"/>
  <c r="S192" i="25"/>
  <c r="S191" i="25"/>
  <c r="S190" i="25"/>
  <c r="S189" i="25"/>
  <c r="S188" i="25"/>
  <c r="S187" i="25"/>
  <c r="S186" i="25"/>
  <c r="S185" i="25"/>
  <c r="S184" i="25"/>
  <c r="S183" i="25"/>
  <c r="S182" i="25"/>
  <c r="S181" i="25"/>
  <c r="S180" i="25"/>
  <c r="S179" i="25"/>
  <c r="S178" i="25"/>
  <c r="S177" i="25"/>
  <c r="S176" i="25"/>
  <c r="S175" i="25"/>
  <c r="S174" i="25"/>
  <c r="S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S160" i="25"/>
  <c r="S159" i="25"/>
  <c r="S158" i="25"/>
  <c r="S157" i="25"/>
  <c r="S156" i="25"/>
  <c r="S155" i="25"/>
  <c r="S154" i="25"/>
  <c r="S153" i="25"/>
  <c r="S152" i="25"/>
  <c r="S151" i="25"/>
  <c r="S150" i="25"/>
  <c r="S149" i="25"/>
  <c r="S148" i="25"/>
  <c r="S147" i="25"/>
  <c r="S146" i="25"/>
  <c r="S145" i="25"/>
  <c r="S144" i="25"/>
  <c r="S143" i="25"/>
  <c r="S142" i="25"/>
  <c r="S141" i="25"/>
  <c r="S140" i="25"/>
  <c r="S139" i="25"/>
  <c r="S138" i="25"/>
  <c r="S137" i="25"/>
  <c r="S136" i="25"/>
  <c r="S135" i="25"/>
  <c r="S134" i="25"/>
  <c r="S133" i="25"/>
  <c r="S132" i="25"/>
  <c r="S131" i="25"/>
  <c r="S130" i="25"/>
  <c r="S129" i="25"/>
  <c r="S128" i="25"/>
  <c r="S127" i="25"/>
  <c r="S126" i="25"/>
  <c r="S125" i="25"/>
  <c r="S124" i="25"/>
  <c r="S123" i="25"/>
  <c r="S122" i="25"/>
  <c r="S121" i="25"/>
  <c r="S120" i="25"/>
  <c r="S119" i="25"/>
  <c r="S118" i="25"/>
  <c r="S117" i="25"/>
  <c r="S116" i="25"/>
  <c r="S115" i="25"/>
  <c r="S114" i="25"/>
  <c r="S113" i="25"/>
  <c r="S112" i="25"/>
  <c r="S111" i="25"/>
  <c r="S110" i="25"/>
  <c r="S109" i="25"/>
  <c r="S108" i="25"/>
  <c r="S107" i="25"/>
  <c r="S106" i="25"/>
  <c r="S105" i="25"/>
  <c r="S104" i="25"/>
  <c r="S103" i="25"/>
  <c r="S102" i="25"/>
  <c r="S101" i="25"/>
  <c r="S100" i="25"/>
  <c r="S99" i="25"/>
  <c r="S98" i="25"/>
  <c r="S97" i="25"/>
  <c r="S96" i="25"/>
  <c r="S95" i="25"/>
  <c r="S94" i="25"/>
  <c r="S93" i="25"/>
  <c r="S92" i="25"/>
  <c r="S91" i="25"/>
  <c r="S90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S70" i="25"/>
  <c r="S69" i="25"/>
  <c r="S68" i="25"/>
  <c r="S67" i="25"/>
  <c r="S66" i="25"/>
  <c r="S65" i="25"/>
  <c r="S64" i="25"/>
  <c r="S63" i="25"/>
  <c r="S62" i="25"/>
  <c r="S61" i="25"/>
  <c r="S60" i="25"/>
  <c r="S59" i="25"/>
  <c r="S58" i="25"/>
  <c r="S57" i="25"/>
  <c r="S56" i="25"/>
  <c r="S55" i="25"/>
  <c r="S54" i="25"/>
  <c r="S53" i="25"/>
  <c r="S52" i="25"/>
  <c r="S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S12" i="25"/>
  <c r="S11" i="25"/>
  <c r="S10" i="25"/>
  <c r="S9" i="25"/>
  <c r="S8" i="25"/>
  <c r="S7" i="25"/>
  <c r="Q232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172" i="25"/>
  <c r="Q171" i="25"/>
  <c r="Q170" i="25"/>
  <c r="Q169" i="25"/>
  <c r="Q168" i="25"/>
  <c r="Q167" i="25"/>
  <c r="Q166" i="25"/>
  <c r="Q165" i="25"/>
  <c r="Q16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147" i="25"/>
  <c r="Q146" i="25"/>
  <c r="Q145" i="25"/>
  <c r="Q144" i="25"/>
  <c r="Q143" i="25"/>
  <c r="Q142" i="25"/>
  <c r="Q141" i="25"/>
  <c r="Q140" i="25"/>
  <c r="Q139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121" i="25"/>
  <c r="Q120" i="25"/>
  <c r="Q119" i="25"/>
  <c r="Q118" i="25"/>
  <c r="Q117" i="25"/>
  <c r="Q116" i="25"/>
  <c r="Q115" i="25"/>
  <c r="Q114" i="25"/>
  <c r="Q113" i="25"/>
  <c r="Q112" i="25"/>
  <c r="Q111" i="25"/>
  <c r="Q110" i="25"/>
  <c r="Q109" i="25"/>
  <c r="Q108" i="25"/>
  <c r="Q107" i="25"/>
  <c r="Q106" i="25"/>
  <c r="Q105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89" i="25"/>
  <c r="Q88" i="25"/>
  <c r="Q87" i="25"/>
  <c r="Q86" i="25"/>
  <c r="Q85" i="25"/>
  <c r="Q84" i="25"/>
  <c r="Q83" i="25"/>
  <c r="Q82" i="25"/>
  <c r="Q81" i="25"/>
  <c r="Q80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64" i="25"/>
  <c r="Q63" i="25"/>
  <c r="Q62" i="25"/>
  <c r="Q61" i="25"/>
  <c r="Q60" i="25"/>
  <c r="Q59" i="25"/>
  <c r="Q58" i="25"/>
  <c r="Q57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O232" i="25"/>
  <c r="O231" i="25"/>
  <c r="O230" i="25"/>
  <c r="O229" i="25"/>
  <c r="O228" i="25"/>
  <c r="O227" i="25"/>
  <c r="O226" i="25"/>
  <c r="O225" i="25"/>
  <c r="O224" i="25"/>
  <c r="O223" i="25"/>
  <c r="O222" i="25"/>
  <c r="O221" i="25"/>
  <c r="O220" i="25"/>
  <c r="O219" i="25"/>
  <c r="O218" i="25"/>
  <c r="O217" i="25"/>
  <c r="O216" i="25"/>
  <c r="O215" i="25"/>
  <c r="O214" i="25"/>
  <c r="O213" i="25"/>
  <c r="O212" i="25"/>
  <c r="O211" i="25"/>
  <c r="O210" i="25"/>
  <c r="O209" i="25"/>
  <c r="O208" i="25"/>
  <c r="O207" i="25"/>
  <c r="O206" i="25"/>
  <c r="O205" i="25"/>
  <c r="O204" i="25"/>
  <c r="O203" i="25"/>
  <c r="O202" i="25"/>
  <c r="O201" i="25"/>
  <c r="O200" i="25"/>
  <c r="O199" i="25"/>
  <c r="O198" i="25"/>
  <c r="O197" i="25"/>
  <c r="O196" i="25"/>
  <c r="O195" i="25"/>
  <c r="O194" i="25"/>
  <c r="O193" i="25"/>
  <c r="O192" i="25"/>
  <c r="O191" i="25"/>
  <c r="O190" i="25"/>
  <c r="O189" i="25"/>
  <c r="O188" i="25"/>
  <c r="O187" i="25"/>
  <c r="O186" i="25"/>
  <c r="O185" i="25"/>
  <c r="O184" i="25"/>
  <c r="O183" i="25"/>
  <c r="O182" i="25"/>
  <c r="O181" i="25"/>
  <c r="O180" i="25"/>
  <c r="O179" i="25"/>
  <c r="O178" i="25"/>
  <c r="O177" i="25"/>
  <c r="O176" i="25"/>
  <c r="O175" i="25"/>
  <c r="O174" i="25"/>
  <c r="O173" i="25"/>
  <c r="O172" i="25"/>
  <c r="O171" i="25"/>
  <c r="O170" i="25"/>
  <c r="O169" i="25"/>
  <c r="O168" i="25"/>
  <c r="O167" i="25"/>
  <c r="O166" i="25"/>
  <c r="O165" i="25"/>
  <c r="O164" i="25"/>
  <c r="O163" i="25"/>
  <c r="O162" i="25"/>
  <c r="O161" i="25"/>
  <c r="O160" i="25"/>
  <c r="O159" i="25"/>
  <c r="O158" i="25"/>
  <c r="O157" i="25"/>
  <c r="O156" i="25"/>
  <c r="O155" i="25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90" i="25"/>
  <c r="O89" i="25"/>
  <c r="O88" i="25"/>
  <c r="O87" i="25"/>
  <c r="O86" i="25"/>
  <c r="O85" i="25"/>
  <c r="O84" i="25"/>
  <c r="O83" i="25"/>
  <c r="O82" i="25"/>
  <c r="O81" i="25"/>
  <c r="O80" i="25"/>
  <c r="O79" i="25"/>
  <c r="O78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S230" i="24" l="1"/>
  <c r="S229" i="24"/>
  <c r="S228" i="24"/>
  <c r="S227" i="24"/>
  <c r="S226" i="24"/>
  <c r="S225" i="24"/>
  <c r="S224" i="24"/>
  <c r="S223" i="24"/>
  <c r="S222" i="24"/>
  <c r="S221" i="24"/>
  <c r="S220" i="24"/>
  <c r="S219" i="24"/>
  <c r="S218" i="24"/>
  <c r="S217" i="24"/>
  <c r="S216" i="24"/>
  <c r="S215" i="24"/>
  <c r="S214" i="24"/>
  <c r="S213" i="24"/>
  <c r="S212" i="24"/>
  <c r="S211" i="24"/>
  <c r="S210" i="24"/>
  <c r="S209" i="24"/>
  <c r="S208" i="24"/>
  <c r="S207" i="24"/>
  <c r="S206" i="24"/>
  <c r="S205" i="24"/>
  <c r="S204" i="24"/>
  <c r="S203" i="24"/>
  <c r="S202" i="24"/>
  <c r="S201" i="24"/>
  <c r="S200" i="24"/>
  <c r="S199" i="24"/>
  <c r="S198" i="24"/>
  <c r="S197" i="24"/>
  <c r="S196" i="24"/>
  <c r="S195" i="24"/>
  <c r="S194" i="24"/>
  <c r="S193" i="24"/>
  <c r="S192" i="24"/>
  <c r="S191" i="24"/>
  <c r="S190" i="24"/>
  <c r="S189" i="24"/>
  <c r="S188" i="24"/>
  <c r="S187" i="24"/>
  <c r="S186" i="24"/>
  <c r="S185" i="24"/>
  <c r="S184" i="24"/>
  <c r="S183" i="24"/>
  <c r="S182" i="24"/>
  <c r="S181" i="24"/>
  <c r="S180" i="24"/>
  <c r="S179" i="24"/>
  <c r="S178" i="24"/>
  <c r="S177" i="24"/>
  <c r="S176" i="24"/>
  <c r="S175" i="24"/>
  <c r="S174" i="24"/>
  <c r="S173" i="24"/>
  <c r="S172" i="24"/>
  <c r="S171" i="24"/>
  <c r="S170" i="24"/>
  <c r="S169" i="24"/>
  <c r="S168" i="24"/>
  <c r="S167" i="24"/>
  <c r="S166" i="24"/>
  <c r="S165" i="24"/>
  <c r="S164" i="24"/>
  <c r="S163" i="24"/>
  <c r="S162" i="24"/>
  <c r="S161" i="24"/>
  <c r="S160" i="24"/>
  <c r="S159" i="24"/>
  <c r="S158" i="24"/>
  <c r="S157" i="24"/>
  <c r="S156" i="24"/>
  <c r="S155" i="24"/>
  <c r="S154" i="24"/>
  <c r="S153" i="24"/>
  <c r="S152" i="24"/>
  <c r="S151" i="24"/>
  <c r="S150" i="24"/>
  <c r="S149" i="24"/>
  <c r="S148" i="24"/>
  <c r="S147" i="24"/>
  <c r="S146" i="24"/>
  <c r="S145" i="24"/>
  <c r="S144" i="24"/>
  <c r="S143" i="24"/>
  <c r="S142" i="24"/>
  <c r="S141" i="24"/>
  <c r="S140" i="24"/>
  <c r="S139" i="24"/>
  <c r="S138" i="24"/>
  <c r="S137" i="24"/>
  <c r="S136" i="24"/>
  <c r="S135" i="24"/>
  <c r="S134" i="24"/>
  <c r="S133" i="24"/>
  <c r="S132" i="24"/>
  <c r="S131" i="24"/>
  <c r="S130" i="24"/>
  <c r="S129" i="24"/>
  <c r="S128" i="24"/>
  <c r="S127" i="24"/>
  <c r="S126" i="24"/>
  <c r="S125" i="24"/>
  <c r="S124" i="24"/>
  <c r="S123" i="24"/>
  <c r="S122" i="24"/>
  <c r="S121" i="24"/>
  <c r="S120" i="24"/>
  <c r="S119" i="24"/>
  <c r="S118" i="24"/>
  <c r="S117" i="24"/>
  <c r="S116" i="24"/>
  <c r="S115" i="24"/>
  <c r="S114" i="24"/>
  <c r="S113" i="24"/>
  <c r="S112" i="24"/>
  <c r="S111" i="24"/>
  <c r="S110" i="24"/>
  <c r="S109" i="24"/>
  <c r="S108" i="24"/>
  <c r="S107" i="24"/>
  <c r="S106" i="24"/>
  <c r="S105" i="24"/>
  <c r="S104" i="24"/>
  <c r="S103" i="24"/>
  <c r="S102" i="24"/>
  <c r="S101" i="24"/>
  <c r="S100" i="24"/>
  <c r="S99" i="24"/>
  <c r="S98" i="24"/>
  <c r="S97" i="24"/>
  <c r="S96" i="24"/>
  <c r="S95" i="24"/>
  <c r="S94" i="24"/>
  <c r="S93" i="24"/>
  <c r="S92" i="24"/>
  <c r="S91" i="24"/>
  <c r="S90" i="24"/>
  <c r="S89" i="24"/>
  <c r="S88" i="24"/>
  <c r="S87" i="24"/>
  <c r="S86" i="24"/>
  <c r="S85" i="24"/>
  <c r="S84" i="24"/>
  <c r="S83" i="24"/>
  <c r="S82" i="24"/>
  <c r="S81" i="24"/>
  <c r="S80" i="24"/>
  <c r="S79" i="24"/>
  <c r="S78" i="24"/>
  <c r="S77" i="24"/>
  <c r="S76" i="24"/>
  <c r="S75" i="24"/>
  <c r="S74" i="24"/>
  <c r="S73" i="24"/>
  <c r="S72" i="24"/>
  <c r="S71" i="24"/>
  <c r="S70" i="24"/>
  <c r="S69" i="24"/>
  <c r="S68" i="24"/>
  <c r="S67" i="24"/>
  <c r="S66" i="24"/>
  <c r="S65" i="24"/>
  <c r="S64" i="24"/>
  <c r="S63" i="24"/>
  <c r="S62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11" i="24"/>
  <c r="S10" i="24"/>
  <c r="S9" i="24"/>
  <c r="S8" i="24"/>
  <c r="S7" i="24"/>
  <c r="Q230" i="24"/>
  <c r="Q229" i="24"/>
  <c r="Q228" i="24"/>
  <c r="Q227" i="24"/>
  <c r="Q226" i="24"/>
  <c r="Q225" i="24"/>
  <c r="Q224" i="24"/>
  <c r="Q223" i="24"/>
  <c r="Q222" i="24"/>
  <c r="Q221" i="24"/>
  <c r="Q220" i="24"/>
  <c r="Q219" i="24"/>
  <c r="Q218" i="24"/>
  <c r="Q217" i="24"/>
  <c r="Q216" i="24"/>
  <c r="Q215" i="24"/>
  <c r="Q214" i="24"/>
  <c r="Q213" i="24"/>
  <c r="Q212" i="24"/>
  <c r="Q211" i="24"/>
  <c r="Q210" i="24"/>
  <c r="Q209" i="24"/>
  <c r="Q208" i="24"/>
  <c r="Q207" i="24"/>
  <c r="Q206" i="24"/>
  <c r="Q205" i="24"/>
  <c r="Q204" i="24"/>
  <c r="Q203" i="24"/>
  <c r="Q202" i="24"/>
  <c r="Q201" i="24"/>
  <c r="Q200" i="24"/>
  <c r="Q199" i="24"/>
  <c r="Q198" i="24"/>
  <c r="Q197" i="24"/>
  <c r="Q196" i="24"/>
  <c r="Q195" i="24"/>
  <c r="Q194" i="24"/>
  <c r="Q193" i="24"/>
  <c r="Q192" i="24"/>
  <c r="Q191" i="24"/>
  <c r="Q190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68" i="24"/>
  <c r="Q167" i="24"/>
  <c r="Q166" i="24"/>
  <c r="Q165" i="24"/>
  <c r="Q164" i="24"/>
  <c r="Q163" i="24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Q150" i="24"/>
  <c r="Q149" i="24"/>
  <c r="Q148" i="24"/>
  <c r="Q147" i="24"/>
  <c r="Q146" i="24"/>
  <c r="Q145" i="24"/>
  <c r="Q144" i="24"/>
  <c r="Q143" i="24"/>
  <c r="Q142" i="24"/>
  <c r="Q141" i="24"/>
  <c r="Q140" i="24"/>
  <c r="Q139" i="24"/>
  <c r="Q138" i="24"/>
  <c r="Q137" i="24"/>
  <c r="Q136" i="24"/>
  <c r="Q135" i="24"/>
  <c r="Q134" i="24"/>
  <c r="Q133" i="24"/>
  <c r="Q132" i="24"/>
  <c r="Q131" i="24"/>
  <c r="Q130" i="24"/>
  <c r="Q129" i="24"/>
  <c r="Q128" i="24"/>
  <c r="Q127" i="24"/>
  <c r="Q126" i="24"/>
  <c r="Q125" i="24"/>
  <c r="Q124" i="24"/>
  <c r="Q123" i="24"/>
  <c r="Q122" i="24"/>
  <c r="Q121" i="24"/>
  <c r="Q120" i="24"/>
  <c r="Q119" i="24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3" i="24"/>
  <c r="Q92" i="24"/>
  <c r="Q91" i="24"/>
  <c r="Q90" i="24"/>
  <c r="Q89" i="24"/>
  <c r="Q88" i="24"/>
  <c r="Q87" i="24"/>
  <c r="Q86" i="24"/>
  <c r="Q85" i="24"/>
  <c r="Q84" i="24"/>
  <c r="Q83" i="24"/>
  <c r="Q82" i="24"/>
  <c r="Q81" i="24"/>
  <c r="Q80" i="24"/>
  <c r="Q79" i="24"/>
  <c r="Q78" i="24"/>
  <c r="Q77" i="24"/>
  <c r="Q76" i="24"/>
  <c r="Q75" i="24"/>
  <c r="Q74" i="24"/>
  <c r="Q73" i="24"/>
  <c r="Q72" i="24"/>
  <c r="Q71" i="24"/>
  <c r="Q70" i="24"/>
  <c r="Q69" i="24"/>
  <c r="Q68" i="24"/>
  <c r="Q67" i="24"/>
  <c r="Q66" i="24"/>
  <c r="Q65" i="24"/>
  <c r="Q64" i="24"/>
  <c r="Q63" i="24"/>
  <c r="Q62" i="24"/>
  <c r="Q61" i="24"/>
  <c r="Q60" i="24"/>
  <c r="Q59" i="24"/>
  <c r="Q58" i="24"/>
  <c r="Q57" i="24"/>
  <c r="Q56" i="24"/>
  <c r="Q55" i="24"/>
  <c r="Q54" i="24"/>
  <c r="Q53" i="24"/>
  <c r="Q52" i="24"/>
  <c r="Q51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Q32" i="24"/>
  <c r="Q31" i="24"/>
  <c r="Q30" i="24"/>
  <c r="Q29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Q16" i="24"/>
  <c r="Q15" i="24"/>
  <c r="Q14" i="24"/>
  <c r="Q13" i="24"/>
  <c r="Q12" i="24"/>
  <c r="Q11" i="24"/>
  <c r="Q10" i="24"/>
  <c r="Q9" i="24"/>
  <c r="Q8" i="24"/>
  <c r="Q7" i="24"/>
  <c r="O230" i="24"/>
  <c r="O229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16" i="24"/>
  <c r="O215" i="24"/>
  <c r="O214" i="24"/>
  <c r="O213" i="24"/>
  <c r="O212" i="24"/>
  <c r="O211" i="24"/>
  <c r="O210" i="24"/>
  <c r="O209" i="24"/>
  <c r="O208" i="24"/>
  <c r="O207" i="24"/>
  <c r="O206" i="24"/>
  <c r="O205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74" i="24"/>
  <c r="O173" i="24"/>
  <c r="O172" i="24"/>
  <c r="O171" i="24"/>
  <c r="O170" i="24"/>
  <c r="O169" i="24"/>
  <c r="O168" i="24"/>
  <c r="O167" i="24"/>
  <c r="O166" i="24"/>
  <c r="O165" i="24"/>
  <c r="O164" i="24"/>
  <c r="O163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32" i="24"/>
  <c r="O131" i="24"/>
  <c r="O130" i="24"/>
  <c r="O129" i="24"/>
  <c r="O128" i="24"/>
  <c r="O127" i="24"/>
  <c r="O126" i="24"/>
  <c r="O125" i="24"/>
  <c r="O124" i="24"/>
  <c r="O123" i="24"/>
  <c r="O122" i="24"/>
  <c r="O121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90" i="24"/>
  <c r="O89" i="24"/>
  <c r="O88" i="24"/>
  <c r="O87" i="24"/>
  <c r="O86" i="24"/>
  <c r="O85" i="24"/>
  <c r="O84" i="24"/>
  <c r="O83" i="24"/>
  <c r="O82" i="24"/>
  <c r="O81" i="24"/>
  <c r="O80" i="24"/>
  <c r="O79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S244" i="2" l="1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R243" i="23"/>
  <c r="R242" i="23"/>
  <c r="R241" i="23"/>
  <c r="R240" i="23"/>
  <c r="R239" i="23"/>
  <c r="R238" i="23"/>
  <c r="R237" i="23"/>
  <c r="R236" i="23"/>
  <c r="R235" i="23"/>
  <c r="R234" i="23"/>
  <c r="R233" i="23"/>
  <c r="R232" i="23"/>
  <c r="R231" i="23"/>
  <c r="R230" i="23"/>
  <c r="R229" i="23"/>
  <c r="R228" i="23"/>
  <c r="R227" i="23"/>
  <c r="R226" i="23"/>
  <c r="R225" i="23"/>
  <c r="R224" i="23"/>
  <c r="R223" i="23"/>
  <c r="R222" i="23"/>
  <c r="R221" i="23"/>
  <c r="R220" i="23"/>
  <c r="R219" i="23"/>
  <c r="R218" i="23"/>
  <c r="R217" i="23"/>
  <c r="R216" i="23"/>
  <c r="R215" i="23"/>
  <c r="R214" i="23"/>
  <c r="R213" i="23"/>
  <c r="R212" i="23"/>
  <c r="R211" i="23"/>
  <c r="R210" i="23"/>
  <c r="R209" i="23"/>
  <c r="R208" i="23"/>
  <c r="R207" i="23"/>
  <c r="R206" i="23"/>
  <c r="R205" i="23"/>
  <c r="R204" i="23"/>
  <c r="R203" i="23"/>
  <c r="R202" i="23"/>
  <c r="R201" i="23"/>
  <c r="R200" i="23"/>
  <c r="R199" i="23"/>
  <c r="R198" i="23"/>
  <c r="R197" i="23"/>
  <c r="R196" i="23"/>
  <c r="R195" i="23"/>
  <c r="R194" i="23"/>
  <c r="R193" i="23"/>
  <c r="R192" i="23"/>
  <c r="R191" i="23"/>
  <c r="R190" i="23"/>
  <c r="R189" i="23"/>
  <c r="R188" i="23"/>
  <c r="R187" i="23"/>
  <c r="R186" i="23"/>
  <c r="R185" i="23"/>
  <c r="R184" i="23"/>
  <c r="R183" i="23"/>
  <c r="R182" i="23"/>
  <c r="R181" i="23"/>
  <c r="R180" i="23"/>
  <c r="R179" i="23"/>
  <c r="R178" i="23"/>
  <c r="R177" i="23"/>
  <c r="R176" i="23"/>
  <c r="R175" i="23"/>
  <c r="R174" i="23"/>
  <c r="R173" i="23"/>
  <c r="R172" i="23"/>
  <c r="R171" i="23"/>
  <c r="R170" i="23"/>
  <c r="R169" i="23"/>
  <c r="R168" i="23"/>
  <c r="R167" i="23"/>
  <c r="R166" i="23"/>
  <c r="R165" i="23"/>
  <c r="R164" i="23"/>
  <c r="R163" i="23"/>
  <c r="R162" i="23"/>
  <c r="R161" i="23"/>
  <c r="R160" i="23"/>
  <c r="R159" i="23"/>
  <c r="R158" i="23"/>
  <c r="R157" i="23"/>
  <c r="R156" i="23"/>
  <c r="R155" i="23"/>
  <c r="R154" i="23"/>
  <c r="R153" i="23"/>
  <c r="R152" i="23"/>
  <c r="R151" i="23"/>
  <c r="R150" i="23"/>
  <c r="R149" i="23"/>
  <c r="R148" i="23"/>
  <c r="R147" i="23"/>
  <c r="R146" i="23"/>
  <c r="R145" i="23"/>
  <c r="R144" i="23"/>
  <c r="R143" i="23"/>
  <c r="R142" i="23"/>
  <c r="R141" i="23"/>
  <c r="R140" i="23"/>
  <c r="R139" i="23"/>
  <c r="R138" i="23"/>
  <c r="R137" i="23"/>
  <c r="R136" i="23"/>
  <c r="R135" i="23"/>
  <c r="R134" i="23"/>
  <c r="R133" i="23"/>
  <c r="R132" i="23"/>
  <c r="R131" i="23"/>
  <c r="R130" i="23"/>
  <c r="R129" i="23"/>
  <c r="R128" i="23"/>
  <c r="R127" i="23"/>
  <c r="R126" i="23"/>
  <c r="R125" i="23"/>
  <c r="R124" i="23"/>
  <c r="R123" i="23"/>
  <c r="R122" i="23"/>
  <c r="R121" i="23"/>
  <c r="R120" i="23"/>
  <c r="R119" i="23"/>
  <c r="R118" i="23"/>
  <c r="R117" i="23"/>
  <c r="R116" i="23"/>
  <c r="R115" i="23"/>
  <c r="R114" i="23"/>
  <c r="R113" i="23"/>
  <c r="R112" i="23"/>
  <c r="R111" i="23"/>
  <c r="R110" i="23"/>
  <c r="R109" i="23"/>
  <c r="R108" i="23"/>
  <c r="R107" i="23"/>
  <c r="R106" i="23"/>
  <c r="R105" i="23"/>
  <c r="R104" i="23"/>
  <c r="R103" i="23"/>
  <c r="R102" i="23"/>
  <c r="R101" i="23"/>
  <c r="R100" i="23"/>
  <c r="R99" i="23"/>
  <c r="R98" i="23"/>
  <c r="R97" i="23"/>
  <c r="R96" i="23"/>
  <c r="R95" i="23"/>
  <c r="R94" i="23"/>
  <c r="R93" i="23"/>
  <c r="R92" i="23"/>
  <c r="R91" i="23"/>
  <c r="R90" i="23"/>
  <c r="R89" i="23"/>
  <c r="R88" i="23"/>
  <c r="R87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3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39" i="23"/>
  <c r="R38" i="23"/>
  <c r="R37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14" i="23"/>
  <c r="R13" i="23"/>
  <c r="R12" i="23"/>
  <c r="R11" i="23"/>
  <c r="R10" i="23"/>
  <c r="R9" i="23"/>
  <c r="R8" i="23"/>
  <c r="R7" i="23"/>
  <c r="P243" i="23"/>
  <c r="P242" i="23"/>
  <c r="P241" i="23"/>
  <c r="P240" i="23"/>
  <c r="P239" i="23"/>
  <c r="P238" i="23"/>
  <c r="P237" i="23"/>
  <c r="P236" i="23"/>
  <c r="P235" i="23"/>
  <c r="P234" i="23"/>
  <c r="P233" i="23"/>
  <c r="P232" i="23"/>
  <c r="P231" i="23"/>
  <c r="P230" i="23"/>
  <c r="P229" i="23"/>
  <c r="P228" i="23"/>
  <c r="P227" i="23"/>
  <c r="P226" i="23"/>
  <c r="P225" i="23"/>
  <c r="P224" i="23"/>
  <c r="P223" i="23"/>
  <c r="P222" i="23"/>
  <c r="P221" i="23"/>
  <c r="P220" i="23"/>
  <c r="P219" i="23"/>
  <c r="P218" i="23"/>
  <c r="P217" i="23"/>
  <c r="P216" i="23"/>
  <c r="P215" i="23"/>
  <c r="P214" i="23"/>
  <c r="P213" i="23"/>
  <c r="P212" i="23"/>
  <c r="P211" i="23"/>
  <c r="P210" i="23"/>
  <c r="P209" i="23"/>
  <c r="P208" i="23"/>
  <c r="P207" i="23"/>
  <c r="P206" i="23"/>
  <c r="P205" i="23"/>
  <c r="P204" i="23"/>
  <c r="P203" i="23"/>
  <c r="P202" i="23"/>
  <c r="P201" i="23"/>
  <c r="P200" i="23"/>
  <c r="P199" i="23"/>
  <c r="P198" i="23"/>
  <c r="P197" i="23"/>
  <c r="P196" i="23"/>
  <c r="P195" i="23"/>
  <c r="P194" i="23"/>
  <c r="P193" i="23"/>
  <c r="P192" i="23"/>
  <c r="P191" i="23"/>
  <c r="P190" i="23"/>
  <c r="P189" i="23"/>
  <c r="P188" i="23"/>
  <c r="P187" i="23"/>
  <c r="P186" i="23"/>
  <c r="P185" i="23"/>
  <c r="P184" i="23"/>
  <c r="P183" i="23"/>
  <c r="P182" i="23"/>
  <c r="P181" i="23"/>
  <c r="P180" i="23"/>
  <c r="P179" i="23"/>
  <c r="P178" i="23"/>
  <c r="P177" i="23"/>
  <c r="P176" i="23"/>
  <c r="P175" i="23"/>
  <c r="P174" i="23"/>
  <c r="P173" i="23"/>
  <c r="P172" i="23"/>
  <c r="P171" i="23"/>
  <c r="P170" i="23"/>
  <c r="P169" i="23"/>
  <c r="P168" i="23"/>
  <c r="P167" i="23"/>
  <c r="P166" i="23"/>
  <c r="P165" i="23"/>
  <c r="P164" i="23"/>
  <c r="P163" i="23"/>
  <c r="P162" i="23"/>
  <c r="P161" i="23"/>
  <c r="P160" i="23"/>
  <c r="P159" i="23"/>
  <c r="P158" i="23"/>
  <c r="P157" i="23"/>
  <c r="P156" i="23"/>
  <c r="P155" i="23"/>
  <c r="P154" i="23"/>
  <c r="P153" i="23"/>
  <c r="P152" i="23"/>
  <c r="P151" i="23"/>
  <c r="P150" i="23"/>
  <c r="P149" i="23"/>
  <c r="P148" i="23"/>
  <c r="P147" i="23"/>
  <c r="P146" i="23"/>
  <c r="P145" i="23"/>
  <c r="P144" i="23"/>
  <c r="P143" i="23"/>
  <c r="P142" i="23"/>
  <c r="P141" i="23"/>
  <c r="P140" i="23"/>
  <c r="P139" i="23"/>
  <c r="P138" i="23"/>
  <c r="P137" i="23"/>
  <c r="P136" i="23"/>
  <c r="P135" i="23"/>
  <c r="P134" i="23"/>
  <c r="P133" i="23"/>
  <c r="P132" i="23"/>
  <c r="P131" i="23"/>
  <c r="P130" i="23"/>
  <c r="P129" i="23"/>
  <c r="P128" i="23"/>
  <c r="P127" i="23"/>
  <c r="P126" i="23"/>
  <c r="P125" i="23"/>
  <c r="P124" i="23"/>
  <c r="P123" i="23"/>
  <c r="P122" i="23"/>
  <c r="P121" i="23"/>
  <c r="P120" i="23"/>
  <c r="P119" i="23"/>
  <c r="P118" i="23"/>
  <c r="P117" i="23"/>
  <c r="P116" i="23"/>
  <c r="P115" i="23"/>
  <c r="P114" i="23"/>
  <c r="P113" i="23"/>
  <c r="P112" i="23"/>
  <c r="P111" i="23"/>
  <c r="P110" i="23"/>
  <c r="P109" i="23"/>
  <c r="P108" i="23"/>
  <c r="P107" i="23"/>
  <c r="P106" i="23"/>
  <c r="P105" i="23"/>
  <c r="P104" i="23"/>
  <c r="P103" i="23"/>
  <c r="P102" i="23"/>
  <c r="P101" i="23"/>
  <c r="P100" i="23"/>
  <c r="P99" i="23"/>
  <c r="P98" i="23"/>
  <c r="P97" i="23"/>
  <c r="P96" i="23"/>
  <c r="P95" i="23"/>
  <c r="P94" i="23"/>
  <c r="P93" i="23"/>
  <c r="P92" i="23"/>
  <c r="P91" i="23"/>
  <c r="P90" i="23"/>
  <c r="P89" i="23"/>
  <c r="P88" i="23"/>
  <c r="P87" i="23"/>
  <c r="P86" i="23"/>
  <c r="P85" i="23"/>
  <c r="P84" i="23"/>
  <c r="P83" i="23"/>
  <c r="P82" i="23"/>
  <c r="P81" i="23"/>
  <c r="P80" i="23"/>
  <c r="P79" i="23"/>
  <c r="P78" i="23"/>
  <c r="P77" i="23"/>
  <c r="P76" i="23"/>
  <c r="P75" i="23"/>
  <c r="P74" i="23"/>
  <c r="P73" i="23"/>
  <c r="P72" i="23"/>
  <c r="P71" i="23"/>
  <c r="P70" i="23"/>
  <c r="P69" i="23"/>
  <c r="P68" i="23"/>
  <c r="P67" i="23"/>
  <c r="P66" i="23"/>
  <c r="P65" i="23"/>
  <c r="P64" i="23"/>
  <c r="P63" i="23"/>
  <c r="P62" i="23"/>
  <c r="P61" i="23"/>
  <c r="P60" i="23"/>
  <c r="P59" i="23"/>
  <c r="P58" i="23"/>
  <c r="P57" i="23"/>
  <c r="P56" i="23"/>
  <c r="P55" i="23"/>
  <c r="P54" i="23"/>
  <c r="P53" i="23"/>
  <c r="P52" i="23"/>
  <c r="P51" i="23"/>
  <c r="P50" i="23"/>
  <c r="P49" i="23"/>
  <c r="P48" i="23"/>
  <c r="P47" i="23"/>
  <c r="P46" i="23"/>
  <c r="P45" i="23"/>
  <c r="P44" i="23"/>
  <c r="P43" i="23"/>
  <c r="P42" i="23"/>
  <c r="P41" i="23"/>
  <c r="P40" i="23"/>
  <c r="P39" i="23"/>
  <c r="P38" i="23"/>
  <c r="P37" i="23"/>
  <c r="P36" i="23"/>
  <c r="P35" i="23"/>
  <c r="P34" i="23"/>
  <c r="P33" i="23"/>
  <c r="P32" i="23"/>
  <c r="P31" i="23"/>
  <c r="P30" i="23"/>
  <c r="P29" i="23"/>
  <c r="P28" i="23"/>
  <c r="P27" i="23"/>
  <c r="P26" i="23"/>
  <c r="P25" i="23"/>
  <c r="P24" i="23"/>
  <c r="P23" i="23"/>
  <c r="P22" i="23"/>
  <c r="P21" i="23"/>
  <c r="P20" i="23"/>
  <c r="P19" i="23"/>
  <c r="P18" i="23"/>
  <c r="P17" i="23"/>
  <c r="P16" i="23"/>
  <c r="P15" i="23"/>
  <c r="P14" i="23"/>
  <c r="P13" i="23"/>
  <c r="P12" i="23"/>
  <c r="P11" i="23"/>
  <c r="P10" i="23"/>
  <c r="P9" i="23"/>
  <c r="P8" i="23"/>
  <c r="P7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R243" i="22" l="1"/>
  <c r="R242" i="22"/>
  <c r="R241" i="22"/>
  <c r="R240" i="22"/>
  <c r="R239" i="22"/>
  <c r="R238" i="22"/>
  <c r="R237" i="22"/>
  <c r="R236" i="22"/>
  <c r="R235" i="22"/>
  <c r="R234" i="22"/>
  <c r="R233" i="22"/>
  <c r="R232" i="22"/>
  <c r="R231" i="22"/>
  <c r="R230" i="22"/>
  <c r="R229" i="22"/>
  <c r="R228" i="22"/>
  <c r="R227" i="22"/>
  <c r="R226" i="22"/>
  <c r="R225" i="22"/>
  <c r="R224" i="22"/>
  <c r="R223" i="22"/>
  <c r="R222" i="22"/>
  <c r="R221" i="22"/>
  <c r="R220" i="22"/>
  <c r="R219" i="22"/>
  <c r="R218" i="22"/>
  <c r="R217" i="22"/>
  <c r="R216" i="22"/>
  <c r="R215" i="22"/>
  <c r="R214" i="22"/>
  <c r="R213" i="22"/>
  <c r="R212" i="22"/>
  <c r="R211" i="22"/>
  <c r="R210" i="22"/>
  <c r="R209" i="22"/>
  <c r="R208" i="22"/>
  <c r="R207" i="22"/>
  <c r="R206" i="22"/>
  <c r="R205" i="22"/>
  <c r="R204" i="22"/>
  <c r="R203" i="22"/>
  <c r="R202" i="22"/>
  <c r="R201" i="22"/>
  <c r="R200" i="22"/>
  <c r="R199" i="22"/>
  <c r="R198" i="22"/>
  <c r="R197" i="22"/>
  <c r="R196" i="22"/>
  <c r="R195" i="22"/>
  <c r="R194" i="22"/>
  <c r="R193" i="22"/>
  <c r="R192" i="22"/>
  <c r="R191" i="22"/>
  <c r="R190" i="22"/>
  <c r="R189" i="22"/>
  <c r="R188" i="22"/>
  <c r="R187" i="22"/>
  <c r="R186" i="22"/>
  <c r="R185" i="22"/>
  <c r="R184" i="22"/>
  <c r="R183" i="22"/>
  <c r="R182" i="22"/>
  <c r="R181" i="22"/>
  <c r="R180" i="22"/>
  <c r="R179" i="22"/>
  <c r="R178" i="22"/>
  <c r="R177" i="22"/>
  <c r="R176" i="22"/>
  <c r="R175" i="22"/>
  <c r="R174" i="22"/>
  <c r="R173" i="22"/>
  <c r="R172" i="22"/>
  <c r="R171" i="22"/>
  <c r="R170" i="22"/>
  <c r="R169" i="22"/>
  <c r="R168" i="22"/>
  <c r="R167" i="22"/>
  <c r="R166" i="22"/>
  <c r="R165" i="22"/>
  <c r="R164" i="22"/>
  <c r="R163" i="22"/>
  <c r="R162" i="22"/>
  <c r="R161" i="22"/>
  <c r="R160" i="22"/>
  <c r="R159" i="22"/>
  <c r="R158" i="22"/>
  <c r="R157" i="22"/>
  <c r="R156" i="22"/>
  <c r="R155" i="22"/>
  <c r="R154" i="22"/>
  <c r="R153" i="22"/>
  <c r="R152" i="22"/>
  <c r="R151" i="22"/>
  <c r="R150" i="22"/>
  <c r="R149" i="22"/>
  <c r="R148" i="22"/>
  <c r="R147" i="22"/>
  <c r="R146" i="22"/>
  <c r="R145" i="22"/>
  <c r="R144" i="22"/>
  <c r="R143" i="22"/>
  <c r="R142" i="22"/>
  <c r="R141" i="22"/>
  <c r="R140" i="22"/>
  <c r="R139" i="22"/>
  <c r="R138" i="22"/>
  <c r="R137" i="22"/>
  <c r="R136" i="22"/>
  <c r="R135" i="22"/>
  <c r="R134" i="22"/>
  <c r="R133" i="22"/>
  <c r="R132" i="22"/>
  <c r="R131" i="22"/>
  <c r="R130" i="22"/>
  <c r="R129" i="22"/>
  <c r="R128" i="22"/>
  <c r="R127" i="22"/>
  <c r="R126" i="22"/>
  <c r="R125" i="22"/>
  <c r="R124" i="22"/>
  <c r="R123" i="22"/>
  <c r="R122" i="22"/>
  <c r="R121" i="22"/>
  <c r="R120" i="22"/>
  <c r="R119" i="22"/>
  <c r="R118" i="22"/>
  <c r="R117" i="22"/>
  <c r="R116" i="22"/>
  <c r="R115" i="22"/>
  <c r="R114" i="22"/>
  <c r="R113" i="22"/>
  <c r="R112" i="22"/>
  <c r="R111" i="22"/>
  <c r="R110" i="22"/>
  <c r="R109" i="22"/>
  <c r="R108" i="22"/>
  <c r="R107" i="22"/>
  <c r="R106" i="22"/>
  <c r="R105" i="22"/>
  <c r="R104" i="22"/>
  <c r="R103" i="22"/>
  <c r="R102" i="22"/>
  <c r="R101" i="22"/>
  <c r="R100" i="22"/>
  <c r="R99" i="22"/>
  <c r="R98" i="22"/>
  <c r="R97" i="22"/>
  <c r="R96" i="22"/>
  <c r="R95" i="22"/>
  <c r="R94" i="22"/>
  <c r="R93" i="22"/>
  <c r="R92" i="22"/>
  <c r="R91" i="22"/>
  <c r="R90" i="22"/>
  <c r="R89" i="22"/>
  <c r="R88" i="22"/>
  <c r="R87" i="22"/>
  <c r="R86" i="22"/>
  <c r="R85" i="22"/>
  <c r="R84" i="22"/>
  <c r="R83" i="22"/>
  <c r="R82" i="22"/>
  <c r="R81" i="22"/>
  <c r="R80" i="22"/>
  <c r="R79" i="22"/>
  <c r="R78" i="22"/>
  <c r="R77" i="22"/>
  <c r="R76" i="22"/>
  <c r="R75" i="22"/>
  <c r="R74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3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R14" i="22"/>
  <c r="R13" i="22"/>
  <c r="R12" i="22"/>
  <c r="R11" i="22"/>
  <c r="R10" i="22"/>
  <c r="R9" i="22"/>
  <c r="R8" i="22"/>
  <c r="R7" i="22"/>
  <c r="P243" i="22"/>
  <c r="P242" i="22"/>
  <c r="P241" i="22"/>
  <c r="P240" i="22"/>
  <c r="P239" i="22"/>
  <c r="P238" i="22"/>
  <c r="P237" i="22"/>
  <c r="P236" i="22"/>
  <c r="P235" i="22"/>
  <c r="P234" i="22"/>
  <c r="P233" i="22"/>
  <c r="P232" i="22"/>
  <c r="P231" i="22"/>
  <c r="P230" i="22"/>
  <c r="P229" i="22"/>
  <c r="P228" i="22"/>
  <c r="P227" i="22"/>
  <c r="P226" i="22"/>
  <c r="P225" i="22"/>
  <c r="P224" i="22"/>
  <c r="P223" i="22"/>
  <c r="P222" i="22"/>
  <c r="P221" i="22"/>
  <c r="P220" i="22"/>
  <c r="P219" i="22"/>
  <c r="P218" i="22"/>
  <c r="P217" i="22"/>
  <c r="P216" i="22"/>
  <c r="P215" i="22"/>
  <c r="P214" i="22"/>
  <c r="P213" i="22"/>
  <c r="P212" i="22"/>
  <c r="P211" i="22"/>
  <c r="P210" i="22"/>
  <c r="P209" i="22"/>
  <c r="P208" i="22"/>
  <c r="P207" i="22"/>
  <c r="P206" i="22"/>
  <c r="P205" i="22"/>
  <c r="P204" i="22"/>
  <c r="P203" i="22"/>
  <c r="P202" i="22"/>
  <c r="P201" i="22"/>
  <c r="P200" i="22"/>
  <c r="P199" i="22"/>
  <c r="P198" i="22"/>
  <c r="P197" i="22"/>
  <c r="P196" i="22"/>
  <c r="P195" i="22"/>
  <c r="P194" i="22"/>
  <c r="P193" i="22"/>
  <c r="P192" i="22"/>
  <c r="P191" i="22"/>
  <c r="P190" i="22"/>
  <c r="P189" i="22"/>
  <c r="P188" i="22"/>
  <c r="P187" i="22"/>
  <c r="P186" i="22"/>
  <c r="P185" i="22"/>
  <c r="P184" i="22"/>
  <c r="P183" i="22"/>
  <c r="P182" i="22"/>
  <c r="P181" i="22"/>
  <c r="P180" i="22"/>
  <c r="P179" i="22"/>
  <c r="P178" i="22"/>
  <c r="P177" i="22"/>
  <c r="P176" i="22"/>
  <c r="P175" i="22"/>
  <c r="P174" i="22"/>
  <c r="P173" i="22"/>
  <c r="P172" i="22"/>
  <c r="P171" i="22"/>
  <c r="P170" i="22"/>
  <c r="P169" i="22"/>
  <c r="P168" i="22"/>
  <c r="P167" i="22"/>
  <c r="P166" i="22"/>
  <c r="P165" i="22"/>
  <c r="P164" i="22"/>
  <c r="P163" i="22"/>
  <c r="P162" i="22"/>
  <c r="P161" i="22"/>
  <c r="P160" i="22"/>
  <c r="P159" i="22"/>
  <c r="P158" i="22"/>
  <c r="P157" i="22"/>
  <c r="P156" i="22"/>
  <c r="P155" i="22"/>
  <c r="P154" i="22"/>
  <c r="P153" i="22"/>
  <c r="P152" i="22"/>
  <c r="P151" i="22"/>
  <c r="P150" i="22"/>
  <c r="P149" i="22"/>
  <c r="P148" i="22"/>
  <c r="P147" i="22"/>
  <c r="P146" i="22"/>
  <c r="P145" i="22"/>
  <c r="P144" i="22"/>
  <c r="P143" i="22"/>
  <c r="P142" i="22"/>
  <c r="P141" i="22"/>
  <c r="P140" i="22"/>
  <c r="P139" i="22"/>
  <c r="P138" i="22"/>
  <c r="P137" i="22"/>
  <c r="P136" i="22"/>
  <c r="P135" i="22"/>
  <c r="P134" i="22"/>
  <c r="P133" i="22"/>
  <c r="P132" i="22"/>
  <c r="P131" i="22"/>
  <c r="P130" i="22"/>
  <c r="P129" i="22"/>
  <c r="P128" i="22"/>
  <c r="P127" i="22"/>
  <c r="P126" i="22"/>
  <c r="P125" i="22"/>
  <c r="P124" i="22"/>
  <c r="P123" i="22"/>
  <c r="P122" i="22"/>
  <c r="P121" i="22"/>
  <c r="P120" i="22"/>
  <c r="P119" i="22"/>
  <c r="P118" i="22"/>
  <c r="P117" i="22"/>
  <c r="P116" i="22"/>
  <c r="P115" i="22"/>
  <c r="P114" i="22"/>
  <c r="P113" i="22"/>
  <c r="P112" i="22"/>
  <c r="P111" i="22"/>
  <c r="P110" i="22"/>
  <c r="P109" i="22"/>
  <c r="P108" i="22"/>
  <c r="P107" i="22"/>
  <c r="P106" i="22"/>
  <c r="P105" i="22"/>
  <c r="P104" i="22"/>
  <c r="P103" i="22"/>
  <c r="P102" i="22"/>
  <c r="P101" i="22"/>
  <c r="P100" i="22"/>
  <c r="P99" i="22"/>
  <c r="P98" i="22"/>
  <c r="P97" i="22"/>
  <c r="P96" i="22"/>
  <c r="P95" i="22"/>
  <c r="P94" i="22"/>
  <c r="P93" i="22"/>
  <c r="P92" i="22"/>
  <c r="P91" i="22"/>
  <c r="P90" i="22"/>
  <c r="P89" i="22"/>
  <c r="P88" i="22"/>
  <c r="P87" i="22"/>
  <c r="P86" i="22"/>
  <c r="P85" i="22"/>
  <c r="P84" i="22"/>
  <c r="P83" i="22"/>
  <c r="P82" i="22"/>
  <c r="P81" i="22"/>
  <c r="P80" i="22"/>
  <c r="P79" i="22"/>
  <c r="P78" i="22"/>
  <c r="P77" i="22"/>
  <c r="P76" i="22"/>
  <c r="P75" i="22"/>
  <c r="P74" i="22"/>
  <c r="P73" i="22"/>
  <c r="P72" i="22"/>
  <c r="P71" i="22"/>
  <c r="P70" i="22"/>
  <c r="P69" i="22"/>
  <c r="P68" i="22"/>
  <c r="P67" i="22"/>
  <c r="P66" i="22"/>
  <c r="P65" i="22"/>
  <c r="P64" i="22"/>
  <c r="P63" i="22"/>
  <c r="P62" i="22"/>
  <c r="P61" i="22"/>
  <c r="P60" i="22"/>
  <c r="P59" i="22"/>
  <c r="P58" i="22"/>
  <c r="P57" i="22"/>
  <c r="P56" i="22"/>
  <c r="P55" i="22"/>
  <c r="P54" i="22"/>
  <c r="P53" i="22"/>
  <c r="P52" i="22"/>
  <c r="P51" i="22"/>
  <c r="P50" i="22"/>
  <c r="P49" i="22"/>
  <c r="P48" i="22"/>
  <c r="P47" i="22"/>
  <c r="P46" i="22"/>
  <c r="P45" i="22"/>
  <c r="P44" i="22"/>
  <c r="P43" i="22"/>
  <c r="P42" i="22"/>
  <c r="P41" i="22"/>
  <c r="P40" i="22"/>
  <c r="P39" i="22"/>
  <c r="P38" i="22"/>
  <c r="P37" i="22"/>
  <c r="P36" i="22"/>
  <c r="P35" i="22"/>
  <c r="P34" i="22"/>
  <c r="P33" i="22"/>
  <c r="P32" i="22"/>
  <c r="P31" i="22"/>
  <c r="P30" i="22"/>
  <c r="P29" i="22"/>
  <c r="P28" i="22"/>
  <c r="P27" i="22"/>
  <c r="P26" i="22"/>
  <c r="P25" i="22"/>
  <c r="P24" i="22"/>
  <c r="P23" i="22"/>
  <c r="P22" i="22"/>
  <c r="P21" i="22"/>
  <c r="P20" i="22"/>
  <c r="P19" i="22"/>
  <c r="P18" i="22"/>
  <c r="P17" i="22"/>
  <c r="P16" i="22"/>
  <c r="P15" i="22"/>
  <c r="P14" i="22"/>
  <c r="P13" i="22"/>
  <c r="P12" i="22"/>
  <c r="P11" i="22"/>
  <c r="P10" i="22"/>
  <c r="P9" i="22"/>
  <c r="P8" i="22"/>
  <c r="P7" i="22"/>
  <c r="N243" i="22"/>
  <c r="N242" i="22"/>
  <c r="N241" i="22"/>
  <c r="N240" i="22"/>
  <c r="N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N150" i="22"/>
  <c r="N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T241" i="21" l="1"/>
  <c r="T240" i="21"/>
  <c r="T239" i="21"/>
  <c r="T238" i="21"/>
  <c r="T237" i="21"/>
  <c r="T236" i="21"/>
  <c r="T235" i="21"/>
  <c r="T234" i="21"/>
  <c r="T233" i="21"/>
  <c r="T232" i="21"/>
  <c r="T231" i="21"/>
  <c r="T230" i="21"/>
  <c r="T229" i="21"/>
  <c r="T228" i="21"/>
  <c r="T227" i="21"/>
  <c r="T226" i="21"/>
  <c r="T225" i="21"/>
  <c r="T224" i="21"/>
  <c r="T223" i="21"/>
  <c r="T222" i="21"/>
  <c r="T221" i="21"/>
  <c r="T220" i="21"/>
  <c r="T219" i="21"/>
  <c r="T218" i="21"/>
  <c r="T217" i="21"/>
  <c r="T216" i="21"/>
  <c r="T215" i="21"/>
  <c r="T214" i="21"/>
  <c r="T213" i="21"/>
  <c r="T212" i="21"/>
  <c r="T211" i="21"/>
  <c r="T210" i="21"/>
  <c r="T209" i="21"/>
  <c r="T208" i="21"/>
  <c r="T207" i="21"/>
  <c r="T206" i="21"/>
  <c r="T205" i="21"/>
  <c r="T204" i="21"/>
  <c r="T203" i="21"/>
  <c r="T202" i="21"/>
  <c r="T201" i="21"/>
  <c r="T200" i="21"/>
  <c r="T199" i="21"/>
  <c r="T198" i="21"/>
  <c r="T197" i="21"/>
  <c r="T196" i="21"/>
  <c r="T195" i="21"/>
  <c r="T194" i="21"/>
  <c r="T193" i="21"/>
  <c r="T192" i="21"/>
  <c r="T191" i="21"/>
  <c r="T190" i="21"/>
  <c r="T189" i="21"/>
  <c r="T188" i="21"/>
  <c r="T187" i="21"/>
  <c r="T186" i="21"/>
  <c r="T185" i="21"/>
  <c r="T184" i="21"/>
  <c r="T183" i="21"/>
  <c r="T182" i="21"/>
  <c r="T181" i="21"/>
  <c r="T180" i="21"/>
  <c r="T179" i="21"/>
  <c r="T178" i="21"/>
  <c r="T177" i="21"/>
  <c r="T176" i="21"/>
  <c r="T175" i="21"/>
  <c r="T174" i="21"/>
  <c r="T173" i="21"/>
  <c r="T172" i="21"/>
  <c r="T171" i="21"/>
  <c r="T170" i="21"/>
  <c r="T169" i="21"/>
  <c r="T168" i="21"/>
  <c r="T167" i="21"/>
  <c r="T166" i="21"/>
  <c r="T165" i="21"/>
  <c r="T164" i="21"/>
  <c r="T163" i="21"/>
  <c r="T162" i="21"/>
  <c r="T161" i="21"/>
  <c r="T160" i="21"/>
  <c r="T159" i="21"/>
  <c r="T158" i="21"/>
  <c r="T157" i="21"/>
  <c r="T156" i="21"/>
  <c r="T155" i="21"/>
  <c r="T154" i="21"/>
  <c r="T153" i="21"/>
  <c r="T152" i="21"/>
  <c r="T151" i="21"/>
  <c r="T150" i="21"/>
  <c r="T149" i="21"/>
  <c r="T148" i="21"/>
  <c r="T147" i="21"/>
  <c r="T146" i="21"/>
  <c r="T145" i="21"/>
  <c r="T144" i="21"/>
  <c r="T143" i="21"/>
  <c r="T142" i="21"/>
  <c r="T141" i="21"/>
  <c r="T140" i="21"/>
  <c r="T139" i="21"/>
  <c r="T138" i="21"/>
  <c r="T137" i="21"/>
  <c r="T136" i="21"/>
  <c r="T135" i="21"/>
  <c r="T134" i="21"/>
  <c r="T133" i="21"/>
  <c r="T132" i="21"/>
  <c r="T131" i="21"/>
  <c r="T130" i="21"/>
  <c r="T129" i="21"/>
  <c r="T128" i="21"/>
  <c r="T127" i="21"/>
  <c r="T126" i="21"/>
  <c r="T125" i="21"/>
  <c r="T124" i="21"/>
  <c r="T123" i="21"/>
  <c r="T122" i="21"/>
  <c r="T121" i="21"/>
  <c r="T120" i="21"/>
  <c r="T119" i="21"/>
  <c r="T118" i="21"/>
  <c r="T117" i="21"/>
  <c r="T116" i="21"/>
  <c r="T115" i="21"/>
  <c r="T114" i="21"/>
  <c r="T113" i="21"/>
  <c r="T112" i="21"/>
  <c r="T111" i="21"/>
  <c r="T110" i="21"/>
  <c r="T109" i="21"/>
  <c r="T108" i="21"/>
  <c r="T107" i="21"/>
  <c r="T106" i="21"/>
  <c r="T105" i="21"/>
  <c r="T104" i="21"/>
  <c r="T103" i="21"/>
  <c r="T102" i="21"/>
  <c r="T101" i="21"/>
  <c r="T100" i="21"/>
  <c r="T99" i="21"/>
  <c r="T98" i="21"/>
  <c r="T97" i="21"/>
  <c r="T96" i="21"/>
  <c r="T95" i="21"/>
  <c r="T94" i="21"/>
  <c r="T93" i="21"/>
  <c r="T92" i="21"/>
  <c r="T91" i="21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R241" i="21"/>
  <c r="R240" i="21"/>
  <c r="R239" i="21"/>
  <c r="R238" i="21"/>
  <c r="R237" i="21"/>
  <c r="R236" i="21"/>
  <c r="R235" i="21"/>
  <c r="R234" i="21"/>
  <c r="R233" i="21"/>
  <c r="R232" i="21"/>
  <c r="R231" i="21"/>
  <c r="R230" i="21"/>
  <c r="R229" i="21"/>
  <c r="R228" i="21"/>
  <c r="R227" i="21"/>
  <c r="R226" i="21"/>
  <c r="R225" i="21"/>
  <c r="R224" i="21"/>
  <c r="R223" i="21"/>
  <c r="R222" i="21"/>
  <c r="R221" i="21"/>
  <c r="R220" i="21"/>
  <c r="R219" i="21"/>
  <c r="R218" i="21"/>
  <c r="R217" i="21"/>
  <c r="R216" i="21"/>
  <c r="R215" i="21"/>
  <c r="R214" i="21"/>
  <c r="R213" i="21"/>
  <c r="R212" i="21"/>
  <c r="R211" i="21"/>
  <c r="R210" i="21"/>
  <c r="R209" i="21"/>
  <c r="R208" i="21"/>
  <c r="R207" i="21"/>
  <c r="R206" i="21"/>
  <c r="R205" i="21"/>
  <c r="R204" i="21"/>
  <c r="R203" i="21"/>
  <c r="R202" i="21"/>
  <c r="R201" i="21"/>
  <c r="R200" i="21"/>
  <c r="R199" i="21"/>
  <c r="R198" i="21"/>
  <c r="R197" i="21"/>
  <c r="R196" i="21"/>
  <c r="R195" i="21"/>
  <c r="R194" i="21"/>
  <c r="R193" i="21"/>
  <c r="R192" i="21"/>
  <c r="R191" i="21"/>
  <c r="R190" i="21"/>
  <c r="R189" i="21"/>
  <c r="R188" i="21"/>
  <c r="R187" i="21"/>
  <c r="R186" i="21"/>
  <c r="R185" i="21"/>
  <c r="R184" i="21"/>
  <c r="R183" i="21"/>
  <c r="R182" i="21"/>
  <c r="R181" i="21"/>
  <c r="R180" i="21"/>
  <c r="R179" i="21"/>
  <c r="R178" i="21"/>
  <c r="R177" i="21"/>
  <c r="R176" i="21"/>
  <c r="R175" i="21"/>
  <c r="R174" i="21"/>
  <c r="R173" i="21"/>
  <c r="R172" i="21"/>
  <c r="R171" i="21"/>
  <c r="R170" i="21"/>
  <c r="R169" i="21"/>
  <c r="R168" i="21"/>
  <c r="R167" i="21"/>
  <c r="R166" i="21"/>
  <c r="R165" i="21"/>
  <c r="R164" i="21"/>
  <c r="R163" i="21"/>
  <c r="R162" i="21"/>
  <c r="R161" i="21"/>
  <c r="R160" i="21"/>
  <c r="R159" i="21"/>
  <c r="R158" i="21"/>
  <c r="R157" i="21"/>
  <c r="R156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P241" i="21"/>
  <c r="P240" i="21"/>
  <c r="P239" i="21"/>
  <c r="P238" i="21"/>
  <c r="P237" i="21"/>
  <c r="P236" i="21"/>
  <c r="P235" i="21"/>
  <c r="P234" i="21"/>
  <c r="P233" i="21"/>
  <c r="P232" i="21"/>
  <c r="P231" i="21"/>
  <c r="P230" i="21"/>
  <c r="P229" i="21"/>
  <c r="P228" i="21"/>
  <c r="P227" i="21"/>
  <c r="P226" i="21"/>
  <c r="P225" i="21"/>
  <c r="P224" i="21"/>
  <c r="P223" i="21"/>
  <c r="P222" i="21"/>
  <c r="P221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P8" i="21"/>
  <c r="P7" i="21"/>
  <c r="T204" i="3" l="1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U18" i="20"/>
  <c r="S18" i="20"/>
  <c r="Q18" i="20"/>
  <c r="T18" i="20"/>
  <c r="R18" i="20"/>
  <c r="P18" i="20"/>
  <c r="O18" i="20"/>
  <c r="Q6" i="20"/>
  <c r="T6" i="20"/>
  <c r="U6" i="20" s="1"/>
  <c r="R6" i="20"/>
  <c r="S6" i="20" s="1"/>
  <c r="P6" i="20"/>
  <c r="O6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7" i="20"/>
  <c r="U16" i="20"/>
  <c r="U15" i="20"/>
  <c r="U14" i="20"/>
  <c r="U13" i="20"/>
  <c r="U12" i="20"/>
  <c r="U11" i="20"/>
  <c r="U10" i="20"/>
  <c r="U9" i="20"/>
  <c r="U8" i="20"/>
  <c r="U7" i="20"/>
  <c r="S33" i="20"/>
  <c r="S32" i="20"/>
  <c r="S31" i="20"/>
  <c r="S30" i="20"/>
  <c r="S29" i="20"/>
  <c r="S28" i="20"/>
  <c r="S27" i="20"/>
  <c r="S26" i="20"/>
  <c r="S25" i="20"/>
  <c r="S24" i="20"/>
  <c r="S23" i="20"/>
  <c r="S22" i="20"/>
  <c r="S21" i="20"/>
  <c r="S20" i="20"/>
  <c r="S19" i="20"/>
  <c r="S17" i="20"/>
  <c r="S16" i="20"/>
  <c r="S15" i="20"/>
  <c r="S14" i="20"/>
  <c r="S13" i="20"/>
  <c r="S12" i="20"/>
  <c r="S11" i="20"/>
  <c r="S10" i="20"/>
  <c r="S9" i="20"/>
  <c r="S8" i="20"/>
  <c r="S7" i="20"/>
  <c r="Q33" i="20"/>
  <c r="Q32" i="20"/>
  <c r="Q31" i="20"/>
  <c r="Q30" i="20"/>
  <c r="Q29" i="20"/>
  <c r="Q28" i="20"/>
  <c r="Q27" i="20"/>
  <c r="Q26" i="20"/>
  <c r="Q25" i="20"/>
  <c r="Q24" i="20"/>
  <c r="Q23" i="20"/>
  <c r="Q22" i="20"/>
  <c r="Q21" i="20"/>
  <c r="Q20" i="20"/>
  <c r="Q19" i="20"/>
  <c r="Q17" i="20"/>
  <c r="Q16" i="20"/>
  <c r="Q15" i="20"/>
  <c r="Q14" i="20"/>
  <c r="Q13" i="20"/>
  <c r="Q12" i="20"/>
  <c r="Q11" i="20"/>
  <c r="Q10" i="20"/>
  <c r="Q9" i="20"/>
  <c r="Q8" i="20"/>
  <c r="Q7" i="20"/>
  <c r="T196" i="18" l="1"/>
  <c r="T195" i="18"/>
  <c r="T194" i="18"/>
  <c r="T193" i="18"/>
  <c r="T192" i="18"/>
  <c r="T191" i="18"/>
  <c r="T190" i="18"/>
  <c r="T189" i="18"/>
  <c r="T188" i="18"/>
  <c r="T187" i="18"/>
  <c r="T186" i="18"/>
  <c r="T185" i="18"/>
  <c r="T184" i="18"/>
  <c r="T183" i="18"/>
  <c r="T182" i="18"/>
  <c r="T181" i="18"/>
  <c r="T180" i="18"/>
  <c r="T179" i="18"/>
  <c r="T178" i="18"/>
  <c r="T177" i="18"/>
  <c r="T176" i="18"/>
  <c r="T175" i="18"/>
  <c r="T174" i="18"/>
  <c r="T173" i="18"/>
  <c r="T172" i="18"/>
  <c r="T171" i="18"/>
  <c r="T170" i="18"/>
  <c r="T169" i="18"/>
  <c r="T168" i="18"/>
  <c r="T167" i="18"/>
  <c r="T166" i="18"/>
  <c r="T165" i="18"/>
  <c r="T164" i="18"/>
  <c r="T163" i="18"/>
  <c r="T162" i="18"/>
  <c r="T161" i="18"/>
  <c r="T160" i="18"/>
  <c r="T159" i="18"/>
  <c r="T158" i="18"/>
  <c r="T157" i="18"/>
  <c r="T156" i="18"/>
  <c r="T155" i="18"/>
  <c r="T154" i="18"/>
  <c r="T153" i="18"/>
  <c r="T152" i="18"/>
  <c r="T151" i="18"/>
  <c r="T150" i="18"/>
  <c r="T149" i="18"/>
  <c r="T148" i="18"/>
  <c r="T147" i="18"/>
  <c r="T146" i="18"/>
  <c r="T145" i="18"/>
  <c r="T144" i="18"/>
  <c r="T143" i="18"/>
  <c r="T142" i="18"/>
  <c r="T141" i="18"/>
  <c r="T140" i="18"/>
  <c r="T139" i="18"/>
  <c r="T138" i="18"/>
  <c r="T137" i="18"/>
  <c r="T136" i="18"/>
  <c r="T135" i="18"/>
  <c r="T134" i="18"/>
  <c r="T133" i="18"/>
  <c r="T132" i="18"/>
  <c r="T131" i="18"/>
  <c r="T130" i="18"/>
  <c r="T129" i="18"/>
  <c r="T128" i="18"/>
  <c r="T127" i="18"/>
  <c r="T126" i="18"/>
  <c r="T125" i="18"/>
  <c r="T124" i="18"/>
  <c r="T123" i="18"/>
  <c r="T122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T105" i="18"/>
  <c r="T104" i="18"/>
  <c r="T103" i="18"/>
  <c r="T102" i="18"/>
  <c r="T101" i="18"/>
  <c r="T100" i="18"/>
  <c r="T99" i="18"/>
  <c r="T98" i="18"/>
  <c r="T97" i="18"/>
  <c r="T96" i="18"/>
  <c r="T95" i="18"/>
  <c r="T94" i="18"/>
  <c r="T93" i="18"/>
  <c r="T92" i="18"/>
  <c r="T91" i="18"/>
  <c r="T90" i="18"/>
  <c r="T89" i="18"/>
  <c r="T88" i="18"/>
  <c r="T87" i="18"/>
  <c r="T86" i="18"/>
  <c r="T85" i="18"/>
  <c r="T84" i="18"/>
  <c r="T83" i="18"/>
  <c r="T82" i="18"/>
  <c r="T81" i="18"/>
  <c r="T80" i="18"/>
  <c r="T79" i="18"/>
  <c r="T78" i="18"/>
  <c r="T77" i="18"/>
  <c r="T76" i="18"/>
  <c r="T75" i="18"/>
  <c r="T74" i="18"/>
  <c r="T73" i="18"/>
  <c r="T72" i="18"/>
  <c r="T71" i="18"/>
  <c r="T70" i="18"/>
  <c r="T69" i="18"/>
  <c r="T68" i="18"/>
  <c r="T67" i="18"/>
  <c r="T66" i="18"/>
  <c r="T65" i="18"/>
  <c r="T64" i="18"/>
  <c r="T63" i="18"/>
  <c r="T62" i="18"/>
  <c r="T61" i="18"/>
  <c r="T60" i="18"/>
  <c r="T59" i="18"/>
  <c r="T58" i="18"/>
  <c r="T57" i="18"/>
  <c r="T56" i="18"/>
  <c r="T55" i="18"/>
  <c r="T54" i="18"/>
  <c r="T53" i="18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8" i="18"/>
  <c r="T7" i="18"/>
  <c r="R196" i="18"/>
  <c r="R195" i="18"/>
  <c r="R194" i="18"/>
  <c r="R193" i="18"/>
  <c r="R192" i="18"/>
  <c r="R191" i="18"/>
  <c r="R190" i="18"/>
  <c r="R189" i="18"/>
  <c r="R188" i="18"/>
  <c r="R187" i="18"/>
  <c r="R186" i="18"/>
  <c r="R185" i="18"/>
  <c r="R184" i="18"/>
  <c r="R183" i="18"/>
  <c r="R182" i="18"/>
  <c r="R181" i="18"/>
  <c r="R180" i="18"/>
  <c r="R179" i="18"/>
  <c r="R178" i="18"/>
  <c r="R177" i="18"/>
  <c r="R176" i="18"/>
  <c r="R175" i="18"/>
  <c r="R174" i="18"/>
  <c r="R173" i="18"/>
  <c r="R172" i="18"/>
  <c r="R171" i="18"/>
  <c r="R170" i="18"/>
  <c r="R169" i="18"/>
  <c r="R168" i="18"/>
  <c r="R167" i="18"/>
  <c r="R166" i="18"/>
  <c r="R165" i="18"/>
  <c r="R164" i="18"/>
  <c r="R163" i="18"/>
  <c r="R162" i="18"/>
  <c r="R161" i="18"/>
  <c r="R160" i="18"/>
  <c r="R159" i="18"/>
  <c r="R158" i="18"/>
  <c r="R157" i="18"/>
  <c r="R156" i="18"/>
  <c r="R155" i="18"/>
  <c r="R154" i="18"/>
  <c r="R153" i="18"/>
  <c r="R152" i="18"/>
  <c r="R151" i="18"/>
  <c r="R150" i="18"/>
  <c r="R149" i="18"/>
  <c r="R148" i="18"/>
  <c r="R147" i="18"/>
  <c r="R146" i="18"/>
  <c r="R145" i="18"/>
  <c r="R144" i="18"/>
  <c r="R143" i="18"/>
  <c r="R142" i="18"/>
  <c r="R141" i="18"/>
  <c r="R140" i="18"/>
  <c r="R139" i="18"/>
  <c r="R138" i="18"/>
  <c r="R137" i="18"/>
  <c r="R136" i="18"/>
  <c r="R135" i="18"/>
  <c r="R134" i="18"/>
  <c r="R133" i="18"/>
  <c r="R132" i="18"/>
  <c r="R131" i="18"/>
  <c r="R130" i="18"/>
  <c r="R129" i="18"/>
  <c r="R128" i="18"/>
  <c r="R127" i="18"/>
  <c r="R126" i="18"/>
  <c r="R125" i="18"/>
  <c r="R124" i="18"/>
  <c r="R123" i="18"/>
  <c r="R122" i="18"/>
  <c r="R121" i="18"/>
  <c r="R120" i="18"/>
  <c r="R119" i="18"/>
  <c r="R118" i="18"/>
  <c r="R117" i="18"/>
  <c r="R116" i="18"/>
  <c r="R115" i="18"/>
  <c r="R114" i="18"/>
  <c r="R113" i="18"/>
  <c r="R112" i="18"/>
  <c r="R111" i="18"/>
  <c r="R110" i="18"/>
  <c r="R109" i="18"/>
  <c r="R108" i="18"/>
  <c r="R107" i="18"/>
  <c r="R106" i="18"/>
  <c r="R105" i="18"/>
  <c r="R104" i="18"/>
  <c r="R103" i="18"/>
  <c r="R102" i="18"/>
  <c r="R101" i="18"/>
  <c r="R100" i="18"/>
  <c r="R99" i="18"/>
  <c r="R98" i="18"/>
  <c r="R97" i="18"/>
  <c r="R96" i="18"/>
  <c r="R95" i="18"/>
  <c r="R94" i="18"/>
  <c r="R93" i="18"/>
  <c r="R92" i="18"/>
  <c r="R91" i="18"/>
  <c r="R90" i="18"/>
  <c r="R89" i="18"/>
  <c r="R88" i="18"/>
  <c r="R87" i="18"/>
  <c r="R86" i="18"/>
  <c r="R85" i="18"/>
  <c r="R84" i="18"/>
  <c r="R83" i="18"/>
  <c r="R82" i="18"/>
  <c r="R81" i="18"/>
  <c r="R80" i="18"/>
  <c r="R79" i="18"/>
  <c r="R78" i="18"/>
  <c r="R77" i="18"/>
  <c r="R76" i="18"/>
  <c r="R75" i="18"/>
  <c r="R74" i="18"/>
  <c r="R73" i="18"/>
  <c r="R72" i="18"/>
  <c r="R71" i="18"/>
  <c r="R70" i="18"/>
  <c r="R69" i="18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3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39" i="18"/>
  <c r="R38" i="18"/>
  <c r="R37" i="18"/>
  <c r="R36" i="18"/>
  <c r="R35" i="18"/>
  <c r="R34" i="18"/>
  <c r="R33" i="18"/>
  <c r="R32" i="18"/>
  <c r="R31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R16" i="18"/>
  <c r="R15" i="18"/>
  <c r="R14" i="18"/>
  <c r="R13" i="18"/>
  <c r="R12" i="18"/>
  <c r="R11" i="18"/>
  <c r="R10" i="18"/>
  <c r="R9" i="18"/>
  <c r="R8" i="18"/>
  <c r="R7" i="18"/>
  <c r="P196" i="18"/>
  <c r="P195" i="18"/>
  <c r="P194" i="18"/>
  <c r="P193" i="18"/>
  <c r="P192" i="18"/>
  <c r="P191" i="18"/>
  <c r="P190" i="18"/>
  <c r="P189" i="18"/>
  <c r="P188" i="18"/>
  <c r="P187" i="18"/>
  <c r="P186" i="18"/>
  <c r="P185" i="18"/>
  <c r="P184" i="18"/>
  <c r="P183" i="18"/>
  <c r="P182" i="18"/>
  <c r="P181" i="18"/>
  <c r="P180" i="18"/>
  <c r="P179" i="18"/>
  <c r="P178" i="18"/>
  <c r="P177" i="18"/>
  <c r="P176" i="18"/>
  <c r="P175" i="18"/>
  <c r="P174" i="18"/>
  <c r="P173" i="18"/>
  <c r="P172" i="18"/>
  <c r="P171" i="18"/>
  <c r="P170" i="18"/>
  <c r="P169" i="18"/>
  <c r="P168" i="18"/>
  <c r="P167" i="18"/>
  <c r="P166" i="18"/>
  <c r="P165" i="18"/>
  <c r="P164" i="18"/>
  <c r="P163" i="18"/>
  <c r="P162" i="18"/>
  <c r="P161" i="18"/>
  <c r="P160" i="18"/>
  <c r="P159" i="18"/>
  <c r="P158" i="18"/>
  <c r="P157" i="18"/>
  <c r="P156" i="18"/>
  <c r="P155" i="18"/>
  <c r="P154" i="18"/>
  <c r="P153" i="18"/>
  <c r="P152" i="18"/>
  <c r="P151" i="18"/>
  <c r="P150" i="18"/>
  <c r="P149" i="18"/>
  <c r="P148" i="18"/>
  <c r="P147" i="18"/>
  <c r="P146" i="18"/>
  <c r="P145" i="18"/>
  <c r="P144" i="18"/>
  <c r="P143" i="18"/>
  <c r="P142" i="18"/>
  <c r="P141" i="18"/>
  <c r="P140" i="18"/>
  <c r="P139" i="18"/>
  <c r="P138" i="18"/>
  <c r="P137" i="18"/>
  <c r="P136" i="18"/>
  <c r="P135" i="18"/>
  <c r="P134" i="18"/>
  <c r="P133" i="18"/>
  <c r="P132" i="18"/>
  <c r="P131" i="18"/>
  <c r="P130" i="18"/>
  <c r="P129" i="18"/>
  <c r="P128" i="18"/>
  <c r="P127" i="18"/>
  <c r="P126" i="18"/>
  <c r="P125" i="18"/>
  <c r="P124" i="18"/>
  <c r="P123" i="18"/>
  <c r="P122" i="18"/>
  <c r="P121" i="18"/>
  <c r="P120" i="18"/>
  <c r="P119" i="18"/>
  <c r="P118" i="18"/>
  <c r="P117" i="18"/>
  <c r="P116" i="18"/>
  <c r="P115" i="18"/>
  <c r="P114" i="18"/>
  <c r="P113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62" i="18"/>
  <c r="P61" i="18"/>
  <c r="P60" i="18"/>
  <c r="P59" i="18"/>
  <c r="P58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4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8" i="18"/>
  <c r="P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Q156" authorId="0" shapeId="0" xr:uid="{3650495B-7057-465D-9FA9-8DBA3211775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</t>
        </r>
      </text>
    </comment>
    <comment ref="R158" authorId="0" shapeId="0" xr:uid="{F2CC2565-4DB9-4740-8C84-5747D93A167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 Financiera</author>
    <author>USER</author>
    <author>Yan</author>
    <author>Fabio Jan Munoz Lopez</author>
  </authors>
  <commentList>
    <comment ref="Q18" authorId="0" shapeId="0" xr:uid="{AC0F94B6-5426-4EC4-AC97-04793F892D12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2920 DEL 20200630 $230,000,000</t>
        </r>
      </text>
    </comment>
    <comment ref="Q21" authorId="1" shapeId="0" xr:uid="{A67277E3-4C10-44F2-881C-2A1D53B64B6C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20201105 $650,000,000</t>
        </r>
      </text>
    </comment>
    <comment ref="R22" authorId="2" shapeId="0" xr:uid="{4F1EEDD1-B779-426B-B096-661D66B5623D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
MM 2920 DEL 20200630 $230,000,000
MM 5520 DEL 20201105 $650,000,000</t>
        </r>
      </text>
    </comment>
    <comment ref="Q23" authorId="2" shapeId="0" xr:uid="{59F41A4D-B751-40F1-BD4A-2A9CA5A4E467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</t>
        </r>
      </text>
    </comment>
    <comment ref="Q25" authorId="1" shapeId="0" xr:uid="{7D644954-B1A5-4582-9B11-200A6BAC4057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20201105 $100,000,000</t>
        </r>
      </text>
    </comment>
    <comment ref="R26" authorId="1" shapeId="0" xr:uid="{B5E0D025-38B5-4369-B8C8-06DC1076923C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20201105 $370,000,000</t>
        </r>
      </text>
    </comment>
    <comment ref="Q27" authorId="1" shapeId="0" xr:uid="{818039F2-2118-461B-8714-626319CAB63F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20201105 $200,000,000</t>
        </r>
      </text>
    </comment>
    <comment ref="Q29" authorId="1" shapeId="0" xr:uid="{89270928-224C-4EFC-AEDE-CBFD4B1947A1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20201105 $70,000,000</t>
        </r>
      </text>
    </comment>
    <comment ref="Q36" authorId="1" shapeId="0" xr:uid="{9C3E57E9-3632-40A9-ACE8-3FC46D83AB91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5720 DEL 20201111 $220,000,000</t>
        </r>
      </text>
    </comment>
    <comment ref="R36" authorId="1" shapeId="0" xr:uid="{84158B23-6AC7-4170-92A8-B8601F8ECFBF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20201105 $430,000,000</t>
        </r>
      </text>
    </comment>
    <comment ref="R37" authorId="1" shapeId="0" xr:uid="{6E56D982-EDDF-406B-A73E-DB46794BDBB0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5720 DEL 20201111 $150,000,000</t>
        </r>
      </text>
    </comment>
    <comment ref="R38" authorId="1" shapeId="0" xr:uid="{D32A034B-5CB2-4316-A1A9-33385D9F2BA6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5720 DEL 20201111 $70,000,000</t>
        </r>
      </text>
    </comment>
    <comment ref="Q39" authorId="1" shapeId="0" xr:uid="{FDD6AA1B-458D-4D1F-942F-94985FF93938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20201105 $350,000,000</t>
        </r>
      </text>
    </comment>
    <comment ref="Q42" authorId="1" shapeId="0" xr:uid="{8D5A3023-DF47-4A84-B199-C8EE22776A14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5520 DEL 20201105 $80,000,000</t>
        </r>
      </text>
    </comment>
    <comment ref="R48" authorId="2" shapeId="0" xr:uid="{82F46F40-6964-47EE-B600-4FAC9987007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20200319 $10,000,000
MM 2520 DEL 20200604 $6,000,000</t>
        </r>
      </text>
    </comment>
    <comment ref="R49" authorId="2" shapeId="0" xr:uid="{AEB0F895-ABF0-4D75-A16E-6DB073E3F45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20200604 $4,567,529
MM 4120 DEL 20200901 $6.000.000</t>
        </r>
      </text>
    </comment>
    <comment ref="R51" authorId="1" shapeId="0" xr:uid="{71BE09A0-9F3D-43E3-B8F4-8E957569F06B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5220 DEL 20201002 $27.350.000</t>
        </r>
      </text>
    </comment>
    <comment ref="Q53" authorId="2" shapeId="0" xr:uid="{62F787D6-B25E-4CB2-9E5B-BC565C4ED37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5820 DEL 20201112 $20.740.266</t>
        </r>
      </text>
    </comment>
    <comment ref="R53" authorId="1" shapeId="0" xr:uid="{04F134CC-B36E-4AA7-A838-EC7B3061D911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5420 DEL 20201104 $6,780,994</t>
        </r>
      </text>
    </comment>
    <comment ref="R54" authorId="2" shapeId="0" xr:uid="{0F43F121-7D64-42A0-AEE7-B02C9DDE7C4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20200319 $9,200,000</t>
        </r>
      </text>
    </comment>
    <comment ref="Q55" authorId="2" shapeId="0" xr:uid="{A6DFC0F0-77CF-471D-8706-D78C68AA681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2120 DEL 20200514 $70,000,000
</t>
        </r>
      </text>
    </comment>
    <comment ref="R55" authorId="1" shapeId="0" xr:uid="{55225365-90E6-400D-B4A3-1FF3E9939A5B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5120 DEL 20201001 $3.600.000</t>
        </r>
      </text>
    </comment>
    <comment ref="R56" authorId="2" shapeId="0" xr:uid="{2336B1DD-DFBB-41B6-A0F1-B304FCA349C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20200319 $2,000,000</t>
        </r>
      </text>
    </comment>
    <comment ref="R57" authorId="2" shapeId="0" xr:uid="{4A49B9D6-3FE3-400F-BFEB-59D7A33F467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20200604 $6,000,000
MM 4120 DEL 20200901 $800.000</t>
        </r>
      </text>
    </comment>
    <comment ref="R58" authorId="2" shapeId="0" xr:uid="{B4E8E77E-4576-4475-AC01-6F71CCC08C5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20200604 $3,000,000
MM 4120 DEL 20200901 $2.400.000
MM 4620 DEL 20200907 $12.293.863</t>
        </r>
      </text>
    </comment>
    <comment ref="R60" authorId="2" shapeId="0" xr:uid="{72055C73-C9E0-4620-B1F1-C6562A873E7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20200604 $7,000,000
MM 4120 DEL 20200901 $5.000.000</t>
        </r>
      </text>
    </comment>
    <comment ref="Q61" authorId="3" shapeId="0" xr:uid="{248AFE04-F8E7-4DBD-B07A-54C5F1CBA4A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R61" authorId="1" shapeId="0" xr:uid="{E69F7848-5386-40C8-9394-A1DDDFECF24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4320 DEL 20200903 $32.000.000</t>
        </r>
      </text>
    </comment>
    <comment ref="Q62" authorId="3" shapeId="0" xr:uid="{409DE19B-3EFA-422B-9945-29E88B9FCEE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Q63" authorId="2" shapeId="0" xr:uid="{947D63EC-4F29-40C6-8A7F-CE79CA7A6AD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
MM 5920 DEL 20201113 $7.062.650</t>
        </r>
      </text>
    </comment>
    <comment ref="R63" authorId="3" shapeId="0" xr:uid="{C52F5C35-3A8D-4A64-8A59-C26B528B080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
MM 420 DEL 20200210 $30,000,000
MM 2020 DEL 20200429 $22,235,566
MM 4320 DEL 20200903 $23.362.695</t>
        </r>
      </text>
    </comment>
    <comment ref="Q64" authorId="2" shapeId="0" xr:uid="{D8DD2486-08B6-4BF1-BD13-5BADB51B310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20200604 $20,000,000</t>
        </r>
      </text>
    </comment>
    <comment ref="R64" authorId="1" shapeId="0" xr:uid="{167F36B0-D65B-403F-BFE9-4BEEF5C7E9BB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4120 DEL 20200901 $13.340.000</t>
        </r>
      </text>
    </comment>
    <comment ref="Q68" authorId="3" shapeId="0" xr:uid="{7C0BFE50-843E-4D74-8CAC-2EBCF753B56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
MM 5320 DEL 20201002 $488.841.816</t>
        </r>
      </text>
    </comment>
    <comment ref="R68" authorId="2" shapeId="0" xr:uid="{7B2437A7-23E8-48A8-9901-FE78DADD9E1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1420 DEL 20200407 $27,793,073
MM 1520 DEL 20200408 $52,000,000
MM 2120 DEL 20200514 $70,000,000
MM 2520 DEL 20200604 $46,293,242,88
MM 3520 DEL 20200709 $152.303.676
MM 4120 DEL 20200901 $20.000.000
MM 4420 DEL 20200904 $400.000.000
MM 4720 DEL 20200915 $300.000.000
MM 5120 DEL 20201001 $28.481.736
MM 5820 DEL 20201112 $48.841.816
MM 6220 DEL 20201127 $85.000.000
RES.01956 DEL 20201029 $248,188,853</t>
        </r>
      </text>
    </comment>
    <comment ref="Q69" authorId="3" shapeId="0" xr:uid="{13F26E5E-455D-4B03-A1F0-3F20729DBC9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
MM 5220 DEL 20201002 $5.000.000</t>
        </r>
      </text>
    </comment>
    <comment ref="R69" authorId="2" shapeId="0" xr:uid="{E6B01E3D-B311-4915-8A05-9275DC2C93D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20200319 $13,000,000</t>
        </r>
      </text>
    </comment>
    <comment ref="R70" authorId="3" shapeId="0" xr:uid="{2DA7D2E9-B909-4367-BFD4-8BCBD7C8AF2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Q71" authorId="2" shapeId="0" xr:uid="{B8949193-0EA2-4A55-9509-82B9CBC9D2A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5820 DEL 20201112 $26.954.323</t>
        </r>
      </text>
    </comment>
    <comment ref="R71" authorId="2" shapeId="0" xr:uid="{67B126BD-7AC1-4D17-B4A5-95C7232A5C2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20200319 $30,000,000
MM 5020 DEL 20200929 $101.764.932</t>
        </r>
      </text>
    </comment>
    <comment ref="Q72" authorId="0" shapeId="0" xr:uid="{C2CA06D6-3B59-4E55-BB75-D6F41470C2A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20200625 $15.000.000
MM 3220 DEL 20200702 $50.000.000
MM 4120 DEL 20200901 $139.215.878</t>
        </r>
      </text>
    </comment>
    <comment ref="Q74" authorId="2" shapeId="0" xr:uid="{5A7C1C2F-6CE2-4766-B409-E8F969E6E6D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20200604 $60,000,000</t>
        </r>
      </text>
    </comment>
    <comment ref="R74" authorId="2" shapeId="0" xr:uid="{13CB267D-504E-42C4-AF5F-084FDF20FD5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20200319 $1,459,150
MM 5420 DEL 20201104 $22,606,542</t>
        </r>
      </text>
    </comment>
    <comment ref="Q75" authorId="2" shapeId="0" xr:uid="{725DAD48-4735-4636-A2EF-ED55B85C88A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20200604 $10,000,000
MM 3120 DEL 20200702 $106.166.682,63
MM 3220 DEL 20200702 $29.964.072
MM 3320 DEL 20200702 $4.115.280,78
MM 3420 DEL 20200703 $30.345.000
MM 3520 DEL 20200709 $472.294.523
MM 4320 DEL 20200903 $166.218.064
MM 4420 DEL 20200904 $400.000.000
MM 4620 DEL 20200907 $173.939.719
MM 4720 DEL 20200915 $300.000.000
MM 4820 DEL 20200923 $20.000.000
MM 5020 DEL 20200929 $388.042.251,88
MM 5120 DEL 20201001 $247.016.035
MM 5820 DEL 20201112 $1,147,227</t>
        </r>
      </text>
    </comment>
    <comment ref="R75" authorId="2" shapeId="0" xr:uid="{9F9939F9-9417-40DC-8738-1290B4049E2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20200319 $1,056,762,979</t>
        </r>
      </text>
    </comment>
    <comment ref="R77" authorId="3" shapeId="0" xr:uid="{317BA905-06F3-479A-9056-A62F3A32FA0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RES.01956 DEL 20201029 $137,216,483</t>
        </r>
      </text>
    </comment>
    <comment ref="Q78" authorId="2" shapeId="0" xr:uid="{4B4596F2-419B-417A-8879-16611B6C4C7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20200604 $8,045,908</t>
        </r>
      </text>
    </comment>
    <comment ref="R78" authorId="3" shapeId="0" xr:uid="{628D2C1C-2EF2-4AC6-856F-0F17A6C83FB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920 DEL 20200317 $120,491,795.37
MM 1120 DEL 20200319 $520,000,000
MM 1720 DEL 20200421 $43,341,522
MM 3120 DEL 20200702 $106.166.682,63
MM 4120 DEL 20200901 $1.153.474
MM 4320 DEL 20200903 $53.757.034
MM 5320 DEL 20201002 $488.841.816
RES.01956 DEL 20201029 $509,163,840</t>
        </r>
      </text>
    </comment>
    <comment ref="Q79" authorId="3" shapeId="0" xr:uid="{84DAF6ED-2A47-4BFE-ACA3-6E3DA6B59D4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920 DEL 20200317 $120,491,795.37
MM 1320 DEL 20200320 $311,197,103
MM 1420 DEL 20200407 $27,793,073
MM 1520 DEL 20200408 $52,000,000</t>
        </r>
      </text>
    </comment>
    <comment ref="R79" authorId="2" shapeId="0" xr:uid="{41F735D9-D1A3-4934-95E9-DA6DB581285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20200429 $109,801,250,78
MM 5920 DEL 20201113 $7.062.650</t>
        </r>
      </text>
    </comment>
    <comment ref="Q80" authorId="3" shapeId="0" xr:uid="{81F51077-3247-489A-9421-103D9CAF396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1120 DEL 20200319 $1,658,656,629
MM 1620 DEL 20200420 $9,968,718
MM 1720 DEL 20200421 $43,341,522
MM 2520 DEL 20200604 $11,154,065.88
MM 5420 DEL 20201104 $29,387,536</t>
        </r>
      </text>
    </comment>
    <comment ref="R80" authorId="2" shapeId="0" xr:uid="{7531F0EA-6EEC-4963-9D93-ABDC9CD9929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
MM 3220 DEL 20200702 $79.964.072
MM 3420 DEL 20200703 $30.345.000
MM 4120 DEL 20200901 $9.000.000
MM 4620 DEL 20200907 $22.897.580
MM 4820 DEL 20200923 $20.000.000
MM 4920 DEL 20200923 $13.000.000
MM 5020 DEL 20200929 $286.277.319,88</t>
        </r>
      </text>
    </comment>
    <comment ref="Q81" authorId="2" shapeId="0" xr:uid="{E821E364-3417-4647-B748-808C2F23CE2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20200429 $132,036,816,78</t>
        </r>
      </text>
    </comment>
    <comment ref="R81" authorId="3" shapeId="0" xr:uid="{71490303-D4FD-4231-8163-C1EBD90788A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1120 DEL 20200319 $12,300,000
MM 1320 DEL 20200320 $311,197,103
MM 1620 DEL 20200420 $9,968,718
MM 2520 DEL 20200604 $29.121.702
MM 3320 DEL 20200702 $4.115.280,78
MM 4120 DEL 20200901 $70.739.904
MM 4320 DEL 20200903 $57.098.335
MM 5120 DEL 20201001 $214.934.299</t>
        </r>
      </text>
    </comment>
    <comment ref="Q82" authorId="1" shapeId="0" xr:uid="{409F3FA2-807B-4EA1-9E31-0BCA7F5A1A8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4920 DEL 20200923 $13.000.000
MM 5220 DEL 20201002 $22.350.000</t>
        </r>
      </text>
    </comment>
    <comment ref="R84" authorId="1" shapeId="0" xr:uid="{3C8F4707-E366-4C33-A63A-7B0A1661EED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RES.01956 DEL 20201029 $50,000,000
</t>
        </r>
      </text>
    </comment>
    <comment ref="Q85" authorId="1" shapeId="0" xr:uid="{5D7C6705-81D6-436E-892A-9A72101F5ACB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5" authorId="1" shapeId="0" xr:uid="{7E249C23-C2E0-477A-9C66-452FB8813C0B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4620 DEL 20200907 $35.118.054</t>
        </r>
      </text>
    </comment>
    <comment ref="R86" authorId="0" shapeId="0" xr:uid="{FA2C1F01-E629-477B-955B-58DF447F3E22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20200625 $15,000,000</t>
        </r>
      </text>
    </comment>
    <comment ref="R87" authorId="1" shapeId="0" xr:uid="{53A63CF7-20AE-46A8-9AC2-010651E46094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
MM 4620 DEL 20200907 $103.630.222</t>
        </r>
      </text>
    </comment>
    <comment ref="R88" authorId="2" shapeId="0" xr:uid="{DAD64E56-47AB-473C-A028-3D480209FB2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20200319 $3,934,500
MM 2520 DEL 20200604 $7,217,500
RES. 01000 DEL 20200601 $51,000,000
MM 4120 DEL 20200901 $10.782.500</t>
        </r>
      </text>
    </comment>
    <comment ref="Q89" authorId="1" shapeId="0" xr:uid="{33B527F0-F8D6-40C8-8183-3EB07E23DC1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6220 DEL 20201127 $85.000.000
</t>
        </r>
      </text>
    </comment>
    <comment ref="R89" authorId="1" shapeId="0" xr:uid="{2BD47512-20D7-4C30-9AF4-20249536284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3520 DEL 20200709 $319.990.847
RES.01956 DEL 20201029 $377,517,624
</t>
        </r>
      </text>
    </comment>
    <comment ref="O93" authorId="2" shapeId="0" xr:uid="{8AB2FFB9-5D46-4266-9A17-FD9C31A6178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Res.1093 DEL 20200508 $496,494,923,000 Res.1154 DEL 20200521 $494,970,566,896
Res.1346 DEL 20200630 $494,938,071,017
Res.1655 DEL 20200827 $807,240,018,752
Res.2051 DEL 20201028 $476,161,981,248</t>
        </r>
      </text>
    </comment>
    <comment ref="O94" authorId="2" shapeId="0" xr:uid="{94E8CFFC-AAD0-4253-A98F-E8A7570A152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Res.1481 DEL 20200723 $2,904,865,606,800
Res.1848 DEL 20200923 $41,498,394,000
</t>
        </r>
      </text>
    </comment>
    <comment ref="R100" authorId="3" shapeId="0" xr:uid="{0EB37731-468B-4F22-99F5-F0CF3257250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101" authorId="3" shapeId="0" xr:uid="{478160C8-802B-4814-B789-53584BEB181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AE101" authorId="3" shapeId="0" xr:uid="{E8BDEA33-F32F-427E-AB54-E7DF6101887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R108" authorId="1" shapeId="0" xr:uid="{635D3065-A8E8-4F2B-B3AE-A77A1D74AC4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3820 DEL 20200813 $1,021,252</t>
        </r>
      </text>
    </comment>
    <comment ref="Q109" authorId="1" shapeId="0" xr:uid="{CE507E2D-38C0-4FBA-A458-3254768107B6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RES. 01000 DEL 20200601 $26,000,000</t>
        </r>
      </text>
    </comment>
    <comment ref="Q110" authorId="1" shapeId="0" xr:uid="{3F4C89AE-B734-4FC5-84EF-85F6719A7F2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 01000 DEL 20200601 $25,000,000
MM 3820 DEL 20200813 $1,021,252</t>
        </r>
      </text>
    </comment>
    <comment ref="Q112" authorId="1" shapeId="0" xr:uid="{0BC0E8A5-1F07-4FB9-A5CB-423A17DC17C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RES.01956 DEL 20201029 $1,322,086,800</t>
        </r>
      </text>
    </comment>
    <comment ref="Q132" authorId="1" shapeId="0" xr:uid="{8CA3353D-BE84-4A04-BD85-BFE028BCE3B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6320 DEL 20201127 $2.438.507.349
MM 6420 DEL 20201127 $2.611.861.167
MM 6520 DEL 20201127 $30.862.084</t>
        </r>
      </text>
    </comment>
    <comment ref="R138" authorId="1" shapeId="0" xr:uid="{B6DAC693-3AEC-4687-A1F3-17D20EDE3E5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6520 DEL 20201127 $30.862.084</t>
        </r>
      </text>
    </comment>
    <comment ref="R140" authorId="1" shapeId="0" xr:uid="{E58CE7BD-7CF8-40D2-A7DF-E8EB5F4FD44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6320 DEL 20201127 $2.438.507.349
MM 6420 DEL 20201127 $2.611.861.167</t>
        </r>
      </text>
    </comment>
    <comment ref="R148" authorId="3" shapeId="0" xr:uid="{3091218E-4B19-413F-ADEC-807951469E9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49" authorId="3" shapeId="0" xr:uid="{418C302A-5B31-4357-8084-9E9F077A447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50" authorId="1" shapeId="0" xr:uid="{9D92F272-E0AC-418A-83A9-3F863FDD882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RES.02061 DEL 20201109 $72,964,569,497</t>
        </r>
      </text>
    </comment>
    <comment ref="Q155" authorId="0" shapeId="0" xr:uid="{725658D7-6142-4635-AB51-2C563BBEDFC0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$58,501,450</t>
        </r>
      </text>
    </comment>
    <comment ref="Q157" authorId="0" shapeId="0" xr:uid="{5FD2C3D2-7C2B-487C-962D-96277C3C4C7D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$73,595,250</t>
        </r>
      </text>
    </comment>
    <comment ref="Q161" authorId="0" shapeId="0" xr:uid="{1FDF9038-EA9A-43F0-A450-668F93F46CFA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$1,222,086,351</t>
        </r>
      </text>
    </comment>
    <comment ref="Q164" authorId="3" shapeId="0" xr:uid="{A90CF00A-5B11-4B6E-AB73-F488E60F8EC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
MM 1820 DEL 20200422 $1,489,790,422,64
MM 2820 DEL 20200626 $392,236,278
MM 6020 DEL 20201120 $29.590.481</t>
        </r>
      </text>
    </comment>
    <comment ref="R164" authorId="2" shapeId="0" xr:uid="{F7B793F2-F9F2-4399-AA6C-D625BE5860C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20200326 $280,000,000,000
RES.02061 DEL 20201109 $13,382,392,628,67</t>
        </r>
      </text>
    </comment>
    <comment ref="Q166" authorId="1" shapeId="0" xr:uid="{1CC5982B-ADA5-438B-B753-8F21900DF62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3620 DEL 20200716 $7.464.287.059
MM 4020 DEL 20200901 $660.000.000
MM 4220 DEL 20200902 $197.500.000
MM 4520 DEL 20200904 $250.000.000
MM 6120 DEL 20201123 $1,000.000.000</t>
        </r>
      </text>
    </comment>
    <comment ref="R166" authorId="3" shapeId="0" xr:uid="{0A2481F6-ED18-4E06-9653-D7603C27566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
MM 6020 DEL 20201120 $29.590.481
RES.02061 DEL 20201109 $59,582,176,869,10</t>
        </r>
      </text>
    </comment>
    <comment ref="Q168" authorId="3" shapeId="0" xr:uid="{3F2EC910-2D60-40E7-9A38-0D5847072C6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R168" authorId="1" shapeId="0" xr:uid="{41821CDB-4603-4151-B6BB-63F7C73C4A11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3620 DEL 20200716 $7.464.287.059
MM 4020 DEL 20200901 $660.000.000
MM 4220 DEL 20200902 $197.500.000
MM 4520 DEL 20200904 $250.000.000
MM 6120 DEL 20201123 $1,000.000.000</t>
        </r>
      </text>
    </comment>
    <comment ref="Q176" authorId="0" shapeId="0" xr:uid="{6EE189C8-B585-4F78-8C1F-F330314F50C0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$176,047,300
MM 3920 DEL 20200825 $332,606,115</t>
        </r>
      </text>
    </comment>
    <comment ref="Q178" authorId="0" shapeId="0" xr:uid="{27FF0FAF-BC07-4F12-ACAE-503E72E3AD13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$473,994,000
RES. 01580 DEL 20200903 DPS $1,876,115,447</t>
        </r>
      </text>
    </comment>
    <comment ref="R182" authorId="1" shapeId="0" xr:uid="{C841B33B-189E-4FEF-92DC-50984564385B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3920 DEL 20200825 $332,606,115</t>
        </r>
      </text>
    </comment>
    <comment ref="R185" authorId="0" shapeId="0" xr:uid="{3844FABA-2677-4642-A46B-374071550C31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$1,004,224,351
RES. 01580 DEL 20200903 DPS $1,198,634,441</t>
        </r>
      </text>
    </comment>
    <comment ref="Q188" authorId="2" shapeId="0" xr:uid="{82E27B30-D40F-44DB-8BA4-4B3D11A7C4B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R190" authorId="1" shapeId="0" xr:uid="{5CC280FD-283C-4F4A-B192-C7CB25EC56B7}">
      <text>
        <r>
          <rPr>
            <b/>
            <sz val="9"/>
            <color indexed="81"/>
            <rFont val="Tahoma"/>
            <family val="2"/>
          </rPr>
          <t xml:space="preserve">Sub Financiera:
</t>
        </r>
        <r>
          <rPr>
            <sz val="9"/>
            <color indexed="81"/>
            <rFont val="Tahoma"/>
            <family val="2"/>
          </rPr>
          <t>RES. 01580 DEL 20200903 DPS $566,250,231</t>
        </r>
      </text>
    </comment>
    <comment ref="R192" authorId="2" shapeId="0" xr:uid="{692F970F-B352-4C57-9B96-5BB6ADED85F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
RES. 0939 DEL 20200515 DPS $1,000,000,0000
RES. 01580 DEL 20200903 DPS $112,230,775</t>
        </r>
      </text>
    </comment>
    <comment ref="Q195" authorId="2" shapeId="0" xr:uid="{7805FA13-DB45-42CA-AAEE-FD056D2F471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20200326 $19,919,000,000
MM 1920 DEL 20200429 $5,960,800,000</t>
        </r>
      </text>
    </comment>
    <comment ref="R195" authorId="1" shapeId="0" xr:uid="{69135058-B4B1-468A-9B64-CE8D78567266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5620 DEL 20201110 $10,864,800,000</t>
        </r>
      </text>
    </comment>
    <comment ref="Q196" authorId="2" shapeId="0" xr:uid="{F528FF45-6F86-400A-8CF8-B637D055D0C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20200326 $260,081,000,000
MM 5620 DEL 20201110 $10,864,800,000</t>
        </r>
      </text>
    </comment>
    <comment ref="R196" authorId="2" shapeId="0" xr:uid="{22C2B5F8-9F5F-43DF-9B39-4CBD1DA69EE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1920 DEL 20200429 $5,960,800,000</t>
        </r>
      </text>
    </comment>
    <comment ref="Q199" authorId="1" shapeId="0" xr:uid="{FED565E0-B2CA-4F26-A4B7-5A84CC2D0949}">
      <text>
        <r>
          <rPr>
            <b/>
            <sz val="9"/>
            <color indexed="81"/>
            <rFont val="Tahoma"/>
            <family val="2"/>
          </rPr>
          <t xml:space="preserve">Sub Financiera:
</t>
        </r>
        <r>
          <rPr>
            <sz val="9"/>
            <color indexed="81"/>
            <rFont val="Tahoma"/>
            <family val="2"/>
          </rPr>
          <t>RES. 01580 DEL 20200903 DPS $1,000,000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V100" authorId="0" shapeId="0" xr:uid="{A90E886B-C745-4855-8347-75EF007AF1A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68" authorId="0" shapeId="0" xr:uid="{0AF08C3E-A733-4985-BFC5-0E3D1F64CEB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</t>
        </r>
      </text>
    </comment>
    <comment ref="R89" authorId="0" shapeId="0" xr:uid="{FD792E36-6AE6-489A-9EEA-43F97E25F8E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</t>
        </r>
      </text>
    </comment>
    <comment ref="AE102" authorId="1" shapeId="0" xr:uid="{37AAA12B-51C6-4E64-A577-34F7041B3A0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50" authorId="0" shapeId="0" xr:uid="{079E43D7-093A-4642-8AEB-C83672EB040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</t>
        </r>
      </text>
    </comment>
    <comment ref="R152" authorId="0" shapeId="0" xr:uid="{45C68A27-8ACD-4A68-99FE-236FE061654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</t>
        </r>
      </text>
    </comment>
    <comment ref="Q211" authorId="0" shapeId="0" xr:uid="{A8FD6148-D4F0-4440-BC5B-9C2BA6537C8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R212" authorId="0" shapeId="0" xr:uid="{6E3AC1C8-2EA2-47C3-8539-D8C2F687E9F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68" authorId="0" shapeId="0" xr:uid="{B7485E9A-3B4D-45C1-A42D-54FBE998962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R78" authorId="0" shapeId="0" xr:uid="{33082586-C871-4EC2-86F7-58EA88970CF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</t>
        </r>
      </text>
    </comment>
    <comment ref="Q80" authorId="0" shapeId="0" xr:uid="{FC65A361-123F-4551-B1EE-A49E518874D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</t>
        </r>
      </text>
    </comment>
    <comment ref="R89" authorId="0" shapeId="0" xr:uid="{AFB73BCB-A221-4751-B3BC-8142AAFC632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O94" authorId="0" shapeId="0" xr:uid="{4E45DFD1-F522-4460-B28A-4B8E6DA29FA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</t>
        </r>
      </text>
    </comment>
    <comment ref="O95" authorId="0" shapeId="0" xr:uid="{97266F79-41B6-49F6-A372-85B4B9C2F4E1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AE103" authorId="1" shapeId="0" xr:uid="{C8379BA1-023F-4038-A936-4585ACE0E3D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51" authorId="0" shapeId="0" xr:uid="{E850B775-2474-4C37-BBAD-4C5BFBC76E7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</t>
        </r>
      </text>
    </comment>
    <comment ref="R153" authorId="0" shapeId="0" xr:uid="{ECACD804-2A4E-42C4-BF72-0D99C02CB25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</t>
        </r>
      </text>
    </comment>
    <comment ref="Q169" authorId="0" shapeId="0" xr:uid="{BCBDD2C6-6C37-4DA9-B2DE-9487112188F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</t>
        </r>
      </text>
    </comment>
    <comment ref="R171" authorId="0" shapeId="0" xr:uid="{210C6611-8E97-458D-B24A-6F093A5D662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</t>
        </r>
      </text>
    </comment>
    <comment ref="Q212" authorId="0" shapeId="0" xr:uid="{C1781329-BDAE-453F-B895-56AD397838B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R213" authorId="0" shapeId="0" xr:uid="{D3DDA063-6134-4575-9D3C-D5C3A517DE4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V102" authorId="0" shapeId="0" xr:uid="{A31A77BC-F9BA-44D5-AF93-690CC7122C1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R61" authorId="0" shapeId="0" xr:uid="{CEB43CF8-2DEC-4A8C-8A2E-2FE46D20F9A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</t>
        </r>
      </text>
    </comment>
    <comment ref="R63" authorId="0" shapeId="0" xr:uid="{3D48A207-4298-445D-899A-A5D43BF0777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</t>
        </r>
      </text>
    </comment>
    <comment ref="Q67" authorId="0" shapeId="0" xr:uid="{E5A9366A-4E88-4C1A-9100-CD95DA8E9EE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Q68" authorId="0" shapeId="0" xr:uid="{B062FD33-6269-4A2A-8F21-0981DAAC4A0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</t>
        </r>
      </text>
    </comment>
    <comment ref="Q74" authorId="0" shapeId="0" xr:uid="{C3264634-7B0D-4B4D-AD30-C6552BDFBDD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</t>
        </r>
      </text>
    </comment>
    <comment ref="R74" authorId="0" shapeId="0" xr:uid="{AC42A604-B63B-4D17-81BE-7D1AF4F9CB8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</t>
        </r>
      </text>
    </comment>
    <comment ref="Q78" authorId="0" shapeId="0" xr:uid="{5E541BC4-FB4F-45B6-8E17-A75BF8E1EB9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</t>
        </r>
      </text>
    </comment>
    <comment ref="R78" authorId="0" shapeId="0" xr:uid="{D028B083-8D0B-44C3-A79E-3B248DE3AE0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</t>
        </r>
      </text>
    </comment>
    <comment ref="R79" authorId="0" shapeId="0" xr:uid="{C0D62511-7A12-4894-BE2D-19DEAECC5BC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</t>
        </r>
      </text>
    </comment>
    <comment ref="Q80" authorId="0" shapeId="0" xr:uid="{45372900-F6E7-4DC3-BB10-EEB02A019D1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</t>
        </r>
      </text>
    </comment>
    <comment ref="R80" authorId="0" shapeId="0" xr:uid="{13773939-B485-4BA9-B0A4-81E400F9420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</t>
        </r>
      </text>
    </comment>
    <comment ref="Q81" authorId="0" shapeId="0" xr:uid="{ABF67C8F-B0AE-4902-B00D-6A7074FE904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</t>
        </r>
      </text>
    </comment>
    <comment ref="R86" authorId="0" shapeId="0" xr:uid="{D500DB40-F36C-4109-B1FA-BB9DCFE9086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</t>
        </r>
      </text>
    </comment>
    <comment ref="R89" authorId="0" shapeId="0" xr:uid="{844F1791-AF04-4A03-B896-8E0CAECB9EC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O94" authorId="0" shapeId="0" xr:uid="{58C649FD-F06A-4DE8-9D97-B26831FBFE4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</t>
        </r>
      </text>
    </comment>
    <comment ref="O95" authorId="0" shapeId="0" xr:uid="{EC1615D6-9738-4DA4-8666-E9CB51FB25A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AE103" authorId="1" shapeId="0" xr:uid="{67EAD3CD-09E3-4506-83EE-5BCB3116CFD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51" authorId="0" shapeId="0" xr:uid="{77EAD5E0-C02B-455B-81F2-B232E330CAC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</t>
        </r>
      </text>
    </comment>
    <comment ref="R151" authorId="0" shapeId="0" xr:uid="{C256B864-253D-4733-912B-4C311117D52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</t>
        </r>
      </text>
    </comment>
    <comment ref="Q153" authorId="0" shapeId="0" xr:uid="{29D22F3D-AE51-4B78-B933-5AD77C9D65D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</t>
        </r>
      </text>
    </comment>
    <comment ref="R153" authorId="0" shapeId="0" xr:uid="{565AAF7F-C132-4EAA-8BF0-3DCDB3EA383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</t>
        </r>
      </text>
    </comment>
    <comment ref="R156" authorId="0" shapeId="0" xr:uid="{13CB838A-AAF4-40D1-ADBF-C448C7C74F4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Q169" authorId="0" shapeId="0" xr:uid="{7E137B60-B8EC-4B46-ABE5-F7358E17B6C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</t>
        </r>
      </text>
    </comment>
    <comment ref="R171" authorId="0" shapeId="0" xr:uid="{68DE9EA9-1980-4E41-8D6B-FE84FF430D5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</t>
        </r>
      </text>
    </comment>
    <comment ref="S171" authorId="0" shapeId="0" xr:uid="{B5737B81-2AAE-49F0-B6FF-0F6FF516AAC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</t>
        </r>
      </text>
    </comment>
    <comment ref="Q204" authorId="0" shapeId="0" xr:uid="{B9C9BEDD-3C33-47DB-B05F-687AD517978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R204" authorId="0" shapeId="0" xr:uid="{661BD21F-EE42-4B34-A9BF-27F161DC39A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Q206" authorId="0" shapeId="0" xr:uid="{2968B4FB-0E76-4A36-A4E4-CC1FCC32B06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R206" authorId="0" shapeId="0" xr:uid="{E9441380-A943-4A39-B772-4E184B1BF5B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Q208" authorId="0" shapeId="0" xr:uid="{F54A0732-20A7-479E-8CC2-8BD9833DC74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R208" authorId="0" shapeId="0" xr:uid="{E7295AA1-562E-467A-9C98-985627994BE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Q210" authorId="0" shapeId="0" xr:uid="{56AE2F1E-C9FD-4C52-A1CC-C67A720B4521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R210" authorId="0" shapeId="0" xr:uid="{A2683301-E2E5-4CDC-B6C9-26D9A6A5763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Q212" authorId="0" shapeId="0" xr:uid="{B22AD8A6-19D0-4435-B2ED-88B595458CA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R212" authorId="0" shapeId="0" xr:uid="{ED6786E7-A616-46E2-8293-F3C1E486D9F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R213" authorId="0" shapeId="0" xr:uid="{74636CAC-ED89-48A2-A3BB-D0590F26E49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Q216" authorId="0" shapeId="0" xr:uid="{EBF085E9-1BFA-482F-8122-57D894D08E2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Q218" authorId="0" shapeId="0" xr:uid="{97D5CA07-8B43-406E-B0D7-EF7C3048023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R219" authorId="0" shapeId="0" xr:uid="{8A7E7EBA-C658-44A8-B1ED-AFADCDD6DB1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Q221" authorId="0" shapeId="0" xr:uid="{D82D74C2-3951-4320-B469-A1977BAF9F7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Q223" authorId="0" shapeId="0" xr:uid="{DD4CB9A8-F579-4B21-A9FC-6BBA0A1A068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Q224" authorId="0" shapeId="0" xr:uid="{C39CBA5D-66F8-42A0-B37A-1A4019C98FC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Q226" authorId="0" shapeId="0" xr:uid="{61AB8B86-0162-4D7F-BD21-57681250813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R227" authorId="0" shapeId="0" xr:uid="{67642DD7-81B6-4752-BE58-42947D6406E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Q229" authorId="0" shapeId="0" xr:uid="{94C397BE-5D88-4DA8-9A60-3FA0AF310EA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R230" authorId="0" shapeId="0" xr:uid="{E81C9D6A-7280-4D74-B214-E25C29A5896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Q233" authorId="0" shapeId="0" xr:uid="{394AEFAD-42EA-481A-9CCC-C08330E5C03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R235" authorId="0" shapeId="0" xr:uid="{F3929731-9EBC-45D7-99F2-111D7055D66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P61" authorId="0" shapeId="0" xr:uid="{928F858B-B7E3-4C89-B5A4-FF1B17646E2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</t>
        </r>
      </text>
    </comment>
    <comment ref="P63" authorId="0" shapeId="0" xr:uid="{A816FB45-8482-4E1F-AB39-395C4D8EAB0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</t>
        </r>
      </text>
    </comment>
    <comment ref="O67" authorId="0" shapeId="0" xr:uid="{5F55627D-1C47-4BF3-9159-1480F897EFA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O68" authorId="0" shapeId="0" xr:uid="{E31D0EBA-F9D4-417E-97AF-4D6E03C5940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</t>
        </r>
      </text>
    </comment>
    <comment ref="O74" authorId="0" shapeId="0" xr:uid="{B06136C8-A5CD-4339-A607-A214CB36BD1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</t>
        </r>
      </text>
    </comment>
    <comment ref="P74" authorId="0" shapeId="0" xr:uid="{1D53C579-AA2E-466C-80CD-EBC25B57724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</t>
        </r>
      </text>
    </comment>
    <comment ref="O78" authorId="0" shapeId="0" xr:uid="{88054687-8C9A-47E5-992F-08D741DB55F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</t>
        </r>
      </text>
    </comment>
    <comment ref="P78" authorId="0" shapeId="0" xr:uid="{34F04711-9B20-4E98-9740-9F8AD467B8F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</t>
        </r>
      </text>
    </comment>
    <comment ref="P79" authorId="0" shapeId="0" xr:uid="{BF279497-BBD0-4916-B9D0-C0F4AF43A8A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</t>
        </r>
      </text>
    </comment>
    <comment ref="O80" authorId="0" shapeId="0" xr:uid="{BB154922-2F7C-4C03-A5D8-4F37C3D8904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</t>
        </r>
      </text>
    </comment>
    <comment ref="P80" authorId="0" shapeId="0" xr:uid="{76C68A08-58F9-4601-B848-AC45D9DE197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</t>
        </r>
      </text>
    </comment>
    <comment ref="O81" authorId="0" shapeId="0" xr:uid="{0AEFB190-545D-43D0-8530-7BA55F0F55E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</t>
        </r>
      </text>
    </comment>
    <comment ref="P86" authorId="0" shapeId="0" xr:uid="{38D106ED-BE04-410B-BB16-53C12E71740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</t>
        </r>
      </text>
    </comment>
    <comment ref="P89" authorId="0" shapeId="0" xr:uid="{5CFAE2E4-4B03-40B9-8A2D-FE4051AD74C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M94" authorId="0" shapeId="0" xr:uid="{D1F7220F-EDE6-49AF-A86D-55697CCB5FE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</t>
        </r>
      </text>
    </comment>
    <comment ref="M95" authorId="0" shapeId="0" xr:uid="{45EC7D4D-6F68-4CDC-83AD-AA6A7BF645F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AC103" authorId="1" shapeId="0" xr:uid="{B558BE35-E8CE-428C-9939-57862679E2E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O151" authorId="0" shapeId="0" xr:uid="{FA1D87F3-3E58-496F-921E-4D0510ED1D4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1" authorId="0" shapeId="0" xr:uid="{C911540B-411A-4C1F-AABB-D5ABDA59788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</t>
        </r>
      </text>
    </comment>
    <comment ref="O153" authorId="0" shapeId="0" xr:uid="{81B530F7-924E-47CE-A433-A3D6C45CA67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</t>
        </r>
      </text>
    </comment>
    <comment ref="P153" authorId="0" shapeId="0" xr:uid="{BEE0ADC3-4E43-4F93-85AC-053A8F0B838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6" authorId="0" shapeId="0" xr:uid="{5B3A94D6-7F35-4B6F-A9A9-109365BC76F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O169" authorId="0" shapeId="0" xr:uid="{6EC47328-F104-41F9-B2D9-00D21FF766D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</t>
        </r>
      </text>
    </comment>
    <comment ref="P171" authorId="0" shapeId="0" xr:uid="{C16D2C16-2270-492A-8D3B-37DC14C5EE9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</t>
        </r>
      </text>
    </comment>
    <comment ref="Q171" authorId="0" shapeId="0" xr:uid="{107D2F69-BB8D-4875-A080-37D39E2C03D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
RAD.2-2021-028165 DEL 20210531  $5.207.638.916</t>
        </r>
      </text>
    </comment>
    <comment ref="P193" authorId="0" shapeId="0" xr:uid="{D570FDCF-B8E0-4E77-92E8-3F5015E834A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O195" authorId="0" shapeId="0" xr:uid="{38D1C3D5-38C6-4CAA-BDB6-0B20A592BE5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O204" authorId="0" shapeId="0" xr:uid="{C67F6247-FE5E-4005-A7B7-0E4AAF42886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P204" authorId="0" shapeId="0" xr:uid="{DF3396EC-5F49-46AE-8275-E64D437AE50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O206" authorId="0" shapeId="0" xr:uid="{AB262D09-308B-4458-9472-C650257F451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P206" authorId="0" shapeId="0" xr:uid="{1F1B3D02-D624-4681-9595-211B7D03D27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O208" authorId="0" shapeId="0" xr:uid="{2EE5BF78-20E5-4705-8948-743D815A82F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P208" authorId="0" shapeId="0" xr:uid="{B9FC3C95-B0C9-4754-AA09-AF6F11D3E5B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O210" authorId="0" shapeId="0" xr:uid="{771CCC80-2AF7-4DA3-B4DE-9CB70EC5851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P210" authorId="0" shapeId="0" xr:uid="{77140AEB-EFE4-4E6A-83C6-B86F9858774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O212" authorId="0" shapeId="0" xr:uid="{75DB0D14-A68F-4095-B812-07EA358DD98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P212" authorId="0" shapeId="0" xr:uid="{6E1BC8F0-8601-4F53-B840-3ABC86846D5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P213" authorId="0" shapeId="0" xr:uid="{AD28BB28-D992-4B87-B19B-0010DDCC9F2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O216" authorId="0" shapeId="0" xr:uid="{8ED51547-1369-4676-8DB5-6B006BAF55F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O218" authorId="0" shapeId="0" xr:uid="{9A0CBB06-9A5D-4495-9233-E315BC903DD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P219" authorId="0" shapeId="0" xr:uid="{657B1AA5-2F8C-4F4B-90C1-14B44DFDA1E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O221" authorId="0" shapeId="0" xr:uid="{CA45A0A4-889A-483E-87E1-7F127987C95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O223" authorId="0" shapeId="0" xr:uid="{8E1B4850-9EDD-45ED-9FE0-D0786CB563C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O224" authorId="0" shapeId="0" xr:uid="{ECDB591E-36A2-4A6B-8F46-A42C0D3C25F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O226" authorId="0" shapeId="0" xr:uid="{6EAE46D7-5F3A-4E63-9E3F-B8E069BF17C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P227" authorId="0" shapeId="0" xr:uid="{A6E50EBE-17A7-488B-963E-7B7DAD218D0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O229" authorId="0" shapeId="0" xr:uid="{A3EB9251-0D3E-421C-A894-F7E0E1A9612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P230" authorId="0" shapeId="0" xr:uid="{B5AC24CF-E017-4C5D-967C-C4E6BF3B57B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O233" authorId="0" shapeId="0" xr:uid="{5FFDE6B2-A902-412B-84D6-3402548BA2B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P235" authorId="0" shapeId="0" xr:uid="{4A2A960B-E5AF-4C2C-9A61-9C98A9D8262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T102" authorId="0" shapeId="0" xr:uid="{516618EE-43C1-4717-AC05-7D970F164BB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O18" authorId="0" shapeId="0" xr:uid="{68EE3173-A375-4B51-8C09-5A0A07BA05A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</t>
        </r>
      </text>
    </comment>
    <comment ref="P21" authorId="0" shapeId="0" xr:uid="{B15E75B7-D00E-4D68-AFAD-74BD7F53816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</t>
        </r>
      </text>
    </comment>
    <comment ref="O49" authorId="0" shapeId="0" xr:uid="{B522F80C-01FE-4847-9E72-8B29325FB21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4121 DEL 20210708 $6.000.000</t>
        </r>
      </text>
    </comment>
    <comment ref="P54" authorId="0" shapeId="0" xr:uid="{CB9E3255-9D44-44C5-9903-69F4AC03E49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20210628 $20.000.000</t>
        </r>
      </text>
    </comment>
    <comment ref="P58" authorId="0" shapeId="0" xr:uid="{D59E9A63-DC6C-4A23-B665-3D731D8A5F1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3321 DEL 20210603 $25.623.150
MM 4121 DEL 20210708 $9.000.000</t>
        </r>
      </text>
    </comment>
    <comment ref="O60" authorId="0" shapeId="0" xr:uid="{5B6BB1C9-0C22-406C-9578-AE74991EA04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4121 DEL 20210708 $3.000.000</t>
        </r>
      </text>
    </comment>
    <comment ref="P61" authorId="0" shapeId="0" xr:uid="{AFB82662-5077-4E28-AB4D-A4B3A629B93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</t>
        </r>
      </text>
    </comment>
    <comment ref="P62" authorId="0" shapeId="0" xr:uid="{2087C3E6-090E-47CC-A338-B94CFA46C32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20210721 $20.000.000</t>
        </r>
      </text>
    </comment>
    <comment ref="O63" authorId="0" shapeId="0" xr:uid="{08A90AD7-7A73-4756-968B-9C746174294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3821 DEL 20210618 $22.202.925
MM 4221 DEL 20210713 $20.090.983</t>
        </r>
      </text>
    </comment>
    <comment ref="P63" authorId="0" shapeId="0" xr:uid="{5686E2D0-9822-4EC0-9009-75E41779EC5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</t>
        </r>
      </text>
    </comment>
    <comment ref="O67" authorId="0" shapeId="0" xr:uid="{66C8CC5E-7596-4DCF-9F81-A2FA8522957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O68" authorId="0" shapeId="0" xr:uid="{A49C0AD8-146F-44E0-967B-6738AADE96F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</t>
        </r>
      </text>
    </comment>
    <comment ref="P71" authorId="0" shapeId="0" xr:uid="{ACCC235B-C513-447B-A042-AF52BB88ADB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20210721 $119.957.553</t>
        </r>
      </text>
    </comment>
    <comment ref="O74" authorId="0" shapeId="0" xr:uid="{20644FAC-E1CE-451D-A0C2-EEE6AAF4211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
MM 3921 DEL 20210628 $11.000.000</t>
        </r>
      </text>
    </comment>
    <comment ref="P74" authorId="0" shapeId="0" xr:uid="{D13E7B4B-15EA-4C14-866B-E4680129D2C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
MM 4621 DEL 20210721 $160.000.000</t>
        </r>
      </text>
    </comment>
    <comment ref="P77" authorId="0" shapeId="0" xr:uid="{56D7B3FA-92F8-463C-9C8E-4F7735F2F0A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3121 DEL 20210603 $22.729.050</t>
        </r>
      </text>
    </comment>
    <comment ref="O78" authorId="0" shapeId="0" xr:uid="{8704AD5C-B057-42CA-AAC6-B93A88FF92C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3121 DEL 20210603 $22.729.050</t>
        </r>
      </text>
    </comment>
    <comment ref="P78" authorId="0" shapeId="0" xr:uid="{EFB80586-DE67-43F2-B17F-90FAC99A951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
MM 4421 DEL 20210721 $540.000.000
MM 4621 DEL 20210721 $50.000.000
MM 4721 DEL 20210726 $3.946.028
MM 4821 DEL 20210728 $12.500.000</t>
        </r>
      </text>
    </comment>
    <comment ref="P79" authorId="0" shapeId="0" xr:uid="{25876180-71EA-4343-9A6F-8642A1D54AD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
MM 4721 DEL 20210726 $16.264.004</t>
        </r>
      </text>
    </comment>
    <comment ref="O80" authorId="0" shapeId="0" xr:uid="{76BC9127-ABF8-4EF3-BB19-9346705FE4A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 xml:space="preserve">MM 721 DEL 20210211 $5.955.863
MM 3321 DEL 20210603 $25.623.150
MM 3921 DEL 20210628 $3.884.018
MM 4421 DEL 20210721 $540.000.000
MM 4621 DEL 20210721 $330.957.553
MM 4721 DEL 20210726 $40.210.032
</t>
        </r>
      </text>
    </comment>
    <comment ref="P80" authorId="0" shapeId="0" xr:uid="{BCB4549D-3937-462E-9521-027FA0A7335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
MM 4121 DEL 20210708 $14.000.000</t>
        </r>
      </text>
    </comment>
    <comment ref="O81" authorId="0" shapeId="0" xr:uid="{E4EAADD3-C6D2-419B-8B78-B21F8E44B8E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
MM 4121 DEL 20210708 $14.000.000
MM 4621 DEL 20210721 $23.000.000
MM 4821 DEL 20210728 $12.500.000</t>
        </r>
      </text>
    </comment>
    <comment ref="P81" authorId="0" shapeId="0" xr:uid="{EE52E19B-A8A0-4067-B588-D1368BCF881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3821 DEL 20210618 $22.202.925
MM 4221 DEL 20210713 $20.090.983</t>
        </r>
      </text>
    </comment>
    <comment ref="P82" authorId="0" shapeId="0" xr:uid="{BA8508D4-66D9-49FE-8647-794AF8E0D9F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4721 DEL 20210726 $20.000.000</t>
        </r>
      </text>
    </comment>
    <comment ref="P86" authorId="0" shapeId="0" xr:uid="{066A4996-76C4-4E58-BBDA-36DFBCC4A9C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4621 DEL 20210721 $4.000.000</t>
        </r>
      </text>
    </comment>
    <comment ref="O88" authorId="0" shapeId="0" xr:uid="{2428E0E0-A685-4984-8685-0B9BD7F322F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20210628 $5.115.982</t>
        </r>
      </text>
    </comment>
    <comment ref="P89" authorId="0" shapeId="0" xr:uid="{BE038E7E-30A2-46B6-9CA7-E31E9937F9B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M93" authorId="0" shapeId="0" xr:uid="{0A1A3DAE-864A-415B-AA77-90A0FF2EB66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RES.1576 DE 20210708 $14.432.339.552</t>
        </r>
      </text>
    </comment>
    <comment ref="M94" authorId="0" shapeId="0" xr:uid="{9112AEC3-F533-4CBD-A940-7D17890AE1D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
RES.1576 DE 20210708 $976.376.000.000</t>
        </r>
      </text>
    </comment>
    <comment ref="M95" authorId="0" shapeId="0" xr:uid="{7AE43C7F-3000-415F-9EAC-21281DA14D0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P101" authorId="0" shapeId="0" xr:uid="{4B811E8E-9478-4000-85F3-F80057947C9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O102" authorId="0" shapeId="0" xr:uid="{B7C76F77-C138-4B0E-A690-BFC6015DEE8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AC103" authorId="1" shapeId="0" xr:uid="{8608835D-209D-4CCB-8748-6BF1C36046F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O151" authorId="0" shapeId="0" xr:uid="{A847D654-AA67-4C96-92CA-6164131DCFD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1" authorId="0" shapeId="0" xr:uid="{BF2C0052-2D6C-41D5-B9A9-8628277B4FE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</t>
        </r>
      </text>
    </comment>
    <comment ref="O153" authorId="0" shapeId="0" xr:uid="{DEF91AF8-A233-46EB-A171-749027AEC32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</t>
        </r>
      </text>
    </comment>
    <comment ref="P153" authorId="0" shapeId="0" xr:uid="{D29D60C3-0B26-4B5E-AB2D-595A1A0179C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6" authorId="0" shapeId="0" xr:uid="{EA6CFE17-B619-4D32-877E-9952227C658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O169" authorId="0" shapeId="0" xr:uid="{9105853B-4F9E-45B2-AB07-DDEF22BBFD4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20210603 $665.070.651
MM 4021 DEL 20210629 $97.000.000</t>
        </r>
      </text>
    </comment>
    <comment ref="P169" authorId="0" shapeId="0" xr:uid="{7596BE4D-5270-4C31-AB79-A77F7FB6A78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O171" authorId="0" shapeId="0" xr:uid="{3EB3D3CA-41DD-4100-8404-B2D5F93B428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P171" authorId="0" shapeId="0" xr:uid="{C452237A-7AC3-474C-B1C2-96AA4A881C5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20210603 $1.100.046.591
MM 3721 DEL 20210618 $1.123.194.427
MM 4021 DEL 20210629 $97.000.000
RES.01150 DE 20210611 $5.207.638.916</t>
        </r>
      </text>
    </comment>
    <comment ref="Q171" authorId="0" shapeId="0" xr:uid="{D83BB4D8-CA29-4128-BCE3-921F96516A2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
RAD.2-2021-028165 DEL 20210531  $5.207.638.916</t>
        </r>
      </text>
    </comment>
    <comment ref="O173" authorId="0" shapeId="0" xr:uid="{D0441AEA-FB10-431D-B049-BDEA4D582A9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 xml:space="preserve">MM 3221 DEL 20210603 $434.975.940
MM 3721 DEL 20210618 $1.123.194.427
</t>
        </r>
      </text>
    </comment>
    <comment ref="P176" authorId="0" shapeId="0" xr:uid="{CE3B4467-3649-449A-880D-EABD7B47AB5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O178" authorId="0" shapeId="0" xr:uid="{4DA02A6C-7166-4D9C-A3A4-ED1D68D649A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O181" authorId="0" shapeId="0" xr:uid="{5D578D97-73A4-4408-AB6D-BC877A127D2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20210611 $610.647.150</t>
        </r>
      </text>
    </comment>
    <comment ref="O183" authorId="0" shapeId="0" xr:uid="{17AEDE73-9BB1-4EB5-B6D2-4306F0139A8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20210611 $388.286.850</t>
        </r>
      </text>
    </comment>
    <comment ref="O184" authorId="0" shapeId="0" xr:uid="{2C1A9F29-C8E4-4F27-ABCB-5C007378614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RES.01150 DE 20210611 $2.169.181.500</t>
        </r>
      </text>
    </comment>
    <comment ref="O186" authorId="0" shapeId="0" xr:uid="{AC4C7B25-2A4E-44A5-9F61-F4A0FBAD9D2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20210611 $259.599.224</t>
        </r>
      </text>
    </comment>
    <comment ref="O187" authorId="0" shapeId="0" xr:uid="{6BEF33DF-2D1E-4442-A9AC-4BE9D313FD2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20210611 $1.558.900.000</t>
        </r>
      </text>
    </comment>
    <comment ref="O189" authorId="0" shapeId="0" xr:uid="{4D2F392F-0830-4992-96E4-9CB5458FA2D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20210611 $221.024.192</t>
        </r>
      </text>
    </comment>
    <comment ref="P195" authorId="0" shapeId="0" xr:uid="{31823EEF-5B4C-403A-9ECC-F01742816B2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O197" authorId="0" shapeId="0" xr:uid="{D8FAD04D-A8C8-43EF-B661-202D47F86FC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
RES.01298 DE 20210618 $1.760.000.000</t>
        </r>
      </text>
    </comment>
    <comment ref="P202" authorId="0" shapeId="0" xr:uid="{0182E3DC-6006-436B-95B1-E19D5D2A077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RES.01298 DE 20210618 $1.760.000.000</t>
        </r>
      </text>
    </comment>
    <comment ref="O206" authorId="0" shapeId="0" xr:uid="{17B20F19-034E-4214-8E9A-379A015C12D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P206" authorId="0" shapeId="0" xr:uid="{083066AE-B988-4945-B273-8FBFFB5FE3C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O208" authorId="0" shapeId="0" xr:uid="{8B823CE2-E1A8-4E68-9E83-85DAEAC2DEB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P208" authorId="0" shapeId="0" xr:uid="{C3AC3745-EFC5-4DDA-A2E2-D946FEFC880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O210" authorId="0" shapeId="0" xr:uid="{3F09DCD7-6C6B-4544-90F1-AF1AE9A2BE6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P210" authorId="0" shapeId="0" xr:uid="{78443EF7-63C5-4A47-876A-8F036D9FDDC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O212" authorId="0" shapeId="0" xr:uid="{9D7CE8C4-B40B-476C-9E33-B6E457EBE06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P212" authorId="0" shapeId="0" xr:uid="{27D603DF-8C7E-4DBC-B849-9369812482F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O214" authorId="0" shapeId="0" xr:uid="{7D06E35E-2345-4C04-89FC-1DDAB75232E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P214" authorId="0" shapeId="0" xr:uid="{81615828-6BD2-4D52-B9A5-451610696B3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P215" authorId="0" shapeId="0" xr:uid="{00152A96-F79F-4B14-B7C3-49ED2BFB9E2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O218" authorId="0" shapeId="0" xr:uid="{215ABB83-AF01-4A64-A56A-2EB288071C1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O220" authorId="0" shapeId="0" xr:uid="{8CD5D041-8FD0-4F70-9C44-45C7D8E5F931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P221" authorId="0" shapeId="0" xr:uid="{50522CA8-8797-405C-9D62-E5D0883ACBB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O223" authorId="0" shapeId="0" xr:uid="{D20E5B5D-AF3C-43F4-9B44-FD902053A33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O225" authorId="0" shapeId="0" xr:uid="{8AE22693-68B5-4CBC-A74E-8322221BD41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O226" authorId="0" shapeId="0" xr:uid="{4F4DCC6C-2861-447F-BF28-FEE1784E031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O228" authorId="0" shapeId="0" xr:uid="{55C481F4-61C4-4620-BE8B-B600D669A56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P229" authorId="0" shapeId="0" xr:uid="{99328A79-095E-47F5-AED7-671ABDE7325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O231" authorId="0" shapeId="0" xr:uid="{F13C6C98-6FDB-4438-ACCB-667E9FBAEC2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P232" authorId="0" shapeId="0" xr:uid="{85D6E8B3-9DD3-468A-BEF5-FAEB29B4719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O235" authorId="0" shapeId="0" xr:uid="{06416EBD-DFD2-4D41-9BE3-654EF66F5EC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P237" authorId="0" shapeId="0" xr:uid="{D39FE108-2F2A-4BB2-ADC1-6402C75DD7D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O18" authorId="0" shapeId="0" xr:uid="{CC3E82F4-4C60-4434-B5CE-1642C24571B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</t>
        </r>
      </text>
    </comment>
    <comment ref="P21" authorId="0" shapeId="0" xr:uid="{8CFAFB33-E8AD-43FD-8DB2-0F7BF34E04E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</t>
        </r>
      </text>
    </comment>
    <comment ref="O49" authorId="0" shapeId="0" xr:uid="{C65A0023-AEE7-4E6E-93ED-525846500DC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4121 DEL 20210708 $6.000.000</t>
        </r>
      </text>
    </comment>
    <comment ref="P54" authorId="0" shapeId="0" xr:uid="{49EC74A7-8A39-4838-827D-CF8DC237E6C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20210628 $20.000.000</t>
        </r>
      </text>
    </comment>
    <comment ref="P58" authorId="0" shapeId="0" xr:uid="{D43F7F28-83DB-434E-B8A9-84005A82C56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3321 DEL 20210603 $25.623.150
MM 4121 DEL 20210708 $9.000.000</t>
        </r>
      </text>
    </comment>
    <comment ref="O60" authorId="0" shapeId="0" xr:uid="{282C4D8C-6B42-45D0-A1CC-0074BF6D9AF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4121 DEL 20210708 $3.000.000</t>
        </r>
      </text>
    </comment>
    <comment ref="P61" authorId="0" shapeId="0" xr:uid="{ADF2D9DE-43FA-4114-9747-3354228C42D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</t>
        </r>
      </text>
    </comment>
    <comment ref="P62" authorId="0" shapeId="0" xr:uid="{F06F0659-A61B-46CA-BAB6-84344979376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20210721 $20.000.000</t>
        </r>
      </text>
    </comment>
    <comment ref="O63" authorId="0" shapeId="0" xr:uid="{692403C3-539A-4F14-97FB-56ABBBEAE6A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3821 DEL 20210618 $22.202.925
MM 4221 DEL 20210713 $20.090.983</t>
        </r>
      </text>
    </comment>
    <comment ref="P63" authorId="0" shapeId="0" xr:uid="{99133720-686B-4241-82B3-6EA0838DC87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</t>
        </r>
      </text>
    </comment>
    <comment ref="O67" authorId="0" shapeId="0" xr:uid="{2244535C-F7A0-4C00-9876-DDB98951461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O68" authorId="0" shapeId="0" xr:uid="{028E6B8B-86B0-4A4B-B7C9-CBCBD695A72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</t>
        </r>
      </text>
    </comment>
    <comment ref="P68" authorId="0" shapeId="0" xr:uid="{3BAA2BF3-AA79-4C62-AAA6-FFA617000A9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4921 DEL 20210805 $234.800.000</t>
        </r>
      </text>
    </comment>
    <comment ref="P71" authorId="0" shapeId="0" xr:uid="{77B5EA43-7ED5-40AA-837E-0718B763181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20210721 $119.957.553</t>
        </r>
      </text>
    </comment>
    <comment ref="P72" authorId="0" shapeId="0" xr:uid="{E2D39317-42B4-4AA5-A717-CC0D3AD3413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5221 DEL 20210811 $145.000.000</t>
        </r>
      </text>
    </comment>
    <comment ref="O74" authorId="0" shapeId="0" xr:uid="{ABAF16B9-DC2A-4E64-AD0A-68B2390291E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
MM 3921 DEL 20210628 $11.000.000</t>
        </r>
      </text>
    </comment>
    <comment ref="P74" authorId="0" shapeId="0" xr:uid="{F14EFF33-8B1D-4704-94E1-2496C35A087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
MM 4621 DEL 20210721 $160.000.000
MM 4921 DEL 20210805 $1.462.586</t>
        </r>
      </text>
    </comment>
    <comment ref="P77" authorId="0" shapeId="0" xr:uid="{FD8E5E31-AAFF-4732-8B51-157F6F94E97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3121 DEL 20210603 $22.729.050</t>
        </r>
      </text>
    </comment>
    <comment ref="O78" authorId="0" shapeId="0" xr:uid="{2AFB5F59-9C4A-4DC3-8F63-88521EC4779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3121 DEL 20210603 $22.729.050</t>
        </r>
      </text>
    </comment>
    <comment ref="P78" authorId="0" shapeId="0" xr:uid="{8ECB448F-1E59-4D16-A9F1-DFCF398B899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
MM 4421 DEL 20210721 $540.000.000
MM 4621 DEL 20210721 $50.000.000
MM 4721 DEL 20210726 $3.946.028
MM 4821 DEL 20210728 $12.500.000
MM 4921 DEL 20210805 $51.047.572</t>
        </r>
      </text>
    </comment>
    <comment ref="P79" authorId="0" shapeId="0" xr:uid="{A15F4BB1-E04D-40EE-901A-368B47955BD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
MM 4721 DEL 20210726 $16.264.004
MM 5221 DEL 20210811 $136.000.000</t>
        </r>
      </text>
    </comment>
    <comment ref="O80" authorId="0" shapeId="0" xr:uid="{D9EC54D2-999F-41FF-AF5E-CC9F74983DB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 xml:space="preserve">MM 721 DEL 20210211 $5.955.863
MM 3321 DEL 20210603 $25.623.150
MM 3921 DEL 20210628 $3.884.018
MM 4421 DEL 20210721 $540.000.000
MM 4621 DEL 20210721 $330.957.553
MM 4721 DEL 20210726 $40.210.032
MM 4921 DEL 20210805 $287.310.158
MM 5221 DEL 20210811 $301.000.000
</t>
        </r>
      </text>
    </comment>
    <comment ref="P80" authorId="0" shapeId="0" xr:uid="{90B31EC8-BC25-48F7-8956-14E3FD5730B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
MM 4121 DEL 20210708 $14.000.000</t>
        </r>
      </text>
    </comment>
    <comment ref="O81" authorId="0" shapeId="0" xr:uid="{E3A64BD4-39D1-4E57-9170-39E6CBD9FCC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
MM 4121 DEL 20210708 $14.000.000
MM 4621 DEL 20210721 $23.000.000
MM 4821 DEL 20210728 $12.500.000</t>
        </r>
      </text>
    </comment>
    <comment ref="P81" authorId="0" shapeId="0" xr:uid="{1DB25E75-53A2-4B07-80E7-2D831681E6A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3821 DEL 20210618 $22.202.925
MM 4221 DEL 20210713 $20.090.983</t>
        </r>
      </text>
    </comment>
    <comment ref="P82" authorId="0" shapeId="0" xr:uid="{7B955916-834E-44D1-AD4F-E185FE237B4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4721 DEL 20210726 $20.000.000</t>
        </r>
      </text>
    </comment>
    <comment ref="P86" authorId="0" shapeId="0" xr:uid="{B2646082-3B80-4046-897F-29BBB0D7391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4621 DEL 20210721 $4.000.000
MM 5221 DEL 20210811 $20.000.000</t>
        </r>
      </text>
    </comment>
    <comment ref="O88" authorId="0" shapeId="0" xr:uid="{4045F46C-5746-4772-B489-78E8CD4DD49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20210628 $5.115.982</t>
        </r>
      </text>
    </comment>
    <comment ref="P89" authorId="0" shapeId="0" xr:uid="{C9F37EE0-728A-4E9B-A5EF-564827ED672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</t>
        </r>
      </text>
    </comment>
    <comment ref="M93" authorId="0" shapeId="0" xr:uid="{782EB043-2840-4342-A7BF-8A3378C72FA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RES.1576 DE 20210708 $14.432.339.552</t>
        </r>
      </text>
    </comment>
    <comment ref="M94" authorId="0" shapeId="0" xr:uid="{1FDC6D4C-5BDB-46E3-87B7-1C84F64842E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
RES.1576 DE 20210708 $976.376.000.000</t>
        </r>
      </text>
    </comment>
    <comment ref="M95" authorId="0" shapeId="0" xr:uid="{C6E7A4B2-D19F-41C4-A284-35BEC13BDCC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P101" authorId="0" shapeId="0" xr:uid="{72871C61-23D3-4AEE-9A5D-D2ABB530396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O102" authorId="0" shapeId="0" xr:uid="{B16CF1DC-BF8E-4F12-A241-B04780DA3C5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AC103" authorId="1" shapeId="0" xr:uid="{67253338-41E1-4274-A4AF-7AE437E470F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O151" authorId="0" shapeId="0" xr:uid="{A390C014-1BE9-4515-A436-FEEBA5B2417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1" authorId="0" shapeId="0" xr:uid="{C535166F-9734-42B8-9AF3-483FCBEF505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</t>
        </r>
      </text>
    </comment>
    <comment ref="O153" authorId="0" shapeId="0" xr:uid="{89845BBA-1719-4DB8-96AC-6BD6E34D190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</t>
        </r>
      </text>
    </comment>
    <comment ref="P153" authorId="0" shapeId="0" xr:uid="{ED737294-6C6E-4AA7-B199-19D7CF4BC62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P156" authorId="0" shapeId="0" xr:uid="{B005353A-3927-44BE-A8E9-8E256D43BAD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O169" authorId="0" shapeId="0" xr:uid="{ED8F911A-5C61-4B87-BE39-9C3BFC8D806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20210603 $665.070.651
MM 4021 DEL 20210629 $97.000.000
MM 5021 DEL 20210810 $92.000.000
MM 5121 DEL 20210810 $718.962.003</t>
        </r>
      </text>
    </comment>
    <comment ref="P169" authorId="0" shapeId="0" xr:uid="{90404E23-7531-4BC4-A7A8-F7FA0B5DB49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O171" authorId="0" shapeId="0" xr:uid="{2655FFA3-96EB-414C-BDF8-FA15E26FD91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P171" authorId="0" shapeId="0" xr:uid="{EA72B18F-F006-41B4-A02A-7206E63A430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20210603 $1.100.046.591
MM 3721 DEL 20210618 $1.123.194.427
MM 4021 DEL 20210629 $97.000.000
RES.01150 DE 20210611 $5.207.638.916
MM 5021 DEL 20210810 $92.000.000
MM 5121 DEL 20210810 $718.962.003
MM 5321 DEL 20210824 $59.108.936</t>
        </r>
      </text>
    </comment>
    <comment ref="Q171" authorId="0" shapeId="0" xr:uid="{6CFE4F09-76E6-44EE-A2FA-6C61098C9C7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
RAD.2-2021-028165 DEL 20210531  $5.207.638.916</t>
        </r>
      </text>
    </comment>
    <comment ref="O173" authorId="0" shapeId="0" xr:uid="{3158F139-1593-46F8-BCB8-A036EAB0350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3221 DEL 20210603 $434.975.940
MM 3721 DEL 20210618 $1.123.194.427
MM 5321 DEL 20210824 $59.108.936</t>
        </r>
      </text>
    </comment>
    <comment ref="P176" authorId="0" shapeId="0" xr:uid="{55928943-961F-4B7D-939C-9C049797B0C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O178" authorId="0" shapeId="0" xr:uid="{2B8EEFDC-ED4E-4348-AE8B-D8E81FB8C58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O181" authorId="0" shapeId="0" xr:uid="{0D0929FE-A573-4065-8105-26F495E403B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20210611 $610.647.150</t>
        </r>
      </text>
    </comment>
    <comment ref="O183" authorId="0" shapeId="0" xr:uid="{BB79A895-D80A-4631-A168-B7D160E2D3B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20210611 $388.286.850</t>
        </r>
      </text>
    </comment>
    <comment ref="O184" authorId="0" shapeId="0" xr:uid="{0B423822-5D93-41DC-BC27-C92A33FDE2F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RES.01150 DE 20210611 $2.169.181.500</t>
        </r>
      </text>
    </comment>
    <comment ref="O186" authorId="0" shapeId="0" xr:uid="{C66EABE2-A755-4ED6-A9F7-BC355C898E3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20210611 $259.599.224</t>
        </r>
      </text>
    </comment>
    <comment ref="O187" authorId="0" shapeId="0" xr:uid="{244E978D-A66E-4413-925A-695A153EB66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20210611 $1.558.900.000</t>
        </r>
      </text>
    </comment>
    <comment ref="O189" authorId="0" shapeId="0" xr:uid="{CDFDD383-FD27-4F22-BFAF-B4A7FC9BD51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20210611 $221.024.192</t>
        </r>
      </text>
    </comment>
    <comment ref="P195" authorId="0" shapeId="0" xr:uid="{2C4432D9-1CBF-43FF-8300-185FF6475CE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O197" authorId="0" shapeId="0" xr:uid="{1113C846-547E-4622-AE93-1A62A258F74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
RES.01298 DE 20210618 $1.760.000.000</t>
        </r>
      </text>
    </comment>
    <comment ref="P202" authorId="0" shapeId="0" xr:uid="{5DA890E5-BD65-4D98-9818-33171E7F9BC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RES.01298 DE 20210618 $1.760.000.000</t>
        </r>
      </text>
    </comment>
    <comment ref="O206" authorId="0" shapeId="0" xr:uid="{DCA722D0-771E-40A0-A4AF-E99B28AAA0A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P206" authorId="0" shapeId="0" xr:uid="{ACF22D58-9662-4FFC-AB89-E105BEB67E0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O208" authorId="0" shapeId="0" xr:uid="{0268026E-EA5D-4CE3-A152-00BEF94C55E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P208" authorId="0" shapeId="0" xr:uid="{63295A67-2A30-4931-BBBE-C6037471450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O210" authorId="0" shapeId="0" xr:uid="{EFF7C7F7-8CFC-4EC1-B105-174C3830DCE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P210" authorId="0" shapeId="0" xr:uid="{3304BF53-3D2C-455E-98B4-F5774BA8ECC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O212" authorId="0" shapeId="0" xr:uid="{F3E2B169-4B10-4FCD-97EE-5E54AAA3FF4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P212" authorId="0" shapeId="0" xr:uid="{E272DE6E-8E4F-40B6-BD8C-DE7C8335361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O214" authorId="0" shapeId="0" xr:uid="{9B044315-818C-4D7D-B426-AFD22B041CD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P214" authorId="0" shapeId="0" xr:uid="{C1B65D49-9E1D-448C-8F81-34BF3884D471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P215" authorId="0" shapeId="0" xr:uid="{BDEF5CD0-8218-4942-88CE-C15412DCA04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O218" authorId="0" shapeId="0" xr:uid="{2342BECF-7A42-4261-B703-CD63AF6CF60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O220" authorId="0" shapeId="0" xr:uid="{24EB35FA-C413-4C90-862D-9F28DAEECE7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P221" authorId="0" shapeId="0" xr:uid="{0D2F313C-12F0-40B6-B4EE-926BAC754D5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O223" authorId="0" shapeId="0" xr:uid="{7716FBF5-64C7-4EE9-B691-38FBFCA3754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O225" authorId="0" shapeId="0" xr:uid="{4315E69F-FF8F-4055-9587-BC82BE4AECE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O226" authorId="0" shapeId="0" xr:uid="{216BB860-9F36-4644-837A-5A8DD60FE41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O228" authorId="0" shapeId="0" xr:uid="{AE50D8E8-9E23-4627-867F-F9339B3C88E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P229" authorId="0" shapeId="0" xr:uid="{E00F2EC9-2732-4F95-8667-F513ABA38FA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O231" authorId="0" shapeId="0" xr:uid="{46BCED78-4177-42D1-9B79-E5D563C2C6E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P232" authorId="0" shapeId="0" xr:uid="{6A30739F-B937-40E2-B9C5-09AE00E8C5B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O235" authorId="0" shapeId="0" xr:uid="{04EF56D1-76CC-4D7A-B2DD-B2481475C5B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P237" authorId="0" shapeId="0" xr:uid="{B038A71F-C48A-417A-A7DB-9EE854B7EE4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Q60" authorId="0" shapeId="0" xr:uid="{2E56640A-143C-48A8-9368-F3A797D6DABF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320 DEL 20200210 $82,000,000</t>
        </r>
      </text>
    </comment>
    <comment ref="Q61" authorId="0" shapeId="0" xr:uid="{B4367313-26C1-4AB4-AF35-56ADC7F28AA4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420 DEL 20200210 $30,000,000</t>
        </r>
      </text>
    </comment>
    <comment ref="R62" authorId="0" shapeId="0" xr:uid="{2A6F952C-1B3E-4BA3-8E30-8BD8257E1266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320 DEL 20200210 $82,000,000
MM 420 DEL 20200210 $30,000,000</t>
        </r>
      </text>
    </comment>
    <comment ref="Q66" authorId="0" shapeId="0" xr:uid="{266937C2-88AE-4659-A9C3-30373FB0E91D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520 DEL 20200212 $2,400,000</t>
        </r>
      </text>
    </comment>
    <comment ref="Q67" authorId="0" shapeId="0" xr:uid="{6682A2D2-E54B-4A2A-93DA-7B9016DF8940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520 DEL 20200212 $7,600,000</t>
        </r>
      </text>
    </comment>
    <comment ref="R68" authorId="0" shapeId="0" xr:uid="{49056058-10E4-4362-B223-112933C43247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520 DEL 20200212 $10,000,000</t>
        </r>
      </text>
    </comment>
    <comment ref="R76" authorId="0" shapeId="0" xr:uid="{1EE261CF-2E95-4DCC-A936-DC2A008A3F02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620 DEL 20200212 $3,000,000</t>
        </r>
      </text>
    </comment>
    <comment ref="Q78" authorId="0" shapeId="0" xr:uid="{5E8128CF-07D4-46D0-8665-EF4205D628E4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620 DEL 20200212 $3,000,000</t>
        </r>
      </text>
    </comment>
    <comment ref="R96" authorId="0" shapeId="0" xr:uid="{621BDB4E-FCAD-4A6B-8D44-A7B9D2EAE5AD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RES. 0224 DEL 20200205 $36,000,000</t>
        </r>
      </text>
    </comment>
    <comment ref="Q97" authorId="0" shapeId="0" xr:uid="{F904474E-E77E-4D0E-9AF5-646677998C72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RES. 0224 DEL 20200205 $36,000,000</t>
        </r>
      </text>
    </comment>
    <comment ref="AG97" authorId="0" shapeId="0" xr:uid="{F6D2C637-298C-47A1-9FA1-F0CC8AB1F9C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R143" authorId="0" shapeId="0" xr:uid="{88BC7989-1A86-492A-A36E-022EE75A532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44" authorId="0" shapeId="0" xr:uid="{2BBE3902-4F64-4180-8408-1F10A560ECD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59" authorId="0" shapeId="0" xr:uid="{4EC9D3F8-45CD-4649-93C2-331ACD42E97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</t>
        </r>
      </text>
    </comment>
    <comment ref="R161" authorId="0" shapeId="0" xr:uid="{2136AE61-E26B-4426-80E3-F1386BDAE62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</t>
        </r>
      </text>
    </comment>
    <comment ref="Q163" authorId="0" shapeId="0" xr:uid="{6673F31D-4C6D-4D11-9E57-EE66E899FE11}">
      <text>
        <r>
          <rPr>
            <b/>
            <sz val="9"/>
            <color indexed="81"/>
            <rFont val="Tahoma"/>
            <charset val="1"/>
          </rPr>
          <t>Fabio Jan Munoz Lopez:</t>
        </r>
        <r>
          <rPr>
            <sz val="9"/>
            <color indexed="81"/>
            <rFont val="Tahoma"/>
            <charset val="1"/>
          </rPr>
          <t xml:space="preserve">
MM 720 DEL 20200212 $700,000,000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T102" authorId="0" shapeId="0" xr:uid="{69104AE6-AED7-4BF4-9580-F8C35F14E27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14" authorId="0" shapeId="0" xr:uid="{03407873-BD9A-467F-B5EB-DE45DC277A4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20210916 $25.000.000</t>
        </r>
      </text>
    </comment>
    <comment ref="P15" authorId="0" shapeId="0" xr:uid="{A916A179-E35E-487D-B689-FDC46EB3E5E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20210916 $30.000.000</t>
        </r>
      </text>
    </comment>
    <comment ref="Q15" authorId="0" shapeId="0" xr:uid="{638A43B8-86F2-45C0-8C49-2532E569C31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7121 DEL 20211026 $20.000.000</t>
        </r>
      </text>
    </comment>
    <comment ref="P17" authorId="0" shapeId="0" xr:uid="{53D8ADB9-5C17-422F-8CB5-1CC04E110F4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20210916 $20.000.000</t>
        </r>
      </text>
    </comment>
    <comment ref="P18" authorId="0" shapeId="0" xr:uid="{DE76080D-D232-4EF5-8283-DD4E8DD359B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
MM 7121 DEL 20211026 $20.000.000</t>
        </r>
      </text>
    </comment>
    <comment ref="Q18" authorId="0" shapeId="0" xr:uid="{51552B3B-A389-418E-BCDD-6A608CFA708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20210916 $220.000.000</t>
        </r>
      </text>
    </comment>
    <comment ref="Q20" authorId="0" shapeId="0" xr:uid="{53EF60C1-ED8F-4262-9E37-AF318BF08C8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20210916 $60.000.000</t>
        </r>
      </text>
    </comment>
    <comment ref="Q21" authorId="0" shapeId="0" xr:uid="{9B8172E3-FEA2-4C22-9E5F-6164880F3BA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
MM 5721 DEL 20210916 $425.000.000</t>
        </r>
      </text>
    </comment>
    <comment ref="P22" authorId="0" shapeId="0" xr:uid="{5379EDFC-7BD7-4D0B-8252-EAF31089BA7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20210916 $700.000.000</t>
        </r>
      </text>
    </comment>
    <comment ref="Q23" authorId="0" shapeId="0" xr:uid="{9A8C381D-7BD8-43FD-877C-AD0D13742DF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20210916 $20.000.000</t>
        </r>
      </text>
    </comment>
    <comment ref="P49" authorId="0" shapeId="0" xr:uid="{62955827-9101-4F7C-B042-7E45C649393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4121 DEL 20210708 $6.000.000</t>
        </r>
      </text>
    </comment>
    <comment ref="Q49" authorId="0" shapeId="0" xr:uid="{5EE625F6-B7CF-430C-A2BA-0A61FE73F93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20210927 $7.000.000</t>
        </r>
      </text>
    </comment>
    <comment ref="P51" authorId="0" shapeId="0" xr:uid="{C0EDC089-6CB4-48E4-94DB-6491EC57A96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6921 DEL 20211022 $1.000.000</t>
        </r>
      </text>
    </comment>
    <comment ref="Q51" authorId="0" shapeId="0" xr:uid="{D606912A-E947-4C9D-8E4C-6055D77DA2D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5621 DEL 20210916 $77.519.115</t>
        </r>
      </text>
    </comment>
    <comment ref="Q53" authorId="0" shapeId="0" xr:uid="{CD808629-1CC0-4316-A518-882BA20E29C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20210927 $43.686.788
MM 6121 DEL 20210928 $26.800.000</t>
        </r>
      </text>
    </comment>
    <comment ref="Q54" authorId="0" shapeId="0" xr:uid="{E8D2412E-6BBE-4CCE-82B1-3CA0E9564C9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20210628 $20.000.000
MM 6021 DEL 20210927 $7.312.495</t>
        </r>
      </text>
    </comment>
    <comment ref="Q58" authorId="0" shapeId="0" xr:uid="{D089EA22-E262-4CA9-A0B0-4ECB12C596D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3321 DEL 20210603 $25.623.150
MM 4121 DEL 20210708 $9.000.000
MM 6721 DEL 20211007 $3.388.395</t>
        </r>
      </text>
    </comment>
    <comment ref="P60" authorId="0" shapeId="0" xr:uid="{76BB98EF-E731-46F4-9840-CCDE4659625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4121 DEL 20210708 $3.000.000</t>
        </r>
      </text>
    </comment>
    <comment ref="Q61" authorId="0" shapeId="0" xr:uid="{46A05808-F125-49E7-8E99-8624C5155B3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</t>
        </r>
      </text>
    </comment>
    <comment ref="Q62" authorId="0" shapeId="0" xr:uid="{1FDB97CA-AF3F-4B40-9CCE-CB6B55DDB55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20210721 $20.000.000</t>
        </r>
      </text>
    </comment>
    <comment ref="P63" authorId="0" shapeId="0" xr:uid="{A54BD7CB-1F34-4501-9E8D-F26FFD681FA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3821 DEL 20210618 $22.202.925
MM 4221 DEL 20210713 $20.090.983
MM 7521 DEL 20211028 $24.155.008</t>
        </r>
      </text>
    </comment>
    <comment ref="Q63" authorId="0" shapeId="0" xr:uid="{4A91668E-090A-4FD9-A8DD-86648D2E2D1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
MM 6321 DEL 20210930 $1.000.000</t>
        </r>
      </text>
    </comment>
    <comment ref="P67" authorId="0" shapeId="0" xr:uid="{FCE6A268-5E06-4ED3-8CDF-1C38DC2D494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Q67" authorId="0" shapeId="0" xr:uid="{60F4D8A0-1D6C-40E7-AEC7-134D24DD302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6121 DEL 20210928 $38.258.770</t>
        </r>
      </text>
    </comment>
    <comment ref="P68" authorId="0" shapeId="0" xr:uid="{52A3FB5C-B789-4B28-817D-2F8DCC8624D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
MM 5821 DEL 20210924 $2.230.908</t>
        </r>
      </text>
    </comment>
    <comment ref="Q68" authorId="0" shapeId="0" xr:uid="{B8293858-1B7C-4C4C-9952-64F4012D71F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4921 DEL 20210805 $234.800.000
MM 6121 DEL 20210928 $11.606.883
MM 6821 DEL 20211021 $30.000.000
MM 7221 DEL 20211027 $30.000.000</t>
        </r>
      </text>
    </comment>
    <comment ref="Q71" authorId="0" shapeId="0" xr:uid="{24D06E35-1408-474B-AF72-B1E0F53D200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20210721 $119.957.553</t>
        </r>
      </text>
    </comment>
    <comment ref="Q72" authorId="0" shapeId="0" xr:uid="{1643B12D-8CFC-4A16-914F-C3F9AD59ABB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5221 DEL 20210811 $145.000.000
MM 6121 DEL 20210928 $30.692.018</t>
        </r>
      </text>
    </comment>
    <comment ref="P74" authorId="0" shapeId="0" xr:uid="{C29D49F9-C76A-42E2-8770-B551EC36D10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
MM 3921 DEL 20210628 $11.000.000
MM 6021 DEL 20210927 $118.384.408
MM 6121 DEL 20210928 $431.894.092</t>
        </r>
      </text>
    </comment>
    <comment ref="Q74" authorId="0" shapeId="0" xr:uid="{257BB73D-7ABD-4FEF-B700-92CAD3BDB06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
MM 4621 DEL 20210721 $160.000.000
MM 4921 DEL 20210805 $1.462.586</t>
        </r>
      </text>
    </comment>
    <comment ref="Q75" authorId="0" shapeId="0" xr:uid="{5F2BB1DA-44BC-4DD9-9AF2-009A8748190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20210927 $1.150.000</t>
        </r>
      </text>
    </comment>
    <comment ref="Q77" authorId="0" shapeId="0" xr:uid="{AA0525E4-E7CB-4F81-BA09-97C44523F03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3121 DEL 20210603 $22.729.050
MM 5921 DEL 20210924 $2.600.000</t>
        </r>
      </text>
    </comment>
    <comment ref="P78" authorId="0" shapeId="0" xr:uid="{0E0FCE51-9C15-459C-BB0D-35FD734A0AA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3121 DEL 20210603 $22.729.050
MM 5621 DEL 20210916 $77.519.115
MM 5921 DEL 20210924 $2.600.000
MM 6721 DEL 20211007 $14.898.645
MM 7321 DEL 20211028 $30.000.000</t>
        </r>
      </text>
    </comment>
    <comment ref="Q78" authorId="0" shapeId="0" xr:uid="{AD31E53E-E1E2-4229-9CCB-9F054A2CA50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
MM 4421 DEL 20210721 $540.000.000
MM 4621 DEL 20210721 $50.000.000
MM 4721 DEL 20210726 $3.946.028
MM 4821 DEL 20210728 $12.500.000
MM 4921 DEL 20210805 $51.047.572
MM 5521 DEL 20210907 $16.798.003
MM 5821 DEL 20210924 $18.789.936
MM 6021 DEL 20210927 $5.000.000
MM 6221 DEL 20210928 $40.000.000</t>
        </r>
      </text>
    </comment>
    <comment ref="Q79" authorId="0" shapeId="0" xr:uid="{9B39C76B-6275-490A-8136-73A9AB95F17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
MM 4721 DEL 20210726 $16.264.004
MM 5221 DEL 20210811 $136.000.000
MM 6121 DEL 20210928 $62.000.000
MM 6321 DEL 20210930 $4.275.292</t>
        </r>
      </text>
    </comment>
    <comment ref="P80" authorId="0" shapeId="0" xr:uid="{59BBB09B-C5B9-42CC-A5BF-A3A8E133B56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 xml:space="preserve">MM 721 DEL 20210211 $5.955.863
MM 3321 DEL 20210603 $25.623.150
MM 3921 DEL 20210628 $3.884.018
MM 4421 DEL 20210721 $540.000.000
MM 4621 DEL 20210721 $330.957.553
MM 4721 DEL 20210726 $40.210.032
MM 4921 DEL 20210805 $287.310.158
MM 5221 DEL 20210811 $301.000.000
</t>
        </r>
      </text>
    </comment>
    <comment ref="Q80" authorId="0" shapeId="0" xr:uid="{C3862A3C-6666-4558-B2A7-FDBFC85D0C1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
MM 4121 DEL 20210708 $14.000.000
MM 6021 DEL 20210927 $19.553.583
MM 6121 DEL 20210928 $65.848.746
MM 6321 DEL 20210930 $1.821.668
MM 6521 DEL 20211006 $20.000.000
MM 6921 DEL 20211022 $1.000.000</t>
        </r>
      </text>
    </comment>
    <comment ref="P81" authorId="0" shapeId="0" xr:uid="{620F9432-2B32-48B6-9E41-F4B36095380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
MM 4121 DEL 20210708 $14.000.000
MM 4621 DEL 20210721 $23.000.000
MM 4821 DEL 20210728 $12.500.000
MM 6321 DEL 20210930 $7.096.960</t>
        </r>
      </text>
    </comment>
    <comment ref="Q81" authorId="0" shapeId="0" xr:uid="{2E8BF02D-8CCE-42E2-BF59-4A58A0E3389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3821 DEL 20210618 $22.202.925
MM 4221 DEL 20210713 $20.090.983
MM 6021 DEL 20210927 $20.000.001
MM 6121 DEL 20210928 $44.544.999
MM 7521 DEL 20211028 $24.155.008</t>
        </r>
      </text>
    </comment>
    <comment ref="P82" authorId="0" shapeId="0" xr:uid="{C042C851-C99C-4C2B-82B0-9EE7407D0A2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6521 DEL 20211006 $20.000.000</t>
        </r>
      </text>
    </comment>
    <comment ref="Q82" authorId="0" shapeId="0" xr:uid="{E60BB107-8EFB-4F5B-B964-64F10693080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4721 DEL 20210726 $20.000.000</t>
        </r>
      </text>
    </comment>
    <comment ref="Q84" authorId="0" shapeId="0" xr:uid="{92D0C667-D15F-4583-837F-7FE8051DC5E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20210928 $17.658.648
MM 6721 DEL 20211007 $948.200</t>
        </r>
      </text>
    </comment>
    <comment ref="Q85" authorId="0" shapeId="0" xr:uid="{854951FE-F340-42EC-B0F1-9F4DF668945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20210928 $130.000.000
MM 6721 DEL 20211007 $10.562.050</t>
        </r>
      </text>
    </comment>
    <comment ref="Q86" authorId="0" shapeId="0" xr:uid="{554DF8D3-C4EB-4210-ACF2-EC304B9B2DF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4621 DEL 20210721 $4.000.000
MM 5221 DEL 20210811 $20.000.000</t>
        </r>
      </text>
    </comment>
    <comment ref="Q87" authorId="0" shapeId="0" xr:uid="{65B822EF-223E-452D-B052-53F72C59B71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20210928 $4.484.028</t>
        </r>
      </text>
    </comment>
    <comment ref="P88" authorId="0" shapeId="0" xr:uid="{2724386C-5DB7-4FF2-8F48-CEF1AC6FB7D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20210628 $5.115.982</t>
        </r>
      </text>
    </comment>
    <comment ref="Q88" authorId="0" shapeId="0" xr:uid="{2688454B-FE20-4E24-A398-8E8642BB3C9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20210927 $14.681.541</t>
        </r>
      </text>
    </comment>
    <comment ref="P89" authorId="0" shapeId="0" xr:uid="{3F60C55E-9678-4B2A-953C-84EAB37BD89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5521 DEL 20210907 $16.798.003
MM 5821 DEL 20210924 $16.559.028
MM 6221 DEL 20210928 $40.000.000
MM 6821 DEL 20211021 $30.000.000
MM 7221 DEL 20211027 $30.000.000</t>
        </r>
      </text>
    </comment>
    <comment ref="Q89" authorId="0" shapeId="0" xr:uid="{383B5F3B-6EE3-4F4C-AAF3-1A797D42163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7321 DEL 20211028 $30.000.000</t>
        </r>
      </text>
    </comment>
    <comment ref="N93" authorId="0" shapeId="0" xr:uid="{1B3B0A2C-1552-48CF-B641-028144DD202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RES.1576 DE 20210708 $14.432.339.552</t>
        </r>
      </text>
    </comment>
    <comment ref="N94" authorId="0" shapeId="0" xr:uid="{619DC3BA-37A6-4C9A-88AB-86FB1BAA22F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
RES.1576 DE 20210708 $976.376.000.000
RES.2563 DE 20211021 $1.121.474.080.088</t>
        </r>
      </text>
    </comment>
    <comment ref="N95" authorId="0" shapeId="0" xr:uid="{D0AB7508-6EFC-4CAE-9CD7-D1D5FF2A77D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Q97" authorId="0" shapeId="0" xr:uid="{4D6EDEC3-E052-43BD-A61E-D1DD130EE06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 02391 DEL 20211021 $8.822.468.942</t>
        </r>
      </text>
    </comment>
    <comment ref="Q101" authorId="0" shapeId="0" xr:uid="{FF903EB8-DC58-400E-B686-5F9BE0109F3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P102" authorId="0" shapeId="0" xr:uid="{08CFE022-0C08-43A5-ACCA-08CD7C938E0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AD103" authorId="1" shapeId="0" xr:uid="{EC43E609-8D2B-4CA1-9EA2-57B0451BAC0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15" authorId="0" shapeId="0" xr:uid="{80568BEC-8263-4F77-A48C-7CA6FB183F1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 02391 DEL 20211021 $8.822.468.942</t>
        </r>
      </text>
    </comment>
    <comment ref="P152" authorId="0" shapeId="0" xr:uid="{89D91CF9-CCD4-400F-A166-2345297DA8E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
RES.02214 DE 20211006 $96.614.000</t>
        </r>
      </text>
    </comment>
    <comment ref="Q152" authorId="0" shapeId="0" xr:uid="{11A55228-9CF5-4E78-9FE3-A097B316277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</t>
        </r>
      </text>
    </comment>
    <comment ref="P154" authorId="0" shapeId="0" xr:uid="{EEFE5351-3D6A-40FF-BC30-FAE5302A524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
RES.02214 DE 20211006 $15.929.386.000</t>
        </r>
      </text>
    </comment>
    <comment ref="Q154" authorId="0" shapeId="0" xr:uid="{1477CF1E-5599-4492-A5ED-9EAF1DA440D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Q157" authorId="0" shapeId="0" xr:uid="{5738FF4B-89BB-48C0-85C1-2D52B57CE58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P170" authorId="0" shapeId="0" xr:uid="{657897F4-AD90-4D7F-BE05-8E611DC9D60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20210603 $665.070.651
MM 4021 DEL 20210629 $97.000.000
MM 5021 DEL 20210810 $92.000.000
MM 5121 DEL 20210810 $718.962.003
MM 5421 DEL 20210906 $6.274.354.831
MM 6421 DEL 20210930 $72.915.228,51
MM 6621 DEL 20211007 $213.832.234,98
MM 7021 DEL 20211025 $802.371.420,72
MM 7421 DEL 20211028 $640.769.063</t>
        </r>
      </text>
    </comment>
    <comment ref="Q170" authorId="0" shapeId="0" xr:uid="{9BE1790D-8A9D-4DBA-B9CC-82F3FCB2BA7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R170" authorId="0" shapeId="0" xr:uid="{BC3C2E6F-5710-42AF-A41D-888ECB8486F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RAD.2-2021-050527 DEL 20210929  $19.085.553.867</t>
        </r>
      </text>
    </comment>
    <comment ref="N172" authorId="0" shapeId="0" xr:uid="{81291E97-EE20-4396-B529-353080E8E65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CORREO DISH DEL 20211029 $39.142.152.575</t>
        </r>
      </text>
    </comment>
    <comment ref="P172" authorId="0" shapeId="0" xr:uid="{DE3FF5AD-EB44-4752-9B20-42B59535D66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</t>
        </r>
      </text>
    </comment>
    <comment ref="Q172" authorId="0" shapeId="0" xr:uid="{00BAF669-83CC-43C4-95E1-E8DC0839011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20210603 $1.100.046.591
MM 3721 DEL 20210618 $1.123.194.427
MM 4021 DEL 20210629 $97.000.000
RES.01150 DE 20210611 $5.207.638.916
MM 5021 DEL 20210810 $92.000.000
MM 5121 DEL 20210810 $718.962.003
MM 5321 DEL 20210824 $59.108.936
MM 5421 DEL 20210906 $6.274.354.831
MM 6421 DEL 20210930 $72.915.228,51
MM 6621 DEL 20211007 $213.832.234,98
MM 7021 DEL 20211025 $802.371.420,72
MM 7421 DEL 20211028 $640.769.063
RES.02167 DE 20210928 $3.773.500.000
RES.02214 DE 20211006 $16.026.000.000</t>
        </r>
      </text>
    </comment>
    <comment ref="R172" authorId="0" shapeId="0" xr:uid="{B36DFF33-C859-4B06-A1CA-CF83F189488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
RAD.2-2021-028165 DEL 20210531  $5.207.638.916
RAD.2-2021-02167 DEL 20210928  $3.773.500.000
RAD.2-2021-050527 DEL 20210929  $234.783.935.200
RAD.2-2021-050527 DEL 20210929  $16.026.000.000</t>
        </r>
      </text>
    </comment>
    <comment ref="P174" authorId="0" shapeId="0" xr:uid="{46895C36-796A-4253-A8B2-4ED9F86F58F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3221 DEL 20210603 $434.975.940
MM 3721 DEL 20210618 $1.123.194.427
MM 5321 DEL 20210824 $59.108.936</t>
        </r>
      </text>
    </comment>
    <comment ref="Q177" authorId="0" shapeId="0" xr:uid="{73FAEA36-612B-49BF-A9A4-88CE40105A9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P179" authorId="0" shapeId="0" xr:uid="{7F8CAA23-7F35-492C-AF35-859A9FD04C4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P182" authorId="0" shapeId="0" xr:uid="{D8FD3B9C-6B11-434A-B9B9-DFDA0E31CFC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20210611 $610.647.150
RES.02167 DE 20210928 $637.044.037</t>
        </r>
      </text>
    </comment>
    <comment ref="P184" authorId="0" shapeId="0" xr:uid="{E88B3B13-BD42-4A0B-B303-0E023543A47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20210611 $388.286.850
RES.02167 DE 20210928 $367.804.540</t>
        </r>
      </text>
    </comment>
    <comment ref="P185" authorId="0" shapeId="0" xr:uid="{DBFCB102-4B66-419D-9614-230B405C637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RES.01150 DE 20210611 $2.169.181.500
RES.02167 DE 20210928 $2.768.651.423</t>
        </r>
      </text>
    </comment>
    <comment ref="P187" authorId="0" shapeId="0" xr:uid="{94C4D694-FE72-4BED-B6FD-CD230DD56B7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20210611 $259.599.224</t>
        </r>
      </text>
    </comment>
    <comment ref="P188" authorId="0" shapeId="0" xr:uid="{2551C02C-A81A-4B63-8016-E4E6B446200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20210611 $1.558.900.000</t>
        </r>
      </text>
    </comment>
    <comment ref="P190" authorId="0" shapeId="0" xr:uid="{DB2A57F9-D9B3-482E-AEF6-F09ACEA1D49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20210611 $221.024.192</t>
        </r>
      </text>
    </comment>
    <comment ref="Q196" authorId="0" shapeId="0" xr:uid="{1E1C0E9A-0492-47D0-987A-B5AC9D3FCE9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P198" authorId="0" shapeId="0" xr:uid="{E82BE808-040C-4D1E-AB5E-73AFCB9CD48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
RES.01298 DE 20210618 $1.760.000.000</t>
        </r>
      </text>
    </comment>
    <comment ref="Q203" authorId="0" shapeId="0" xr:uid="{72B0DA6C-3C7B-408D-AF25-2401F62D7BF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RES.01298 DE 20210618 $1.760.000.000</t>
        </r>
      </text>
    </comment>
    <comment ref="P207" authorId="0" shapeId="0" xr:uid="{30FACD07-1E1B-4A7A-8E54-4B13435126D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Q207" authorId="0" shapeId="0" xr:uid="{C091911B-EC39-43FF-AABD-CB19A3135F6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P209" authorId="0" shapeId="0" xr:uid="{3DAA72C8-710F-47A3-B898-2DF3BB9D9F7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Q209" authorId="0" shapeId="0" xr:uid="{D9396132-78E4-41A1-833F-BAE3856B0EF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P211" authorId="0" shapeId="0" xr:uid="{04F1A0CA-9ECC-431A-9958-70305732254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Q211" authorId="0" shapeId="0" xr:uid="{E6B06E31-9102-487F-85ED-38515142306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P213" authorId="0" shapeId="0" xr:uid="{86B2E51A-BE23-4D57-9E52-1DE07FFE370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Q213" authorId="0" shapeId="0" xr:uid="{7691A4F3-CAF7-49CE-BA52-89F330E9F10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P215" authorId="0" shapeId="0" xr:uid="{9B3A5362-D234-45DD-A2CD-9C8A66D19A9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Q215" authorId="0" shapeId="0" xr:uid="{CB1285E6-EA45-467C-8AB6-AF00D497F8F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Q216" authorId="0" shapeId="0" xr:uid="{85F3CDF1-8573-441A-8B7F-E45E66D2EFF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P219" authorId="0" shapeId="0" xr:uid="{3232A6B5-57A6-4792-BB42-B1C71B5EC16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P221" authorId="0" shapeId="0" xr:uid="{A4499567-27AF-4452-8433-87CDEF3FF65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Q222" authorId="0" shapeId="0" xr:uid="{3301202F-4D6F-4D24-98A6-3BA004461983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P224" authorId="0" shapeId="0" xr:uid="{ED157ACB-096D-4AEB-86E2-C2436F1CF0D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P226" authorId="0" shapeId="0" xr:uid="{F45F601C-6608-4631-BF72-41B7ADC3EA3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P227" authorId="0" shapeId="0" xr:uid="{44506179-E556-4273-A238-28B0E429F1C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P229" authorId="0" shapeId="0" xr:uid="{CB985A9C-4019-4F10-95D9-CE9C2883BB0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Q230" authorId="0" shapeId="0" xr:uid="{EE3FDF3A-E845-4CC0-932B-BD7A97BC378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P232" authorId="0" shapeId="0" xr:uid="{8FBCF103-0C2D-4975-9868-E600FE4F706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Q233" authorId="0" shapeId="0" xr:uid="{04DA6CA8-BD5B-440B-886D-8449E0C27EF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P236" authorId="0" shapeId="0" xr:uid="{8DAFDCFA-1E51-469C-8BC5-0264FD76456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Q238" authorId="0" shapeId="0" xr:uid="{D8ADE5F3-8559-4734-8FD3-B34DD63F491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13" authorId="0" shapeId="0" xr:uid="{0B3177E2-3CA5-43BD-B2EB-07B8493EC98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20211112 $1.300.000.000
RES.02437 DEL 20211028 $400.000.000</t>
        </r>
      </text>
    </comment>
    <comment ref="Q14" authorId="0" shapeId="0" xr:uid="{11689FCA-71D3-4703-88BA-92E628278D9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20210916 $25.000.000</t>
        </r>
      </text>
    </comment>
    <comment ref="P15" authorId="0" shapeId="0" xr:uid="{D12EBC49-B5D1-4E8F-A535-ED658844930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20210916 $30.000.000</t>
        </r>
      </text>
    </comment>
    <comment ref="Q15" authorId="0" shapeId="0" xr:uid="{8770E225-404D-409D-B82C-BB42D7B8666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7121 DEL 20211026 $20.000.000</t>
        </r>
      </text>
    </comment>
    <comment ref="P17" authorId="0" shapeId="0" xr:uid="{07E98AB2-00A8-448A-AC12-9D36C2D8874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20210916 $20.000.000</t>
        </r>
      </text>
    </comment>
    <comment ref="P18" authorId="0" shapeId="0" xr:uid="{5E303EF3-7C4E-4151-AA6C-52ADFF63AD0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
MM 7121 DEL 20211026 $20.000.000</t>
        </r>
      </text>
    </comment>
    <comment ref="Q18" authorId="0" shapeId="0" xr:uid="{96FBC2F9-261D-4358-AFD8-5DD570AD74C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20210916 $220.000.000</t>
        </r>
      </text>
    </comment>
    <comment ref="Q20" authorId="0" shapeId="0" xr:uid="{051B71AE-8504-47A7-B188-120A8BFEEEC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20210916 $60.000.000</t>
        </r>
      </text>
    </comment>
    <comment ref="P21" authorId="0" shapeId="0" xr:uid="{32488949-C294-42E9-BA51-9B8879B3D19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20211112 $1.300.000.000</t>
        </r>
      </text>
    </comment>
    <comment ref="Q21" authorId="0" shapeId="0" xr:uid="{0F830ABB-1665-4F55-9E32-951444B5337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3521 DEL 20210611 $320.000.000
MM 5721 DEL 20210916 $425.000.000</t>
        </r>
      </text>
    </comment>
    <comment ref="P22" authorId="0" shapeId="0" xr:uid="{670BD1A1-38E6-41D5-BAE0-F355E8DC995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20210916 $700.000.000</t>
        </r>
      </text>
    </comment>
    <comment ref="Q23" authorId="0" shapeId="0" xr:uid="{53DA070E-7DDB-46ED-94E5-319715DBC2F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5721 DEL 20210916 $20.000.000</t>
        </r>
      </text>
    </comment>
    <comment ref="Q27" authorId="0" shapeId="0" xr:uid="{EB294CF8-84AA-49EA-8BEA-17B9F22D3CF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RES.02437 DEL 20211028 $800.000.000</t>
        </r>
      </text>
    </comment>
    <comment ref="P36" authorId="0" shapeId="0" xr:uid="{80281BC8-E4EE-46EC-8F6C-578F3DAF472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20211112 $140.000.000
RES.02437 DEL 20211028 $550.000.000</t>
        </r>
      </text>
    </comment>
    <comment ref="P37" authorId="0" shapeId="0" xr:uid="{56000E63-AA48-4B3F-80B8-EFD2D96F716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RES.02437 DEL 20211028 $40.000.000</t>
        </r>
      </text>
    </comment>
    <comment ref="Q37" authorId="0" shapeId="0" xr:uid="{7E34930F-E8CC-468E-A734-3D832C62E29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20211112 $60.000.000</t>
        </r>
      </text>
    </comment>
    <comment ref="P38" authorId="0" shapeId="0" xr:uid="{5F11AE3D-D3F3-42C0-842B-810808F40EF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RES.02437 DEL 20211028 $65.000.000</t>
        </r>
      </text>
    </comment>
    <comment ref="Q38" authorId="0" shapeId="0" xr:uid="{33610AB1-7D4D-4283-A0A8-2F38C30FEBF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20211112 $70.000.000</t>
        </r>
      </text>
    </comment>
    <comment ref="P39" authorId="0" shapeId="0" xr:uid="{BD1E69A6-A331-4CDD-89DA-2C1589856FB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20211112 $205.000.000
RES.02437 DEL 20211028 $225.000.000</t>
        </r>
      </text>
    </comment>
    <comment ref="P42" authorId="0" shapeId="0" xr:uid="{FB5259E5-79B8-462B-86F9-60DDED664FD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RES.02437 DEL 20211028 $30.000.000</t>
        </r>
      </text>
    </comment>
    <comment ref="P43" authorId="0" shapeId="0" xr:uid="{D020ED62-2D3D-48E3-82EE-02208FC48A9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RES.02437 DEL 20211028 $290.000.000</t>
        </r>
      </text>
    </comment>
    <comment ref="Q43" authorId="0" shapeId="0" xr:uid="{C5AA3358-5741-4037-8D02-8A82E61DFE3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8821 DEL 20211112 $215.000.000</t>
        </r>
      </text>
    </comment>
    <comment ref="P49" authorId="0" shapeId="0" xr:uid="{FFB6FB12-AA4D-4FDF-AF84-E33E0144137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4121 DEL 20210708 $6.000.000</t>
        </r>
      </text>
    </comment>
    <comment ref="Q49" authorId="0" shapeId="0" xr:uid="{7B341998-1700-4752-9AD1-AC1B756C3A1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20210927 $7.000.000</t>
        </r>
      </text>
    </comment>
    <comment ref="P51" authorId="0" shapeId="0" xr:uid="{2FE71B23-A82A-4131-A8E2-144D491AFBA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6921 DEL 20211022 $1.000.000
MM 7821 DEL 20211103 $4.207.630</t>
        </r>
      </text>
    </comment>
    <comment ref="Q51" authorId="0" shapeId="0" xr:uid="{54AC7B4F-9863-4FD8-A9D5-F99A0BFD118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5621 DEL 20210916 $77.519.115</t>
        </r>
      </text>
    </comment>
    <comment ref="Q53" authorId="0" shapeId="0" xr:uid="{DFE161BD-4B2E-41A4-83DC-41320C4F43B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20210927 $43.686.788
MM 6121 DEL 20210928 $26.800.000</t>
        </r>
      </text>
    </comment>
    <comment ref="Q54" authorId="0" shapeId="0" xr:uid="{F9BED43A-DBA9-4BB4-98EA-B0BC7968F05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20210628 $20.000.000
MM 6021 DEL 20210927 $7.312.495</t>
        </r>
      </text>
    </comment>
    <comment ref="Q58" authorId="0" shapeId="0" xr:uid="{6B0C4564-B51D-4F98-9776-43695B2762C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3321 DEL 20210603 $25.623.150
MM 4121 DEL 20210708 $9.000.000
MM 6721 DEL 20211007 $3.388.395</t>
        </r>
      </text>
    </comment>
    <comment ref="P60" authorId="0" shapeId="0" xr:uid="{8FAE6605-E634-4304-A39B-0553151604D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4121 DEL 20210708 $3.000.000</t>
        </r>
      </text>
    </comment>
    <comment ref="Q61" authorId="0" shapeId="0" xr:uid="{CB73D417-0BA2-4261-BB6F-EA8890CF3E9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20210428 $9.000.000
MM 9121 DEL 20211119 $1.000.000</t>
        </r>
      </text>
    </comment>
    <comment ref="Q62" authorId="0" shapeId="0" xr:uid="{D9588813-4493-4415-B865-FE4E34500F3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20210721 $20.000.000</t>
        </r>
      </text>
    </comment>
    <comment ref="P63" authorId="0" shapeId="0" xr:uid="{BE48100C-874A-409C-94B7-CB1FAF01BB3C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3821 DEL 20210618 $22.202.925
MM 4221 DEL 20210713 $20.090.983
MM 7521 DEL 20211028 $24.155.008
MM 9121 DEL 20211119 $1.000.000</t>
        </r>
      </text>
    </comment>
    <comment ref="Q63" authorId="0" shapeId="0" xr:uid="{33424B30-2C68-4D63-B704-D6C5D9168CE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2521 DEL 20210428 $7.000.000
MM 6321 DEL 20210930 $1.000.000</t>
        </r>
      </text>
    </comment>
    <comment ref="P67" authorId="0" shapeId="0" xr:uid="{EE90223B-A627-4F22-A1C1-158E0867335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20210325 $104.342,700</t>
        </r>
      </text>
    </comment>
    <comment ref="Q67" authorId="0" shapeId="0" xr:uid="{0DF61F4C-3DF1-4F10-8413-7D4B885260D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6121 DEL 20210928 $38.258.770</t>
        </r>
      </text>
    </comment>
    <comment ref="P68" authorId="0" shapeId="0" xr:uid="{70BDED70-0A34-4F9A-B271-D93F7D7A90E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1321 DEL 20210325 $31.936.200
MM 5821 DEL 20210924 $2.230.908
MM 8321 DEL 20211105 $2.008.329</t>
        </r>
      </text>
    </comment>
    <comment ref="Q68" authorId="0" shapeId="0" xr:uid="{83F67C33-14BA-49D3-BD00-29A6A7E9BA42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4921 DEL 20210805 $234.800.000
MM 6121 DEL 20210928 $11.606.883
MM 6821 DEL 20211021 $30.000.000
MM 7221 DEL 20211027 $30.000.000
MM 7721 DEL 20211103 $130.000.000
MM 7821 DEL 20211103 $4.207.630
MM 8021 DEL 20211104 $2.008.329
MM 8121 DEL 20211104 $8.500
MM 9021 DEL 20211118 $1.204.098</t>
        </r>
      </text>
    </comment>
    <comment ref="P71" authorId="0" shapeId="0" xr:uid="{B62F3224-6615-43DC-B16A-639ED611D0D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9221 DEL 20211122 $30.000.000</t>
        </r>
      </text>
    </comment>
    <comment ref="Q71" authorId="0" shapeId="0" xr:uid="{A6E77527-FEDE-46A2-A4A5-FB43C12C93B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4621 DEL 20210721 $119.957.553</t>
        </r>
      </text>
    </comment>
    <comment ref="Q72" authorId="0" shapeId="0" xr:uid="{3E6501F3-CDB8-431B-AF38-2F3C3BCC124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5221 DEL 20210811 $145.000.000
MM 6121 DEL 20210928 $30.692.018
MM 8221 DEL 20211105 $9.000.000
MM 9221 DEL 20211122 $30.000.000</t>
        </r>
      </text>
    </comment>
    <comment ref="P74" authorId="0" shapeId="0" xr:uid="{9E8E8979-1AEB-4EA9-A9F4-29AFDE238C0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1321 DEL 20210325 $32.983.435
MM 3921 DEL 20210628 $11.000.000
MM 6021 DEL 20210927 $118.384.408
MM 6121 DEL 20210928 $431.894.092
MM 8021 DEL 20211104 $49.632.587</t>
        </r>
      </text>
    </comment>
    <comment ref="Q74" authorId="0" shapeId="0" xr:uid="{601BFC9D-33E0-4545-9053-70787F554A6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1621 DEL 20210409 $29.023,435
MM 4621 DEL 20210721 $160.000.000
MM 4921 DEL 20210805 $1.462.586
MM 8321 DEL 20211105 $49.632.587</t>
        </r>
      </text>
    </comment>
    <comment ref="Q75" authorId="0" shapeId="0" xr:uid="{2127DD64-F317-4611-AA7A-D694DA4D996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20210927 $1.150.000
MM 8121 DEL 20211104 $676.488</t>
        </r>
      </text>
    </comment>
    <comment ref="Q77" authorId="0" shapeId="0" xr:uid="{2A796FF0-99DB-4BC2-9717-256BC73FFBD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3121 DEL 20210603 $22.729.050
MM 5921 DEL 20210924 $2.600.000</t>
        </r>
      </text>
    </comment>
    <comment ref="P78" authorId="0" shapeId="0" xr:uid="{287F6963-2CF9-4056-B4D5-C3DE5A9E852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3121 DEL 20210603 $22.729.050
MM 5621 DEL 20210916 $77.519.115
MM 5921 DEL 20210924 $2.600.000
MM 6721 DEL 20211007 $14.898.645
MM 7321 DEL 20211028 $30.000.000</t>
        </r>
      </text>
    </comment>
    <comment ref="Q78" authorId="0" shapeId="0" xr:uid="{193F0733-9F6C-4C81-8A1B-C5F944C5F8B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1321 DEL 20210325 $169.262.335
MM 2221 DEL 20210414 $146.154.331
MM 4421 DEL 20210721 $540.000.000
MM 4621 DEL 20210721 $50.000.000
MM 4721 DEL 20210726 $3.946.028
MM 4821 DEL 20210728 $12.500.000
MM 4921 DEL 20210805 $51.047.572
MM 5521 DEL 20210907 $16.798.003
MM 5821 DEL 20210924 $18.789.936
MM 6021 DEL 20210927 $5.000.000
MM 6221 DEL 20210928 $40.000.000
MM 9021 DEL 20211118 $24.977.318</t>
        </r>
      </text>
    </comment>
    <comment ref="Q79" authorId="0" shapeId="0" xr:uid="{FC6DBB59-82B4-488A-BC16-F70C5D12BFC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1221 DEL 20210318 $82.333,302,13
MM 4721 DEL 20210726 $16.264.004
MM 5221 DEL 20210811 $136.000.000
MM 6121 DEL 20210928 $62.000.000
MM 6321 DEL 20210930 $4.275.292
MM 8121 DEL 20211104 $11.264.890</t>
        </r>
      </text>
    </comment>
    <comment ref="P80" authorId="0" shapeId="0" xr:uid="{830C9552-5AFD-4D45-BA15-A29D0F85CE1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721 DEL 20210211 $5.955.863
MM 3321 DEL 20210603 $25.623.150
MM 3921 DEL 20210628 $3.884.018
MM 4421 DEL 20210721 $540.000.000
MM 4621 DEL 20210721 $330.957.553
MM 4721 DEL 20210726 $40.210.032
MM 4921 DEL 20210805 $287.310.158
MM 5221 DEL 20210811 $301.000.000
MM 7621 DEL 20211103 $220.000.000
MM 8121 DEL 20211104 $36.949.878
MM 8221 DEL 20211105 $9.000.000
MM 8321 DEL 20211105 $47.624.258</t>
        </r>
      </text>
    </comment>
    <comment ref="Q80" authorId="0" shapeId="0" xr:uid="{3494A570-C261-45CC-BBA7-7C47CB14BC1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2521 DEL 20210428 $2.881.202
MM 4121 DEL 20210708 $14.000.000
MM 6021 DEL 20210927 $19.553.583
MM 6121 DEL 20210928 $65.848.746
MM 6321 DEL 20210930 $1.821.668
MM 6521 DEL 20211006 $20.000.000
MM 6921 DEL 20211022 $1.000.000
MM 8021 DEL 20211104 $47.624.258</t>
        </r>
      </text>
    </comment>
    <comment ref="P81" authorId="0" shapeId="0" xr:uid="{BE16D8B9-CCF1-447C-8881-8F977DC80D3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1121 DEL 20210318 $20.268,000
MM 1221 DEL 20210318 $82.333,302,13
MM 1621 DEL 20210409 $29.023,435
MM 2221 DEL 20210414 $146.154.331
MM 2521 DEL 20210428 $18.881.202
MM 4121 DEL 20210708 $14.000.000
MM 4621 DEL 20210721 $23.000.000
MM 4821 DEL 20210728 $12.500.000
MM 6321 DEL 20210930 $7.096.960</t>
        </r>
      </text>
    </comment>
    <comment ref="Q81" authorId="0" shapeId="0" xr:uid="{CBCA0690-BF4D-4C3C-8C04-0C27730725D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3621 DEL 20210615 $20.000.000
MM 3821 DEL 20210618 $22.202.925
MM 4221 DEL 20210713 $20.090.983
MM 6021 DEL 20210927 $20.000.001
MM 6121 DEL 20210928 $44.544.999
MM 7521 DEL 20211028 $24.155.008
MM 8121 DEL 20211104 $25.000.000</t>
        </r>
      </text>
    </comment>
    <comment ref="P82" authorId="0" shapeId="0" xr:uid="{906CF63D-8AA5-44B7-A846-902105FD696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6521 DEL 20211006 $20.000.000</t>
        </r>
      </text>
    </comment>
    <comment ref="Q82" authorId="0" shapeId="0" xr:uid="{E4EEFFF4-60FC-4DE0-8D42-CC779E12226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4721 DEL 20210726 $20.000.000</t>
        </r>
      </text>
    </comment>
    <comment ref="Q84" authorId="0" shapeId="0" xr:uid="{416162C6-9FB4-401F-BF0C-8C6AD4FDEB9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20210928 $17.658.648
MM 6721 DEL 20211007 $948.200
MM 7621 DEL 20211103 $220.000.000</t>
        </r>
      </text>
    </comment>
    <comment ref="Q85" authorId="0" shapeId="0" xr:uid="{71B59A34-9EC2-4CD0-ADB3-1A705D77B9A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20210928 $130.000.000
MM 6721 DEL 20211007 $10.562.050</t>
        </r>
      </text>
    </comment>
    <comment ref="Q86" authorId="0" shapeId="0" xr:uid="{4628D4E2-D02B-4C9F-8E46-5349BC07E8C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1521 DEL 20210331 $11.000,000
MM 4621 DEL 20210721 $4.000.000
MM 5221 DEL 20210811 $20.000.000</t>
        </r>
      </text>
    </comment>
    <comment ref="Q87" authorId="0" shapeId="0" xr:uid="{8AAFE028-572A-4C08-95CA-86AAE1BE2B5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6121 DEL 20210928 $4.484.028</t>
        </r>
      </text>
    </comment>
    <comment ref="P88" authorId="0" shapeId="0" xr:uid="{CCD43907-CEC5-4F5E-9EEC-DA0C1C5A19C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3921 DEL 20210628 $5.115.982</t>
        </r>
      </text>
    </comment>
    <comment ref="Q88" authorId="0" shapeId="0" xr:uid="{8C57C64C-D134-4B02-988C-B52C91F41C6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6021 DEL 20210927 $14.681.541</t>
        </r>
      </text>
    </comment>
    <comment ref="P89" authorId="0" shapeId="0" xr:uid="{DCD9801B-BEC4-4536-97DB-84B221A94C2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5521 DEL 20210907 $16.798.003
MM 5821 DEL 20210924 $16.559.028
MM 6221 DEL 20210928 $40.000.000
MM 6821 DEL 20211021 $30.000.000
MM 7221 DEL 20211027 $30.000.000
MM 7721 DEL 20211103 $130.000.000
MM 9021 DEL 20211118 $26.181.416</t>
        </r>
      </text>
    </comment>
    <comment ref="Q89" authorId="0" shapeId="0" xr:uid="{6CA09CBE-0E2B-465C-8504-F6EA492A0ED9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421 DEL 20210119 $184.500
MM 521 DEL 20210205 $65.741.905
MM 7321 DEL 20211028 $30.000.000</t>
        </r>
      </text>
    </comment>
    <comment ref="N93" authorId="0" shapeId="0" xr:uid="{EB530159-B71B-47DA-A708-48DB6733A44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RES.1576 DE 20210708 $14.432.339.552</t>
        </r>
      </text>
    </comment>
    <comment ref="N94" authorId="0" shapeId="0" xr:uid="{E1C2B1B6-AB95-4DB4-AF5D-91B1BB85D6A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RES.0308 DE 20210210 $2.985.799.234.200
RES.1576 DE 20210708 $976.376.000.000
RES.2563 DE 20211021 $1.121.474.080.088</t>
        </r>
      </text>
    </comment>
    <comment ref="N95" authorId="0" shapeId="0" xr:uid="{5E50CC84-B4AD-46B3-8F07-14F455D4EEB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RES.0313 DE 20210211 $817.715.040.000</t>
        </r>
      </text>
    </comment>
    <comment ref="Q97" authorId="0" shapeId="0" xr:uid="{1DC27FFF-4659-4B8E-9427-1BC84F0CFCE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 02391 DEL 20211021 $8.822.468.942</t>
        </r>
      </text>
    </comment>
    <comment ref="Q101" authorId="0" shapeId="0" xr:uid="{29FB39F6-FF21-46DB-9A3A-E166BA6025F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P102" authorId="0" shapeId="0" xr:uid="{33CF8FEE-C5E1-4E55-9FC9-6AE9FFB5951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4321 DEL 20210716 $100.000.000</t>
        </r>
      </text>
    </comment>
    <comment ref="AD103" authorId="1" shapeId="0" xr:uid="{92CC906B-0CF6-41F8-ADD2-2384AD0102F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15" authorId="0" shapeId="0" xr:uid="{B46AAC86-CE19-4EB3-8D3D-705A79AAC68B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 02391 DEL 20211021 $8.822.468.942</t>
        </r>
      </text>
    </comment>
    <comment ref="Q115" authorId="0" shapeId="0" xr:uid="{7C7F3C82-725F-4BA6-8A73-43DA32784E3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MEM. M-2021-2000-036396 DEL 20211110 $8.822.468.942</t>
        </r>
      </text>
    </comment>
    <comment ref="P116" authorId="0" shapeId="0" xr:uid="{3B9E323B-4D7C-4434-BE74-5F364D2DCE21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MEM. M-2021-2000-036396 DEL 20211110 $8.822.468.942</t>
        </r>
      </text>
    </comment>
    <comment ref="P152" authorId="0" shapeId="0" xr:uid="{0BF994B5-A51E-44C0-8388-FCB1D786ECB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
RES.02214 DE 20211006 $96.614.000</t>
        </r>
      </text>
    </comment>
    <comment ref="Q152" authorId="0" shapeId="0" xr:uid="{52D22584-3BAE-4B4A-862E-0FCE1703655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20210420 $10.101.482.511,97
MM 7921 DEL 20211104 $22.344.500</t>
        </r>
      </text>
    </comment>
    <comment ref="P154" authorId="0" shapeId="0" xr:uid="{CEA7BD88-780A-4FA5-AB25-A715C50F47A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20210420 $10.230.450.560,97
RES.02214 DE 20211006 $15.929.386.000
MM 7921 DEL 20211104 $22.344.500</t>
        </r>
      </text>
    </comment>
    <comment ref="Q154" authorId="0" shapeId="0" xr:uid="{A60DF4DE-A067-4BE9-B87F-2A984C71F46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221 DEL 20210105 $715.716.082
MM 321 DEL 20210113 $3.426.736.692,09
MM 621 DEL 20210210 $272.086
MM 821 DEL 20210212 $649.172.244
MM 2921 DEL 20210514 $6.000.000</t>
        </r>
      </text>
    </comment>
    <comment ref="Q157" authorId="0" shapeId="0" xr:uid="{E024B8D4-2515-406A-82B1-752660A814F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2421 DEL 20210420 $128.968.049</t>
        </r>
      </text>
    </comment>
    <comment ref="P170" authorId="0" shapeId="0" xr:uid="{BB26543B-FEBB-4591-A96E-DFD18EBB0A7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20210603 $665.070.651
MM 4021 DEL 20210629 $97.000.000
MM 5021 DEL 20210810 $92.000.000
MM 5121 DEL 20210810 $718.962.003
MM 5421 DEL 20210906 $6.274.354.831
MM 6421 DEL 20210930 $72.915.228,51
MM 6621 DEL 20211007 $213.832.234,98
MM 7021 DEL 20211025 $802.371.420,72
MM 7421 DEL 20211028 $640.769.063
MM 8421 DEL 20211108 $534.596.204,52
MM 8721 DEL 20211111 $258.037.795</t>
        </r>
      </text>
    </comment>
    <comment ref="Q170" authorId="0" shapeId="0" xr:uid="{F53618F7-F12A-4279-A828-77729773C7F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
MM 8521 DEL 20211109 $534.596.204,52
MM 8921 DEL 20211112 $1.263.000.000
MM 9321 DEL 20211125 $3.400.000.000</t>
        </r>
      </text>
    </comment>
    <comment ref="R170" authorId="0" shapeId="0" xr:uid="{91BBDC8A-0E10-48D0-92C6-15E84C74878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RAD.2-2021-050527 DEL 20210929  $19.085.553.867
RAD.2-2021-059474 DEL 20211109  $2.871.487.310</t>
        </r>
      </text>
    </comment>
    <comment ref="N172" authorId="0" shapeId="0" xr:uid="{BA61C0A4-28DE-4BCA-AF10-6E522B13C777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CORREO DISH DEL 20211029 $39.142.152.575
REDUCC. SOL.SISGESTION CDP MOD 1021 131116421001 DISH $7.564.211.158</t>
        </r>
      </text>
    </comment>
    <comment ref="P172" authorId="0" shapeId="0" xr:uid="{6F65D28A-55C8-4F06-A299-46C21896382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3421 DEL 20210603 $1.100.046.591
MM 8521 DEL 20211109 $534.596.204,52
MM 8921 DEL 20211112 $983.000.000
MM 9321 DEL 20211125 $3.400.000.000</t>
        </r>
      </text>
    </comment>
    <comment ref="Q172" authorId="0" shapeId="0" xr:uid="{C7B9BF79-35E1-4068-A52F-E93F17459C7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921 DEL 20210212 $2.900.000.000
MM 1021 DEL 20210223 $15.000.000.000
MM 1421 DEL 20210331 $6.400.000.000
MM 2621 DEL 20210430 $281.940.781,26
MM 2721 DEL 20210514 $428.949.444
MM 3021 DEL 20210602 $1.100.046.591
MM 3221 DEL 20210603 $1.100.046.591
MM 3721 DEL 20210618 $1.123.194.427
MM 4021 DEL 20210629 $97.000.000
RES.01150 DE 20210611 $5.207.638.916
MM 5021 DEL 20210810 $92.000.000
MM 5121 DEL 20210810 $718.962.003
MM 5321 DEL 20210824 $59.108.936
MM 5421 DEL 20210906 $6.274.354.831
MM 6421 DEL 20210930 $72.915.228,51
MM 6621 DEL 20211007 $213.832.234,98
MM 7021 DEL 20211025 $802.371.420,72
MM 7421 DEL 20211028 $640.769.063
RES.02167 DE 20210928 $3.773.500.000
RES.02214 DE 20211006 $16.026.000.000
MM 8421 DEL 20211108 $534.596.204,52
MM 8621 DEL 20211109 $534.596.204,52
MM 8721 DEL 20211111 $258.037.795</t>
        </r>
      </text>
    </comment>
    <comment ref="R172" authorId="0" shapeId="0" xr:uid="{77E0DFFE-8C44-4E65-815E-AFD90F7FA63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RAD.2-2021-015491 DEL 20210329  $202.000.000.000
RAD.2-2021-028165 DEL 20210531  $5.207.638.916
RAD.2-2021-02167 DEL 20210928  $3.773.500.000
RAD.2-2021-050527 DEL 20210929  $234.783.935.200
RAD.2-2021-050527 DEL 20210929  $16.026.000.000
RAD.2-2021-059474 DEL 20211109  $41.021.247.288</t>
        </r>
      </text>
    </comment>
    <comment ref="P174" authorId="0" shapeId="0" xr:uid="{D446EFFB-F14D-42E6-BFB7-02F09F873BD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3221 DEL 20210603 $434.975.940
MM 3721 DEL 20210618 $1.123.194.427
MM 5321 DEL 20210824 $59.108.936
MM 8621 DEL 20211109 $534.596.204,52
MM 8921 DEL 20211112 $280.000.000</t>
        </r>
      </text>
    </comment>
    <comment ref="R174" authorId="0" shapeId="0" xr:uid="{DEA3213C-0BD1-4CF3-AFFC-F57A4AFAF312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RAD.2-2021-059474 DEL 20211109  $1.230.637.419</t>
        </r>
      </text>
    </comment>
    <comment ref="Q177" authorId="0" shapeId="0" xr:uid="{9A998EF7-8F22-4FFB-8CB6-0A69593C48CE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P179" authorId="0" shapeId="0" xr:uid="{8D56A2EE-E83C-4916-A6C6-AAE86540045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4521 DEL 20210721 $595.000.000</t>
        </r>
      </text>
    </comment>
    <comment ref="P182" authorId="0" shapeId="0" xr:uid="{526D0E12-EB26-4F09-B400-54EEA04E5FF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20210611 $610.647.150
RES.02167 DE 20210928 $637.044.037</t>
        </r>
      </text>
    </comment>
    <comment ref="P184" authorId="0" shapeId="0" xr:uid="{87B96F0D-3309-4B96-B60D-0CEEFB0604AA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20210611 $388.286.850
RES.02167 DE 20210928 $367.804.540</t>
        </r>
      </text>
    </comment>
    <comment ref="P185" authorId="0" shapeId="0" xr:uid="{B75D5F3E-C90C-4F6E-B6A5-9DD8DA57D89A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RES.01150 DE 20210611 $2.169.181.500
RES.02167 DE 20210928 $2.768.651.423</t>
        </r>
      </text>
    </comment>
    <comment ref="P187" authorId="0" shapeId="0" xr:uid="{2058DB46-91E9-43FE-9F0E-2D336C82D5DD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20210611 $259.599.224</t>
        </r>
      </text>
    </comment>
    <comment ref="P188" authorId="0" shapeId="0" xr:uid="{B4565748-4863-43DA-81F3-30C5A9D33EF5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20210611 $1.558.900.000</t>
        </r>
      </text>
    </comment>
    <comment ref="P190" authorId="0" shapeId="0" xr:uid="{9583A3CB-3295-4FDA-8330-2D4C31A61F48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RES.01150 DE 20210611 $221.024.192</t>
        </r>
      </text>
    </comment>
    <comment ref="Q196" authorId="0" shapeId="0" xr:uid="{292D0ACD-852C-4913-905C-06B7A117D92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</t>
        </r>
      </text>
    </comment>
    <comment ref="P198" authorId="0" shapeId="0" xr:uid="{9E84596D-2E80-4F4B-A10E-08CC0B7AA961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2821 DEL 20210514 $82.545.742
RES.01298 DE 20210618 $1.760.000.000</t>
        </r>
      </text>
    </comment>
    <comment ref="Q203" authorId="0" shapeId="0" xr:uid="{D647360E-79C1-4E45-9B78-F994B65A6D7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RES.01298 DE 20210618 $1.760.000.000</t>
        </r>
      </text>
    </comment>
    <comment ref="P207" authorId="0" shapeId="0" xr:uid="{160E6A8E-3C70-4159-9583-BAC9C83E7E8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20210412 $130.864,071</t>
        </r>
      </text>
    </comment>
    <comment ref="Q207" authorId="0" shapeId="0" xr:uid="{ED9F5A14-A217-49F5-AF09-711EA45C90F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20210413 $261.728,142</t>
        </r>
      </text>
    </comment>
    <comment ref="P209" authorId="0" shapeId="0" xr:uid="{8221C181-5560-407C-8923-DE2FB9607CF4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20210412 $139.030,957</t>
        </r>
      </text>
    </comment>
    <comment ref="Q209" authorId="0" shapeId="0" xr:uid="{D22888D5-F848-4A3C-80EE-AED52BC2F6DF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20210413 $278.061,914</t>
        </r>
      </text>
    </comment>
    <comment ref="P211" authorId="0" shapeId="0" xr:uid="{A238556B-837B-452C-B7B9-B21B03A5188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20210412 $185.321,568</t>
        </r>
      </text>
    </comment>
    <comment ref="Q211" authorId="0" shapeId="0" xr:uid="{DC59016B-223A-45D2-8700-C6BAD2FCD674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20210413 $370.643,136</t>
        </r>
      </text>
    </comment>
    <comment ref="P213" authorId="0" shapeId="0" xr:uid="{965E2F42-1C4D-4611-B89B-8EFE40E2EDC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20210412 $259.693,938</t>
        </r>
      </text>
    </comment>
    <comment ref="Q213" authorId="0" shapeId="0" xr:uid="{B86EA8CB-E359-413E-8E0D-4095592C69D0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2121 DEL 20210413 $519.387,876</t>
        </r>
      </text>
    </comment>
    <comment ref="P215" authorId="0" shapeId="0" xr:uid="{99BEC950-97D5-4EA1-9B7E-B4DCC562D3A3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
MM 2121 DEL 20210413 $1.429.821,068</t>
        </r>
      </text>
    </comment>
    <comment ref="Q215" authorId="0" shapeId="0" xr:uid="{BECC4DFB-4658-47DA-8238-37F0B1094F30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2021 DEL 20210412 $714.910,534</t>
        </r>
      </text>
    </comment>
    <comment ref="Q216" authorId="0" shapeId="0" xr:uid="{78F7DDE1-37A3-4017-AE5F-6A6E12B2F076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121 DEL 20210105 $14.595.750.816</t>
        </r>
      </text>
    </comment>
    <comment ref="P219" authorId="0" shapeId="0" xr:uid="{FAB27C4C-8EA6-44C5-B329-9E66277B056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20210409 $681.063,106</t>
        </r>
      </text>
    </comment>
    <comment ref="P221" authorId="0" shapeId="0" xr:uid="{1D613072-FA9E-4201-B63C-AB48E4BB9885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20210409 $417.203,180</t>
        </r>
      </text>
    </comment>
    <comment ref="Q222" authorId="0" shapeId="0" xr:uid="{5B7D45E7-FE23-4164-8394-75873174AA9E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20210409 $3.115.663,306</t>
        </r>
      </text>
    </comment>
    <comment ref="P224" authorId="0" shapeId="0" xr:uid="{EE57186A-820A-409C-B0D0-4F990AC2DE8D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20210409 $2.230.593,423</t>
        </r>
      </text>
    </comment>
    <comment ref="P226" authorId="0" shapeId="0" xr:uid="{46DA4D85-E049-4CDB-8504-FBF5198FBFA9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20210409 $26.756,584
MM 1821 DEL 20210409 $91.806,393</t>
        </r>
      </text>
    </comment>
    <comment ref="P227" authorId="0" shapeId="0" xr:uid="{3589ED99-5FFB-4A83-885B-77538EF3E2CC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1821 DEL 20210409 $2.342.793,807
MM 1921 DEL 20210409 $10.018.588,452</t>
        </r>
      </text>
    </comment>
    <comment ref="P229" authorId="0" shapeId="0" xr:uid="{86544B87-4823-4F51-BCF4-972FF388A7D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20210409 $202.411,169</t>
        </r>
      </text>
    </comment>
    <comment ref="Q230" authorId="0" shapeId="0" xr:uid="{C18531BD-5C12-424C-8AC1-2ABB1FFC0606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20210409 $4.772.206,087</t>
        </r>
      </text>
    </comment>
    <comment ref="P232" authorId="0" shapeId="0" xr:uid="{D03C045E-1B4B-4E69-A217-3A8A6025C10F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1721 DEL 20210409 $1.895.241,731</t>
        </r>
      </text>
    </comment>
    <comment ref="Q233" authorId="0" shapeId="0" xr:uid="{268BDC3E-3DCD-4F56-BE65-8AEC68ED5C18}">
      <text>
        <r>
          <rPr>
            <b/>
            <sz val="9"/>
            <color indexed="81"/>
            <rFont val="Tahoma"/>
            <family val="2"/>
          </rPr>
          <t>Mirna Pulido:</t>
        </r>
        <r>
          <rPr>
            <sz val="9"/>
            <color indexed="81"/>
            <rFont val="Tahoma"/>
            <family val="2"/>
          </rPr>
          <t xml:space="preserve">
MM 1921 DEL 20210409 $10.018.588,452</t>
        </r>
      </text>
    </comment>
    <comment ref="P236" authorId="0" shapeId="0" xr:uid="{7D8950C3-3CC8-426E-93CD-264E2EE2762B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  <comment ref="Q238" authorId="0" shapeId="0" xr:uid="{7BF9D9BA-6BC5-4A6D-8210-76E2BC184A77}">
      <text>
        <r>
          <rPr>
            <b/>
            <sz val="9"/>
            <color indexed="81"/>
            <rFont val="Tahoma"/>
            <family val="2"/>
          </rPr>
          <t xml:space="preserve">Mirna Pulido:
</t>
        </r>
        <r>
          <rPr>
            <sz val="9"/>
            <color indexed="81"/>
            <rFont val="Tahoma"/>
            <family val="2"/>
          </rPr>
          <t>MM 2321 DEL 20210420 $2.000.000,000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2" authorId="0" shapeId="0" xr:uid="{140639DF-BB87-4777-8383-4ACC0E0E5CF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P72" authorId="0" shapeId="0" xr:uid="{EB14C896-55B8-4E8A-9088-5E9025A3A47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8" authorId="0" shapeId="0" xr:uid="{92A26B90-C6C5-4C29-92B2-4E0F2435D03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AD101" authorId="1" shapeId="0" xr:uid="{1F751E00-DEE3-4683-862C-A42EE47F51B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39" authorId="0" shapeId="0" xr:uid="{C88196B4-81D7-4CDC-94AC-E2FE567163A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</t>
        </r>
      </text>
    </comment>
    <comment ref="Q140" authorId="0" shapeId="0" xr:uid="{58379642-C162-4823-8568-643346F7D59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</t>
        </r>
      </text>
    </comment>
    <comment ref="P185" authorId="0" shapeId="0" xr:uid="{F0FBA15A-9329-4A8E-A76C-B7B8427385C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86" authorId="0" shapeId="0" xr:uid="{E9C452EB-7212-4F4F-9C02-F0E29960D83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P216" authorId="0" shapeId="0" xr:uid="{6F3535E6-319C-4168-AD06-BF70C73C993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17" authorId="0" shapeId="0" xr:uid="{E02EB7A9-422D-4943-9C2E-95D664F7AA9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2" authorId="0" shapeId="0" xr:uid="{9C8AB0CB-7F03-4EA7-9241-1E0CFA7F813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23" authorId="0" shapeId="0" xr:uid="{2645E4AB-FE67-4327-AE7A-718CA00ACCB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P72" authorId="0" shapeId="0" xr:uid="{A5A265AC-4CBB-4D3C-908C-BF5D26CE018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8" authorId="0" shapeId="0" xr:uid="{1C7CEA32-F869-42E1-A4BD-A92689B5F82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AD101" authorId="1" shapeId="0" xr:uid="{02CC76DC-E550-4D05-A807-94421E6AEE1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0" authorId="0" shapeId="0" xr:uid="{572A48F8-0232-4AEA-85E9-1A724CDC157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P141" authorId="0" shapeId="0" xr:uid="{6DFAC600-FF7E-4C0D-A482-6A6E09DA5C0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Q142" authorId="0" shapeId="0" xr:uid="{DCD3C6CC-FCBF-449B-BC0E-D1479D9D8F9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3" authorId="0" shapeId="0" xr:uid="{E99203D7-27A9-4282-93AC-21C49F7D40F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Q160" authorId="0" shapeId="0" xr:uid="{18876727-0CA1-4A54-BD57-18142026DA3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</t>
        </r>
      </text>
    </comment>
    <comment ref="P161" authorId="0" shapeId="0" xr:uid="{29F99E98-3941-4F6B-A315-0D7BF9AB0AC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</t>
        </r>
      </text>
    </comment>
    <comment ref="Q161" authorId="0" shapeId="0" xr:uid="{7F344E86-172B-4778-B529-9E2BB49998D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</t>
        </r>
      </text>
    </comment>
    <comment ref="P164" authorId="0" shapeId="0" xr:uid="{DC47C899-019D-4876-AEE5-0EF94B5A1E2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</t>
        </r>
      </text>
    </comment>
    <comment ref="Q164" authorId="0" shapeId="0" xr:uid="{CF53436E-2584-4161-BAC6-6B1AF03A96A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</t>
        </r>
      </text>
    </comment>
    <comment ref="P187" authorId="0" shapeId="0" xr:uid="{F81F6390-6056-400B-A7DD-BF8D35D535E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88" authorId="0" shapeId="0" xr:uid="{D84D047A-58BF-40D1-B870-082B02C89F7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P218" authorId="0" shapeId="0" xr:uid="{F8C5254C-D763-4095-A6AA-ED43C57C7D7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19" authorId="0" shapeId="0" xr:uid="{C1A7FEFD-E71C-4FEA-A327-892480A63C7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4" authorId="0" shapeId="0" xr:uid="{962E47D4-6A8B-4A43-B5CA-6D9CA7BE9C2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25" authorId="0" shapeId="0" xr:uid="{3B038493-1FD2-4A24-8754-B26F62CB14F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0" authorId="0" shapeId="0" xr:uid="{92925341-381A-4E30-A52E-D5043750273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  <author>Mirna Estela Pulido Alvarez</author>
  </authors>
  <commentList>
    <comment ref="P50" authorId="0" shapeId="0" xr:uid="{0F4AAE12-0E47-4D4B-B584-DD826F3B164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4" authorId="0" shapeId="0" xr:uid="{2DD7A766-3025-4EB1-95CA-BF2F5F3D344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67" authorId="0" shapeId="0" xr:uid="{ACA7C64C-845A-4080-88DC-8295E29E77C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</t>
        </r>
      </text>
    </comment>
    <comment ref="Q67" authorId="0" shapeId="0" xr:uid="{69187337-15A2-41D4-866D-0C028D7AA8C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72" authorId="0" shapeId="0" xr:uid="{E01F6144-ED7C-4E1D-A63E-8CE2693F498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6" authorId="0" shapeId="0" xr:uid="{8EEBE8C1-3B7E-4A56-93B4-E86B8B0C6F8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</t>
        </r>
      </text>
    </comment>
    <comment ref="Q77" authorId="0" shapeId="0" xr:uid="{71EE687A-205C-47B5-9175-8126E287FE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</t>
        </r>
      </text>
    </comment>
    <comment ref="P78" authorId="0" shapeId="0" xr:uid="{EFD27874-96BF-4245-8014-7672492B4E8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</t>
        </r>
      </text>
    </comment>
    <comment ref="Q78" authorId="0" shapeId="0" xr:uid="{C5E1C495-2DC2-48A6-A217-7844C41F18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</t>
        </r>
      </text>
    </comment>
    <comment ref="P79" authorId="0" shapeId="0" xr:uid="{FF23DB6A-6C61-460C-A566-2373F662205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</t>
        </r>
      </text>
    </comment>
    <comment ref="Q82" authorId="0" shapeId="0" xr:uid="{9EA812B1-C3C4-4AC7-96B5-5623A361281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</t>
        </r>
      </text>
    </comment>
    <comment ref="AD101" authorId="1" shapeId="0" xr:uid="{20975902-9823-49DC-B1E8-C03D9DE7FAF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0" authorId="0" shapeId="0" xr:uid="{0DB994A9-BCF5-4C11-B2F3-2E840AEA1C3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0" authorId="0" shapeId="0" xr:uid="{6CDF11FA-CB1D-478B-898C-CE314EA6708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</t>
        </r>
      </text>
    </comment>
    <comment ref="P141" authorId="0" shapeId="0" xr:uid="{22D64071-F08F-4D3F-91E1-4E355645623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2" authorId="0" shapeId="0" xr:uid="{5B1CF068-89FA-48AB-A88E-D738DCD914B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</t>
        </r>
      </text>
    </comment>
    <comment ref="Q142" authorId="0" shapeId="0" xr:uid="{5AF99B25-E66E-4A40-A6F7-31B8F2346DE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3" authorId="0" shapeId="0" xr:uid="{692824A4-70E1-4E6D-A29F-5C7A8F182BC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5" authorId="0" shapeId="0" xr:uid="{1EB1A171-B4E1-4E0F-882B-8D84F8D2F22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52" authorId="0" shapeId="0" xr:uid="{4301A6DD-D62E-4CEE-8DC4-5AF3418361F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P160" authorId="0" shapeId="0" xr:uid="{8CDCD952-1FE9-4D92-AAB4-9E8BDE8EDC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</t>
        </r>
      </text>
    </comment>
    <comment ref="Q160" authorId="0" shapeId="0" xr:uid="{4B3042AF-A407-4E8D-AD3B-162C4B037C2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</t>
        </r>
      </text>
    </comment>
    <comment ref="P161" authorId="0" shapeId="0" xr:uid="{DFEE8E2D-AD6B-4048-BB60-AFB7FFBDBF7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</t>
        </r>
      </text>
    </comment>
    <comment ref="Q161" authorId="0" shapeId="0" xr:uid="{1DF34159-2A47-478E-940D-A2620F9282E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</t>
        </r>
      </text>
    </comment>
    <comment ref="P164" authorId="0" shapeId="0" xr:uid="{70370863-2EE5-4C75-8E44-7C88A2EC73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</t>
        </r>
      </text>
    </comment>
    <comment ref="Q164" authorId="0" shapeId="0" xr:uid="{D6D86799-096A-4398-ABF5-08CCAACE187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</t>
        </r>
      </text>
    </comment>
    <comment ref="P169" authorId="0" shapeId="0" xr:uid="{42B89D39-67C7-44EB-97C1-4312CAFDAB9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86" authorId="2" shapeId="0" xr:uid="{677025E2-8A68-4EEF-A505-8DCD69FF68F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89" authorId="0" shapeId="0" xr:uid="{76F34798-8708-4D72-BC85-7B066309381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0" authorId="0" shapeId="0" xr:uid="{B5F32DFF-47F2-483F-AF7D-9F4F5EEC5D9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P220" authorId="0" shapeId="0" xr:uid="{D3FC1E5F-57D5-4BCB-AA86-23AD498BAB0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1" authorId="0" shapeId="0" xr:uid="{0108440F-7A72-4B6D-AA4D-133C7AA3082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6" authorId="0" shapeId="0" xr:uid="{3AAF5801-A885-4745-B79F-E7FA64373D1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27" authorId="0" shapeId="0" xr:uid="{2B9A65C9-7AAF-422B-BB7B-5161B3B0B46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  <author>Mirna Estela Pulido Alvarez</author>
  </authors>
  <commentList>
    <comment ref="P50" authorId="0" shapeId="0" xr:uid="{2D324DA5-F028-4EA6-A2CB-B7FFD4AE17B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4" authorId="0" shapeId="0" xr:uid="{B79D1873-211B-42D0-AFDF-133DE479C85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67" authorId="0" shapeId="0" xr:uid="{7A080F8F-7BD2-40DA-ABC1-9B26D0F993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
MM 2522 DEL 20220509 $60.000.000</t>
        </r>
      </text>
    </comment>
    <comment ref="Q67" authorId="0" shapeId="0" xr:uid="{B759AD11-492C-46B2-8BEE-7980216A68E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72" authorId="0" shapeId="0" xr:uid="{67EF98A2-E4F5-4D11-8153-8847112D727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6" authorId="0" shapeId="0" xr:uid="{1146B648-8F57-4649-A483-AB48D4DFB8E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
MM 2522 DEL 20220509 $60.000.000</t>
        </r>
      </text>
    </comment>
    <comment ref="P77" authorId="0" shapeId="0" xr:uid="{671155D9-B430-4B7B-B6DD-CEF61CD31A5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2722 DEL 20220516 $3.628.797,75</t>
        </r>
      </text>
    </comment>
    <comment ref="Q77" authorId="0" shapeId="0" xr:uid="{EC897E3C-E049-435A-91A7-163E9F21C81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</t>
        </r>
      </text>
    </comment>
    <comment ref="P78" authorId="0" shapeId="0" xr:uid="{EE00F322-83B3-4609-B1B9-0B76085F56B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</t>
        </r>
      </text>
    </comment>
    <comment ref="Q78" authorId="0" shapeId="0" xr:uid="{AF327FB5-B329-4417-A9C4-264A7EB137A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
MM 2722 DEL 20220516 $3.628.797,75</t>
        </r>
      </text>
    </comment>
    <comment ref="P79" authorId="0" shapeId="0" xr:uid="{DA0CE3A6-72B4-417D-937C-5D03730A200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</t>
        </r>
      </text>
    </comment>
    <comment ref="Q82" authorId="0" shapeId="0" xr:uid="{9D205D29-9252-4927-A72F-4E0E95B50A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</t>
        </r>
      </text>
    </comment>
    <comment ref="AD101" authorId="1" shapeId="0" xr:uid="{B615D70F-AC83-4837-89F2-E9C801529B2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0" authorId="0" shapeId="0" xr:uid="{E0C1F19F-8E9E-40F0-8174-61198EA7302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0" authorId="0" shapeId="0" xr:uid="{419460F9-B4A5-4AAE-B5CF-193DE211A50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</t>
        </r>
      </text>
    </comment>
    <comment ref="P141" authorId="0" shapeId="0" xr:uid="{FBAAED68-8F1D-42EA-AC85-5ECC55C7CFA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2" authorId="0" shapeId="0" xr:uid="{FB77DCDE-09DC-4F4E-B426-369E9B7F016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</t>
        </r>
      </text>
    </comment>
    <comment ref="Q142" authorId="0" shapeId="0" xr:uid="{9DD3192C-77A8-4413-886A-CB85CEDF95E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3" authorId="0" shapeId="0" xr:uid="{2D800E8E-64CF-42BC-9D1F-0700F1B6BAA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5" authorId="0" shapeId="0" xr:uid="{1629F0FA-9E1E-49D8-BE22-7EEBDFBBEF9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52" authorId="0" shapeId="0" xr:uid="{A67309EA-25A0-4032-B71F-8743E291181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P160" authorId="0" shapeId="0" xr:uid="{C9ECF3A3-39C7-4BE2-826C-B46979BD187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</t>
        </r>
      </text>
    </comment>
    <comment ref="Q160" authorId="0" shapeId="0" xr:uid="{A4334436-52CC-4737-95FF-5C32271C434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</t>
        </r>
      </text>
    </comment>
    <comment ref="P161" authorId="0" shapeId="0" xr:uid="{75A6BEA8-5328-4B48-8BD9-D91D7CBB362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</t>
        </r>
      </text>
    </comment>
    <comment ref="Q161" authorId="0" shapeId="0" xr:uid="{4867D4CD-F763-4725-9EF1-7D21DDA11FE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
MM 2622 DEL 20220513 $370.083.000</t>
        </r>
      </text>
    </comment>
    <comment ref="P164" authorId="0" shapeId="0" xr:uid="{63C10C13-9DC1-4E52-B168-22E56F0E072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2622 DEL 20220513 $370.083.000</t>
        </r>
      </text>
    </comment>
    <comment ref="Q164" authorId="0" shapeId="0" xr:uid="{7B3A9022-2B93-41A2-989A-8255FD8D867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</t>
        </r>
      </text>
    </comment>
    <comment ref="P169" authorId="0" shapeId="0" xr:uid="{80BBF74E-1A72-40AE-A17E-33F09E4EB19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86" authorId="2" shapeId="0" xr:uid="{89799FE3-38F0-4312-86A8-B8E0B235546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89" authorId="0" shapeId="0" xr:uid="{59DDD01B-4EF4-4013-96B4-E3CEA15F095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0" authorId="0" shapeId="0" xr:uid="{F20E3961-E077-4FC5-A227-E438ACF038F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P205" authorId="0" shapeId="0" xr:uid="{F6AED3C6-B8B3-4CC6-8148-A1CCC3F2F78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20220520 $602.123.589</t>
        </r>
      </text>
    </comment>
    <comment ref="P207" authorId="0" shapeId="0" xr:uid="{AAA9E621-0649-4BE2-BC50-7A70F5145EA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20220520 $96.431.225</t>
        </r>
      </text>
    </comment>
    <comment ref="P209" authorId="0" shapeId="0" xr:uid="{7F8E7302-A42A-4576-8041-A4DBB689850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20220520 $2.580.334.552</t>
        </r>
      </text>
    </comment>
    <comment ref="Q211" authorId="0" shapeId="0" xr:uid="{315EBF4E-A42E-468D-8DB3-50CF5ABEA28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20220520 $6.943.207.485</t>
        </r>
      </text>
    </comment>
    <comment ref="Q213" authorId="0" shapeId="0" xr:uid="{2F7FCC75-FD73-4165-9574-9957E2127DB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20220520 $214.271.846</t>
        </r>
      </text>
    </comment>
    <comment ref="P216" authorId="0" shapeId="0" xr:uid="{22FD9C83-EC8D-44C8-A855-077D4D9E30E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20220520 $981.739.965</t>
        </r>
      </text>
    </comment>
    <comment ref="P217" authorId="0" shapeId="0" xr:uid="{80981225-3ADE-48BC-8A85-21975E6D83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20220520 $2.896.850.000</t>
        </r>
      </text>
    </comment>
    <comment ref="P220" authorId="0" shapeId="0" xr:uid="{340D6559-DAF9-47DB-87ED-A3416E79FB3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1" authorId="0" shapeId="0" xr:uid="{3D665384-6550-4488-8254-3F3FE1DEED1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6" authorId="0" shapeId="0" xr:uid="{5D8DFBBF-8D10-48D4-92E9-CFC8C15AFDE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27" authorId="0" shapeId="0" xr:uid="{A552A859-ECC4-43AA-8578-2AF18A72ACD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0" authorId="0" shapeId="0" xr:uid="{D495B821-C929-40E8-8D33-114BE9757FC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X96" authorId="0" shapeId="0" xr:uid="{514A4C82-E724-465E-8351-3A71C1DBF33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  <author>Mirna Estela Pulido Alvarez</author>
  </authors>
  <commentList>
    <comment ref="P18" authorId="0" shapeId="0" xr:uid="{FBD472B1-5B8C-4E84-85B3-5F21F79D580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Q21" authorId="0" shapeId="0" xr:uid="{FA8630F1-3F74-4B96-9E00-778264E586C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49" authorId="0" shapeId="0" xr:uid="{BE916526-FD24-427E-91D6-798B48C6324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54" authorId="0" shapeId="0" xr:uid="{C61DB341-7DE2-41B1-8A27-6A37AA0370C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8" authorId="0" shapeId="0" xr:uid="{FE902C05-B436-4B96-8B9A-2BED024F974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Q58" authorId="0" shapeId="0" xr:uid="{EC1F0575-0EAD-45B1-BB26-C36CDAC28D7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20220708 $20.000.000</t>
        </r>
      </text>
    </comment>
    <comment ref="P59" authorId="0" shapeId="0" xr:uid="{B12F598E-1F80-48E7-BCF6-D4AC3737686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20220706 $23.664.000
MM 5222 DEL 20220726 $640.000</t>
        </r>
      </text>
    </comment>
    <comment ref="Q60" authorId="0" shapeId="0" xr:uid="{85F4193F-7604-4D9B-81D9-D1F2D637F5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20220621 $10.000.000
MM 4622 DEL 20220706 $23.664.000</t>
        </r>
      </text>
    </comment>
    <comment ref="Q61" authorId="0" shapeId="0" xr:uid="{CD3243F6-F2EA-4425-8B68-9D65E14395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4722 DEL 20220708 $50.000.000</t>
        </r>
      </text>
    </comment>
    <comment ref="Q62" authorId="0" shapeId="0" xr:uid="{8594FE4C-FA00-4123-9A3C-ECF272AE6F7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4422 DEL 20220706 $14.000.000
MM 4522 DEL 20220706 $6.000.000</t>
        </r>
      </text>
    </comment>
    <comment ref="P65" authorId="0" shapeId="0" xr:uid="{1B0EB308-82DE-472B-AE03-E6C54212241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</t>
        </r>
      </text>
    </comment>
    <comment ref="P66" authorId="0" shapeId="0" xr:uid="{06C156C3-BD39-4930-BED8-5B2D44C59A7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Q66" authorId="0" shapeId="0" xr:uid="{0756C024-A1FE-4F24-B07B-AA0186AFC84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67" authorId="0" shapeId="0" xr:uid="{4734DFA9-08BA-4C85-A9E8-371C46BF16E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3222 DEL 20220613 $25.095.020</t>
        </r>
      </text>
    </comment>
    <comment ref="Q67" authorId="0" shapeId="0" xr:uid="{1F8CA87F-0306-4C35-A21B-2DCC44CAEE4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5022 DEL 20220718 $34.707.952,61</t>
        </r>
      </text>
    </comment>
    <comment ref="P71" authorId="0" shapeId="0" xr:uid="{943EA489-2284-4F9C-9F89-422E421DC62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
MM 2522 DEL 20220509 $60.000.000
MM 2922 DEL 20220602 $30.000.000
MM 3322 DEL 20220617 $65.000.000
MM 3422 DEL 20220621 $10.000.000
MM 3522 DEL 20220621 $646.000.000
MM 4522 DEL 20220706 $6.000.000</t>
        </r>
      </text>
    </comment>
    <comment ref="Q71" authorId="0" shapeId="0" xr:uid="{80E3EF73-4209-47DB-9E2F-ABCE8312287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72" authorId="0" shapeId="0" xr:uid="{035D71F3-C583-4695-BD8B-DD7E4AE65C2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4422 DEL 20220706 $14.000.000</t>
        </r>
      </text>
    </comment>
    <comment ref="P76" authorId="0" shapeId="0" xr:uid="{C82BB59F-FA43-43DF-A63A-EC656D12242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6" authorId="0" shapeId="0" xr:uid="{931D0348-CB1F-450D-B7BC-1C38653503C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20220708 $189.344.000</t>
        </r>
      </text>
    </comment>
    <comment ref="Q77" authorId="0" shapeId="0" xr:uid="{3303DC8C-3159-48CD-8D67-EED8EDD0498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5222 DEL 20220726 $74.639.289</t>
        </r>
      </text>
    </comment>
    <comment ref="P79" authorId="0" shapeId="0" xr:uid="{61733C97-5431-457C-9DC2-09850511063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4822 DEL 20220714 $5.950.000</t>
        </r>
      </text>
    </comment>
    <comment ref="Q79" authorId="0" shapeId="0" xr:uid="{DA6DE028-60A5-45AB-8E5D-BB9B51F76B2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</t>
        </r>
      </text>
    </comment>
    <comment ref="P80" authorId="0" shapeId="0" xr:uid="{27CA9862-8B6A-4BB2-A5AD-A3E395D23C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</t>
        </r>
      </text>
    </comment>
    <comment ref="Q80" authorId="0" shapeId="0" xr:uid="{11C9CF30-3EE3-4A7A-9CB1-C61B502EA2D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
MM 2522 DEL 20220509 $60.000.000
MM 2922 DEL 20220602 $30.000.000
MM 3322 DEL 20220617 $65.000.000
MM 3522 DEL 20220621 $646.000.000
MM 4722 DEL 20220708 $30.892.060
MM 4822 DEL 20220714 $5.950.000</t>
        </r>
      </text>
    </comment>
    <comment ref="P81" authorId="0" shapeId="0" xr:uid="{FF1E29C4-34BD-482E-90D7-0CB243FDE40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2722 DEL 20220516 $3.628.797,75</t>
        </r>
      </text>
    </comment>
    <comment ref="Q81" authorId="0" shapeId="0" xr:uid="{5F563634-6683-499F-A1F1-E71CD44C912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</t>
        </r>
      </text>
    </comment>
    <comment ref="P82" authorId="0" shapeId="0" xr:uid="{45BB6407-1D8A-4BB4-AA6E-0A13C0C7816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
MM 4722 DEL 20220708 $305.236.060
MM 5222 DEL 20220726 $73.999.289</t>
        </r>
      </text>
    </comment>
    <comment ref="Q82" authorId="0" shapeId="0" xr:uid="{6D4A321A-CE2C-4F4E-9328-9B981BFF4C8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
MM 2722 DEL 20220516 $3.628.797,75</t>
        </r>
      </text>
    </comment>
    <comment ref="P83" authorId="0" shapeId="0" xr:uid="{4CEE35B9-C947-4E78-822B-32A8921C1E3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
MM 5022 DEL 20220718 $34.707.952,61</t>
        </r>
      </text>
    </comment>
    <comment ref="Q83" authorId="0" shapeId="0" xr:uid="{57C9E1F9-7E03-4B63-830C-240753A279F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
MM 3222 DEL 20220613 $25.095.020
MM 4722 DEL 20220708 $15.000.000</t>
        </r>
      </text>
    </comment>
    <comment ref="Q86" authorId="0" shapeId="0" xr:uid="{B95952D6-8502-4DD4-B986-B365D45F2E0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</t>
        </r>
      </text>
    </comment>
    <comment ref="AD105" authorId="1" shapeId="0" xr:uid="{CB23E8DB-A462-4399-8F0F-097484C8287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4" authorId="0" shapeId="0" xr:uid="{02A32E5B-3B7A-4708-B3CF-E5262F56EB5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4" authorId="0" shapeId="0" xr:uid="{A67F4D54-8B40-478B-8463-74BB08C84E5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</t>
        </r>
      </text>
    </comment>
    <comment ref="P145" authorId="0" shapeId="0" xr:uid="{E3153FE6-F32A-4F37-8F68-B25138C600A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6" authorId="0" shapeId="0" xr:uid="{AB79409C-5AF4-4BEF-B1B6-5D6A073640E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4922 DEL 20220714 $600.000.000</t>
        </r>
      </text>
    </comment>
    <comment ref="Q146" authorId="0" shapeId="0" xr:uid="{8A281CAC-4B25-4F4F-927F-77BE70B3B50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7" authorId="0" shapeId="0" xr:uid="{A64D6D6B-1EFC-4691-9F95-48272C82E33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9" authorId="0" shapeId="0" xr:uid="{D419675D-996A-4211-899F-B055B7D7242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51" authorId="0" shapeId="0" xr:uid="{34977FF8-932F-4484-A489-14CE192FFFA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4922 DEL 20220714 $600.000.000</t>
        </r>
      </text>
    </comment>
    <comment ref="P156" authorId="0" shapeId="0" xr:uid="{05D1303A-E4FD-453A-92CA-E3AACBCF5E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Q156" authorId="0" shapeId="0" xr:uid="{FA6648C2-6443-430A-96E8-35605304891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Q158" authorId="0" shapeId="0" xr:uid="{DC495DB0-F9A3-49F0-AE33-57E7D774122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P164" authorId="0" shapeId="0" xr:uid="{529995B7-EB26-4F1A-B43A-771707C3F6E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
MM 3622 DEL 20220622 $0,69
MM 3722 DEL 20220623 $338.075.603
MM 4022 DEL 20220624 $385.750.000
MM 5322 DEL 20220727 $4,190.323.678,79
MM 5422 DEL 20220729 $110.000.000</t>
        </r>
      </text>
    </comment>
    <comment ref="Q164" authorId="0" shapeId="0" xr:uid="{F1C4AA8F-238D-49CA-8DA8-41E558B852A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
MM 4122 DEL 20220624 $385.750.000</t>
        </r>
      </text>
    </comment>
    <comment ref="P165" authorId="0" shapeId="0" xr:uid="{823EBD42-CD84-4D54-8F19-0A458DDB4C8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</t>
        </r>
      </text>
    </comment>
    <comment ref="Q165" authorId="0" shapeId="0" xr:uid="{32B8DF3B-5EE6-45AC-957C-EEBA14CF2A7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
MM 2622 DEL 20220513 $370.083.000
MM 3622 DEL 20220622 $0,69
MM 3722 DEL 20220623 $344.075.603
MM 4022 DEL 20220624 $385.750.000
MM 5322 DEL 20220726 $4,190.323.678,79
MM 5422 DEL 20220729 $110.000.000</t>
        </r>
      </text>
    </comment>
    <comment ref="P168" authorId="0" shapeId="0" xr:uid="{32E96058-CD28-41D5-A8C0-9BFA40DB007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2622 DEL 20220513 $370.083.000
MM 3722 DEL 20220623 $6.000.000
MM 4122 DEL 20220624 $385.750.000</t>
        </r>
      </text>
    </comment>
    <comment ref="Q168" authorId="0" shapeId="0" xr:uid="{D0F73801-271F-410B-B8C1-3939F00844D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</t>
        </r>
      </text>
    </comment>
    <comment ref="P173" authorId="0" shapeId="0" xr:uid="{8D039CD3-D35C-4784-A10B-D2F582416A5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90" authorId="2" shapeId="0" xr:uid="{4EC9814B-2313-4CBB-8575-34250FC5B33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93" authorId="0" shapeId="0" xr:uid="{3D4E669D-CCED-4D66-B21A-E09CDDD0D05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4" authorId="0" shapeId="0" xr:uid="{AEE2514C-3598-4EB9-A4C2-8847D61F2C2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8" authorId="0" shapeId="0" xr:uid="{D18DAFD8-F21F-4A1D-AB30-EAC76E3B7FE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20220623 $91.110.397</t>
        </r>
      </text>
    </comment>
    <comment ref="Q200" authorId="0" shapeId="0" xr:uid="{E56FA03A-70F7-4981-B17C-4CDFAE12F1E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20220623 $60.269.817</t>
        </r>
      </text>
    </comment>
    <comment ref="Q202" authorId="0" shapeId="0" xr:uid="{998F1F6B-4641-4891-82EC-8F6EF5EF66F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20220623 $57.384.593</t>
        </r>
      </text>
    </comment>
    <comment ref="Q204" authorId="0" shapeId="0" xr:uid="{D5DBF30E-812D-4992-9A11-E8467FA32A6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20220623 $244.337.398</t>
        </r>
      </text>
    </comment>
    <comment ref="P206" authorId="0" shapeId="0" xr:uid="{58D54727-2DAE-4930-B69F-6A5EF2143E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20220623 $453.102.205</t>
        </r>
      </text>
    </comment>
    <comment ref="P209" authorId="0" shapeId="0" xr:uid="{1F65DC8D-6A61-4E38-989D-1F78223753C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20220520 $602.123.589</t>
        </r>
      </text>
    </comment>
    <comment ref="P211" authorId="0" shapeId="0" xr:uid="{690ED6A9-9BDC-4E0F-9C64-7E9D024C2CE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20220520 $96.431.225</t>
        </r>
      </text>
    </comment>
    <comment ref="P213" authorId="0" shapeId="0" xr:uid="{BEA955A1-9105-46FB-B413-47EADB63A52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20220520 $2.580.334.552</t>
        </r>
      </text>
    </comment>
    <comment ref="Q215" authorId="0" shapeId="0" xr:uid="{7D1D1E45-F1E1-42DF-8C03-2FE318EC377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20220520 $6.943.207.485</t>
        </r>
      </text>
    </comment>
    <comment ref="Q217" authorId="0" shapeId="0" xr:uid="{F832822B-AD80-4579-B79A-4E5FB5E83F4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20220520 $214.271.846</t>
        </r>
      </text>
    </comment>
    <comment ref="P220" authorId="0" shapeId="0" xr:uid="{05542428-F0C9-4BEC-8EFA-5599C17F477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20220520 $981.739.965</t>
        </r>
      </text>
    </comment>
    <comment ref="P221" authorId="0" shapeId="0" xr:uid="{98C7CDD8-67BF-4F7F-835C-72566D5A7F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20220520 $2.896.850.000</t>
        </r>
      </text>
    </comment>
    <comment ref="P224" authorId="0" shapeId="0" xr:uid="{663777B6-4929-4DF0-84D9-AB6117A2462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4" authorId="0" shapeId="0" xr:uid="{B6FD68F6-937C-4482-8F7E-6C5F9B13244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P225" authorId="0" shapeId="0" xr:uid="{F4F79042-1260-4559-BC7B-C7AF826FE59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Q225" authorId="0" shapeId="0" xr:uid="{2C34E806-93B0-4C86-B7B3-E711B0445F5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6" authorId="0" shapeId="0" xr:uid="{D63808A5-530B-4310-829B-30867513428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Q227" authorId="0" shapeId="0" xr:uid="{3B7853D3-EC4B-4523-8CFC-9C321FE0E02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P231" authorId="0" shapeId="0" xr:uid="{B1BEACC2-6A41-4152-9CF5-EE6D2AA476A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32" authorId="0" shapeId="0" xr:uid="{1A1E2D58-C276-4B8F-A8AD-186CD56181B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  <author>Mirna Estela Pulido Alvarez</author>
  </authors>
  <commentList>
    <comment ref="P18" authorId="0" shapeId="0" xr:uid="{D8441747-7F3F-4D9F-B629-D4BBF465946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Q21" authorId="0" shapeId="0" xr:uid="{8564AA63-0386-4920-AE82-C1AB6840C92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49" authorId="0" shapeId="0" xr:uid="{546D925A-EDB3-497A-843F-0EFC0578223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54" authorId="0" shapeId="0" xr:uid="{EEA62AB3-BD51-4A24-A088-6374EE3CBDC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8" authorId="0" shapeId="0" xr:uid="{91D5B901-E5EA-467A-A3B4-D51C3C3C3D2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Q58" authorId="0" shapeId="0" xr:uid="{750DD6E5-EACF-47CE-85A1-DB702FD075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20220708 $20.000.000</t>
        </r>
      </text>
    </comment>
    <comment ref="P59" authorId="0" shapeId="0" xr:uid="{5A53C4E5-9C15-4741-9297-5D0C4AE8EDC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20220706 $23.664.000
MM 5222 DEL 20220726 $640.000</t>
        </r>
      </text>
    </comment>
    <comment ref="Q60" authorId="0" shapeId="0" xr:uid="{576C5605-963F-4347-B2B7-9DD2F1674A1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20220621 $10.000.000
MM 4622 DEL 20220706 $23.664.000</t>
        </r>
      </text>
    </comment>
    <comment ref="Q61" authorId="0" shapeId="0" xr:uid="{4628010D-C229-41D4-9E66-3C970B84006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4722 DEL 20220708 $50.000.000</t>
        </r>
      </text>
    </comment>
    <comment ref="Q62" authorId="0" shapeId="0" xr:uid="{E6FE8EED-E328-4C39-BFE6-B1D593C025A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4422 DEL 20220706 $14.000.000
MM 4522 DEL 20220706 $6.000.000</t>
        </r>
      </text>
    </comment>
    <comment ref="P65" authorId="0" shapeId="0" xr:uid="{F27D1479-D85F-47F4-8CF7-CFBA6BB07AF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</t>
        </r>
      </text>
    </comment>
    <comment ref="P66" authorId="0" shapeId="0" xr:uid="{57C025CE-679E-4AB2-AB07-90C992C55DC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Q66" authorId="0" shapeId="0" xr:uid="{2EA6D5AD-5211-438B-AD0C-8D03957CD8D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67" authorId="0" shapeId="0" xr:uid="{1D88EB93-85BF-4693-8117-37FD43E20B1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3222 DEL 20220613 $25.095.020</t>
        </r>
      </text>
    </comment>
    <comment ref="Q67" authorId="0" shapeId="0" xr:uid="{DFB5930C-5AF2-4DA1-BE56-9B32F15B33F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5022 DEL 20220718 $34.707.952,61</t>
        </r>
      </text>
    </comment>
    <comment ref="P70" authorId="0" shapeId="0" xr:uid="{E4229FEB-3BBD-43D4-9CEA-346AEF7A21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5522 DEL 20220801 $38.282.800</t>
        </r>
      </text>
    </comment>
    <comment ref="P71" authorId="0" shapeId="0" xr:uid="{1FDE1E27-FA08-4FD6-A8D7-01455EECCD2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
MM 2522 DEL 20220509 $60.000.000
MM 2922 DEL 20220602 $30.000.000
MM 3322 DEL 20220617 $65.000.000
MM 3422 DEL 20220621 $10.000.000
MM 3522 DEL 20220621 $646.000.000
MM 4522 DEL 20220706 $6.000.000
MM 5522 DEL 20220801 $11.717.200</t>
        </r>
      </text>
    </comment>
    <comment ref="Q71" authorId="0" shapeId="0" xr:uid="{38FEA440-D583-4525-899E-38CE2A109E9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72" authorId="0" shapeId="0" xr:uid="{6318FB22-53AD-4073-A427-AFC8E2B5B63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4422 DEL 20220706 $14.000.000</t>
        </r>
      </text>
    </comment>
    <comment ref="P76" authorId="0" shapeId="0" xr:uid="{8C781627-89E4-48FB-B1E7-C2781BB12A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6" authorId="0" shapeId="0" xr:uid="{E2D8193D-D872-4906-937C-E42BD40CE9C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20220708 $189.344.000</t>
        </r>
      </text>
    </comment>
    <comment ref="Q77" authorId="0" shapeId="0" xr:uid="{495C9F7B-E267-4F90-A725-E560902F38B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5222 DEL 20220726 $74.639.289</t>
        </r>
      </text>
    </comment>
    <comment ref="P79" authorId="0" shapeId="0" xr:uid="{D82BFF55-20D6-4388-AD1F-8B6C00657E0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4822 DEL 20220714 $5.950.000</t>
        </r>
      </text>
    </comment>
    <comment ref="Q79" authorId="0" shapeId="0" xr:uid="{DC3DCC03-BAA0-4E7A-AF7A-650FECEAEA9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</t>
        </r>
      </text>
    </comment>
    <comment ref="P80" authorId="0" shapeId="0" xr:uid="{1C020C43-2D5D-47A0-B65B-12695DC0AA2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</t>
        </r>
      </text>
    </comment>
    <comment ref="Q80" authorId="0" shapeId="0" xr:uid="{94DB4D93-264F-4CBF-898C-814EC6E110A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
MM 2522 DEL 20220509 $60.000.000
MM 2922 DEL 20220602 $30.000.000
MM 3322 DEL 20220617 $65.000.000
MM 3522 DEL 20220621 $646.000.000
MM 4722 DEL 20220708 $30.892.060
MM 4822 DEL 20220714 $5.950.000</t>
        </r>
      </text>
    </comment>
    <comment ref="P81" authorId="0" shapeId="0" xr:uid="{398735F2-01B7-4563-BCA4-0081739EE75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2722 DEL 20220516 $3.628.797,75</t>
        </r>
      </text>
    </comment>
    <comment ref="Q81" authorId="0" shapeId="0" xr:uid="{CCB7AD5A-4C25-45EF-8126-A571F473BEB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</t>
        </r>
      </text>
    </comment>
    <comment ref="P82" authorId="0" shapeId="0" xr:uid="{F5568179-81D3-44A7-9F21-1760F6A6897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
MM 4722 DEL 20220708 $305.236.060
MM 5222 DEL 20220726 $73.999.289</t>
        </r>
      </text>
    </comment>
    <comment ref="Q82" authorId="0" shapeId="0" xr:uid="{1A45EFAF-D2F5-442C-B3B9-0A7607F4FEB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
MM 2722 DEL 20220516 $3.628.797,75</t>
        </r>
      </text>
    </comment>
    <comment ref="P83" authorId="0" shapeId="0" xr:uid="{B4C9FD93-E3BC-43BE-B61F-E9A03F8B7C1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
MM 5022 DEL 20220718 $34.707.952,61</t>
        </r>
      </text>
    </comment>
    <comment ref="Q83" authorId="0" shapeId="0" xr:uid="{2CA3EE65-51A7-4FE5-B1FC-01DBE2BE830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
MM 3222 DEL 20220613 $25.095.020
MM 4722 DEL 20220708 $15.000.000</t>
        </r>
      </text>
    </comment>
    <comment ref="Q86" authorId="0" shapeId="0" xr:uid="{2505B3B2-1C96-48BC-A29F-FD2C80E35BF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5522 DEL 20220801 $50.000.000</t>
        </r>
      </text>
    </comment>
    <comment ref="AD105" authorId="1" shapeId="0" xr:uid="{FBD87ED3-1A5E-428D-852F-08F0331AAA4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4" authorId="0" shapeId="0" xr:uid="{A0091B7F-A593-4F24-8532-C2F51F8C5B0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4" authorId="0" shapeId="0" xr:uid="{5D1D10B1-8BBE-4EBF-990E-2DA24928C74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
MM 5622 DEL 20220802 $11.092.120.318</t>
        </r>
      </text>
    </comment>
    <comment ref="P145" authorId="0" shapeId="0" xr:uid="{A0897A85-A0CC-4669-A3F4-655D7D04753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6" authorId="0" shapeId="0" xr:uid="{8649CEC7-2A35-486A-B3D0-65A6642480D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4922 DEL 20220714 $600.000.000
MM 5622 DEL 20220802 $11.092.120.318</t>
        </r>
      </text>
    </comment>
    <comment ref="Q146" authorId="0" shapeId="0" xr:uid="{84A30C18-CBA2-43A0-9151-2EDD2CFA2C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</t>
        </r>
      </text>
    </comment>
    <comment ref="Q147" authorId="0" shapeId="0" xr:uid="{9F16FCAA-8BBF-4FE8-90F1-376B9EB26DE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9" authorId="0" shapeId="0" xr:uid="{B8B5963E-FB73-48C8-9F34-C8818436B4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51" authorId="0" shapeId="0" xr:uid="{0A702D42-1C72-4465-9964-B8AB234DB57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4922 DEL 20220714 $600.000.000</t>
        </r>
      </text>
    </comment>
    <comment ref="P156" authorId="0" shapeId="0" xr:uid="{153B2404-054D-4164-A0DB-B4E7E00062F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Q156" authorId="0" shapeId="0" xr:uid="{ABF5C23B-2168-4AEE-AC34-2EA30E43B0C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Q158" authorId="0" shapeId="0" xr:uid="{E2D5FCC5-53FC-4A51-8FE8-3FBC15A765F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P164" authorId="0" shapeId="0" xr:uid="{8E9DDAC5-A300-4B61-A134-218B69F1D20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
MM 3622 DEL 20220622 $0,69
MM 3722 DEL 20220623 $338.075.603
MM 4022 DEL 20220624 $385.750.000
MM 5322 DEL 20220727 $4,190.323.678,79
MM 5422 DEL 20220729 $110.000.000</t>
        </r>
      </text>
    </comment>
    <comment ref="Q164" authorId="0" shapeId="0" xr:uid="{8D818AE3-158D-40E2-B303-82AA3BE42EC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
MM 4122 DEL 20220624 $385.750.000
MM 5722 DEL 20220802 $110.000.000</t>
        </r>
      </text>
    </comment>
    <comment ref="P165" authorId="0" shapeId="0" xr:uid="{D0587F2A-A91F-4411-8312-22946D20159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
MM 5722 DEL 20220802 $110.000.000</t>
        </r>
      </text>
    </comment>
    <comment ref="Q165" authorId="0" shapeId="0" xr:uid="{B0EA2E9D-4D19-4098-AEC8-62190EE843F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
MM 2622 DEL 20220513 $370.083.000
MM 3622 DEL 20220622 $0,69
MM 3722 DEL 20220623 $344.075.603
MM 4022 DEL 20220624 $385.750.000
MM 5322 DEL 20220726 $4,190.323.678,79
MM 5422 DEL 20220729 $110.000.000
MM 5822 DEL 20220802 $110.000.000</t>
        </r>
      </text>
    </comment>
    <comment ref="P168" authorId="0" shapeId="0" xr:uid="{0AF1D6E4-7EB0-45DE-BFA3-22CC61F69E7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2622 DEL 20220513 $370.083.000
MM 3722 DEL 20220623 $6.000.000
MM 4122 DEL 20220624 $385.750.000
MM 5822 DEL 20220802 $110.000.000</t>
        </r>
      </text>
    </comment>
    <comment ref="Q168" authorId="0" shapeId="0" xr:uid="{4F7AA2C0-5FAD-4D73-8334-B19777A0E1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</t>
        </r>
      </text>
    </comment>
    <comment ref="P173" authorId="0" shapeId="0" xr:uid="{E481A830-EA7C-4424-B7EE-3859738BBE4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90" authorId="2" shapeId="0" xr:uid="{FFEE85EB-39B5-486E-81A4-D0C09B2465E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93" authorId="0" shapeId="0" xr:uid="{D4A48996-84FF-4D87-9F2B-62DC261B59D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4" authorId="0" shapeId="0" xr:uid="{1827CFDE-2A84-4447-A66E-2C56255E840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8" authorId="0" shapeId="0" xr:uid="{9EE97716-4047-4E37-ADE7-46C09A9EE17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20220623 $91.110.397</t>
        </r>
      </text>
    </comment>
    <comment ref="Q200" authorId="0" shapeId="0" xr:uid="{6B632C87-1D63-43E0-AA13-AB32D4D48CA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20220623 $60.269.817</t>
        </r>
      </text>
    </comment>
    <comment ref="Q202" authorId="0" shapeId="0" xr:uid="{41D9EB0D-5614-43BB-A828-B0FB1B9A01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20220623 $57.384.593</t>
        </r>
      </text>
    </comment>
    <comment ref="Q204" authorId="0" shapeId="0" xr:uid="{532A39FC-0F0D-44B2-BA21-F357BC151F3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20220623 $244.337.398</t>
        </r>
      </text>
    </comment>
    <comment ref="P206" authorId="0" shapeId="0" xr:uid="{9079DB50-95F3-42BE-9838-E424C930FC0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20220623 $453.102.205</t>
        </r>
      </text>
    </comment>
    <comment ref="P209" authorId="0" shapeId="0" xr:uid="{DAD38F43-17F0-4023-8CC9-EEA07DC4776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20220520 $602.123.589</t>
        </r>
      </text>
    </comment>
    <comment ref="P211" authorId="0" shapeId="0" xr:uid="{4237B065-F316-43E3-86CC-D45B53B37B0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20220520 $96.431.225</t>
        </r>
      </text>
    </comment>
    <comment ref="P213" authorId="0" shapeId="0" xr:uid="{2B452D44-5AB0-4CEB-A326-7A7485BE2C1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20220520 $2.580.334.552</t>
        </r>
      </text>
    </comment>
    <comment ref="Q215" authorId="0" shapeId="0" xr:uid="{D2A07754-0DEB-46E5-819A-85A987CAADA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20220520 $6.943.207.485</t>
        </r>
      </text>
    </comment>
    <comment ref="Q217" authorId="0" shapeId="0" xr:uid="{95317667-3B6A-4B94-AB59-F5162E9C8C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20220520 $214.271.846</t>
        </r>
      </text>
    </comment>
    <comment ref="P220" authorId="0" shapeId="0" xr:uid="{DCA885E1-5D65-4696-87F7-41AA2C1188F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20220520 $981.739.965</t>
        </r>
      </text>
    </comment>
    <comment ref="P221" authorId="0" shapeId="0" xr:uid="{DE893193-0B9F-44B5-84E0-DAA62C192C3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20220520 $2.896.850.000</t>
        </r>
      </text>
    </comment>
    <comment ref="P224" authorId="0" shapeId="0" xr:uid="{00084B00-DAA9-480D-BAB6-57059714270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4" authorId="0" shapeId="0" xr:uid="{4C03D463-8153-4BFC-81DE-125B17E7305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P225" authorId="0" shapeId="0" xr:uid="{D99A89FA-92AE-43D7-A4CE-992C446899C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Q225" authorId="0" shapeId="0" xr:uid="{E8F5AF08-CC7F-4739-B0DB-D0DD584E0CB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6" authorId="0" shapeId="0" xr:uid="{B137BCDF-2BF5-4E14-96F0-B5EBF8617D5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Q227" authorId="0" shapeId="0" xr:uid="{47087EE3-0EC6-4100-B045-E06CEDDF370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P231" authorId="0" shapeId="0" xr:uid="{8C083E6A-9B00-4B08-A43A-58282E39E18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32" authorId="0" shapeId="0" xr:uid="{024B4DA3-159B-4466-B0EB-9F6A790B75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4" authorId="0" shapeId="0" xr:uid="{C03EC0DA-A01C-44B2-BA5F-F0FF3C18F9D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  <author>Mirna Estela Pulido Alvarez</author>
  </authors>
  <commentList>
    <comment ref="Q13" authorId="0" shapeId="0" xr:uid="{11E2CC61-83F0-4954-872B-58BAEC2A926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20220913 $1.740.000.000</t>
        </r>
      </text>
    </comment>
    <comment ref="P17" authorId="0" shapeId="0" xr:uid="{66CFC02B-42DD-41BD-86F7-D639510C658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20220913 $50.000.000</t>
        </r>
      </text>
    </comment>
    <comment ref="P18" authorId="0" shapeId="0" xr:uid="{4D1CA582-AD76-4442-B1E4-78BC246F801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19" authorId="0" shapeId="0" xr:uid="{E9416908-A847-452D-A30E-81856736CF8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20220913 $80.000.000</t>
        </r>
      </text>
    </comment>
    <comment ref="P20" authorId="0" shapeId="0" xr:uid="{775AA053-2E2D-444B-983D-8CB25A737EF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20220913 $10.000.000</t>
        </r>
      </text>
    </comment>
    <comment ref="P21" authorId="0" shapeId="0" xr:uid="{18B3ACA5-F32E-461B-86CA-CFDAE674F14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20220913 $1.100.000.000</t>
        </r>
      </text>
    </comment>
    <comment ref="Q21" authorId="0" shapeId="0" xr:uid="{7A1004E8-835B-420A-A7B6-00ED41122E9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22" authorId="0" shapeId="0" xr:uid="{0C8E0F5C-B847-4496-9FEA-FAAB05D69D3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20220913 $500.000.000</t>
        </r>
      </text>
    </comment>
    <comment ref="P37" authorId="0" shapeId="0" xr:uid="{33C12F25-D352-46CA-9485-EF70C79146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20220920 $100.000.000
MM 7122 DEL 20221018 $200.000.000</t>
        </r>
      </text>
    </comment>
    <comment ref="Q39" authorId="0" shapeId="0" xr:uid="{7979F537-ECB3-41ED-8F32-F083AC6E5FD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20220920 $100.000.000</t>
        </r>
      </text>
    </comment>
    <comment ref="Q44" authorId="0" shapeId="0" xr:uid="{FD8B3DDC-4E34-4E94-9374-EFF58F4ABA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7122 DEL 20221018 $200.000.000</t>
        </r>
      </text>
    </comment>
    <comment ref="P49" authorId="0" shapeId="0" xr:uid="{C6466A12-585A-4E47-93C8-1383BBF76FE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
MM 6322 DEL 20220922 $30.000.000</t>
        </r>
      </text>
    </comment>
    <comment ref="P54" authorId="0" shapeId="0" xr:uid="{FE89B521-DBCB-487E-A93F-711169498FA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8" authorId="0" shapeId="0" xr:uid="{07CF20DE-F8F7-4DD0-B698-6FCFC837C41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Q58" authorId="0" shapeId="0" xr:uid="{8F914E4A-7C9D-4484-9D3C-20596848EBF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20220708 $20.000.000</t>
        </r>
      </text>
    </comment>
    <comment ref="P59" authorId="0" shapeId="0" xr:uid="{E1ED9DDE-99D9-4801-A228-DCBD2C917BA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20220706 $23.664.000
MM 5222 DEL 20220726 $640.000</t>
        </r>
      </text>
    </comment>
    <comment ref="Q60" authorId="0" shapeId="0" xr:uid="{6B62502C-8946-4C1C-A938-A53134776D9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20220621 $10.000.000
MM 4622 DEL 20220706 $23.664.000
MM 6322 DEL 20220922 $6.336.000</t>
        </r>
      </text>
    </comment>
    <comment ref="Q61" authorId="0" shapeId="0" xr:uid="{72798BB7-7EE8-46CC-A0C4-E6D58FFDFC4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4722 DEL 20220708 $50.000.000</t>
        </r>
      </text>
    </comment>
    <comment ref="P62" authorId="0" shapeId="0" xr:uid="{DE3C5481-6C40-4E36-9B97-05ED3A4397D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20221005 $8.000.000</t>
        </r>
      </text>
    </comment>
    <comment ref="Q62" authorId="0" shapeId="0" xr:uid="{D19FF8B1-662F-42B2-B6D6-71CE9027DE7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4422 DEL 20220706 $14.000.000
MM 4522 DEL 20220706 $6.000.000
MM 6522 DEL 20220922 $45.000.000
MM 7322 DEL 20221027 $24.029.832</t>
        </r>
      </text>
    </comment>
    <comment ref="P65" authorId="0" shapeId="0" xr:uid="{7C86E7CB-EFB3-4C19-A832-9B9B888671A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</t>
        </r>
      </text>
    </comment>
    <comment ref="P66" authorId="0" shapeId="0" xr:uid="{76ABD928-A211-4C3F-BFC8-76981E85A2E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20220922 $6.119.958
MM 6822 DEL 20221005 $3.880.042</t>
        </r>
      </text>
    </comment>
    <comment ref="Q66" authorId="0" shapeId="0" xr:uid="{CB39B47C-E30A-4A2D-A47C-94A5633232E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67" authorId="0" shapeId="0" xr:uid="{36425007-6BF4-4EA5-B570-6E82709BD83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3222 DEL 20220613 $25.095.020</t>
        </r>
      </text>
    </comment>
    <comment ref="Q67" authorId="0" shapeId="0" xr:uid="{2918511B-FE3D-4A66-B34C-75ED8DA894D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5022 DEL 20220718 $34.707.952,61</t>
        </r>
      </text>
    </comment>
    <comment ref="P70" authorId="0" shapeId="0" xr:uid="{661D0241-0CDB-4E57-8476-7EADE85570B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5522 DEL 20220801 $38.282.800</t>
        </r>
      </text>
    </comment>
    <comment ref="P71" authorId="0" shapeId="0" xr:uid="{F67208ED-4F62-4C3C-A72C-66E397CFFCE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
MM 2522 DEL 20220509 $60.000.000
MM 2922 DEL 20220602 $30.000.000
MM 3322 DEL 20220617 $65.000.000
MM 3422 DEL 20220621 $10.000.000
MM 3522 DEL 20220621 $646.000.000
MM 4522 DEL 20220706 $6.000.000
MM 5522 DEL 20220801 $11.717.200</t>
        </r>
      </text>
    </comment>
    <comment ref="Q71" authorId="0" shapeId="0" xr:uid="{F19C15A8-4002-4619-BD65-E250A146E5B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P72" authorId="0" shapeId="0" xr:uid="{DB9CF43F-477D-4AE9-8A86-D15C44C166E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4422 DEL 20220706 $14.000.000</t>
        </r>
      </text>
    </comment>
    <comment ref="P73" authorId="0" shapeId="0" xr:uid="{D15976DF-68D3-4EF2-B5B7-8AFE9719D51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20220922 $168.000.000</t>
        </r>
      </text>
    </comment>
    <comment ref="P74" authorId="0" shapeId="0" xr:uid="{EAD942A3-B0E5-4387-8C3A-ED9C3B05CB5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20221005 $21.500.000</t>
        </r>
      </text>
    </comment>
    <comment ref="P76" authorId="0" shapeId="0" xr:uid="{6616AE63-8C2A-4AFC-BA5D-6850CF1B998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6" authorId="0" shapeId="0" xr:uid="{071366BC-9EAF-40F9-8CC0-B58D59A5F8C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20220708 $189.344.000</t>
        </r>
      </text>
    </comment>
    <comment ref="P77" authorId="0" shapeId="0" xr:uid="{AF94A9C4-0BB1-44FE-87EA-B8F1FF3BB74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20221005 $7.000.000</t>
        </r>
      </text>
    </comment>
    <comment ref="Q77" authorId="0" shapeId="0" xr:uid="{E472ABA1-5A4F-489C-AD26-C2047A011A1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5222 DEL 20220726 $74.639.289
MM 6322 DEL 20220922 $134.217.328</t>
        </r>
      </text>
    </comment>
    <comment ref="P79" authorId="0" shapeId="0" xr:uid="{B13A5389-8F75-4F95-8979-664AE721DD6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4822 DEL 20220714 $5.950.000</t>
        </r>
      </text>
    </comment>
    <comment ref="Q79" authorId="0" shapeId="0" xr:uid="{78BA8F37-76EB-4BFA-8295-613C2EF0C7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</t>
        </r>
      </text>
    </comment>
    <comment ref="P80" authorId="0" shapeId="0" xr:uid="{F16CC3CD-7AC1-4CC8-9E9C-53795335D5E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
MM 7322 DEL 20221027 $478.194.975
MM 7422 DEL 20221027 $250.000.000
MM 7622 DEL 20221028 $180.000.000</t>
        </r>
      </text>
    </comment>
    <comment ref="Q80" authorId="0" shapeId="0" xr:uid="{AB3DA2BB-1FD0-4F6C-A104-74510C16FD1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
MM 2522 DEL 20220509 $60.000.000
MM 2922 DEL 20220602 $30.000.000
MM 3322 DEL 20220617 $65.000.000
MM 3522 DEL 20220621 $646.000.000
MM 4722 DEL 20220708 $30.892.060
MM 4822 DEL 20220714 $5.950.000
MM 6822 DEL 20221005 $39.900.756
MM 7022 DEL 20221010 $101.056.723</t>
        </r>
      </text>
    </comment>
    <comment ref="P81" authorId="0" shapeId="0" xr:uid="{6833A449-CA20-4ADE-930D-68408D8D80B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2722 DEL 20220516 $3.628.797,75</t>
        </r>
      </text>
    </comment>
    <comment ref="Q81" authorId="0" shapeId="0" xr:uid="{99FE986C-E22D-46E5-BF3B-FD127FFD6E3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</t>
        </r>
      </text>
    </comment>
    <comment ref="P82" authorId="0" shapeId="0" xr:uid="{E820F580-7F4B-4E6E-A3E6-FA2146DE46B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
MM 4722 DEL 20220708 $305.236.060
MM 5222 DEL 20220726 $73.999.289
MM 7022 DEL 20221010 $101.056.723</t>
        </r>
      </text>
    </comment>
    <comment ref="Q82" authorId="0" shapeId="0" xr:uid="{C41384CC-15ED-457E-83DB-1CDFE699651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
MM 2722 DEL 20220516 $3.628.797,75
MM 6722 DEL 20221005 $50.000.000
MM 7322 DEL 20221027 $34.472.824</t>
        </r>
      </text>
    </comment>
    <comment ref="P83" authorId="0" shapeId="0" xr:uid="{12C5C0B7-F9E8-493F-B37F-9A3550E8F56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
MM 5022 DEL 20220718 $34.707.952,61
MM 6822 DEL 20221005 $21.020.714</t>
        </r>
      </text>
    </comment>
    <comment ref="Q83" authorId="0" shapeId="0" xr:uid="{F39E8AFD-EDDD-4E7C-9E4E-3A62C778646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
MM 3222 DEL 20220613 $25.095.020
MM 4722 DEL 20220708 $15.000.000
MM 6322 DEL 20220922 $40.000.000</t>
        </r>
      </text>
    </comment>
    <comment ref="P84" authorId="0" shapeId="0" xr:uid="{C3DF40E2-3459-4C02-B728-E611A9A6EC8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6722 DEL 20221005 $50.000.000</t>
        </r>
      </text>
    </comment>
    <comment ref="Q86" authorId="0" shapeId="0" xr:uid="{0325E3DE-879C-48EA-B210-1350AC8910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5522 DEL 20220801 $50.000.000
MM 7422 DEL 20221027 $250.000.000
MM 7622 DEL 20221028 $70.000.000</t>
        </r>
      </text>
    </comment>
    <comment ref="P87" authorId="0" shapeId="0" xr:uid="{7DE07985-B5EA-4652-A1E0-A3B82D00407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6522 DEL 20220922 $45.000.000</t>
        </r>
      </text>
    </comment>
    <comment ref="Q87" authorId="0" shapeId="0" xr:uid="{697EBB83-2B3D-4555-8600-2AD50FF086E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7322 DEL 20221027 $12.978.634
MM 7622 DEL 20221028 $110.000.000</t>
        </r>
      </text>
    </comment>
    <comment ref="Q88" authorId="0" shapeId="0" xr:uid="{D0F03942-0751-4F7A-9A65-180A8E54501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20221005 $21.500.000</t>
        </r>
      </text>
    </comment>
    <comment ref="Q89" authorId="0" shapeId="0" xr:uid="{24F84C33-601C-479C-8E27-E2F559A4A6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7322 DEL 20221027 $406.713.685</t>
        </r>
      </text>
    </comment>
    <comment ref="Q90" authorId="0" shapeId="0" xr:uid="{6C1900BC-F053-448E-83D4-9DFE4A6C4E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20220922 $23.566.630</t>
        </r>
      </text>
    </comment>
    <comment ref="P103" authorId="0" shapeId="0" xr:uid="{FEE984D0-E1A9-494B-993C-F0C9D4BE7D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20220920 $75.000.000</t>
        </r>
      </text>
    </comment>
    <comment ref="Q104" authorId="0" shapeId="0" xr:uid="{E3CF18F4-5BB3-4CE2-A4CE-4FAE319F092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20220920 $75.000.000</t>
        </r>
      </text>
    </comment>
    <comment ref="AD105" authorId="1" shapeId="0" xr:uid="{850D6B8C-AFAE-420E-A3C2-4DFE2A4C890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44" authorId="0" shapeId="0" xr:uid="{A8AA7A17-D17E-4467-A307-EFFFCA2DCEF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
MM 6922 DEL 20221005 $1.299.757.698,11
MM 7522 DEL 20221028 $413.961.780</t>
        </r>
      </text>
    </comment>
    <comment ref="Q144" authorId="0" shapeId="0" xr:uid="{C868EFD2-9FAD-4883-AE84-8690C19AD03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
MM 5622 DEL 20220802 $11.092.120.318
MM 6422 DEL 20220922 $12.887.935.534</t>
        </r>
      </text>
    </comment>
    <comment ref="P145" authorId="0" shapeId="0" xr:uid="{8F8FBE8F-0E0F-46E4-9046-C3A8E961A85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6" authorId="0" shapeId="0" xr:uid="{62E150CF-AD11-40DC-8B49-4DDBD91E004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4922 DEL 20220714 $600.000.000
MM 5622 DEL 20220802 $11.092.120.318
MM 6422 DEL 20220922 $12.887.935.534
MM 7222 DEL 20221026 $126.097.334</t>
        </r>
      </text>
    </comment>
    <comment ref="Q146" authorId="0" shapeId="0" xr:uid="{A6A2D881-8143-405D-9FA7-31EEF2FF8ED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
MM 6922 DEL 20221005 $1.299.757.698,11
MM 7522 DEL 20221028 $413.961.780</t>
        </r>
      </text>
    </comment>
    <comment ref="Q147" authorId="0" shapeId="0" xr:uid="{41296E0F-FCD0-47E4-944A-0E6A5C4A420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9" authorId="0" shapeId="0" xr:uid="{247FC237-8F89-4721-8538-3CAEC17E7A3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49" authorId="0" shapeId="0" xr:uid="{22F2D9F7-4CA3-4B6E-BF06-7D44A283AE1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7222 DEL 20221026 $126.097.334</t>
        </r>
      </text>
    </comment>
    <comment ref="Q151" authorId="0" shapeId="0" xr:uid="{2820FC75-F8C6-43DA-B0E8-EE960F631A4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4922 DEL 20220714 $600.000.000</t>
        </r>
      </text>
    </comment>
    <comment ref="P156" authorId="0" shapeId="0" xr:uid="{D521BEEC-B11D-4120-A583-DE8143932C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Q156" authorId="0" shapeId="0" xr:uid="{9851D4A4-A8C9-4257-A29F-3401A0FEF10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Q158" authorId="0" shapeId="0" xr:uid="{091B1E45-066E-4013-ABD8-D07CCAF81A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P164" authorId="0" shapeId="0" xr:uid="{037C3A74-5399-47FC-9AFC-8D0B277E6BF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
MM 3622 DEL 20220622 $0,69
MM 3722 DEL 20220623 $338.075.603
MM 4022 DEL 20220624 $385.750.000
MM 5322 DEL 20220727 $4,190.323.678,79
MM 5422 DEL 20220729 $110.000.000
MM 6222 DEL 20220922 $194.105.594,61</t>
        </r>
      </text>
    </comment>
    <comment ref="Q164" authorId="0" shapeId="0" xr:uid="{009437AC-1FE2-41EF-B0A8-24F3F749EC4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
MM 4122 DEL 20220624 $385.750.000
MM 5722 DEL 20220802 $110.000.000
MM 7722 DEL 20221028 $4.269.102.344,62</t>
        </r>
      </text>
    </comment>
    <comment ref="P165" authorId="0" shapeId="0" xr:uid="{8968AAFC-499A-4384-ABD8-66FF6EB065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
MM 5722 DEL 20220802 $110.000.000
MM 7722 DEL 20221028 $4.951.647.700,03</t>
        </r>
      </text>
    </comment>
    <comment ref="Q165" authorId="0" shapeId="0" xr:uid="{2A44D6ED-76F1-419E-A7E1-E3E2DAB367F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
MM 2622 DEL 20220513 $370.083.000
MM 3622 DEL 20220622 $0,69
MM 3722 DEL 20220623 $344.075.603
MM 4022 DEL 20220624 $385.750.000
MM 5322 DEL 20220726 $4,190.323.678,79
MM 5422 DEL 20220729 $110.000.000
MM 5822 DEL 20220802 $110.000.000
MM 6222 DEL 20220922 $194.105.594,61</t>
        </r>
      </text>
    </comment>
    <comment ref="P168" authorId="0" shapeId="0" xr:uid="{029886A6-2AF4-40D7-97DF-47C8D3CB34B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2622 DEL 20220513 $370.083.000
MM 3722 DEL 20220623 $6.000.000
MM 4122 DEL 20220624 $385.750.000
MM 5822 DEL 20220802 $110.000.000</t>
        </r>
      </text>
    </comment>
    <comment ref="Q168" authorId="0" shapeId="0" xr:uid="{A1FBB02D-DA1E-424A-822C-9F45A5A96CC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
MM 7722 DEL 20221028 $682.545.355,41</t>
        </r>
      </text>
    </comment>
    <comment ref="P173" authorId="0" shapeId="0" xr:uid="{83B244B0-E5B2-4108-91DB-64235130940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90" authorId="2" shapeId="0" xr:uid="{8DB0C1B6-C5FE-4EC6-94BB-8FC9AB0E6C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93" authorId="0" shapeId="0" xr:uid="{BC3AAE26-FC66-4F8F-B9C0-B6166931F9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3" authorId="0" shapeId="0" xr:uid="{6684E137-669B-4F02-BDA9-93BE29F0788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6622 DEL 20220922 $6.313.979.246</t>
        </r>
      </text>
    </comment>
    <comment ref="P194" authorId="0" shapeId="0" xr:uid="{1E739B72-A3F9-47DC-A205-54B9285164E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6622 DEL 20220922 $6.313.979.246</t>
        </r>
      </text>
    </comment>
    <comment ref="Q194" authorId="0" shapeId="0" xr:uid="{81213E36-FB94-437B-8083-3B47108CA5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222 DEL 20220119 $185.554.780,14
</t>
        </r>
      </text>
    </comment>
    <comment ref="Q198" authorId="0" shapeId="0" xr:uid="{C5E4EE45-16CB-4649-A433-657C0FB7F8F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20220623 $91.110.397</t>
        </r>
      </text>
    </comment>
    <comment ref="Q200" authorId="0" shapeId="0" xr:uid="{EF1D07A2-C57F-4FF0-9E86-15143152458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20220623 $60.269.817</t>
        </r>
      </text>
    </comment>
    <comment ref="P202" authorId="0" shapeId="0" xr:uid="{981E8A08-9287-4BE0-8B24-C084C2F1EC3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6122 DEL 20220921 $679.588.600</t>
        </r>
      </text>
    </comment>
    <comment ref="Q202" authorId="0" shapeId="0" xr:uid="{7397C89C-E962-4FD4-9BE6-6D8317CC62C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20220623 $57.384.593</t>
        </r>
      </text>
    </comment>
    <comment ref="Q204" authorId="0" shapeId="0" xr:uid="{4E9180BD-6B06-4A23-87B4-289F729D00E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20220623 $244.337.398</t>
        </r>
      </text>
    </comment>
    <comment ref="P206" authorId="0" shapeId="0" xr:uid="{23E68200-B65C-4B57-B47F-A26EFF634FA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20220623 $453.102.205</t>
        </r>
      </text>
    </comment>
    <comment ref="Q206" authorId="0" shapeId="0" xr:uid="{84E4D72B-48BF-4913-B486-56F50D6375F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6122 DEL 20220921 $679.588.600</t>
        </r>
      </text>
    </comment>
    <comment ref="P209" authorId="0" shapeId="0" xr:uid="{1E9EF455-4DD7-48E4-B4CC-C7C482EB74C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20220520 $602.123.589</t>
        </r>
      </text>
    </comment>
    <comment ref="P211" authorId="0" shapeId="0" xr:uid="{7E722871-D328-4AA5-9B71-0AE4606165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20220520 $96.431.225</t>
        </r>
      </text>
    </comment>
    <comment ref="P213" authorId="0" shapeId="0" xr:uid="{7A4FF953-49E1-4EB5-84EB-A7C5F1407CC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20220520 $2.580.334.552</t>
        </r>
      </text>
    </comment>
    <comment ref="Q215" authorId="0" shapeId="0" xr:uid="{AB22F8DA-5F87-428C-BE5D-717A6012237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20220520 $6.943.207.485</t>
        </r>
      </text>
    </comment>
    <comment ref="Q217" authorId="0" shapeId="0" xr:uid="{51710A53-0CAB-4828-A203-38248F56527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20220520 $214.271.846</t>
        </r>
      </text>
    </comment>
    <comment ref="P220" authorId="0" shapeId="0" xr:uid="{D146EB03-4D45-4ACD-B8F3-5243068DB3A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20220520 $981.739.965</t>
        </r>
      </text>
    </comment>
    <comment ref="P221" authorId="0" shapeId="0" xr:uid="{3792FE59-0756-4864-B4BE-4CE92ED8872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20220520 $2.896.850.000</t>
        </r>
      </text>
    </comment>
    <comment ref="P224" authorId="0" shapeId="0" xr:uid="{71D7C75C-9473-481B-81DB-FCE42705130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4" authorId="0" shapeId="0" xr:uid="{4633B20C-BF1B-48CB-92BF-042F269B632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P225" authorId="0" shapeId="0" xr:uid="{9B1AC8DD-6FB6-46E1-9C8A-9BF656E4D82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Q225" authorId="0" shapeId="0" xr:uid="{EFA50315-6EF0-4135-804E-A2E9023BE3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6" authorId="0" shapeId="0" xr:uid="{E521E785-4592-41DA-A6E6-9AA39F7F72F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Q227" authorId="0" shapeId="0" xr:uid="{FDDEF2D0-CFB6-4D79-AC33-1EE2C42C1FD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P231" authorId="0" shapeId="0" xr:uid="{BA129B10-DD96-43BE-9DDE-EF3E7352FB8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31" authorId="0" shapeId="0" xr:uid="{0DB5D7A9-5F4B-460D-B409-22912FF8F4F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7822 DEL 20221028 $50.064.000.000</t>
        </r>
      </text>
    </comment>
    <comment ref="P232" authorId="0" shapeId="0" xr:uid="{A30CEC38-170B-48FC-92BA-55798053222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7822 DEL 20221028 $50.064.000.000</t>
        </r>
      </text>
    </comment>
    <comment ref="Q232" authorId="0" shapeId="0" xr:uid="{9F63FBEB-CAD0-47C6-B314-7D490F68B9B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Myrna Pulido</author>
    <author>Fabio Jan Munoz Lopez</author>
    <author>Mirna Estela Pulido Alvarez</author>
  </authors>
  <commentList>
    <comment ref="Q13" authorId="0" shapeId="0" xr:uid="{0ED9E73F-BBA7-4969-B8B8-14BF8FD42A5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20220913 $1.740.000.000
MM 8222 DEL 20221117 $2.500.000.000
RAD. 2-2022-054590 DEL 20221123 $3,000.000.000</t>
        </r>
      </text>
    </comment>
    <comment ref="P17" authorId="0" shapeId="0" xr:uid="{23040CA9-CE05-4570-A3CE-6C2CE9372C7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20220913 $50.000.000</t>
        </r>
      </text>
    </comment>
    <comment ref="P18" authorId="0" shapeId="0" xr:uid="{A37F2BCC-C588-4583-85AE-C58EE630BB9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19" authorId="0" shapeId="0" xr:uid="{ABB3A014-98DF-44D0-BD60-D615C50ED38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20220913 $80.000.000</t>
        </r>
      </text>
    </comment>
    <comment ref="P20" authorId="0" shapeId="0" xr:uid="{7DFBE773-2A8E-4EAE-8D24-E095FD0F45E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20220913 $10.000.000</t>
        </r>
      </text>
    </comment>
    <comment ref="P21" authorId="0" shapeId="0" xr:uid="{4B379CE9-471E-46B3-ADD5-02DE7C32C68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20220913 $1.100.000.000
MM 8222 DEL 20221117 $2.500.000.000</t>
        </r>
      </text>
    </comment>
    <comment ref="Q21" authorId="0" shapeId="0" xr:uid="{212EA717-B9A4-4C06-B2E7-24A549C7F45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3922 DEL 20220624 $400.000.000</t>
        </r>
      </text>
    </comment>
    <comment ref="P22" authorId="0" shapeId="0" xr:uid="{491B6E65-0117-49C3-96F8-025F8469170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5922 DEL 20220913 $500.000.000</t>
        </r>
      </text>
    </comment>
    <comment ref="Q25" authorId="0" shapeId="0" xr:uid="{A9D8D9C3-F26D-429F-B1BD-96733E60C22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9222 DEL 20221125 $700.000.000</t>
        </r>
      </text>
    </comment>
    <comment ref="P27" authorId="0" shapeId="0" xr:uid="{62FF01C7-772A-4257-94B6-1DA12FCDA65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9222 DEL 20221125 $700.000.000</t>
        </r>
      </text>
    </comment>
    <comment ref="P36" authorId="0" shapeId="0" xr:uid="{32608A68-770C-41B0-B4A7-453F4930F7B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20221117 $118.374.403
MM 8422 DEL 20221118 $13.417.876
RAD. 2-2022-054590 DEL 20221123 $1.550.000.000</t>
        </r>
      </text>
    </comment>
    <comment ref="P37" authorId="0" shapeId="0" xr:uid="{736BDC9E-E179-4E55-8BEA-E1EA545D1CB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20220920 $100.000.000
MM 7122 DEL 20221018 $200.000.000
RAD. 2-2022-054590 DEL 20221123 $300.000.000</t>
        </r>
      </text>
    </comment>
    <comment ref="Q37" authorId="0" shapeId="0" xr:uid="{90D04307-ED57-4A37-8AC2-572FC2200EA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20221117 $45.396.122
MM 8422 DEL 20221118 $2.119.797</t>
        </r>
      </text>
    </comment>
    <comment ref="P38" authorId="0" shapeId="0" xr:uid="{1641CE66-190A-457A-A17C-0753AAA472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RAD. 2-2022-054590 DEL 20221123 $100.000.000</t>
        </r>
      </text>
    </comment>
    <comment ref="Q38" authorId="0" shapeId="0" xr:uid="{3DA1A13A-1BA0-451C-ADF2-99EAC316D85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20221117 $22.972.258</t>
        </r>
      </text>
    </comment>
    <comment ref="P39" authorId="0" shapeId="0" xr:uid="{81429713-9FF7-41CE-AFDB-A040D97A1DB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20221117 $14.528.930
RAD. 2-2022-054590 DEL 20221123 $450.000.000</t>
        </r>
      </text>
    </comment>
    <comment ref="Q39" authorId="0" shapeId="0" xr:uid="{FB0F5F2D-2C97-4247-8B98-B9651AACB75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20220920 $100.000.000
MM 8422 DEL 20221118 $11.298.079</t>
        </r>
      </text>
    </comment>
    <comment ref="Q40" authorId="0" shapeId="0" xr:uid="{2C384E9E-61CB-4B72-B8F2-5CEA9495A35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20221117 $7.649.456</t>
        </r>
      </text>
    </comment>
    <comment ref="Q41" authorId="0" shapeId="0" xr:uid="{3F54937F-4197-4BB7-B22A-26C9FBC5592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20221117 $3.984.942</t>
        </r>
      </text>
    </comment>
    <comment ref="P43" authorId="0" shapeId="0" xr:uid="{9ACA1AA2-CC9D-4938-A653-73E4FB70A2A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8222 DEL 20221117 $20.200.000
RAD. 2-2022-054590 DEL 20221123 $150.000.000</t>
        </r>
      </text>
    </comment>
    <comment ref="P44" authorId="0" shapeId="0" xr:uid="{942AC354-422F-4C7D-A208-5E0285B22E5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RAD. 2-2022-054590 DEL 20221123 $450.000.000</t>
        </r>
      </text>
    </comment>
    <comment ref="Q44" authorId="0" shapeId="0" xr:uid="{A63EE06F-DCDB-4E45-99AB-7D1018E5420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7122 DEL 20221018 $200.000.000
MM 8222 DEL 20221117 $73.100.555</t>
        </r>
      </text>
    </comment>
    <comment ref="P49" authorId="0" shapeId="0" xr:uid="{5BA71B20-A028-43BD-88B0-59FCF6173E6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
MM 6322 DEL 20220922 $30.000.000</t>
        </r>
      </text>
    </comment>
    <comment ref="P54" authorId="0" shapeId="0" xr:uid="{246B2C38-707F-4328-AE8D-C969408EF88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20220316 $3.000.000</t>
        </r>
      </text>
    </comment>
    <comment ref="P58" authorId="0" shapeId="0" xr:uid="{CE20DF1B-B0F6-417E-8A52-7330E5C4DA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</t>
        </r>
      </text>
    </comment>
    <comment ref="Q58" authorId="0" shapeId="0" xr:uid="{1D295C04-12D6-451E-982E-50EFA148B77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20220708 $20.000.000</t>
        </r>
      </text>
    </comment>
    <comment ref="P59" authorId="0" shapeId="0" xr:uid="{877AFEA1-BF67-46C4-A8C4-6FBBE1A85A7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20220706 $23.664.000
MM 5222 DEL 20220726 $640.000</t>
        </r>
      </text>
    </comment>
    <comment ref="Q59" authorId="0" shapeId="0" xr:uid="{5B9C76C1-8B7C-4B66-A2CD-920BA6505468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10022 DEL 20221130 $6.000.000</t>
        </r>
      </text>
    </comment>
    <comment ref="Q60" authorId="0" shapeId="0" xr:uid="{598B13B4-40EB-47D8-A307-9194AC46077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20220621 $10.000.000
MM 4622 DEL 20220706 $23.664.000
MM 6322 DEL 20220922 $6.336.000</t>
        </r>
      </text>
    </comment>
    <comment ref="Q61" authorId="0" shapeId="0" xr:uid="{4860F245-AC51-4BA2-AE3A-7E6EA846C96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4722 DEL 20220708 $50.000.000</t>
        </r>
      </text>
    </comment>
    <comment ref="P62" authorId="0" shapeId="0" xr:uid="{F90C92FF-C503-48F9-BFC2-25F4DBE3F1E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8622 DEL 20221123 $11.432.000</t>
        </r>
      </text>
    </comment>
    <comment ref="P63" authorId="0" shapeId="0" xr:uid="{DB64DF0A-F3C1-429D-8AC6-B97B938F734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20221005 $8.000.000</t>
        </r>
      </text>
    </comment>
    <comment ref="Q63" authorId="0" shapeId="0" xr:uid="{9CF2C806-2F4C-44FE-8323-7F57E61DA85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4422 DEL 20220706 $14.000.000
MM 4522 DEL 20220706 $6.000.000
MM 6522 DEL 20220922 $45.000.000
MM 7322 DEL 20221027 $24.029.832</t>
        </r>
      </text>
    </comment>
    <comment ref="P66" authorId="0" shapeId="0" xr:uid="{88EF785F-79A6-45C1-B2F1-1F3525CBD2B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</t>
        </r>
      </text>
    </comment>
    <comment ref="P67" authorId="0" shapeId="0" xr:uid="{9981B1AA-0A69-4AAF-9DCE-9172F6072B2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20220922 $6.119.958
MM 6822 DEL 20221005 $3.880.042
MM 9322 DEL 20221129 $30.000.000</t>
        </r>
      </text>
    </comment>
    <comment ref="Q67" authorId="0" shapeId="0" xr:uid="{E741E2BF-C0D4-48B1-8F58-D48FF6CD95C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4622 DEL 20220706 $70.000.000</t>
        </r>
      </text>
    </comment>
    <comment ref="P68" authorId="0" shapeId="0" xr:uid="{BFDA063A-1FBC-4896-9370-CE91135C3C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3222 DEL 20220613 $25.095.020
MM 9922 DEL 20221130 $22.923.683</t>
        </r>
      </text>
    </comment>
    <comment ref="Q68" authorId="0" shapeId="0" xr:uid="{C803F0F1-0A18-40D8-8180-234C3D107E5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5022 DEL 20220718 $34.707.952,61</t>
        </r>
      </text>
    </comment>
    <comment ref="P71" authorId="0" shapeId="0" xr:uid="{FF3E7341-2D4D-45F9-84FC-F02DCB28CFC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5522 DEL 20220801 $38.282.800</t>
        </r>
      </text>
    </comment>
    <comment ref="P72" authorId="0" shapeId="0" xr:uid="{013A2D4B-A80E-41B2-AF73-38ABF509255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2322 DEL 20220422 $33.000.000
MM 2422 DEL 20220428 $30.000.000
MM 2522 DEL 20220509 $60.000.000
MM 2922 DEL 20220602 $30.000.000
MM 3322 DEL 20220617 $65.000.000
MM 3422 DEL 20220621 $10.000.000
MM 3522 DEL 20220621 $646.000.000
MM 4522 DEL 20220706 $6.000.000
MM 5522 DEL 20220801 $11.717.200
MM 8922 DEL 20221124 $500.000</t>
        </r>
      </text>
    </comment>
    <comment ref="Q72" authorId="0" shapeId="0" xr:uid="{64DCC639-6C0E-4D20-B1ED-319C9EEE868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2022 DEL 20220316 $80.000.000
MM 9422 DEL 20221129 $50.000.000</t>
        </r>
      </text>
    </comment>
    <comment ref="P73" authorId="0" shapeId="0" xr:uid="{0600E692-E792-44A8-BB8C-BE9DDB90F27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3422 DEL 20220621 $50.000.000
MM 4422 DEL 20220706 $14.000.000
MM 8922 DEL 20221124 $4.500.000</t>
        </r>
      </text>
    </comment>
    <comment ref="P74" authorId="0" shapeId="0" xr:uid="{AD012A23-246B-4FD3-AB89-5B49C6E9470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20220922 $168.000.000</t>
        </r>
      </text>
    </comment>
    <comment ref="P75" authorId="0" shapeId="0" xr:uid="{DA7C70BF-A9EE-4FB3-A667-1296C30BEF6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20221005 $21.500.000
MM 10022 DEL 20221130 $134.000.000</t>
        </r>
      </text>
    </comment>
    <comment ref="P77" authorId="0" shapeId="0" xr:uid="{7E706129-5A8D-4B4A-9059-41CDDEB387B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</t>
        </r>
      </text>
    </comment>
    <comment ref="Q77" authorId="0" shapeId="0" xr:uid="{8ABA5DC0-C34F-4F50-B108-974BF7951D5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4722 DEL 20220708 $189.344.000
MM 10022 DEL 20221130 $5.771.176</t>
        </r>
      </text>
    </comment>
    <comment ref="P78" authorId="0" shapeId="0" xr:uid="{497DC5DD-835B-4E5A-AC7E-8014A31D25C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20221005 $7.000.000
MM 8322 DEL 20221117 $68.000.000
MM 10022 DEL 20221130 $88.842.993,48
MM 10122 DEL 20221130 $104.000.000
MM 10222 DEL 20221130 $5.000.000</t>
        </r>
      </text>
    </comment>
    <comment ref="Q78" authorId="0" shapeId="0" xr:uid="{BE29F0E2-0488-4618-83FA-8D7A593BF30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5222 DEL 20220726 $74.639.289
MM 6322 DEL 20220922 $134.217.328</t>
        </r>
      </text>
    </comment>
    <comment ref="P80" authorId="0" shapeId="0" xr:uid="{60835B69-ABDD-4B28-A9F1-7D0A1B29C16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4822 DEL 20220714 $5.950.000</t>
        </r>
      </text>
    </comment>
    <comment ref="Q80" authorId="0" shapeId="0" xr:uid="{781085EF-7844-49A9-9A58-3F71C814D84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
MM 9122 DEL 20221124 $2.600.000</t>
        </r>
      </text>
    </comment>
    <comment ref="P81" authorId="0" shapeId="0" xr:uid="{688BA140-CF78-42EA-A660-655F123DAC9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3022 DEL 20220613 $14.565.713
MM 7322 DEL 20221027 $478.194.975
MM 7422 DEL 20221027 $250.000.000
MM 7622 DEL 20221028 $180.000.000
MM 8822 DEL 20221124 $402.457.060
MM 9122 DEL 20221124 $2.600.000</t>
        </r>
      </text>
    </comment>
    <comment ref="Q81" authorId="0" shapeId="0" xr:uid="{65AF305F-1234-4C0F-8C3D-3FC847BFF9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20220310 $39.453.777
MM 2322 DEL 20220422 $33.000.000
MM 2422 DEL 20220428 $30.000.000
MM 2522 DEL 20220509 $60.000.000
MM 2922 DEL 20220602 $30.000.000
MM 3322 DEL 20220617 $65.000.000
MM 3522 DEL 20220621 $646.000.000
MM 4722 DEL 20220708 $30.892.060
MM 4822 DEL 20220714 $5.950.000
MM 6822 DEL 20221005 $39.900.756
MM 7022 DEL 20221010 $101.056.723
MM 7922 DEL 20221111 $100.000.000
MM 8622 DEL 20221123 $11.432.000
MM 8722 DEL 20221124 $322.675.000
MM 8922 DEL 20221124 $5.000.000
MM 9322 DEL 20221129 $30.000.000
MM 10122 DEL 20221130 $104.000.000
MM 10222 DEL 20221130 $5.000.000
RES.02689 DEL 20221109 $880.000.000</t>
        </r>
      </text>
    </comment>
    <comment ref="P82" authorId="0" shapeId="0" xr:uid="{0D8A40FE-1FCB-4DC2-85B0-166C09BEE6F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2722 DEL 20220516 $3.628.797,75</t>
        </r>
      </text>
    </comment>
    <comment ref="Q82" authorId="0" shapeId="0" xr:uid="{D2E8BFE9-C27F-48BC-AEEB-7707F1C5716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20220310 $187.634.033
MM 10022 DEL 20221130 $106.000.000</t>
        </r>
      </text>
    </comment>
    <comment ref="P83" authorId="0" shapeId="0" xr:uid="{D11B5EEF-CEBF-4805-AC29-0C5F864214B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2022 DEL 20220316 $3.040.355
MM 4722 DEL 20220708 $305.236.060
MM 5222 DEL 20220726 $73.999.289
MM 7022 DEL 20221010 $101.056.723
MM 7922 DEL 20221111 $100.000.000
MM 8722 DEL 20221124 $322.675.000</t>
        </r>
      </text>
    </comment>
    <comment ref="Q83" authorId="0" shapeId="0" xr:uid="{446E2F88-85C0-47B8-86FF-6E5147B367B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 DEL 20220126 $3.200.000
MM 1722 DEL 20220310 $21.843.972
MM 2722 DEL 20220516 $3.628.797,75
MM 6722 DEL 20221005 $50.000.000
MM 7322 DEL 20221027 $34.472.824
MM 8322 DEL 20221117 $68.000.000
MM 10022 DEL 20221130 $77.258.829,48</t>
        </r>
      </text>
    </comment>
    <comment ref="P84" authorId="0" shapeId="0" xr:uid="{4C32CB0E-16DB-468A-AB6D-8C7DDFA350C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1722 DEL 20220310 $248.931.782
MM 2022 DEL 20220316 $43.959.645
MM 5022 DEL 20220718 $34.707.952,61
MM 6822 DEL 20221005 $21.020.714</t>
        </r>
      </text>
    </comment>
    <comment ref="Q84" authorId="0" shapeId="0" xr:uid="{55FFF533-5FDA-4CEA-B200-479BA7CA591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3122 DEL 20220613 $80.000.000
MM 3222 DEL 20220613 $25.095.020
MM 4722 DEL 20220708 $15.000.000
MM 6322 DEL 20220922 $40.000.000
MM 9922 DEL 20221130 $22.923.683
MM 10022 DEL 20221130 $27.812.988</t>
        </r>
      </text>
    </comment>
    <comment ref="P85" authorId="0" shapeId="0" xr:uid="{AA9B43C5-21E7-4A94-87A1-BC6E689BC7E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6722 DEL 20221005 $50.000.000</t>
        </r>
      </text>
    </comment>
    <comment ref="Q87" authorId="0" shapeId="0" xr:uid="{42E61C9A-4412-4971-91FA-3B670F09997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1522 DEL 20220304 $380.000.000
MM 5522 DEL 20220801 $50.000.000
MM 7422 DEL 20221027 $250.000.000
MM 7622 DEL 20221028 $70.000.000</t>
        </r>
      </text>
    </comment>
    <comment ref="P88" authorId="0" shapeId="0" xr:uid="{F9EB10E8-4801-4C93-8701-CDE87B3AC80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6522 DEL 20220922 $45.000.000</t>
        </r>
      </text>
    </comment>
    <comment ref="Q88" authorId="0" shapeId="0" xr:uid="{F8E346E0-CA5B-4DB0-9C67-DDF92F471C7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7322 DEL 20221027 $12.978.634
MM 7622 DEL 20221028 $110.000.000</t>
        </r>
      </text>
    </comment>
    <comment ref="Q89" authorId="0" shapeId="0" xr:uid="{CEA69550-89FA-4C31-80B2-F6275104518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6822 DEL 20221005 $21.500.000</t>
        </r>
      </text>
    </comment>
    <comment ref="Q90" authorId="0" shapeId="0" xr:uid="{9D99D5D3-9DFE-4862-A5EB-E81DBD924E9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7322 DEL 20221027 $406.713.685
MM 8822 DEL 20221124 $402.457.060</t>
        </r>
      </text>
    </comment>
    <comment ref="Q91" authorId="0" shapeId="0" xr:uid="{1271A3A8-088E-4108-AF32-30808E8D176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6322 DEL 20220922 $23.566.630</t>
        </r>
      </text>
    </comment>
    <comment ref="P92" authorId="0" shapeId="0" xr:uid="{A16AD931-4760-4FFB-B05D-798E9CF0E6D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9422 DEL 20221129 $50.000.000</t>
        </r>
      </text>
    </comment>
    <comment ref="Q99" authorId="0" shapeId="0" xr:uid="{7190070C-C242-41A0-AC72-F0AC6FD74DF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RES.02689 DEL 20221109 $9.744.370.445</t>
        </r>
      </text>
    </comment>
    <comment ref="R99" authorId="1" shapeId="0" xr:uid="{367D8F1B-762D-4F72-B316-925263B6362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RAD.-22022-051099 20221103 $9.744.370.445</t>
        </r>
      </text>
    </comment>
    <comment ref="P104" authorId="0" shapeId="0" xr:uid="{B0E0E2B0-5F58-49E3-B9D5-22B029F295B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20220920 $75.000.000
MM 8222 DEL 20221117 $16.700.000</t>
        </r>
      </text>
    </comment>
    <comment ref="Q104" authorId="0" shapeId="0" xr:uid="{EBCACEC8-19A2-454A-A9C7-C7FCF91DAA3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9222 DEL 20221125 $70.000.000</t>
        </r>
      </text>
    </comment>
    <comment ref="P105" authorId="0" shapeId="0" xr:uid="{0488C9B4-F68C-4A96-82A7-7CBEFA317C7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9222 DEL 20221125 $70.000.000</t>
        </r>
      </text>
    </comment>
    <comment ref="Q105" authorId="0" shapeId="0" xr:uid="{459BA22D-67BC-4300-969A-6F258B10408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6022 DEL 20220920 $75.000.000
MM 8222 DEL 20221117 $16.700.000</t>
        </r>
      </text>
    </comment>
    <comment ref="AD106" authorId="2" shapeId="0" xr:uid="{E8E9CEFF-B46D-44F2-94DE-5F27C25CE44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P109" authorId="0" shapeId="0" xr:uid="{42AE329C-F743-41DD-861A-6C2F8328F64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9022 DEL 20221124 $27.767.407</t>
        </r>
      </text>
    </comment>
    <comment ref="Q110" authorId="0" shapeId="0" xr:uid="{67132E37-7EA8-4C38-806A-D6BAFFD765F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9022 DEL 20221124 $27.767.407</t>
        </r>
      </text>
    </comment>
    <comment ref="P118" authorId="0" shapeId="0" xr:uid="{A45ABB68-9298-4205-A436-C174C7980BE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RES.02689 DEL 20221109 $10.624.370.445</t>
        </r>
      </text>
    </comment>
    <comment ref="P145" authorId="0" shapeId="0" xr:uid="{5476E5EA-F720-4E74-BC3E-E995127798F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
MM 6922 DEL 20221005 $1.299.757.698,11
MM 7522 DEL 20221028 $413.961.780</t>
        </r>
      </text>
    </comment>
    <comment ref="Q145" authorId="0" shapeId="0" xr:uid="{E7397D11-0EB3-41AE-9D99-BC97F5F83F3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2122 DEL 20220318 $742.113.854
MM 5622 DEL 20220802 $11.092.120.318
MM 6422 DEL 20220922 $12.887.935.534
MM 9522 DEL 20221130 $1.483.158.342,40</t>
        </r>
      </text>
    </comment>
    <comment ref="P146" authorId="0" shapeId="0" xr:uid="{8886CE1E-1FF0-4330-A82A-310904F3E3F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47" authorId="0" shapeId="0" xr:uid="{7D2354B0-50A2-4D8D-84EB-7DE3231146D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1922 DEL 20220314 $14.323.500.000
MM 4922 DEL 20220714 $600.000.000
MM 5622 DEL 20220802 $11.092.120.318
MM 6422 DEL 20220922 $12.887.935.534
MM 7222 DEL 20221026 $126.097.334
MM 9522 DEL 20221130 $1.483.158.342,40</t>
        </r>
      </text>
    </comment>
    <comment ref="Q147" authorId="0" shapeId="0" xr:uid="{1C3DE13F-FD31-4F3B-9B47-D4876413212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122 DEL 20220117 $5.990.987.639
MM 622 DEL 20220120 $3.551.453.467
MM 1022 DEL 20220208 $228.417.580
MM 6922 DEL 20221005 $1.299.757.698,11
MM 7522 DEL 20221028 $413.961.780</t>
        </r>
      </text>
    </comment>
    <comment ref="Q148" authorId="0" shapeId="0" xr:uid="{9465AA0A-86D4-4933-BF51-FF13A241127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1122 DEL 20220211 $148.552.450</t>
        </r>
      </text>
    </comment>
    <comment ref="P150" authorId="0" shapeId="0" xr:uid="{DE736FA2-6592-4D90-8C8A-63FAA24E8B8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2122 DEL 20220318 $742.113.854</t>
        </r>
      </text>
    </comment>
    <comment ref="Q150" authorId="0" shapeId="0" xr:uid="{997B8F8D-6CF3-4A14-A25A-C5AC9218E17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7222 DEL 20221026 $126.097.334</t>
        </r>
      </text>
    </comment>
    <comment ref="Q152" authorId="0" shapeId="0" xr:uid="{65DCCBFD-C239-412F-BB8B-F58100CE4AD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4922 DEL 20220714 $600.000.000</t>
        </r>
      </text>
    </comment>
    <comment ref="P157" authorId="0" shapeId="0" xr:uid="{9B60F6DC-E3D1-4DC7-B0F8-505D93149B5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Q157" authorId="0" shapeId="0" xr:uid="{EB489393-67CD-4481-B48E-8B8219BEC8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Q159" authorId="0" shapeId="0" xr:uid="{02F90463-9261-4046-B5C1-3A82A45A973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4322 DEL 20220705 $1,000.000.000</t>
        </r>
      </text>
    </comment>
    <comment ref="P165" authorId="0" shapeId="0" xr:uid="{3A98F23B-6450-43AB-AA2F-6385945132C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1622 DEL 20220307 $207.231.444,80
MM 1822 DEL 20220314 $165.043.956,62
MM 2222 DEL 20220406 $65.430.683,92
MM 3622 DEL 20220622 $0,69
MM 3722 DEL 20220623 $338.075.603
MM 4022 DEL 20220624 $385.750.000
MM 5322 DEL 20220727 $4,190.323.678,79
MM 5422 DEL 20220729 $110.000.000
MM 6222 DEL 20220922 $194.105.594,61</t>
        </r>
      </text>
    </comment>
    <comment ref="Q165" authorId="0" shapeId="0" xr:uid="{74E4F7E9-EEB3-402F-9E6E-26AF3194E88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1322 DEL 20220217 $5.843.271.918,52
MM 4122 DEL 20220624 $385.750.000
MM 5722 DEL 20220802 $110.000.000
MM 7722 DEL 20221028 $4.269.102.344,62</t>
        </r>
      </text>
    </comment>
    <comment ref="P166" authorId="0" shapeId="0" xr:uid="{D1A0E7CD-1BCE-4221-BF21-C105B270E7C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1322 DEL 20220217 $5.843.271.918,52
MM 1422 DEL 20220221 $100.000.000
MM 5722 DEL 20220802 $110.000.000
MM 7722 DEL 20221028 $4.951.647.700,03</t>
        </r>
      </text>
    </comment>
    <comment ref="Q166" authorId="0" shapeId="0" xr:uid="{6EA5B131-46A1-477F-A558-56DFC379B68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1622 DEL 20220307 $207.231.444,80
MM 1822 DEL 20220314 $165.043.956,62
MM 2222 DEL 20220406 $65.430.683,92
MM 2622 DEL 20220513 $370.083.000
MM 3622 DEL 20220622 $0,69
MM 3722 DEL 20220623 $344.075.603
MM 4022 DEL 20220624 $385.750.000
MM 5322 DEL 20220726 $4,190.323.678,79
MM 5422 DEL 20220729 $110.000.000
MM 5822 DEL 20220802 $110.000.000
MM 6222 DEL 20220922 $194.105.594,61
MM 8122 DEL 20221115 $100.000.000
MM 8522 DEL 20221121 $556.902.455</t>
        </r>
      </text>
    </comment>
    <comment ref="P169" authorId="0" shapeId="0" xr:uid="{86020BC7-3AC5-43C6-A3EC-85014C06D25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922 DEL 20220207 $55.338.694,90
MM 2622 DEL 20220513 $370.083.000
MM 3722 DEL 20220623 $6.000.000
MM 4122 DEL 20220624 $385.750.000
MM 5822 DEL 20220802 $110.000.000
MM 8122 DEL 20221115 $100.000.000
MM 8522 DEL 20221121 $556.902.455</t>
        </r>
      </text>
    </comment>
    <comment ref="Q169" authorId="0" shapeId="0" xr:uid="{176E4BA0-7057-44E0-ABCF-C60E86D7C68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822 DEL 20220201 $1.497.903.204
MM 1222 DEL 20220217 $1.170.034.999,90
MM 1422 DEL 20220221 $100.000.000
MM 7722 DEL 20221028 $682.545.355,41</t>
        </r>
      </text>
    </comment>
    <comment ref="P174" authorId="0" shapeId="0" xr:uid="{A9B9A155-C821-46D1-99ED-4059E2973E6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RES.0421 DEL 20220302 $1,000.000.000</t>
        </r>
      </text>
    </comment>
    <comment ref="N191" authorId="3" shapeId="0" xr:uid="{66350893-5782-43C2-80F0-BA2A33F1705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RES. 157 DEL 20220422 $5,269,349,000</t>
        </r>
      </text>
    </comment>
    <comment ref="P194" authorId="0" shapeId="0" xr:uid="{5942BE54-4FE6-4A05-9F34-4F45C63FA37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222 DEL 20220119 $185.554.780,14
MM 8022 DEL 20221111 $2,569.156.883</t>
        </r>
      </text>
    </comment>
    <comment ref="Q194" authorId="0" shapeId="0" xr:uid="{6BB23A5C-9E78-4D60-A106-0FCAB3136C0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6622 DEL 20220922 $6.313.979.246</t>
        </r>
      </text>
    </comment>
    <comment ref="P195" authorId="0" shapeId="0" xr:uid="{B52945CC-4F14-401A-B782-E80C04BA2DA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6622 DEL 20220922 $6.313.979.246</t>
        </r>
      </text>
    </comment>
    <comment ref="Q195" authorId="0" shapeId="0" xr:uid="{A9582250-694D-4496-9D95-95DB9F4F0B8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222 DEL 20220119 $185.554.780,14
MM 8022 DEL 20221111 $2,569.156.883</t>
        </r>
      </text>
    </comment>
    <comment ref="Q199" authorId="0" shapeId="0" xr:uid="{8DAE2443-245C-4EB1-AD13-0F2A2E9D944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20220623 $91.110.397</t>
        </r>
      </text>
    </comment>
    <comment ref="Q201" authorId="0" shapeId="0" xr:uid="{B02B7A3D-3ED8-406E-9616-215A0FE9C8D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20220623 $60.269.817</t>
        </r>
      </text>
    </comment>
    <comment ref="P203" authorId="0" shapeId="0" xr:uid="{59B4AB7D-A472-41AF-9466-FB1A7034A20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6122 DEL 20220921 $679.588.600</t>
        </r>
      </text>
    </comment>
    <comment ref="Q203" authorId="0" shapeId="0" xr:uid="{E92B418C-7053-4AC5-961E-CE14ADBE984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20220623 $57.384.593</t>
        </r>
      </text>
    </comment>
    <comment ref="Q205" authorId="0" shapeId="0" xr:uid="{93FC4D29-71C8-49C4-A125-327378055D8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20220623 $244.337.398</t>
        </r>
      </text>
    </comment>
    <comment ref="P207" authorId="0" shapeId="0" xr:uid="{CC8C40ED-F189-4BC0-8985-33A7DB7C6DB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3822 DEL 20220623 $453.102.205</t>
        </r>
      </text>
    </comment>
    <comment ref="Q207" authorId="0" shapeId="0" xr:uid="{376DDC9A-459C-45E6-A19C-571D9211A20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6122 DEL 20220921 $679.588.600</t>
        </r>
      </text>
    </comment>
    <comment ref="P210" authorId="0" shapeId="0" xr:uid="{E5DC4704-0D76-4554-9270-5F9BBF095CD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20220520 $602.123.589</t>
        </r>
      </text>
    </comment>
    <comment ref="P212" authorId="0" shapeId="0" xr:uid="{0346408F-F005-4079-8AE6-B58AEAA47D1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20220520 $96.431.225</t>
        </r>
      </text>
    </comment>
    <comment ref="P214" authorId="0" shapeId="0" xr:uid="{729A9E4F-BC66-4E81-874E-92FF98107B8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20220520 $2.580.334.552</t>
        </r>
      </text>
    </comment>
    <comment ref="Q216" authorId="0" shapeId="0" xr:uid="{26EC00A2-848E-40E6-B67C-A527543981D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20220520 $6.943.207.485</t>
        </r>
      </text>
    </comment>
    <comment ref="Q218" authorId="0" shapeId="0" xr:uid="{BC2A55BA-43E7-4DE6-9B8B-618EAA75C42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20220520 $214.271.846</t>
        </r>
      </text>
    </comment>
    <comment ref="P221" authorId="0" shapeId="0" xr:uid="{C8A57FF8-1171-4265-B257-B0938F662A0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20220520 $981.739.965</t>
        </r>
      </text>
    </comment>
    <comment ref="P222" authorId="0" shapeId="0" xr:uid="{3495F922-FE23-4D5C-BDC7-540CA7E4BE8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2822 DEL 20220520 $2.896.850.000</t>
        </r>
      </text>
    </comment>
    <comment ref="P225" authorId="0" shapeId="0" xr:uid="{CD40B0A2-E986-4C88-8F7D-3D9A39A6854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Q225" authorId="0" shapeId="0" xr:uid="{F0CEFA5B-3D14-43AE-B358-A409915B578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P226" authorId="0" shapeId="0" xr:uid="{BC4D3C40-9D9F-48ED-AE18-38DC3BD51C5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5122 DEL 20220718 $36,000.000.000</t>
        </r>
      </text>
    </comment>
    <comment ref="Q226" authorId="0" shapeId="0" xr:uid="{CF7BC4DC-1C55-4C14-99CF-6097004D8FD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322 DEL 20220119 $27.729.366.800
MM 522 DEL 20220120 $96.669.002,35</t>
        </r>
      </text>
    </comment>
    <comment ref="P227" authorId="0" shapeId="0" xr:uid="{3CBD3C8F-A492-4D5D-AD66-FC404752D29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Q228" authorId="0" shapeId="0" xr:uid="{ABAA65AD-E2C2-4E1B-A274-C6073DDE52D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4222 DEL 20220701 $4,000.000.000</t>
        </r>
      </text>
    </comment>
    <comment ref="P232" authorId="0" shapeId="0" xr:uid="{B35D881B-790A-44C6-B86D-9C9D87DAD94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  <comment ref="Q232" authorId="0" shapeId="0" xr:uid="{8E83C2C3-82F7-4E59-A4D6-FA43D079180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7822 DEL 20221028 $50.064.000.000</t>
        </r>
      </text>
    </comment>
    <comment ref="P233" authorId="0" shapeId="0" xr:uid="{AECA1AB3-159A-47BC-9DF9-1E1C20582AC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7822 DEL 20221028 $50.064.000.000</t>
        </r>
      </text>
    </comment>
    <comment ref="Q233" authorId="0" shapeId="0" xr:uid="{02C9E15D-9F43-41F2-9620-F836476D67A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422 DEL 20220119 $832.906.720,83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6" authorId="0" shapeId="0" xr:uid="{5FA89F8C-1F15-4BF0-9D4F-3047021C79B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79" authorId="0" shapeId="0" xr:uid="{BD39280C-762D-4320-B09D-BC8B2BC9EC7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P89" authorId="0" shapeId="0" xr:uid="{2EE55981-1DB8-49A1-BF92-0F52374B176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AD100" authorId="1" shapeId="0" xr:uid="{9EB18170-664A-401E-8167-20ACA2656F5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79" authorId="0" shapeId="0" xr:uid="{AB84E897-7416-49DC-9B0E-BB0A9D92B03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P89" authorId="0" shapeId="0" xr:uid="{134C3994-CE0E-40B8-8074-DD0968C7C0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AD100" authorId="1" shapeId="0" xr:uid="{8FEBE06B-5072-4362-8FA1-80686966B5F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U100" authorId="0" shapeId="0" xr:uid="{FF39915B-B277-4745-90E0-BA3E6953E53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48" authorId="0" shapeId="0" xr:uid="{7BE536B0-AF27-4C57-87F9-4C8F899B335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823 DEL 20230329 $14.252.908</t>
        </r>
      </text>
    </comment>
    <comment ref="P55" authorId="0" shapeId="0" xr:uid="{2DF8C84B-A0F4-43F7-ADE2-172E9D1CC26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20230313 $44.000.000
MM 1423 DEL 20230428 $22.000.000</t>
        </r>
      </text>
    </comment>
    <comment ref="P58" authorId="0" shapeId="0" xr:uid="{854F1561-B7F5-4119-B922-88EEF44D671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20230317 $253.475.175</t>
        </r>
      </text>
    </comment>
    <comment ref="P59" authorId="0" shapeId="0" xr:uid="{FA982B10-D7A0-4966-8DA0-0C7819A60C5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20230317 $21.273.290</t>
        </r>
      </text>
    </comment>
    <comment ref="P60" authorId="0" shapeId="0" xr:uid="{9BDCD997-7BF2-4E45-BAF1-75DA46ECC88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20230313 $66.000.000
MM 1423 DEL 20230428 $22.000.000</t>
        </r>
      </text>
    </comment>
    <comment ref="P80" authorId="0" shapeId="0" xr:uid="{5F6193CE-3185-4DDA-BE8F-580FEF732D7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1323 DEL 20230427 $1.062.000.000</t>
        </r>
      </text>
    </comment>
    <comment ref="Q80" authorId="0" shapeId="0" xr:uid="{D485F097-341A-4248-B633-A7843D4EC4D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P82" authorId="0" shapeId="0" xr:uid="{BC97C52C-5174-4EFE-8972-DA21465D7A5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723 DEL 20230328 $10.000.000
MM 923 DEL 20230330 $2.617.440
MM 1223 DEL 20230427 $133.407.037</t>
        </r>
      </text>
    </comment>
    <comment ref="Q82" authorId="0" shapeId="0" xr:uid="{BF044005-5CE7-42B8-B74D-12E39F96550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20230313 $110.000.000
MM 1423 DEL 20230428 $55.000.000</t>
        </r>
      </text>
    </comment>
    <comment ref="P83" authorId="0" shapeId="0" xr:uid="{24295F89-00B4-42B7-B1D1-5383706FBD6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823 DEL 20230329 $14.252.908</t>
        </r>
      </text>
    </comment>
    <comment ref="Q83" authorId="0" shapeId="0" xr:uid="{DFAC548A-F5A5-42C5-BE5C-4862DD8367A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20230317 $274.748.465</t>
        </r>
      </text>
    </comment>
    <comment ref="P90" authorId="0" shapeId="0" xr:uid="{671D3892-7FFD-457F-A964-1149605BA42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Q90" authorId="0" shapeId="0" xr:uid="{87EC1623-11D7-4D46-92D1-C4AB9D7776A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723 DEL 20230328 $10.000.000
MM 923 DEL 20230330 $2.617.440
MM 1223 DEL 20230427 $133.407.037
MM 1323 DEL 20230427 $1.062.000.000</t>
        </r>
      </text>
    </comment>
    <comment ref="AD101" authorId="1" shapeId="0" xr:uid="{C87DC9D0-BD51-47E6-B620-6E1F92170A4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04" authorId="0" shapeId="0" xr:uid="{DB45603A-F27E-4407-A219-8CC1F2996CE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05" authorId="0" shapeId="0" xr:uid="{291606A9-EBA2-4A99-ADF7-6A0DB911571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39" authorId="0" shapeId="0" xr:uid="{ABB17D08-1E68-4525-987E-78240F701F68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</t>
        </r>
      </text>
    </comment>
    <comment ref="Q140" authorId="0" shapeId="0" xr:uid="{740F508A-F5D3-4F60-8106-393569BBF78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</t>
        </r>
      </text>
    </comment>
    <comment ref="P151" authorId="0" shapeId="0" xr:uid="{C91D4B04-3476-491F-B7F5-0A624A75C31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  <comment ref="Q153" authorId="0" shapeId="0" xr:uid="{4A64F6BA-0AF2-47EF-A50A-D0B22E98269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Diego Ernesto Pulido Ruiz</author>
    <author>Fabio Jan Munoz Lopez</author>
  </authors>
  <commentList>
    <comment ref="R47" authorId="0" shapeId="0" xr:uid="{A2B228E5-3A31-4B27-8F87-C2B42A7B7AEF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20200319 $10,000,000</t>
        </r>
      </text>
    </comment>
    <comment ref="R53" authorId="0" shapeId="0" xr:uid="{BE71C737-D3F6-42AF-8764-C16EF7621472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20200319 $9,200,000</t>
        </r>
      </text>
    </comment>
    <comment ref="R55" authorId="0" shapeId="0" xr:uid="{3D04F303-304A-4B2D-B530-CF0D052CE9BB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20200319 $2,000,000</t>
        </r>
      </text>
    </comment>
    <comment ref="Q60" authorId="1" shapeId="0" xr:uid="{35231367-4CB1-47D1-BB42-023A3DA5CF4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Q61" authorId="1" shapeId="0" xr:uid="{03CE3F6B-AF9B-4A57-8447-478AE23BF65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R62" authorId="1" shapeId="0" xr:uid="{5F298670-2727-4369-9107-ACC1CF8832C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MM 320 DEL 20200210 $82,000,000
MM 420 DEL 20200210 $30,000,000
MM 2020 DEL 20200429 $22,235,566</t>
        </r>
      </text>
    </comment>
    <comment ref="Q66" authorId="1" shapeId="0" xr:uid="{EAFD0282-2014-4723-BD37-A717C2D43CE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</t>
        </r>
      </text>
    </comment>
    <comment ref="R66" authorId="0" shapeId="0" xr:uid="{D2A0CF83-DB93-4BB7-8123-71AAD87F3EEB}">
      <text>
        <r>
          <rPr>
            <b/>
            <sz val="8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1420 DEL 20200407 $27,793,073
MM 1520 DEL 20200408 $52,000,000</t>
        </r>
      </text>
    </comment>
    <comment ref="Q67" authorId="1" shapeId="0" xr:uid="{BAF6D1D7-28D4-4B44-AD50-D31A302B6C1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</t>
        </r>
      </text>
    </comment>
    <comment ref="R67" authorId="0" shapeId="0" xr:uid="{DDE61F02-FD5F-4B44-835B-A372B275A8B8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20200319 $13,000,000</t>
        </r>
      </text>
    </comment>
    <comment ref="R68" authorId="1" shapeId="0" xr:uid="{B4A771CD-987E-4C88-8A63-7740696FAFA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R69" authorId="0" shapeId="0" xr:uid="{F202431E-8998-4912-9A07-1E2B3771B23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MM 1120 DEL 20200319 $30,000,000</t>
        </r>
      </text>
    </comment>
    <comment ref="R72" authorId="0" shapeId="0" xr:uid="{0BD365B9-ABEC-4EC2-873D-D0B7B79118C7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20200319 $1,459,150</t>
        </r>
      </text>
    </comment>
    <comment ref="R73" authorId="0" shapeId="0" xr:uid="{1223195E-5120-4062-931E-EA9581C86162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20200319 $1,056,762,979</t>
        </r>
      </text>
    </comment>
    <comment ref="R76" authorId="1" shapeId="0" xr:uid="{2C1676A9-0FAB-45ED-AA9F-8369F6D957F6}">
      <text>
        <r>
          <rPr>
            <b/>
            <sz val="8"/>
            <color indexed="81"/>
            <rFont val="Tahoma"/>
            <family val="2"/>
          </rPr>
          <t>Fabio Jan Munoz Lopez:</t>
        </r>
        <r>
          <rPr>
            <sz val="8"/>
            <color indexed="81"/>
            <rFont val="Tahoma"/>
            <family val="2"/>
          </rPr>
          <t xml:space="preserve">
MM 620 DEL 20200212 $3,000,000
MM 920 DEL 20200317 $120,491,795,37
MM 1120 DEL 20200319 $520,000,000
MM 1720 DEL 20200422 $43,341,522</t>
        </r>
      </text>
    </comment>
    <comment ref="Q77" authorId="0" shapeId="0" xr:uid="{25340A36-DFF7-4803-98D2-4014389AF33A}">
      <text>
        <r>
          <rPr>
            <b/>
            <sz val="9"/>
            <color indexed="81"/>
            <rFont val="Tahoma"/>
            <family val="2"/>
          </rPr>
          <t>Fabio Jan Muñoz López: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MM 920 DEL 20200317 $120,491,795,37
MM 1320 DEL 20200320 $311,197,103
MM 1420 DEL 20200407 $27,793,073
MM 1520 DEL 20200408 $52,000,000</t>
        </r>
      </text>
    </comment>
    <comment ref="R77" authorId="0" shapeId="0" xr:uid="{FB8894C8-F5E3-4E00-820A-75F89BAAA69F}">
      <text>
        <r>
          <rPr>
            <b/>
            <sz val="9"/>
            <color indexed="81"/>
            <rFont val="Tahoma"/>
            <family val="2"/>
          </rPr>
          <t>Fabio Jan  Muñoz López: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MM 1020 DEL 20200319 $244,065,701
MM 2020 DEL 20200429 $109,801,250.78</t>
        </r>
      </text>
    </comment>
    <comment ref="Q78" authorId="1" shapeId="0" xr:uid="{66C660BD-D5C7-494D-AC64-00C562D41348}">
      <text>
        <r>
          <rPr>
            <b/>
            <sz val="8"/>
            <color indexed="81"/>
            <rFont val="Tahoma"/>
            <family val="2"/>
          </rPr>
          <t>Fabio Jan Munoz Lopez:</t>
        </r>
        <r>
          <rPr>
            <sz val="8"/>
            <color indexed="81"/>
            <rFont val="Tahoma"/>
            <family val="2"/>
          </rPr>
          <t xml:space="preserve">
MM 620 DEL 20200212 $3,000,000
MM 1120 DEL 20200319 $1,658,656,629
MM 1620 DEL 20200420 $9,968,718
MM 1720 DEL 20200422 $43,341,522</t>
        </r>
      </text>
    </comment>
    <comment ref="Q79" authorId="0" shapeId="0" xr:uid="{7D9D228C-AE56-4074-A554-AD0BD69D39AE}">
      <text>
        <r>
          <rPr>
            <b/>
            <sz val="9"/>
            <color indexed="81"/>
            <rFont val="Tahoma"/>
            <family val="2"/>
          </rPr>
          <t xml:space="preserve">Fabio Jan Muñoz López:
</t>
        </r>
        <r>
          <rPr>
            <sz val="8"/>
            <color indexed="81"/>
            <rFont val="Tahoma"/>
            <family val="2"/>
          </rPr>
          <t>MM 1020 DEL 20200319 $244,065,701
MM 2020 DEL 20200429 $132,036,816.78</t>
        </r>
      </text>
    </comment>
    <comment ref="R79" authorId="0" shapeId="0" xr:uid="{CDD12F6F-C9F0-47A0-8BBF-B729B0836A84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1120 DEL 20200319 $12,300,000
MM 1320 DEL 20200320 $311,197,103
MM 1620 DEL 20200420 $9,968,718</t>
        </r>
      </text>
    </comment>
    <comment ref="R86" authorId="0" shapeId="0" xr:uid="{851FBF3F-4831-4C69-BFEC-37F428BC5F05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1120 DEL 20200319 $3,934,500</t>
        </r>
      </text>
    </comment>
    <comment ref="R96" authorId="1" shapeId="0" xr:uid="{B42565E9-91E1-4882-9F37-A905ECF607E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97" authorId="1" shapeId="0" xr:uid="{5ECEDB03-8A1C-490D-B0EB-3A39CB42333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AG97" authorId="1" shapeId="0" xr:uid="{2C7DDD89-E2CD-462D-951A-5C5CD3E466F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R143" authorId="1" shapeId="0" xr:uid="{56D1EE11-46C6-4DCC-BC12-7C705A5F15B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44" authorId="1" shapeId="0" xr:uid="{EC6958C6-1D67-4438-B7F8-BC2A4181D3C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59" authorId="1" shapeId="0" xr:uid="{70C3794F-66B5-47E7-9C12-E019669F4B21}">
      <text>
        <r>
          <rPr>
            <b/>
            <sz val="8"/>
            <color indexed="81"/>
            <rFont val="Tahoma"/>
            <family val="2"/>
          </rPr>
          <t>Fabio Jan Munoz Lopez:</t>
        </r>
        <r>
          <rPr>
            <sz val="8"/>
            <color indexed="81"/>
            <rFont val="Tahoma"/>
            <family val="2"/>
          </rPr>
          <t xml:space="preserve">
MM 120 DEL 20200121 $44,314,848,063
MM 820 DEL 20200224 $1,863,454,320
MM 1820 DEL 20200422 $1,489,790,422,64</t>
        </r>
      </text>
    </comment>
    <comment ref="R161" authorId="1" shapeId="0" xr:uid="{F2FFD15E-4E38-4BC3-BAF9-CBFBBE2CAA11}">
      <text>
        <r>
          <rPr>
            <b/>
            <sz val="8"/>
            <color indexed="81"/>
            <rFont val="Tahoma"/>
            <family val="2"/>
          </rPr>
          <t>Fabio Jan Munoz Lopez:</t>
        </r>
        <r>
          <rPr>
            <sz val="8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</t>
        </r>
      </text>
    </comment>
    <comment ref="Q163" authorId="1" shapeId="0" xr:uid="{E2BB7B75-8987-4131-8532-17FFEA8A9FA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Q190" authorId="0" shapeId="0" xr:uid="{7A6A7028-B7A5-4BD0-B4AF-DDDB0CFF845E}">
      <text>
        <r>
          <rPr>
            <b/>
            <sz val="8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1920 DEL 20200429 $5,960,800,000</t>
        </r>
      </text>
    </comment>
    <comment ref="R191" authorId="0" shapeId="0" xr:uid="{DB273629-DF3F-4B3C-9CEB-50F860ADB906}">
      <text>
        <r>
          <rPr>
            <b/>
            <sz val="8"/>
            <color indexed="81"/>
            <rFont val="Tahoma"/>
            <family val="2"/>
          </rPr>
          <t xml:space="preserve">Fabio Jan Munoz Lopez:
</t>
        </r>
        <r>
          <rPr>
            <sz val="8"/>
            <color indexed="81"/>
            <rFont val="Tahoma"/>
            <family val="2"/>
          </rPr>
          <t>MM 1920 DEL 20200429 $5,960,800,000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Fabio Jan Munoz Lopez</author>
  </authors>
  <commentList>
    <comment ref="Q48" authorId="0" shapeId="0" xr:uid="{1AA7F049-62CB-498A-88E0-F8641FAEC38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823 DEL 20230329 $14.252.908</t>
        </r>
      </text>
    </comment>
    <comment ref="P55" authorId="0" shapeId="0" xr:uid="{E871E991-9C17-412C-8CE8-7EF0B2940E3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20230313 $44.000.000
MM 1423 DEL 20230428 $22.000.000</t>
        </r>
      </text>
    </comment>
    <comment ref="P58" authorId="0" shapeId="0" xr:uid="{408DA858-3188-480F-B487-31D7BC163BD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20230317 $253.475.175</t>
        </r>
      </text>
    </comment>
    <comment ref="P59" authorId="0" shapeId="0" xr:uid="{925E7A8C-D285-4819-A924-47C2CA7576F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20230317 $21.273.290</t>
        </r>
      </text>
    </comment>
    <comment ref="P60" authorId="0" shapeId="0" xr:uid="{416A8639-88D0-419F-817F-77D136D58B5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20230313 $66.000.000
MM 1423 DEL 20230428 $22.000.000</t>
        </r>
      </text>
    </comment>
    <comment ref="P80" authorId="0" shapeId="0" xr:uid="{AE88E638-4F28-41D4-836C-3D4B90242D5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1323 DEL 20230427 $1.062.000.000</t>
        </r>
      </text>
    </comment>
    <comment ref="Q80" authorId="0" shapeId="0" xr:uid="{FFB16B67-FA6D-40CB-8164-F417ADB0789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P82" authorId="0" shapeId="0" xr:uid="{55A75DC1-D3AD-48C7-92BA-4D153371166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723 DEL 20230328 $10.000.000
MM 923 DEL 20230330 $2.617.440
MM 1223 DEL 20230427 $133.407.037</t>
        </r>
      </text>
    </comment>
    <comment ref="Q82" authorId="0" shapeId="0" xr:uid="{47A10A11-19B0-485D-A20B-76D8C38C1C9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20230313 $110.000.000
MM 1423 DEL 20230428 $55.000.000</t>
        </r>
      </text>
    </comment>
    <comment ref="P83" authorId="0" shapeId="0" xr:uid="{33C857C6-F9B9-466C-B6DC-323EA45A7F8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823 DEL 20230329 $14.252.908</t>
        </r>
      </text>
    </comment>
    <comment ref="Q83" authorId="0" shapeId="0" xr:uid="{2692B112-25BD-4E8E-B75B-2CB41FC53E8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20230317 $274.748.465</t>
        </r>
      </text>
    </comment>
    <comment ref="P90" authorId="0" shapeId="0" xr:uid="{2E9AE0F9-EE30-4AD7-851C-B94BD21DB37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</t>
        </r>
      </text>
    </comment>
    <comment ref="Q90" authorId="0" shapeId="0" xr:uid="{D1DFE657-6D78-44EA-BDD7-D7022DE96EF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723 DEL 20230328 $10.000.000
MM 923 DEL 20230330 $2.617.440
MM 1223 DEL 20230427 $133.407.037
MM 1323 DEL 20230427 $1.062.000.000</t>
        </r>
      </text>
    </comment>
    <comment ref="AD101" authorId="1" shapeId="0" xr:uid="{6FACDB81-FCD5-430B-8616-8CF89CED547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04" authorId="0" shapeId="0" xr:uid="{3189D8CD-E15C-4EDA-B96A-E0376C34E68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05" authorId="0" shapeId="0" xr:uid="{EBB6F157-FA10-41C9-A801-CD03E259834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39" authorId="0" shapeId="0" xr:uid="{1D91BA29-17C9-4FF5-A3E7-6365813EC87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</t>
        </r>
      </text>
    </comment>
    <comment ref="Q140" authorId="0" shapeId="0" xr:uid="{BFC74503-9779-4CBC-AD0A-AB5E1D75716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</t>
        </r>
      </text>
    </comment>
    <comment ref="P151" authorId="0" shapeId="0" xr:uid="{C7C599E5-408C-4724-B6AB-0F78A53B389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  <comment ref="Q153" authorId="0" shapeId="0" xr:uid="{DBD46C90-ED6D-4A3E-93E7-5C3887EA5C8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  <comment ref="P183" authorId="0" shapeId="0" xr:uid="{55A8B12E-433E-4808-9F20-6F6163A2A32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1723 DEL 20230509 $1.186.130.026</t>
        </r>
      </text>
    </comment>
    <comment ref="Q185" authorId="0" shapeId="0" xr:uid="{FF9E488E-9E0B-48CD-944C-DE95AB9BAEB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1723 DEL 20230509 $1.186.130.026</t>
        </r>
      </text>
    </comment>
    <comment ref="P199" authorId="0" shapeId="0" xr:uid="{1802E4F6-3642-4EE6-8A53-1E4E134669C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20230509 $14.887.645.880</t>
        </r>
      </text>
    </comment>
    <comment ref="P201" authorId="0" shapeId="0" xr:uid="{88CAF95A-E584-4F43-AA9E-8CC86B93E16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20230509 $15.512.436.655</t>
        </r>
      </text>
    </comment>
    <comment ref="P203" authorId="0" shapeId="0" xr:uid="{51A8A647-3839-44AE-8505-5FFE4ED7B4C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20230509 $6.493.886.506</t>
        </r>
      </text>
    </comment>
    <comment ref="P205" authorId="0" shapeId="0" xr:uid="{4766FB2A-6D74-4D8F-9367-C3CC9CEFA5A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20230509 $21.850.058.864</t>
        </r>
      </text>
    </comment>
    <comment ref="P207" authorId="0" shapeId="0" xr:uid="{A190A848-643B-4D59-A5E3-BBFE6DAC363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20230509 $2.559.683.689</t>
        </r>
      </text>
    </comment>
    <comment ref="Q207" authorId="0" shapeId="0" xr:uid="{EB6E380E-8D8B-4282-A923-5103C585B37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2023 DEL 20230510 $110.858.384</t>
        </r>
      </text>
    </comment>
    <comment ref="Q208" authorId="0" shapeId="0" xr:uid="{C2051457-0148-4134-BEBC-8BDB312FF56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20230509 $17.952.197.792</t>
        </r>
      </text>
    </comment>
    <comment ref="P210" authorId="0" shapeId="0" xr:uid="{0DCE8E90-6993-4283-9E5E-CF15714E5CB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20230509 $14.542.086.198
MM 2023 DEL 20230510 $110.858.384</t>
        </r>
      </text>
    </comment>
    <comment ref="Q211" authorId="0" shapeId="0" xr:uid="{563A80CB-3377-45E2-A762-B8B4A64D45F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20230509 $57.893.600.000</t>
        </r>
      </text>
    </comment>
    <comment ref="P214" authorId="0" shapeId="0" xr:uid="{823B0292-A294-441F-8DC5-1CFFBFB2179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1823 DEL 20230509 $1.085.187.279</t>
        </r>
      </text>
    </comment>
    <comment ref="Q215" authorId="0" shapeId="0" xr:uid="{7BAAC3D3-BF85-415F-9A57-5C01A9921A6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1823 DEL 20230509 $1.085.187.279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  <author>USER</author>
    <author>Mirna Estela Pulido Alvarez</author>
  </authors>
  <commentList>
    <comment ref="P17" authorId="0" shapeId="0" xr:uid="{C4A69866-F0D0-4398-823F-3184176910A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C/C 2823 29/06/2023 $700.000.000</t>
        </r>
      </text>
    </comment>
    <comment ref="Q20" authorId="0" shapeId="0" xr:uid="{DA470AD2-B113-42FE-BA43-A9188718150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C/C 2823 29/06/2023 $700.000.000</t>
        </r>
      </text>
    </comment>
    <comment ref="P47" authorId="0" shapeId="0" xr:uid="{43C2B957-2FC4-4490-8B36-B15C3792C14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2121 05/06/2023 $115.000.000
MM 2321 16/06/2023 $180.000.000</t>
        </r>
      </text>
    </comment>
    <comment ref="Q47" authorId="0" shapeId="0" xr:uid="{3B725E19-DAE6-42A0-8BEF-865E77DC4216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3023 13/07/2023 $90.000.000</t>
        </r>
      </text>
    </comment>
    <comment ref="Q48" authorId="1" shapeId="0" xr:uid="{CE60AB3E-AA72-46C9-8A4D-DA572235172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823 DEL 20230329 $14.252.908</t>
        </r>
      </text>
    </comment>
    <comment ref="P55" authorId="1" shapeId="0" xr:uid="{616736E0-4403-4A65-9C3A-D53B2FF25D5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20230313 $44.000.000
MM 1423 DEL 20230428 $22.000.000</t>
        </r>
      </text>
    </comment>
    <comment ref="P58" authorId="1" shapeId="0" xr:uid="{581E4887-FAAE-454D-AC81-37F0FB82306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20230317 $253.475.175</t>
        </r>
      </text>
    </comment>
    <comment ref="P59" authorId="1" shapeId="0" xr:uid="{C264D89D-4D87-43CD-B512-B16A733D704B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20230317 $21.273.290</t>
        </r>
      </text>
    </comment>
    <comment ref="P60" authorId="1" shapeId="0" xr:uid="{CCBCCA4B-0191-4991-8B0E-79D3F512244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20230313 $66.000.000
MM 1423 DEL 20230428 $22.000.000</t>
        </r>
      </text>
    </comment>
    <comment ref="P62" authorId="0" shapeId="0" xr:uid="{5A0ACFC0-2214-491E-B87A-D2B98E616ACB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3023 13/07/2023 $90.000.000</t>
        </r>
      </text>
    </comment>
    <comment ref="Q66" authorId="0" shapeId="0" xr:uid="{63B89EA1-1BF7-4BD1-8FA3-66F9FF3E89E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2123 05/06/2023 $110.000.000</t>
        </r>
      </text>
    </comment>
    <comment ref="P71" authorId="0" shapeId="0" xr:uid="{8CD084F3-857C-4B95-BC67-0DB998C24FF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C/C 2723 26/06/2023 $35.000.000</t>
        </r>
      </text>
    </comment>
    <comment ref="P72" authorId="0" shapeId="0" xr:uid="{FF4C18B2-1938-4158-BB07-04096D734E0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2323 16/06/2023 $33.000.000</t>
        </r>
      </text>
    </comment>
    <comment ref="Q77" authorId="0" shapeId="0" xr:uid="{33BF0B07-6434-4E34-86BA-68F2E2BE5A7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2323 16/06/2023 $249.607.469.44</t>
        </r>
      </text>
    </comment>
    <comment ref="P80" authorId="1" shapeId="0" xr:uid="{465E4FB5-F29A-42E2-8891-BD61688B5727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1323 DEL 20230427 $1.062.000.000
MM 2323 16/06/2023 $253.333.318</t>
        </r>
      </text>
    </comment>
    <comment ref="Q80" authorId="1" shapeId="0" xr:uid="{0BFD43E4-0E86-4D3D-9EF3-D80AED7E119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123 DEL 20230103 $3.170.048.097
MM 3223 27/07/2023 $5.000.000</t>
        </r>
      </text>
    </comment>
    <comment ref="Q81" authorId="0" shapeId="0" xr:uid="{B8D30E37-266A-48EB-AD7E-972E05B81CA6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2323 16/06/2023 $ 200.000.000</t>
        </r>
      </text>
    </comment>
    <comment ref="P82" authorId="1" shapeId="0" xr:uid="{7A52BC78-57B4-45FC-9F28-A1E6F1C43F5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423 DEL 20230317 $5.088.644
MM 723 DEL 20230328 $10.000.000
MM 923 DEL 20230330 $2.617.440
MM 1223 DEL 20230427 $133.407.037</t>
        </r>
      </text>
    </comment>
    <comment ref="Q82" authorId="1" shapeId="0" xr:uid="{27E6763D-ABF3-43DF-8981-8A748DD8F3D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223 DEL 20230313 $110.000.000
MM 1423 DEL 20230428 $55.000.000
MM 2123  05/06/2023 $5.000.000
MM 2323 16/06/2023 $116.725.848.56</t>
        </r>
      </text>
    </comment>
    <comment ref="P83" authorId="1" shapeId="0" xr:uid="{9AD2DD30-2211-4E4A-8CBA-153A784F9B7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823 DEL 20230329 $14.252.908
MM 2323 16/06/2023 $50.000.000</t>
        </r>
      </text>
    </comment>
    <comment ref="Q83" authorId="1" shapeId="0" xr:uid="{B79F84CC-4D2B-4E08-95F7-A3EA08BC1CA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523 DEL 20230317 $274.748.465</t>
        </r>
      </text>
    </comment>
    <comment ref="P88" authorId="0" shapeId="0" xr:uid="{1D77EC8A-332A-4A6E-AD18-7CDD81E0F693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3223 27/07/2023 $5.000.000</t>
        </r>
      </text>
    </comment>
    <comment ref="P90" authorId="1" shapeId="0" xr:uid="{1FF10940-76C0-4C7E-A491-415B6AF5BD2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 xml:space="preserve">MM 123 DEL 20230103 $3.170.048.097
MM 2323 16/06/2023 $50.000000
</t>
        </r>
      </text>
    </comment>
    <comment ref="Q90" authorId="1" shapeId="0" xr:uid="{27A6B6D6-EF76-496E-8912-473E3351F3C5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723 DEL 20230328 $10.000.000
MM 923 DEL 20230330 $2.617.440
MM 1223 DEL 20230427 $133.407.037
MM 1323 DEL 20230427 $1.062.000.000
C/C 2723 DEL 26/06/2023 $35.000.000</t>
        </r>
      </text>
    </comment>
    <comment ref="Q103" authorId="1" shapeId="0" xr:uid="{9CA93A4B-842E-45BF-9C2E-400821FA58C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04" authorId="1" shapeId="0" xr:uid="{EF311572-1F6C-471C-85B3-6D495F06DBE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323 DEL 20230317 $55.158.452</t>
        </r>
      </text>
    </comment>
    <comment ref="P108" authorId="0" shapeId="0" xr:uid="{0A3A1A8B-0E71-4936-9EAB-19CCAF6AEACA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2223 14/06/2023 $2.000.000</t>
        </r>
      </text>
    </comment>
    <comment ref="Q108" authorId="2" shapeId="0" xr:uid="{29F05F05-4BA5-435E-B352-B4E477E15FA5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RES. 01204 DEL 20230620 $12.000.000</t>
        </r>
      </text>
    </comment>
    <comment ref="Q109" authorId="0" shapeId="0" xr:uid="{43AA9B9B-3670-4CD4-B4C0-111EBFAD84BA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2223 14/06/2023 $2.000.000</t>
        </r>
      </text>
    </comment>
    <comment ref="Q110" authorId="2" shapeId="0" xr:uid="{B05F1542-C344-4493-829D-906731A86F16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RES. 01204 DEL 20230620 $4.406.400
</t>
        </r>
      </text>
    </comment>
    <comment ref="P114" authorId="2" shapeId="0" xr:uid="{73183A3A-EAD5-4A70-95FC-87523D501BC6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RES. 01204 DEL 20230620 $3.306.400</t>
        </r>
      </text>
    </comment>
    <comment ref="P115" authorId="2" shapeId="0" xr:uid="{C8E3BBF7-FB63-46E3-8566-CE55076ACD63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RES. 01204 DEL 20230620 $13.100.000
</t>
        </r>
      </text>
    </comment>
    <comment ref="P125" authorId="1" shapeId="0" xr:uid="{A2960AAB-28C3-42D3-9207-114C8102166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
MM 2523 21/06/2023 $6.385.939.073</t>
        </r>
      </text>
    </comment>
    <comment ref="Q125" authorId="0" shapeId="0" xr:uid="{A0BA0532-A89E-4053-8A56-8E7696B201C4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2423 21/06/2023 $7.032..000.000
MM 2923 06/07/2023 $2.055..088.352</t>
        </r>
      </text>
    </comment>
    <comment ref="P126" authorId="0" shapeId="0" xr:uid="{1CEEBE3E-6064-47CF-9056-DD69E942E6CF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2423 21/06/2023 $7.032..000.000
MM 2923 06/07/2023 $2.055..088.352</t>
        </r>
      </text>
    </comment>
    <comment ref="Q126" authorId="1" shapeId="0" xr:uid="{B401FB69-C39D-4F92-A06A-E1E8D41F9BE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623 DEL 20230317 $12.244.730.829,40
MM 1023 DEL 20230331 $21.680.000.000</t>
        </r>
      </text>
    </comment>
    <comment ref="Q128" authorId="0" shapeId="0" xr:uid="{8D88176B-2643-4EE4-989A-B08D61A61A50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2523 21/06/2023 $6.385.939.073</t>
        </r>
      </text>
    </comment>
    <comment ref="P137" authorId="1" shapeId="0" xr:uid="{429D020C-002D-4AB4-8C3D-94006FA14D9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  <comment ref="Q139" authorId="1" shapeId="0" xr:uid="{B1369D0C-CB0D-4DCA-A368-E5267F43870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1123 DEL 20230414 $300.000.000</t>
        </r>
      </text>
    </comment>
    <comment ref="Q143" authorId="0" shapeId="0" xr:uid="{ACAFA885-033C-4A76-A126-7AA3CA6BF0BD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3123 19/07/2023 $2.004.524.145</t>
        </r>
      </text>
    </comment>
    <comment ref="P145" authorId="0" shapeId="0" xr:uid="{A5BFD976-6611-48D5-B95E-404F43B74C2F}">
      <text>
        <r>
          <rPr>
            <b/>
            <sz val="9"/>
            <color indexed="81"/>
            <rFont val="Tahoma"/>
            <family val="2"/>
          </rPr>
          <t>GIT Presupuesto:</t>
        </r>
        <r>
          <rPr>
            <sz val="9"/>
            <color indexed="81"/>
            <rFont val="Tahoma"/>
            <family val="2"/>
          </rPr>
          <t xml:space="preserve">
MM 3123 19/07/2023 $2.004.524.145</t>
        </r>
      </text>
    </comment>
    <comment ref="P170" authorId="1" shapeId="0" xr:uid="{4C04C79B-0DFC-4019-9129-6883B237D8E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1523 DEL 20230502 $1.186.130.026
MM 1723 DEL 20230509 $1.186.130.026</t>
        </r>
      </text>
    </comment>
    <comment ref="Q170" authorId="1" shapeId="0" xr:uid="{52766257-93B6-491C-9468-CB14AD0E3E8F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1623 DEL 20230505 $1.186.130.026</t>
        </r>
      </text>
    </comment>
    <comment ref="P171" authorId="1" shapeId="0" xr:uid="{A38BECB2-0D20-4806-BABD-446FA5E94B86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1623 DEL 20230505 $1.186.130.026</t>
        </r>
      </text>
    </comment>
    <comment ref="Q171" authorId="1" shapeId="0" xr:uid="{D8A75371-BC13-4F05-8D18-DFB0398A6EE0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1523 DEL 20230502 $1.186.130.026
MM 1723 DEL 20230509 $1.186.130.026</t>
        </r>
      </text>
    </comment>
    <comment ref="P185" authorId="1" shapeId="0" xr:uid="{739DB40A-4355-4665-8FE8-F0D41CF86F2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20230509 $14.887.645.880</t>
        </r>
      </text>
    </comment>
    <comment ref="P187" authorId="1" shapeId="0" xr:uid="{6050D251-7D3B-43F6-8369-693833AAF73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20230509 $15.512.436.655</t>
        </r>
      </text>
    </comment>
    <comment ref="P189" authorId="1" shapeId="0" xr:uid="{2F4DE255-33A9-4652-AE5E-263D02830722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20230509 $6.493.886.506</t>
        </r>
      </text>
    </comment>
    <comment ref="P191" authorId="1" shapeId="0" xr:uid="{13E15B5C-B908-4C54-B7AF-5984BB2564A3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20230509 $21.850.058.864</t>
        </r>
      </text>
    </comment>
    <comment ref="P193" authorId="1" shapeId="0" xr:uid="{D60E997B-8D0C-481D-AA84-F4EEAE6D345C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20230509 $2.559.683.689</t>
        </r>
      </text>
    </comment>
    <comment ref="Q193" authorId="1" shapeId="0" xr:uid="{7C402346-EB58-413F-B3E8-A185031DC6DD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2023 DEL 20230510 $110.858.384</t>
        </r>
      </text>
    </comment>
    <comment ref="Q194" authorId="1" shapeId="0" xr:uid="{7C808684-992A-4959-BD21-FDB86F65B56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20230509 $17.952.197.792</t>
        </r>
      </text>
    </comment>
    <comment ref="P196" authorId="1" shapeId="0" xr:uid="{19E718A1-7423-4336-A2F8-C3735E1C924A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20230509 $14.542.086.198
MM 2023 DEL 20230510 $110.858.384</t>
        </r>
      </text>
    </comment>
    <comment ref="Q197" authorId="1" shapeId="0" xr:uid="{3CD945C3-2F70-48C1-A0FE-E73DF1CAB4E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1923 DEL 20230509 $57.893.600.000</t>
        </r>
      </text>
    </comment>
    <comment ref="P200" authorId="1" shapeId="0" xr:uid="{C0D156C9-81DD-4AE6-8116-C6091BA611B4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1523 DEL 20230502 $1.085.187.279
MM 1823 DEL 20230509 $1.085.187.279</t>
        </r>
      </text>
    </comment>
    <comment ref="Q200" authorId="1" shapeId="0" xr:uid="{A6F10DC7-8338-4B3E-8822-27D9BF333BD1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1623 DEL 20230505 $1.085.187.279</t>
        </r>
      </text>
    </comment>
    <comment ref="P201" authorId="1" shapeId="0" xr:uid="{083472F0-38AA-406C-9991-ACD0EB519C2E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1623 DEL 20230505 $1.085.187.279</t>
        </r>
      </text>
    </comment>
    <comment ref="Q201" authorId="1" shapeId="0" xr:uid="{605F5559-7508-4C3F-AF31-1B915C706F69}">
      <text>
        <r>
          <rPr>
            <b/>
            <sz val="9"/>
            <color indexed="81"/>
            <rFont val="Tahoma"/>
            <family val="2"/>
          </rPr>
          <t xml:space="preserve">GIT Presupuesto:
</t>
        </r>
        <r>
          <rPr>
            <sz val="9"/>
            <color indexed="81"/>
            <rFont val="Tahoma"/>
            <family val="2"/>
          </rPr>
          <t>MM 1523 DEL 20230502 $1.085.187.279
MM 1823 DEL 20230509 $1.085.187.279</t>
        </r>
      </text>
    </comment>
    <comment ref="P208" authorId="0" shapeId="0" xr:uid="{31C8AE13-16FB-4DC7-86B1-8AA5509A042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C/C 2623 23/06/2023 $3.586.500.000</t>
        </r>
      </text>
    </comment>
    <comment ref="Q209" authorId="0" shapeId="0" xr:uid="{BE4E1A17-88C9-439B-8F25-E3407CE798F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C/C 2623 23/06/2023 $3.586.500.000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Yan</author>
    <author>Fabio Jan Munoz Lopez</author>
  </authors>
  <commentList>
    <comment ref="R47" authorId="0" shapeId="0" xr:uid="{D23FB153-115F-4753-B4CF-636F2B714E7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20200319 $10,000,000</t>
        </r>
      </text>
    </comment>
    <comment ref="R53" authorId="0" shapeId="0" xr:uid="{31C833B7-7EC1-4F1A-99D9-6F1C48A9C4C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20200319 $9,200,000</t>
        </r>
      </text>
    </comment>
    <comment ref="Q54" authorId="0" shapeId="0" xr:uid="{B0DD60A7-4AE8-4CE0-8EBB-E8557772415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2120 DEL 20200514 $70,000,000
</t>
        </r>
      </text>
    </comment>
    <comment ref="R55" authorId="0" shapeId="0" xr:uid="{6C695031-159B-4CE4-B2B0-855915937FA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20200319 $2,000,000</t>
        </r>
      </text>
    </comment>
    <comment ref="Q60" authorId="1" shapeId="0" xr:uid="{94AE1C4C-C839-4428-98C8-CB6A600A5BD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Q61" authorId="1" shapeId="0" xr:uid="{C80CFD8B-4AFD-49AD-B43B-3710D0D81DB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Q62" authorId="0" shapeId="0" xr:uid="{6E454073-80BE-496C-98CA-6F1C4C147C6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</t>
        </r>
      </text>
    </comment>
    <comment ref="R62" authorId="1" shapeId="0" xr:uid="{7D462A7B-9987-4937-A123-B2474B34D77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
MM 420 DEL 20200210 $30,000,000
MM 2020 DEL 20200429 $22,235,566</t>
        </r>
      </text>
    </comment>
    <comment ref="Q66" authorId="1" shapeId="0" xr:uid="{0334EB0C-7948-4BA5-966B-09F0129FDF9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</t>
        </r>
      </text>
    </comment>
    <comment ref="R66" authorId="0" shapeId="0" xr:uid="{FFC7A5CB-0DD4-4848-965F-B49FD8A456B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1420 DEL 20200407 $27,793,073
MM 1520 DEL 20200408 $52,000,000
MM 2120 DEL 20200514 $70,000,000
</t>
        </r>
      </text>
    </comment>
    <comment ref="Q67" authorId="1" shapeId="0" xr:uid="{4E1160B4-D554-4017-B671-D028DA1C345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</t>
        </r>
      </text>
    </comment>
    <comment ref="R67" authorId="0" shapeId="0" xr:uid="{AEAC684C-FCC7-4F22-ADDC-04D0A985DC8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20200319 $13,000,000</t>
        </r>
      </text>
    </comment>
    <comment ref="R68" authorId="1" shapeId="0" xr:uid="{103570B2-B7FC-4375-9536-6F1EAEA32CC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R69" authorId="0" shapeId="0" xr:uid="{3B929D27-2A15-454A-8D74-65B61C9BB51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20200319 $30,000,000</t>
        </r>
      </text>
    </comment>
    <comment ref="R72" authorId="0" shapeId="0" xr:uid="{5C32BCFB-6062-4789-B67E-07A17290286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20200319 $1,459,150</t>
        </r>
      </text>
    </comment>
    <comment ref="R73" authorId="0" shapeId="0" xr:uid="{C1233D7C-365F-4546-A31D-500C9EBE67B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20200319 $1,056,762,979</t>
        </r>
      </text>
    </comment>
    <comment ref="R76" authorId="1" shapeId="0" xr:uid="{CAE4AC6C-F3F8-47C6-B403-D7C93CAF496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920 DEL 20200317 $120,491,795.37
MM 1120 DEL 20200319 $520,000,000
MM 1720 DEL 20200421 $43,341,522</t>
        </r>
      </text>
    </comment>
    <comment ref="Q77" authorId="1" shapeId="0" xr:uid="{9A528840-B5F0-4484-BC1E-0BC7785D298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920 DEL 20200317 $120,491,795.37
MM 1320 DEL 20200320 $311,197,103
MM 1420 DEL 20200407 $27,793,073
MM 1520 DEL 20200408 $52,000,000</t>
        </r>
      </text>
    </comment>
    <comment ref="R77" authorId="0" shapeId="0" xr:uid="{BB634549-A944-4271-B6B5-8BD142CF537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20200429 $109,801,250,78</t>
        </r>
      </text>
    </comment>
    <comment ref="Q78" authorId="1" shapeId="0" xr:uid="{F6EE71D5-6142-47DA-A795-94F6FD00AE6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1120 DEL 20200319 $1,658,656,629
MM 1620 DEL 20200420 $9,968,718
MM 1720 DEL 20200421 $43,341,522</t>
        </r>
      </text>
    </comment>
    <comment ref="R78" authorId="0" shapeId="0" xr:uid="{E6468E2A-9183-4832-AFED-7DF239615EC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</t>
        </r>
      </text>
    </comment>
    <comment ref="Q79" authorId="0" shapeId="0" xr:uid="{9B772EDA-5068-425B-930B-F28BF2D84A7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20200429 $132,036,816,78</t>
        </r>
      </text>
    </comment>
    <comment ref="R79" authorId="1" shapeId="0" xr:uid="{944D5671-A49B-4EFA-A533-6C4F78AC087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1120 DEL 20200319 $12,300,000
MM 1320 DEL 20200320 $311,197,103
MM 1620 DEL 20200420 $9,968,718</t>
        </r>
      </text>
    </comment>
    <comment ref="R86" authorId="0" shapeId="0" xr:uid="{F39EC58D-41AE-4EC5-8A07-FB5D2548A58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20200319 $3,934,500</t>
        </r>
      </text>
    </comment>
    <comment ref="O91" authorId="0" shapeId="0" xr:uid="{258CCE02-5620-4936-804C-398CCAC3340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Res.1093 DEL 20200508 $496,494,923,000 Res.1154 DEL 20200521 $494,970,566,896</t>
        </r>
      </text>
    </comment>
    <comment ref="R97" authorId="1" shapeId="0" xr:uid="{5AC77C80-49A8-4DDC-BDF4-40A3E6C9D5D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98" authorId="1" shapeId="0" xr:uid="{0F9EEF9B-AE1B-4993-A50D-883876A42C8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AE98" authorId="1" shapeId="0" xr:uid="{FA01FE5B-B0A0-45B5-994B-A4B14B7CC2C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R144" authorId="1" shapeId="0" xr:uid="{534057A7-BA33-405F-8EF7-AA5D6E24427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45" authorId="1" shapeId="0" xr:uid="{B4380BBD-5A34-4FAE-8BB6-49A7DCDDFC2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</t>
        </r>
      </text>
    </comment>
    <comment ref="Q160" authorId="1" shapeId="0" xr:uid="{B9718AAA-FB3C-4CAC-BACC-B625C062D35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
MM 1820 DEL 20200422 $1,489,790,422,64</t>
        </r>
      </text>
    </comment>
    <comment ref="R160" authorId="0" shapeId="0" xr:uid="{7674D10A-7B52-4370-82F9-999E35F0C3D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20200326 $280,000,000,000</t>
        </r>
      </text>
    </comment>
    <comment ref="R162" authorId="1" shapeId="0" xr:uid="{A09B457D-7A2E-45CE-B48E-4B78A46C19D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</t>
        </r>
      </text>
    </comment>
    <comment ref="Q164" authorId="1" shapeId="0" xr:uid="{38B516EE-F3C8-452A-B82B-592BF8052BC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Q184" authorId="0" shapeId="0" xr:uid="{6BA21FA1-9AEC-4FA6-855C-DCFDBA6D1C6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R188" authorId="0" shapeId="0" xr:uid="{4E631366-5C38-4C08-B292-29903958ED6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Q191" authorId="0" shapeId="0" xr:uid="{24AAD7C8-2B6B-4C4A-8C17-43B45CC94FB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20200326 $19,919,000,000
MM 1920 DEL 20200429 $5,960,800,000</t>
        </r>
      </text>
    </comment>
    <comment ref="Q192" authorId="0" shapeId="0" xr:uid="{0BC30CB7-B812-433F-9272-A3B1D40D267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20200326 $260,081,000,000</t>
        </r>
      </text>
    </comment>
    <comment ref="R192" authorId="0" shapeId="0" xr:uid="{55FDA95D-77C7-4EFB-849A-F9D51950288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1920 DEL 20200429 $5,960,800,000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Fabio Jan Munoz Lopez</author>
  </authors>
  <commentList>
    <comment ref="V99" authorId="0" shapeId="0" xr:uid="{00BA313F-4834-4EFD-940F-68A18058519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 Financiera</author>
    <author>Yan</author>
    <author>Fabio Jan Munoz Lopez</author>
    <author>USER</author>
  </authors>
  <commentList>
    <comment ref="Q18" authorId="0" shapeId="0" xr:uid="{8C5FA6DF-06E5-49AB-8B15-30976D09C571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2920 DEL 20200630 $230,000,000</t>
        </r>
      </text>
    </comment>
    <comment ref="R22" authorId="1" shapeId="0" xr:uid="{F938DC5E-5164-4464-A05D-18D50DC1CF23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
MM 2920 DEL 20200630 $230,000,000</t>
        </r>
      </text>
    </comment>
    <comment ref="Q23" authorId="1" shapeId="0" xr:uid="{F031508C-FC1E-417F-A32D-F7D21C87E4DA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</t>
        </r>
      </text>
    </comment>
    <comment ref="R48" authorId="1" shapeId="0" xr:uid="{591BBC55-C316-42F3-889F-870EA1FF4E8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20200319 $10,000,000
MM 2520 DEL 20200604 $6,000,000</t>
        </r>
      </text>
    </comment>
    <comment ref="R49" authorId="1" shapeId="0" xr:uid="{9149B70E-1211-46DA-A136-A69427E4CB1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20200604 $4,567,529</t>
        </r>
      </text>
    </comment>
    <comment ref="R54" authorId="1" shapeId="0" xr:uid="{1DDC3AF4-B2AE-4B5C-A900-C1599FB3DF2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20200319 $9,200,000</t>
        </r>
      </text>
    </comment>
    <comment ref="Q55" authorId="1" shapeId="0" xr:uid="{8E8BE2D0-4492-4843-A180-42CD72FDDC9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2120 DEL 20200514 $70,000,000
</t>
        </r>
      </text>
    </comment>
    <comment ref="R56" authorId="1" shapeId="0" xr:uid="{CCFDB840-DF70-4E66-B04B-04BB6A3476A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20200319 $2,000,000</t>
        </r>
      </text>
    </comment>
    <comment ref="R57" authorId="1" shapeId="0" xr:uid="{4B2250E0-309E-459F-8BA4-FA69121DF96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20200604 $6,000,000</t>
        </r>
      </text>
    </comment>
    <comment ref="R58" authorId="1" shapeId="0" xr:uid="{725A49D2-011B-4D86-9557-8A004FA90DF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20200604 $3,000,000</t>
        </r>
      </text>
    </comment>
    <comment ref="R60" authorId="1" shapeId="0" xr:uid="{0745E964-DA75-4B9C-90D5-3D020107471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20200604 $7,000,000</t>
        </r>
      </text>
    </comment>
    <comment ref="Q61" authorId="2" shapeId="0" xr:uid="{EB1BC6B3-32B1-458D-8A2C-DFEC637DEC8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Q62" authorId="2" shapeId="0" xr:uid="{EBFA581F-CCD8-44A3-94EE-D58AD385A77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Q63" authorId="1" shapeId="0" xr:uid="{FF393426-1DC7-4B2D-8682-5D4D6BEE1AE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</t>
        </r>
      </text>
    </comment>
    <comment ref="R63" authorId="2" shapeId="0" xr:uid="{538306D4-1088-43A1-8B47-1B6B0B3962C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
MM 420 DEL 20200210 $30,000,000
MM 2020 DEL 20200429 $22,235,566</t>
        </r>
      </text>
    </comment>
    <comment ref="Q64" authorId="1" shapeId="0" xr:uid="{48839A0B-04E4-4A80-9980-9A2C903C406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20200604 $20,000,000</t>
        </r>
      </text>
    </comment>
    <comment ref="Q68" authorId="2" shapeId="0" xr:uid="{A35E0A06-7A6A-4B65-8BF4-E8261313D16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</t>
        </r>
      </text>
    </comment>
    <comment ref="R68" authorId="1" shapeId="0" xr:uid="{6A795808-8EA0-4D67-8F59-10891CD4A1F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1420 DEL 20200407 $27,793,073
MM 1520 DEL 20200408 $52,000,000
MM 2120 DEL 20200514 $70,000,000
MM 2520 DEL 20200604 $46,293,242,88
MM 3520 DEL 20200709 $152.303.676</t>
        </r>
      </text>
    </comment>
    <comment ref="Q69" authorId="2" shapeId="0" xr:uid="{DA1071E3-CDD0-4BF5-A7B6-3E632ED49B5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</t>
        </r>
      </text>
    </comment>
    <comment ref="R69" authorId="1" shapeId="0" xr:uid="{EF441F36-CB29-4828-85E9-9341F8A97E9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20200319 $13,000,000</t>
        </r>
      </text>
    </comment>
    <comment ref="R70" authorId="2" shapeId="0" xr:uid="{26FFECF3-62C6-43FD-9DE8-D2FB97E2D62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R71" authorId="1" shapeId="0" xr:uid="{EFE5F2D9-4871-4F59-8324-E1206EA2FD1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20200319 $30,000,000</t>
        </r>
      </text>
    </comment>
    <comment ref="Q72" authorId="0" shapeId="0" xr:uid="{29BD1A7C-20AF-429B-8EAD-6A39344D1F0D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20200625 $15.000.000
MM 3220 DEL 20200702 $50.000.000</t>
        </r>
      </text>
    </comment>
    <comment ref="Q74" authorId="1" shapeId="0" xr:uid="{2FD14C03-F7B2-47BA-A4F1-707DD4A8172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20200604 $60,000,000</t>
        </r>
      </text>
    </comment>
    <comment ref="R74" authorId="1" shapeId="0" xr:uid="{9A92B86C-264B-4A40-9C31-B88962180BF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20200319 $1,459,150</t>
        </r>
      </text>
    </comment>
    <comment ref="Q75" authorId="1" shapeId="0" xr:uid="{8201DF31-E81E-4F62-B6F9-D3F13C89D1F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20200604 $10,000,000
MM 3120 DEL 20200702 $106.166.682,63
MM 3220 DEL 20200702 $29.964.072
MM 3320 DEL 20200702 $4.115.280,78
MM 3420 DEL 20200703 $30.345.000
MM 3520 DEL 20200709 $472.294.523</t>
        </r>
      </text>
    </comment>
    <comment ref="R75" authorId="1" shapeId="0" xr:uid="{EAC0EE8F-9D63-4A1C-9B6F-2B25D185DF6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20200319 $1,056,762,979</t>
        </r>
      </text>
    </comment>
    <comment ref="Q78" authorId="1" shapeId="0" xr:uid="{B4B19B18-ABB6-4ACA-83FF-789DA3C6172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20200604 $8,045,908</t>
        </r>
      </text>
    </comment>
    <comment ref="R78" authorId="2" shapeId="0" xr:uid="{0F3575D5-6CA1-41EB-8650-E27EFC15A88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920 DEL 20200317 $120,491,795.37
MM 1120 DEL 20200319 $520,000,000
MM 1720 DEL 20200421 $43,341,522
MM 3120 DEL 20200702 $106.166.682,63</t>
        </r>
      </text>
    </comment>
    <comment ref="Q79" authorId="2" shapeId="0" xr:uid="{976B27C2-2ACC-4397-837D-8E26E5E4DA2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920 DEL 20200317 $120,491,795.37
MM 1320 DEL 20200320 $311,197,103
MM 1420 DEL 20200407 $27,793,073
MM 1520 DEL 20200408 $52,000,000</t>
        </r>
      </text>
    </comment>
    <comment ref="R79" authorId="1" shapeId="0" xr:uid="{00D5420B-B950-46F4-BD76-A9F0CDAD2E5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20200429 $109,801,250,78</t>
        </r>
      </text>
    </comment>
    <comment ref="Q80" authorId="2" shapeId="0" xr:uid="{20EFDD3C-28FD-4ACE-A9EB-C5620C984AD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1120 DEL 20200319 $1,658,656,629
MM 1620 DEL 20200420 $9,968,718
MM 1720 DEL 20200421 $43,341,522
MM 2520 DEL 20200604 $11,154,065.88</t>
        </r>
      </text>
    </comment>
    <comment ref="R80" authorId="1" shapeId="0" xr:uid="{3053061D-6C06-4DFB-95E3-341467BD803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
MM 3220 DEL 20200702 $79.964.072
MM 3420 DEL 20200703 $30.345.000</t>
        </r>
      </text>
    </comment>
    <comment ref="Q81" authorId="1" shapeId="0" xr:uid="{35A513B0-DA64-43DA-93FB-F7C4D4F073B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20200429 $132,036,816,78</t>
        </r>
      </text>
    </comment>
    <comment ref="R81" authorId="2" shapeId="0" xr:uid="{0180EC0C-CD36-468B-87AD-5D4E0FFA69F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1120 DEL 20200319 $12,300,000
MM 1320 DEL 20200320 $311,197,103
MM 1620 DEL 20200420 $9,968,718
MM 2520 DEL 20200604 $29.121.702
MM 3320 DEL 20200702 $4.115.280,78</t>
        </r>
      </text>
    </comment>
    <comment ref="Q85" authorId="3" shapeId="0" xr:uid="{7682FB1B-65B4-4AB6-B82A-95F03DD5193E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6" authorId="0" shapeId="0" xr:uid="{3799C6F9-A140-4AFE-9850-C257DBE07D3A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20200625 $15,000,000</t>
        </r>
      </text>
    </comment>
    <comment ref="R87" authorId="3" shapeId="0" xr:uid="{52411CEB-588E-4EE7-B835-7FB23A62B320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8" authorId="1" shapeId="0" xr:uid="{25BEB562-0CD5-4BEE-ABA2-F46BA326081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20200319 $3,934,500
MM 2520 DEL 20200604 $7,217,500
RES. 01000 DEL 20200601 $51,000,000</t>
        </r>
      </text>
    </comment>
    <comment ref="R89" authorId="3" shapeId="0" xr:uid="{490EA6DD-BBDF-4EF7-911D-C5D9ED8F8A9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3520 DEL 20200709 $319.990.847
</t>
        </r>
      </text>
    </comment>
    <comment ref="O93" authorId="1" shapeId="0" xr:uid="{7024A88E-0E7E-426D-9521-A51F6D28833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Res.1093 DEL 20200508 $496,494,923,000 Res.1154 DEL 20200521 $494,970,566,896
Res.1346 DEL 20200630 $494,938,071,017</t>
        </r>
      </text>
    </comment>
    <comment ref="O94" authorId="1" shapeId="0" xr:uid="{97DE95BB-CCFA-4D40-97DF-DBEEDCE9A1F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Res.1481 DEL 20200723 $2,904,865,606,800
</t>
        </r>
      </text>
    </comment>
    <comment ref="R100" authorId="2" shapeId="0" xr:uid="{D18B9F1D-BB42-41B8-89EE-F1CD47E7C6E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101" authorId="2" shapeId="0" xr:uid="{387074FB-9F5D-4FCD-949D-F3B8A32CFE6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AE101" authorId="2" shapeId="0" xr:uid="{0550D301-D18F-4C2E-A894-5305A78B662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Q109" authorId="3" shapeId="0" xr:uid="{A07C5BB6-088F-4CB7-9C49-21EED2CCED33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RES. 01000 DEL 20200601 $26,000,000</t>
        </r>
      </text>
    </comment>
    <comment ref="Q110" authorId="3" shapeId="0" xr:uid="{8568937F-B2D8-4548-B1E5-4477A25D781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 01000 DEL 20200601 $25,000,000
</t>
        </r>
      </text>
    </comment>
    <comment ref="R147" authorId="2" shapeId="0" xr:uid="{A0B8715F-7F8B-4990-BCEE-6C0E15C6B71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48" authorId="2" shapeId="0" xr:uid="{B1BEC346-6C4A-4E2F-B411-65F6977805F9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54" authorId="0" shapeId="0" xr:uid="{BAC9F925-98B8-4B45-B59E-E91F46FACFEC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$58,501,450</t>
        </r>
      </text>
    </comment>
    <comment ref="Q156" authorId="0" shapeId="0" xr:uid="{0B57A440-8B13-4507-AD57-9E94A5EAA33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$73,595,250</t>
        </r>
      </text>
    </comment>
    <comment ref="Q160" authorId="0" shapeId="0" xr:uid="{11FA31D8-AF8C-4020-8CF3-154AF57FFCA2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$1,222,086,351</t>
        </r>
      </text>
    </comment>
    <comment ref="Q163" authorId="2" shapeId="0" xr:uid="{8DE19444-567D-4E86-B19E-679A8FAE824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
MM 1820 DEL 20200422 $1,489,790,422,64
MM 2820 DEL 20200626 $392,236,278</t>
        </r>
      </text>
    </comment>
    <comment ref="R163" authorId="1" shapeId="0" xr:uid="{3F139383-7ACC-4461-B28A-F2DBA5D689C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20200326 $280,000,000,000</t>
        </r>
      </text>
    </comment>
    <comment ref="Q165" authorId="3" shapeId="0" xr:uid="{3A0AED11-9B63-49DF-A19F-B36A2A3B2D7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3620 DEL 20200716 $7.464.287.059</t>
        </r>
      </text>
    </comment>
    <comment ref="R165" authorId="2" shapeId="0" xr:uid="{FFE83266-9F33-4BEF-8285-BEE39D4DD5B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</t>
        </r>
      </text>
    </comment>
    <comment ref="Q167" authorId="2" shapeId="0" xr:uid="{F0CA61CD-E393-4EEA-9B02-E05C23BAE4B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R167" authorId="3" shapeId="0" xr:uid="{9A2AF16B-2E20-44DA-97F8-A4AAA45E45EB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3620 DEL 20200716 $7.464.287.059</t>
        </r>
      </text>
    </comment>
    <comment ref="Q175" authorId="0" shapeId="0" xr:uid="{A2DDF407-0F56-4BFE-8ED4-775C5E89599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$176,047,300</t>
        </r>
      </text>
    </comment>
    <comment ref="Q177" authorId="0" shapeId="0" xr:uid="{C6039F75-89C7-40FC-8DF5-6FF28B0F156E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$473,994,000</t>
        </r>
      </text>
    </comment>
    <comment ref="R184" authorId="0" shapeId="0" xr:uid="{2C1866F1-5523-415E-9014-290A27760F8B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$1,004,224,351
</t>
        </r>
      </text>
    </comment>
    <comment ref="Q187" authorId="1" shapeId="0" xr:uid="{21AD6C01-9147-4033-B4DC-1A6128E8A85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R191" authorId="1" shapeId="0" xr:uid="{0157DCBD-11EA-4C6B-9115-847475E5C24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
RES. 0939 DEL 20200515 DPS $1,000,000,0000</t>
        </r>
      </text>
    </comment>
    <comment ref="Q194" authorId="1" shapeId="0" xr:uid="{9387C1AD-48BE-4880-8E0D-738C8449907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20200326 $19,919,000,000
MM 1920 DEL 20200429 $5,960,800,000</t>
        </r>
      </text>
    </comment>
    <comment ref="Q195" authorId="1" shapeId="0" xr:uid="{69C57EB1-EBD8-460B-A5E9-D7EF0CAE195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20200326 $260,081,000,000</t>
        </r>
      </text>
    </comment>
    <comment ref="R195" authorId="1" shapeId="0" xr:uid="{1638F9B2-820D-46ED-A8FC-B43941F8286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1920 DEL 20200429 $5,960,800,000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 Financiera</author>
    <author>Yan</author>
    <author>Fabio Jan Munoz Lopez</author>
    <author>USER</author>
  </authors>
  <commentList>
    <comment ref="Q18" authorId="0" shapeId="0" xr:uid="{11C4BC72-8678-45FE-A8EA-3A381451CB33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2920 DEL 20200630 $230,000,000</t>
        </r>
      </text>
    </comment>
    <comment ref="R22" authorId="1" shapeId="0" xr:uid="{10111FA4-E8B9-4075-8D2E-973428E72EFE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
MM 2920 DEL 20200630 $230,000,000</t>
        </r>
      </text>
    </comment>
    <comment ref="Q23" authorId="1" shapeId="0" xr:uid="{9B1CD535-0734-4A3B-8C03-839A8BF8A438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</t>
        </r>
      </text>
    </comment>
    <comment ref="R48" authorId="1" shapeId="0" xr:uid="{798147AC-EF6C-4E10-9F34-C9BAE00AFCF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20200319 $10,000,000
MM 2520 DEL 20200604 $6,000,000</t>
        </r>
      </text>
    </comment>
    <comment ref="R49" authorId="1" shapeId="0" xr:uid="{93C161A2-B1A9-45DF-B413-2B415DA3B34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20200604 $4,567,529</t>
        </r>
      </text>
    </comment>
    <comment ref="R54" authorId="1" shapeId="0" xr:uid="{A3A2F87B-8F92-4D10-8E4E-0A8580FD7D3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20200319 $9,200,000</t>
        </r>
      </text>
    </comment>
    <comment ref="Q55" authorId="1" shapeId="0" xr:uid="{F8185DFE-1928-416E-BCE8-A19360BB760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2120 DEL 20200514 $70,000,000
</t>
        </r>
      </text>
    </comment>
    <comment ref="R56" authorId="1" shapeId="0" xr:uid="{E8B7AE20-9A91-4AC3-A832-9BB89C6FB9F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20200319 $2,000,000</t>
        </r>
      </text>
    </comment>
    <comment ref="R57" authorId="1" shapeId="0" xr:uid="{721B3A26-C341-46F4-B0C5-CDAC1D93340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20200604 $6,000,000</t>
        </r>
      </text>
    </comment>
    <comment ref="R58" authorId="1" shapeId="0" xr:uid="{4DC85A87-DFEE-482B-9718-0C4E434511D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20200604 $3,000,000</t>
        </r>
      </text>
    </comment>
    <comment ref="R60" authorId="1" shapeId="0" xr:uid="{A891BDAD-A24D-415B-8AAE-71BAC7470D6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20200604 $7,000,000</t>
        </r>
      </text>
    </comment>
    <comment ref="Q61" authorId="2" shapeId="0" xr:uid="{B960AAE2-830A-4674-AF3B-6008A7A1988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Q62" authorId="2" shapeId="0" xr:uid="{8272D875-D575-47F8-917A-673ED6616CE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Q63" authorId="1" shapeId="0" xr:uid="{497116EC-DC10-4F83-AC11-18F8D7B6F1F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</t>
        </r>
      </text>
    </comment>
    <comment ref="R63" authorId="2" shapeId="0" xr:uid="{FC648B56-BCFE-4210-BC1A-75C7FFD8E57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
MM 420 DEL 20200210 $30,000,000
MM 2020 DEL 20200429 $22,235,566</t>
        </r>
      </text>
    </comment>
    <comment ref="Q64" authorId="1" shapeId="0" xr:uid="{4E8C852A-AD71-45A9-AF62-7BA3F3043FC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20200604 $20,000,000</t>
        </r>
      </text>
    </comment>
    <comment ref="Q68" authorId="2" shapeId="0" xr:uid="{2CE2DABD-5A1C-4038-BC28-AC73FB6515C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</t>
        </r>
      </text>
    </comment>
    <comment ref="R68" authorId="1" shapeId="0" xr:uid="{63ECE26B-DE5E-408F-A9A7-1C22CB8E126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1420 DEL 20200407 $27,793,073
MM 1520 DEL 20200408 $52,000,000
MM 2120 DEL 20200514 $70,000,000
MM 2520 DEL 20200604 $46,293,242,88
MM 3520 DEL 20200709 $152.303.676</t>
        </r>
      </text>
    </comment>
    <comment ref="Q69" authorId="2" shapeId="0" xr:uid="{066382D8-BD6B-4941-80E2-0D0DA54A69C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</t>
        </r>
      </text>
    </comment>
    <comment ref="R69" authorId="1" shapeId="0" xr:uid="{C17864C3-188A-46E4-B8F9-0101C868564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20200319 $13,000,000</t>
        </r>
      </text>
    </comment>
    <comment ref="R70" authorId="2" shapeId="0" xr:uid="{AE75DCA3-C150-4E83-B003-A3ADCE6459C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R71" authorId="1" shapeId="0" xr:uid="{14D5EA51-B998-4CAC-8E4A-5A1CEF1B7AA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20200319 $30,000,000</t>
        </r>
      </text>
    </comment>
    <comment ref="Q72" authorId="0" shapeId="0" xr:uid="{9055D596-9811-46A5-B491-B45F7FEA5F44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20200625 $15.000.000
MM 3220 DEL 20200702 $50.000.000</t>
        </r>
      </text>
    </comment>
    <comment ref="Q74" authorId="1" shapeId="0" xr:uid="{98781967-3DE4-420E-93B0-8C3A37E133C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20200604 $60,000,000</t>
        </r>
      </text>
    </comment>
    <comment ref="R74" authorId="1" shapeId="0" xr:uid="{49EAA94D-EAE5-48AE-A256-8778F07B7BA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20200319 $1,459,150</t>
        </r>
      </text>
    </comment>
    <comment ref="Q75" authorId="1" shapeId="0" xr:uid="{7F5D8CC5-69F7-4DD1-8D19-31B96B165C33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20200604 $10,000,000
MM 3120 DEL 20200702 $106.166.682,63
MM 3220 DEL 20200702 $29.964.072
MM 3320 DEL 20200702 $4.115.280,78
MM 3420 DEL 20200703 $30.345.000
MM 3520 DEL 20200709 $472.294.523</t>
        </r>
      </text>
    </comment>
    <comment ref="R75" authorId="1" shapeId="0" xr:uid="{13C46C25-CD5A-440E-AED6-B893EEF28CA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20200319 $1,056,762,979</t>
        </r>
      </text>
    </comment>
    <comment ref="Q78" authorId="1" shapeId="0" xr:uid="{96830049-0770-4B79-8757-C26F0BE5A74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20200604 $8,045,908</t>
        </r>
      </text>
    </comment>
    <comment ref="R78" authorId="2" shapeId="0" xr:uid="{C4A931BE-24F2-4E57-9349-CD6D6D03561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920 DEL 20200317 $120,491,795.37
MM 1120 DEL 20200319 $520,000,000
MM 1720 DEL 20200421 $43,341,522
MM 3120 DEL 20200702 $106.166.682,63</t>
        </r>
      </text>
    </comment>
    <comment ref="Q79" authorId="2" shapeId="0" xr:uid="{F07E57F3-98A0-4D3F-A0B3-6156CD2AFDC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920 DEL 20200317 $120,491,795.37
MM 1320 DEL 20200320 $311,197,103
MM 1420 DEL 20200407 $27,793,073
MM 1520 DEL 20200408 $52,000,000</t>
        </r>
      </text>
    </comment>
    <comment ref="R79" authorId="1" shapeId="0" xr:uid="{0A38D852-FE23-419B-BA65-A1FEB2ED9C6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20200429 $109,801,250,78</t>
        </r>
      </text>
    </comment>
    <comment ref="Q80" authorId="2" shapeId="0" xr:uid="{A9352B39-5F8A-4AA1-BA24-7EDDAEB7E4C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1120 DEL 20200319 $1,658,656,629
MM 1620 DEL 20200420 $9,968,718
MM 1720 DEL 20200421 $43,341,522
MM 2520 DEL 20200604 $11,154,065.88</t>
        </r>
      </text>
    </comment>
    <comment ref="R80" authorId="1" shapeId="0" xr:uid="{C542A20A-06C7-4E7A-B2C1-3969208D64F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
MM 3220 DEL 20200702 $79.964.072
MM 3420 DEL 20200703 $30.345.000</t>
        </r>
      </text>
    </comment>
    <comment ref="Q81" authorId="1" shapeId="0" xr:uid="{02329EEA-6281-439C-9BEC-5260AAD3746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20200429 $132,036,816,78</t>
        </r>
      </text>
    </comment>
    <comment ref="R81" authorId="2" shapeId="0" xr:uid="{5595FA3D-1CAE-441F-8ED9-BB90BFA9A54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1120 DEL 20200319 $12,300,000
MM 1320 DEL 20200320 $311,197,103
MM 1620 DEL 20200420 $9,968,718
MM 2520 DEL 20200604 $29.121.702
MM 3320 DEL 20200702 $4.115.280,78</t>
        </r>
      </text>
    </comment>
    <comment ref="Q85" authorId="3" shapeId="0" xr:uid="{12543DA0-423C-4383-8CE9-0D281DAAAAD6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6" authorId="0" shapeId="0" xr:uid="{BD1E56F6-C62C-467C-AF69-36B3E7C018C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20200625 $15,000,000</t>
        </r>
      </text>
    </comment>
    <comment ref="R87" authorId="3" shapeId="0" xr:uid="{6B905F1E-7236-4FC7-BF6D-8A8745F9AA4B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8" authorId="1" shapeId="0" xr:uid="{0AB5B848-AEE1-4C28-A749-E82AF8785E5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20200319 $3,934,500
MM 2520 DEL 20200604 $7,217,500
RES. 01000 DEL 20200601 $51,000,000</t>
        </r>
      </text>
    </comment>
    <comment ref="R89" authorId="3" shapeId="0" xr:uid="{2E5C7C9C-0F25-493B-BB99-B648B20275F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3520 DEL 20200709 $319.990.847
</t>
        </r>
      </text>
    </comment>
    <comment ref="O93" authorId="1" shapeId="0" xr:uid="{8C6979E8-9CA6-4CBE-AD37-0D62FF54979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Res.1093 DEL 20200508 $496,494,923,000 Res.1154 DEL 20200521 $494,970,566,896
Res.1346 DEL 20200630 $494,938,071,017
Res.1655 DEL 20200827 $807,240,018,752</t>
        </r>
      </text>
    </comment>
    <comment ref="O94" authorId="1" shapeId="0" xr:uid="{BE4D31E2-F8A6-42F3-BF55-EDBFCAA15F6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Res.1481 DEL 20200723 $2,904,865,606,800
</t>
        </r>
      </text>
    </comment>
    <comment ref="R100" authorId="2" shapeId="0" xr:uid="{D51ADD93-D171-4E25-805A-682983245EF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101" authorId="2" shapeId="0" xr:uid="{75B2FE57-2898-40F4-81D8-07804F9AD74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R108" authorId="3" shapeId="0" xr:uid="{539BF14B-0A3D-4A7D-8243-649FCC377D7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3820 DEL 20200813 $1,021,252</t>
        </r>
      </text>
    </comment>
    <comment ref="Q109" authorId="3" shapeId="0" xr:uid="{EE3921DD-2D6F-432C-886B-1198430F329D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RES. 01000 DEL 20200601 $26,000,000</t>
        </r>
      </text>
    </comment>
    <comment ref="Q110" authorId="3" shapeId="0" xr:uid="{77E0C58C-49D1-4A02-9195-E29A2E6FBA5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 01000 DEL 20200601 $25,000,000
MM 3820 DEL 20200813 $1,021,252</t>
        </r>
      </text>
    </comment>
    <comment ref="R147" authorId="2" shapeId="0" xr:uid="{A5D03B8B-A3AA-46E1-939A-B3D419A7469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48" authorId="2" shapeId="0" xr:uid="{BDCF9685-99F9-4A1B-AE31-1F47087AB111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54" authorId="0" shapeId="0" xr:uid="{4B348DE4-9FA7-4691-9694-7CB461365A8C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$58,501,450</t>
        </r>
      </text>
    </comment>
    <comment ref="Q156" authorId="0" shapeId="0" xr:uid="{C0A34763-1852-436C-BE9E-1CFCDC7AFCCC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$73,595,250</t>
        </r>
      </text>
    </comment>
    <comment ref="Q160" authorId="0" shapeId="0" xr:uid="{46737BAB-C183-41DD-ACBB-7FDD57AD88D8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$1,222,086,351</t>
        </r>
      </text>
    </comment>
    <comment ref="Q163" authorId="2" shapeId="0" xr:uid="{1269E2DB-6843-482B-9ABA-7F940590BB6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
MM 1820 DEL 20200422 $1,489,790,422,64
MM 2820 DEL 20200626 $392,236,278</t>
        </r>
      </text>
    </comment>
    <comment ref="R163" authorId="1" shapeId="0" xr:uid="{E7A3A7A2-F721-48C7-9DEA-836A7606C24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20200326 $280,000,000,000</t>
        </r>
      </text>
    </comment>
    <comment ref="Q165" authorId="3" shapeId="0" xr:uid="{274FDBAD-F202-4EE3-A29A-0F5E44A0C15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3620 DEL 20200716 $7.464.287.059</t>
        </r>
      </text>
    </comment>
    <comment ref="R165" authorId="2" shapeId="0" xr:uid="{CDC97DD8-26A6-4CE7-A280-D1FD67CB3D8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</t>
        </r>
      </text>
    </comment>
    <comment ref="Q167" authorId="2" shapeId="0" xr:uid="{39587329-CA06-4457-8E92-F47B64905F6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R167" authorId="3" shapeId="0" xr:uid="{BDC14C59-E47F-4995-8FD3-3176A402EFD8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3620 DEL 20200716 $7.464.287.059</t>
        </r>
      </text>
    </comment>
    <comment ref="Q175" authorId="0" shapeId="0" xr:uid="{F6311A9E-6385-4D13-828B-1E300170098B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$176,047,300
MM 3920 DEL 20200825 $332,606,115</t>
        </r>
      </text>
    </comment>
    <comment ref="Q177" authorId="0" shapeId="0" xr:uid="{F2CBC47B-8638-43C4-B80C-65B55D5BC899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$473,994,000</t>
        </r>
      </text>
    </comment>
    <comment ref="R181" authorId="3" shapeId="0" xr:uid="{C1834404-7422-4F0F-A7B8-A0779817DB15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3920 DEL 20200825 $332,606,115</t>
        </r>
      </text>
    </comment>
    <comment ref="R184" authorId="0" shapeId="0" xr:uid="{140F8559-B337-43FE-90E2-0F88EE52505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$1,004,224,351
</t>
        </r>
      </text>
    </comment>
    <comment ref="Q187" authorId="1" shapeId="0" xr:uid="{C7BF7C49-B173-4F1E-96F4-820EDC6B645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R191" authorId="1" shapeId="0" xr:uid="{A5AAB889-F1EC-4EF9-B597-9B65253A8BD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
RES. 0939 DEL 20200515 DPS $1,000,000,0000</t>
        </r>
      </text>
    </comment>
    <comment ref="Q194" authorId="1" shapeId="0" xr:uid="{0BBCFA7B-7415-40E7-A32E-9FA70305F6C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20200326 $19,919,000,000
MM 1920 DEL 20200429 $5,960,800,000</t>
        </r>
      </text>
    </comment>
    <comment ref="Q195" authorId="1" shapeId="0" xr:uid="{CAE1868C-079F-4761-B1FA-34D3624864A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20200326 $260,081,000,000</t>
        </r>
      </text>
    </comment>
    <comment ref="R195" authorId="1" shapeId="0" xr:uid="{02CDDF23-FFE0-494D-A579-A02BBF877A6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1920 DEL 20200429 $5,960,800,000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 Financiera</author>
    <author>Yan</author>
    <author>USER</author>
    <author>Fabio Jan Munoz Lopez</author>
  </authors>
  <commentList>
    <comment ref="Q18" authorId="0" shapeId="0" xr:uid="{F29C0330-0520-424E-B6C8-7A3C92A7D94E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2920 DEL 20200630 $230,000,000</t>
        </r>
      </text>
    </comment>
    <comment ref="R22" authorId="1" shapeId="0" xr:uid="{421C1CA1-896F-4C68-81F5-CFFD0CE0754A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
MM 2920 DEL 20200630 $230,000,000</t>
        </r>
      </text>
    </comment>
    <comment ref="Q23" authorId="1" shapeId="0" xr:uid="{12483CB8-C274-4FA4-8A47-C1F2A8C239C5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2620 DEL 20200610 $45,000,000</t>
        </r>
      </text>
    </comment>
    <comment ref="R48" authorId="1" shapeId="0" xr:uid="{14C6AA83-274C-42D2-B3AD-6EC640EBC1C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20200319 $10,000,000
MM 2520 DEL 20200604 $6,000,000</t>
        </r>
      </text>
    </comment>
    <comment ref="R49" authorId="1" shapeId="0" xr:uid="{BF56592C-C3FE-4A16-98BF-CB3FEA5E6D0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20200604 $4,567,529
MM 4120 DEL 20200901 $6.000.000</t>
        </r>
      </text>
    </comment>
    <comment ref="R51" authorId="2" shapeId="0" xr:uid="{261490C3-6E23-43D5-93ED-50C2B65BE3F7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5220 DEL 20201002 $27.350.000</t>
        </r>
      </text>
    </comment>
    <comment ref="R54" authorId="1" shapeId="0" xr:uid="{B192C81A-92EA-41F6-BE9F-6013313B2F2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20200319 $9,200,000</t>
        </r>
      </text>
    </comment>
    <comment ref="Q55" authorId="1" shapeId="0" xr:uid="{DB4EEFCD-AF0B-48B5-A120-5719FF6266AF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2120 DEL 20200514 $70,000,000
</t>
        </r>
      </text>
    </comment>
    <comment ref="R55" authorId="2" shapeId="0" xr:uid="{C0A4D429-9655-4A9B-917B-5253E9DF67AC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5120 DEL 20201001 $3.600.000</t>
        </r>
      </text>
    </comment>
    <comment ref="R56" authorId="1" shapeId="0" xr:uid="{A3207573-8A1D-4DE2-8AF5-4392AF71726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20200319 $2,000,000</t>
        </r>
      </text>
    </comment>
    <comment ref="R57" authorId="1" shapeId="0" xr:uid="{B626DD38-E861-437B-8703-9C16E1237C71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20200604 $6,000,000
MM 4120 DEL 20200901 $800.000</t>
        </r>
      </text>
    </comment>
    <comment ref="R58" authorId="1" shapeId="0" xr:uid="{6F6B128B-03F7-4A32-BCAF-876ABCF5304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20200604 $3,000,000
MM 4120 DEL 20200901 $2.400.000
MM 4620 DEL 20200907 $12.293.863</t>
        </r>
      </text>
    </comment>
    <comment ref="R60" authorId="1" shapeId="0" xr:uid="{391C280D-1704-46CB-B62F-BE389B71614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20200604 $7,000,000
MM 4120 DEL 20200901 $5.000.000</t>
        </r>
      </text>
    </comment>
    <comment ref="Q61" authorId="3" shapeId="0" xr:uid="{1686516C-57C0-440F-89C4-36A2BEF13EC2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</t>
        </r>
      </text>
    </comment>
    <comment ref="R61" authorId="2" shapeId="0" xr:uid="{86F9B5FC-169C-4596-8DDA-9C4AD4AF537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4320 DEL 20200903 $32.000.000</t>
        </r>
      </text>
    </comment>
    <comment ref="Q62" authorId="3" shapeId="0" xr:uid="{54A8894D-EE85-45AD-8E0F-090E4216C6AE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420 DEL 20200210 $30,000,000</t>
        </r>
      </text>
    </comment>
    <comment ref="Q63" authorId="1" shapeId="0" xr:uid="{40145AC8-DC2C-425B-849C-8EABD656101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20200529 $5,587,945
MM 2420 20200601 $5,587,945</t>
        </r>
      </text>
    </comment>
    <comment ref="R63" authorId="3" shapeId="0" xr:uid="{7CBC3ED7-B9F5-4F98-A04E-10397699B48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320 DEL 20200210 $82,000,000
MM 420 DEL 20200210 $30,000,000
MM 2020 DEL 20200429 $22,235,566
MM 2420 DEL 20200601 $5,587,945
MM 4320 DEL 20200903 $23,362,695</t>
        </r>
      </text>
    </comment>
    <comment ref="Q64" authorId="1" shapeId="0" xr:uid="{1B97B1F2-A36C-4E27-AA3F-09495C311934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20200604 $20,000,000</t>
        </r>
      </text>
    </comment>
    <comment ref="R64" authorId="2" shapeId="0" xr:uid="{99CC2FAB-C0BC-4290-8DBF-FAD37602A85E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4120 DEL 20200901 $13.340.000</t>
        </r>
      </text>
    </comment>
    <comment ref="Q68" authorId="3" shapeId="0" xr:uid="{9270EC64-DC1B-436A-9C85-E211EE1183D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20200212 $2,400,000
MM 5320 DEL 20201002 $488.841.816</t>
        </r>
      </text>
    </comment>
    <comment ref="R68" authorId="1" shapeId="0" xr:uid="{1B2AAF1D-34FD-489C-BDAF-AB26DA0ED27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1420 DEL 20200407 $27,793,073
MM 1520 DEL 20200408 $52,000,000
MM 2120 DEL 20200514 $70,000,000
MM 2520 DEL 20200604 $46,293,242,88
MM 3520 DEL 20200709 $152.303.676
MM 4120 DEL 20200901 $20.000.000
MM 4420 DEL 20200904 $400.000.000
MM 4720 DEL 20200915 $300.000.000
MM 5120 DEL 20201001 $28.481.736</t>
        </r>
      </text>
    </comment>
    <comment ref="Q69" authorId="3" shapeId="0" xr:uid="{D6D11047-A6F7-4C9A-9271-CDAAE780409D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20200212 $7,600,000
MM 5220 DEL 20201002 $5.000.000</t>
        </r>
      </text>
    </comment>
    <comment ref="R69" authorId="1" shapeId="0" xr:uid="{EAD7AA7C-B79D-4534-B0A3-713C640C0B0D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20200319 $13,000,000</t>
        </r>
      </text>
    </comment>
    <comment ref="R70" authorId="3" shapeId="0" xr:uid="{A4D3C9E0-CAFB-4E4B-9835-F6B93ABBEA75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520 DEL 20200212 $10,000,000</t>
        </r>
      </text>
    </comment>
    <comment ref="R71" authorId="1" shapeId="0" xr:uid="{E8BC176C-CDF0-4FAC-94B8-D1EB7707FA7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20200319 $30,000,000
MM 5020 DEL 20200929 $101.764.932</t>
        </r>
      </text>
    </comment>
    <comment ref="Q72" authorId="0" shapeId="0" xr:uid="{F3753B23-911A-46B4-A4ED-E88D0EE85357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20200625 $15.000.000
MM 3220 DEL 20200702 $50.000.000
MM 4120 DEL 20200901 $139.215.878</t>
        </r>
      </text>
    </comment>
    <comment ref="Q74" authorId="1" shapeId="0" xr:uid="{992427CF-C9FA-4CC5-9A89-CDC806C6FB2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20200604 $60,000,000</t>
        </r>
      </text>
    </comment>
    <comment ref="R74" authorId="1" shapeId="0" xr:uid="{4DD24038-5D52-4256-B303-D458A0E0B6B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20200319 $1,459,150</t>
        </r>
      </text>
    </comment>
    <comment ref="Q75" authorId="1" shapeId="0" xr:uid="{D58D759D-2D9C-49AB-9B9D-806D831FA6D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20200604 $10,000,000
MM 3120 DEL 20200702 $106.166.682,63
MM 3220 DEL 20200702 $29.964.072
MM 3320 DEL 20200702 $4.115.280,78
MM 3420 DEL 20200703 $30.345.000
MM 3520 DEL 20200709 $472.294.523
MM 4320 DEL 20200903 $166.218.064
MM 4420 DEL 20200904 $400.000.000
MM 4620 DEL 20200907 $173.939.719
MM 4720 DEL 20200915 $300.000.000
MM 4820 DEL 20200923 $20.000.000
MM 5020 DEL 20200929 $388.042.251,88
MM 5120 DEL 20201001 $247.016.035</t>
        </r>
      </text>
    </comment>
    <comment ref="R75" authorId="1" shapeId="0" xr:uid="{9CA5EF3F-8522-4765-A8B7-BBBB403737A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20200319 $1,056,762,979</t>
        </r>
      </text>
    </comment>
    <comment ref="Q78" authorId="1" shapeId="0" xr:uid="{A9789A97-8553-4002-9106-2C2F4CD560FA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2520 DEL 20200604 $8,045,908</t>
        </r>
      </text>
    </comment>
    <comment ref="R78" authorId="3" shapeId="0" xr:uid="{4065F388-9B56-427C-9B2F-E9C1B56564A3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920 DEL 20200317 $120,491,795.37
MM 1120 DEL 20200319 $520,000,000
MM 1720 DEL 20200421 $43,341,522
MM 3120 DEL 20200702 $106.166.682,63
MM 4120 DEL 20200901 $1.153.474
MM 4320 DEL 20200903 $53.757.034
MM 5320 DEL 20201002 $488.841.816</t>
        </r>
      </text>
    </comment>
    <comment ref="Q79" authorId="3" shapeId="0" xr:uid="{4144A7E6-FF25-4B56-ABCC-2BC2770FBF0A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920 DEL 20200317 $120,491,795.37
MM 1320 DEL 20200320 $311,197,103
MM 1420 DEL 20200407 $27,793,073
MM 1520 DEL 20200408 $52,000,000</t>
        </r>
      </text>
    </comment>
    <comment ref="R79" authorId="1" shapeId="0" xr:uid="{DE87FC0C-EE29-4505-A9A7-6400B1D02472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20200429 $109,801,250,78</t>
        </r>
      </text>
    </comment>
    <comment ref="Q80" authorId="3" shapeId="0" xr:uid="{DB186905-CC7D-4AD1-BBE8-18A51A29C10C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620 DEL 20200212 $3,000,000
MM 1120 DEL 20200319 $1,658,656,629
MM 1620 DEL 20200420 $9,968,718
MM 1720 DEL 20200421 $43,341,522
MM 2420 DEL 20200601 $5,587,945
MM 2520 DEL 20200604 $11,154,065.88</t>
        </r>
      </text>
    </comment>
    <comment ref="R80" authorId="1" shapeId="0" xr:uid="{B595E393-08E3-4C2D-872F-8AA337695AA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2320 DEL 20200529 $5,587,945
MM 2420 DEL 20200601 $5,587,945
MM 3220 DEL 20200702 $79,964,072
MM 3420 DEL 20200703 $30,345,000
MM 4120 DEL 202020901 $9,000,000
MM 4620 DEL 202020907 $22,897,580
MM 4820 DEL 20200923 $20,000,000
MM 4920 DEL 20200923 $13,000,000
MM 5020 DEL 20200929 $286,277,319.88</t>
        </r>
      </text>
    </comment>
    <comment ref="Q81" authorId="1" shapeId="0" xr:uid="{79EFDBBA-E611-47C5-AC01-F5D8B2E2285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2020 DEL 20200429 $132,036,816,78</t>
        </r>
      </text>
    </comment>
    <comment ref="R81" authorId="3" shapeId="0" xr:uid="{A980C8F7-2BF9-4037-B21D-C5F9F6B268A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1120 DEL 20200319 $12,300,000
MM 1320 DEL 20200320 $311,197,103
MM 1620 DEL 20200420 $9,968,718
MM 2520 DEL 20200604 $29.121.702
MM 3320 DEL 20200702 $4.115.280,78
MM 4120 DEL 20200901 $70.739.904
MM 4320 DEL 20200903 $57.098.335
MM 5120 DEL 20201001 $214.934.299</t>
        </r>
      </text>
    </comment>
    <comment ref="Q82" authorId="2" shapeId="0" xr:uid="{C1B9FED0-38C3-414F-B0BB-278CC1CF248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4920 DEL 20200923 $13.000.000
MM 5220 DEL 20201002 $22.350.000</t>
        </r>
      </text>
    </comment>
    <comment ref="Q85" authorId="2" shapeId="0" xr:uid="{E538C9C4-03A9-4A75-A65C-6A8234B5DCE8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</t>
        </r>
      </text>
    </comment>
    <comment ref="R85" authorId="2" shapeId="0" xr:uid="{3EDE4FB9-3C6E-43B6-ACD4-D68AD7EBB062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MM 4620 DEL 20200907 $35.118.054</t>
        </r>
      </text>
    </comment>
    <comment ref="R86" authorId="0" shapeId="0" xr:uid="{78317853-93E5-49A7-9B73-8D7C4A7464B6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MM 2720 DEL 20200625 $15,000,000</t>
        </r>
      </text>
    </comment>
    <comment ref="R87" authorId="2" shapeId="0" xr:uid="{886BEDA0-BE76-4A39-9EF8-A5213032BBD2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3020 DEL 20200702 $55,000,000
MM 4620 DEL 20200907 $103.630.222</t>
        </r>
      </text>
    </comment>
    <comment ref="R88" authorId="1" shapeId="0" xr:uid="{293862D9-AB63-4DF2-ACD3-E6DF125BAA8C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1120 DEL 20200319 $3,934,500
MM 2520 DEL 20200604 $7,217,500
RES. 01000 DEL 20200601 $51,000,000
MM 4120 DEL 20200901 $10.782.500</t>
        </r>
      </text>
    </comment>
    <comment ref="R89" authorId="2" shapeId="0" xr:uid="{C51F2975-1A89-4862-8E94-380396C089B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3520 DEL 20200709 $319.990.847
</t>
        </r>
      </text>
    </comment>
    <comment ref="O93" authorId="1" shapeId="0" xr:uid="{34AA1A2B-6B09-46FB-9E7B-1D1C3F749B17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Res.1093 DEL 20200508 $496,494,923,000 Res.1154 DEL 20200521 $494,970,566,896
Res.1346 DEL 20200630 $494,938,071,017
Res.1655 DEL 20200827 $807,240,018,752
Res.2051 DEL 20201028 $476,161,981,248</t>
        </r>
      </text>
    </comment>
    <comment ref="O94" authorId="1" shapeId="0" xr:uid="{C53C7F90-0367-41F6-8030-DE11AFBC959B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Res.1481 DEL 20200723 $2,904,865,606,800
Res.1848 DEL 20200923 $41,498,394,000
</t>
        </r>
      </text>
    </comment>
    <comment ref="R100" authorId="3" shapeId="0" xr:uid="{7433383F-049F-4672-ADE0-3EB4799FAEF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Q101" authorId="3" shapeId="0" xr:uid="{0849B79A-EC25-4000-8189-5E766A5EA494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RES. 0224 DEL 20200205 $36,000,000</t>
        </r>
      </text>
    </comment>
    <comment ref="AE101" authorId="3" shapeId="0" xr:uid="{21E63692-23D8-4AC0-ABF6-DAB95858BF0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CDP MODIF.$36,000,000</t>
        </r>
      </text>
    </comment>
    <comment ref="R108" authorId="2" shapeId="0" xr:uid="{C07322BA-E6A3-4697-A0B1-9F1FCEFF35A8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3820 DEL 20200813 $1,021,252</t>
        </r>
      </text>
    </comment>
    <comment ref="Q109" authorId="2" shapeId="0" xr:uid="{63EA264A-7E40-464B-80A3-D7E6EC15D6B1}">
      <text>
        <r>
          <rPr>
            <b/>
            <sz val="9"/>
            <color indexed="81"/>
            <rFont val="Tahoma"/>
            <family val="2"/>
          </rPr>
          <t xml:space="preserve">Yan:
</t>
        </r>
        <r>
          <rPr>
            <sz val="9"/>
            <color indexed="81"/>
            <rFont val="Tahoma"/>
            <family val="2"/>
          </rPr>
          <t>RES. 01000 DEL 20200601 $26,000,000</t>
        </r>
      </text>
    </comment>
    <comment ref="Q110" authorId="2" shapeId="0" xr:uid="{CA8A98E7-4A06-4A95-A2E8-75A37130C32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 01000 DEL 20200601 $25,000,000
MM 3820 DEL 20200813 $1,021,252</t>
        </r>
      </text>
    </comment>
    <comment ref="R147" authorId="3" shapeId="0" xr:uid="{710FEF88-7B30-4456-B12D-D5C1322179EF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48" authorId="3" shapeId="0" xr:uid="{0BD2C77A-DDA8-415B-8E40-CADBDFF3A4A7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220 DEL 20200204 $4,660,008,249
MM 3720 DEL 20200717 $45.156.799.652,17</t>
        </r>
      </text>
    </comment>
    <comment ref="Q154" authorId="0" shapeId="0" xr:uid="{A7A82C88-AD8F-4BA1-8499-0FB1D8C2824F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$58,501,450</t>
        </r>
      </text>
    </comment>
    <comment ref="Q156" authorId="0" shapeId="0" xr:uid="{591A439E-BB14-4D45-8FA3-92DB53F4937A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$73,595,250</t>
        </r>
      </text>
    </comment>
    <comment ref="Q160" authorId="0" shapeId="0" xr:uid="{B0D466A2-0B68-4BEE-83BE-29DFE4CF1BFD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$1,222,086,351</t>
        </r>
      </text>
    </comment>
    <comment ref="Q163" authorId="3" shapeId="0" xr:uid="{C134996B-1365-41DE-A92B-FA05F9699DCB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820 DEL 20200224 $1,863,454,320
MM 1820 DEL 20200422 $1,489,790,422,64
MM 2820 DEL 20200626 $392,236,278</t>
        </r>
      </text>
    </comment>
    <comment ref="R163" authorId="1" shapeId="0" xr:uid="{AE7DFB4F-62A1-47F7-A312-1CF8BD3E7A7E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20200326 $280,000,000,000</t>
        </r>
      </text>
    </comment>
    <comment ref="Q165" authorId="2" shapeId="0" xr:uid="{BD02702C-9A41-49A3-9F3F-F6989DE23BF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3620 DEL 20200716 $7.464.287.059
MM 4020 DEL 20200901 $660.000.000
MM 4220 DEL 20200902 $197.500.000
MM 4520 DEL 20200904 $250.000.000</t>
        </r>
      </text>
    </comment>
    <comment ref="R165" authorId="3" shapeId="0" xr:uid="{2144604D-6E97-4F29-A597-4C9BD96FB3D0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120 DEL 20200121 $44,314,848,063
MM 720 DEL 20200212 $700,000,000
MM 820 DEL 20200224 $1,863,454,320
MM 1820 DEL 20200422 $1,489,790,422,64</t>
        </r>
      </text>
    </comment>
    <comment ref="Q167" authorId="3" shapeId="0" xr:uid="{3DF42D72-7069-4192-9ACA-61B26C042488}">
      <text>
        <r>
          <rPr>
            <b/>
            <sz val="9"/>
            <color indexed="81"/>
            <rFont val="Tahoma"/>
            <family val="2"/>
          </rPr>
          <t>Fabio Jan Munoz Lopez:</t>
        </r>
        <r>
          <rPr>
            <sz val="9"/>
            <color indexed="81"/>
            <rFont val="Tahoma"/>
            <family val="2"/>
          </rPr>
          <t xml:space="preserve">
MM 720 DEL 20200212 $700,000,000</t>
        </r>
      </text>
    </comment>
    <comment ref="R167" authorId="2" shapeId="0" xr:uid="{34A7D260-C8C9-4FB0-AF97-BAA7B99EF75D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3620 DEL 20200716 $7.464.287.059
MM 4020 DEL 20200901 $660.000.000
MM 4220 DEL 20200902 $197.500.000
MM 4520 DEL 20200904 $250.000.000</t>
        </r>
      </text>
    </comment>
    <comment ref="Q175" authorId="0" shapeId="0" xr:uid="{E1C1DB1C-BFB5-4CDC-8837-7E2C059F109C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$176,047,300
MM 3920 DEL 20200825 $332,606,115</t>
        </r>
      </text>
    </comment>
    <comment ref="Q177" authorId="0" shapeId="0" xr:uid="{B30B6343-F2EE-4CAB-832D-E5FE337590CD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$473,994,000
RES. 01580 DEL 20200903 DPS $1,876,115,447</t>
        </r>
      </text>
    </comment>
    <comment ref="R181" authorId="2" shapeId="0" xr:uid="{0A37BB73-F293-400C-A2E1-3A1D01E2D787}">
      <text>
        <r>
          <rPr>
            <b/>
            <sz val="9"/>
            <color indexed="81"/>
            <rFont val="Tahoma"/>
            <family val="2"/>
          </rPr>
          <t xml:space="preserve">Fabio Jan Munoz Lopez:
</t>
        </r>
        <r>
          <rPr>
            <sz val="9"/>
            <color indexed="81"/>
            <rFont val="Tahoma"/>
            <family val="2"/>
          </rPr>
          <t>MM 3920 DEL 20200825 $332,606,115</t>
        </r>
      </text>
    </comment>
    <comment ref="R184" authorId="0" shapeId="0" xr:uid="{56D549E9-7CF2-475A-B6CD-9E057497547C}">
      <text>
        <r>
          <rPr>
            <b/>
            <sz val="9"/>
            <color indexed="81"/>
            <rFont val="Tahoma"/>
            <family val="2"/>
          </rPr>
          <t>Sub Financiera:</t>
        </r>
        <r>
          <rPr>
            <sz val="9"/>
            <color indexed="81"/>
            <rFont val="Tahoma"/>
            <family val="2"/>
          </rPr>
          <t xml:space="preserve">
RES. 0939 DEL 20200515 DPS $1,004,224,351
RES. 01580 DEL 20200903 DPS $1,198,634,441</t>
        </r>
      </text>
    </comment>
    <comment ref="Q187" authorId="1" shapeId="0" xr:uid="{5B495A2F-1846-4458-A28D-7ECD20081C76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</t>
        </r>
      </text>
    </comment>
    <comment ref="R189" authorId="2" shapeId="0" xr:uid="{73EA341F-9B00-4FF3-868B-6F2A37B0BEFF}">
      <text>
        <r>
          <rPr>
            <b/>
            <sz val="9"/>
            <color indexed="81"/>
            <rFont val="Tahoma"/>
            <family val="2"/>
          </rPr>
          <t xml:space="preserve">Sub Financiera:
</t>
        </r>
        <r>
          <rPr>
            <sz val="9"/>
            <color indexed="81"/>
            <rFont val="Tahoma"/>
            <family val="2"/>
          </rPr>
          <t>RES. 01580 DEL 20200903 DPS $566,250,231</t>
        </r>
      </text>
    </comment>
    <comment ref="R191" authorId="1" shapeId="0" xr:uid="{F0DF8AD9-7E9B-4C32-9C26-A3903CF5378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2220 20200514 $114,769,224
RES. 0939 DEL 20200515 DPS $1,000,000,0000
RES. 01580 DEL 20200903 DPS $112,230,775</t>
        </r>
      </text>
    </comment>
    <comment ref="Q194" authorId="1" shapeId="0" xr:uid="{E6D20DE1-CAA6-4FF3-9619-CC8F42244909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20200326 $19,919,000,000
MM 1920 DEL 20200429 $5,960,800,000</t>
        </r>
      </text>
    </comment>
    <comment ref="Q195" authorId="1" shapeId="0" xr:uid="{ABD1A270-69B9-4A32-9236-8AAE0AFC2070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Res.0626 DEL 20200326 $260,081,000,000</t>
        </r>
      </text>
    </comment>
    <comment ref="R195" authorId="1" shapeId="0" xr:uid="{2E5C1DC9-6C74-4ABF-BFB2-31B065FED2C5}">
      <text>
        <r>
          <rPr>
            <b/>
            <sz val="9"/>
            <color indexed="81"/>
            <rFont val="Tahoma"/>
            <family val="2"/>
          </rPr>
          <t>Yan:</t>
        </r>
        <r>
          <rPr>
            <sz val="9"/>
            <color indexed="81"/>
            <rFont val="Tahoma"/>
            <family val="2"/>
          </rPr>
          <t xml:space="preserve">
MM 1920 DEL 20200429 $5,960,800,000</t>
        </r>
      </text>
    </comment>
    <comment ref="Q198" authorId="2" shapeId="0" xr:uid="{3AEB5DC0-D581-4DF2-A002-D7E8E0D95863}">
      <text>
        <r>
          <rPr>
            <b/>
            <sz val="9"/>
            <color indexed="81"/>
            <rFont val="Tahoma"/>
            <family val="2"/>
          </rPr>
          <t xml:space="preserve">Sub Financiera:
</t>
        </r>
        <r>
          <rPr>
            <sz val="9"/>
            <color indexed="81"/>
            <rFont val="Tahoma"/>
            <family val="2"/>
          </rPr>
          <t>RES. 01580 DEL 20200903 DPS $1,000,000</t>
        </r>
      </text>
    </comment>
  </commentList>
</comments>
</file>

<file path=xl/sharedStrings.xml><?xml version="1.0" encoding="utf-8"?>
<sst xmlns="http://schemas.openxmlformats.org/spreadsheetml/2006/main" count="76980" uniqueCount="942">
  <si>
    <t>DEPARTAMENTO ADMINISTRATIVO PARA LA PROSPERIDAD SOCIAL</t>
  </si>
  <si>
    <t>EJECUCIÓN PRESUPUESTAL VIGENCIA 2022 AL 31 DE DICIEMBRE 2022</t>
  </si>
  <si>
    <t>RUBRO</t>
  </si>
  <si>
    <t>REC.</t>
  </si>
  <si>
    <t>SIT.</t>
  </si>
  <si>
    <t>CONCEPTO</t>
  </si>
  <si>
    <t>APROPIACION
DEFINITIVA</t>
  </si>
  <si>
    <t>COMPROMISOS</t>
  </si>
  <si>
    <t>OBLIGACIONES</t>
  </si>
  <si>
    <t>PAGOS</t>
  </si>
  <si>
    <t>TIPO</t>
  </si>
  <si>
    <t>CTA</t>
  </si>
  <si>
    <t>SUBC</t>
  </si>
  <si>
    <t>OBJG</t>
  </si>
  <si>
    <t>ORD</t>
  </si>
  <si>
    <t>SORD</t>
  </si>
  <si>
    <t>ITEM</t>
  </si>
  <si>
    <t>SIT</t>
  </si>
  <si>
    <t>ACUMULADO</t>
  </si>
  <si>
    <t>% EJEC  RP</t>
  </si>
  <si>
    <t>% EJEC PAGOS</t>
  </si>
  <si>
    <t>7</t>
  </si>
  <si>
    <t>13</t>
  </si>
  <si>
    <t>A</t>
  </si>
  <si>
    <t xml:space="preserve">FUNCIONAMIENTO </t>
  </si>
  <si>
    <t>01</t>
  </si>
  <si>
    <t>GASTOS DE PERSONAL</t>
  </si>
  <si>
    <t>PLANTA DE PERSONAL PERMANENTE</t>
  </si>
  <si>
    <t>10</t>
  </si>
  <si>
    <t>CSF</t>
  </si>
  <si>
    <t>SALARIO</t>
  </si>
  <si>
    <t>001</t>
  </si>
  <si>
    <t>FACTORES SALARIALES COMUNES</t>
  </si>
  <si>
    <t>SUELDO BÁSICO</t>
  </si>
  <si>
    <t>002</t>
  </si>
  <si>
    <t>GASTOS DE REPRESENTACIÓN</t>
  </si>
  <si>
    <t>003</t>
  </si>
  <si>
    <t>PRIMA TÉCNICA SALARIAL</t>
  </si>
  <si>
    <t>004</t>
  </si>
  <si>
    <t>SUBSIDIO DE ALIMENTACIÓN</t>
  </si>
  <si>
    <t>005</t>
  </si>
  <si>
    <t>AUXILIO DE TRANSPORTE</t>
  </si>
  <si>
    <t>006</t>
  </si>
  <si>
    <t>PRIMA DE SERVICIO</t>
  </si>
  <si>
    <t>007</t>
  </si>
  <si>
    <t>BONIFICACIÓN POR SERVICIOS PRESTADOS</t>
  </si>
  <si>
    <t>008</t>
  </si>
  <si>
    <t>HORAS EXTRAS, DOMINICALES, FESTIVOS Y RECARGOS</t>
  </si>
  <si>
    <t>009</t>
  </si>
  <si>
    <t>PRIMA DE NAVIDAD</t>
  </si>
  <si>
    <t>010</t>
  </si>
  <si>
    <t>PRIMA DE VACACIONES</t>
  </si>
  <si>
    <t>012</t>
  </si>
  <si>
    <t xml:space="preserve">AUXILIO DE CONECTIVIDAD DIGITAL </t>
  </si>
  <si>
    <t>02</t>
  </si>
  <si>
    <t>CONTRIBUCIONES INHERENTES A LA NÓMINA</t>
  </si>
  <si>
    <t>PENSIONES</t>
  </si>
  <si>
    <t>SALUD</t>
  </si>
  <si>
    <t>APORTES DE CESANTÍAS</t>
  </si>
  <si>
    <t>CAJAS DE COMPENSACIÓN FAMILIAR</t>
  </si>
  <si>
    <t>APORTES GENERALES AL SISTEMA DE RIESGOS LABORALES</t>
  </si>
  <si>
    <t>APORTES AL ICBF</t>
  </si>
  <si>
    <t>APORTES AL SENA</t>
  </si>
  <si>
    <t>APORTES A LA ESAP</t>
  </si>
  <si>
    <t>APORTES A ESCUELAS INDUSTRIALES E INSTITUTOS TÉCNICOS</t>
  </si>
  <si>
    <t>03</t>
  </si>
  <si>
    <t>REMUNERACIONES NO CONSTITUTIVAS DE FACTOR SALARIAL</t>
  </si>
  <si>
    <t>PRESTACIONES SOCIALES SEGÚN DEFINICIÓN LEGAL</t>
  </si>
  <si>
    <t>SUELDO DE VACACIONES</t>
  </si>
  <si>
    <t>INDEMNIZACIÓN POR VACACIONES</t>
  </si>
  <si>
    <t>BONIFICACIÓN ESPECIAL DE RECREACIÓN</t>
  </si>
  <si>
    <t>PRIMA TÉCNICA NO SALARIAL</t>
  </si>
  <si>
    <t>PRIMA DE RIESGO</t>
  </si>
  <si>
    <t>PRIMA DE DIRECCIÓN</t>
  </si>
  <si>
    <t>013</t>
  </si>
  <si>
    <t>ESTÍMULOS A LOS EMPLEADOS DEL ESTADO</t>
  </si>
  <si>
    <t>016</t>
  </si>
  <si>
    <t>PRIMA DE COORDINACIÓN</t>
  </si>
  <si>
    <t>030</t>
  </si>
  <si>
    <t>BONIFICACIÓN DE DIRECCIÓN</t>
  </si>
  <si>
    <t>ADQUISICIÓN DE BIENES  Y SERVICIOS</t>
  </si>
  <si>
    <t xml:space="preserve">ADQUISICIONES </t>
  </si>
  <si>
    <t>ACTIVOS FIJOS</t>
  </si>
  <si>
    <t>MAQUINARIA Y EQUIPO</t>
  </si>
  <si>
    <t>MAQUINARIA Y APARATOS ELÉCTRICOS</t>
  </si>
  <si>
    <t>EQUIPO Y APARATOS DE RADIO, TELEVISIÓN Y COMUNICACIONES</t>
  </si>
  <si>
    <t>ADQUISICIONES DIFERENTES DE ACTIVOS</t>
  </si>
  <si>
    <t>MATERIALES Y SUMINISTROS</t>
  </si>
  <si>
    <t>MINERALES; ELECTRICIDAD, GAS Y AGUA</t>
  </si>
  <si>
    <t>PIEDRA, ARENA Y ARCILLA</t>
  </si>
  <si>
    <t>ELECTRICIDAD, GAS DE CIUDAD, VAPOR Y AGUA CALIENTE</t>
  </si>
  <si>
    <t>PRODUCTOS ALIMENTICIOS, BEBIDAS Y TABACO; TEXTILES, PRENDAS DE VESTIR Y PRODUCTOS DE CUERO</t>
  </si>
  <si>
    <t>DOTACIÓN (PRENDAS DE VESTIR Y CALZADO)</t>
  </si>
  <si>
    <t>OTROS BIENES TRANSPORTABLES (EXCEPTO PRODUCTOS METÁLICOS, MAQUINARIA Y EQUIPO)</t>
  </si>
  <si>
    <t>PASTA O PULPA, PAPEL Y PRODUCTOS DE PAPEL; IMPRESOS Y ARTÍCULOS RELACIONADOS</t>
  </si>
  <si>
    <t>PRODUCTOS DE HORNOS DE COQUE; PRODUCTOS DE REFINACIÓN DE PETRÓLEO Y COMBUSTIBLE NUCLEAR</t>
  </si>
  <si>
    <t>OTROS PRODUCTOS QUÍMICOS; FIBRAS ARTIFICIALES (O FIBRAS INDUSTRIALES HECHAS POR EL HOMBRE)</t>
  </si>
  <si>
    <t>PRODUCTOS DE CAUCHO Y PLÁSTICO</t>
  </si>
  <si>
    <t>VIDRIO Y PRODUCTOS DE VIDRIO Y OTROS PRODUCTOS NO METÁLICOS N.C.P.</t>
  </si>
  <si>
    <t>OTROS BIENES TRANSPORTABLES N.C.P.</t>
  </si>
  <si>
    <t>PRODUCTOS METÁLICOS Y PAQUETES DE SOFTWARE</t>
  </si>
  <si>
    <t>PRODUCTOS METÁLICOS ELABORADOS (EXCEPTO MAQUINARIA Y EQUIPO)</t>
  </si>
  <si>
    <t>MAQUINARIA DE OFICINA, CONTABILIDAD E INFORMÁTICA</t>
  </si>
  <si>
    <t>ADQUISICIÓN DE SERVICIOS</t>
  </si>
  <si>
    <t>SERVICIOS DE ALOJAMIENTO; SERVICIOS DE SUMINISTRO DE COMIDAS Y BEBIDAS; SERVICIOS DE TRANSPORTE; Y SERVICIOS DE DISTRIBUCIÓN DE ELECTRICIDAD, GAS Y AGUA</t>
  </si>
  <si>
    <t>ALOJAMIENTO; SERVICIOS DE SUMINISTROS DE COMIDAS Y BEBIDAS</t>
  </si>
  <si>
    <t>SERVICIOS DE TRANSPORTE DE PASAJEROS</t>
  </si>
  <si>
    <t>SERVICIOS DE TRANSPORTE DE CARGA</t>
  </si>
  <si>
    <t>SERVICIOS POSTALES Y DE MENSAJERÍA</t>
  </si>
  <si>
    <t>SERVICIOS DE DISTRIBUCIÓN DE ELECTRICIDAD, GAS Y AGUA (POR CUENTA PROPIA)</t>
  </si>
  <si>
    <t>SERVICIOS FINANCIEROS Y SERVICIOS CONEXOS, SERVICIOS INMOBILIARIOS Y SERVICIOS DE LEASING</t>
  </si>
  <si>
    <t>SERVICIOS FINANCIEROS Y SERVICIOS CONEXOS</t>
  </si>
  <si>
    <t>SERVICIOS INMOBILIARIOS</t>
  </si>
  <si>
    <t>SERVICIOS PRESTADOS A LAS EMPRESAS Y SERVICIOS DE PRODUCCIÓN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</si>
  <si>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</si>
  <si>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</si>
  <si>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</si>
  <si>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</si>
  <si>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</si>
  <si>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OTROS SERVICIOS DE FABRICACIÓN; SERVICIOS DE EDICIÓN, IMPRESIÓN Y REPRODUCCIÓN; SERVICIOS DE RECUPERACIÓN DE MATERIALES</t>
  </si>
  <si>
    <t>SERVICIOS PARA LA COMUNIDAD, SOCIALES Y PERSONALES</t>
  </si>
  <si>
    <t>SERVICIOS DE EDUCACIÓN</t>
  </si>
  <si>
    <t>SERVICIOS PARA EL CUIDADO DE LA SALUD HUMANA Y SERVICIOS SOCIALES</t>
  </si>
  <si>
    <t>SERVICIOS DE ALCANTARILLADO, RECOLECCIÓN, TRATAMIENTO Y DISPOSICIÓN DE DESECHOS Y OTROS SERVICIOS DE SANEAMIENTO AMBIENTAL</t>
  </si>
  <si>
    <t>SERVICIOS DE ESPARCIMIENTO, CULTURALES Y DEPORTIVOS</t>
  </si>
  <si>
    <t>OTROS SERVICIOS</t>
  </si>
  <si>
    <t>VIÁTICOS DE LOS FUNCIONARIOS EN COMISIÓN</t>
  </si>
  <si>
    <t>TRANSFERENCIAS CORRIENTES</t>
  </si>
  <si>
    <t>A ENTIDADES DEL GOBIERNO</t>
  </si>
  <si>
    <t>A ORGANOS DEL PGN</t>
  </si>
  <si>
    <t>082</t>
  </si>
  <si>
    <t>FONDO DE MITIGACIÓN DE EMERGENCIAS - FOME (FeA, JeA)</t>
  </si>
  <si>
    <t>FONDO DE MITIGACIÓN DE EMERGENCIAS - FOME (IS)</t>
  </si>
  <si>
    <t>FONDO DE MITIGACIÓN DE EMERGENCIAS - FOME (CM)</t>
  </si>
  <si>
    <t>999</t>
  </si>
  <si>
    <t>OTRAS TRANSFERENCIAS - DISTRIBUCIÓN PREVIO CONCEPTO DGPPN</t>
  </si>
  <si>
    <t>04</t>
  </si>
  <si>
    <t>PRESTACIONES SOCIALES</t>
  </si>
  <si>
    <t>PRESTACIONES SOCIALES RELACIONADAS CON EL EMPLEO</t>
  </si>
  <si>
    <t>INCAPACIDADES Y LICENCIAS DE MATERNIDAD (NO DE PENSIONES)</t>
  </si>
  <si>
    <t>INCAPACIDADES (NO DE PENSIONES)</t>
  </si>
  <si>
    <t>LICENCIAS DE MATERNIDAD Y PATERNIDAD (NO DE PENSIONES)</t>
  </si>
  <si>
    <t>025</t>
  </si>
  <si>
    <t>SENTENCIAS Y CONCILIACIONES</t>
  </si>
  <si>
    <t>11</t>
  </si>
  <si>
    <t>FALLOS NACIONALES</t>
  </si>
  <si>
    <t>SENTENCIAS</t>
  </si>
  <si>
    <t>CONCILIACIONES</t>
  </si>
  <si>
    <t>08</t>
  </si>
  <si>
    <t>GASTOS POR TRIBUTOS, MULTAS, SANCIONES E INTERESES DE MORA</t>
  </si>
  <si>
    <t>IMPUESTOS</t>
  </si>
  <si>
    <t>IMPUESTOS TERRITORIALES</t>
  </si>
  <si>
    <t>IMPUESTO PREDIAL Y SOBRETASA AMBIENTAL</t>
  </si>
  <si>
    <t>IMPUESTO DE ALUMBRADO PÚBLICO</t>
  </si>
  <si>
    <t>IMPUESTO SOBRE VEHÍCULOS AUTOMOTORES</t>
  </si>
  <si>
    <t>CONTRIBUCIONES</t>
  </si>
  <si>
    <t>SSF</t>
  </si>
  <si>
    <t>CUOTA DE FISCALIZACIÓN Y AUDITAJE</t>
  </si>
  <si>
    <t>05</t>
  </si>
  <si>
    <t>MULTAS, SANCIONES E INTERESES DE MORA</t>
  </si>
  <si>
    <t>SANCIONES ADMINISTRATIVAS</t>
  </si>
  <si>
    <t>IMPUESTOS, CONTRIBUCIONES Y TASAS</t>
  </si>
  <si>
    <t>B</t>
  </si>
  <si>
    <t>SERVICIO DE LA DEUDA</t>
  </si>
  <si>
    <t>SERVICIO DE LA DEUDA PÚBLICA INTERNA</t>
  </si>
  <si>
    <t>FONDO DE CONTINGENCIAS</t>
  </si>
  <si>
    <t>APORTES AL FONDO DE CONTINGENCIAS</t>
  </si>
  <si>
    <t>C</t>
  </si>
  <si>
    <t>INVERSIÓN</t>
  </si>
  <si>
    <t>ATENCIÓN, ASISTENCIA  Y REPARACIÓN INTEGRAL A LAS VÍCTIMAS</t>
  </si>
  <si>
    <t>INTERSUBSECTORIAL DESARROLLO SOCIAL</t>
  </si>
  <si>
    <t>4101</t>
  </si>
  <si>
    <t>1500</t>
  </si>
  <si>
    <t>6</t>
  </si>
  <si>
    <r>
      <t xml:space="preserve">IMPLEMENTACIÓN DE UN ESQUEMA ESPECIAL DE ACOMPAÑAMIENTO FAMILIAR DIRIGIDO A LA POBLACIÓN VICTIMA DE DESPLAZAMIENTO FORZADO RETORNADA O REUBICADA EN ZONAS RURALES, A NIVEL  NACIONAL - </t>
    </r>
    <r>
      <rPr>
        <b/>
        <sz val="11"/>
        <color rgb="FFFF0000"/>
        <rFont val="Arial Narrow"/>
        <family val="2"/>
      </rPr>
      <t>FEST</t>
    </r>
  </si>
  <si>
    <t>0</t>
  </si>
  <si>
    <t>4101073</t>
  </si>
  <si>
    <t>SERVICIO DE APOYO PARA LA GENERACIÓN DE INGRESOS</t>
  </si>
  <si>
    <t>ADQUISICIÓN DE BIENES Y SERVICIOS</t>
  </si>
  <si>
    <t>4101074</t>
  </si>
  <si>
    <t>SERVICIO DE ACOMPAÑAMIENTO COMUNITARIO A LOS HOGARES EN RIESGO DE DESPLAZAMIENTO, RETORNADOS O REUBICADOS</t>
  </si>
  <si>
    <t>4101077</t>
  </si>
  <si>
    <t>SERVICIO DE APOYO PARA LAS UNIDADES PRODUCTIVAS PARA EL AUTOCONSUMO DE HOGARES DESPLAZADOS O EN RIESGO DE DESPLAZAMIENTO, RETORNADOS O REUBICADOS</t>
  </si>
  <si>
    <t>4101078</t>
  </si>
  <si>
    <t>SERVICIO DE ASISTENCIA TÉCNICA PARA EL AUTOCONSUMO DE LOS HOGARES DESPLAZADOS O EN RIESGO DE DESPLAZAMIENTO, RETORNADOS O REUBICADOS</t>
  </si>
  <si>
    <t>4101080</t>
  </si>
  <si>
    <t>SERVICIO DE ASISTENCIA TÉCNICA PARA LA GENERACIÓN DE INGRESOS</t>
  </si>
  <si>
    <t>4101081</t>
  </si>
  <si>
    <t>SERVICIO DE APOYO AL FORTALECIMIENTO COMUNITARIO A LOS HOGARES EN RIESGO DE DESPLAZAMIENTO, RETORNADOS O REUBICADOS</t>
  </si>
  <si>
    <t>INCLUSIÓN SOCIAL Y PRODUCTIVA PARA LA POBLACIÓN EN SITUACIÓN DE VULNERABILIDAD</t>
  </si>
  <si>
    <t>4103</t>
  </si>
  <si>
    <t>12</t>
  </si>
  <si>
    <r>
      <t xml:space="preserve">IMPLEMENTACIÓN DE </t>
    </r>
    <r>
      <rPr>
        <b/>
        <sz val="10"/>
        <color rgb="FFFF0000"/>
        <rFont val="Arial Narrow"/>
        <family val="2"/>
      </rPr>
      <t>TRANSFERENCIAS MONETARIAS CONDICIONADAS</t>
    </r>
    <r>
      <rPr>
        <b/>
        <sz val="10"/>
        <rFont val="Arial Narrow"/>
        <family val="2"/>
      </rPr>
      <t xml:space="preserve"> PARA POBLACIÓN VULNERABLE A NIVEL NACIONAL - FIP  NACIONAL</t>
    </r>
  </si>
  <si>
    <t>4103006</t>
  </si>
  <si>
    <t>SERVICIO DE APOYO FINANCIERO PARA LA ENTREGA DE TRANSFERENCIAS MONETARIAS CONDICIONADAS</t>
  </si>
  <si>
    <t>SERVICIO DE ASISTENCIA EN TEMAS DE DESARROLLO DE HABILIDADES NO COGNITIVAS PARA LA INCLUSIÓN PRODUCTIVA</t>
  </si>
  <si>
    <r>
      <t xml:space="preserve">IMPLEMENTACIÓN DE UNIDADES PRODUCTIVAS DE AUTOCONSUMO PARA POBLACIÓN POBRE Y VULNERABLE   NACIONAL - </t>
    </r>
    <r>
      <rPr>
        <b/>
        <sz val="10"/>
        <color rgb="FFFF0000"/>
        <rFont val="Arial Narrow"/>
        <family val="2"/>
      </rPr>
      <t>RESA</t>
    </r>
  </si>
  <si>
    <t>4103051</t>
  </si>
  <si>
    <t>SERVICIO DE ASISTENCIA TÉCNICA PARA EL AUTOCONSUMO DE LOS HOGARES EN SITUACIÓN DE VULNERABILIDAD SOCIAL</t>
  </si>
  <si>
    <t>4103053</t>
  </si>
  <si>
    <t>SERVICIO DE ASISTENCIA TÉCNICA PARA EL MEJORAMIENTO DE HÁBITOS ALIMENTARIOS</t>
  </si>
  <si>
    <t>4103054</t>
  </si>
  <si>
    <t>SERVICIO DE MONITOREO Y SEGUIMIENTO A LAS INTERVENCIONES IMPLEMENTADAS PARA LA INCLUSIÓN SOCIAL Y PRODUCTIVA DE LA POBLACIÓN EN SITUACIÓN DE VULNERABILIDAD</t>
  </si>
  <si>
    <t>4103055</t>
  </si>
  <si>
    <t>SERVICIO DE APOYO PARA LAS UNIDADES PRODUCTIVAS PARA EL AUTOCONSUMO DE LOS HOGARES EN SITUACIÓN DE VULNERABILIDAD SOCIAL</t>
  </si>
  <si>
    <t>14</t>
  </si>
  <si>
    <r>
      <t xml:space="preserve">FORTALECIMIENTO PARA EL DESARROLLO DE </t>
    </r>
    <r>
      <rPr>
        <b/>
        <sz val="10"/>
        <color rgb="FFFF0000"/>
        <rFont val="Arial Narrow"/>
        <family val="2"/>
      </rPr>
      <t>INFRAESTRUCTURA SOCIAL Y HÁBITAT</t>
    </r>
    <r>
      <rPr>
        <b/>
        <sz val="10"/>
        <rFont val="Arial Narrow"/>
        <family val="2"/>
      </rPr>
      <t xml:space="preserve"> PARA LA INCLUSIÓN SOCIAL A NIVEL NACIONAL - FIP  NACIONAL</t>
    </r>
  </si>
  <si>
    <t>4103016</t>
  </si>
  <si>
    <t>SERVICIO DE APOYO FINANCIERO PARA FINANCIACIÓN DE OBRAS DE INFRAESTRUCTURA SOCIAL</t>
  </si>
  <si>
    <t>4103048</t>
  </si>
  <si>
    <t>SERVICIO DE ASISTENCIA TÉCNICA EN PROYECTOS DE INFRAESTRUCTURA SOCIAL A ENTIDADES TERRITORIALES</t>
  </si>
  <si>
    <t>16</t>
  </si>
  <si>
    <r>
      <t xml:space="preserve">FORTALECIMIENTO A ENTIDADES TERRITORIALES EN </t>
    </r>
    <r>
      <rPr>
        <b/>
        <sz val="10"/>
        <color rgb="FFFF0000"/>
        <rFont val="Arial Narrow"/>
        <family val="2"/>
      </rPr>
      <t>POLITICA DE SEGURIDAD ALIMENTARIA</t>
    </r>
    <r>
      <rPr>
        <b/>
        <sz val="10"/>
        <color rgb="FF094A82"/>
        <rFont val="Arial Narrow"/>
        <family val="2"/>
      </rPr>
      <t xml:space="preserve"> </t>
    </r>
    <r>
      <rPr>
        <b/>
        <sz val="10"/>
        <rFont val="Arial Narrow"/>
        <family val="2"/>
      </rPr>
      <t>NACIONAL</t>
    </r>
  </si>
  <si>
    <t>4103056</t>
  </si>
  <si>
    <t>SERVICIO DE ASISTENCIA TÉCNICA EN SEGURIDAD ALIMENTARIA Y NUTRICIONAL A ENTIDADES TERRITORIALES</t>
  </si>
  <si>
    <t>4103060</t>
  </si>
  <si>
    <t>DOCUMENTO DE LINEAMIENTOS TÉCNICOS</t>
  </si>
  <si>
    <t>17</t>
  </si>
  <si>
    <r>
      <t xml:space="preserve">IMPLEMENTACIÓN DE HERRAMIENTAS PARA LA </t>
    </r>
    <r>
      <rPr>
        <b/>
        <sz val="10"/>
        <color rgb="FFFF0000"/>
        <rFont val="Arial Narrow"/>
        <family val="2"/>
      </rPr>
      <t>INCLUSIÓN PRODUCTIVA</t>
    </r>
    <r>
      <rPr>
        <b/>
        <sz val="10"/>
        <color rgb="FF094A82"/>
        <rFont val="Arial Narrow"/>
        <family val="2"/>
      </rPr>
      <t xml:space="preserve"> </t>
    </r>
    <r>
      <rPr>
        <b/>
        <sz val="10"/>
        <rFont val="Arial Narrow"/>
        <family val="2"/>
      </rPr>
      <t>DE LA POBLACIÓN EN SITUACIÓN DE POBREZA EXTREMA, VULNERABILIDAD Y VICTIMAS DEL DESPLAZAMIENTO FORZADO POR LA VIOLENCIA FIP A NIVEL  NACIONAL</t>
    </r>
  </si>
  <si>
    <t>4103005</t>
  </si>
  <si>
    <t xml:space="preserve">SERVICIO DE ASISTENCIA TÉCNICA PARA EL EMPRENDIMIENTO </t>
  </si>
  <si>
    <t>4103057</t>
  </si>
  <si>
    <t>SERVICIO DE APOYO A UNIDADES PRODUCTIVAS INDIVIDUALES PARA LA GENERACIÓN DE INGRESOS</t>
  </si>
  <si>
    <t>4103058</t>
  </si>
  <si>
    <t>SERVICIO DE APOYO PARA EL FORTALECIMIENTO DE UNIDADES PRODUCTIVAS COLECTIVAS PARA LA GENERACIÓN DE INGRESOS</t>
  </si>
  <si>
    <t>4103059</t>
  </si>
  <si>
    <t>SERVICIO DE ASISTENCIA TÉCNICA PARA FORTALECIMIENTO DE UNIDADES PRODUCTIVAS COLECTIVAS PARA LA GENERACIÓN DE INGRESOS</t>
  </si>
  <si>
    <r>
      <t>FORTALECIMIENTO DE LA GESTIÓN DE OFERTA PARA LA</t>
    </r>
    <r>
      <rPr>
        <b/>
        <sz val="10"/>
        <color rgb="FFFF0000"/>
        <rFont val="Arial Narrow"/>
        <family val="2"/>
      </rPr>
      <t xml:space="preserve"> SUPERACIÓN DE LA POBREZA</t>
    </r>
    <r>
      <rPr>
        <b/>
        <sz val="10"/>
        <color rgb="FF094A82"/>
        <rFont val="Arial Narrow"/>
        <family val="2"/>
      </rPr>
      <t xml:space="preserve">- </t>
    </r>
    <r>
      <rPr>
        <b/>
        <sz val="10"/>
        <rFont val="Arial Narrow"/>
        <family val="2"/>
      </rPr>
      <t>FIP A NIVEL NACIONAL</t>
    </r>
  </si>
  <si>
    <t>SERVICIO DE ASISTENCIA TÉCNICA A LAS ENTIDADES TERRITORIALES EN LA FORMULACIÓN DE SUS MARCOS DE LUCHA CONTRA LA POBREZA</t>
  </si>
  <si>
    <t>SERVICIO DE GESTIÓN DE OFERTA SOCIAL PARA LA POBLACIÓN VULNERABLE</t>
  </si>
  <si>
    <r>
      <t xml:space="preserve">IMPLEMENTACION DE </t>
    </r>
    <r>
      <rPr>
        <b/>
        <sz val="10"/>
        <color rgb="FFFF0000"/>
        <rFont val="Arial Narrow"/>
        <family val="2"/>
      </rPr>
      <t xml:space="preserve">TRANSFERENCIAS MONETARIAS NO CONDICIONAS </t>
    </r>
    <r>
      <rPr>
        <b/>
        <sz val="10"/>
        <rFont val="Arial Narrow"/>
        <family val="2"/>
      </rPr>
      <t>PARA DISMINUIR POBREZA MONETARIA EN LA POBLACION POBRE NACIONAL NACIONAL</t>
    </r>
  </si>
  <si>
    <t>SERVICIO DE APOYO FINANCIERO PARA LA ENTREGA DE TRANSFERENCIAS MONETARIAS NO CONDICIONADAS</t>
  </si>
  <si>
    <r>
      <t xml:space="preserve">IMPLEMENTACIÓN DE INTERVENCIÓN INTEGRAL A POBLACIÓN CON </t>
    </r>
    <r>
      <rPr>
        <b/>
        <sz val="10"/>
        <color rgb="FFFF0000"/>
        <rFont val="Arial Narrow"/>
        <family val="2"/>
      </rPr>
      <t>ENFOQUE DIFERENCIAL</t>
    </r>
    <r>
      <rPr>
        <b/>
        <sz val="10"/>
        <color rgb="FFE31414"/>
        <rFont val="Arial Narrow"/>
        <family val="2"/>
      </rPr>
      <t xml:space="preserve"> ÉTNICO</t>
    </r>
    <r>
      <rPr>
        <b/>
        <sz val="10"/>
        <rFont val="Arial Narrow"/>
        <family val="2"/>
      </rPr>
      <t>, A NIVEL NACIONAL</t>
    </r>
  </si>
  <si>
    <t>SERVICIO DE ASISTENCIA TÉCNICA PARA EL EMPRENDIMIENTO - IMPLEMENTACIÓN DE INTERVENCIÓN INTEGRAL A POBLACIÓN CON ENFOQUE DIFERENCIAL ÉTNICO, A NIVEL NACIONAL</t>
  </si>
  <si>
    <t>4103050</t>
  </si>
  <si>
    <t>SERVICIO DE ACOMPAÑAMIENTO FAMILIAR Y COMUNITARIO PARA LA SUPERACIÓN DE LA POBREZA - IMPLEMENTACIÓN DE INTERVENCIÓN INTEGRAL A POBLACIÓN CON ENFOQUE DIFERENCIAL ÉTNICO, A NIVEL NACIONAL</t>
  </si>
  <si>
    <t xml:space="preserve">SERVICIO DE ASISTENCIA TÉCNICA PARA EL AUTOCONSUMO DE LOS HOGARES EN SITUACIÓN DE VULNERABILIDAD SOCIAL - IMPLEMENTACIÓN DE INTERVENCIÓN INTEGRAL A POBLACIÓN CON </t>
  </si>
  <si>
    <t>SERVICIO DE APOYO PARA LAS UNIDADES PRODUCTIVAS PARA EL AUTOCONSUMO DE LOS HOGARES EN SITUACIÓN DE VULNERABILIDAD SOCIAL - IMPLEMENTACIÓN DE INTERVENCIÓN INTEGRAL A POBLACIÓN CON ENFOQUE DIFERENCIAL ÉTNICO, A NIVEL NACIONAL</t>
  </si>
  <si>
    <t>SERVICIO DE APOYO PARA EL FORTALECIMIENTO DE UNIDADES PRODUCTIVAS COLECTIVAS PARA LA GENERACIÓN DE INGRESOS - IMPLEMENTACIÓN DE INTERVENCIÓN INTEGRAL A POBLACIÓN CON ENFOQUE DIFERENCIAL ÉTNICO, A NIVEL NACIONAL</t>
  </si>
  <si>
    <t>IMPLEMENTACIÓN DE UNA INTERVENCIÓN INTEGRAL DIRIGIDA A LOS HOGARES RURALES VICTIMAS DE DESPLAZAMIENTO FORZADO EN CONDICIONES DE VULNERABILIDAD, A NIVEL NACIONAL</t>
  </si>
  <si>
    <t>SERVICIO DE ASISTENCIA TÉCNICA PARA EL EMPRENDIMIENTO  - IMPLEMENTACION DE UNA INTERVENCION INTEGRAL DIRIGIDA A LOS HOGARES RURALES VICTIMAS DE DESPLAZAMIENTO FORZADO EN CONDICIONES DE VULNERABILIDAD, A NIVEL  NACIONAL</t>
  </si>
  <si>
    <t>SERVICIO DE ACOMPAÑAMIENTO FAMILIAR Y COMUNITARIO PARA LA SUPERACIÓN DE LA POBREZA - IMPLEMENTACION DE UNA INTERVENCION INTEGRAL DIRIGIDA A LOS HOGARES RURALES VICTIMAS DE DESPLAZAMIENTO FORZADO EN CONDICIONES DE VULNERABILIDAD</t>
  </si>
  <si>
    <t>SERVICIO DE ASISTENCIA TÉCNICA PARA EL AUTOCONSUMO DE LOS HOGARES EN SITUACIÓN DE VULNERABILIDAD SOCIAL - IMPLEMENTACION DE UNA INTERVENCION INTEGRAL DIRIGIDA A LOS HOGARES RURALES VICTIMAS DE DESPLAZAMIENTO FORZADO</t>
  </si>
  <si>
    <t>SERVICIO DE APOYO PARA LAS UNIDADES PRODUCTIVAS PARA EL AUTOCONSUMO DE LOS HOGARES EN SITUACIÓN DE VULNERABILIDAD SOCIAL - IMPLEMENTACION DE UNA INTERVENCION INTEGRAL DIRIGIDA A LOS HOGARES RURALES VICTIMAS DE DESPLAZAMIENTO</t>
  </si>
  <si>
    <t xml:space="preserve"> SERVICIO DE APOYO A UNIDADES PRODUCTIVAS INDIVIDUALES PARA LA GENERACIÓN DE INGRESOS - IMPLEMENTACION DE UNA INTERVENCION INTEGRAL DIRIGIDA A LOS HOGARES RURALES VICTIMAS DE DESPLAZAMIENTO FORZADO EN CONDICIONES DE VULNERABLE</t>
  </si>
  <si>
    <t xml:space="preserve">SERVICIO DE APOYO PARA EL MEJORAMIENTO DE CONDICIONES FÍSICAS O DOTACIÓN DE VIVIENDA DE HOGARES  VULNERABLES RURALES - IMPLEMENTACION DE UNA INTERVENCION INTEGRAL DIRIGIDA A LOS HOGARES RURALES VICTIMAS DE DESPLAZAMIENTO </t>
  </si>
  <si>
    <t>4103062</t>
  </si>
  <si>
    <r>
      <t xml:space="preserve">IMPLEMENTACIÓN DE SUBSIDIO ECONÓMICO PARA </t>
    </r>
    <r>
      <rPr>
        <b/>
        <sz val="10"/>
        <color rgb="FFFF0000"/>
        <rFont val="Arial Narrow"/>
        <family val="2"/>
      </rPr>
      <t xml:space="preserve">POBLACIÓN ADULTA MAYOR </t>
    </r>
    <r>
      <rPr>
        <b/>
        <sz val="10"/>
        <rFont val="Arial Narrow"/>
        <family val="2"/>
      </rPr>
      <t>EN SITUACIÓN DE VULNERABILIDAD - NACIONAL</t>
    </r>
  </si>
  <si>
    <t>IMPLEMENTACIÓN DE SUBSIDIO ECONÓMICO PARA POBLACIÓN ADULTA MAYOR EN SITUACIÓN DE VULNERABILIDAD - NACIONAL</t>
  </si>
  <si>
    <t>IMPLEMENTACION DE TRANSFERENCIAS MONETARIAS NO CONDICIONADAS PARA ATENCION DE EMERGENCIA FIP- NACIONAL</t>
  </si>
  <si>
    <t>FORTALECIMIENTO DE LA GESTIÓN Y DIRECCIÓN DEL SECTOR INCLUSIÓN SOCIAL Y RECONCILIACIÓN</t>
  </si>
  <si>
    <t>4199</t>
  </si>
  <si>
    <t>2</t>
  </si>
  <si>
    <r>
      <t xml:space="preserve">IMPLEMENTACIÓN Y AMPLIACIÓN DE LAS </t>
    </r>
    <r>
      <rPr>
        <b/>
        <sz val="10"/>
        <color rgb="FFFF0000"/>
        <rFont val="Arial Narrow"/>
        <family val="2"/>
      </rPr>
      <t>TECNOLOGÍAS DE INFORMACIÓN Y COMUNICACIONES</t>
    </r>
    <r>
      <rPr>
        <b/>
        <sz val="10"/>
        <color rgb="FF094A82"/>
        <rFont val="Arial Narrow"/>
        <family val="2"/>
      </rPr>
      <t xml:space="preserve"> </t>
    </r>
    <r>
      <rPr>
        <b/>
        <sz val="10"/>
        <rFont val="Arial Narrow"/>
        <family val="2"/>
      </rPr>
      <t>EN DPS A NIVEL  NACIONAL</t>
    </r>
  </si>
  <si>
    <t>4199062</t>
  </si>
  <si>
    <t xml:space="preserve">SERVICIOS TECNOLÓGICOS </t>
  </si>
  <si>
    <t>TOTAL PRESUPUESTO</t>
  </si>
  <si>
    <t>EJECUCIÓN PRESUPUESTAL VIGENCIA 2021 AL 31 DE DICIEMBRE DE 2021</t>
  </si>
  <si>
    <t>APARATOS MÉDICOS, INSTRUMENTOS ÓPTICOS Y DE PRECISIÓN, RELOJES</t>
  </si>
  <si>
    <t>SERVICIOS DE ALQUILER DE VEHÍCULOS DE TRANSPORTE CON OPERARIO</t>
  </si>
  <si>
    <t>INDEMNIZACIONES (NO DE PENSIONES)</t>
  </si>
  <si>
    <t>5</t>
  </si>
  <si>
    <r>
      <t xml:space="preserve">IMPLEMENTACIÓN DE INTERVENCIÓN INTEGRAL APD CON </t>
    </r>
    <r>
      <rPr>
        <b/>
        <sz val="11"/>
        <color rgb="FFFF0000"/>
        <rFont val="Arial Narrow"/>
        <family val="2"/>
      </rPr>
      <t>ENFOQUE DIFERENCIAL</t>
    </r>
    <r>
      <rPr>
        <b/>
        <sz val="11"/>
        <color rgb="FF094A82"/>
        <rFont val="Arial Narrow"/>
        <family val="2"/>
      </rPr>
      <t xml:space="preserve"> ÉTNICO PARA INDIGENAS Y AFROS A NIVEL  NACIONAL</t>
    </r>
  </si>
  <si>
    <r>
      <t xml:space="preserve">IMPLEMENTACIÓN DE </t>
    </r>
    <r>
      <rPr>
        <b/>
        <sz val="11"/>
        <color rgb="FFFF0000"/>
        <rFont val="Arial Narrow"/>
        <family val="2"/>
      </rPr>
      <t>TRANSFERENCIAS MONETARIAS CONDICIONADAS</t>
    </r>
    <r>
      <rPr>
        <b/>
        <sz val="11"/>
        <color rgb="FF094A82"/>
        <rFont val="Arial Narrow"/>
        <family val="2"/>
      </rPr>
      <t xml:space="preserve"> PARA POBLACIÓN VULNERABLE A NIVEL NACIONAL - FIP  NACIONAL</t>
    </r>
  </si>
  <si>
    <r>
      <t xml:space="preserve">IMPLEMENTACIÓN DE UNIDADES PRODUCTIVAS DE AUTOCONSUMO PARA POBLACIÓN POBRE Y VULNERABLE   NACIONAL - </t>
    </r>
    <r>
      <rPr>
        <b/>
        <sz val="11"/>
        <color rgb="FFFF0000"/>
        <rFont val="Arial Narrow"/>
        <family val="2"/>
      </rPr>
      <t>RESA</t>
    </r>
  </si>
  <si>
    <r>
      <t xml:space="preserve">FORTALECIMIENTO PARA EL DESARROLLO DE </t>
    </r>
    <r>
      <rPr>
        <b/>
        <sz val="11"/>
        <color rgb="FFFF0000"/>
        <rFont val="Arial Narrow"/>
        <family val="2"/>
      </rPr>
      <t xml:space="preserve">INFRAESTRUCTURA SOCIAL Y HÁBITAT </t>
    </r>
    <r>
      <rPr>
        <b/>
        <sz val="11"/>
        <color rgb="FF094A82"/>
        <rFont val="Arial Narrow"/>
        <family val="2"/>
      </rPr>
      <t>PARA LA INCLUSIÓN SOCIAL A NIVEL NACIONAL - FIP  NACIONAL</t>
    </r>
  </si>
  <si>
    <r>
      <t xml:space="preserve">FORTALECIMIENTO A ENTIDADES TERRITORIALES EN </t>
    </r>
    <r>
      <rPr>
        <b/>
        <sz val="11"/>
        <color rgb="FFFF0000"/>
        <rFont val="Arial Narrow"/>
        <family val="2"/>
      </rPr>
      <t>POLITICA DE SEGURIDAD ALIMENTARIA</t>
    </r>
    <r>
      <rPr>
        <b/>
        <sz val="11"/>
        <color rgb="FF094A82"/>
        <rFont val="Arial Narrow"/>
        <family val="2"/>
      </rPr>
      <t xml:space="preserve">  NACIONAL</t>
    </r>
  </si>
  <si>
    <r>
      <t xml:space="preserve">IMPLEMENTACIÓN DE HERRAMIENTAS PARA LA </t>
    </r>
    <r>
      <rPr>
        <b/>
        <sz val="11"/>
        <color rgb="FFFF0000"/>
        <rFont val="Arial Narrow"/>
        <family val="2"/>
      </rPr>
      <t>INCLUSIÓN PRODUCTIVA</t>
    </r>
    <r>
      <rPr>
        <b/>
        <sz val="11"/>
        <color rgb="FF094A82"/>
        <rFont val="Arial Narrow"/>
        <family val="2"/>
      </rPr>
      <t xml:space="preserve"> DE LA POBLACIÓN EN SITUACIÓN DE POBREZA EXTREMA, VULNERABILIDAD Y VICTIMAS DEL DESPLAZAMIENTO FORZADO POR LA VIOLENCIA FIP A NIVEL  NACIONAL</t>
    </r>
  </si>
  <si>
    <r>
      <t>IMPLEMENTACIÓN DE LA ESTRATEGIA DE A</t>
    </r>
    <r>
      <rPr>
        <b/>
        <sz val="11"/>
        <color rgb="FFFF0000"/>
        <rFont val="Arial Narrow"/>
        <family val="2"/>
      </rPr>
      <t>COMPAÑAMIENTO FAMILIAR Y COMUNITARIO</t>
    </r>
    <r>
      <rPr>
        <b/>
        <sz val="11"/>
        <color rgb="FF094A82"/>
        <rFont val="Arial Narrow"/>
        <family val="2"/>
      </rPr>
      <t xml:space="preserve"> Y GESTIÓN DE LA OFERTA SOCIAL PARA LA SUPERACIÓN DE LA POBREZA - FIP A NIVEL  NACIONAL</t>
    </r>
  </si>
  <si>
    <t>SERVICIO DE ACOMPAÑAMIENTO FAMILIAR Y COMUNITARIO PARA LA SUPERACIÓN DE LA POBREZA</t>
  </si>
  <si>
    <r>
      <t>FORTALECIMIENTO DE LA GESTIÓN DE OFERTA PARA LA</t>
    </r>
    <r>
      <rPr>
        <b/>
        <sz val="11"/>
        <color rgb="FFFF0000"/>
        <rFont val="Arial Narrow"/>
        <family val="2"/>
      </rPr>
      <t xml:space="preserve"> SUPERACIÓN DE LA POBREZA</t>
    </r>
    <r>
      <rPr>
        <b/>
        <sz val="11"/>
        <color rgb="FF094A82"/>
        <rFont val="Arial Narrow"/>
        <family val="2"/>
      </rPr>
      <t>- FIP A NIVEL NACIONAL</t>
    </r>
  </si>
  <si>
    <r>
      <t xml:space="preserve">IMPLEMENTACION DE </t>
    </r>
    <r>
      <rPr>
        <b/>
        <sz val="11"/>
        <color rgb="FFFF0000"/>
        <rFont val="Arial Narrow"/>
        <family val="2"/>
      </rPr>
      <t xml:space="preserve">TRANSFERENCIAS MONETARIAS NO CONDICIONAS </t>
    </r>
    <r>
      <rPr>
        <b/>
        <sz val="11"/>
        <color rgb="FF094A82"/>
        <rFont val="Arial Narrow"/>
        <family val="2"/>
      </rPr>
      <t>PARA DISMINUIR POBREZA MONETARIA EN LA POBLACION POBRE NACIONAL NACIONAL</t>
    </r>
  </si>
  <si>
    <r>
      <t xml:space="preserve">IMPLEMENTACIÓN DE INTERVENCIÓN INTEGRAL A POBLACIÓN CON </t>
    </r>
    <r>
      <rPr>
        <b/>
        <sz val="11"/>
        <color rgb="FFFF0000"/>
        <rFont val="Arial Narrow"/>
        <family val="2"/>
      </rPr>
      <t>ENFOQUE DIFERENCIAL</t>
    </r>
    <r>
      <rPr>
        <b/>
        <sz val="11"/>
        <color rgb="FF094A82"/>
        <rFont val="Arial Narrow"/>
        <family val="2"/>
      </rPr>
      <t xml:space="preserve"> ÉTNICO, A NIVEL NACIONAL</t>
    </r>
  </si>
  <si>
    <r>
      <t xml:space="preserve">IMPLEMENTACIÓN DE SUBSIDIO ECONÓMICO PARA </t>
    </r>
    <r>
      <rPr>
        <b/>
        <sz val="11"/>
        <color rgb="FFFF0000"/>
        <rFont val="Arial Narrow"/>
        <family val="2"/>
      </rPr>
      <t xml:space="preserve">POBLACIÓN ADULTA MAYOR </t>
    </r>
    <r>
      <rPr>
        <b/>
        <sz val="11"/>
        <color rgb="FF094A82"/>
        <rFont val="Arial Narrow"/>
        <family val="2"/>
      </rPr>
      <t>EN SITUACIÓN DE VULNERABILIDAD - NACIONAL</t>
    </r>
  </si>
  <si>
    <r>
      <t xml:space="preserve">IMPLEMENTACIÓN Y AMPLIACIÓN DE LAS </t>
    </r>
    <r>
      <rPr>
        <b/>
        <sz val="11"/>
        <color rgb="FFFF0000"/>
        <rFont val="Arial Narrow"/>
        <family val="2"/>
      </rPr>
      <t>TECNOLOGÍAS DE INFORMACIÓN Y COMUNICACIONES</t>
    </r>
    <r>
      <rPr>
        <b/>
        <sz val="11"/>
        <color rgb="FF094A82"/>
        <rFont val="Arial Narrow"/>
        <family val="2"/>
      </rPr>
      <t xml:space="preserve"> EN DPS A NIVEL  NACIONAL</t>
    </r>
  </si>
  <si>
    <t>EJECUCIÓN PRESUPUESTAL VIGENCIA 2020 AL 31 DE DICIEMBRE DE 2020</t>
  </si>
  <si>
    <t xml:space="preserve"> </t>
  </si>
  <si>
    <t>SITEM</t>
  </si>
  <si>
    <t xml:space="preserve">C
</t>
  </si>
  <si>
    <r>
      <t xml:space="preserve">IMPLEMENTACIÓN DE INTERVENCIÓN INTEGRAL APD CON </t>
    </r>
    <r>
      <rPr>
        <b/>
        <sz val="11"/>
        <color rgb="FFFF0000"/>
        <rFont val="Arial Narrow"/>
        <family val="2"/>
      </rPr>
      <t>ENFOQUE DIFERENCIAL</t>
    </r>
    <r>
      <rPr>
        <b/>
        <sz val="11"/>
        <rFont val="Arial Narrow"/>
        <family val="2"/>
      </rPr>
      <t xml:space="preserve"> ÉTNICO PARA INDIGENAS Y AFROS A NIVEL  NACIONAL</t>
    </r>
  </si>
  <si>
    <r>
      <t>IMPLEMENTACIÓN DE</t>
    </r>
    <r>
      <rPr>
        <b/>
        <sz val="11"/>
        <color rgb="FFFF0000"/>
        <rFont val="Arial Narrow"/>
        <family val="2"/>
      </rPr>
      <t xml:space="preserve"> TRANSFERENCIAS MONETARIAS</t>
    </r>
    <r>
      <rPr>
        <b/>
        <sz val="11"/>
        <rFont val="Arial Narrow"/>
        <family val="2"/>
      </rPr>
      <t xml:space="preserve"> CONDICIONADAS PARA POBLACIÓN VULNERABLE A NIVEL NACIONAL - FIP  NACIONAL</t>
    </r>
  </si>
  <si>
    <r>
      <t xml:space="preserve">FORTALECIMIENTO PARA EL DESARROLLO DE </t>
    </r>
    <r>
      <rPr>
        <b/>
        <sz val="11"/>
        <color rgb="FFFF0000"/>
        <rFont val="Arial Narrow"/>
        <family val="2"/>
      </rPr>
      <t>INFRAESTRUCTURA SOCIAL Y HÁBITAT</t>
    </r>
    <r>
      <rPr>
        <b/>
        <sz val="11"/>
        <rFont val="Arial Narrow"/>
        <family val="2"/>
      </rPr>
      <t xml:space="preserve"> PARA LA INCLUSIÓN SOCIAL A NIVEL NACIONAL - FIP  NACIONAL</t>
    </r>
  </si>
  <si>
    <r>
      <t xml:space="preserve">FORTALECIMIENTO A ENTIDADES TERRITORIALES EN </t>
    </r>
    <r>
      <rPr>
        <b/>
        <sz val="11"/>
        <color rgb="FFFF0000"/>
        <rFont val="Arial Narrow"/>
        <family val="2"/>
      </rPr>
      <t>POLITICA DE SEGURIDAD ALIMENTARIA</t>
    </r>
    <r>
      <rPr>
        <b/>
        <sz val="11"/>
        <rFont val="Arial Narrow"/>
        <family val="2"/>
      </rPr>
      <t xml:space="preserve">  NACIONAL</t>
    </r>
  </si>
  <si>
    <r>
      <t xml:space="preserve">IMPLEMENTACIÓN DE HERRAMIENTAS PARA LA </t>
    </r>
    <r>
      <rPr>
        <b/>
        <sz val="11"/>
        <color rgb="FFFF0000"/>
        <rFont val="Arial Narrow"/>
        <family val="2"/>
      </rPr>
      <t>INCLUSIÓN PRODUCTIVA</t>
    </r>
    <r>
      <rPr>
        <b/>
        <sz val="11"/>
        <rFont val="Arial Narrow"/>
        <family val="2"/>
      </rPr>
      <t xml:space="preserve"> DE LA POBLACIÓN EN SITUACIÓN DE POBREZA EXTREMA, VULNERABILIDAD Y VICTIMAS DEL DESPLAZAMIENTO FORZADO POR LA VIOLENCIA FIP A NIVEL  NACIONAL</t>
    </r>
  </si>
  <si>
    <r>
      <t xml:space="preserve">IMPLEMENTACIÓN DE LA ESTRATEGIA DE </t>
    </r>
    <r>
      <rPr>
        <b/>
        <sz val="11"/>
        <color rgb="FFFF0000"/>
        <rFont val="Arial Narrow"/>
        <family val="2"/>
      </rPr>
      <t>ACOMPAÑAMIENTO FAMILIAR Y COMUNITARIO</t>
    </r>
    <r>
      <rPr>
        <b/>
        <sz val="11"/>
        <rFont val="Arial Narrow"/>
        <family val="2"/>
      </rPr>
      <t xml:space="preserve"> Y GESTIÓN DE LA OFERTA SOCIAL PARA LA SUPERACIÓN DE LA POBREZA - FIP A NIVEL  NACIONAL</t>
    </r>
  </si>
  <si>
    <r>
      <t xml:space="preserve">FORTALECIMIENTO DE LA GESTIÓN DE OFERTA PARA LA </t>
    </r>
    <r>
      <rPr>
        <b/>
        <sz val="11"/>
        <color rgb="FFFF0000"/>
        <rFont val="Arial Narrow"/>
        <family val="2"/>
      </rPr>
      <t>SUPERACIÓN DE LA POBREZA</t>
    </r>
    <r>
      <rPr>
        <b/>
        <sz val="11"/>
        <rFont val="Arial Narrow"/>
        <family val="2"/>
      </rPr>
      <t>- FIP A NIVEL NACIONAL</t>
    </r>
  </si>
  <si>
    <t>IMPLEMENTACION DE TRANSFERENCIAS MONETARIAS NO CONDICIONAS PARA DISMINUIR POBREZA MONETARIA EN LA POBLACION POBRE NACIONAL NACIONAL</t>
  </si>
  <si>
    <r>
      <t xml:space="preserve">IMPLEMENTACIÓN Y AMPLIACIÓN DE LAS </t>
    </r>
    <r>
      <rPr>
        <b/>
        <sz val="11"/>
        <color rgb="FFFF0000"/>
        <rFont val="Arial Narrow"/>
        <family val="2"/>
      </rPr>
      <t>TECNOLOGÍAS DE INFORMACIÓN Y COMUNICACIONES</t>
    </r>
    <r>
      <rPr>
        <b/>
        <sz val="11"/>
        <rFont val="Arial Narrow"/>
        <family val="2"/>
      </rPr>
      <t xml:space="preserve"> EN DPS A NIVEL  NACIONAL</t>
    </r>
  </si>
  <si>
    <t xml:space="preserve">
</t>
  </si>
  <si>
    <t>REPORTE SIIF</t>
  </si>
  <si>
    <t>DIFERENCIA (*)  OK</t>
  </si>
  <si>
    <t>ADQUISICIÓN DE ACTIVOS NO FINANCIEROS</t>
  </si>
  <si>
    <t>SERVICIO DE ASISTENCIA TÉCNICA EN EL COMPONENTE DE BIENESTAR COMUNITARIO</t>
  </si>
  <si>
    <t>REC</t>
  </si>
  <si>
    <t>FUNCIONAMIENTO</t>
  </si>
  <si>
    <t>C-4101-1500</t>
  </si>
  <si>
    <t>C-4103-1500</t>
  </si>
  <si>
    <t>C-4103-1500-12</t>
  </si>
  <si>
    <t>C-4103-1500-13</t>
  </si>
  <si>
    <t>C-4103-1500-14</t>
  </si>
  <si>
    <t>C-4199-1500</t>
  </si>
  <si>
    <t/>
  </si>
  <si>
    <t>A-01=</t>
  </si>
  <si>
    <t>A-01</t>
  </si>
  <si>
    <t>A-01-01=</t>
  </si>
  <si>
    <t>A-01-01</t>
  </si>
  <si>
    <t>A-01-01-01=10</t>
  </si>
  <si>
    <t>A-01-01-01</t>
  </si>
  <si>
    <t>A-01-01-01-001=10</t>
  </si>
  <si>
    <t>A-01-01-01-001</t>
  </si>
  <si>
    <t>A-01-01-01-001-001=10</t>
  </si>
  <si>
    <t>A-01-01-01-001-001</t>
  </si>
  <si>
    <t>A-01-01-01-001-002=10</t>
  </si>
  <si>
    <t>A-01-01-01-001-002</t>
  </si>
  <si>
    <t>A-01-01-01-001-003=10</t>
  </si>
  <si>
    <t>A-01-01-01-001-003</t>
  </si>
  <si>
    <t>A-01-01-01-001-004=10</t>
  </si>
  <si>
    <t>A-01-01-01-001-004</t>
  </si>
  <si>
    <t>A-01-01-01-001-005=10</t>
  </si>
  <si>
    <t>A-01-01-01-001-005</t>
  </si>
  <si>
    <t>A-01-01-01-001-006=10</t>
  </si>
  <si>
    <t>A-01-01-01-001-006</t>
  </si>
  <si>
    <t>A-01-01-01-001-007=10</t>
  </si>
  <si>
    <t>A-01-01-01-001-007</t>
  </si>
  <si>
    <t>A-01-01-01-001-008=10</t>
  </si>
  <si>
    <t>A-01-01-01-001-008</t>
  </si>
  <si>
    <t>A-01-01-01-001-009=10</t>
  </si>
  <si>
    <t>A-01-01-01-001-009</t>
  </si>
  <si>
    <t>A-01-01-01-001-010=10</t>
  </si>
  <si>
    <t>A-01-01-01-001-010</t>
  </si>
  <si>
    <t>A-01-01-02=10</t>
  </si>
  <si>
    <t>A-01-01-02</t>
  </si>
  <si>
    <t>A-01-01-02-001=10</t>
  </si>
  <si>
    <t>A-01-01-02-001</t>
  </si>
  <si>
    <t>A-01-01-02-002=10</t>
  </si>
  <si>
    <t>A-01-01-02-002</t>
  </si>
  <si>
    <t>A-01-01-02-003=10</t>
  </si>
  <si>
    <t>A-01-01-02-003</t>
  </si>
  <si>
    <t>A-01-01-02-004=10</t>
  </si>
  <si>
    <t>A-01-01-02-004</t>
  </si>
  <si>
    <t>A-01-01-02-005=10</t>
  </si>
  <si>
    <t>A-01-01-02-005</t>
  </si>
  <si>
    <t>A-01-01-02-006=10</t>
  </si>
  <si>
    <t>A-01-01-02-006</t>
  </si>
  <si>
    <t>A-01-01-02-007=10</t>
  </si>
  <si>
    <t>A-01-01-02-007</t>
  </si>
  <si>
    <t>A-01-01-02-008=10</t>
  </si>
  <si>
    <t>A-01-01-02-008</t>
  </si>
  <si>
    <t>A-01-01-02-009=10</t>
  </si>
  <si>
    <t>A-01-01-02-009</t>
  </si>
  <si>
    <t>A-01-01-03=10</t>
  </si>
  <si>
    <t>A-01-01-03</t>
  </si>
  <si>
    <t>A-01-01-03-001=10</t>
  </si>
  <si>
    <t>A-01-01-03-001</t>
  </si>
  <si>
    <t>A-01-01-03-001-001=10</t>
  </si>
  <si>
    <t>A-01-01-03-001-001</t>
  </si>
  <si>
    <t>A-01-01-03-001-002=10</t>
  </si>
  <si>
    <t>A-01-01-03-001-002</t>
  </si>
  <si>
    <t>A-01-01-03-001-003=10</t>
  </si>
  <si>
    <t>A-01-01-03-001-003</t>
  </si>
  <si>
    <t>A-01-01-03-002=10</t>
  </si>
  <si>
    <t>A-01-01-03-002</t>
  </si>
  <si>
    <t>A-01-01-03-005=10</t>
  </si>
  <si>
    <t>A-01-01-03-005</t>
  </si>
  <si>
    <t>A-01-01-03-007</t>
  </si>
  <si>
    <t>A-01-01-03-013=10</t>
  </si>
  <si>
    <t>A-01-01-03-013</t>
  </si>
  <si>
    <t>A-01-01-03-016=10</t>
  </si>
  <si>
    <t>A-01-01-03-016</t>
  </si>
  <si>
    <t>A-01-01-03-030=10</t>
  </si>
  <si>
    <t>A-01-01-03-030</t>
  </si>
  <si>
    <t>A-02=</t>
  </si>
  <si>
    <t>A-02</t>
  </si>
  <si>
    <t>A-02-01</t>
  </si>
  <si>
    <t>A-02-01-01</t>
  </si>
  <si>
    <t>A-02-01-01-004</t>
  </si>
  <si>
    <t>A-02-02=</t>
  </si>
  <si>
    <t>A-02-02</t>
  </si>
  <si>
    <t>A-02-02-01=10</t>
  </si>
  <si>
    <t>A-02-02-01</t>
  </si>
  <si>
    <t>A-02-02-01-001=10</t>
  </si>
  <si>
    <t>A-02-02-01-001</t>
  </si>
  <si>
    <t>A-02-02-01-002=10</t>
  </si>
  <si>
    <t>A-02-02-01-002</t>
  </si>
  <si>
    <t>A-02-02-01-003=10</t>
  </si>
  <si>
    <t>A-02-02-01-003</t>
  </si>
  <si>
    <t>A-02-02-01-004=10</t>
  </si>
  <si>
    <t>A-02-02-01-004</t>
  </si>
  <si>
    <t>A-02-02-02=10</t>
  </si>
  <si>
    <t>A-02-02-02</t>
  </si>
  <si>
    <t>A-02-02-02-006=10</t>
  </si>
  <si>
    <t>A-02-02-02-006</t>
  </si>
  <si>
    <t>A-02-02-02-007=10</t>
  </si>
  <si>
    <t>A-02-02-02-007</t>
  </si>
  <si>
    <t>A-02-02-02-008=10</t>
  </si>
  <si>
    <t>A-02-02-02-008</t>
  </si>
  <si>
    <t>A-02-02-02-009=10</t>
  </si>
  <si>
    <t>A-02-02-02-009</t>
  </si>
  <si>
    <t>A-02-02-02-010=10</t>
  </si>
  <si>
    <t>A-02-02-02-010</t>
  </si>
  <si>
    <t>A-03=</t>
  </si>
  <si>
    <t>A-03</t>
  </si>
  <si>
    <t>A-03-04=</t>
  </si>
  <si>
    <t>A-03-04</t>
  </si>
  <si>
    <t>A-03-04-02=10</t>
  </si>
  <si>
    <t>A-03-04-02</t>
  </si>
  <si>
    <t>A-03-04-02-012=10</t>
  </si>
  <si>
    <t>A-03-04-02-012</t>
  </si>
  <si>
    <t>A-03-04-02-012-001=10</t>
  </si>
  <si>
    <t>A-03-04-02-012-001</t>
  </si>
  <si>
    <t>A-03-04-02-012-002=10</t>
  </si>
  <si>
    <t>A-03-04-02-012-002</t>
  </si>
  <si>
    <t>A-03-04-02-025=10</t>
  </si>
  <si>
    <t>A-03-04-02-025</t>
  </si>
  <si>
    <t>A-03-10=</t>
  </si>
  <si>
    <t>A-03-10</t>
  </si>
  <si>
    <t>A-03-10-01=11</t>
  </si>
  <si>
    <t>A-03-10-01</t>
  </si>
  <si>
    <t>A-03-10-01-001</t>
  </si>
  <si>
    <t>A-03-10-01-002</t>
  </si>
  <si>
    <t>A-08=</t>
  </si>
  <si>
    <t>A-08</t>
  </si>
  <si>
    <t>A-08-01=</t>
  </si>
  <si>
    <t>A-08-01</t>
  </si>
  <si>
    <t>A-08-01-02=10</t>
  </si>
  <si>
    <t>A-08-01-02</t>
  </si>
  <si>
    <t>A-08-01-02-001=10</t>
  </si>
  <si>
    <t>A-08-01-02-001</t>
  </si>
  <si>
    <t>A-08-01-02-004=10</t>
  </si>
  <si>
    <t>A-08-01-02-004</t>
  </si>
  <si>
    <t>A-08-01-02-006=10</t>
  </si>
  <si>
    <t>A-08-01-02-006</t>
  </si>
  <si>
    <t>A-08-04</t>
  </si>
  <si>
    <t>A-08-04-01=11</t>
  </si>
  <si>
    <t>A-08-04-01</t>
  </si>
  <si>
    <t>C
=</t>
  </si>
  <si>
    <t>C-4101=</t>
  </si>
  <si>
    <t>C-4101</t>
  </si>
  <si>
    <t>C-4101-1500=</t>
  </si>
  <si>
    <t>C-4101-1500-5=</t>
  </si>
  <si>
    <t>C-4101-1500-5</t>
  </si>
  <si>
    <t>C-4101-1500-5-0-4101073</t>
  </si>
  <si>
    <t>C-4101-1500-5-0-4101073-02</t>
  </si>
  <si>
    <t>C-4101-1500-5-0-4101074</t>
  </si>
  <si>
    <t>C-4101-1500-5-0-4101074-02</t>
  </si>
  <si>
    <t>C-4101-1500-5-0-4101077</t>
  </si>
  <si>
    <t>C-4101-1500-5-0-4101077-02</t>
  </si>
  <si>
    <t>C-4101-1500-5-0-4101078</t>
  </si>
  <si>
    <t>C-4101-1500-5-0-4101078-02</t>
  </si>
  <si>
    <t>C-4101-1500-5-0-4101080</t>
  </si>
  <si>
    <t>C-4101-1500-5-0-4101080-02</t>
  </si>
  <si>
    <t>C-4101-1500-5-0-4101081</t>
  </si>
  <si>
    <t>C-4101-1500-5-0-4101081-02</t>
  </si>
  <si>
    <t>C-4101-1500-6=</t>
  </si>
  <si>
    <t>C-4101-1500-6</t>
  </si>
  <si>
    <t>C-4101-1500-6-0-4101073=11</t>
  </si>
  <si>
    <t>C-4101-1500-6-0-4101073</t>
  </si>
  <si>
    <t>C-4101-1500-6-0-4101073-02=11</t>
  </si>
  <si>
    <t>C-4101-1500-6-0-4101073-02</t>
  </si>
  <si>
    <t>C-4101-1500-6-0-4101074=11</t>
  </si>
  <si>
    <t>C-4101-1500-6-0-4101074</t>
  </si>
  <si>
    <t>C-4101-1500-6-0-4101074-02=11</t>
  </si>
  <si>
    <t>C-4101-1500-6-0-4101074-02</t>
  </si>
  <si>
    <t>C-4101-1500-6-0-4101077=11</t>
  </si>
  <si>
    <t>C-4101-1500-6-0-4101077</t>
  </si>
  <si>
    <t>C-4101-1500-6-0-4101077-02=11</t>
  </si>
  <si>
    <t>C-4101-1500-6-0-4101077-02</t>
  </si>
  <si>
    <t>C-4101-1500-6-0-4101078=11</t>
  </si>
  <si>
    <t>C-4101-1500-6-0-4101078</t>
  </si>
  <si>
    <t>C-4101-1500-6-0-4101078-02=11</t>
  </si>
  <si>
    <t>C-4101-1500-6-0-4101078-02</t>
  </si>
  <si>
    <t>C-4101-1500-6-0-4101080=11</t>
  </si>
  <si>
    <t>C-4101-1500-6-0-4101080</t>
  </si>
  <si>
    <t>C-4101-1500-6-0-4101080-02=11</t>
  </si>
  <si>
    <t>C-4101-1500-6-0-4101080-02</t>
  </si>
  <si>
    <t>C-4101-1500-6-0-4101081=11</t>
  </si>
  <si>
    <t>C-4101-1500-6-0-4101081</t>
  </si>
  <si>
    <t>C-4101-1500-6-0-4101081-02=11</t>
  </si>
  <si>
    <t>C-4101-1500-6-0-4101081-02</t>
  </si>
  <si>
    <t>C-4101-1500-6-0-4101081-03=11</t>
  </si>
  <si>
    <t>C-4101-1500-6-0-4101081-03</t>
  </si>
  <si>
    <t>C-4103=</t>
  </si>
  <si>
    <t>C-4103</t>
  </si>
  <si>
    <t>C-4103-1500=</t>
  </si>
  <si>
    <t>C-4103-1500-12=</t>
  </si>
  <si>
    <t>C-4103-1500-12-0-4103006=</t>
  </si>
  <si>
    <t>C-4103-1500-12-0-4103006</t>
  </si>
  <si>
    <t>C-4103-1500-12-0-4103006-02=10</t>
  </si>
  <si>
    <t>C-4103-1500-12-0-4103006-02</t>
  </si>
  <si>
    <t>C-4103-1500-12-0-4103006-02=11</t>
  </si>
  <si>
    <t>C-4103-1500-12-0-4103006-03=10</t>
  </si>
  <si>
    <t>C-4103-1500-12-0-4103006-03</t>
  </si>
  <si>
    <t>C-4103-1500-12-0-4103006-03=11</t>
  </si>
  <si>
    <t>C-4103-1500-12-0-4103009=10</t>
  </si>
  <si>
    <t>C-4103-1500-12-0-4103009</t>
  </si>
  <si>
    <t>C-4103-1500-12-0-4103009-02=10</t>
  </si>
  <si>
    <t>C-4103-1500-12-0-4103009-02</t>
  </si>
  <si>
    <t>C-4103-1500-12-0-4103047</t>
  </si>
  <si>
    <t>C-4103-1500-12-0-4103047-02</t>
  </si>
  <si>
    <t>C-4103-1500-13=</t>
  </si>
  <si>
    <t>C-4103-1500-13-0-4103051</t>
  </si>
  <si>
    <t>C-4103-1500-13-0-4103051-02</t>
  </si>
  <si>
    <t>C-4103-1500-13-0-4103053</t>
  </si>
  <si>
    <t>C-4103-1500-13-0-4103053-02</t>
  </si>
  <si>
    <t>C-4103-1500-13-0-4103054</t>
  </si>
  <si>
    <t>C-4103-1500-13-0-4103054-02</t>
  </si>
  <si>
    <t>C-4103-1500-13-0-4103055</t>
  </si>
  <si>
    <t>C-4103-1500-13-0-4103055-02</t>
  </si>
  <si>
    <t>C-4103-1500-14=</t>
  </si>
  <si>
    <t>C-4103-1500-14-0-4103016=</t>
  </si>
  <si>
    <t>C-4103-1500-14-0-4103016</t>
  </si>
  <si>
    <t>C-4103-1500-14-0-4103016-02</t>
  </si>
  <si>
    <t>C-4103-1500-14-0-4103016-02=11</t>
  </si>
  <si>
    <t>C-4103-1500-14-0-4103016-03=10</t>
  </si>
  <si>
    <t>C-4103-1500-14-0-4103016-03</t>
  </si>
  <si>
    <t>C-4103-1500-14-0-4103016-03=11</t>
  </si>
  <si>
    <t>C-4103-1500-14-0-4103048</t>
  </si>
  <si>
    <t>C-4103-1500-14-0-4103048-02</t>
  </si>
  <si>
    <t>C-4103-1500-14-0-4103048-02=11</t>
  </si>
  <si>
    <t>C-4103-1500-16=</t>
  </si>
  <si>
    <t>C-4103-1500-16</t>
  </si>
  <si>
    <t>C-4103-1500-16-0-4103056=11</t>
  </si>
  <si>
    <t>C-4103-1500-16-0-4103056</t>
  </si>
  <si>
    <t>C-4103-1500-16-0-4103056-02=11</t>
  </si>
  <si>
    <t>C-4103-1500-16-0-4103056-02</t>
  </si>
  <si>
    <t>C-4103-1500-16-0-4103060=11</t>
  </si>
  <si>
    <t>C-4103-1500-16-0-4103060</t>
  </si>
  <si>
    <t>C-4103-1500-16-0-4103060-02=11</t>
  </si>
  <si>
    <t>C-4103-1500-16-0-4103060-02</t>
  </si>
  <si>
    <t>C-4103-1500-17=</t>
  </si>
  <si>
    <t>C-4103-1500-17</t>
  </si>
  <si>
    <t>C-4103-1500-17-0-4103005</t>
  </si>
  <si>
    <t>C-4103-1500-17-0-4103005-02</t>
  </si>
  <si>
    <t>C-4103-1500-17-0-4103057</t>
  </si>
  <si>
    <t>C-4103-1500-17-0-4103057-02</t>
  </si>
  <si>
    <t>C-4103-1500-17-0-4103057-03</t>
  </si>
  <si>
    <t>C-4103-1500-17-0-4103058</t>
  </si>
  <si>
    <t>C-4103-1500-17-0-4103058-02</t>
  </si>
  <si>
    <t>C-4103-1500-17-0-4103058-02=11</t>
  </si>
  <si>
    <t>C-4103-1500-17-0-4103058-03</t>
  </si>
  <si>
    <t>C-4103-1500-17-0-4103059</t>
  </si>
  <si>
    <t>C-4103-1500-17-0-4103059-02</t>
  </si>
  <si>
    <t>C-4103-1500-17-0-4103059-02=11</t>
  </si>
  <si>
    <t>C-4199=</t>
  </si>
  <si>
    <t>C-4199</t>
  </si>
  <si>
    <t>C-4199-1500=</t>
  </si>
  <si>
    <t>C-4199-1500-2=</t>
  </si>
  <si>
    <t>C-4199-1500-2</t>
  </si>
  <si>
    <t>C-4199-1500-2-0-4199062</t>
  </si>
  <si>
    <t>C-4199-1500-2-0-4199062-02</t>
  </si>
  <si>
    <t>=</t>
  </si>
  <si>
    <t>A=</t>
  </si>
  <si>
    <t>A-01-01-01-001-012=10</t>
  </si>
  <si>
    <t>A-01-01-01-001-012</t>
  </si>
  <si>
    <t>A-02-02-01-001-005=10</t>
  </si>
  <si>
    <t>A-02-02-01-001-005</t>
  </si>
  <si>
    <t>A-02-02-01-001-007=10</t>
  </si>
  <si>
    <t>A-02-02-01-001-007</t>
  </si>
  <si>
    <t>A-02-02-01-002-008=10</t>
  </si>
  <si>
    <t>A-02-02-01-002-008</t>
  </si>
  <si>
    <t>A-02-02-01-003-002=10</t>
  </si>
  <si>
    <t>A-02-02-01-003-002</t>
  </si>
  <si>
    <t>A-02-02-01-003-003=10</t>
  </si>
  <si>
    <t>A-02-02-01-003-003</t>
  </si>
  <si>
    <t>A-02-02-01-003-005=10</t>
  </si>
  <si>
    <t>A-02-02-01-003-005</t>
  </si>
  <si>
    <t>A-02-02-01-003-006=10</t>
  </si>
  <si>
    <t>A-02-02-01-003-006</t>
  </si>
  <si>
    <t>A-02-02-01-003-007=10</t>
  </si>
  <si>
    <t>A-02-02-01-003-007</t>
  </si>
  <si>
    <t>A-02-02-01-003-008=10</t>
  </si>
  <si>
    <t>A-02-02-01-003-008</t>
  </si>
  <si>
    <t>A-02-02-01-004-002=10</t>
  </si>
  <si>
    <t>A-02-02-01-004-002</t>
  </si>
  <si>
    <t>A-02-02-01-004-005=10</t>
  </si>
  <si>
    <t>A-02-02-01-004-005</t>
  </si>
  <si>
    <t>A-02-02-01-004-006=10</t>
  </si>
  <si>
    <t>A-02-02-01-004-006</t>
  </si>
  <si>
    <t>A-02-02-01-004-007=10</t>
  </si>
  <si>
    <t>A-02-02-01-004-007</t>
  </si>
  <si>
    <t>A-02-02-01-004-008=10</t>
  </si>
  <si>
    <t>A-02-02-01-004-008</t>
  </si>
  <si>
    <t>A-02-02-02-006-003=10</t>
  </si>
  <si>
    <t>A-02-02-02-006-003</t>
  </si>
  <si>
    <t>A-02-02-02-006-004=10</t>
  </si>
  <si>
    <t>A-02-02-02-006-004</t>
  </si>
  <si>
    <t>A-02-02-02-006-005=10</t>
  </si>
  <si>
    <t>A-02-02-02-006-005</t>
  </si>
  <si>
    <t>A-02-02-02-006-006=10</t>
  </si>
  <si>
    <t>A-02-02-02-006-006</t>
  </si>
  <si>
    <t>A-02-02-02-006-008=10</t>
  </si>
  <si>
    <t>A-02-02-02-006-008</t>
  </si>
  <si>
    <t>A-02-02-02-006-009=10</t>
  </si>
  <si>
    <t>A-02-02-02-006-009</t>
  </si>
  <si>
    <t>A-02-02-02-007-001=10</t>
  </si>
  <si>
    <t>A-02-02-02-007-001</t>
  </si>
  <si>
    <t>A-02-02-02-007-002=10</t>
  </si>
  <si>
    <t>A-02-02-02-007-002</t>
  </si>
  <si>
    <t>A-02-02-02-008-002=10</t>
  </si>
  <si>
    <t>A-02-02-02-008-002</t>
  </si>
  <si>
    <t>A-02-02-02-008-003=10</t>
  </si>
  <si>
    <t>A-02-02-02-008-003</t>
  </si>
  <si>
    <t>A-02-02-02-008-004=10</t>
  </si>
  <si>
    <t>A-02-02-02-008-004</t>
  </si>
  <si>
    <t>A-02-02-02-008-005=10</t>
  </si>
  <si>
    <t>A-02-02-02-008-005</t>
  </si>
  <si>
    <t>A-02-02-02-008-007=10</t>
  </si>
  <si>
    <t>A-02-02-02-008-007</t>
  </si>
  <si>
    <t>A-02-02-02-008-009=10</t>
  </si>
  <si>
    <t>A-02-02-02-008-009</t>
  </si>
  <si>
    <t>A-02-02-02-009-002=10</t>
  </si>
  <si>
    <t>A-02-02-02-009-002</t>
  </si>
  <si>
    <t>A-02-02-02-009-003=10</t>
  </si>
  <si>
    <t>A-02-02-02-009-003</t>
  </si>
  <si>
    <t>A-02-02-02-009-004=10</t>
  </si>
  <si>
    <t>A-02-02-02-009-004</t>
  </si>
  <si>
    <t>A-02-02-02-009-006=10</t>
  </si>
  <si>
    <t>A-02-02-02-009-006</t>
  </si>
  <si>
    <t>A-02-02-02-009-007=10</t>
  </si>
  <si>
    <t>A-02-02-02-009-007</t>
  </si>
  <si>
    <t>A-03-03=</t>
  </si>
  <si>
    <t>A-03-03</t>
  </si>
  <si>
    <t>A-03-03-01=</t>
  </si>
  <si>
    <t>A-03-03-01</t>
  </si>
  <si>
    <t>A-03-03-01-082=54</t>
  </si>
  <si>
    <t>A-03-03-01-082</t>
  </si>
  <si>
    <t>A-03-03-01-999=10</t>
  </si>
  <si>
    <t>A-03-03-01-999</t>
  </si>
  <si>
    <t>A-03-10-01-001=10</t>
  </si>
  <si>
    <t>A-08-04=</t>
  </si>
  <si>
    <t>C-4101-1500-5-0-4101073=11</t>
  </si>
  <si>
    <t>C-4101-1500-5-0-4101073-02=11</t>
  </si>
  <si>
    <t>C-4101-1500-5-0-4101074=11</t>
  </si>
  <si>
    <t>C-4101-1500-5-0-4101074-02=11</t>
  </si>
  <si>
    <t>C-4101-1500-5-0-4101077=11</t>
  </si>
  <si>
    <t>C-4101-1500-5-0-4101077-02=11</t>
  </si>
  <si>
    <t>C-4101-1500-5-0-4101078=11</t>
  </si>
  <si>
    <t>C-4101-1500-5-0-4101078-02=11</t>
  </si>
  <si>
    <t>C-4101-1500-5-0-4101080=11</t>
  </si>
  <si>
    <t>C-4101-1500-5-0-4101080-02=11</t>
  </si>
  <si>
    <t>C-4101-1500-5-0-4101081=11</t>
  </si>
  <si>
    <t>C-4101-1500-5-0-4101081-02=11</t>
  </si>
  <si>
    <t>C-4103-1500-13-0-4103051=11</t>
  </si>
  <si>
    <t>C-4103-1500-13-0-4103051-02=11</t>
  </si>
  <si>
    <t>C-4103-1500-13-0-4103053=11</t>
  </si>
  <si>
    <t>C-4103-1500-13-0-4103053-02=11</t>
  </si>
  <si>
    <t>C-4103-1500-13-0-4103054=11</t>
  </si>
  <si>
    <t>C-4103-1500-13-0-4103054-02=11</t>
  </si>
  <si>
    <t>C-4103-1500-13-0-4103055=11</t>
  </si>
  <si>
    <t>C-4103-1500-13-0-4103055-02=11</t>
  </si>
  <si>
    <t>C-4103-1500-14-0-4103048=11</t>
  </si>
  <si>
    <t>C-4103-1500-17-0-4103005=11</t>
  </si>
  <si>
    <t>C-4103-1500-17-0-4103005-02=11</t>
  </si>
  <si>
    <t>C-4103-1500-17-0-4103057=11</t>
  </si>
  <si>
    <t>C-4103-1500-17-0-4103057-03=11</t>
  </si>
  <si>
    <t>C-4103-1500-17-0-4103058=11</t>
  </si>
  <si>
    <t>C-4103-1500-17-0-4103059=11</t>
  </si>
  <si>
    <t>C-4103-1500-18=</t>
  </si>
  <si>
    <t>C-4103-1500-18</t>
  </si>
  <si>
    <t>C-4103-1500-18-0-4103050=11</t>
  </si>
  <si>
    <t>C-4103-1500-18-0-4103050</t>
  </si>
  <si>
    <t>C-4103-1500-18-0-4103050-02=11</t>
  </si>
  <si>
    <t>C-4103-1500-18-0-4103050-02</t>
  </si>
  <si>
    <t>C-4103-1500-19=</t>
  </si>
  <si>
    <t>C-4103-1500-19</t>
  </si>
  <si>
    <t>C-4103-1500-19-0-4103049=11</t>
  </si>
  <si>
    <t>C-4103-1500-19-0-4103049</t>
  </si>
  <si>
    <t>C-4103-1500-19-0-4103049-02=11</t>
  </si>
  <si>
    <t>C-4103-1500-19-0-4103049-02</t>
  </si>
  <si>
    <t>C-4103-1500-19-0-4103052=11</t>
  </si>
  <si>
    <t>C-4103-1500-19-0-4103052</t>
  </si>
  <si>
    <t>C-4103-1500-19-0-4103052-02=11</t>
  </si>
  <si>
    <t>C-4103-1500-19-0-4103052-02</t>
  </si>
  <si>
    <t>C-4103-1500-19-0-4103060=11</t>
  </si>
  <si>
    <t>C-4103-1500-19-0-4103060</t>
  </si>
  <si>
    <t>C-4103-1500-19-0-4103060-02=11</t>
  </si>
  <si>
    <t>C-4103-1500-19-0-4103060-02</t>
  </si>
  <si>
    <t>C-4103-1500-20=</t>
  </si>
  <si>
    <t>C-4103-1500-20</t>
  </si>
  <si>
    <t>C-4103-1500-20-0-4103061=11</t>
  </si>
  <si>
    <t>C-4103-1500-20-0-4103061</t>
  </si>
  <si>
    <t>C-4103-1500-20-0-4103061-02=11</t>
  </si>
  <si>
    <t>C-4103-1500-20-0-4103061-02</t>
  </si>
  <si>
    <t>C-4103-1500-20-0-4103061-03=11</t>
  </si>
  <si>
    <t>C-4103-1500-20-0-4103061-03</t>
  </si>
  <si>
    <t>C-4103-1500-23</t>
  </si>
  <si>
    <t>C-4103-1500-23--</t>
  </si>
  <si>
    <t>C-4103-1500-23---</t>
  </si>
  <si>
    <t>C-4199-1500-2-0-4199062=11</t>
  </si>
  <si>
    <t>C-4199-1500-2-0-4199062-02=11</t>
  </si>
  <si>
    <t>C-4101-1500-6-0-4101077-</t>
  </si>
  <si>
    <t>C-4101-1500-6-0-4101078-</t>
  </si>
  <si>
    <t>C-4103-1500-21</t>
  </si>
  <si>
    <t>C-4103-1500-21-0-4103005</t>
  </si>
  <si>
    <t>C-4103-1500-21-0-4103005-02</t>
  </si>
  <si>
    <t>C-4103-1500-21-0-4103050</t>
  </si>
  <si>
    <t>C-4103-1500-21-0-4103050-02</t>
  </si>
  <si>
    <t>C-4103-1500-21-0-4103051</t>
  </si>
  <si>
    <t>C-4103-1500-21-0-4103051-02</t>
  </si>
  <si>
    <t>C-4103-1500-21-0-4103055</t>
  </si>
  <si>
    <t>C-4103-1500-21-0-4103055-02</t>
  </si>
  <si>
    <t>C-4103-1500-21-0-4103058</t>
  </si>
  <si>
    <t>C-4103-1500-21-0-4103058-02</t>
  </si>
  <si>
    <t>C-4103-1500-21-0-4103058-03</t>
  </si>
  <si>
    <t>C-4103-1500-22</t>
  </si>
  <si>
    <t>C-4103-1500-22-0-4103005</t>
  </si>
  <si>
    <t>C-4103-1500-22-0-4103005-02</t>
  </si>
  <si>
    <t>C-4103-1500-22-0-4103050</t>
  </si>
  <si>
    <t>C-4103-1500-22-0-4103050-02</t>
  </si>
  <si>
    <t>C-4103-1500-22-0-4103050-03</t>
  </si>
  <si>
    <t>C-4103-1500-22-0-4103051</t>
  </si>
  <si>
    <t>C-4103-1500-22-0-4103051-02</t>
  </si>
  <si>
    <t>C-4103-1500-22-0-4103055</t>
  </si>
  <si>
    <t>C-4103-1500-22-0-4103055-02</t>
  </si>
  <si>
    <t>C-4103-1500-22-0-4103055-03</t>
  </si>
  <si>
    <t>C-4103-1500-22-0-4103057</t>
  </si>
  <si>
    <t>C-4103-1500-22-0-4103057-02</t>
  </si>
  <si>
    <t>C-4103-1500-22-0-4103057-03</t>
  </si>
  <si>
    <t>C-4103-1500-22-0-4103062</t>
  </si>
  <si>
    <t>C-4103-1500-22-0-4103062-02</t>
  </si>
  <si>
    <t>C-4103-1500-22-0-4103062-03</t>
  </si>
  <si>
    <t>C-4103-1500-23-0-4103065</t>
  </si>
  <si>
    <t>C-4103-1500-23-0-4103065-02</t>
  </si>
  <si>
    <t>C-4103-1500-23-0-4103065-03</t>
  </si>
  <si>
    <t>A-02-01-01-004-006</t>
  </si>
  <si>
    <t>A-02-01-01-004-007</t>
  </si>
  <si>
    <t>A-08-05</t>
  </si>
  <si>
    <t>A-08-05-01</t>
  </si>
  <si>
    <t>A-08-05-02</t>
  </si>
  <si>
    <t>B-10</t>
  </si>
  <si>
    <t>B-10-04</t>
  </si>
  <si>
    <t>B-10-04-01</t>
  </si>
  <si>
    <t>C-4103-1500-24</t>
  </si>
  <si>
    <t>C-4103-1500-24-0-4103061</t>
  </si>
  <si>
    <t>C-4103-1500-24-0-4103061-02</t>
  </si>
  <si>
    <t>C-4103-1500-24-0-4103061-03</t>
  </si>
  <si>
    <t>FRANCISCO TORRES RODRIGUEZ</t>
  </si>
  <si>
    <t>% OBLIG</t>
  </si>
  <si>
    <t>GLORIA E. CASTAÑEDA SIERRA</t>
  </si>
  <si>
    <t xml:space="preserve">Profesional Especializado GIT Presupuesto </t>
  </si>
  <si>
    <t>EJECUCIÓN PRESUPUESTAL VIGENCIA 2020  AL 31 DE MARZO DE 2020</t>
  </si>
  <si>
    <t>IMPLEMENTACIÓN DE TRANSFERENCIAS MONETARIAS NO CONDICIONADAS PARA DISMINUÍR POBREZA MONETARIA EN LA POBLACIÓN POBRE NACIONAL</t>
  </si>
  <si>
    <t>A-03-03-01=10</t>
  </si>
  <si>
    <t>C-4101-1500-20-0-4103061-02=11</t>
  </si>
  <si>
    <t>C-4101-1500-20-0-4103061-02</t>
  </si>
  <si>
    <t>C-4101-1500-20-0-4103061-03=11</t>
  </si>
  <si>
    <t>C-4101-1500-20-0-4103061-03</t>
  </si>
  <si>
    <t>EJECUCIÓN PRESUPUESTAL VIGENCIA 2020 AL 30 DE JUNIO DE 2020</t>
  </si>
  <si>
    <t xml:space="preserve">FONDO DE MITIGACIÓN DE EMERGENCIAS - FOME </t>
  </si>
  <si>
    <t>SUB
CTA</t>
  </si>
  <si>
    <t>OBJ</t>
  </si>
  <si>
    <t>SOR
ORD</t>
  </si>
  <si>
    <t>SUB
ITEM</t>
  </si>
  <si>
    <t>SUB
ITEM 2</t>
  </si>
  <si>
    <t>FUENTE</t>
  </si>
  <si>
    <t>DESCRIPCION</t>
  </si>
  <si>
    <t>APR. VIGENTE</t>
  </si>
  <si>
    <t>COMPROMISO</t>
  </si>
  <si>
    <t>OBLIGACION</t>
  </si>
  <si>
    <t>Nación</t>
  </si>
  <si>
    <t>54</t>
  </si>
  <si>
    <t>INCAPACIDADES Y LICENCIAS DE MATERNIDAD Y PATERNIDAD (NO DE PENSIONES)</t>
  </si>
  <si>
    <t>IMPLEMENTACIÓN DE INTERVENCIÓN INTEGRAL APD CON ENFOQUE DIFERENCIAL ÉTNICO PARA INDIGENAS Y AFROS A NIVEL  NACIONAL</t>
  </si>
  <si>
    <t>IMPLEMENTACIÓN DE UN ESQUEMA ESPECIAL DE ACOMPAÑAMIENTO FAMILIAR DIRIGIDO A LA POBLACIÓN VICTIMA DE DESPLAZAMIENTO FORZADO RETORNADA O REUBICADA EN ZONAS RURALES, A NIVEL  NACIONAL</t>
  </si>
  <si>
    <t>IMPLEMENTACIÓN DE TRANSFERENCIAS MONETARIAS CONDICIONADAS PARA POBLACIÓN VULNERABLE A NIVEL NACIONAL - FIP  NACIONAL</t>
  </si>
  <si>
    <t>IMPLEMENTACIÓN DE UNIDADES PRODUCTIVAS DE AUTOCONSUMO PARA POBLACIÓN POBRE Y VULNERABLE   NACIONAL</t>
  </si>
  <si>
    <t>FORTALECIMIENTO PARA EL DESARROLLO DE INFRAESTRUCTURA SOCIAL Y HÁBITAT PARA LA INCLUSIÓN SOCIAL A NIVEL NACIONAL - FIP  NACIONAL</t>
  </si>
  <si>
    <t>FORTALECIMIENTO A ENTIDADES TERRITORIALES EN POLITICA DE SEGURIDAD ALIMENTARIA  NACIONAL</t>
  </si>
  <si>
    <t>IMPLEMENTACIÓN DE HERRAMIENTAS PARA LA INCLUSIÓN PRODUCTIVA DE LA POBLACIÓN EN SITUACIÓN DE POBREZA EXTREMA, VULNERABILIDAD Y VICTIMAS DEL DESPLAZAMIENTO FORZADO POR LA VIOLENCIA FIP A NIVEL  NACIONAL</t>
  </si>
  <si>
    <t>18</t>
  </si>
  <si>
    <t>IMPLEMENTACIÓN DE LA ESTRATEGIA DE ACOMPAÑAMIENTO FAMILIAR Y COMUNITARIO PARA LA SUPERACIÓN DE LA POBREZA - FIP A NIVEL   NACIONAL</t>
  </si>
  <si>
    <t>19</t>
  </si>
  <si>
    <t>FORTALECIMIENTO DE LA GESTIÓN DE OFERTA PARA LA SUPERACIÓN DE LA POBREZA- FIP A NIVEL  NACIONAL</t>
  </si>
  <si>
    <t>20</t>
  </si>
  <si>
    <t>23</t>
  </si>
  <si>
    <t>IMPLEMENTACIÓN Y AMPLIACIÓN DE LAS TECNOLOGÍAS DE INFORMACIÓN Y COMUNICACIONES EN DPS A NIVEL  NACIONAL</t>
  </si>
  <si>
    <t>EJECUCIÓN PRESUPUESTAL VIGENCIA 2021 AL 31 DE MARZO DE 2021</t>
  </si>
  <si>
    <r>
      <t xml:space="preserve">IMPLEMENTACION DE </t>
    </r>
    <r>
      <rPr>
        <b/>
        <sz val="11"/>
        <color rgb="FFFF0000"/>
        <rFont val="Arial Narrow"/>
        <family val="2"/>
      </rPr>
      <t xml:space="preserve">TRANSFERENCIAS MONETARIAS NO CONDICIONAS </t>
    </r>
    <r>
      <rPr>
        <b/>
        <sz val="11"/>
        <rFont val="Arial Narrow"/>
        <family val="2"/>
      </rPr>
      <t>PARA DISMINUIR POBREZA MONETARIA EN LA POBLACION POBRE NACIONAL NACIONAL</t>
    </r>
  </si>
  <si>
    <r>
      <t xml:space="preserve">IMPLEMENTACIÓN DE INTERVENCIÓN INTEGRAL A POBLACIÓN CON </t>
    </r>
    <r>
      <rPr>
        <b/>
        <sz val="11"/>
        <color rgb="FFFF0000"/>
        <rFont val="Arial Narrow"/>
        <family val="2"/>
      </rPr>
      <t>ENFOQUE DIFERENCIAL</t>
    </r>
    <r>
      <rPr>
        <b/>
        <sz val="11"/>
        <rFont val="Arial Narrow"/>
        <family val="2"/>
      </rPr>
      <t xml:space="preserve"> ÉTNICO, A NIVEL NACIONAL</t>
    </r>
  </si>
  <si>
    <r>
      <t>IMPLEMENTACIÓN DE SUBSIDIO ECONÓMICO PARA</t>
    </r>
    <r>
      <rPr>
        <b/>
        <sz val="11"/>
        <color rgb="FFFF0000"/>
        <rFont val="Arial Narrow"/>
        <family val="2"/>
      </rPr>
      <t xml:space="preserve"> POBLACIÓN ADULTA MAYOR</t>
    </r>
    <r>
      <rPr>
        <b/>
        <sz val="11"/>
        <rFont val="Arial Narrow"/>
        <family val="2"/>
      </rPr>
      <t xml:space="preserve"> EN SITUACIÓN DE VULNERABILIDAD - NACIONAL</t>
    </r>
  </si>
  <si>
    <t>A-03-03-01-999=11</t>
  </si>
  <si>
    <t>C-4103-1500-12-0-4103009-02=11</t>
  </si>
  <si>
    <t>C-4103-1500-21=</t>
  </si>
  <si>
    <t>C-4103-1500-21-0-4103005=11</t>
  </si>
  <si>
    <t>C-4103-1500-21-0-4103005-02=11</t>
  </si>
  <si>
    <t>C-4103-1500-21-0-4103050=11</t>
  </si>
  <si>
    <t>C-4103-1500-21-0-4103050-02=11</t>
  </si>
  <si>
    <t>C-4103-1500-21-0-4103051=11</t>
  </si>
  <si>
    <t>C-4103-1500-21-0-4103051-02=11</t>
  </si>
  <si>
    <t>C-4103-1500-21-0-4103055=11</t>
  </si>
  <si>
    <t>C-4103-1500-21-0-4103055-02=11</t>
  </si>
  <si>
    <t>C-4103-1500-21-0-4103058=11</t>
  </si>
  <si>
    <t>C-4103-1500-21-0-4103058-02=11</t>
  </si>
  <si>
    <t>C-4103-1500-21-0-4103058-03=11</t>
  </si>
  <si>
    <t>C-4103-1500-22=</t>
  </si>
  <si>
    <t>C-4103-1500-22-0-4103005=11</t>
  </si>
  <si>
    <t>C-4103-1500-22-0-4103005-02=11</t>
  </si>
  <si>
    <t>C-4103-1500-22-0-4103050=11</t>
  </si>
  <si>
    <t>C-4103-1500-22-0-4103050-02=11</t>
  </si>
  <si>
    <t>C-4103-1500-22-0-4103050-03=11</t>
  </si>
  <si>
    <t>C-4103-1500-22-0-4103051=11</t>
  </si>
  <si>
    <t>C-4103-1500-22-0-4103051-02=11</t>
  </si>
  <si>
    <t>C-4103-1500-22-0-4103055=11</t>
  </si>
  <si>
    <t>C-4103-1500-22-0-4103055-02=11</t>
  </si>
  <si>
    <t>C-4103-1500-22-0-4103055-03=11</t>
  </si>
  <si>
    <t>C-4103-1500-22-0-4103057=11</t>
  </si>
  <si>
    <t>C-4103-1500-22-0-4103057-02=11</t>
  </si>
  <si>
    <t>C-4103-1500-22-0-4103057-03=11</t>
  </si>
  <si>
    <t>C-4103-1500-22-0-4103062=11</t>
  </si>
  <si>
    <t>C-4103-1500-22-0-4103062-02=11</t>
  </si>
  <si>
    <t>C-4103-1500-22-0-4103062-03=11</t>
  </si>
  <si>
    <t>EJECUCIÓN PRESUPUESTAL VIGENCIA 2020 AL 30 DE SEPTIEMBRE DE 2020</t>
  </si>
  <si>
    <t>EJECUCIÓN PRESUPUESTAL VIGENCIA 2021 AL 30 DE JUNIO DE 2021</t>
  </si>
  <si>
    <t>% EJEC OBLIG</t>
  </si>
  <si>
    <t>EJECUCIÓN PRESUPUESTAL VIGENCIA 2021 AL 30 DE SEPTIEMBRE DE 2021</t>
  </si>
  <si>
    <t>% EJEC  OBLIG</t>
  </si>
  <si>
    <t>% EJEC  PAGOS</t>
  </si>
  <si>
    <t>EJECUCIÓN PRESUPUESTAL VIGENCIA 2022 AL 31 DE MARZO 2022</t>
  </si>
  <si>
    <t>EJECUCIÓN PRESUPUESTAL VIGENCIA 2022 AL 30 DE JUNIO 2022</t>
  </si>
  <si>
    <t>EJECUCIÓN PRESUPUESTAL VIGENCIA 2022 AL 30 DE SEPTIEMBRE 2022</t>
  </si>
  <si>
    <t>|</t>
  </si>
  <si>
    <t>EJECUCIÓN PRESUPUESTAL VIGENCIA 2023 AL 31 DE MARZO 2023</t>
  </si>
  <si>
    <t>PRODUCTOS DE MOLINERÍA, ALMIDONES Y PRODUCTOS DERIVADOS DEL ALMIDÓN; OTROS PRODUCTOS ALIMENTICIOS</t>
  </si>
  <si>
    <r>
      <t xml:space="preserve">IMPLEMENTACIÓN DE LA ESTRATEGIA DE </t>
    </r>
    <r>
      <rPr>
        <b/>
        <sz val="10"/>
        <color rgb="FFFF0000"/>
        <rFont val="MonSERRAT"/>
      </rPr>
      <t>ACOMPAÑAMIENTO FAMILIAR Y COMUNITARIO PARA LA SUPERACIÓN DE LA POBREZA</t>
    </r>
    <r>
      <rPr>
        <b/>
        <sz val="10"/>
        <rFont val="MonSERRAT"/>
      </rPr>
      <t xml:space="preserve"> - FIP A NIVEL   NACIONAL</t>
    </r>
  </si>
  <si>
    <t>SERVICIO DE ACOMPAÑAMIENTO FAMILIAR Y COMUNITARIO PARA LA SUPERACIÓN DE LA POBREZA -</t>
  </si>
  <si>
    <r>
      <t xml:space="preserve">IMPLEMENTACION  DE UNA HERRAMIENTA DE </t>
    </r>
    <r>
      <rPr>
        <b/>
        <sz val="10"/>
        <color rgb="FFFF0000"/>
        <rFont val="MonSERRAT"/>
      </rPr>
      <t>GENERACION DE INGRESOS</t>
    </r>
    <r>
      <rPr>
        <b/>
        <sz val="10"/>
        <rFont val="MonSERRAT"/>
      </rPr>
      <t xml:space="preserve"> PARA POBLACION VULNERABLE A NIVEL NACIONAL</t>
    </r>
  </si>
  <si>
    <t>A-02-02-01-002-003</t>
  </si>
  <si>
    <t>C-4103-1500-25</t>
  </si>
  <si>
    <t>C-4103-1500-25-0-4103050</t>
  </si>
  <si>
    <t>C-4103-1500-25-0-4103050-02</t>
  </si>
  <si>
    <t>C-4103-1500-25-0-4103057</t>
  </si>
  <si>
    <t>C-4103-1500-25-0-4103057-02</t>
  </si>
  <si>
    <t>C-4103-1500-25-0-4103057-03</t>
  </si>
  <si>
    <t>EJECUCIÓN PRESUPUESTAL VIGENCIA 2023 AL 30 DE JUNIO 2023</t>
  </si>
  <si>
    <t>APORTES A LA SEGURIDAD SOCIAL EN PENSIONES</t>
  </si>
  <si>
    <t>APORTES A LA SEGURIDAD SOCIAL EN SALUD</t>
  </si>
  <si>
    <t xml:space="preserve">AUXILIO DE CESANTÍAS </t>
  </si>
  <si>
    <t>APORTES A CAJAS DE COMPENSACIÓN FAMILIAR</t>
  </si>
  <si>
    <t>VACACIONES</t>
  </si>
  <si>
    <t>PRESTACIONES PARA CUBRIR RIESGOS SOCIALES</t>
  </si>
  <si>
    <t>SERVICIO DE LA DEUDA PÚBLICA</t>
  </si>
  <si>
    <r>
      <t xml:space="preserve">IMPLEMENTACIÓN DE </t>
    </r>
    <r>
      <rPr>
        <b/>
        <sz val="10"/>
        <color rgb="FFFF0000"/>
        <rFont val="Helvética Light"/>
      </rPr>
      <t>TRANSFERENCIAS MONETARIAS CONDICIONADAS</t>
    </r>
    <r>
      <rPr>
        <b/>
        <sz val="10"/>
        <rFont val="Helvética Light"/>
      </rPr>
      <t xml:space="preserve"> PARA POBLACIÓN VULNERABLE A NIVEL NACIONAL-FIP NACIONAL</t>
    </r>
  </si>
  <si>
    <r>
      <t>IMPLEMENTACIÓN DE UNIDADES PRODUCTIVAS DE AUTOCONSUMO PARA POBLACIÓN POBRE Y VULNERABLE NACIONAL-</t>
    </r>
    <r>
      <rPr>
        <b/>
        <sz val="10"/>
        <color rgb="FFFF0000"/>
        <rFont val="Helvética Light"/>
      </rPr>
      <t>RESA</t>
    </r>
  </si>
  <si>
    <r>
      <t xml:space="preserve">FORTALECIMIENTO PARA EL DESARROLLO DE </t>
    </r>
    <r>
      <rPr>
        <b/>
        <sz val="10"/>
        <color rgb="FFFF0000"/>
        <rFont val="Helvética Light"/>
      </rPr>
      <t>INFRAESTRUCTURA SOCIAL Y HÁBITAT</t>
    </r>
    <r>
      <rPr>
        <b/>
        <sz val="10"/>
        <rFont val="Helvética Light"/>
      </rPr>
      <t xml:space="preserve"> PARA LA INCLUSIÓN SOCIAL A NIVEL NACIONAL-FIP NACIONAL</t>
    </r>
  </si>
  <si>
    <r>
      <t xml:space="preserve">FORTALECIMIENTO A ENTIDADES TERRITORIALES EN </t>
    </r>
    <r>
      <rPr>
        <b/>
        <sz val="10"/>
        <color rgb="FFFF0000"/>
        <rFont val="Helvética Light"/>
      </rPr>
      <t>POLITICA DE SEGURIDAD ALIMENTARIA</t>
    </r>
    <r>
      <rPr>
        <b/>
        <sz val="10"/>
        <color rgb="FF094A82"/>
        <rFont val="Helvética Light"/>
      </rPr>
      <t xml:space="preserve"> </t>
    </r>
    <r>
      <rPr>
        <b/>
        <sz val="10"/>
        <rFont val="Helvética Light"/>
      </rPr>
      <t>NACIONAL</t>
    </r>
  </si>
  <si>
    <r>
      <t xml:space="preserve">IMPLEMENTACIÓN DE HERRAMIENTAS PARA LA </t>
    </r>
    <r>
      <rPr>
        <b/>
        <sz val="10"/>
        <color rgb="FFFF0000"/>
        <rFont val="Helvética Light"/>
      </rPr>
      <t>INCLUSIÓN PRODUCTIVA</t>
    </r>
    <r>
      <rPr>
        <b/>
        <sz val="10"/>
        <color rgb="FF094A82"/>
        <rFont val="Helvética Light"/>
      </rPr>
      <t xml:space="preserve"> </t>
    </r>
    <r>
      <rPr>
        <b/>
        <sz val="10"/>
        <rFont val="Helvética Light"/>
      </rPr>
      <t>DE LA POBLACIÓN EN SITUACIÓN DE POBREZA EXTREMA, VULNERABILIDAD Y VICTIMAS DEL DESPLAZAMIENTO FORZADO POR LA VIOLENCIA FIP A NIVEL  NACIONAL</t>
    </r>
  </si>
  <si>
    <t>SERVICIO DE ASISTENCIA TÉCNICA PARA EL EMPRENDIMIENTO</t>
  </si>
  <si>
    <r>
      <t xml:space="preserve">IMPLEMENTACIÓN DE LA ESTRATEGIA DE </t>
    </r>
    <r>
      <rPr>
        <b/>
        <sz val="10"/>
        <color rgb="FFFF0000"/>
        <rFont val="Helvética Light"/>
      </rPr>
      <t>ACOMPAÑAMIENTO FAMILIAR Y COMUNITARIO PARA LA SUPERACIÓN DE LA POBREZA</t>
    </r>
    <r>
      <rPr>
        <b/>
        <sz val="10"/>
        <rFont val="Helvética Light"/>
      </rPr>
      <t xml:space="preserve"> - FIP A NIVEL   NACIONAL</t>
    </r>
  </si>
  <si>
    <r>
      <t xml:space="preserve">FORTALECIMIENTO DE LA GESTIÓN DE OFERTA PARA LA </t>
    </r>
    <r>
      <rPr>
        <b/>
        <sz val="10"/>
        <color rgb="FFFF0000"/>
        <rFont val="Helvética Light"/>
      </rPr>
      <t>SUPERACIÓN DE LA POBREZA</t>
    </r>
    <r>
      <rPr>
        <b/>
        <sz val="10"/>
        <rFont val="Helvética Light"/>
      </rPr>
      <t>- FIP A NIVEL  NACIONAL</t>
    </r>
  </si>
  <si>
    <r>
      <t xml:space="preserve">IMPLEMENTACION DE </t>
    </r>
    <r>
      <rPr>
        <b/>
        <sz val="10"/>
        <color rgb="FFFF0000"/>
        <rFont val="Helvética Light"/>
      </rPr>
      <t xml:space="preserve">TRANSFERENCIAS MONETARIAS NO CONDICIONAS </t>
    </r>
    <r>
      <rPr>
        <b/>
        <sz val="10"/>
        <rFont val="Helvética Light"/>
      </rPr>
      <t>PARA DISMINUIR POBREZA MONETARIA EN LA POBLACION POBRE NACIONAL NACIONAL</t>
    </r>
  </si>
  <si>
    <r>
      <t xml:space="preserve">IMPLEMENTACIÓN DE INTERVENCIÓN INTEGRAL A POBLACIÓN CON </t>
    </r>
    <r>
      <rPr>
        <b/>
        <sz val="10"/>
        <color rgb="FFFF0000"/>
        <rFont val="Helvética Light"/>
      </rPr>
      <t>ENFOQUE DIFERENCIAL</t>
    </r>
    <r>
      <rPr>
        <b/>
        <sz val="10"/>
        <color rgb="FFE31414"/>
        <rFont val="Helvética Light"/>
      </rPr>
      <t xml:space="preserve"> ÉTNICO</t>
    </r>
    <r>
      <rPr>
        <b/>
        <sz val="10"/>
        <rFont val="Helvética Light"/>
      </rPr>
      <t>, A NIVEL NACIONAL</t>
    </r>
  </si>
  <si>
    <t>SERVICIO DE APOYO PARA EL MEJORAMIENTO DE CONDICIONES FÍSICAS O DOTACIÓN DE VIVIENDA DE HOGARES  VULNERABLES RURALES</t>
  </si>
  <si>
    <t>SERVICIO DE APOYO FINANCIERO PARA EL ADULTO MAYOR</t>
  </si>
  <si>
    <t>IMPLEMENTACION  DE UNA HERRAMIENTA DE GENERACION DE INGRESOS PARA POBLACION VULNERABLE A NIVEL NACIONAL NACIONAL  NACIONAL</t>
  </si>
  <si>
    <t>IMPLEMENTACIÓN Y AMPLIACIÓN DE LAS TECNOLOGÍAS DE INFORMACIÓN Y COMUNICACIONES EN DPS A NIVEL NACIONAL</t>
  </si>
  <si>
    <t>SERVICIOS TECNOLÓGICOS</t>
  </si>
  <si>
    <t>IMPLEMENTACIÓN DE UNIDADES PRODUCTIVAS DE AUTOCONSUMO PARA POBLACIÓN POBRE Y VULNERABLE   NACIONAL - RESA</t>
  </si>
  <si>
    <t>FORTALECIMIENTO DE LA GESTIÓN DE OFERTA PARA LA SUPERACIÓN DE LA POBREZA- FIP A NIVEL NACIONAL</t>
  </si>
  <si>
    <t>IMPLEMENTACIÓN DE INTERVENCIÓN INTEGRAL A POBLACIÓN CON ENFOQUE DIFERENCIAL ÉTNICO, A NIVEL NACIONAL</t>
  </si>
  <si>
    <t>Total general</t>
  </si>
  <si>
    <t>IMPLEMENTACIÓN DE UN ESQUEMA ESPECIAL DE ACOMPAÑAMIENTO FAMILIAR DIRIGIDO A LA POBLACIÓN VICTIMA DE DESPLAZAMIENTO FORZADO RETORNADA O REUBICADA EN ZONAS RURALES, A NIVEL  NACIONAL - FEST</t>
  </si>
  <si>
    <t>Suma de ACUMULADO</t>
  </si>
  <si>
    <t>Valores</t>
  </si>
  <si>
    <t>Suma de APROPIACION</t>
  </si>
  <si>
    <t>Suma de Campo1</t>
  </si>
  <si>
    <t>IMPLEMENTACIÓN DE LA ESTRATEGIA DE ACOMPAÑAMIENTO FAMILIAR Y COMUNITARIO Y GESTIÓN DE LA OFERTA SOCIAL PARA LA SUPERACIÓN DE LA POBREZA - FIP A NIVEL  NACIONAL</t>
  </si>
  <si>
    <t>dadsa</t>
  </si>
  <si>
    <t>FORTALECIMIENTO A ENTIDADES TERRITORIALES EN POLITICA DE SEGURIDAD ALIMENTARIA NACIONAL</t>
  </si>
  <si>
    <t>EJECUCIÓN PRESUPUESTAL VIGENCIA 2023 AL 31 DE JULIO 2023</t>
  </si>
  <si>
    <t>APROPIACION
INICIAL</t>
  </si>
  <si>
    <t>MODIFICACIONES</t>
  </si>
  <si>
    <t>TRASLADOS</t>
  </si>
  <si>
    <t>APROPIACIÓN BLOQUEADA</t>
  </si>
  <si>
    <t>Adiciones</t>
  </si>
  <si>
    <t>Reducciones</t>
  </si>
  <si>
    <t>Créditos</t>
  </si>
  <si>
    <t>Contracreditos</t>
  </si>
  <si>
    <t>SALDO APROPIACION POR COMPROMETER</t>
  </si>
  <si>
    <t>RESERVA 2023</t>
  </si>
  <si>
    <t>% RESERVA</t>
  </si>
  <si>
    <t>CUENTAS POR 
PAGAR
2023</t>
  </si>
  <si>
    <t xml:space="preserve">Coordinador GIT Presupuesto </t>
  </si>
  <si>
    <t>A-08-05-01-003</t>
  </si>
  <si>
    <t>A-08-05-02-001</t>
  </si>
  <si>
    <t>IMPLEMENTACIÓN DE TRANSFERENCIAS MONETARIAS CONDICIONADAS PARA POBLACIÓN VULNERABLE A NIVEL NACIONAL-FIP NACIONAL</t>
  </si>
  <si>
    <t>IMPLEMENTACIÓN DE UNIDADES PRODUCTIVAS DE AUTOCONSUMO PARA POBLACIÓN POBRE Y VULNERABLE NACIONAL-RESA</t>
  </si>
  <si>
    <t>FORTALECIMIENTO PARA EL DESARROLLO DE INFRAESTRUCTURA SOCIAL Y HÁBITAT PARA LA INCLUSIÓN SOCIAL A NIVEL NACIONAL-FIP NACIONAL</t>
  </si>
  <si>
    <t>Suma de ACUMULADO2</t>
  </si>
  <si>
    <t>Suma de Campo2</t>
  </si>
  <si>
    <t>15=(13/6)</t>
  </si>
  <si>
    <t>14=(10-13)</t>
  </si>
  <si>
    <t>12=(11/6)</t>
  </si>
  <si>
    <t>11=(7-10)</t>
  </si>
  <si>
    <t>9=(7/6)</t>
  </si>
  <si>
    <t>8=(6-7)</t>
  </si>
  <si>
    <t>6=(1+2-3+4-5)</t>
  </si>
  <si>
    <t>CUENTAS POR 
PAGAR
POTENCIAL 2020</t>
  </si>
  <si>
    <t>RESERVA POTENCIAL 2020</t>
  </si>
  <si>
    <t>EJECUCIÓN PRESUPUESTAL VIGENCIA 2020  AL 31 DE ENERO DE 2020</t>
  </si>
  <si>
    <t>EJECUCIÓN PRESUPUESTAL VIGENCIA 2020  AL 29 DE FEBRERO DE 2020</t>
  </si>
  <si>
    <t>* La diferencia en apropiacion definitiva en el rubto C-4103-1500-14-4103016-03  respecto del reporte de ejecución a nivel desagregao en SIIF, corresponde al traslado pendiente de aprobación MHCP de $60,000 MM al rubro C-4103-1500-20 sn CDP Mod.220</t>
  </si>
  <si>
    <t>EJECUCIÓN PRESUPUESTAL VIGENCIA 2020  AL 30 DE ABRIL DE 2020</t>
  </si>
  <si>
    <t>EJECUCIÓN PRESUPUESTAL VIGENCIA 2020  AL 31 DE MAYO DE 2020</t>
  </si>
  <si>
    <t>EJECUCIÓN PRESUPUESTAL VIGENCIA 2020 AL 31 DE JULIO DE 2020</t>
  </si>
  <si>
    <r>
      <t xml:space="preserve">FONDO DE MITIGACIÓN DE EMERGENCIAS - </t>
    </r>
    <r>
      <rPr>
        <b/>
        <sz val="11"/>
        <rFont val="Arial Narrow"/>
        <family val="2"/>
      </rPr>
      <t>FOME (FeA y JeA)</t>
    </r>
  </si>
  <si>
    <r>
      <t xml:space="preserve">FONDO DE MITIGACIÓN DE EMERGENCIAS - </t>
    </r>
    <r>
      <rPr>
        <b/>
        <sz val="11"/>
        <rFont val="Arial Narrow"/>
        <family val="2"/>
      </rPr>
      <t>FOME (Ingreso Solidario)</t>
    </r>
  </si>
  <si>
    <t>EJECUCIÓN PRESUPUESTAL VIGENCIA 2020 AL 31 DE AGOSTO DE 2020</t>
  </si>
  <si>
    <t>FONDO DE MITIGACIÓN DE EMERGENCIAS - FOME (Ingreso Solidario)</t>
  </si>
  <si>
    <t>EJECUCIÓN PRESUPUESTAL VIGENCIA 2020 AL 31 DE OCTUBRE DE 2020</t>
  </si>
  <si>
    <t>FABIO JAN MUÑOZ LÓPEZ</t>
  </si>
  <si>
    <t>EJECUCIÓN PRESUPUESTAL VIGENCIA 2020 AL 30 DE NOVIEMBRE DE 2020</t>
  </si>
  <si>
    <t>EJECUCIÓN PRESUPUESTAL VIGENCIA 2021 AL 31 DE ENERO DE 2021</t>
  </si>
  <si>
    <t>RESERVA 2021</t>
  </si>
  <si>
    <t>CUENTAS POR 
PAGAR
2021</t>
  </si>
  <si>
    <r>
      <t xml:space="preserve">IMPLEMENTACIÓN DE INTERVENCIÓN INTEGRAL A POBLACIÓN CON </t>
    </r>
    <r>
      <rPr>
        <b/>
        <sz val="11"/>
        <color rgb="FFFF0000"/>
        <rFont val="Arial Narrow"/>
        <family val="2"/>
      </rPr>
      <t>ENFOQUE DIFERENCIAL</t>
    </r>
    <r>
      <rPr>
        <b/>
        <sz val="11"/>
        <rFont val="Arial Narrow"/>
        <family val="2"/>
      </rPr>
      <t xml:space="preserve"> ÉTNICO, A NIVEL NACIONAL -</t>
    </r>
    <r>
      <rPr>
        <b/>
        <sz val="11"/>
        <color rgb="FFFF0000"/>
        <rFont val="Arial Narrow"/>
        <family val="2"/>
      </rPr>
      <t>IRACA</t>
    </r>
  </si>
  <si>
    <r>
      <t>IMPLEMENTACIÓN DE UNA INTERVENCIÓN INTEGRAL DIRIGIDA A LOS HOGARES RURALES VICTIMAS DE DESPLAZAMIENTO FORZADO EN CONDICIONES DE VULNERABILIDAD, A NIVEL NACIONAL -</t>
    </r>
    <r>
      <rPr>
        <b/>
        <sz val="11"/>
        <color rgb="FFFF0000"/>
        <rFont val="Arial Narrow"/>
        <family val="2"/>
      </rPr>
      <t>FEST</t>
    </r>
  </si>
  <si>
    <t>EJECUCIÓN PRESUPUESTAL VIGENCIA 2021 AL 28 DE FEBRERO DE 2021</t>
  </si>
  <si>
    <t>EJECUCIÓN PRESUPUESTAL VIGENCIA 2021 AL 30 DE ABRIL DE 2021</t>
  </si>
  <si>
    <t>EJECUCIÓN PRESUPUESTAL VIGENCIA 2021 AL 31 DE MAYO DE 2021</t>
  </si>
  <si>
    <t>EJECUCIÓN PRESUPUESTAL VIGENCIA 2021 AL 31 DE JULIO DE 2021</t>
  </si>
  <si>
    <t>RESERVA POTENCIAL 2021</t>
  </si>
  <si>
    <t>CUENTAS POR 
PAGAR POTENCIALES
2021</t>
  </si>
  <si>
    <t>EJECUCIÓN PRESUPUESTAL VIGENCIA 2021 AL 31 DE AGOSTO DE 2021</t>
  </si>
  <si>
    <t>EJECUCIÓN PRESUPUESTAL VIGENCIA 2021 AL 31 DE OCTUBRE DE 2021</t>
  </si>
  <si>
    <t>EJECUCIÓN PRESUPUESTAL VIGENCIA 2021 AL 30 DE NOVIEMBRE DE 2021</t>
  </si>
  <si>
    <t>EJECUCIÓN PRESUPUESTAL VIGENCIA 2022 AL 31 DE ENERO 2022</t>
  </si>
  <si>
    <t>RESERVA 2022</t>
  </si>
  <si>
    <t>CUENTAS POR 
PAGAR
2022</t>
  </si>
  <si>
    <t>EJECUCIÓN PRESUPUESTAL VIGENCIA 2022 AL 28 DE FEBRERO 2022</t>
  </si>
  <si>
    <t>EJECUCIÓN PRESUPUESTAL VIGENCIA 2022 AL 30 DE ABRIL 2022</t>
  </si>
  <si>
    <t>C-4103-1500-19--</t>
  </si>
  <si>
    <t>C-4103-1500-19---</t>
  </si>
  <si>
    <t>EJECUCIÓN PRESUPUESTAL VIGENCIA 2022 AL 31 DE MAYO 2022</t>
  </si>
  <si>
    <t>EJECUCIÓN PRESUPUESTAL VIGENCIA 2022 AL 31 DE JULIO 2022</t>
  </si>
  <si>
    <t>RESERVA POTENCIAL 2022</t>
  </si>
  <si>
    <t>EJECUCIÓN PRESUPUESTAL VIGENCIA 2022 AL 31 DE AGOSTO 2022</t>
  </si>
  <si>
    <t>EJECUCIÓN PRESUPUESTAL VIGENCIA 2022 AL 31 DE OCTUBRE 2022</t>
  </si>
  <si>
    <t>EJECUCIÓN PRESUPUESTAL VIGENCIA 2022 AL 30 DE NOVIEMBRE 2022</t>
  </si>
  <si>
    <t>EJECUCIÓN PRESUPUESTAL VIGENCIA 2023 AL 31 DE ENERO 2023</t>
  </si>
  <si>
    <t>EJECUCIÓN PRESUPUESTAL VIGENCIA 2023 AL 28 DE FEBRERO 2023</t>
  </si>
  <si>
    <t>EJECUCIÓN PRESUPUESTAL VIGENCIA 2023 AL 30 DE ABRIL 2023</t>
  </si>
  <si>
    <t>EJECUCIÓN PRESUPUESTAL VIGENCIA 2023 AL 31 DE 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</si>
</sst>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0"/>
    <numFmt numFmtId="166" formatCode="000"/>
    <numFmt numFmtId="167" formatCode="0.0%"/>
    <numFmt numFmtId="168" formatCode="[$-1240A]&quot;$&quot;\ #,##0.00;\-&quot;$&quot;\ #,##0.00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0"/>
      <name val="Arial Narrow"/>
      <family val="2"/>
    </font>
    <font>
      <sz val="8"/>
      <color theme="0"/>
      <name val="Arial Narrow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b/>
      <i/>
      <sz val="24"/>
      <color indexed="8"/>
      <name val="Arial Narrow"/>
      <family val="2"/>
    </font>
    <font>
      <b/>
      <sz val="24"/>
      <color theme="1"/>
      <name val="MonSERRAT"/>
    </font>
    <font>
      <b/>
      <sz val="20"/>
      <color indexed="8"/>
      <name val="Arial Narrow"/>
      <family val="2"/>
    </font>
    <font>
      <b/>
      <sz val="20"/>
      <color theme="1"/>
      <name val="MonSERRAT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1"/>
      <color theme="0"/>
      <name val="Arial Narrow"/>
      <family val="2"/>
    </font>
    <font>
      <b/>
      <sz val="11"/>
      <color theme="0"/>
      <name val="MonSERRAT"/>
    </font>
    <font>
      <b/>
      <sz val="11"/>
      <color theme="0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sz val="11"/>
      <color rgb="FF000000"/>
      <name val="Arial Narrow"/>
      <family val="2"/>
    </font>
    <font>
      <b/>
      <sz val="10"/>
      <color theme="0"/>
      <name val="MonSERRAT"/>
    </font>
    <font>
      <b/>
      <sz val="10"/>
      <color theme="0"/>
      <name val="Arial Narrow"/>
      <family val="2"/>
    </font>
    <font>
      <b/>
      <sz val="10"/>
      <name val="MonSERRAT"/>
    </font>
    <font>
      <sz val="10"/>
      <name val="MonSERRAT"/>
    </font>
    <font>
      <sz val="10"/>
      <color theme="0"/>
      <name val="MonSERRAT"/>
    </font>
    <font>
      <sz val="11"/>
      <color rgb="FF000000"/>
      <name val="Calibri"/>
      <family val="2"/>
      <scheme val="minor"/>
    </font>
    <font>
      <sz val="10"/>
      <color rgb="FFE31414"/>
      <name val="MonSERRAT"/>
    </font>
    <font>
      <b/>
      <sz val="10"/>
      <color rgb="FFE31414"/>
      <name val="MonSERRAT"/>
    </font>
    <font>
      <b/>
      <sz val="11"/>
      <name val="MonSERRAT"/>
    </font>
    <font>
      <b/>
      <sz val="11"/>
      <color rgb="FFFF0000"/>
      <name val="Arial Narrow"/>
      <family val="2"/>
    </font>
    <font>
      <sz val="11"/>
      <name val="MonSERRAT"/>
    </font>
    <font>
      <b/>
      <sz val="10"/>
      <color rgb="FFFF0000"/>
      <name val="Arial Narrow"/>
      <family val="2"/>
    </font>
    <font>
      <b/>
      <sz val="10"/>
      <name val="Arial Narrow"/>
      <family val="2"/>
    </font>
    <font>
      <sz val="10"/>
      <color theme="1"/>
      <name val="MonSERRAT"/>
    </font>
    <font>
      <b/>
      <sz val="10"/>
      <color rgb="FF094A82"/>
      <name val="Arial Narrow"/>
      <family val="2"/>
    </font>
    <font>
      <b/>
      <sz val="10"/>
      <color rgb="FFE31414"/>
      <name val="Arial Narrow"/>
      <family val="2"/>
    </font>
    <font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theme="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4"/>
      <color theme="1"/>
      <name val="Arial Narrow"/>
      <family val="2"/>
    </font>
    <font>
      <b/>
      <sz val="20"/>
      <color theme="1"/>
      <name val="Arial Narrow"/>
      <family val="2"/>
    </font>
    <font>
      <b/>
      <sz val="11"/>
      <color rgb="FF094A82"/>
      <name val="Arial Narrow"/>
      <family val="2"/>
    </font>
    <font>
      <b/>
      <sz val="24"/>
      <color rgb="FF1F497D"/>
      <name val="Arial Narrow"/>
      <family val="2"/>
    </font>
    <font>
      <b/>
      <sz val="20"/>
      <color rgb="FF1F497D"/>
      <name val="Arial Narrow"/>
      <family val="2"/>
    </font>
    <font>
      <b/>
      <sz val="10"/>
      <color theme="1"/>
      <name val="Arial Narrow"/>
      <family val="2"/>
    </font>
    <font>
      <b/>
      <sz val="11"/>
      <color indexed="8"/>
      <name val="Arial"/>
      <family val="2"/>
    </font>
    <font>
      <sz val="12"/>
      <color theme="0"/>
      <name val="Arial Narrow"/>
      <family val="2"/>
    </font>
    <font>
      <b/>
      <sz val="14"/>
      <color theme="0"/>
      <name val="Arial Narrow"/>
      <family val="2"/>
    </font>
    <font>
      <b/>
      <i/>
      <sz val="24"/>
      <color theme="1"/>
      <name val="Arial Narrow"/>
      <family val="2"/>
    </font>
    <font>
      <b/>
      <i/>
      <sz val="14"/>
      <color theme="1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0070C0"/>
      <name val="Arial Narrow"/>
      <family val="2"/>
    </font>
    <font>
      <sz val="11"/>
      <color rgb="FF0070C0"/>
      <name val="Arial Narrow"/>
      <family val="2"/>
    </font>
    <font>
      <b/>
      <sz val="9"/>
      <color rgb="FF000000"/>
      <name val="Times New Roman"/>
    </font>
    <font>
      <sz val="11"/>
      <name val="Calibri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8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9"/>
      <color rgb="FFFF0000"/>
      <name val="Arial Narrow"/>
      <family val="2"/>
    </font>
    <font>
      <b/>
      <sz val="10"/>
      <color rgb="FFFF0000"/>
      <name val="MonSERRAT"/>
    </font>
    <font>
      <sz val="10"/>
      <color theme="0"/>
      <name val="Helvética Light"/>
    </font>
    <font>
      <sz val="8"/>
      <color theme="0"/>
      <name val="Helvética Light"/>
    </font>
    <font>
      <sz val="10"/>
      <color theme="1"/>
      <name val="Helvética Light"/>
    </font>
    <font>
      <b/>
      <i/>
      <sz val="24"/>
      <color indexed="8"/>
      <name val="Helvética Light"/>
    </font>
    <font>
      <b/>
      <sz val="24"/>
      <color rgb="FF003087"/>
      <name val="Helvética Light"/>
    </font>
    <font>
      <b/>
      <sz val="20"/>
      <color indexed="8"/>
      <name val="Helvética Light"/>
    </font>
    <font>
      <b/>
      <sz val="20"/>
      <color rgb="FF003087"/>
      <name val="Helvética Light"/>
    </font>
    <font>
      <b/>
      <sz val="10"/>
      <color indexed="8"/>
      <name val="Helvética Light"/>
    </font>
    <font>
      <sz val="10"/>
      <color indexed="8"/>
      <name val="Helvética Light"/>
    </font>
    <font>
      <sz val="11"/>
      <color theme="0"/>
      <name val="Helvética Light"/>
    </font>
    <font>
      <b/>
      <sz val="11"/>
      <color theme="1"/>
      <name val="Helvética Light"/>
    </font>
    <font>
      <b/>
      <sz val="11"/>
      <color theme="0"/>
      <name val="Helvética Light"/>
    </font>
    <font>
      <b/>
      <sz val="10"/>
      <color theme="0"/>
      <name val="Helvética Light"/>
    </font>
    <font>
      <b/>
      <sz val="10"/>
      <name val="Helvética Light"/>
    </font>
    <font>
      <sz val="10"/>
      <name val="Helvética Light"/>
    </font>
    <font>
      <b/>
      <sz val="10"/>
      <color rgb="FFFF0000"/>
      <name val="Helvética Light"/>
    </font>
    <font>
      <b/>
      <sz val="10"/>
      <color rgb="FF094A82"/>
      <name val="Helvética Light"/>
    </font>
    <font>
      <b/>
      <sz val="10"/>
      <color rgb="FFE31414"/>
      <name val="Helvética Light"/>
    </font>
    <font>
      <sz val="10"/>
      <color rgb="FFFF0000"/>
      <name val="Helvética Light"/>
    </font>
    <font>
      <b/>
      <sz val="11"/>
      <color rgb="FFFF0000"/>
      <name val="Helvética Light"/>
    </font>
    <font>
      <sz val="11"/>
      <color rgb="FFFF0000"/>
      <name val="Helvética Light"/>
    </font>
    <font>
      <sz val="9"/>
      <color theme="0"/>
      <name val="Helvética Light"/>
    </font>
    <font>
      <sz val="9"/>
      <color rgb="FFFF0000"/>
      <name val="Helvética Light"/>
    </font>
    <font>
      <b/>
      <sz val="9"/>
      <color rgb="FFFF0000"/>
      <name val="Helvética Light"/>
    </font>
    <font>
      <sz val="12"/>
      <color rgb="FFFF0000"/>
      <name val="Helvética Light"/>
    </font>
    <font>
      <b/>
      <sz val="14"/>
      <color rgb="FFFF0000"/>
      <name val="Helvética Light"/>
    </font>
    <font>
      <sz val="12"/>
      <color theme="1"/>
      <name val="Helvética Light"/>
    </font>
    <font>
      <b/>
      <sz val="14"/>
      <color theme="1"/>
      <name val="Helvética Light"/>
    </font>
    <font>
      <b/>
      <sz val="12"/>
      <color theme="1"/>
      <name val="Helvética Light"/>
    </font>
    <font>
      <b/>
      <i/>
      <sz val="24"/>
      <color theme="1"/>
      <name val="Helvética Light"/>
    </font>
    <font>
      <b/>
      <i/>
      <sz val="14"/>
      <color theme="1"/>
      <name val="Helvética Light"/>
    </font>
    <font>
      <sz val="9"/>
      <name val="Arial Narrow"/>
      <family val="2"/>
    </font>
    <font>
      <sz val="10"/>
      <color rgb="FFE31414"/>
      <name val="Helvética Light"/>
    </font>
    <font>
      <b/>
      <sz val="9"/>
      <color theme="0"/>
      <name val="Helvética Light"/>
    </font>
    <font>
      <b/>
      <sz val="11"/>
      <color rgb="FF0070C0"/>
      <name val="Helvética Light"/>
    </font>
    <font>
      <sz val="11"/>
      <color rgb="FF0070C0"/>
      <name val="Helvética Light"/>
    </font>
    <font>
      <b/>
      <sz val="14"/>
      <color theme="0"/>
      <name val="Helvética Light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5"/>
      <name val="Arial Narrow"/>
      <family val="2"/>
    </font>
    <font>
      <sz val="11"/>
      <color theme="5"/>
      <name val="Arial Narrow"/>
      <family val="2"/>
    </font>
    <font>
      <sz val="10"/>
      <color theme="0" tint="-4.9989318521683403E-2"/>
      <name val="Arial Narrow"/>
      <family val="2"/>
    </font>
    <font>
      <b/>
      <sz val="11"/>
      <color theme="0" tint="-4.9989318521683403E-2"/>
      <name val="Arial Narrow"/>
      <family val="2"/>
    </font>
    <font>
      <sz val="11"/>
      <color theme="0" tint="-4.9989318521683403E-2"/>
      <name val="Arial Narrow"/>
      <family val="2"/>
    </font>
    <font>
      <sz val="9"/>
      <color theme="0" tint="-4.9989318521683403E-2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4A8A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888888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31414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0582FF"/>
        <bgColor indexed="64"/>
      </patternFill>
    </fill>
    <fill>
      <patternFill patternType="solid">
        <fgColor rgb="FF57AB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2ECFD"/>
        <bgColor indexed="64"/>
      </patternFill>
    </fill>
    <fill>
      <patternFill patternType="solid">
        <fgColor rgb="FFF42F6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rgb="FFFFFF66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165" fontId="17" fillId="0" borderId="0" applyFill="0">
      <alignment horizontal="center" vertical="center" wrapText="1"/>
    </xf>
    <xf numFmtId="166" fontId="3" fillId="4" borderId="0" applyFill="0" applyAlignment="0">
      <alignment horizontal="center" vertical="center"/>
    </xf>
    <xf numFmtId="41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1" fontId="27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7">
    <xf numFmtId="0" fontId="0" fillId="0" borderId="0" xfId="0"/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49" fontId="4" fillId="0" borderId="0" xfId="1" applyNumberFormat="1" applyFont="1" applyAlignment="1">
      <alignment horizontal="center" vertical="center"/>
    </xf>
    <xf numFmtId="49" fontId="4" fillId="0" borderId="0" xfId="1" applyNumberFormat="1" applyFont="1" applyAlignment="1">
      <alignment horizontal="left" vertical="center"/>
    </xf>
    <xf numFmtId="3" fontId="3" fillId="0" borderId="0" xfId="2" applyNumberFormat="1" applyFont="1" applyAlignment="1">
      <alignment horizontal="center" vertical="center"/>
    </xf>
    <xf numFmtId="4" fontId="3" fillId="0" borderId="0" xfId="2" applyNumberFormat="1" applyFont="1" applyAlignment="1">
      <alignment vertical="center"/>
    </xf>
    <xf numFmtId="10" fontId="3" fillId="0" borderId="0" xfId="3" applyNumberFormat="1" applyFont="1" applyAlignment="1">
      <alignment vertical="center"/>
    </xf>
    <xf numFmtId="0" fontId="3" fillId="0" borderId="0" xfId="4" applyFont="1" applyAlignment="1">
      <alignment vertical="center"/>
    </xf>
    <xf numFmtId="49" fontId="7" fillId="0" borderId="0" xfId="4" applyNumberFormat="1" applyFont="1" applyAlignment="1">
      <alignment vertical="center"/>
    </xf>
    <xf numFmtId="49" fontId="8" fillId="0" borderId="0" xfId="1" applyNumberFormat="1" applyFont="1" applyAlignment="1">
      <alignment vertical="center" wrapText="1"/>
    </xf>
    <xf numFmtId="49" fontId="8" fillId="0" borderId="0" xfId="1" applyNumberFormat="1" applyFont="1" applyAlignment="1">
      <alignment horizontal="center" vertical="center" wrapText="1"/>
    </xf>
    <xf numFmtId="49" fontId="8" fillId="0" borderId="0" xfId="1" applyNumberFormat="1" applyFont="1" applyAlignment="1">
      <alignment horizontal="left" vertical="center" wrapText="1"/>
    </xf>
    <xf numFmtId="0" fontId="7" fillId="0" borderId="0" xfId="4" applyFont="1" applyAlignment="1">
      <alignment vertical="center"/>
    </xf>
    <xf numFmtId="49" fontId="10" fillId="0" borderId="0" xfId="1" applyNumberFormat="1" applyFont="1" applyAlignment="1">
      <alignment vertical="center"/>
    </xf>
    <xf numFmtId="49" fontId="10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horizontal="left" vertical="center"/>
    </xf>
    <xf numFmtId="49" fontId="12" fillId="0" borderId="0" xfId="1" applyNumberFormat="1" applyFont="1" applyAlignment="1">
      <alignment horizontal="center" vertical="center"/>
    </xf>
    <xf numFmtId="49" fontId="13" fillId="0" borderId="0" xfId="1" applyNumberFormat="1" applyFont="1" applyAlignment="1">
      <alignment horizontal="center" vertical="center"/>
    </xf>
    <xf numFmtId="49" fontId="13" fillId="0" borderId="0" xfId="1" applyNumberFormat="1" applyFont="1" applyAlignment="1">
      <alignment horizontal="left" vertical="center"/>
    </xf>
    <xf numFmtId="4" fontId="12" fillId="0" borderId="0" xfId="1" applyNumberFormat="1" applyFont="1" applyAlignment="1">
      <alignment horizontal="center" vertical="center"/>
    </xf>
    <xf numFmtId="10" fontId="12" fillId="0" borderId="0" xfId="3" applyNumberFormat="1" applyFont="1" applyAlignment="1">
      <alignment horizontal="center" vertical="center"/>
    </xf>
    <xf numFmtId="0" fontId="14" fillId="2" borderId="0" xfId="1" applyFont="1" applyFill="1" applyAlignment="1">
      <alignment horizontal="left" vertical="center"/>
    </xf>
    <xf numFmtId="4" fontId="15" fillId="3" borderId="1" xfId="2" applyNumberFormat="1" applyFont="1" applyFill="1" applyBorder="1" applyAlignment="1">
      <alignment horizontal="center" vertical="center" wrapText="1"/>
    </xf>
    <xf numFmtId="165" fontId="15" fillId="3" borderId="2" xfId="5" applyFont="1" applyFill="1" applyBorder="1" applyAlignment="1">
      <alignment horizontal="left" vertical="center"/>
    </xf>
    <xf numFmtId="0" fontId="7" fillId="2" borderId="0" xfId="4" applyFont="1" applyFill="1" applyAlignment="1">
      <alignment vertical="center"/>
    </xf>
    <xf numFmtId="165" fontId="16" fillId="3" borderId="2" xfId="5" applyFont="1" applyFill="1" applyBorder="1" applyAlignment="1">
      <alignment horizontal="center" vertical="center"/>
    </xf>
    <xf numFmtId="4" fontId="15" fillId="3" borderId="2" xfId="2" applyNumberFormat="1" applyFont="1" applyFill="1" applyBorder="1" applyAlignment="1">
      <alignment horizontal="center" vertical="center" wrapText="1"/>
    </xf>
    <xf numFmtId="10" fontId="15" fillId="3" borderId="1" xfId="3" applyNumberFormat="1" applyFont="1" applyFill="1" applyBorder="1" applyAlignment="1">
      <alignment horizontal="center" vertical="center" wrapText="1"/>
    </xf>
    <xf numFmtId="10" fontId="15" fillId="3" borderId="2" xfId="3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vertical="center"/>
    </xf>
    <xf numFmtId="165" fontId="3" fillId="0" borderId="0" xfId="4" applyNumberFormat="1" applyFont="1" applyAlignment="1">
      <alignment vertical="center"/>
    </xf>
    <xf numFmtId="166" fontId="15" fillId="3" borderId="2" xfId="6" applyFont="1" applyFill="1" applyBorder="1" applyAlignment="1">
      <alignment horizontal="left" vertical="center" wrapText="1"/>
    </xf>
    <xf numFmtId="166" fontId="16" fillId="3" borderId="2" xfId="6" applyFont="1" applyFill="1" applyBorder="1" applyAlignment="1">
      <alignment horizontal="center" vertical="center" wrapText="1"/>
    </xf>
    <xf numFmtId="166" fontId="16" fillId="3" borderId="2" xfId="6" applyFont="1" applyFill="1" applyBorder="1" applyAlignment="1">
      <alignment horizontal="left" vertical="center" wrapText="1"/>
    </xf>
    <xf numFmtId="164" fontId="22" fillId="3" borderId="2" xfId="2" applyFont="1" applyFill="1" applyBorder="1" applyAlignment="1">
      <alignment horizontal="left" vertical="center" wrapText="1"/>
    </xf>
    <xf numFmtId="167" fontId="22" fillId="3" borderId="2" xfId="3" applyNumberFormat="1" applyFont="1" applyFill="1" applyBorder="1" applyAlignment="1">
      <alignment horizontal="right" vertical="center" wrapText="1"/>
    </xf>
    <xf numFmtId="165" fontId="22" fillId="5" borderId="2" xfId="5" applyFont="1" applyFill="1" applyBorder="1" applyAlignment="1">
      <alignment horizontal="left" vertical="center" wrapText="1"/>
    </xf>
    <xf numFmtId="165" fontId="23" fillId="5" borderId="2" xfId="5" applyFont="1" applyFill="1" applyBorder="1">
      <alignment horizontal="center" vertical="center" wrapText="1"/>
    </xf>
    <xf numFmtId="165" fontId="23" fillId="5" borderId="2" xfId="5" applyFont="1" applyFill="1" applyBorder="1" applyAlignment="1">
      <alignment horizontal="left" vertical="center" wrapText="1"/>
    </xf>
    <xf numFmtId="164" fontId="22" fillId="5" borderId="2" xfId="2" applyFont="1" applyFill="1" applyBorder="1" applyAlignment="1">
      <alignment horizontal="left" vertical="center" wrapText="1"/>
    </xf>
    <xf numFmtId="10" fontId="22" fillId="5" borderId="2" xfId="3" applyNumberFormat="1" applyFont="1" applyFill="1" applyBorder="1" applyAlignment="1">
      <alignment vertical="center" wrapText="1"/>
    </xf>
    <xf numFmtId="165" fontId="22" fillId="6" borderId="2" xfId="5" applyFont="1" applyFill="1" applyBorder="1" applyAlignment="1">
      <alignment horizontal="left" vertical="center" wrapText="1"/>
    </xf>
    <xf numFmtId="165" fontId="23" fillId="6" borderId="2" xfId="5" applyFont="1" applyFill="1" applyBorder="1">
      <alignment horizontal="center" vertical="center" wrapText="1"/>
    </xf>
    <xf numFmtId="165" fontId="23" fillId="6" borderId="2" xfId="5" applyFont="1" applyFill="1" applyBorder="1" applyAlignment="1">
      <alignment horizontal="left" vertical="center" wrapText="1"/>
    </xf>
    <xf numFmtId="164" fontId="22" fillId="6" borderId="2" xfId="2" applyFont="1" applyFill="1" applyBorder="1" applyAlignment="1">
      <alignment horizontal="left" vertical="center" wrapText="1"/>
    </xf>
    <xf numFmtId="10" fontId="22" fillId="6" borderId="2" xfId="3" applyNumberFormat="1" applyFont="1" applyFill="1" applyBorder="1" applyAlignment="1">
      <alignment vertical="center" wrapText="1"/>
    </xf>
    <xf numFmtId="165" fontId="24" fillId="7" borderId="2" xfId="5" applyFont="1" applyFill="1" applyBorder="1" applyAlignment="1">
      <alignment horizontal="left" vertical="center" wrapText="1"/>
    </xf>
    <xf numFmtId="165" fontId="24" fillId="7" borderId="2" xfId="5" applyFont="1" applyFill="1" applyBorder="1">
      <alignment horizontal="center" vertical="center" wrapText="1"/>
    </xf>
    <xf numFmtId="164" fontId="24" fillId="7" borderId="2" xfId="2" applyFont="1" applyFill="1" applyBorder="1" applyAlignment="1">
      <alignment horizontal="left" vertical="center" wrapText="1"/>
    </xf>
    <xf numFmtId="10" fontId="24" fillId="7" borderId="2" xfId="3" applyNumberFormat="1" applyFont="1" applyFill="1" applyBorder="1" applyAlignment="1">
      <alignment vertical="center" wrapText="1"/>
    </xf>
    <xf numFmtId="0" fontId="24" fillId="8" borderId="2" xfId="4" applyFont="1" applyFill="1" applyBorder="1" applyAlignment="1">
      <alignment horizontal="left" vertical="center" wrapText="1" readingOrder="1"/>
    </xf>
    <xf numFmtId="0" fontId="24" fillId="8" borderId="2" xfId="4" applyFont="1" applyFill="1" applyBorder="1" applyAlignment="1">
      <alignment horizontal="center" vertical="center" wrapText="1" readingOrder="1"/>
    </xf>
    <xf numFmtId="164" fontId="24" fillId="8" borderId="2" xfId="2" applyFont="1" applyFill="1" applyBorder="1" applyAlignment="1">
      <alignment horizontal="left" vertical="center" wrapText="1"/>
    </xf>
    <xf numFmtId="10" fontId="24" fillId="8" borderId="2" xfId="3" applyNumberFormat="1" applyFont="1" applyFill="1" applyBorder="1" applyAlignment="1">
      <alignment vertical="center" wrapText="1"/>
    </xf>
    <xf numFmtId="0" fontId="25" fillId="0" borderId="2" xfId="4" applyFont="1" applyBorder="1" applyAlignment="1">
      <alignment vertical="center" wrapText="1" readingOrder="1"/>
    </xf>
    <xf numFmtId="0" fontId="25" fillId="0" borderId="2" xfId="4" applyFont="1" applyBorder="1" applyAlignment="1">
      <alignment horizontal="center" vertical="center" wrapText="1" readingOrder="1"/>
    </xf>
    <xf numFmtId="0" fontId="25" fillId="0" borderId="2" xfId="4" applyFont="1" applyBorder="1" applyAlignment="1">
      <alignment horizontal="left" vertical="center" wrapText="1"/>
    </xf>
    <xf numFmtId="0" fontId="26" fillId="9" borderId="2" xfId="4" applyFont="1" applyFill="1" applyBorder="1" applyAlignment="1">
      <alignment horizontal="left" vertical="center" wrapText="1" readingOrder="1"/>
    </xf>
    <xf numFmtId="4" fontId="25" fillId="0" borderId="2" xfId="7" applyNumberFormat="1" applyFont="1" applyBorder="1" applyAlignment="1">
      <alignment horizontal="right" vertical="center"/>
    </xf>
    <xf numFmtId="4" fontId="25" fillId="0" borderId="2" xfId="7" applyNumberFormat="1" applyFont="1" applyFill="1" applyBorder="1" applyAlignment="1">
      <alignment horizontal="right" vertical="center"/>
    </xf>
    <xf numFmtId="10" fontId="24" fillId="10" borderId="2" xfId="3" applyNumberFormat="1" applyFont="1" applyFill="1" applyBorder="1" applyAlignment="1">
      <alignment vertical="center" wrapText="1"/>
    </xf>
    <xf numFmtId="49" fontId="25" fillId="0" borderId="2" xfId="4" applyNumberFormat="1" applyFont="1" applyBorder="1" applyAlignment="1">
      <alignment horizontal="center" vertical="center" wrapText="1" readingOrder="1"/>
    </xf>
    <xf numFmtId="0" fontId="7" fillId="0" borderId="0" xfId="4" applyFont="1"/>
    <xf numFmtId="0" fontId="24" fillId="9" borderId="2" xfId="4" applyFont="1" applyFill="1" applyBorder="1" applyAlignment="1">
      <alignment horizontal="left" vertical="center" wrapText="1" readingOrder="1"/>
    </xf>
    <xf numFmtId="4" fontId="28" fillId="0" borderId="2" xfId="7" applyNumberFormat="1" applyFont="1" applyBorder="1" applyAlignment="1">
      <alignment horizontal="right" vertical="center"/>
    </xf>
    <xf numFmtId="10" fontId="29" fillId="10" borderId="2" xfId="3" applyNumberFormat="1" applyFont="1" applyFill="1" applyBorder="1" applyAlignment="1">
      <alignment vertical="center" wrapText="1"/>
    </xf>
    <xf numFmtId="49" fontId="23" fillId="6" borderId="2" xfId="5" applyNumberFormat="1" applyFont="1" applyFill="1" applyBorder="1">
      <alignment horizontal="center" vertical="center" wrapText="1"/>
    </xf>
    <xf numFmtId="165" fontId="15" fillId="5" borderId="2" xfId="5" applyFont="1" applyFill="1" applyBorder="1" applyAlignment="1">
      <alignment horizontal="left" vertical="center" wrapText="1"/>
    </xf>
    <xf numFmtId="165" fontId="16" fillId="5" borderId="2" xfId="5" applyFont="1" applyFill="1" applyBorder="1">
      <alignment horizontal="center" vertical="center" wrapText="1"/>
    </xf>
    <xf numFmtId="165" fontId="16" fillId="5" borderId="2" xfId="5" applyFont="1" applyFill="1" applyBorder="1" applyAlignment="1">
      <alignment horizontal="left" vertical="center" wrapText="1"/>
    </xf>
    <xf numFmtId="165" fontId="15" fillId="6" borderId="2" xfId="5" applyFont="1" applyFill="1" applyBorder="1" applyAlignment="1">
      <alignment horizontal="left" vertical="center" wrapText="1"/>
    </xf>
    <xf numFmtId="165" fontId="16" fillId="6" borderId="2" xfId="5" applyFont="1" applyFill="1" applyBorder="1">
      <alignment horizontal="center" vertical="center" wrapText="1"/>
    </xf>
    <xf numFmtId="165" fontId="16" fillId="6" borderId="2" xfId="5" applyFont="1" applyFill="1" applyBorder="1" applyAlignment="1">
      <alignment horizontal="left" vertical="center" wrapText="1"/>
    </xf>
    <xf numFmtId="165" fontId="30" fillId="7" borderId="2" xfId="5" applyFont="1" applyFill="1" applyBorder="1" applyAlignment="1">
      <alignment horizontal="left" vertical="center" wrapText="1"/>
    </xf>
    <xf numFmtId="165" fontId="30" fillId="7" borderId="2" xfId="5" applyFont="1" applyFill="1" applyBorder="1">
      <alignment horizontal="center" vertical="center" wrapText="1"/>
    </xf>
    <xf numFmtId="0" fontId="30" fillId="8" borderId="2" xfId="4" applyFont="1" applyFill="1" applyBorder="1" applyAlignment="1">
      <alignment horizontal="left" vertical="center" wrapText="1" readingOrder="1"/>
    </xf>
    <xf numFmtId="0" fontId="32" fillId="0" borderId="2" xfId="4" applyFont="1" applyBorder="1" applyAlignment="1">
      <alignment vertical="center" wrapText="1" readingOrder="1"/>
    </xf>
    <xf numFmtId="0" fontId="32" fillId="0" borderId="2" xfId="4" applyFont="1" applyBorder="1" applyAlignment="1">
      <alignment horizontal="center" vertical="center" wrapText="1" readingOrder="1"/>
    </xf>
    <xf numFmtId="0" fontId="32" fillId="0" borderId="2" xfId="4" applyFont="1" applyBorder="1" applyAlignment="1">
      <alignment horizontal="left" vertical="center" wrapText="1"/>
    </xf>
    <xf numFmtId="4" fontId="35" fillId="0" borderId="2" xfId="7" applyNumberFormat="1" applyFont="1" applyBorder="1" applyAlignment="1">
      <alignment horizontal="right" vertical="center"/>
    </xf>
    <xf numFmtId="49" fontId="31" fillId="2" borderId="0" xfId="1" applyNumberFormat="1" applyFont="1" applyFill="1" applyAlignment="1">
      <alignment horizontal="center" vertical="center"/>
    </xf>
    <xf numFmtId="49" fontId="31" fillId="0" borderId="0" xfId="1" applyNumberFormat="1" applyFont="1" applyAlignment="1">
      <alignment horizontal="center" vertical="center"/>
    </xf>
    <xf numFmtId="49" fontId="38" fillId="0" borderId="0" xfId="1" applyNumberFormat="1" applyFont="1" applyAlignment="1">
      <alignment horizontal="center" vertical="center"/>
    </xf>
    <xf numFmtId="49" fontId="38" fillId="0" borderId="0" xfId="1" applyNumberFormat="1" applyFont="1" applyAlignment="1">
      <alignment horizontal="left" vertical="center"/>
    </xf>
    <xf numFmtId="4" fontId="31" fillId="0" borderId="0" xfId="2" applyNumberFormat="1" applyFont="1" applyAlignment="1">
      <alignment horizontal="right" vertical="center"/>
    </xf>
    <xf numFmtId="10" fontId="31" fillId="0" borderId="0" xfId="3" applyNumberFormat="1" applyFont="1" applyAlignment="1">
      <alignment horizontal="right" vertical="center"/>
    </xf>
    <xf numFmtId="167" fontId="31" fillId="0" borderId="0" xfId="3" applyNumberFormat="1" applyFont="1" applyAlignment="1">
      <alignment horizontal="right" vertical="center"/>
    </xf>
    <xf numFmtId="10" fontId="31" fillId="0" borderId="0" xfId="3" applyNumberFormat="1" applyFont="1" applyAlignment="1">
      <alignment vertical="center"/>
    </xf>
    <xf numFmtId="0" fontId="39" fillId="0" borderId="0" xfId="4" applyFont="1" applyAlignment="1">
      <alignment vertical="center"/>
    </xf>
    <xf numFmtId="49" fontId="16" fillId="2" borderId="0" xfId="1" applyNumberFormat="1" applyFont="1" applyFill="1" applyAlignment="1">
      <alignment horizontal="center" vertical="center"/>
    </xf>
    <xf numFmtId="49" fontId="16" fillId="0" borderId="0" xfId="1" applyNumberFormat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/>
    </xf>
    <xf numFmtId="49" fontId="14" fillId="0" borderId="0" xfId="1" applyNumberFormat="1" applyFont="1" applyAlignment="1">
      <alignment horizontal="left" vertical="center"/>
    </xf>
    <xf numFmtId="4" fontId="40" fillId="0" borderId="0" xfId="2" applyNumberFormat="1" applyFont="1" applyAlignment="1">
      <alignment horizontal="right"/>
    </xf>
    <xf numFmtId="167" fontId="40" fillId="0" borderId="0" xfId="3" applyNumberFormat="1" applyFont="1" applyAlignment="1">
      <alignment horizontal="right"/>
    </xf>
    <xf numFmtId="4" fontId="16" fillId="0" borderId="0" xfId="2" applyNumberFormat="1" applyFont="1" applyFill="1" applyAlignment="1">
      <alignment horizontal="right" vertical="center"/>
    </xf>
    <xf numFmtId="4" fontId="14" fillId="0" borderId="0" xfId="2" applyNumberFormat="1" applyFont="1" applyAlignment="1">
      <alignment horizontal="right"/>
    </xf>
    <xf numFmtId="0" fontId="41" fillId="2" borderId="0" xfId="1" applyFont="1" applyFill="1" applyAlignment="1">
      <alignment horizontal="left" vertical="center"/>
    </xf>
    <xf numFmtId="0" fontId="41" fillId="2" borderId="0" xfId="1" applyFont="1" applyFill="1" applyAlignment="1">
      <alignment vertical="center"/>
    </xf>
    <xf numFmtId="49" fontId="41" fillId="2" borderId="0" xfId="1" applyNumberFormat="1" applyFont="1" applyFill="1" applyAlignment="1">
      <alignment horizontal="left" vertical="center"/>
    </xf>
    <xf numFmtId="49" fontId="41" fillId="2" borderId="0" xfId="1" applyNumberFormat="1" applyFont="1" applyFill="1" applyAlignment="1">
      <alignment horizontal="center" vertical="center"/>
    </xf>
    <xf numFmtId="4" fontId="42" fillId="0" borderId="0" xfId="2" applyNumberFormat="1" applyFont="1" applyAlignment="1">
      <alignment horizontal="right" vertical="center"/>
    </xf>
    <xf numFmtId="4" fontId="41" fillId="0" borderId="0" xfId="2" applyNumberFormat="1" applyFont="1" applyAlignment="1">
      <alignment horizontal="right"/>
    </xf>
    <xf numFmtId="10" fontId="41" fillId="0" borderId="0" xfId="8" applyNumberFormat="1" applyFont="1" applyAlignment="1">
      <alignment horizontal="right"/>
    </xf>
    <xf numFmtId="10" fontId="41" fillId="0" borderId="0" xfId="3" applyNumberFormat="1" applyFont="1" applyAlignment="1">
      <alignment horizontal="right"/>
    </xf>
    <xf numFmtId="0" fontId="17" fillId="0" borderId="0" xfId="4" applyFont="1" applyAlignment="1">
      <alignment vertical="center"/>
    </xf>
    <xf numFmtId="0" fontId="17" fillId="2" borderId="0" xfId="4" applyFont="1" applyFill="1" applyAlignment="1">
      <alignment vertical="center"/>
    </xf>
    <xf numFmtId="0" fontId="3" fillId="0" borderId="0" xfId="4" applyFont="1" applyAlignment="1">
      <alignment horizontal="left" vertical="center"/>
    </xf>
    <xf numFmtId="49" fontId="7" fillId="0" borderId="0" xfId="4" applyNumberFormat="1" applyFont="1" applyAlignment="1">
      <alignment horizontal="center" vertical="center"/>
    </xf>
    <xf numFmtId="49" fontId="7" fillId="0" borderId="0" xfId="4" applyNumberFormat="1" applyFont="1" applyAlignment="1">
      <alignment horizontal="left" vertical="center"/>
    </xf>
    <xf numFmtId="4" fontId="16" fillId="11" borderId="1" xfId="2" applyNumberFormat="1" applyFont="1" applyFill="1" applyBorder="1" applyAlignment="1">
      <alignment horizontal="center" vertical="center" wrapText="1"/>
    </xf>
    <xf numFmtId="165" fontId="16" fillId="11" borderId="2" xfId="5" applyFont="1" applyFill="1" applyBorder="1" applyAlignment="1">
      <alignment horizontal="center" vertical="center"/>
    </xf>
    <xf numFmtId="4" fontId="16" fillId="11" borderId="2" xfId="2" applyNumberFormat="1" applyFont="1" applyFill="1" applyBorder="1" applyAlignment="1">
      <alignment horizontal="center" vertical="center" wrapText="1"/>
    </xf>
    <xf numFmtId="10" fontId="16" fillId="11" borderId="1" xfId="3" applyNumberFormat="1" applyFont="1" applyFill="1" applyBorder="1" applyAlignment="1">
      <alignment horizontal="center" vertical="center" wrapText="1"/>
    </xf>
    <xf numFmtId="10" fontId="16" fillId="11" borderId="2" xfId="3" applyNumberFormat="1" applyFont="1" applyFill="1" applyBorder="1" applyAlignment="1">
      <alignment horizontal="center" vertical="center" wrapText="1"/>
    </xf>
    <xf numFmtId="166" fontId="16" fillId="11" borderId="2" xfId="6" applyFont="1" applyFill="1" applyBorder="1" applyAlignment="1">
      <alignment vertical="center" wrapText="1"/>
    </xf>
    <xf numFmtId="166" fontId="16" fillId="11" borderId="2" xfId="6" applyFont="1" applyFill="1" applyBorder="1" applyAlignment="1">
      <alignment horizontal="center" vertical="center" wrapText="1"/>
    </xf>
    <xf numFmtId="166" fontId="16" fillId="11" borderId="2" xfId="6" applyFont="1" applyFill="1" applyBorder="1" applyAlignment="1">
      <alignment horizontal="left" vertical="center" wrapText="1"/>
    </xf>
    <xf numFmtId="164" fontId="16" fillId="11" borderId="2" xfId="2" applyFont="1" applyFill="1" applyBorder="1" applyAlignment="1">
      <alignment horizontal="left" vertical="center" wrapText="1"/>
    </xf>
    <xf numFmtId="10" fontId="16" fillId="11" borderId="2" xfId="3" applyNumberFormat="1" applyFont="1" applyFill="1" applyBorder="1" applyAlignment="1">
      <alignment horizontal="right" vertical="center" wrapText="1"/>
    </xf>
    <xf numFmtId="165" fontId="16" fillId="12" borderId="2" xfId="5" applyFont="1" applyFill="1" applyBorder="1" applyAlignment="1">
      <alignment vertical="center" wrapText="1"/>
    </xf>
    <xf numFmtId="165" fontId="16" fillId="12" borderId="2" xfId="5" applyFont="1" applyFill="1" applyBorder="1">
      <alignment horizontal="center" vertical="center" wrapText="1"/>
    </xf>
    <xf numFmtId="165" fontId="16" fillId="12" borderId="2" xfId="5" applyFont="1" applyFill="1" applyBorder="1" applyAlignment="1">
      <alignment horizontal="left" vertical="center" wrapText="1"/>
    </xf>
    <xf numFmtId="164" fontId="16" fillId="12" borderId="2" xfId="2" applyFont="1" applyFill="1" applyBorder="1" applyAlignment="1">
      <alignment horizontal="left" vertical="center" wrapText="1"/>
    </xf>
    <xf numFmtId="10" fontId="16" fillId="12" borderId="2" xfId="3" applyNumberFormat="1" applyFont="1" applyFill="1" applyBorder="1" applyAlignment="1">
      <alignment horizontal="right" vertical="center" wrapText="1"/>
    </xf>
    <xf numFmtId="165" fontId="16" fillId="13" borderId="2" xfId="5" applyFont="1" applyFill="1" applyBorder="1" applyAlignment="1">
      <alignment vertical="center" wrapText="1"/>
    </xf>
    <xf numFmtId="165" fontId="16" fillId="13" borderId="2" xfId="5" applyFont="1" applyFill="1" applyBorder="1">
      <alignment horizontal="center" vertical="center" wrapText="1"/>
    </xf>
    <xf numFmtId="165" fontId="16" fillId="13" borderId="2" xfId="5" applyFont="1" applyFill="1" applyBorder="1" applyAlignment="1">
      <alignment horizontal="left" vertical="center" wrapText="1"/>
    </xf>
    <xf numFmtId="164" fontId="16" fillId="13" borderId="2" xfId="2" applyFont="1" applyFill="1" applyBorder="1" applyAlignment="1">
      <alignment horizontal="left" vertical="center" wrapText="1"/>
    </xf>
    <xf numFmtId="10" fontId="16" fillId="13" borderId="2" xfId="3" applyNumberFormat="1" applyFont="1" applyFill="1" applyBorder="1" applyAlignment="1">
      <alignment horizontal="right" vertical="center" wrapText="1"/>
    </xf>
    <xf numFmtId="165" fontId="48" fillId="14" borderId="2" xfId="5" applyFont="1" applyFill="1" applyBorder="1" applyAlignment="1">
      <alignment vertical="center" wrapText="1"/>
    </xf>
    <xf numFmtId="165" fontId="48" fillId="14" borderId="2" xfId="5" applyFont="1" applyFill="1" applyBorder="1">
      <alignment horizontal="center" vertical="center" wrapText="1"/>
    </xf>
    <xf numFmtId="165" fontId="48" fillId="14" borderId="2" xfId="5" applyFont="1" applyFill="1" applyBorder="1" applyAlignment="1">
      <alignment horizontal="left" vertical="center" wrapText="1"/>
    </xf>
    <xf numFmtId="164" fontId="48" fillId="14" borderId="2" xfId="2" applyFont="1" applyFill="1" applyBorder="1" applyAlignment="1">
      <alignment horizontal="left" vertical="center" wrapText="1"/>
    </xf>
    <xf numFmtId="2" fontId="48" fillId="14" borderId="2" xfId="2" applyNumberFormat="1" applyFont="1" applyFill="1" applyBorder="1" applyAlignment="1">
      <alignment horizontal="right" vertical="center" wrapText="1"/>
    </xf>
    <xf numFmtId="10" fontId="48" fillId="14" borderId="2" xfId="3" applyNumberFormat="1" applyFont="1" applyFill="1" applyBorder="1" applyAlignment="1">
      <alignment horizontal="right" vertical="center" wrapText="1"/>
    </xf>
    <xf numFmtId="165" fontId="48" fillId="15" borderId="2" xfId="5" applyFont="1" applyFill="1" applyBorder="1" applyAlignment="1">
      <alignment vertical="center" wrapText="1"/>
    </xf>
    <xf numFmtId="165" fontId="48" fillId="15" borderId="2" xfId="5" applyFont="1" applyFill="1" applyBorder="1">
      <alignment horizontal="center" vertical="center" wrapText="1"/>
    </xf>
    <xf numFmtId="165" fontId="48" fillId="15" borderId="2" xfId="5" applyFont="1" applyFill="1" applyBorder="1" applyAlignment="1">
      <alignment horizontal="left" vertical="center" wrapText="1"/>
    </xf>
    <xf numFmtId="164" fontId="48" fillId="15" borderId="2" xfId="2" applyFont="1" applyFill="1" applyBorder="1" applyAlignment="1">
      <alignment horizontal="left" vertical="center" wrapText="1"/>
    </xf>
    <xf numFmtId="2" fontId="48" fillId="15" borderId="2" xfId="2" applyNumberFormat="1" applyFont="1" applyFill="1" applyBorder="1" applyAlignment="1">
      <alignment horizontal="right" vertical="center" wrapText="1"/>
    </xf>
    <xf numFmtId="10" fontId="48" fillId="15" borderId="2" xfId="3" applyNumberFormat="1" applyFont="1" applyFill="1" applyBorder="1" applyAlignment="1">
      <alignment horizontal="right" vertical="center" wrapText="1"/>
    </xf>
    <xf numFmtId="0" fontId="41" fillId="0" borderId="2" xfId="4" applyFont="1" applyBorder="1" applyAlignment="1">
      <alignment vertical="center" wrapText="1" readingOrder="1"/>
    </xf>
    <xf numFmtId="0" fontId="41" fillId="0" borderId="2" xfId="4" applyFont="1" applyBorder="1" applyAlignment="1">
      <alignment horizontal="center" vertical="center" wrapText="1" readingOrder="1"/>
    </xf>
    <xf numFmtId="0" fontId="41" fillId="0" borderId="2" xfId="4" applyFont="1" applyBorder="1" applyAlignment="1">
      <alignment horizontal="left" vertical="center" wrapText="1"/>
    </xf>
    <xf numFmtId="0" fontId="14" fillId="16" borderId="2" xfId="4" applyFont="1" applyFill="1" applyBorder="1" applyAlignment="1">
      <alignment horizontal="left" vertical="center" wrapText="1" readingOrder="1"/>
    </xf>
    <xf numFmtId="4" fontId="41" fillId="0" borderId="2" xfId="7" applyNumberFormat="1" applyFont="1" applyBorder="1" applyAlignment="1">
      <alignment horizontal="right" vertical="center"/>
    </xf>
    <xf numFmtId="4" fontId="41" fillId="0" borderId="2" xfId="7" applyNumberFormat="1" applyFont="1" applyFill="1" applyBorder="1" applyAlignment="1">
      <alignment horizontal="right" vertical="center"/>
    </xf>
    <xf numFmtId="10" fontId="48" fillId="15" borderId="2" xfId="8" applyNumberFormat="1" applyFont="1" applyFill="1" applyBorder="1" applyAlignment="1">
      <alignment horizontal="right" vertical="center"/>
    </xf>
    <xf numFmtId="49" fontId="41" fillId="0" borderId="2" xfId="4" applyNumberFormat="1" applyFont="1" applyBorder="1" applyAlignment="1">
      <alignment horizontal="center" vertical="center" wrapText="1" readingOrder="1"/>
    </xf>
    <xf numFmtId="0" fontId="42" fillId="16" borderId="2" xfId="4" applyFont="1" applyFill="1" applyBorder="1" applyAlignment="1">
      <alignment horizontal="left" vertical="center" wrapText="1" readingOrder="1"/>
    </xf>
    <xf numFmtId="4" fontId="38" fillId="0" borderId="2" xfId="7" applyNumberFormat="1" applyFont="1" applyBorder="1" applyAlignment="1">
      <alignment horizontal="right" vertical="center"/>
    </xf>
    <xf numFmtId="10" fontId="31" fillId="15" borderId="2" xfId="8" applyNumberFormat="1" applyFont="1" applyFill="1" applyBorder="1" applyAlignment="1">
      <alignment horizontal="right" vertical="center"/>
    </xf>
    <xf numFmtId="0" fontId="6" fillId="0" borderId="0" xfId="4" applyAlignment="1">
      <alignment vertical="center"/>
    </xf>
    <xf numFmtId="49" fontId="17" fillId="0" borderId="0" xfId="1" applyNumberFormat="1" applyFont="1" applyAlignment="1">
      <alignment vertical="center"/>
    </xf>
    <xf numFmtId="0" fontId="14" fillId="2" borderId="8" xfId="1" applyFont="1" applyFill="1" applyBorder="1" applyAlignment="1">
      <alignment horizontal="left" vertical="center"/>
    </xf>
    <xf numFmtId="49" fontId="20" fillId="0" borderId="9" xfId="1" applyNumberFormat="1" applyFont="1" applyBorder="1" applyAlignment="1">
      <alignment vertical="center" wrapText="1"/>
    </xf>
    <xf numFmtId="49" fontId="19" fillId="0" borderId="10" xfId="1" applyNumberFormat="1" applyFont="1" applyBorder="1" applyAlignment="1">
      <alignment vertical="center" wrapText="1"/>
    </xf>
    <xf numFmtId="49" fontId="19" fillId="0" borderId="11" xfId="1" applyNumberFormat="1" applyFont="1" applyBorder="1" applyAlignment="1">
      <alignment vertical="center" wrapText="1"/>
    </xf>
    <xf numFmtId="49" fontId="20" fillId="0" borderId="11" xfId="1" applyNumberFormat="1" applyFont="1" applyBorder="1" applyAlignment="1">
      <alignment vertical="center" wrapText="1"/>
    </xf>
    <xf numFmtId="49" fontId="20" fillId="0" borderId="12" xfId="1" applyNumberFormat="1" applyFont="1" applyBorder="1" applyAlignment="1">
      <alignment vertical="center" wrapText="1"/>
    </xf>
    <xf numFmtId="49" fontId="20" fillId="0" borderId="13" xfId="1" applyNumberFormat="1" applyFont="1" applyBorder="1" applyAlignment="1">
      <alignment horizontal="center" vertical="center" wrapText="1"/>
    </xf>
    <xf numFmtId="49" fontId="20" fillId="0" borderId="14" xfId="1" applyNumberFormat="1" applyFont="1" applyBorder="1" applyAlignment="1">
      <alignment horizontal="center" vertical="center" wrapText="1"/>
    </xf>
    <xf numFmtId="0" fontId="20" fillId="0" borderId="9" xfId="1" applyFont="1" applyBorder="1" applyAlignment="1">
      <alignment vertical="center" wrapText="1"/>
    </xf>
    <xf numFmtId="0" fontId="16" fillId="2" borderId="9" xfId="1" applyFont="1" applyFill="1" applyBorder="1" applyAlignment="1">
      <alignment horizontal="center" vertical="center" wrapText="1"/>
    </xf>
    <xf numFmtId="165" fontId="42" fillId="0" borderId="20" xfId="5" applyFont="1" applyBorder="1">
      <alignment horizontal="center" vertical="center" wrapText="1"/>
    </xf>
    <xf numFmtId="165" fontId="41" fillId="0" borderId="20" xfId="5" applyFont="1" applyBorder="1" applyAlignment="1">
      <alignment horizontal="center" vertical="center"/>
    </xf>
    <xf numFmtId="165" fontId="41" fillId="0" borderId="21" xfId="5" applyFont="1" applyBorder="1" applyAlignment="1">
      <alignment horizontal="center" vertical="center"/>
    </xf>
    <xf numFmtId="165" fontId="41" fillId="0" borderId="22" xfId="5" applyFont="1" applyBorder="1" applyAlignment="1">
      <alignment horizontal="center" vertical="center"/>
    </xf>
    <xf numFmtId="165" fontId="41" fillId="0" borderId="23" xfId="5" applyFont="1" applyBorder="1" applyAlignment="1">
      <alignment horizontal="center" vertical="center"/>
    </xf>
    <xf numFmtId="165" fontId="42" fillId="0" borderId="24" xfId="5" applyFont="1" applyBorder="1" applyAlignment="1">
      <alignment horizontal="center" vertical="center"/>
    </xf>
    <xf numFmtId="165" fontId="42" fillId="0" borderId="25" xfId="5" applyFont="1" applyBorder="1" applyAlignment="1">
      <alignment horizontal="center" vertical="center"/>
    </xf>
    <xf numFmtId="4" fontId="20" fillId="2" borderId="20" xfId="2" applyNumberFormat="1" applyFont="1" applyFill="1" applyBorder="1" applyAlignment="1">
      <alignment horizontal="center" vertical="center" wrapText="1"/>
    </xf>
    <xf numFmtId="4" fontId="20" fillId="2" borderId="28" xfId="2" applyNumberFormat="1" applyFont="1" applyFill="1" applyBorder="1" applyAlignment="1">
      <alignment horizontal="center" vertical="center" wrapText="1"/>
    </xf>
    <xf numFmtId="4" fontId="20" fillId="2" borderId="29" xfId="2" applyNumberFormat="1" applyFont="1" applyFill="1" applyBorder="1" applyAlignment="1">
      <alignment horizontal="center" vertical="center" wrapText="1"/>
    </xf>
    <xf numFmtId="10" fontId="20" fillId="2" borderId="30" xfId="3" applyNumberFormat="1" applyFont="1" applyFill="1" applyBorder="1" applyAlignment="1">
      <alignment horizontal="center" vertical="center" wrapText="1"/>
    </xf>
    <xf numFmtId="10" fontId="20" fillId="2" borderId="28" xfId="3" applyNumberFormat="1" applyFont="1" applyFill="1" applyBorder="1" applyAlignment="1">
      <alignment horizontal="center" vertical="center" wrapText="1"/>
    </xf>
    <xf numFmtId="0" fontId="14" fillId="0" borderId="8" xfId="1" applyFont="1" applyBorder="1" applyAlignment="1">
      <alignment horizontal="left" vertical="center"/>
    </xf>
    <xf numFmtId="166" fontId="16" fillId="4" borderId="28" xfId="6" applyFont="1" applyBorder="1" applyAlignment="1">
      <alignment horizontal="left" vertical="center" wrapText="1"/>
    </xf>
    <xf numFmtId="166" fontId="16" fillId="4" borderId="28" xfId="6" applyFont="1" applyBorder="1">
      <alignment horizontal="center" vertical="center"/>
    </xf>
    <xf numFmtId="166" fontId="16" fillId="4" borderId="18" xfId="6" applyFont="1" applyBorder="1">
      <alignment horizontal="center" vertical="center"/>
    </xf>
    <xf numFmtId="166" fontId="16" fillId="4" borderId="16" xfId="6" applyFont="1" applyBorder="1">
      <alignment horizontal="center" vertical="center"/>
    </xf>
    <xf numFmtId="166" fontId="16" fillId="4" borderId="26" xfId="6" applyFont="1" applyBorder="1">
      <alignment horizontal="center" vertical="center"/>
    </xf>
    <xf numFmtId="166" fontId="16" fillId="4" borderId="27" xfId="6" applyFont="1" applyBorder="1">
      <alignment horizontal="center" vertical="center"/>
    </xf>
    <xf numFmtId="4" fontId="16" fillId="4" borderId="28" xfId="6" applyNumberFormat="1" applyFont="1" applyBorder="1" applyAlignment="1">
      <alignment horizontal="right" vertical="center"/>
    </xf>
    <xf numFmtId="10" fontId="16" fillId="4" borderId="28" xfId="8" applyNumberFormat="1" applyFont="1" applyFill="1" applyBorder="1" applyAlignment="1">
      <alignment horizontal="right" vertical="center"/>
    </xf>
    <xf numFmtId="165" fontId="16" fillId="4" borderId="31" xfId="5" applyFont="1" applyFill="1" applyBorder="1" applyAlignment="1">
      <alignment horizontal="left" vertical="center" wrapText="1"/>
    </xf>
    <xf numFmtId="165" fontId="16" fillId="4" borderId="31" xfId="5" applyFont="1" applyFill="1" applyBorder="1" applyAlignment="1">
      <alignment horizontal="center" vertical="center"/>
    </xf>
    <xf numFmtId="49" fontId="16" fillId="4" borderId="0" xfId="5" applyNumberFormat="1" applyFont="1" applyFill="1" applyAlignment="1">
      <alignment horizontal="center" vertical="center"/>
    </xf>
    <xf numFmtId="165" fontId="16" fillId="4" borderId="0" xfId="5" applyFont="1" applyFill="1" applyAlignment="1">
      <alignment horizontal="center" vertical="center"/>
    </xf>
    <xf numFmtId="165" fontId="16" fillId="4" borderId="32" xfId="5" applyFont="1" applyFill="1" applyBorder="1" applyAlignment="1">
      <alignment horizontal="center" vertical="center"/>
    </xf>
    <xf numFmtId="165" fontId="16" fillId="4" borderId="33" xfId="5" applyFont="1" applyFill="1" applyBorder="1" applyAlignment="1">
      <alignment horizontal="center" vertical="center"/>
    </xf>
    <xf numFmtId="4" fontId="16" fillId="4" borderId="31" xfId="5" applyNumberFormat="1" applyFont="1" applyFill="1" applyBorder="1" applyAlignment="1">
      <alignment horizontal="right" vertical="center"/>
    </xf>
    <xf numFmtId="10" fontId="16" fillId="4" borderId="31" xfId="8" applyNumberFormat="1" applyFont="1" applyFill="1" applyBorder="1" applyAlignment="1">
      <alignment horizontal="right" vertical="center"/>
    </xf>
    <xf numFmtId="165" fontId="42" fillId="17" borderId="31" xfId="5" applyFont="1" applyFill="1" applyBorder="1" applyAlignment="1">
      <alignment horizontal="left" vertical="center" wrapText="1"/>
    </xf>
    <xf numFmtId="165" fontId="42" fillId="17" borderId="31" xfId="5" applyFont="1" applyFill="1" applyBorder="1" applyAlignment="1">
      <alignment horizontal="center" vertical="center"/>
    </xf>
    <xf numFmtId="165" fontId="42" fillId="17" borderId="0" xfId="5" applyFont="1" applyFill="1" applyAlignment="1">
      <alignment horizontal="center" vertical="center"/>
    </xf>
    <xf numFmtId="165" fontId="42" fillId="17" borderId="32" xfId="5" applyFont="1" applyFill="1" applyBorder="1" applyAlignment="1">
      <alignment horizontal="center" vertical="center"/>
    </xf>
    <xf numFmtId="165" fontId="42" fillId="17" borderId="33" xfId="5" applyFont="1" applyFill="1" applyBorder="1" applyAlignment="1">
      <alignment horizontal="center" vertical="center"/>
    </xf>
    <xf numFmtId="4" fontId="42" fillId="17" borderId="31" xfId="5" applyNumberFormat="1" applyFont="1" applyFill="1" applyBorder="1" applyAlignment="1">
      <alignment horizontal="right" vertical="center"/>
    </xf>
    <xf numFmtId="10" fontId="42" fillId="17" borderId="31" xfId="8" applyNumberFormat="1" applyFont="1" applyFill="1" applyBorder="1" applyAlignment="1">
      <alignment horizontal="right" vertical="center"/>
    </xf>
    <xf numFmtId="165" fontId="42" fillId="18" borderId="31" xfId="5" applyFont="1" applyFill="1" applyBorder="1" applyAlignment="1">
      <alignment horizontal="left" vertical="center" wrapText="1"/>
    </xf>
    <xf numFmtId="165" fontId="42" fillId="18" borderId="31" xfId="5" applyFont="1" applyFill="1" applyBorder="1" applyAlignment="1">
      <alignment horizontal="center" vertical="center"/>
    </xf>
    <xf numFmtId="165" fontId="42" fillId="18" borderId="0" xfId="5" applyFont="1" applyFill="1" applyAlignment="1">
      <alignment horizontal="center" vertical="center"/>
    </xf>
    <xf numFmtId="165" fontId="42" fillId="18" borderId="32" xfId="5" applyFont="1" applyFill="1" applyBorder="1" applyAlignment="1">
      <alignment horizontal="center" vertical="center"/>
    </xf>
    <xf numFmtId="165" fontId="42" fillId="18" borderId="33" xfId="5" applyFont="1" applyFill="1" applyBorder="1" applyAlignment="1">
      <alignment horizontal="center" vertical="center"/>
    </xf>
    <xf numFmtId="4" fontId="42" fillId="18" borderId="31" xfId="5" applyNumberFormat="1" applyFont="1" applyFill="1" applyBorder="1" applyAlignment="1">
      <alignment horizontal="right" vertical="center"/>
    </xf>
    <xf numFmtId="10" fontId="42" fillId="18" borderId="31" xfId="8" applyNumberFormat="1" applyFont="1" applyFill="1" applyBorder="1" applyAlignment="1">
      <alignment horizontal="right" vertical="center"/>
    </xf>
    <xf numFmtId="165" fontId="41" fillId="19" borderId="31" xfId="5" applyFont="1" applyFill="1" applyBorder="1" applyAlignment="1">
      <alignment horizontal="left" vertical="center" wrapText="1"/>
    </xf>
    <xf numFmtId="165" fontId="41" fillId="19" borderId="31" xfId="5" applyFont="1" applyFill="1" applyBorder="1" applyAlignment="1">
      <alignment horizontal="center" vertical="center"/>
    </xf>
    <xf numFmtId="165" fontId="41" fillId="19" borderId="0" xfId="5" applyFont="1" applyFill="1" applyAlignment="1">
      <alignment horizontal="center" vertical="center"/>
    </xf>
    <xf numFmtId="165" fontId="41" fillId="19" borderId="32" xfId="5" applyFont="1" applyFill="1" applyBorder="1" applyAlignment="1">
      <alignment horizontal="center" vertical="center"/>
    </xf>
    <xf numFmtId="165" fontId="41" fillId="19" borderId="33" xfId="5" applyFont="1" applyFill="1" applyBorder="1" applyAlignment="1">
      <alignment horizontal="center" vertical="center"/>
    </xf>
    <xf numFmtId="4" fontId="41" fillId="19" borderId="31" xfId="5" applyNumberFormat="1" applyFont="1" applyFill="1" applyBorder="1" applyAlignment="1">
      <alignment horizontal="right" vertical="center"/>
    </xf>
    <xf numFmtId="10" fontId="41" fillId="19" borderId="31" xfId="8" applyNumberFormat="1" applyFont="1" applyFill="1" applyBorder="1" applyAlignment="1">
      <alignment horizontal="right" vertical="center"/>
    </xf>
    <xf numFmtId="0" fontId="41" fillId="0" borderId="31" xfId="4" applyFont="1" applyBorder="1" applyAlignment="1">
      <alignment horizontal="left" vertical="center" wrapText="1" readingOrder="1"/>
    </xf>
    <xf numFmtId="0" fontId="41" fillId="0" borderId="31" xfId="4" applyFont="1" applyBorder="1" applyAlignment="1">
      <alignment horizontal="center" vertical="center" wrapText="1" readingOrder="1"/>
    </xf>
    <xf numFmtId="0" fontId="41" fillId="0" borderId="0" xfId="4" applyFont="1" applyAlignment="1">
      <alignment horizontal="center" vertical="center" wrapText="1" readingOrder="1"/>
    </xf>
    <xf numFmtId="0" fontId="41" fillId="0" borderId="32" xfId="4" applyFont="1" applyBorder="1" applyAlignment="1">
      <alignment horizontal="center" vertical="center" wrapText="1" readingOrder="1"/>
    </xf>
    <xf numFmtId="0" fontId="41" fillId="0" borderId="33" xfId="4" applyFont="1" applyBorder="1" applyAlignment="1">
      <alignment horizontal="center" vertical="center" wrapText="1" readingOrder="1"/>
    </xf>
    <xf numFmtId="4" fontId="41" fillId="0" borderId="31" xfId="7" applyNumberFormat="1" applyFont="1" applyBorder="1" applyAlignment="1">
      <alignment horizontal="right" vertical="center"/>
    </xf>
    <xf numFmtId="4" fontId="41" fillId="0" borderId="31" xfId="7" applyNumberFormat="1" applyFont="1" applyFill="1" applyBorder="1" applyAlignment="1">
      <alignment horizontal="right" vertical="center"/>
    </xf>
    <xf numFmtId="10" fontId="41" fillId="0" borderId="31" xfId="8" applyNumberFormat="1" applyFont="1" applyBorder="1" applyAlignment="1">
      <alignment horizontal="right" vertical="center"/>
    </xf>
    <xf numFmtId="49" fontId="41" fillId="0" borderId="0" xfId="4" applyNumberFormat="1" applyFont="1" applyAlignment="1">
      <alignment horizontal="center" vertical="center" wrapText="1" readingOrder="1"/>
    </xf>
    <xf numFmtId="0" fontId="42" fillId="18" borderId="31" xfId="4" applyFont="1" applyFill="1" applyBorder="1" applyAlignment="1">
      <alignment horizontal="left" vertical="center" wrapText="1" readingOrder="1"/>
    </xf>
    <xf numFmtId="0" fontId="42" fillId="18" borderId="31" xfId="4" applyFont="1" applyFill="1" applyBorder="1" applyAlignment="1">
      <alignment horizontal="center" vertical="center" wrapText="1" readingOrder="1"/>
    </xf>
    <xf numFmtId="0" fontId="42" fillId="18" borderId="0" xfId="4" applyFont="1" applyFill="1" applyAlignment="1">
      <alignment horizontal="center" vertical="center" wrapText="1" readingOrder="1"/>
    </xf>
    <xf numFmtId="0" fontId="42" fillId="18" borderId="32" xfId="4" applyFont="1" applyFill="1" applyBorder="1" applyAlignment="1">
      <alignment horizontal="center" vertical="center" wrapText="1" readingOrder="1"/>
    </xf>
    <xf numFmtId="0" fontId="42" fillId="18" borderId="33" xfId="4" applyFont="1" applyFill="1" applyBorder="1" applyAlignment="1">
      <alignment horizontal="center" vertical="center" wrapText="1" readingOrder="1"/>
    </xf>
    <xf numFmtId="0" fontId="42" fillId="20" borderId="31" xfId="5" applyNumberFormat="1" applyFont="1" applyFill="1" applyBorder="1" applyAlignment="1" applyProtection="1">
      <alignment horizontal="left" vertical="center" wrapText="1"/>
      <protection locked="0"/>
    </xf>
    <xf numFmtId="4" fontId="42" fillId="18" borderId="31" xfId="7" applyNumberFormat="1" applyFont="1" applyFill="1" applyBorder="1" applyAlignment="1">
      <alignment horizontal="right" vertical="center" wrapText="1" readingOrder="1"/>
    </xf>
    <xf numFmtId="10" fontId="42" fillId="18" borderId="31" xfId="8" applyNumberFormat="1" applyFont="1" applyFill="1" applyBorder="1" applyAlignment="1">
      <alignment horizontal="right" vertical="center" wrapText="1" readingOrder="1"/>
    </xf>
    <xf numFmtId="0" fontId="41" fillId="0" borderId="34" xfId="4" applyFont="1" applyBorder="1" applyAlignment="1">
      <alignment horizontal="left" vertical="center" wrapText="1" readingOrder="1"/>
    </xf>
    <xf numFmtId="0" fontId="41" fillId="0" borderId="34" xfId="4" applyFont="1" applyBorder="1" applyAlignment="1">
      <alignment horizontal="center" vertical="center" wrapText="1" readingOrder="1"/>
    </xf>
    <xf numFmtId="0" fontId="41" fillId="0" borderId="35" xfId="4" applyFont="1" applyBorder="1" applyAlignment="1">
      <alignment horizontal="center" vertical="center" wrapText="1" readingOrder="1"/>
    </xf>
    <xf numFmtId="0" fontId="41" fillId="0" borderId="36" xfId="4" applyFont="1" applyBorder="1" applyAlignment="1">
      <alignment horizontal="center" vertical="center" wrapText="1" readingOrder="1"/>
    </xf>
    <xf numFmtId="0" fontId="41" fillId="0" borderId="37" xfId="4" applyFont="1" applyBorder="1" applyAlignment="1">
      <alignment horizontal="center" vertical="center" wrapText="1" readingOrder="1"/>
    </xf>
    <xf numFmtId="4" fontId="41" fillId="0" borderId="34" xfId="7" applyNumberFormat="1" applyFont="1" applyBorder="1" applyAlignment="1">
      <alignment horizontal="right" vertical="center"/>
    </xf>
    <xf numFmtId="10" fontId="41" fillId="0" borderId="34" xfId="8" applyNumberFormat="1" applyFont="1" applyBorder="1" applyAlignment="1">
      <alignment horizontal="right" vertical="center"/>
    </xf>
    <xf numFmtId="49" fontId="3" fillId="0" borderId="0" xfId="4" applyNumberFormat="1" applyFont="1" applyAlignment="1">
      <alignment vertical="center"/>
    </xf>
    <xf numFmtId="49" fontId="41" fillId="0" borderId="31" xfId="9" applyNumberFormat="1" applyFont="1" applyBorder="1" applyAlignment="1">
      <alignment horizontal="left" vertical="center" wrapText="1" readingOrder="1"/>
    </xf>
    <xf numFmtId="49" fontId="41" fillId="0" borderId="31" xfId="9" applyNumberFormat="1" applyFont="1" applyBorder="1" applyAlignment="1">
      <alignment horizontal="center" vertical="center" wrapText="1" readingOrder="1"/>
    </xf>
    <xf numFmtId="49" fontId="41" fillId="0" borderId="0" xfId="9" applyNumberFormat="1" applyFont="1" applyAlignment="1">
      <alignment horizontal="center" vertical="center" wrapText="1" readingOrder="1"/>
    </xf>
    <xf numFmtId="49" fontId="41" fillId="0" borderId="32" xfId="9" applyNumberFormat="1" applyFont="1" applyBorder="1" applyAlignment="1">
      <alignment horizontal="center" vertical="center" wrapText="1" readingOrder="1"/>
    </xf>
    <xf numFmtId="49" fontId="41" fillId="0" borderId="33" xfId="9" applyNumberFormat="1" applyFont="1" applyBorder="1" applyAlignment="1">
      <alignment horizontal="center" vertical="center" wrapText="1" readingOrder="1"/>
    </xf>
    <xf numFmtId="0" fontId="41" fillId="0" borderId="31" xfId="9" applyFont="1" applyBorder="1" applyAlignment="1">
      <alignment horizontal="left" vertical="center" wrapText="1" readingOrder="1"/>
    </xf>
    <xf numFmtId="165" fontId="41" fillId="0" borderId="31" xfId="5" applyFont="1" applyFill="1" applyBorder="1" applyAlignment="1">
      <alignment horizontal="center" vertical="center"/>
    </xf>
    <xf numFmtId="165" fontId="41" fillId="0" borderId="0" xfId="5" applyFont="1" applyFill="1" applyAlignment="1">
      <alignment horizontal="center" vertical="center"/>
    </xf>
    <xf numFmtId="0" fontId="51" fillId="0" borderId="0" xfId="4" applyFont="1" applyAlignment="1">
      <alignment vertical="center"/>
    </xf>
    <xf numFmtId="165" fontId="38" fillId="19" borderId="31" xfId="5" applyFont="1" applyFill="1" applyBorder="1" applyAlignment="1">
      <alignment horizontal="left" vertical="center" wrapText="1"/>
    </xf>
    <xf numFmtId="165" fontId="38" fillId="19" borderId="32" xfId="5" applyFont="1" applyFill="1" applyBorder="1" applyAlignment="1">
      <alignment horizontal="center" vertical="center"/>
    </xf>
    <xf numFmtId="165" fontId="38" fillId="19" borderId="33" xfId="5" applyFont="1" applyFill="1" applyBorder="1" applyAlignment="1">
      <alignment horizontal="center" vertical="center"/>
    </xf>
    <xf numFmtId="4" fontId="38" fillId="19" borderId="31" xfId="5" applyNumberFormat="1" applyFont="1" applyFill="1" applyBorder="1" applyAlignment="1">
      <alignment horizontal="right" vertical="center"/>
    </xf>
    <xf numFmtId="10" fontId="38" fillId="19" borderId="31" xfId="8" applyNumberFormat="1" applyFont="1" applyFill="1" applyBorder="1" applyAlignment="1">
      <alignment horizontal="right" vertical="center"/>
    </xf>
    <xf numFmtId="49" fontId="42" fillId="18" borderId="0" xfId="5" applyNumberFormat="1" applyFont="1" applyFill="1" applyAlignment="1">
      <alignment horizontal="center" vertical="center"/>
    </xf>
    <xf numFmtId="4" fontId="7" fillId="0" borderId="0" xfId="4" applyNumberFormat="1" applyFont="1"/>
    <xf numFmtId="4" fontId="21" fillId="0" borderId="0" xfId="11" applyNumberFormat="1" applyFont="1" applyAlignment="1">
      <alignment horizontal="right" vertical="top" wrapText="1" readingOrder="1"/>
    </xf>
    <xf numFmtId="0" fontId="41" fillId="0" borderId="31" xfId="5" applyNumberFormat="1" applyFont="1" applyBorder="1" applyAlignment="1" applyProtection="1">
      <alignment horizontal="left" vertical="center" wrapText="1"/>
      <protection locked="0"/>
    </xf>
    <xf numFmtId="165" fontId="16" fillId="4" borderId="28" xfId="5" applyFont="1" applyFill="1" applyBorder="1" applyAlignment="1">
      <alignment horizontal="left" vertical="center" wrapText="1"/>
    </xf>
    <xf numFmtId="165" fontId="16" fillId="4" borderId="28" xfId="5" applyFont="1" applyFill="1" applyBorder="1" applyAlignment="1">
      <alignment horizontal="center" vertical="center"/>
    </xf>
    <xf numFmtId="165" fontId="16" fillId="4" borderId="18" xfId="5" applyFont="1" applyFill="1" applyBorder="1" applyAlignment="1">
      <alignment horizontal="center" vertical="center"/>
    </xf>
    <xf numFmtId="165" fontId="16" fillId="4" borderId="26" xfId="5" applyFont="1" applyFill="1" applyBorder="1" applyAlignment="1">
      <alignment horizontal="center" vertical="center"/>
    </xf>
    <xf numFmtId="165" fontId="16" fillId="4" borderId="27" xfId="5" applyFont="1" applyFill="1" applyBorder="1" applyAlignment="1">
      <alignment horizontal="center" vertical="center"/>
    </xf>
    <xf numFmtId="4" fontId="16" fillId="4" borderId="28" xfId="5" applyNumberFormat="1" applyFont="1" applyFill="1" applyBorder="1" applyAlignment="1">
      <alignment horizontal="right" vertical="center"/>
    </xf>
    <xf numFmtId="0" fontId="41" fillId="0" borderId="31" xfId="4" applyFont="1" applyBorder="1" applyAlignment="1">
      <alignment horizontal="center" vertical="center" readingOrder="1"/>
    </xf>
    <xf numFmtId="0" fontId="41" fillId="0" borderId="0" xfId="4" applyFont="1" applyAlignment="1">
      <alignment horizontal="center" vertical="center" readingOrder="1"/>
    </xf>
    <xf numFmtId="0" fontId="41" fillId="0" borderId="32" xfId="4" applyFont="1" applyBorder="1" applyAlignment="1">
      <alignment horizontal="center" vertical="center" readingOrder="1"/>
    </xf>
    <xf numFmtId="0" fontId="41" fillId="0" borderId="33" xfId="4" applyFont="1" applyBorder="1" applyAlignment="1">
      <alignment horizontal="center" vertical="center" readingOrder="1"/>
    </xf>
    <xf numFmtId="0" fontId="38" fillId="0" borderId="32" xfId="4" applyFont="1" applyBorder="1" applyAlignment="1">
      <alignment horizontal="center" vertical="center" wrapText="1" readingOrder="1"/>
    </xf>
    <xf numFmtId="0" fontId="38" fillId="0" borderId="32" xfId="4" applyFont="1" applyBorder="1" applyAlignment="1">
      <alignment horizontal="center" vertical="center" readingOrder="1"/>
    </xf>
    <xf numFmtId="49" fontId="38" fillId="0" borderId="0" xfId="4" applyNumberFormat="1" applyFont="1" applyAlignment="1">
      <alignment horizontal="center" vertical="center" readingOrder="1"/>
    </xf>
    <xf numFmtId="0" fontId="38" fillId="0" borderId="0" xfId="4" applyFont="1" applyAlignment="1">
      <alignment horizontal="center" vertical="center" readingOrder="1"/>
    </xf>
    <xf numFmtId="49" fontId="41" fillId="0" borderId="0" xfId="4" applyNumberFormat="1" applyFont="1" applyAlignment="1">
      <alignment horizontal="center" vertical="center" readingOrder="1"/>
    </xf>
    <xf numFmtId="0" fontId="41" fillId="0" borderId="24" xfId="4" applyFont="1" applyBorder="1" applyAlignment="1">
      <alignment horizontal="center" vertical="center" wrapText="1" readingOrder="1"/>
    </xf>
    <xf numFmtId="0" fontId="41" fillId="0" borderId="25" xfId="4" applyFont="1" applyBorder="1" applyAlignment="1">
      <alignment horizontal="center" vertical="center" wrapText="1" readingOrder="1"/>
    </xf>
    <xf numFmtId="165" fontId="16" fillId="4" borderId="15" xfId="5" applyFont="1" applyFill="1" applyBorder="1" applyAlignment="1">
      <alignment horizontal="left" vertical="center" wrapText="1"/>
    </xf>
    <xf numFmtId="165" fontId="16" fillId="4" borderId="18" xfId="5" applyFont="1" applyFill="1" applyBorder="1" applyAlignment="1">
      <alignment horizontal="left" vertical="center" wrapText="1"/>
    </xf>
    <xf numFmtId="49" fontId="41" fillId="0" borderId="0" xfId="1" applyNumberFormat="1" applyFont="1" applyAlignment="1">
      <alignment vertical="center"/>
    </xf>
    <xf numFmtId="49" fontId="14" fillId="0" borderId="0" xfId="1" applyNumberFormat="1" applyFont="1" applyAlignment="1">
      <alignment vertical="center"/>
    </xf>
    <xf numFmtId="4" fontId="14" fillId="0" borderId="0" xfId="2" applyNumberFormat="1" applyFont="1" applyFill="1" applyAlignment="1">
      <alignment horizontal="right" vertical="center"/>
    </xf>
    <xf numFmtId="10" fontId="14" fillId="0" borderId="0" xfId="3" applyNumberFormat="1" applyFont="1" applyFill="1" applyAlignment="1">
      <alignment horizontal="right" vertical="center"/>
    </xf>
    <xf numFmtId="49" fontId="14" fillId="2" borderId="0" xfId="1" applyNumberFormat="1" applyFont="1" applyFill="1" applyAlignment="1">
      <alignment vertical="center"/>
    </xf>
    <xf numFmtId="49" fontId="14" fillId="2" borderId="0" xfId="1" applyNumberFormat="1" applyFont="1" applyFill="1" applyAlignment="1">
      <alignment horizontal="left" vertical="center"/>
    </xf>
    <xf numFmtId="49" fontId="14" fillId="2" borderId="0" xfId="1" applyNumberFormat="1" applyFont="1" applyFill="1" applyAlignment="1">
      <alignment horizontal="center" vertical="center"/>
    </xf>
    <xf numFmtId="4" fontId="16" fillId="0" borderId="0" xfId="2" applyNumberFormat="1" applyFont="1" applyAlignment="1">
      <alignment horizontal="right" vertical="center"/>
    </xf>
    <xf numFmtId="10" fontId="14" fillId="0" borderId="0" xfId="8" applyNumberFormat="1" applyFont="1" applyAlignment="1">
      <alignment horizontal="right"/>
    </xf>
    <xf numFmtId="10" fontId="14" fillId="0" borderId="0" xfId="3" applyNumberFormat="1" applyFont="1" applyAlignment="1">
      <alignment horizontal="right"/>
    </xf>
    <xf numFmtId="0" fontId="3" fillId="2" borderId="0" xfId="4" applyFont="1" applyFill="1" applyAlignment="1">
      <alignment vertical="center"/>
    </xf>
    <xf numFmtId="41" fontId="3" fillId="0" borderId="0" xfId="12" applyFont="1" applyAlignment="1">
      <alignment vertical="center"/>
    </xf>
    <xf numFmtId="41" fontId="7" fillId="0" borderId="0" xfId="12" applyFont="1" applyAlignment="1">
      <alignment vertical="center"/>
    </xf>
    <xf numFmtId="41" fontId="7" fillId="2" borderId="0" xfId="12" applyFont="1" applyFill="1" applyAlignment="1">
      <alignment vertical="center"/>
    </xf>
    <xf numFmtId="41" fontId="7" fillId="0" borderId="0" xfId="4" applyNumberFormat="1" applyFont="1" applyAlignment="1">
      <alignment vertical="center"/>
    </xf>
    <xf numFmtId="41" fontId="51" fillId="0" borderId="0" xfId="4" applyNumberFormat="1" applyFont="1" applyAlignment="1">
      <alignment vertical="center"/>
    </xf>
    <xf numFmtId="10" fontId="16" fillId="0" borderId="0" xfId="3" applyNumberFormat="1" applyFont="1" applyAlignment="1">
      <alignment horizontal="right" vertical="center"/>
    </xf>
    <xf numFmtId="10" fontId="16" fillId="0" borderId="0" xfId="3" applyNumberFormat="1" applyFont="1" applyAlignment="1">
      <alignment vertical="center"/>
    </xf>
    <xf numFmtId="41" fontId="3" fillId="0" borderId="0" xfId="4" applyNumberFormat="1" applyFont="1" applyAlignment="1">
      <alignment vertical="center"/>
    </xf>
    <xf numFmtId="41" fontId="3" fillId="0" borderId="0" xfId="12" applyFont="1" applyFill="1" applyAlignment="1">
      <alignment vertical="center"/>
    </xf>
    <xf numFmtId="49" fontId="42" fillId="2" borderId="0" xfId="1" applyNumberFormat="1" applyFont="1" applyFill="1" applyAlignment="1">
      <alignment horizontal="center" vertical="center"/>
    </xf>
    <xf numFmtId="49" fontId="42" fillId="0" borderId="0" xfId="1" applyNumberFormat="1" applyFont="1" applyAlignment="1">
      <alignment horizontal="center" vertical="center"/>
    </xf>
    <xf numFmtId="49" fontId="41" fillId="0" borderId="0" xfId="1" applyNumberFormat="1" applyFont="1" applyAlignment="1">
      <alignment horizontal="center" vertical="center"/>
    </xf>
    <xf numFmtId="0" fontId="50" fillId="0" borderId="0" xfId="1" applyFont="1" applyAlignment="1">
      <alignment vertical="center"/>
    </xf>
    <xf numFmtId="0" fontId="49" fillId="0" borderId="0" xfId="1" applyFont="1" applyAlignment="1">
      <alignment vertical="center"/>
    </xf>
    <xf numFmtId="0" fontId="47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55" fillId="2" borderId="0" xfId="1" applyFont="1" applyFill="1" applyAlignment="1">
      <alignment horizontal="center" vertical="center"/>
    </xf>
    <xf numFmtId="0" fontId="56" fillId="2" borderId="0" xfId="1" applyFont="1" applyFill="1" applyAlignment="1">
      <alignment horizontal="center" vertical="center"/>
    </xf>
    <xf numFmtId="10" fontId="52" fillId="2" borderId="28" xfId="1" applyNumberFormat="1" applyFont="1" applyFill="1" applyBorder="1" applyAlignment="1">
      <alignment horizontal="center" vertical="center" wrapText="1"/>
    </xf>
    <xf numFmtId="0" fontId="14" fillId="2" borderId="0" xfId="1" applyFont="1" applyFill="1" applyAlignment="1">
      <alignment vertical="center"/>
    </xf>
    <xf numFmtId="49" fontId="57" fillId="0" borderId="0" xfId="1" applyNumberFormat="1" applyFont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17" fillId="2" borderId="0" xfId="1" applyFont="1" applyFill="1" applyAlignment="1">
      <alignment vertical="center"/>
    </xf>
    <xf numFmtId="4" fontId="7" fillId="0" borderId="0" xfId="4" applyNumberFormat="1" applyFont="1" applyAlignment="1">
      <alignment vertical="center"/>
    </xf>
    <xf numFmtId="49" fontId="38" fillId="0" borderId="0" xfId="1" applyNumberFormat="1" applyFont="1" applyAlignment="1">
      <alignment vertical="center"/>
    </xf>
    <xf numFmtId="49" fontId="57" fillId="0" borderId="0" xfId="1" applyNumberFormat="1" applyFont="1" applyAlignment="1">
      <alignment horizontal="left" vertical="center"/>
    </xf>
    <xf numFmtId="49" fontId="59" fillId="0" borderId="0" xfId="1" applyNumberFormat="1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10" fontId="55" fillId="0" borderId="0" xfId="1" applyNumberFormat="1" applyFont="1" applyAlignment="1">
      <alignment horizontal="center" vertical="center"/>
    </xf>
    <xf numFmtId="49" fontId="55" fillId="0" borderId="0" xfId="1" applyNumberFormat="1" applyFont="1" applyAlignment="1">
      <alignment horizontal="left" vertical="center"/>
    </xf>
    <xf numFmtId="49" fontId="55" fillId="0" borderId="0" xfId="1" applyNumberFormat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10" fontId="56" fillId="0" borderId="0" xfId="1" applyNumberFormat="1" applyFont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4" fontId="3" fillId="0" borderId="0" xfId="1" applyNumberFormat="1" applyFont="1" applyAlignment="1">
      <alignment vertical="center"/>
    </xf>
    <xf numFmtId="49" fontId="53" fillId="0" borderId="0" xfId="1" applyNumberFormat="1" applyFont="1" applyAlignment="1">
      <alignment horizontal="center" vertical="center"/>
    </xf>
    <xf numFmtId="49" fontId="53" fillId="0" borderId="0" xfId="1" applyNumberFormat="1" applyFont="1" applyAlignment="1">
      <alignment horizontal="left" vertical="center"/>
    </xf>
    <xf numFmtId="4" fontId="7" fillId="2" borderId="0" xfId="1" applyNumberFormat="1" applyFont="1" applyFill="1" applyAlignment="1">
      <alignment vertical="center"/>
    </xf>
    <xf numFmtId="4" fontId="54" fillId="0" borderId="0" xfId="2" applyNumberFormat="1" applyFont="1" applyAlignment="1">
      <alignment horizontal="right" vertical="center"/>
    </xf>
    <xf numFmtId="10" fontId="54" fillId="0" borderId="0" xfId="3" applyNumberFormat="1" applyFont="1" applyAlignment="1">
      <alignment horizontal="right" vertical="center"/>
    </xf>
    <xf numFmtId="4" fontId="58" fillId="0" borderId="0" xfId="2" applyNumberFormat="1" applyFont="1" applyAlignment="1">
      <alignment horizontal="right" vertical="center"/>
    </xf>
    <xf numFmtId="10" fontId="58" fillId="0" borderId="0" xfId="3" applyNumberFormat="1" applyFont="1" applyAlignment="1">
      <alignment horizontal="right" vertical="center"/>
    </xf>
    <xf numFmtId="4" fontId="7" fillId="2" borderId="0" xfId="2" applyNumberFormat="1" applyFont="1" applyFill="1" applyAlignment="1">
      <alignment vertical="center"/>
    </xf>
    <xf numFmtId="4" fontId="43" fillId="0" borderId="0" xfId="2" applyNumberFormat="1" applyFont="1" applyAlignment="1">
      <alignment horizontal="right" vertical="center"/>
    </xf>
    <xf numFmtId="0" fontId="55" fillId="2" borderId="0" xfId="1" applyFont="1" applyFill="1" applyAlignment="1">
      <alignment horizontal="left" vertical="center"/>
    </xf>
    <xf numFmtId="0" fontId="56" fillId="2" borderId="0" xfId="1" applyFont="1" applyFill="1" applyAlignment="1">
      <alignment horizontal="left" vertical="center"/>
    </xf>
    <xf numFmtId="165" fontId="39" fillId="0" borderId="0" xfId="4" applyNumberFormat="1" applyFont="1" applyAlignment="1">
      <alignment vertical="center"/>
    </xf>
    <xf numFmtId="0" fontId="62" fillId="0" borderId="0" xfId="9" applyFont="1" applyAlignment="1">
      <alignment horizontal="center" vertical="center" wrapText="1" readingOrder="1"/>
    </xf>
    <xf numFmtId="0" fontId="63" fillId="0" borderId="0" xfId="9" applyFont="1"/>
    <xf numFmtId="0" fontId="62" fillId="0" borderId="45" xfId="9" applyFont="1" applyBorder="1" applyAlignment="1">
      <alignment horizontal="center" vertical="center" wrapText="1" readingOrder="1"/>
    </xf>
    <xf numFmtId="0" fontId="64" fillId="0" borderId="45" xfId="9" applyFont="1" applyBorder="1" applyAlignment="1">
      <alignment vertical="center" wrapText="1" readingOrder="1"/>
    </xf>
    <xf numFmtId="0" fontId="64" fillId="0" borderId="45" xfId="9" applyFont="1" applyBorder="1" applyAlignment="1">
      <alignment horizontal="center" vertical="center" wrapText="1" readingOrder="1"/>
    </xf>
    <xf numFmtId="0" fontId="64" fillId="0" borderId="45" xfId="9" applyFont="1" applyBorder="1" applyAlignment="1">
      <alignment horizontal="left" vertical="center" wrapText="1" readingOrder="1"/>
    </xf>
    <xf numFmtId="168" fontId="64" fillId="0" borderId="45" xfId="9" applyNumberFormat="1" applyFont="1" applyBorder="1" applyAlignment="1">
      <alignment horizontal="right" vertical="center" wrapText="1" readingOrder="1"/>
    </xf>
    <xf numFmtId="0" fontId="65" fillId="0" borderId="45" xfId="9" applyFont="1" applyBorder="1" applyAlignment="1">
      <alignment horizontal="right" vertical="center" wrapText="1" readingOrder="1"/>
    </xf>
    <xf numFmtId="0" fontId="63" fillId="0" borderId="0" xfId="9" applyFont="1" applyAlignment="1">
      <alignment horizontal="center"/>
    </xf>
    <xf numFmtId="0" fontId="62" fillId="0" borderId="49" xfId="9" applyFont="1" applyBorder="1" applyAlignment="1">
      <alignment horizontal="center" vertical="center" wrapText="1" readingOrder="1"/>
    </xf>
    <xf numFmtId="168" fontId="62" fillId="0" borderId="49" xfId="9" applyNumberFormat="1" applyFont="1" applyBorder="1" applyAlignment="1">
      <alignment horizontal="center" vertical="center" wrapText="1" readingOrder="1"/>
    </xf>
    <xf numFmtId="168" fontId="67" fillId="0" borderId="49" xfId="9" applyNumberFormat="1" applyFont="1" applyBorder="1" applyAlignment="1">
      <alignment horizontal="center" vertical="center" wrapText="1" readingOrder="1"/>
    </xf>
    <xf numFmtId="167" fontId="66" fillId="0" borderId="45" xfId="15" applyNumberFormat="1" applyFont="1" applyBorder="1" applyAlignment="1">
      <alignment horizontal="center" vertical="center" wrapText="1" readingOrder="1"/>
    </xf>
    <xf numFmtId="167" fontId="64" fillId="0" borderId="45" xfId="15" applyNumberFormat="1" applyFont="1" applyBorder="1" applyAlignment="1">
      <alignment horizontal="center" vertical="center" wrapText="1" readingOrder="1"/>
    </xf>
    <xf numFmtId="0" fontId="65" fillId="0" borderId="45" xfId="9" applyFont="1" applyBorder="1" applyAlignment="1">
      <alignment horizontal="center" vertical="center" wrapText="1" readingOrder="1"/>
    </xf>
    <xf numFmtId="0" fontId="62" fillId="21" borderId="45" xfId="9" applyFont="1" applyFill="1" applyBorder="1" applyAlignment="1">
      <alignment horizontal="center" vertical="center" wrapText="1" readingOrder="1"/>
    </xf>
    <xf numFmtId="168" fontId="66" fillId="0" borderId="45" xfId="9" applyNumberFormat="1" applyFont="1" applyBorder="1" applyAlignment="1">
      <alignment horizontal="right" vertical="center" wrapText="1" readingOrder="1"/>
    </xf>
    <xf numFmtId="0" fontId="66" fillId="0" borderId="45" xfId="9" applyFont="1" applyBorder="1" applyAlignment="1">
      <alignment horizontal="left" vertical="center" wrapText="1" readingOrder="1"/>
    </xf>
    <xf numFmtId="0" fontId="68" fillId="0" borderId="45" xfId="9" applyFont="1" applyBorder="1" applyAlignment="1">
      <alignment vertical="center" wrapText="1" readingOrder="1"/>
    </xf>
    <xf numFmtId="0" fontId="67" fillId="0" borderId="45" xfId="9" applyFont="1" applyBorder="1" applyAlignment="1">
      <alignment horizontal="center" vertical="center" wrapText="1" readingOrder="1"/>
    </xf>
    <xf numFmtId="4" fontId="61" fillId="0" borderId="0" xfId="2" applyNumberFormat="1" applyFont="1" applyAlignment="1">
      <alignment horizontal="right"/>
    </xf>
    <xf numFmtId="4" fontId="56" fillId="0" borderId="0" xfId="1" applyNumberFormat="1" applyFont="1" applyAlignment="1">
      <alignment horizontal="center" vertical="center"/>
    </xf>
    <xf numFmtId="10" fontId="40" fillId="0" borderId="0" xfId="3" applyNumberFormat="1" applyFont="1" applyAlignment="1">
      <alignment horizontal="right"/>
    </xf>
    <xf numFmtId="4" fontId="40" fillId="0" borderId="0" xfId="4" applyNumberFormat="1" applyFont="1" applyAlignment="1">
      <alignment vertical="center"/>
    </xf>
    <xf numFmtId="10" fontId="40" fillId="0" borderId="0" xfId="3" applyNumberFormat="1" applyFont="1" applyFill="1" applyAlignment="1">
      <alignment horizontal="right" vertical="center"/>
    </xf>
    <xf numFmtId="4" fontId="69" fillId="0" borderId="0" xfId="2" applyNumberFormat="1" applyFont="1" applyAlignment="1">
      <alignment horizontal="right"/>
    </xf>
    <xf numFmtId="10" fontId="69" fillId="0" borderId="0" xfId="3" applyNumberFormat="1" applyFont="1" applyAlignment="1">
      <alignment horizontal="right"/>
    </xf>
    <xf numFmtId="4" fontId="31" fillId="0" borderId="0" xfId="2" applyNumberFormat="1" applyFont="1" applyFill="1" applyAlignment="1">
      <alignment horizontal="right" vertical="center"/>
    </xf>
    <xf numFmtId="4" fontId="69" fillId="0" borderId="0" xfId="4" applyNumberFormat="1" applyFont="1" applyAlignment="1">
      <alignment vertical="center"/>
    </xf>
    <xf numFmtId="10" fontId="69" fillId="0" borderId="0" xfId="3" applyNumberFormat="1" applyFont="1" applyFill="1" applyAlignment="1">
      <alignment horizontal="right" vertical="center"/>
    </xf>
    <xf numFmtId="0" fontId="38" fillId="2" borderId="0" xfId="1" applyFont="1" applyFill="1" applyAlignment="1">
      <alignment horizontal="left" vertical="center"/>
    </xf>
    <xf numFmtId="49" fontId="38" fillId="2" borderId="0" xfId="1" applyNumberFormat="1" applyFont="1" applyFill="1" applyAlignment="1">
      <alignment horizontal="left" vertical="center"/>
    </xf>
    <xf numFmtId="49" fontId="38" fillId="2" borderId="0" xfId="1" applyNumberFormat="1" applyFont="1" applyFill="1" applyAlignment="1">
      <alignment horizontal="center" vertical="center"/>
    </xf>
    <xf numFmtId="10" fontId="61" fillId="0" borderId="0" xfId="8" applyNumberFormat="1" applyFont="1" applyAlignment="1">
      <alignment horizontal="right"/>
    </xf>
    <xf numFmtId="10" fontId="61" fillId="0" borderId="0" xfId="3" applyNumberFormat="1" applyFont="1" applyAlignment="1">
      <alignment horizontal="right"/>
    </xf>
    <xf numFmtId="0" fontId="39" fillId="2" borderId="0" xfId="4" applyFont="1" applyFill="1" applyAlignment="1">
      <alignment vertical="center"/>
    </xf>
    <xf numFmtId="0" fontId="38" fillId="2" borderId="0" xfId="1" applyFont="1" applyFill="1" applyAlignment="1">
      <alignment vertical="center"/>
    </xf>
    <xf numFmtId="4" fontId="55" fillId="0" borderId="0" xfId="1" applyNumberFormat="1" applyFont="1" applyAlignment="1">
      <alignment horizontal="center" vertical="center"/>
    </xf>
    <xf numFmtId="165" fontId="7" fillId="0" borderId="0" xfId="4" applyNumberFormat="1" applyFont="1" applyAlignment="1">
      <alignment vertical="center"/>
    </xf>
    <xf numFmtId="49" fontId="43" fillId="2" borderId="0" xfId="1" applyNumberFormat="1" applyFont="1" applyFill="1" applyAlignment="1">
      <alignment horizontal="center" vertical="center"/>
    </xf>
    <xf numFmtId="49" fontId="43" fillId="0" borderId="0" xfId="1" applyNumberFormat="1" applyFont="1" applyAlignment="1">
      <alignment horizontal="center" vertical="center"/>
    </xf>
    <xf numFmtId="49" fontId="18" fillId="0" borderId="0" xfId="1" applyNumberFormat="1" applyFont="1" applyAlignment="1">
      <alignment horizontal="center" vertical="center"/>
    </xf>
    <xf numFmtId="49" fontId="18" fillId="0" borderId="0" xfId="1" applyNumberFormat="1" applyFont="1" applyAlignment="1">
      <alignment horizontal="left" vertical="center"/>
    </xf>
    <xf numFmtId="10" fontId="43" fillId="0" borderId="0" xfId="3" applyNumberFormat="1" applyFont="1" applyAlignment="1">
      <alignment horizontal="right" vertical="center"/>
    </xf>
    <xf numFmtId="167" fontId="43" fillId="0" borderId="0" xfId="3" applyNumberFormat="1" applyFont="1" applyAlignment="1">
      <alignment horizontal="right" vertical="center"/>
    </xf>
    <xf numFmtId="10" fontId="43" fillId="0" borderId="0" xfId="3" applyNumberFormat="1" applyFont="1" applyAlignment="1">
      <alignment vertical="center"/>
    </xf>
    <xf numFmtId="0" fontId="71" fillId="0" borderId="0" xfId="1" applyFont="1" applyAlignment="1">
      <alignment horizontal="left" vertical="center"/>
    </xf>
    <xf numFmtId="0" fontId="71" fillId="0" borderId="0" xfId="1" applyFont="1" applyAlignment="1">
      <alignment vertical="center"/>
    </xf>
    <xf numFmtId="49" fontId="72" fillId="0" borderId="0" xfId="1" applyNumberFormat="1" applyFont="1" applyAlignment="1">
      <alignment horizontal="center" vertical="center"/>
    </xf>
    <xf numFmtId="3" fontId="71" fillId="0" borderId="0" xfId="2" applyNumberFormat="1" applyFont="1" applyAlignment="1">
      <alignment horizontal="center" vertical="center"/>
    </xf>
    <xf numFmtId="4" fontId="71" fillId="0" borderId="0" xfId="2" applyNumberFormat="1" applyFont="1" applyAlignment="1">
      <alignment vertical="center"/>
    </xf>
    <xf numFmtId="10" fontId="71" fillId="0" borderId="0" xfId="3" applyNumberFormat="1" applyFont="1" applyAlignment="1">
      <alignment vertical="center"/>
    </xf>
    <xf numFmtId="0" fontId="71" fillId="0" borderId="0" xfId="4" applyFont="1" applyAlignment="1">
      <alignment vertical="center"/>
    </xf>
    <xf numFmtId="49" fontId="73" fillId="0" borderId="0" xfId="4" applyNumberFormat="1" applyFont="1" applyAlignment="1">
      <alignment horizontal="center" vertical="center"/>
    </xf>
    <xf numFmtId="49" fontId="74" fillId="0" borderId="0" xfId="1" applyNumberFormat="1" applyFont="1" applyAlignment="1">
      <alignment horizontal="center" vertical="center" wrapText="1"/>
    </xf>
    <xf numFmtId="49" fontId="74" fillId="0" borderId="0" xfId="1" applyNumberFormat="1" applyFont="1" applyAlignment="1">
      <alignment vertical="center" wrapText="1"/>
    </xf>
    <xf numFmtId="0" fontId="73" fillId="0" borderId="0" xfId="4" applyFont="1" applyAlignment="1">
      <alignment vertical="center"/>
    </xf>
    <xf numFmtId="49" fontId="76" fillId="0" borderId="0" xfId="1" applyNumberFormat="1" applyFont="1" applyAlignment="1">
      <alignment horizontal="center" vertical="center"/>
    </xf>
    <xf numFmtId="49" fontId="76" fillId="0" borderId="0" xfId="1" applyNumberFormat="1" applyFont="1" applyAlignment="1">
      <alignment vertical="center"/>
    </xf>
    <xf numFmtId="49" fontId="78" fillId="0" borderId="0" xfId="1" applyNumberFormat="1" applyFont="1" applyAlignment="1">
      <alignment horizontal="center" vertical="center"/>
    </xf>
    <xf numFmtId="49" fontId="79" fillId="0" borderId="0" xfId="1" applyNumberFormat="1" applyFont="1" applyAlignment="1">
      <alignment horizontal="center" vertical="center"/>
    </xf>
    <xf numFmtId="4" fontId="78" fillId="0" borderId="0" xfId="1" applyNumberFormat="1" applyFont="1" applyAlignment="1">
      <alignment horizontal="center" vertical="center"/>
    </xf>
    <xf numFmtId="10" fontId="78" fillId="0" borderId="0" xfId="3" applyNumberFormat="1" applyFont="1" applyAlignment="1">
      <alignment horizontal="center" vertical="center"/>
    </xf>
    <xf numFmtId="0" fontId="80" fillId="2" borderId="0" xfId="1" applyFont="1" applyFill="1" applyAlignment="1">
      <alignment horizontal="left" vertical="center"/>
    </xf>
    <xf numFmtId="4" fontId="81" fillId="23" borderId="1" xfId="2" applyNumberFormat="1" applyFont="1" applyFill="1" applyBorder="1" applyAlignment="1">
      <alignment horizontal="center" vertical="center" wrapText="1"/>
    </xf>
    <xf numFmtId="0" fontId="73" fillId="2" borderId="0" xfId="4" applyFont="1" applyFill="1" applyAlignment="1">
      <alignment vertical="center"/>
    </xf>
    <xf numFmtId="165" fontId="81" fillId="23" borderId="2" xfId="5" applyFont="1" applyFill="1" applyBorder="1" applyAlignment="1">
      <alignment horizontal="center" vertical="center"/>
    </xf>
    <xf numFmtId="4" fontId="81" fillId="23" borderId="2" xfId="2" applyNumberFormat="1" applyFont="1" applyFill="1" applyBorder="1" applyAlignment="1">
      <alignment horizontal="center" vertical="center" wrapText="1"/>
    </xf>
    <xf numFmtId="10" fontId="81" fillId="23" borderId="1" xfId="3" applyNumberFormat="1" applyFont="1" applyFill="1" applyBorder="1" applyAlignment="1">
      <alignment horizontal="center" vertical="center" wrapText="1"/>
    </xf>
    <xf numFmtId="10" fontId="81" fillId="23" borderId="2" xfId="3" applyNumberFormat="1" applyFont="1" applyFill="1" applyBorder="1" applyAlignment="1">
      <alignment horizontal="center" vertical="center" wrapText="1"/>
    </xf>
    <xf numFmtId="0" fontId="80" fillId="0" borderId="0" xfId="1" applyFont="1" applyAlignment="1">
      <alignment horizontal="left" vertical="center"/>
    </xf>
    <xf numFmtId="0" fontId="80" fillId="0" borderId="0" xfId="1" applyFont="1" applyAlignment="1">
      <alignment vertical="center"/>
    </xf>
    <xf numFmtId="165" fontId="71" fillId="0" borderId="0" xfId="4" applyNumberFormat="1" applyFont="1" applyAlignment="1">
      <alignment vertical="center"/>
    </xf>
    <xf numFmtId="166" fontId="82" fillId="24" borderId="1" xfId="6" applyFont="1" applyFill="1" applyBorder="1" applyAlignment="1">
      <alignment horizontal="left" vertical="center" wrapText="1"/>
    </xf>
    <xf numFmtId="166" fontId="82" fillId="24" borderId="5" xfId="6" applyFont="1" applyFill="1" applyBorder="1" applyAlignment="1">
      <alignment horizontal="center" vertical="center" wrapText="1"/>
    </xf>
    <xf numFmtId="166" fontId="82" fillId="24" borderId="43" xfId="6" applyFont="1" applyFill="1" applyBorder="1" applyAlignment="1">
      <alignment horizontal="center" vertical="center" wrapText="1"/>
    </xf>
    <xf numFmtId="166" fontId="82" fillId="24" borderId="50" xfId="6" applyFont="1" applyFill="1" applyBorder="1" applyAlignment="1">
      <alignment horizontal="center" vertical="center" wrapText="1"/>
    </xf>
    <xf numFmtId="166" fontId="82" fillId="24" borderId="1" xfId="6" applyFont="1" applyFill="1" applyBorder="1" applyAlignment="1">
      <alignment horizontal="center" vertical="center" wrapText="1"/>
    </xf>
    <xf numFmtId="43" fontId="83" fillId="24" borderId="1" xfId="2" applyNumberFormat="1" applyFont="1" applyFill="1" applyBorder="1" applyAlignment="1">
      <alignment horizontal="center" vertical="center" wrapText="1"/>
    </xf>
    <xf numFmtId="10" fontId="83" fillId="24" borderId="1" xfId="3" applyNumberFormat="1" applyFont="1" applyFill="1" applyBorder="1" applyAlignment="1">
      <alignment horizontal="right" vertical="center" wrapText="1"/>
    </xf>
    <xf numFmtId="43" fontId="83" fillId="24" borderId="1" xfId="2" applyNumberFormat="1" applyFont="1" applyFill="1" applyBorder="1" applyAlignment="1">
      <alignment horizontal="left" vertical="center" wrapText="1"/>
    </xf>
    <xf numFmtId="165" fontId="83" fillId="5" borderId="7" xfId="5" applyFont="1" applyFill="1" applyBorder="1" applyAlignment="1">
      <alignment horizontal="left" vertical="center" wrapText="1"/>
    </xf>
    <xf numFmtId="165" fontId="83" fillId="5" borderId="38" xfId="5" applyFont="1" applyFill="1" applyBorder="1">
      <alignment horizontal="center" vertical="center" wrapText="1"/>
    </xf>
    <xf numFmtId="165" fontId="83" fillId="5" borderId="0" xfId="5" applyFont="1" applyFill="1">
      <alignment horizontal="center" vertical="center" wrapText="1"/>
    </xf>
    <xf numFmtId="165" fontId="83" fillId="5" borderId="44" xfId="5" applyFont="1" applyFill="1" applyBorder="1">
      <alignment horizontal="center" vertical="center" wrapText="1"/>
    </xf>
    <xf numFmtId="165" fontId="83" fillId="5" borderId="7" xfId="5" applyFont="1" applyFill="1" applyBorder="1">
      <alignment horizontal="center" vertical="center" wrapText="1"/>
    </xf>
    <xf numFmtId="43" fontId="83" fillId="5" borderId="7" xfId="2" applyNumberFormat="1" applyFont="1" applyFill="1" applyBorder="1" applyAlignment="1">
      <alignment horizontal="center" vertical="center" wrapText="1"/>
    </xf>
    <xf numFmtId="10" fontId="83" fillId="5" borderId="7" xfId="3" applyNumberFormat="1" applyFont="1" applyFill="1" applyBorder="1" applyAlignment="1">
      <alignment vertical="center" wrapText="1"/>
    </xf>
    <xf numFmtId="43" fontId="83" fillId="5" borderId="7" xfId="2" applyNumberFormat="1" applyFont="1" applyFill="1" applyBorder="1" applyAlignment="1">
      <alignment horizontal="left" vertical="center" wrapText="1"/>
    </xf>
    <xf numFmtId="165" fontId="83" fillId="6" borderId="7" xfId="5" applyFont="1" applyFill="1" applyBorder="1" applyAlignment="1">
      <alignment horizontal="left" vertical="center" wrapText="1"/>
    </xf>
    <xf numFmtId="165" fontId="83" fillId="6" borderId="38" xfId="5" applyFont="1" applyFill="1" applyBorder="1">
      <alignment horizontal="center" vertical="center" wrapText="1"/>
    </xf>
    <xf numFmtId="165" fontId="83" fillId="6" borderId="0" xfId="5" applyFont="1" applyFill="1">
      <alignment horizontal="center" vertical="center" wrapText="1"/>
    </xf>
    <xf numFmtId="165" fontId="83" fillId="6" borderId="44" xfId="5" applyFont="1" applyFill="1" applyBorder="1">
      <alignment horizontal="center" vertical="center" wrapText="1"/>
    </xf>
    <xf numFmtId="165" fontId="83" fillId="6" borderId="7" xfId="5" applyFont="1" applyFill="1" applyBorder="1">
      <alignment horizontal="center" vertical="center" wrapText="1"/>
    </xf>
    <xf numFmtId="43" fontId="83" fillId="6" borderId="7" xfId="2" applyNumberFormat="1" applyFont="1" applyFill="1" applyBorder="1" applyAlignment="1">
      <alignment horizontal="center" vertical="center" wrapText="1"/>
    </xf>
    <xf numFmtId="10" fontId="83" fillId="6" borderId="7" xfId="3" applyNumberFormat="1" applyFont="1" applyFill="1" applyBorder="1" applyAlignment="1">
      <alignment vertical="center" wrapText="1"/>
    </xf>
    <xf numFmtId="43" fontId="83" fillId="6" borderId="7" xfId="2" applyNumberFormat="1" applyFont="1" applyFill="1" applyBorder="1" applyAlignment="1">
      <alignment horizontal="left" vertical="center" wrapText="1"/>
    </xf>
    <xf numFmtId="165" fontId="84" fillId="7" borderId="7" xfId="5" applyFont="1" applyFill="1" applyBorder="1" applyAlignment="1">
      <alignment horizontal="left" vertical="center" wrapText="1"/>
    </xf>
    <xf numFmtId="165" fontId="84" fillId="7" borderId="38" xfId="5" applyFont="1" applyFill="1" applyBorder="1">
      <alignment horizontal="center" vertical="center" wrapText="1"/>
    </xf>
    <xf numFmtId="165" fontId="84" fillId="7" borderId="0" xfId="5" applyFont="1" applyFill="1">
      <alignment horizontal="center" vertical="center" wrapText="1"/>
    </xf>
    <xf numFmtId="165" fontId="84" fillId="7" borderId="44" xfId="5" applyFont="1" applyFill="1" applyBorder="1">
      <alignment horizontal="center" vertical="center" wrapText="1"/>
    </xf>
    <xf numFmtId="165" fontId="84" fillId="7" borderId="7" xfId="5" applyFont="1" applyFill="1" applyBorder="1">
      <alignment horizontal="center" vertical="center" wrapText="1"/>
    </xf>
    <xf numFmtId="43" fontId="84" fillId="7" borderId="7" xfId="2" applyNumberFormat="1" applyFont="1" applyFill="1" applyBorder="1" applyAlignment="1">
      <alignment horizontal="center" vertical="center" wrapText="1"/>
    </xf>
    <xf numFmtId="10" fontId="84" fillId="7" borderId="7" xfId="3" applyNumberFormat="1" applyFont="1" applyFill="1" applyBorder="1" applyAlignment="1">
      <alignment vertical="center" wrapText="1"/>
    </xf>
    <xf numFmtId="43" fontId="84" fillId="7" borderId="7" xfId="2" applyNumberFormat="1" applyFont="1" applyFill="1" applyBorder="1" applyAlignment="1">
      <alignment horizontal="left" vertical="center" wrapText="1"/>
    </xf>
    <xf numFmtId="0" fontId="84" fillId="8" borderId="7" xfId="4" applyFont="1" applyFill="1" applyBorder="1" applyAlignment="1">
      <alignment horizontal="left" vertical="center" wrapText="1" readingOrder="1"/>
    </xf>
    <xf numFmtId="0" fontId="84" fillId="8" borderId="38" xfId="4" applyFont="1" applyFill="1" applyBorder="1" applyAlignment="1">
      <alignment horizontal="center" vertical="center" wrapText="1" readingOrder="1"/>
    </xf>
    <xf numFmtId="0" fontId="84" fillId="8" borderId="0" xfId="4" applyFont="1" applyFill="1" applyAlignment="1">
      <alignment horizontal="center" vertical="center" wrapText="1" readingOrder="1"/>
    </xf>
    <xf numFmtId="0" fontId="84" fillId="8" borderId="44" xfId="4" applyFont="1" applyFill="1" applyBorder="1" applyAlignment="1">
      <alignment horizontal="center" vertical="center" wrapText="1" readingOrder="1"/>
    </xf>
    <xf numFmtId="0" fontId="84" fillId="8" borderId="7" xfId="4" applyFont="1" applyFill="1" applyBorder="1" applyAlignment="1">
      <alignment horizontal="center" vertical="center" wrapText="1" readingOrder="1"/>
    </xf>
    <xf numFmtId="43" fontId="84" fillId="8" borderId="7" xfId="2" applyNumberFormat="1" applyFont="1" applyFill="1" applyBorder="1" applyAlignment="1">
      <alignment horizontal="center" vertical="center" wrapText="1"/>
    </xf>
    <xf numFmtId="10" fontId="84" fillId="8" borderId="7" xfId="3" applyNumberFormat="1" applyFont="1" applyFill="1" applyBorder="1" applyAlignment="1">
      <alignment vertical="center" wrapText="1"/>
    </xf>
    <xf numFmtId="0" fontId="85" fillId="0" borderId="7" xfId="4" applyFont="1" applyBorder="1" applyAlignment="1">
      <alignment vertical="center" wrapText="1" readingOrder="1"/>
    </xf>
    <xf numFmtId="0" fontId="85" fillId="0" borderId="38" xfId="4" applyFont="1" applyBorder="1" applyAlignment="1">
      <alignment horizontal="center" vertical="center" wrapText="1" readingOrder="1"/>
    </xf>
    <xf numFmtId="0" fontId="85" fillId="0" borderId="0" xfId="4" applyFont="1" applyAlignment="1">
      <alignment horizontal="center" vertical="center" wrapText="1" readingOrder="1"/>
    </xf>
    <xf numFmtId="0" fontId="85" fillId="0" borderId="44" xfId="4" applyFont="1" applyBorder="1" applyAlignment="1">
      <alignment horizontal="center" vertical="center" wrapText="1" readingOrder="1"/>
    </xf>
    <xf numFmtId="0" fontId="85" fillId="0" borderId="7" xfId="4" applyFont="1" applyBorder="1" applyAlignment="1">
      <alignment horizontal="center" vertical="center" wrapText="1" readingOrder="1"/>
    </xf>
    <xf numFmtId="0" fontId="85" fillId="0" borderId="7" xfId="4" applyFont="1" applyBorder="1" applyAlignment="1">
      <alignment horizontal="center" vertical="center" wrapText="1"/>
    </xf>
    <xf numFmtId="0" fontId="73" fillId="0" borderId="7" xfId="4" applyFont="1" applyBorder="1" applyAlignment="1">
      <alignment horizontal="left" vertical="center" wrapText="1" readingOrder="1"/>
    </xf>
    <xf numFmtId="43" fontId="85" fillId="0" borderId="7" xfId="7" applyNumberFormat="1" applyFont="1" applyBorder="1" applyAlignment="1">
      <alignment horizontal="center" vertical="center"/>
    </xf>
    <xf numFmtId="43" fontId="85" fillId="0" borderId="7" xfId="7" applyNumberFormat="1" applyFont="1" applyFill="1" applyBorder="1" applyAlignment="1">
      <alignment horizontal="center" vertical="center"/>
    </xf>
    <xf numFmtId="10" fontId="84" fillId="10" borderId="7" xfId="3" applyNumberFormat="1" applyFont="1" applyFill="1" applyBorder="1" applyAlignment="1">
      <alignment vertical="center" wrapText="1"/>
    </xf>
    <xf numFmtId="43" fontId="85" fillId="0" borderId="7" xfId="7" applyNumberFormat="1" applyFont="1" applyBorder="1" applyAlignment="1">
      <alignment horizontal="right" vertical="center"/>
    </xf>
    <xf numFmtId="0" fontId="85" fillId="0" borderId="51" xfId="4" applyFont="1" applyBorder="1" applyAlignment="1">
      <alignment vertical="center" wrapText="1" readingOrder="1"/>
    </xf>
    <xf numFmtId="0" fontId="85" fillId="0" borderId="52" xfId="4" applyFont="1" applyBorder="1" applyAlignment="1">
      <alignment horizontal="center" vertical="center" wrapText="1" readingOrder="1"/>
    </xf>
    <xf numFmtId="0" fontId="85" fillId="0" borderId="35" xfId="4" applyFont="1" applyBorder="1" applyAlignment="1">
      <alignment horizontal="center" vertical="center" wrapText="1" readingOrder="1"/>
    </xf>
    <xf numFmtId="0" fontId="85" fillId="0" borderId="53" xfId="4" applyFont="1" applyBorder="1" applyAlignment="1">
      <alignment horizontal="center" vertical="center" wrapText="1" readingOrder="1"/>
    </xf>
    <xf numFmtId="0" fontId="85" fillId="0" borderId="51" xfId="4" applyFont="1" applyBorder="1" applyAlignment="1">
      <alignment horizontal="center" vertical="center" wrapText="1" readingOrder="1"/>
    </xf>
    <xf numFmtId="0" fontId="85" fillId="0" borderId="51" xfId="4" applyFont="1" applyBorder="1" applyAlignment="1">
      <alignment horizontal="center" vertical="center" wrapText="1"/>
    </xf>
    <xf numFmtId="0" fontId="73" fillId="0" borderId="51" xfId="4" applyFont="1" applyBorder="1" applyAlignment="1">
      <alignment horizontal="left" vertical="center" wrapText="1" readingOrder="1"/>
    </xf>
    <xf numFmtId="43" fontId="85" fillId="0" borderId="51" xfId="7" applyNumberFormat="1" applyFont="1" applyBorder="1" applyAlignment="1">
      <alignment horizontal="center" vertical="center"/>
    </xf>
    <xf numFmtId="10" fontId="84" fillId="10" borderId="51" xfId="3" applyNumberFormat="1" applyFont="1" applyFill="1" applyBorder="1" applyAlignment="1">
      <alignment vertical="center" wrapText="1"/>
    </xf>
    <xf numFmtId="43" fontId="85" fillId="0" borderId="51" xfId="7" applyNumberFormat="1" applyFont="1" applyBorder="1" applyAlignment="1">
      <alignment horizontal="right" vertical="center"/>
    </xf>
    <xf numFmtId="49" fontId="85" fillId="0" borderId="0" xfId="4" applyNumberFormat="1" applyFont="1" applyAlignment="1">
      <alignment horizontal="center" vertical="center" wrapText="1" readingOrder="1"/>
    </xf>
    <xf numFmtId="0" fontId="84" fillId="0" borderId="7" xfId="4" applyFont="1" applyBorder="1" applyAlignment="1">
      <alignment vertical="center" wrapText="1" readingOrder="1"/>
    </xf>
    <xf numFmtId="0" fontId="84" fillId="0" borderId="38" xfId="4" applyFont="1" applyBorder="1" applyAlignment="1">
      <alignment horizontal="center" vertical="center" wrapText="1" readingOrder="1"/>
    </xf>
    <xf numFmtId="0" fontId="84" fillId="0" borderId="0" xfId="4" applyFont="1" applyAlignment="1">
      <alignment horizontal="center" vertical="center" wrapText="1" readingOrder="1"/>
    </xf>
    <xf numFmtId="0" fontId="84" fillId="0" borderId="44" xfId="4" applyFont="1" applyBorder="1" applyAlignment="1">
      <alignment horizontal="center" vertical="center" wrapText="1" readingOrder="1"/>
    </xf>
    <xf numFmtId="0" fontId="84" fillId="0" borderId="7" xfId="4" applyFont="1" applyBorder="1" applyAlignment="1">
      <alignment horizontal="center" vertical="center" wrapText="1" readingOrder="1"/>
    </xf>
    <xf numFmtId="0" fontId="84" fillId="0" borderId="7" xfId="4" applyFont="1" applyBorder="1" applyAlignment="1">
      <alignment horizontal="center" vertical="center" wrapText="1"/>
    </xf>
    <xf numFmtId="0" fontId="84" fillId="0" borderId="7" xfId="4" applyFont="1" applyBorder="1" applyAlignment="1">
      <alignment horizontal="left" vertical="center" wrapText="1" readingOrder="1"/>
    </xf>
    <xf numFmtId="43" fontId="84" fillId="0" borderId="7" xfId="7" applyNumberFormat="1" applyFont="1" applyBorder="1" applyAlignment="1">
      <alignment horizontal="center" vertical="center"/>
    </xf>
    <xf numFmtId="43" fontId="84" fillId="0" borderId="7" xfId="7" applyNumberFormat="1" applyFont="1" applyBorder="1" applyAlignment="1">
      <alignment horizontal="right" vertical="center"/>
    </xf>
    <xf numFmtId="0" fontId="84" fillId="0" borderId="0" xfId="4" applyFont="1" applyAlignment="1">
      <alignment vertical="center"/>
    </xf>
    <xf numFmtId="166" fontId="82" fillId="24" borderId="7" xfId="6" applyFont="1" applyFill="1" applyBorder="1" applyAlignment="1">
      <alignment horizontal="left" vertical="center" wrapText="1"/>
    </xf>
    <xf numFmtId="166" fontId="82" fillId="24" borderId="38" xfId="6" applyFont="1" applyFill="1" applyBorder="1" applyAlignment="1">
      <alignment horizontal="center" vertical="center" wrapText="1"/>
    </xf>
    <xf numFmtId="166" fontId="82" fillId="24" borderId="0" xfId="6" applyFont="1" applyFill="1" applyAlignment="1">
      <alignment horizontal="center" vertical="center" wrapText="1"/>
    </xf>
    <xf numFmtId="166" fontId="82" fillId="24" borderId="44" xfId="6" applyFont="1" applyFill="1" applyBorder="1" applyAlignment="1">
      <alignment horizontal="center" vertical="center" wrapText="1"/>
    </xf>
    <xf numFmtId="166" fontId="82" fillId="24" borderId="7" xfId="6" applyFont="1" applyFill="1" applyBorder="1" applyAlignment="1">
      <alignment horizontal="center" vertical="center" wrapText="1"/>
    </xf>
    <xf numFmtId="43" fontId="83" fillId="24" borderId="7" xfId="2" applyNumberFormat="1" applyFont="1" applyFill="1" applyBorder="1" applyAlignment="1">
      <alignment horizontal="center" vertical="center" wrapText="1"/>
    </xf>
    <xf numFmtId="167" fontId="83" fillId="24" borderId="7" xfId="3" applyNumberFormat="1" applyFont="1" applyFill="1" applyBorder="1" applyAlignment="1">
      <alignment horizontal="right" vertical="center" wrapText="1"/>
    </xf>
    <xf numFmtId="43" fontId="83" fillId="24" borderId="7" xfId="2" applyNumberFormat="1" applyFont="1" applyFill="1" applyBorder="1" applyAlignment="1">
      <alignment horizontal="left" vertical="center" wrapText="1"/>
    </xf>
    <xf numFmtId="43" fontId="73" fillId="0" borderId="7" xfId="7" applyNumberFormat="1" applyFont="1" applyBorder="1" applyAlignment="1">
      <alignment horizontal="center" vertical="center"/>
    </xf>
    <xf numFmtId="0" fontId="85" fillId="0" borderId="6" xfId="4" applyFont="1" applyBorder="1" applyAlignment="1">
      <alignment vertical="center" wrapText="1" readingOrder="1"/>
    </xf>
    <xf numFmtId="0" fontId="85" fillId="0" borderId="54" xfId="4" applyFont="1" applyBorder="1" applyAlignment="1">
      <alignment horizontal="center" vertical="center" wrapText="1" readingOrder="1"/>
    </xf>
    <xf numFmtId="0" fontId="85" fillId="0" borderId="42" xfId="4" applyFont="1" applyBorder="1" applyAlignment="1">
      <alignment horizontal="center" vertical="center" wrapText="1" readingOrder="1"/>
    </xf>
    <xf numFmtId="0" fontId="85" fillId="0" borderId="55" xfId="4" applyFont="1" applyBorder="1" applyAlignment="1">
      <alignment horizontal="center" vertical="center" wrapText="1" readingOrder="1"/>
    </xf>
    <xf numFmtId="0" fontId="85" fillId="0" borderId="6" xfId="4" applyFont="1" applyBorder="1" applyAlignment="1">
      <alignment horizontal="center" vertical="center" wrapText="1" readingOrder="1"/>
    </xf>
    <xf numFmtId="0" fontId="85" fillId="0" borderId="6" xfId="4" applyFont="1" applyBorder="1" applyAlignment="1">
      <alignment horizontal="center" vertical="center" wrapText="1"/>
    </xf>
    <xf numFmtId="0" fontId="73" fillId="0" borderId="6" xfId="4" applyFont="1" applyBorder="1" applyAlignment="1">
      <alignment horizontal="left" vertical="center" wrapText="1" readingOrder="1"/>
    </xf>
    <xf numFmtId="43" fontId="85" fillId="0" borderId="6" xfId="7" applyNumberFormat="1" applyFont="1" applyBorder="1" applyAlignment="1">
      <alignment horizontal="center" vertical="center"/>
    </xf>
    <xf numFmtId="10" fontId="84" fillId="10" borderId="6" xfId="3" applyNumberFormat="1" applyFont="1" applyFill="1" applyBorder="1" applyAlignment="1">
      <alignment vertical="center" wrapText="1"/>
    </xf>
    <xf numFmtId="43" fontId="85" fillId="0" borderId="6" xfId="7" applyNumberFormat="1" applyFont="1" applyBorder="1" applyAlignment="1">
      <alignment horizontal="right" vertical="center"/>
    </xf>
    <xf numFmtId="166" fontId="82" fillId="24" borderId="2" xfId="6" applyFont="1" applyFill="1" applyBorder="1" applyAlignment="1">
      <alignment horizontal="left" vertical="center" wrapText="1"/>
    </xf>
    <xf numFmtId="166" fontId="82" fillId="24" borderId="2" xfId="6" applyFont="1" applyFill="1" applyBorder="1" applyAlignment="1">
      <alignment horizontal="center" vertical="center" wrapText="1"/>
    </xf>
    <xf numFmtId="43" fontId="83" fillId="24" borderId="2" xfId="2" applyNumberFormat="1" applyFont="1" applyFill="1" applyBorder="1" applyAlignment="1">
      <alignment horizontal="center" vertical="center" wrapText="1"/>
    </xf>
    <xf numFmtId="10" fontId="83" fillId="24" borderId="2" xfId="3" applyNumberFormat="1" applyFont="1" applyFill="1" applyBorder="1" applyAlignment="1">
      <alignment horizontal="right" vertical="center" wrapText="1"/>
    </xf>
    <xf numFmtId="43" fontId="83" fillId="24" borderId="2" xfId="2" applyNumberFormat="1" applyFont="1" applyFill="1" applyBorder="1" applyAlignment="1">
      <alignment horizontal="left" vertical="center" wrapText="1"/>
    </xf>
    <xf numFmtId="165" fontId="89" fillId="0" borderId="0" xfId="4" applyNumberFormat="1" applyFont="1" applyAlignment="1">
      <alignment vertical="center"/>
    </xf>
    <xf numFmtId="49" fontId="90" fillId="2" borderId="0" xfId="1" applyNumberFormat="1" applyFont="1" applyFill="1" applyAlignment="1">
      <alignment horizontal="center" vertical="center"/>
    </xf>
    <xf numFmtId="49" fontId="90" fillId="0" borderId="0" xfId="1" applyNumberFormat="1" applyFont="1" applyAlignment="1">
      <alignment horizontal="center" vertical="center"/>
    </xf>
    <xf numFmtId="49" fontId="91" fillId="0" borderId="0" xfId="1" applyNumberFormat="1" applyFont="1" applyAlignment="1">
      <alignment horizontal="center" vertical="center"/>
    </xf>
    <xf numFmtId="4" fontId="82" fillId="0" borderId="0" xfId="2" applyNumberFormat="1" applyFont="1" applyAlignment="1">
      <alignment horizontal="right" vertical="center"/>
    </xf>
    <xf numFmtId="10" fontId="82" fillId="0" borderId="0" xfId="3" applyNumberFormat="1" applyFont="1" applyAlignment="1">
      <alignment horizontal="right" vertical="center"/>
    </xf>
    <xf numFmtId="167" fontId="82" fillId="0" borderId="0" xfId="3" applyNumberFormat="1" applyFont="1" applyAlignment="1">
      <alignment horizontal="right" vertical="center"/>
    </xf>
    <xf numFmtId="10" fontId="82" fillId="0" borderId="0" xfId="3" applyNumberFormat="1" applyFont="1" applyAlignment="1">
      <alignment vertical="center"/>
    </xf>
    <xf numFmtId="0" fontId="89" fillId="0" borderId="0" xfId="4" applyFont="1" applyAlignment="1">
      <alignment vertical="center"/>
    </xf>
    <xf numFmtId="4" fontId="92" fillId="0" borderId="0" xfId="2" applyNumberFormat="1" applyFont="1" applyAlignment="1">
      <alignment horizontal="right"/>
    </xf>
    <xf numFmtId="167" fontId="92" fillId="0" borderId="0" xfId="3" applyNumberFormat="1" applyFont="1" applyAlignment="1">
      <alignment horizontal="right"/>
    </xf>
    <xf numFmtId="165" fontId="93" fillId="0" borderId="0" xfId="4" applyNumberFormat="1" applyFont="1" applyAlignment="1">
      <alignment vertical="center"/>
    </xf>
    <xf numFmtId="49" fontId="93" fillId="0" borderId="0" xfId="1" applyNumberFormat="1" applyFont="1" applyAlignment="1">
      <alignment horizontal="center" vertical="center"/>
    </xf>
    <xf numFmtId="4" fontId="94" fillId="0" borderId="0" xfId="2" applyNumberFormat="1" applyFont="1" applyFill="1" applyAlignment="1">
      <alignment horizontal="right" vertical="center"/>
    </xf>
    <xf numFmtId="0" fontId="93" fillId="0" borderId="0" xfId="4" applyFont="1" applyAlignment="1">
      <alignment vertical="center"/>
    </xf>
    <xf numFmtId="0" fontId="91" fillId="2" borderId="0" xfId="1" applyFont="1" applyFill="1" applyAlignment="1">
      <alignment horizontal="left" vertical="center"/>
    </xf>
    <xf numFmtId="0" fontId="91" fillId="2" borderId="0" xfId="1" applyFont="1" applyFill="1" applyAlignment="1">
      <alignment vertical="center"/>
    </xf>
    <xf numFmtId="49" fontId="91" fillId="2" borderId="0" xfId="1" applyNumberFormat="1" applyFont="1" applyFill="1" applyAlignment="1">
      <alignment horizontal="center" vertical="center"/>
    </xf>
    <xf numFmtId="4" fontId="90" fillId="0" borderId="0" xfId="2" applyNumberFormat="1" applyFont="1" applyAlignment="1">
      <alignment horizontal="right" vertical="center"/>
    </xf>
    <xf numFmtId="4" fontId="80" fillId="0" borderId="0" xfId="2" applyNumberFormat="1" applyFont="1" applyAlignment="1">
      <alignment horizontal="right"/>
    </xf>
    <xf numFmtId="10" fontId="80" fillId="0" borderId="0" xfId="8" applyNumberFormat="1" applyFont="1" applyAlignment="1">
      <alignment horizontal="right"/>
    </xf>
    <xf numFmtId="10" fontId="80" fillId="0" borderId="0" xfId="3" applyNumberFormat="1" applyFont="1" applyAlignment="1">
      <alignment horizontal="right"/>
    </xf>
    <xf numFmtId="0" fontId="89" fillId="2" borderId="0" xfId="4" applyFont="1" applyFill="1" applyAlignment="1">
      <alignment vertical="center"/>
    </xf>
    <xf numFmtId="0" fontId="91" fillId="0" borderId="0" xfId="1" applyFont="1" applyAlignment="1">
      <alignment horizontal="left" vertical="center"/>
    </xf>
    <xf numFmtId="0" fontId="91" fillId="0" borderId="0" xfId="1" applyFont="1" applyAlignment="1">
      <alignment vertical="center"/>
    </xf>
    <xf numFmtId="49" fontId="95" fillId="0" borderId="0" xfId="1" applyNumberFormat="1" applyFont="1" applyAlignment="1">
      <alignment horizontal="center" vertical="center"/>
    </xf>
    <xf numFmtId="4" fontId="96" fillId="0" borderId="0" xfId="2" applyNumberFormat="1" applyFont="1" applyAlignment="1">
      <alignment horizontal="right" vertical="center"/>
    </xf>
    <xf numFmtId="4" fontId="91" fillId="0" borderId="0" xfId="2" applyNumberFormat="1" applyFont="1" applyAlignment="1">
      <alignment horizontal="right"/>
    </xf>
    <xf numFmtId="10" fontId="96" fillId="0" borderId="0" xfId="3" applyNumberFormat="1" applyFont="1" applyAlignment="1">
      <alignment horizontal="right" vertical="center"/>
    </xf>
    <xf numFmtId="49" fontId="97" fillId="0" borderId="0" xfId="1" applyNumberFormat="1" applyFont="1" applyAlignment="1">
      <alignment horizontal="center" vertical="center"/>
    </xf>
    <xf numFmtId="4" fontId="98" fillId="0" borderId="0" xfId="2" applyNumberFormat="1" applyFont="1" applyAlignment="1">
      <alignment horizontal="right" vertical="center"/>
    </xf>
    <xf numFmtId="10" fontId="98" fillId="0" borderId="0" xfId="3" applyNumberFormat="1" applyFont="1" applyAlignment="1">
      <alignment horizontal="right" vertical="center"/>
    </xf>
    <xf numFmtId="49" fontId="99" fillId="0" borderId="0" xfId="1" applyNumberFormat="1" applyFont="1" applyAlignment="1">
      <alignment horizontal="center" vertical="center"/>
    </xf>
    <xf numFmtId="0" fontId="100" fillId="2" borderId="0" xfId="1" applyFont="1" applyFill="1" applyAlignment="1">
      <alignment horizontal="left" vertical="center"/>
    </xf>
    <xf numFmtId="0" fontId="100" fillId="0" borderId="0" xfId="1" applyFont="1" applyAlignment="1">
      <alignment horizontal="center" vertical="center"/>
    </xf>
    <xf numFmtId="10" fontId="100" fillId="0" borderId="0" xfId="1" applyNumberFormat="1" applyFont="1" applyAlignment="1">
      <alignment horizontal="center" vertical="center"/>
    </xf>
    <xf numFmtId="4" fontId="100" fillId="0" borderId="0" xfId="1" applyNumberFormat="1" applyFont="1" applyAlignment="1">
      <alignment horizontal="center" vertical="center"/>
    </xf>
    <xf numFmtId="49" fontId="100" fillId="0" borderId="0" xfId="1" applyNumberFormat="1" applyFont="1" applyAlignment="1">
      <alignment horizontal="center" vertical="center"/>
    </xf>
    <xf numFmtId="0" fontId="101" fillId="2" borderId="0" xfId="1" applyFont="1" applyFill="1" applyAlignment="1">
      <alignment horizontal="left" vertical="center"/>
    </xf>
    <xf numFmtId="0" fontId="101" fillId="0" borderId="0" xfId="1" applyFont="1" applyAlignment="1">
      <alignment horizontal="center" vertical="center"/>
    </xf>
    <xf numFmtId="4" fontId="101" fillId="0" borderId="0" xfId="1" applyNumberFormat="1" applyFont="1" applyAlignment="1">
      <alignment horizontal="center" vertical="center"/>
    </xf>
    <xf numFmtId="10" fontId="101" fillId="0" borderId="0" xfId="1" applyNumberFormat="1" applyFont="1" applyAlignment="1">
      <alignment horizontal="center" vertical="center"/>
    </xf>
    <xf numFmtId="0" fontId="71" fillId="2" borderId="0" xfId="1" applyFont="1" applyFill="1" applyAlignment="1">
      <alignment horizontal="left" vertical="center"/>
    </xf>
    <xf numFmtId="0" fontId="71" fillId="2" borderId="0" xfId="1" applyFont="1" applyFill="1" applyAlignment="1">
      <alignment vertical="center"/>
    </xf>
    <xf numFmtId="0" fontId="100" fillId="2" borderId="0" xfId="1" applyFont="1" applyFill="1" applyAlignment="1">
      <alignment horizontal="center" vertical="center"/>
    </xf>
    <xf numFmtId="4" fontId="73" fillId="2" borderId="0" xfId="2" applyNumberFormat="1" applyFont="1" applyFill="1" applyAlignment="1">
      <alignment vertical="center"/>
    </xf>
    <xf numFmtId="4" fontId="73" fillId="2" borderId="0" xfId="1" applyNumberFormat="1" applyFont="1" applyFill="1" applyAlignment="1">
      <alignment vertical="center"/>
    </xf>
    <xf numFmtId="0" fontId="71" fillId="0" borderId="0" xfId="4" applyFont="1" applyAlignment="1">
      <alignment horizontal="left" vertical="center"/>
    </xf>
    <xf numFmtId="49" fontId="73" fillId="0" borderId="0" xfId="4" applyNumberFormat="1" applyFont="1" applyAlignment="1">
      <alignment vertical="center"/>
    </xf>
    <xf numFmtId="0" fontId="75" fillId="0" borderId="0" xfId="1" applyFont="1" applyAlignment="1">
      <alignment vertical="center"/>
    </xf>
    <xf numFmtId="0" fontId="77" fillId="0" borderId="0" xfId="1" applyFont="1" applyAlignment="1">
      <alignment vertical="center"/>
    </xf>
    <xf numFmtId="10" fontId="38" fillId="0" borderId="0" xfId="15" applyNumberFormat="1" applyFont="1" applyAlignment="1">
      <alignment horizontal="right"/>
    </xf>
    <xf numFmtId="4" fontId="102" fillId="0" borderId="0" xfId="2" applyNumberFormat="1" applyFont="1" applyAlignment="1">
      <alignment horizontal="right"/>
    </xf>
    <xf numFmtId="0" fontId="20" fillId="2" borderId="15" xfId="1" applyFont="1" applyFill="1" applyBorder="1" applyAlignment="1">
      <alignment horizontal="center" vertical="center" wrapText="1"/>
    </xf>
    <xf numFmtId="4" fontId="16" fillId="11" borderId="5" xfId="2" applyNumberFormat="1" applyFont="1" applyFill="1" applyBorder="1" applyAlignment="1">
      <alignment horizontal="center" vertical="center" wrapText="1"/>
    </xf>
    <xf numFmtId="4" fontId="16" fillId="11" borderId="7" xfId="2" applyNumberFormat="1" applyFont="1" applyFill="1" applyBorder="1" applyAlignment="1">
      <alignment horizontal="center" vertical="center" wrapText="1"/>
    </xf>
    <xf numFmtId="165" fontId="16" fillId="11" borderId="2" xfId="5" applyFont="1" applyFill="1" applyBorder="1" applyAlignment="1">
      <alignment horizontal="left" vertical="center"/>
    </xf>
    <xf numFmtId="4" fontId="16" fillId="11" borderId="6" xfId="2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wrapText="1"/>
    </xf>
    <xf numFmtId="3" fontId="0" fillId="0" borderId="0" xfId="0" applyNumberFormat="1"/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167" fontId="0" fillId="0" borderId="0" xfId="0" applyNumberFormat="1"/>
    <xf numFmtId="167" fontId="0" fillId="0" borderId="0" xfId="0" applyNumberFormat="1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4" fontId="16" fillId="11" borderId="5" xfId="2" applyNumberFormat="1" applyFont="1" applyFill="1" applyBorder="1" applyAlignment="1">
      <alignment vertical="center" wrapText="1"/>
    </xf>
    <xf numFmtId="4" fontId="16" fillId="11" borderId="7" xfId="2" applyNumberFormat="1" applyFont="1" applyFill="1" applyBorder="1" applyAlignment="1">
      <alignment vertical="center" wrapText="1"/>
    </xf>
    <xf numFmtId="165" fontId="16" fillId="11" borderId="2" xfId="5" applyFont="1" applyFill="1" applyBorder="1" applyAlignment="1">
      <alignment vertical="center"/>
    </xf>
    <xf numFmtId="165" fontId="16" fillId="11" borderId="1" xfId="5" applyFont="1" applyFill="1" applyBorder="1" applyAlignment="1">
      <alignment vertical="center" wrapText="1"/>
    </xf>
    <xf numFmtId="4" fontId="16" fillId="11" borderId="1" xfId="2" applyNumberFormat="1" applyFont="1" applyFill="1" applyBorder="1" applyAlignment="1">
      <alignment vertical="center" wrapText="1"/>
    </xf>
    <xf numFmtId="4" fontId="16" fillId="11" borderId="6" xfId="2" applyNumberFormat="1" applyFont="1" applyFill="1" applyBorder="1" applyAlignment="1">
      <alignment vertical="center" wrapText="1"/>
    </xf>
    <xf numFmtId="4" fontId="15" fillId="3" borderId="5" xfId="2" applyNumberFormat="1" applyFont="1" applyFill="1" applyBorder="1" applyAlignment="1">
      <alignment vertical="center" wrapText="1"/>
    </xf>
    <xf numFmtId="4" fontId="15" fillId="3" borderId="7" xfId="2" applyNumberFormat="1" applyFont="1" applyFill="1" applyBorder="1" applyAlignment="1">
      <alignment vertical="center" wrapText="1"/>
    </xf>
    <xf numFmtId="165" fontId="15" fillId="3" borderId="1" xfId="5" applyFont="1" applyFill="1" applyBorder="1" applyAlignment="1">
      <alignment vertical="center" wrapText="1"/>
    </xf>
    <xf numFmtId="4" fontId="15" fillId="3" borderId="1" xfId="2" applyNumberFormat="1" applyFont="1" applyFill="1" applyBorder="1" applyAlignment="1">
      <alignment vertical="center" wrapText="1"/>
    </xf>
    <xf numFmtId="4" fontId="15" fillId="3" borderId="6" xfId="2" applyNumberFormat="1" applyFont="1" applyFill="1" applyBorder="1" applyAlignment="1">
      <alignment vertical="center" wrapText="1"/>
    </xf>
    <xf numFmtId="165" fontId="15" fillId="3" borderId="1" xfId="5" applyFont="1" applyFill="1" applyBorder="1" applyAlignment="1">
      <alignment vertical="center"/>
    </xf>
    <xf numFmtId="4" fontId="71" fillId="0" borderId="0" xfId="1" applyNumberFormat="1" applyFont="1" applyAlignment="1">
      <alignment vertical="center"/>
    </xf>
    <xf numFmtId="43" fontId="85" fillId="0" borderId="51" xfId="7" applyNumberFormat="1" applyFont="1" applyFill="1" applyBorder="1" applyAlignment="1">
      <alignment horizontal="center" vertical="center"/>
    </xf>
    <xf numFmtId="43" fontId="84" fillId="0" borderId="7" xfId="7" applyNumberFormat="1" applyFont="1" applyFill="1" applyBorder="1" applyAlignment="1">
      <alignment horizontal="center" vertical="center"/>
    </xf>
    <xf numFmtId="43" fontId="103" fillId="0" borderId="7" xfId="7" applyNumberFormat="1" applyFont="1" applyBorder="1" applyAlignment="1">
      <alignment horizontal="center" vertical="center"/>
    </xf>
    <xf numFmtId="0" fontId="83" fillId="6" borderId="0" xfId="4" applyFont="1" applyFill="1" applyAlignment="1">
      <alignment horizontal="center" vertical="center" wrapText="1" readingOrder="1"/>
    </xf>
    <xf numFmtId="43" fontId="73" fillId="0" borderId="7" xfId="7" applyNumberFormat="1" applyFont="1" applyFill="1" applyBorder="1" applyAlignment="1">
      <alignment horizontal="center" vertical="center"/>
    </xf>
    <xf numFmtId="43" fontId="85" fillId="0" borderId="6" xfId="7" applyNumberFormat="1" applyFont="1" applyFill="1" applyBorder="1" applyAlignment="1">
      <alignment horizontal="center" vertical="center"/>
    </xf>
    <xf numFmtId="167" fontId="83" fillId="24" borderId="2" xfId="3" applyNumberFormat="1" applyFont="1" applyFill="1" applyBorder="1" applyAlignment="1">
      <alignment horizontal="right" vertical="center" wrapText="1"/>
    </xf>
    <xf numFmtId="10" fontId="90" fillId="0" borderId="0" xfId="3" applyNumberFormat="1" applyFont="1" applyAlignment="1">
      <alignment horizontal="right" vertical="center"/>
    </xf>
    <xf numFmtId="167" fontId="90" fillId="0" borderId="0" xfId="3" applyNumberFormat="1" applyFont="1" applyAlignment="1">
      <alignment horizontal="right" vertical="center"/>
    </xf>
    <xf numFmtId="10" fontId="90" fillId="0" borderId="0" xfId="3" applyNumberFormat="1" applyFont="1" applyAlignment="1">
      <alignment vertical="center"/>
    </xf>
    <xf numFmtId="49" fontId="82" fillId="2" borderId="0" xfId="1" applyNumberFormat="1" applyFont="1" applyFill="1" applyAlignment="1">
      <alignment horizontal="center" vertical="center"/>
    </xf>
    <xf numFmtId="49" fontId="82" fillId="0" borderId="0" xfId="1" applyNumberFormat="1" applyFont="1" applyAlignment="1">
      <alignment horizontal="center" vertical="center"/>
    </xf>
    <xf numFmtId="49" fontId="80" fillId="0" borderId="0" xfId="1" applyNumberFormat="1" applyFont="1" applyAlignment="1">
      <alignment horizontal="center" vertical="center"/>
    </xf>
    <xf numFmtId="10" fontId="92" fillId="0" borderId="0" xfId="3" applyNumberFormat="1" applyFont="1" applyAlignment="1">
      <alignment horizontal="right"/>
    </xf>
    <xf numFmtId="165" fontId="92" fillId="0" borderId="0" xfId="4" applyNumberFormat="1" applyFont="1" applyAlignment="1">
      <alignment vertical="center"/>
    </xf>
    <xf numFmtId="49" fontId="92" fillId="0" borderId="0" xfId="1" applyNumberFormat="1" applyFont="1" applyAlignment="1">
      <alignment horizontal="center" vertical="center"/>
    </xf>
    <xf numFmtId="4" fontId="104" fillId="0" borderId="0" xfId="2" applyNumberFormat="1" applyFont="1" applyFill="1" applyAlignment="1">
      <alignment horizontal="right" vertical="center"/>
    </xf>
    <xf numFmtId="0" fontId="92" fillId="0" borderId="0" xfId="4" applyFont="1" applyAlignment="1">
      <alignment vertical="center"/>
    </xf>
    <xf numFmtId="10" fontId="91" fillId="0" borderId="0" xfId="8" applyNumberFormat="1" applyFont="1" applyAlignment="1">
      <alignment horizontal="right"/>
    </xf>
    <xf numFmtId="10" fontId="91" fillId="0" borderId="0" xfId="3" applyNumberFormat="1" applyFont="1" applyAlignment="1">
      <alignment horizontal="right"/>
    </xf>
    <xf numFmtId="4" fontId="93" fillId="0" borderId="0" xfId="2" applyNumberFormat="1" applyFont="1" applyAlignment="1">
      <alignment horizontal="right"/>
    </xf>
    <xf numFmtId="4" fontId="89" fillId="2" borderId="0" xfId="1" applyNumberFormat="1" applyFont="1" applyFill="1" applyAlignment="1">
      <alignment vertical="center"/>
    </xf>
    <xf numFmtId="4" fontId="91" fillId="2" borderId="0" xfId="1" applyNumberFormat="1" applyFont="1" applyFill="1" applyAlignment="1">
      <alignment vertical="center"/>
    </xf>
    <xf numFmtId="4" fontId="105" fillId="0" borderId="0" xfId="2" applyNumberFormat="1" applyFont="1" applyAlignment="1">
      <alignment horizontal="right" vertical="center"/>
    </xf>
    <xf numFmtId="4" fontId="106" fillId="0" borderId="0" xfId="2" applyNumberFormat="1" applyFont="1" applyAlignment="1">
      <alignment horizontal="right"/>
    </xf>
    <xf numFmtId="4" fontId="107" fillId="0" borderId="0" xfId="2" applyNumberFormat="1" applyFont="1" applyAlignment="1">
      <alignment horizontal="right" vertical="center"/>
    </xf>
    <xf numFmtId="4" fontId="98" fillId="0" borderId="0" xfId="1" applyNumberFormat="1" applyFont="1" applyAlignment="1">
      <alignment horizontal="right" vertical="center"/>
    </xf>
    <xf numFmtId="4" fontId="105" fillId="0" borderId="0" xfId="2" applyNumberFormat="1" applyFont="1" applyAlignment="1">
      <alignment horizontal="right"/>
    </xf>
    <xf numFmtId="0" fontId="101" fillId="2" borderId="0" xfId="1" applyFont="1" applyFill="1" applyAlignment="1">
      <alignment horizontal="center" vertical="center"/>
    </xf>
    <xf numFmtId="164" fontId="101" fillId="2" borderId="0" xfId="2" applyFont="1" applyFill="1" applyAlignment="1">
      <alignment horizontal="center" vertical="center"/>
    </xf>
    <xf numFmtId="10" fontId="101" fillId="2" borderId="0" xfId="3" applyNumberFormat="1" applyFont="1" applyFill="1" applyAlignment="1">
      <alignment horizontal="center" vertical="center"/>
    </xf>
    <xf numFmtId="10" fontId="73" fillId="2" borderId="0" xfId="3" applyNumberFormat="1" applyFont="1" applyFill="1" applyAlignment="1">
      <alignment vertical="center"/>
    </xf>
    <xf numFmtId="4" fontId="81" fillId="23" borderId="1" xfId="2" applyNumberFormat="1" applyFont="1" applyFill="1" applyBorder="1" applyAlignment="1">
      <alignment vertical="center" wrapText="1"/>
    </xf>
    <xf numFmtId="4" fontId="81" fillId="23" borderId="6" xfId="2" applyNumberFormat="1" applyFont="1" applyFill="1" applyBorder="1" applyAlignment="1">
      <alignment vertical="center" wrapText="1"/>
    </xf>
    <xf numFmtId="49" fontId="81" fillId="23" borderId="2" xfId="1" applyNumberFormat="1" applyFont="1" applyFill="1" applyBorder="1" applyAlignment="1">
      <alignment vertical="center" wrapText="1"/>
    </xf>
    <xf numFmtId="165" fontId="81" fillId="23" borderId="1" xfId="5" applyFont="1" applyFill="1" applyBorder="1" applyAlignment="1">
      <alignment vertical="center"/>
    </xf>
    <xf numFmtId="165" fontId="81" fillId="23" borderId="6" xfId="5" applyFont="1" applyFill="1" applyBorder="1" applyAlignment="1">
      <alignment vertical="center"/>
    </xf>
    <xf numFmtId="165" fontId="81" fillId="23" borderId="1" xfId="5" applyFont="1" applyFill="1" applyBorder="1" applyAlignment="1">
      <alignment vertical="center" wrapText="1"/>
    </xf>
    <xf numFmtId="4" fontId="81" fillId="23" borderId="5" xfId="2" applyNumberFormat="1" applyFont="1" applyFill="1" applyBorder="1" applyAlignment="1">
      <alignment vertical="center" wrapText="1"/>
    </xf>
    <xf numFmtId="4" fontId="81" fillId="23" borderId="7" xfId="2" applyNumberFormat="1" applyFont="1" applyFill="1" applyBorder="1" applyAlignment="1">
      <alignment vertical="center" wrapText="1"/>
    </xf>
    <xf numFmtId="4" fontId="60" fillId="0" borderId="0" xfId="2" applyNumberFormat="1" applyFont="1" applyAlignment="1">
      <alignment horizontal="right"/>
    </xf>
    <xf numFmtId="10" fontId="7" fillId="2" borderId="0" xfId="3" applyNumberFormat="1" applyFont="1" applyFill="1" applyAlignment="1">
      <alignment vertical="center"/>
    </xf>
    <xf numFmtId="10" fontId="56" fillId="2" borderId="0" xfId="3" applyNumberFormat="1" applyFont="1" applyFill="1" applyAlignment="1">
      <alignment horizontal="center" vertical="center"/>
    </xf>
    <xf numFmtId="4" fontId="58" fillId="0" borderId="0" xfId="1" applyNumberFormat="1" applyFont="1" applyAlignment="1">
      <alignment horizontal="right" vertical="center"/>
    </xf>
    <xf numFmtId="4" fontId="60" fillId="0" borderId="0" xfId="2" applyNumberFormat="1" applyFont="1" applyAlignment="1">
      <alignment horizontal="right" vertical="center"/>
    </xf>
    <xf numFmtId="4" fontId="38" fillId="2" borderId="0" xfId="1" applyNumberFormat="1" applyFont="1" applyFill="1" applyAlignment="1">
      <alignment vertical="center"/>
    </xf>
    <xf numFmtId="4" fontId="14" fillId="0" borderId="0" xfId="1" applyNumberFormat="1" applyFont="1" applyAlignment="1">
      <alignment vertical="center"/>
    </xf>
    <xf numFmtId="4" fontId="14" fillId="0" borderId="0" xfId="4" applyNumberFormat="1" applyFont="1" applyAlignment="1">
      <alignment vertical="center"/>
    </xf>
    <xf numFmtId="4" fontId="38" fillId="0" borderId="31" xfId="7" applyNumberFormat="1" applyFont="1" applyBorder="1" applyAlignment="1">
      <alignment horizontal="right" vertical="center"/>
    </xf>
    <xf numFmtId="4" fontId="61" fillId="0" borderId="31" xfId="7" applyNumberFormat="1" applyFont="1" applyFill="1" applyBorder="1" applyAlignment="1">
      <alignment horizontal="right" vertical="center"/>
    </xf>
    <xf numFmtId="4" fontId="38" fillId="0" borderId="31" xfId="7" applyNumberFormat="1" applyFont="1" applyFill="1" applyBorder="1" applyAlignment="1">
      <alignment horizontal="right" vertical="center"/>
    </xf>
    <xf numFmtId="4" fontId="41" fillId="0" borderId="34" xfId="7" applyNumberFormat="1" applyFont="1" applyFill="1" applyBorder="1" applyAlignment="1">
      <alignment horizontal="right" vertical="center"/>
    </xf>
    <xf numFmtId="49" fontId="21" fillId="0" borderId="0" xfId="2" applyNumberFormat="1" applyFont="1" applyAlignment="1">
      <alignment horizontal="center" vertical="center"/>
    </xf>
    <xf numFmtId="49" fontId="20" fillId="0" borderId="28" xfId="2" applyNumberFormat="1" applyFont="1" applyBorder="1" applyAlignment="1">
      <alignment horizontal="center" vertical="center"/>
    </xf>
    <xf numFmtId="0" fontId="20" fillId="0" borderId="28" xfId="2" quotePrefix="1" applyNumberFormat="1" applyFont="1" applyBorder="1" applyAlignment="1">
      <alignment horizontal="center" vertical="center"/>
    </xf>
    <xf numFmtId="49" fontId="20" fillId="0" borderId="20" xfId="2" quotePrefix="1" applyNumberFormat="1" applyFont="1" applyBorder="1" applyAlignment="1">
      <alignment horizontal="center" vertical="center"/>
    </xf>
    <xf numFmtId="49" fontId="20" fillId="0" borderId="16" xfId="2" applyNumberFormat="1" applyFont="1" applyBorder="1" applyAlignment="1">
      <alignment horizontal="center" vertical="center"/>
    </xf>
    <xf numFmtId="49" fontId="20" fillId="0" borderId="15" xfId="2" applyNumberFormat="1" applyFont="1" applyBorder="1" applyAlignment="1">
      <alignment horizontal="center" vertical="center"/>
    </xf>
    <xf numFmtId="49" fontId="20" fillId="0" borderId="27" xfId="2" applyNumberFormat="1" applyFont="1" applyBorder="1" applyAlignment="1">
      <alignment horizontal="center" vertical="center"/>
    </xf>
    <xf numFmtId="49" fontId="20" fillId="0" borderId="26" xfId="2" applyNumberFormat="1" applyFont="1" applyBorder="1" applyAlignment="1">
      <alignment horizontal="center" vertical="center"/>
    </xf>
    <xf numFmtId="49" fontId="20" fillId="0" borderId="28" xfId="2" applyNumberFormat="1" applyFont="1" applyBorder="1" applyAlignment="1">
      <alignment horizontal="center" vertical="center" wrapText="1"/>
    </xf>
    <xf numFmtId="49" fontId="18" fillId="0" borderId="27" xfId="4" applyNumberFormat="1" applyFont="1" applyBorder="1" applyAlignment="1">
      <alignment vertical="center"/>
    </xf>
    <xf numFmtId="49" fontId="18" fillId="0" borderId="26" xfId="4" applyNumberFormat="1" applyFont="1" applyBorder="1" applyAlignment="1">
      <alignment vertical="center"/>
    </xf>
    <xf numFmtId="49" fontId="18" fillId="0" borderId="29" xfId="4" applyNumberFormat="1" applyFont="1" applyBorder="1" applyAlignment="1">
      <alignment vertical="center"/>
    </xf>
    <xf numFmtId="49" fontId="18" fillId="0" borderId="25" xfId="4" applyNumberFormat="1" applyFont="1" applyBorder="1" applyAlignment="1">
      <alignment vertical="center"/>
    </xf>
    <xf numFmtId="49" fontId="18" fillId="0" borderId="22" xfId="4" applyNumberFormat="1" applyFont="1" applyBorder="1" applyAlignment="1">
      <alignment vertical="center"/>
    </xf>
    <xf numFmtId="49" fontId="19" fillId="0" borderId="22" xfId="1" applyNumberFormat="1" applyFont="1" applyBorder="1" applyAlignment="1">
      <alignment vertical="center"/>
    </xf>
    <xf numFmtId="49" fontId="19" fillId="0" borderId="21" xfId="1" applyNumberFormat="1" applyFont="1" applyBorder="1" applyAlignment="1">
      <alignment vertical="center"/>
    </xf>
    <xf numFmtId="49" fontId="18" fillId="0" borderId="20" xfId="4" applyNumberFormat="1" applyFont="1" applyBorder="1" applyAlignment="1">
      <alignment vertical="center"/>
    </xf>
    <xf numFmtId="49" fontId="43" fillId="0" borderId="20" xfId="4" applyNumberFormat="1" applyFont="1" applyBorder="1" applyAlignment="1">
      <alignment vertical="center" wrapText="1"/>
    </xf>
    <xf numFmtId="4" fontId="20" fillId="25" borderId="28" xfId="2" applyNumberFormat="1" applyFont="1" applyFill="1" applyBorder="1" applyAlignment="1">
      <alignment horizontal="center" vertical="center" wrapText="1"/>
    </xf>
    <xf numFmtId="4" fontId="20" fillId="2" borderId="40" xfId="2" applyNumberFormat="1" applyFont="1" applyFill="1" applyBorder="1" applyAlignment="1">
      <alignment horizontal="center" vertical="center" wrapText="1"/>
    </xf>
    <xf numFmtId="4" fontId="20" fillId="2" borderId="27" xfId="2" applyNumberFormat="1" applyFont="1" applyFill="1" applyBorder="1" applyAlignment="1">
      <alignment horizontal="center" vertical="center" wrapText="1"/>
    </xf>
    <xf numFmtId="4" fontId="20" fillId="2" borderId="26" xfId="2" applyNumberFormat="1" applyFont="1" applyFill="1" applyBorder="1" applyAlignment="1">
      <alignment horizontal="center" vertical="center" wrapText="1"/>
    </xf>
    <xf numFmtId="10" fontId="20" fillId="2" borderId="16" xfId="3" applyNumberFormat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4" fontId="20" fillId="2" borderId="17" xfId="2" applyNumberFormat="1" applyFont="1" applyFill="1" applyBorder="1" applyAlignment="1">
      <alignment vertical="center" wrapText="1"/>
    </xf>
    <xf numFmtId="4" fontId="20" fillId="2" borderId="9" xfId="2" applyNumberFormat="1" applyFont="1" applyFill="1" applyBorder="1" applyAlignment="1">
      <alignment vertical="center" wrapText="1"/>
    </xf>
    <xf numFmtId="4" fontId="12" fillId="0" borderId="0" xfId="1" applyNumberFormat="1" applyFont="1" applyAlignment="1">
      <alignment horizontal="left" vertical="center" indent="1"/>
    </xf>
    <xf numFmtId="4" fontId="38" fillId="0" borderId="0" xfId="4" applyNumberFormat="1" applyFont="1" applyAlignment="1">
      <alignment vertical="center"/>
    </xf>
    <xf numFmtId="4" fontId="41" fillId="0" borderId="31" xfId="10" applyNumberFormat="1" applyFont="1" applyBorder="1" applyAlignment="1">
      <alignment horizontal="right" vertical="center"/>
    </xf>
    <xf numFmtId="4" fontId="38" fillId="0" borderId="0" xfId="2" applyNumberFormat="1" applyFont="1" applyFill="1" applyAlignment="1">
      <alignment horizontal="right" vertical="center"/>
    </xf>
    <xf numFmtId="4" fontId="38" fillId="0" borderId="0" xfId="1" applyNumberFormat="1" applyFont="1" applyAlignment="1">
      <alignment vertical="center"/>
    </xf>
    <xf numFmtId="10" fontId="38" fillId="0" borderId="0" xfId="3" applyNumberFormat="1" applyFont="1" applyFill="1" applyAlignment="1">
      <alignment horizontal="right" vertical="center"/>
    </xf>
    <xf numFmtId="49" fontId="38" fillId="2" borderId="0" xfId="1" applyNumberFormat="1" applyFont="1" applyFill="1" applyAlignment="1">
      <alignment vertical="center"/>
    </xf>
    <xf numFmtId="165" fontId="112" fillId="0" borderId="0" xfId="4" applyNumberFormat="1" applyFont="1" applyAlignment="1">
      <alignment vertical="center"/>
    </xf>
    <xf numFmtId="165" fontId="113" fillId="19" borderId="31" xfId="5" applyFont="1" applyFill="1" applyBorder="1" applyAlignment="1">
      <alignment horizontal="left" vertical="center" wrapText="1"/>
    </xf>
    <xf numFmtId="165" fontId="113" fillId="19" borderId="31" xfId="5" applyFont="1" applyFill="1" applyBorder="1" applyAlignment="1">
      <alignment horizontal="center" vertical="center"/>
    </xf>
    <xf numFmtId="165" fontId="113" fillId="19" borderId="0" xfId="5" applyFont="1" applyFill="1" applyAlignment="1">
      <alignment horizontal="center" vertical="center"/>
    </xf>
    <xf numFmtId="165" fontId="113" fillId="19" borderId="32" xfId="5" applyFont="1" applyFill="1" applyBorder="1" applyAlignment="1">
      <alignment horizontal="center" vertical="center"/>
    </xf>
    <xf numFmtId="165" fontId="113" fillId="19" borderId="33" xfId="5" applyFont="1" applyFill="1" applyBorder="1" applyAlignment="1">
      <alignment horizontal="center" vertical="center"/>
    </xf>
    <xf numFmtId="4" fontId="113" fillId="19" borderId="31" xfId="5" applyNumberFormat="1" applyFont="1" applyFill="1" applyBorder="1" applyAlignment="1">
      <alignment horizontal="right" vertical="center"/>
    </xf>
    <xf numFmtId="10" fontId="113" fillId="19" borderId="31" xfId="8" applyNumberFormat="1" applyFont="1" applyFill="1" applyBorder="1" applyAlignment="1">
      <alignment horizontal="right" vertical="center"/>
    </xf>
    <xf numFmtId="0" fontId="112" fillId="0" borderId="0" xfId="4" applyFont="1" applyAlignment="1">
      <alignment vertical="center"/>
    </xf>
    <xf numFmtId="4" fontId="42" fillId="22" borderId="31" xfId="7" applyNumberFormat="1" applyFont="1" applyFill="1" applyBorder="1" applyAlignment="1">
      <alignment horizontal="right" vertical="center" wrapText="1" readingOrder="1"/>
    </xf>
    <xf numFmtId="0" fontId="42" fillId="20" borderId="31" xfId="5" applyNumberFormat="1" applyFont="1" applyFill="1" applyBorder="1" applyAlignment="1" applyProtection="1">
      <alignment horizontal="left" vertical="top" wrapText="1"/>
      <protection locked="0"/>
    </xf>
    <xf numFmtId="165" fontId="41" fillId="19" borderId="31" xfId="5" applyFont="1" applyFill="1" applyBorder="1" applyAlignment="1">
      <alignment horizontal="left" vertical="top" wrapText="1"/>
    </xf>
    <xf numFmtId="49" fontId="42" fillId="0" borderId="9" xfId="1" applyNumberFormat="1" applyFont="1" applyBorder="1" applyAlignment="1">
      <alignment vertical="center" wrapText="1"/>
    </xf>
    <xf numFmtId="49" fontId="41" fillId="0" borderId="10" xfId="1" applyNumberFormat="1" applyFont="1" applyBorder="1" applyAlignment="1">
      <alignment vertical="center" wrapText="1"/>
    </xf>
    <xf numFmtId="49" fontId="41" fillId="0" borderId="11" xfId="1" applyNumberFormat="1" applyFont="1" applyBorder="1" applyAlignment="1">
      <alignment vertical="center" wrapText="1"/>
    </xf>
    <xf numFmtId="49" fontId="42" fillId="0" borderId="11" xfId="1" applyNumberFormat="1" applyFont="1" applyBorder="1" applyAlignment="1">
      <alignment vertical="center" wrapText="1"/>
    </xf>
    <xf numFmtId="49" fontId="42" fillId="0" borderId="12" xfId="1" applyNumberFormat="1" applyFont="1" applyBorder="1" applyAlignment="1">
      <alignment vertical="center" wrapText="1"/>
    </xf>
    <xf numFmtId="49" fontId="42" fillId="0" borderId="13" xfId="1" applyNumberFormat="1" applyFont="1" applyBorder="1" applyAlignment="1">
      <alignment horizontal="center" vertical="center" wrapText="1"/>
    </xf>
    <xf numFmtId="49" fontId="42" fillId="0" borderId="14" xfId="1" applyNumberFormat="1" applyFont="1" applyBorder="1" applyAlignment="1">
      <alignment horizontal="center" vertical="center" wrapText="1"/>
    </xf>
    <xf numFmtId="0" fontId="42" fillId="0" borderId="9" xfId="1" applyFont="1" applyBorder="1" applyAlignment="1">
      <alignment vertical="center" wrapText="1"/>
    </xf>
    <xf numFmtId="4" fontId="42" fillId="0" borderId="9" xfId="2" applyNumberFormat="1" applyFont="1" applyFill="1" applyBorder="1" applyAlignment="1">
      <alignment vertical="center" wrapText="1"/>
    </xf>
    <xf numFmtId="4" fontId="42" fillId="0" borderId="17" xfId="2" applyNumberFormat="1" applyFont="1" applyFill="1" applyBorder="1" applyAlignment="1">
      <alignment vertical="center" wrapText="1"/>
    </xf>
    <xf numFmtId="0" fontId="42" fillId="0" borderId="9" xfId="1" applyFont="1" applyBorder="1" applyAlignment="1">
      <alignment horizontal="center" vertical="center" wrapText="1"/>
    </xf>
    <xf numFmtId="165" fontId="42" fillId="0" borderId="20" xfId="5" applyFont="1" applyFill="1" applyBorder="1">
      <alignment horizontal="center" vertical="center" wrapText="1"/>
    </xf>
    <xf numFmtId="165" fontId="41" fillId="0" borderId="20" xfId="5" applyFont="1" applyFill="1" applyBorder="1" applyAlignment="1">
      <alignment horizontal="center" vertical="center"/>
    </xf>
    <xf numFmtId="165" fontId="41" fillId="0" borderId="21" xfId="5" applyFont="1" applyFill="1" applyBorder="1" applyAlignment="1">
      <alignment horizontal="center" vertical="center"/>
    </xf>
    <xf numFmtId="165" fontId="41" fillId="0" borderId="22" xfId="5" applyFont="1" applyFill="1" applyBorder="1" applyAlignment="1">
      <alignment horizontal="center" vertical="center"/>
    </xf>
    <xf numFmtId="165" fontId="41" fillId="0" borderId="23" xfId="5" applyFont="1" applyFill="1" applyBorder="1" applyAlignment="1">
      <alignment horizontal="center" vertical="center"/>
    </xf>
    <xf numFmtId="165" fontId="42" fillId="0" borderId="24" xfId="5" applyFont="1" applyFill="1" applyBorder="1" applyAlignment="1">
      <alignment horizontal="center" vertical="center"/>
    </xf>
    <xf numFmtId="165" fontId="42" fillId="0" borderId="25" xfId="5" applyFont="1" applyFill="1" applyBorder="1" applyAlignment="1">
      <alignment horizontal="center" vertical="center"/>
    </xf>
    <xf numFmtId="4" fontId="42" fillId="0" borderId="20" xfId="2" applyNumberFormat="1" applyFont="1" applyFill="1" applyBorder="1" applyAlignment="1">
      <alignment horizontal="center" vertical="center" wrapText="1"/>
    </xf>
    <xf numFmtId="4" fontId="42" fillId="0" borderId="26" xfId="2" applyNumberFormat="1" applyFont="1" applyFill="1" applyBorder="1" applyAlignment="1">
      <alignment horizontal="center" vertical="center" wrapText="1"/>
    </xf>
    <xf numFmtId="4" fontId="42" fillId="0" borderId="27" xfId="2" applyNumberFormat="1" applyFont="1" applyFill="1" applyBorder="1" applyAlignment="1">
      <alignment horizontal="center" vertical="center" wrapText="1"/>
    </xf>
    <xf numFmtId="4" fontId="42" fillId="0" borderId="28" xfId="2" applyNumberFormat="1" applyFont="1" applyFill="1" applyBorder="1" applyAlignment="1">
      <alignment horizontal="center" vertical="center" wrapText="1"/>
    </xf>
    <xf numFmtId="4" fontId="42" fillId="0" borderId="40" xfId="2" applyNumberFormat="1" applyFont="1" applyFill="1" applyBorder="1" applyAlignment="1">
      <alignment horizontal="center" vertical="center" wrapText="1"/>
    </xf>
    <xf numFmtId="4" fontId="42" fillId="0" borderId="29" xfId="2" applyNumberFormat="1" applyFont="1" applyFill="1" applyBorder="1" applyAlignment="1">
      <alignment horizontal="center" vertical="center" wrapText="1"/>
    </xf>
    <xf numFmtId="10" fontId="42" fillId="0" borderId="30" xfId="3" applyNumberFormat="1" applyFont="1" applyFill="1" applyBorder="1" applyAlignment="1">
      <alignment horizontal="center" vertical="center" wrapText="1"/>
    </xf>
    <xf numFmtId="10" fontId="42" fillId="0" borderId="28" xfId="3" applyNumberFormat="1" applyFont="1" applyFill="1" applyBorder="1" applyAlignment="1">
      <alignment horizontal="center" vertical="center" wrapText="1"/>
    </xf>
    <xf numFmtId="49" fontId="18" fillId="0" borderId="2" xfId="4" applyNumberFormat="1" applyFont="1" applyBorder="1" applyAlignment="1">
      <alignment vertical="center"/>
    </xf>
    <xf numFmtId="49" fontId="19" fillId="0" borderId="2" xfId="1" applyNumberFormat="1" applyFont="1" applyBorder="1" applyAlignment="1">
      <alignment vertical="center"/>
    </xf>
    <xf numFmtId="49" fontId="20" fillId="0" borderId="2" xfId="2" applyNumberFormat="1" applyFont="1" applyBorder="1" applyAlignment="1">
      <alignment horizontal="center" vertical="center" wrapText="1"/>
    </xf>
    <xf numFmtId="49" fontId="20" fillId="0" borderId="2" xfId="2" applyNumberFormat="1" applyFont="1" applyBorder="1" applyAlignment="1">
      <alignment horizontal="center" vertical="center"/>
    </xf>
    <xf numFmtId="0" fontId="20" fillId="0" borderId="2" xfId="2" quotePrefix="1" applyNumberFormat="1" applyFont="1" applyBorder="1" applyAlignment="1">
      <alignment horizontal="center" vertical="center"/>
    </xf>
    <xf numFmtId="49" fontId="20" fillId="0" borderId="2" xfId="2" quotePrefix="1" applyNumberFormat="1" applyFont="1" applyBorder="1" applyAlignment="1">
      <alignment horizontal="center" vertical="center"/>
    </xf>
    <xf numFmtId="2" fontId="16" fillId="11" borderId="2" xfId="2" applyNumberFormat="1" applyFont="1" applyFill="1" applyBorder="1" applyAlignment="1">
      <alignment horizontal="right" vertical="center" wrapText="1"/>
    </xf>
    <xf numFmtId="10" fontId="16" fillId="11" borderId="2" xfId="3" applyNumberFormat="1" applyFont="1" applyFill="1" applyBorder="1" applyAlignment="1">
      <alignment vertical="center" wrapText="1"/>
    </xf>
    <xf numFmtId="2" fontId="16" fillId="12" borderId="2" xfId="2" applyNumberFormat="1" applyFont="1" applyFill="1" applyBorder="1" applyAlignment="1">
      <alignment horizontal="right" vertical="center" wrapText="1"/>
    </xf>
    <xf numFmtId="10" fontId="16" fillId="12" borderId="2" xfId="3" applyNumberFormat="1" applyFont="1" applyFill="1" applyBorder="1" applyAlignment="1">
      <alignment vertical="center" wrapText="1"/>
    </xf>
    <xf numFmtId="2" fontId="16" fillId="13" borderId="2" xfId="2" applyNumberFormat="1" applyFont="1" applyFill="1" applyBorder="1" applyAlignment="1">
      <alignment horizontal="right" vertical="center" wrapText="1"/>
    </xf>
    <xf numFmtId="10" fontId="16" fillId="13" borderId="2" xfId="3" applyNumberFormat="1" applyFont="1" applyFill="1" applyBorder="1" applyAlignment="1">
      <alignment vertical="center" wrapText="1"/>
    </xf>
    <xf numFmtId="10" fontId="48" fillId="14" borderId="2" xfId="3" applyNumberFormat="1" applyFont="1" applyFill="1" applyBorder="1" applyAlignment="1">
      <alignment vertical="center" wrapText="1"/>
    </xf>
    <xf numFmtId="10" fontId="48" fillId="15" borderId="2" xfId="3" applyNumberFormat="1" applyFont="1" applyFill="1" applyBorder="1" applyAlignment="1">
      <alignment vertical="center"/>
    </xf>
    <xf numFmtId="164" fontId="16" fillId="12" borderId="2" xfId="2" applyFont="1" applyFill="1" applyBorder="1" applyAlignment="1">
      <alignment horizontal="right" vertical="center" wrapText="1"/>
    </xf>
    <xf numFmtId="164" fontId="16" fillId="13" borderId="2" xfId="2" applyFont="1" applyFill="1" applyBorder="1" applyAlignment="1">
      <alignment horizontal="right" vertical="center" wrapText="1"/>
    </xf>
    <xf numFmtId="164" fontId="48" fillId="14" borderId="2" xfId="2" applyFont="1" applyFill="1" applyBorder="1" applyAlignment="1">
      <alignment horizontal="right" vertical="center" wrapText="1"/>
    </xf>
    <xf numFmtId="164" fontId="48" fillId="15" borderId="2" xfId="2" applyFont="1" applyFill="1" applyBorder="1" applyAlignment="1">
      <alignment horizontal="right" vertical="center" wrapText="1"/>
    </xf>
    <xf numFmtId="164" fontId="48" fillId="22" borderId="2" xfId="2" applyFont="1" applyFill="1" applyBorder="1" applyAlignment="1">
      <alignment horizontal="left" vertical="center" wrapText="1"/>
    </xf>
    <xf numFmtId="4" fontId="48" fillId="15" borderId="2" xfId="7" applyNumberFormat="1" applyFont="1" applyFill="1" applyBorder="1" applyAlignment="1">
      <alignment horizontal="right" vertical="center"/>
    </xf>
    <xf numFmtId="4" fontId="40" fillId="0" borderId="0" xfId="2" applyNumberFormat="1" applyFont="1" applyFill="1" applyAlignment="1">
      <alignment horizontal="right" vertical="center"/>
    </xf>
    <xf numFmtId="49" fontId="18" fillId="0" borderId="2" xfId="4" applyNumberFormat="1" applyFont="1" applyBorder="1" applyAlignment="1">
      <alignment horizontal="left" vertical="center"/>
    </xf>
    <xf numFmtId="41" fontId="38" fillId="2" borderId="0" xfId="12" applyFont="1" applyFill="1" applyAlignment="1">
      <alignment vertical="center"/>
    </xf>
    <xf numFmtId="41" fontId="58" fillId="0" borderId="0" xfId="12" applyFont="1" applyAlignment="1">
      <alignment horizontal="right" vertical="center"/>
    </xf>
    <xf numFmtId="4" fontId="16" fillId="12" borderId="2" xfId="2" applyNumberFormat="1" applyFont="1" applyFill="1" applyBorder="1" applyAlignment="1">
      <alignment horizontal="right" vertical="center" wrapText="1"/>
    </xf>
    <xf numFmtId="49" fontId="16" fillId="13" borderId="2" xfId="5" applyNumberFormat="1" applyFont="1" applyFill="1" applyBorder="1">
      <alignment horizontal="center" vertical="center" wrapText="1"/>
    </xf>
    <xf numFmtId="49" fontId="48" fillId="14" borderId="2" xfId="5" applyNumberFormat="1" applyFont="1" applyFill="1" applyBorder="1">
      <alignment horizontal="center" vertical="center" wrapText="1"/>
    </xf>
    <xf numFmtId="49" fontId="48" fillId="15" borderId="2" xfId="5" applyNumberFormat="1" applyFont="1" applyFill="1" applyBorder="1">
      <alignment horizontal="center" vertical="center" wrapText="1"/>
    </xf>
    <xf numFmtId="2" fontId="22" fillId="3" borderId="2" xfId="2" applyNumberFormat="1" applyFont="1" applyFill="1" applyBorder="1" applyAlignment="1">
      <alignment horizontal="right" vertical="center" wrapText="1"/>
    </xf>
    <xf numFmtId="2" fontId="22" fillId="5" borderId="2" xfId="2" applyNumberFormat="1" applyFont="1" applyFill="1" applyBorder="1" applyAlignment="1">
      <alignment horizontal="right" vertical="center" wrapText="1"/>
    </xf>
    <xf numFmtId="2" fontId="22" fillId="6" borderId="2" xfId="2" applyNumberFormat="1" applyFont="1" applyFill="1" applyBorder="1" applyAlignment="1">
      <alignment horizontal="right" vertical="center" wrapText="1"/>
    </xf>
    <xf numFmtId="2" fontId="24" fillId="7" borderId="2" xfId="2" applyNumberFormat="1" applyFont="1" applyFill="1" applyBorder="1" applyAlignment="1">
      <alignment horizontal="right" vertical="center" wrapText="1"/>
    </xf>
    <xf numFmtId="2" fontId="24" fillId="8" borderId="2" xfId="2" applyNumberFormat="1" applyFont="1" applyFill="1" applyBorder="1" applyAlignment="1">
      <alignment horizontal="right" vertical="center" wrapText="1"/>
    </xf>
    <xf numFmtId="4" fontId="28" fillId="0" borderId="2" xfId="7" applyNumberFormat="1" applyFont="1" applyFill="1" applyBorder="1" applyAlignment="1">
      <alignment horizontal="right" vertical="center"/>
    </xf>
    <xf numFmtId="2" fontId="25" fillId="0" borderId="2" xfId="7" applyNumberFormat="1" applyFont="1" applyBorder="1" applyAlignment="1">
      <alignment horizontal="right" vertical="center"/>
    </xf>
    <xf numFmtId="164" fontId="56" fillId="2" borderId="0" xfId="2" applyFont="1" applyFill="1" applyAlignment="1">
      <alignment horizontal="center" vertical="center"/>
    </xf>
    <xf numFmtId="49" fontId="18" fillId="0" borderId="2" xfId="4" applyNumberFormat="1" applyFont="1" applyBorder="1" applyAlignment="1">
      <alignment horizontal="center" vertical="center"/>
    </xf>
    <xf numFmtId="165" fontId="114" fillId="0" borderId="0" xfId="4" applyNumberFormat="1" applyFont="1" applyAlignment="1">
      <alignment vertical="center"/>
    </xf>
    <xf numFmtId="49" fontId="115" fillId="2" borderId="0" xfId="1" applyNumberFormat="1" applyFont="1" applyFill="1" applyAlignment="1">
      <alignment horizontal="center" vertical="center"/>
    </xf>
    <xf numFmtId="49" fontId="115" fillId="0" borderId="0" xfId="1" applyNumberFormat="1" applyFont="1" applyAlignment="1">
      <alignment horizontal="center" vertical="center"/>
    </xf>
    <xf numFmtId="49" fontId="116" fillId="0" borderId="0" xfId="1" applyNumberFormat="1" applyFont="1" applyAlignment="1">
      <alignment horizontal="center" vertical="center"/>
    </xf>
    <xf numFmtId="49" fontId="116" fillId="0" borderId="0" xfId="1" applyNumberFormat="1" applyFont="1" applyAlignment="1">
      <alignment horizontal="left" vertical="center"/>
    </xf>
    <xf numFmtId="4" fontId="117" fillId="0" borderId="0" xfId="2" applyNumberFormat="1" applyFont="1" applyAlignment="1">
      <alignment horizontal="right"/>
    </xf>
    <xf numFmtId="167" fontId="117" fillId="0" borderId="0" xfId="3" applyNumberFormat="1" applyFont="1" applyAlignment="1">
      <alignment horizontal="right"/>
    </xf>
    <xf numFmtId="0" fontId="114" fillId="0" borderId="0" xfId="4" applyFont="1" applyAlignment="1">
      <alignment vertical="center"/>
    </xf>
    <xf numFmtId="4" fontId="115" fillId="0" borderId="0" xfId="2" applyNumberFormat="1" applyFont="1" applyFill="1" applyAlignment="1">
      <alignment horizontal="right" vertical="center"/>
    </xf>
    <xf numFmtId="4" fontId="116" fillId="0" borderId="0" xfId="2" applyNumberFormat="1" applyFont="1" applyAlignment="1">
      <alignment horizontal="right"/>
    </xf>
    <xf numFmtId="4" fontId="39" fillId="2" borderId="0" xfId="1" applyNumberFormat="1" applyFont="1" applyFill="1" applyAlignment="1">
      <alignment vertical="center"/>
    </xf>
    <xf numFmtId="164" fontId="22" fillId="6" borderId="2" xfId="2" applyFont="1" applyFill="1" applyBorder="1" applyAlignment="1">
      <alignment horizontal="right" vertical="center" wrapText="1"/>
    </xf>
    <xf numFmtId="164" fontId="24" fillId="7" borderId="2" xfId="2" applyFont="1" applyFill="1" applyBorder="1" applyAlignment="1">
      <alignment horizontal="right" vertical="center" wrapText="1"/>
    </xf>
    <xf numFmtId="4" fontId="35" fillId="0" borderId="2" xfId="7" applyNumberFormat="1" applyFont="1" applyFill="1" applyBorder="1" applyAlignment="1">
      <alignment horizontal="right" vertical="center"/>
    </xf>
    <xf numFmtId="164" fontId="24" fillId="0" borderId="2" xfId="2" applyFont="1" applyFill="1" applyBorder="1" applyAlignment="1">
      <alignment horizontal="left" vertical="center" wrapText="1"/>
    </xf>
    <xf numFmtId="165" fontId="17" fillId="0" borderId="0" xfId="4" applyNumberFormat="1" applyFont="1" applyAlignment="1">
      <alignment vertical="center"/>
    </xf>
    <xf numFmtId="49" fontId="41" fillId="0" borderId="0" xfId="1" applyNumberFormat="1" applyFont="1" applyAlignment="1">
      <alignment horizontal="left" vertical="center"/>
    </xf>
    <xf numFmtId="10" fontId="42" fillId="0" borderId="0" xfId="3" applyNumberFormat="1" applyFont="1" applyAlignment="1">
      <alignment horizontal="right" vertical="center"/>
    </xf>
    <xf numFmtId="167" fontId="42" fillId="0" borderId="0" xfId="3" applyNumberFormat="1" applyFont="1" applyAlignment="1">
      <alignment horizontal="right" vertical="center"/>
    </xf>
    <xf numFmtId="10" fontId="42" fillId="0" borderId="0" xfId="3" applyNumberFormat="1" applyFont="1" applyAlignment="1">
      <alignment vertical="center"/>
    </xf>
    <xf numFmtId="0" fontId="17" fillId="0" borderId="0" xfId="4" applyFont="1" applyAlignment="1">
      <alignment horizontal="left" vertical="center"/>
    </xf>
    <xf numFmtId="49" fontId="17" fillId="0" borderId="0" xfId="4" applyNumberFormat="1" applyFont="1" applyAlignment="1">
      <alignment vertical="center"/>
    </xf>
    <xf numFmtId="49" fontId="17" fillId="0" borderId="0" xfId="4" applyNumberFormat="1" applyFont="1" applyAlignment="1">
      <alignment horizontal="center" vertical="center"/>
    </xf>
    <xf numFmtId="49" fontId="17" fillId="0" borderId="0" xfId="4" applyNumberFormat="1" applyFont="1" applyAlignment="1">
      <alignment horizontal="left" vertical="center"/>
    </xf>
    <xf numFmtId="0" fontId="49" fillId="0" borderId="0" xfId="1" applyFont="1" applyAlignment="1">
      <alignment horizontal="center" vertical="center"/>
    </xf>
    <xf numFmtId="0" fontId="50" fillId="0" borderId="0" xfId="1" applyFont="1" applyAlignment="1">
      <alignment horizontal="center" vertical="center"/>
    </xf>
    <xf numFmtId="4" fontId="20" fillId="2" borderId="15" xfId="2" applyNumberFormat="1" applyFont="1" applyFill="1" applyBorder="1" applyAlignment="1">
      <alignment horizontal="center" vertical="center" wrapText="1"/>
    </xf>
    <xf numFmtId="4" fontId="20" fillId="2" borderId="16" xfId="2" applyNumberFormat="1" applyFont="1" applyFill="1" applyBorder="1" applyAlignment="1">
      <alignment horizontal="center" vertical="center" wrapText="1"/>
    </xf>
    <xf numFmtId="164" fontId="20" fillId="2" borderId="17" xfId="2" applyFont="1" applyFill="1" applyBorder="1" applyAlignment="1">
      <alignment horizontal="center" vertical="center" wrapText="1"/>
    </xf>
    <xf numFmtId="164" fontId="20" fillId="2" borderId="39" xfId="2" applyFont="1" applyFill="1" applyBorder="1" applyAlignment="1">
      <alignment horizontal="center" vertical="center" wrapText="1"/>
    </xf>
    <xf numFmtId="10" fontId="20" fillId="2" borderId="19" xfId="2" applyNumberFormat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39" xfId="1" applyFont="1" applyFill="1" applyBorder="1" applyAlignment="1">
      <alignment horizontal="center" vertical="center" wrapText="1"/>
    </xf>
    <xf numFmtId="0" fontId="20" fillId="2" borderId="19" xfId="1" applyFont="1" applyFill="1" applyBorder="1" applyAlignment="1">
      <alignment horizontal="center" vertical="center" wrapText="1"/>
    </xf>
    <xf numFmtId="164" fontId="20" fillId="2" borderId="15" xfId="2" applyFont="1" applyFill="1" applyBorder="1" applyAlignment="1">
      <alignment horizontal="center" vertical="center" wrapText="1"/>
    </xf>
    <xf numFmtId="10" fontId="20" fillId="2" borderId="16" xfId="2" applyNumberFormat="1" applyFont="1" applyFill="1" applyBorder="1" applyAlignment="1">
      <alignment horizontal="center" vertical="center" wrapText="1"/>
    </xf>
    <xf numFmtId="0" fontId="20" fillId="2" borderId="15" xfId="1" applyFont="1" applyFill="1" applyBorder="1" applyAlignment="1">
      <alignment horizontal="center" vertical="center" wrapText="1"/>
    </xf>
    <xf numFmtId="0" fontId="6" fillId="0" borderId="18" xfId="4" applyBorder="1" applyAlignment="1">
      <alignment horizontal="center" vertical="center" wrapText="1"/>
    </xf>
    <xf numFmtId="0" fontId="6" fillId="0" borderId="16" xfId="4" applyBorder="1" applyAlignment="1">
      <alignment horizontal="center" vertical="center" wrapText="1"/>
    </xf>
    <xf numFmtId="0" fontId="62" fillId="21" borderId="46" xfId="9" applyFont="1" applyFill="1" applyBorder="1" applyAlignment="1">
      <alignment horizontal="center" vertical="center" wrapText="1" readingOrder="1"/>
    </xf>
    <xf numFmtId="0" fontId="62" fillId="21" borderId="47" xfId="9" applyFont="1" applyFill="1" applyBorder="1" applyAlignment="1">
      <alignment horizontal="center" vertical="center" wrapText="1" readingOrder="1"/>
    </xf>
    <xf numFmtId="0" fontId="62" fillId="21" borderId="48" xfId="9" applyFont="1" applyFill="1" applyBorder="1" applyAlignment="1">
      <alignment horizontal="center" vertical="center" wrapText="1" readingOrder="1"/>
    </xf>
    <xf numFmtId="0" fontId="62" fillId="21" borderId="49" xfId="9" applyFont="1" applyFill="1" applyBorder="1" applyAlignment="1">
      <alignment horizontal="center" vertical="center" wrapText="1" readingOrder="1"/>
    </xf>
    <xf numFmtId="0" fontId="20" fillId="2" borderId="18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4" fontId="42" fillId="0" borderId="15" xfId="2" applyNumberFormat="1" applyFont="1" applyFill="1" applyBorder="1" applyAlignment="1">
      <alignment horizontal="center" vertical="center" wrapText="1"/>
    </xf>
    <xf numFmtId="4" fontId="42" fillId="0" borderId="16" xfId="2" applyNumberFormat="1" applyFont="1" applyFill="1" applyBorder="1" applyAlignment="1">
      <alignment horizontal="center" vertical="center" wrapText="1"/>
    </xf>
    <xf numFmtId="0" fontId="42" fillId="0" borderId="15" xfId="1" applyFont="1" applyBorder="1" applyAlignment="1">
      <alignment horizontal="center" vertical="center" wrapText="1"/>
    </xf>
    <xf numFmtId="0" fontId="42" fillId="0" borderId="18" xfId="1" applyFont="1" applyBorder="1" applyAlignment="1">
      <alignment horizontal="center" vertical="center" wrapText="1"/>
    </xf>
    <xf numFmtId="0" fontId="42" fillId="0" borderId="16" xfId="1" applyFont="1" applyBorder="1" applyAlignment="1">
      <alignment horizontal="center" vertical="center" wrapText="1"/>
    </xf>
    <xf numFmtId="164" fontId="42" fillId="0" borderId="17" xfId="2" applyFont="1" applyFill="1" applyBorder="1" applyAlignment="1">
      <alignment horizontal="center" vertical="center" wrapText="1"/>
    </xf>
    <xf numFmtId="164" fontId="42" fillId="0" borderId="39" xfId="2" applyFont="1" applyFill="1" applyBorder="1" applyAlignment="1">
      <alignment horizontal="center" vertical="center" wrapText="1"/>
    </xf>
    <xf numFmtId="10" fontId="42" fillId="0" borderId="19" xfId="2" applyNumberFormat="1" applyFont="1" applyFill="1" applyBorder="1" applyAlignment="1">
      <alignment horizontal="center" vertical="center" wrapText="1"/>
    </xf>
    <xf numFmtId="0" fontId="42" fillId="0" borderId="17" xfId="1" applyFont="1" applyBorder="1" applyAlignment="1">
      <alignment horizontal="center" vertical="center" wrapText="1"/>
    </xf>
    <xf numFmtId="0" fontId="42" fillId="0" borderId="39" xfId="1" applyFont="1" applyBorder="1" applyAlignment="1">
      <alignment horizontal="center" vertical="center" wrapText="1"/>
    </xf>
    <xf numFmtId="0" fontId="42" fillId="0" borderId="19" xfId="1" applyFont="1" applyBorder="1" applyAlignment="1">
      <alignment horizontal="center" vertical="center" wrapText="1"/>
    </xf>
    <xf numFmtId="4" fontId="16" fillId="11" borderId="5" xfId="2" applyNumberFormat="1" applyFont="1" applyFill="1" applyBorder="1" applyAlignment="1">
      <alignment horizontal="center" vertical="center" wrapText="1"/>
    </xf>
    <xf numFmtId="4" fontId="16" fillId="11" borderId="7" xfId="2" applyNumberFormat="1" applyFont="1" applyFill="1" applyBorder="1" applyAlignment="1">
      <alignment horizontal="center" vertical="center" wrapText="1"/>
    </xf>
    <xf numFmtId="0" fontId="16" fillId="11" borderId="3" xfId="1" applyFont="1" applyFill="1" applyBorder="1" applyAlignment="1">
      <alignment horizontal="center" vertical="center" wrapText="1"/>
    </xf>
    <xf numFmtId="0" fontId="16" fillId="11" borderId="41" xfId="1" applyFont="1" applyFill="1" applyBorder="1" applyAlignment="1">
      <alignment horizontal="center" vertical="center" wrapText="1"/>
    </xf>
    <xf numFmtId="0" fontId="16" fillId="11" borderId="4" xfId="1" applyFont="1" applyFill="1" applyBorder="1" applyAlignment="1">
      <alignment horizontal="center" vertical="center" wrapText="1"/>
    </xf>
    <xf numFmtId="164" fontId="16" fillId="11" borderId="3" xfId="2" applyFont="1" applyFill="1" applyBorder="1" applyAlignment="1">
      <alignment horizontal="center" vertical="center" wrapText="1"/>
    </xf>
    <xf numFmtId="164" fontId="16" fillId="11" borderId="41" xfId="2" applyFont="1" applyFill="1" applyBorder="1" applyAlignment="1">
      <alignment horizontal="center" vertical="center" wrapText="1"/>
    </xf>
    <xf numFmtId="10" fontId="16" fillId="11" borderId="4" xfId="2" applyNumberFormat="1" applyFont="1" applyFill="1" applyBorder="1" applyAlignment="1">
      <alignment horizontal="center" vertical="center" wrapText="1"/>
    </xf>
    <xf numFmtId="0" fontId="46" fillId="0" borderId="0" xfId="1" applyFont="1" applyAlignment="1">
      <alignment horizontal="center" vertical="center"/>
    </xf>
    <xf numFmtId="0" fontId="47" fillId="0" borderId="0" xfId="1" applyFont="1" applyAlignment="1">
      <alignment horizontal="center" vertical="center"/>
    </xf>
    <xf numFmtId="49" fontId="16" fillId="11" borderId="2" xfId="1" applyNumberFormat="1" applyFont="1" applyFill="1" applyBorder="1" applyAlignment="1">
      <alignment horizontal="center" vertical="center" wrapText="1"/>
    </xf>
    <xf numFmtId="165" fontId="16" fillId="11" borderId="2" xfId="5" applyFont="1" applyFill="1" applyBorder="1" applyAlignment="1">
      <alignment horizontal="center" vertical="center"/>
    </xf>
    <xf numFmtId="165" fontId="16" fillId="11" borderId="1" xfId="5" applyFont="1" applyFill="1" applyBorder="1">
      <alignment horizontal="center" vertical="center" wrapText="1"/>
    </xf>
    <xf numFmtId="165" fontId="16" fillId="11" borderId="6" xfId="5" applyFont="1" applyFill="1" applyBorder="1">
      <alignment horizontal="center" vertical="center" wrapText="1"/>
    </xf>
    <xf numFmtId="4" fontId="16" fillId="11" borderId="1" xfId="2" applyNumberFormat="1" applyFont="1" applyFill="1" applyBorder="1" applyAlignment="1">
      <alignment horizontal="center" vertical="center" wrapText="1"/>
    </xf>
    <xf numFmtId="4" fontId="16" fillId="11" borderId="6" xfId="2" applyNumberFormat="1" applyFont="1" applyFill="1" applyBorder="1" applyAlignment="1">
      <alignment horizontal="center" vertical="center" wrapText="1"/>
    </xf>
    <xf numFmtId="4" fontId="16" fillId="11" borderId="3" xfId="2" applyNumberFormat="1" applyFont="1" applyFill="1" applyBorder="1" applyAlignment="1">
      <alignment horizontal="center" vertical="center" wrapText="1"/>
    </xf>
    <xf numFmtId="4" fontId="16" fillId="11" borderId="4" xfId="2" applyNumberFormat="1" applyFont="1" applyFill="1" applyBorder="1" applyAlignment="1">
      <alignment horizontal="center" vertical="center" wrapText="1"/>
    </xf>
    <xf numFmtId="165" fontId="16" fillId="11" borderId="2" xfId="5" applyFont="1" applyFill="1" applyBorder="1" applyAlignment="1">
      <alignment horizontal="left" vertical="center"/>
    </xf>
    <xf numFmtId="164" fontId="16" fillId="11" borderId="4" xfId="2" applyFont="1" applyFill="1" applyBorder="1" applyAlignment="1">
      <alignment horizontal="center" vertical="center" wrapText="1"/>
    </xf>
    <xf numFmtId="49" fontId="16" fillId="11" borderId="3" xfId="1" applyNumberFormat="1" applyFont="1" applyFill="1" applyBorder="1" applyAlignment="1">
      <alignment horizontal="center" vertical="center" wrapText="1"/>
    </xf>
    <xf numFmtId="49" fontId="16" fillId="11" borderId="41" xfId="1" applyNumberFormat="1" applyFont="1" applyFill="1" applyBorder="1" applyAlignment="1">
      <alignment horizontal="center" vertical="center" wrapText="1"/>
    </xf>
    <xf numFmtId="49" fontId="16" fillId="11" borderId="4" xfId="1" applyNumberFormat="1" applyFont="1" applyFill="1" applyBorder="1" applyAlignment="1">
      <alignment horizontal="center" vertical="center" wrapText="1"/>
    </xf>
    <xf numFmtId="165" fontId="16" fillId="11" borderId="1" xfId="5" applyFont="1" applyFill="1" applyBorder="1" applyAlignment="1">
      <alignment horizontal="center" vertical="center"/>
    </xf>
    <xf numFmtId="165" fontId="16" fillId="11" borderId="6" xfId="5" applyFont="1" applyFill="1" applyBorder="1" applyAlignment="1">
      <alignment horizontal="center" vertical="center"/>
    </xf>
    <xf numFmtId="4" fontId="15" fillId="3" borderId="5" xfId="2" applyNumberFormat="1" applyFont="1" applyFill="1" applyBorder="1" applyAlignment="1">
      <alignment horizontal="center" vertical="center" wrapText="1"/>
    </xf>
    <xf numFmtId="4" fontId="15" fillId="3" borderId="7" xfId="2" applyNumberFormat="1" applyFont="1" applyFill="1" applyBorder="1" applyAlignment="1">
      <alignment horizontal="center" vertical="center" wrapText="1"/>
    </xf>
    <xf numFmtId="0" fontId="15" fillId="3" borderId="3" xfId="1" applyFont="1" applyFill="1" applyBorder="1" applyAlignment="1">
      <alignment horizontal="center" vertical="center" wrapText="1"/>
    </xf>
    <xf numFmtId="0" fontId="15" fillId="3" borderId="4" xfId="1" applyFont="1" applyFill="1" applyBorder="1" applyAlignment="1">
      <alignment horizontal="center" vertical="center" wrapText="1"/>
    </xf>
    <xf numFmtId="164" fontId="15" fillId="3" borderId="3" xfId="2" applyFont="1" applyFill="1" applyBorder="1" applyAlignment="1">
      <alignment horizontal="center" vertical="center" wrapText="1"/>
    </xf>
    <xf numFmtId="10" fontId="15" fillId="3" borderId="4" xfId="2" applyNumberFormat="1" applyFont="1" applyFill="1" applyBorder="1" applyAlignment="1">
      <alignment horizontal="center" vertical="center" wrapText="1"/>
    </xf>
    <xf numFmtId="4" fontId="15" fillId="3" borderId="1" xfId="2" applyNumberFormat="1" applyFont="1" applyFill="1" applyBorder="1" applyAlignment="1">
      <alignment horizontal="center" vertical="center" wrapText="1"/>
    </xf>
    <xf numFmtId="4" fontId="15" fillId="3" borderId="6" xfId="2" applyNumberFormat="1" applyFont="1" applyFill="1" applyBorder="1" applyAlignment="1">
      <alignment horizontal="center" vertical="center" wrapText="1"/>
    </xf>
    <xf numFmtId="49" fontId="16" fillId="3" borderId="2" xfId="1" applyNumberFormat="1" applyFont="1" applyFill="1" applyBorder="1" applyAlignment="1">
      <alignment horizontal="center" vertical="center" wrapText="1"/>
    </xf>
    <xf numFmtId="165" fontId="15" fillId="3" borderId="1" xfId="5" applyFont="1" applyFill="1" applyBorder="1" applyAlignment="1">
      <alignment horizontal="center" vertical="center"/>
    </xf>
    <xf numFmtId="165" fontId="15" fillId="3" borderId="6" xfId="5" applyFont="1" applyFill="1" applyBorder="1" applyAlignment="1">
      <alignment horizontal="center" vertical="center"/>
    </xf>
    <xf numFmtId="165" fontId="15" fillId="3" borderId="1" xfId="5" applyFont="1" applyFill="1" applyBorder="1">
      <alignment horizontal="center" vertical="center" wrapText="1"/>
    </xf>
    <xf numFmtId="165" fontId="15" fillId="3" borderId="6" xfId="5" applyFont="1" applyFill="1" applyBorder="1">
      <alignment horizontal="center" vertical="center" wrapText="1"/>
    </xf>
    <xf numFmtId="0" fontId="15" fillId="3" borderId="41" xfId="1" applyFont="1" applyFill="1" applyBorder="1" applyAlignment="1">
      <alignment horizontal="center" vertical="center" wrapText="1"/>
    </xf>
    <xf numFmtId="164" fontId="15" fillId="3" borderId="41" xfId="2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4" fontId="15" fillId="3" borderId="3" xfId="2" applyNumberFormat="1" applyFont="1" applyFill="1" applyBorder="1" applyAlignment="1">
      <alignment horizontal="center" vertical="center" wrapText="1"/>
    </xf>
    <xf numFmtId="4" fontId="15" fillId="3" borderId="4" xfId="2" applyNumberFormat="1" applyFont="1" applyFill="1" applyBorder="1" applyAlignment="1">
      <alignment horizontal="center" vertical="center" wrapText="1"/>
    </xf>
    <xf numFmtId="4" fontId="81" fillId="23" borderId="5" xfId="2" applyNumberFormat="1" applyFont="1" applyFill="1" applyBorder="1" applyAlignment="1">
      <alignment horizontal="center" vertical="center" wrapText="1"/>
    </xf>
    <xf numFmtId="4" fontId="81" fillId="23" borderId="7" xfId="2" applyNumberFormat="1" applyFont="1" applyFill="1" applyBorder="1" applyAlignment="1">
      <alignment horizontal="center" vertical="center" wrapText="1"/>
    </xf>
    <xf numFmtId="0" fontId="81" fillId="23" borderId="3" xfId="1" applyFont="1" applyFill="1" applyBorder="1" applyAlignment="1">
      <alignment horizontal="center" vertical="center" wrapText="1"/>
    </xf>
    <xf numFmtId="0" fontId="81" fillId="23" borderId="4" xfId="1" applyFont="1" applyFill="1" applyBorder="1" applyAlignment="1">
      <alignment horizontal="center" vertical="center" wrapText="1"/>
    </xf>
    <xf numFmtId="164" fontId="81" fillId="23" borderId="3" xfId="2" applyFont="1" applyFill="1" applyBorder="1" applyAlignment="1">
      <alignment horizontal="center" vertical="center" wrapText="1"/>
    </xf>
    <xf numFmtId="10" fontId="81" fillId="23" borderId="4" xfId="2" applyNumberFormat="1" applyFont="1" applyFill="1" applyBorder="1" applyAlignment="1">
      <alignment horizontal="center" vertical="center" wrapText="1"/>
    </xf>
    <xf numFmtId="4" fontId="81" fillId="23" borderId="1" xfId="2" applyNumberFormat="1" applyFont="1" applyFill="1" applyBorder="1" applyAlignment="1">
      <alignment horizontal="center" vertical="center" wrapText="1"/>
    </xf>
    <xf numFmtId="4" fontId="81" fillId="23" borderId="6" xfId="2" applyNumberFormat="1" applyFont="1" applyFill="1" applyBorder="1" applyAlignment="1">
      <alignment horizontal="center" vertical="center" wrapText="1"/>
    </xf>
    <xf numFmtId="49" fontId="81" fillId="23" borderId="2" xfId="1" applyNumberFormat="1" applyFont="1" applyFill="1" applyBorder="1" applyAlignment="1">
      <alignment horizontal="center" vertical="center" wrapText="1"/>
    </xf>
    <xf numFmtId="165" fontId="81" fillId="23" borderId="1" xfId="5" applyFont="1" applyFill="1" applyBorder="1" applyAlignment="1">
      <alignment horizontal="center" vertical="center"/>
    </xf>
    <xf numFmtId="165" fontId="81" fillId="23" borderId="6" xfId="5" applyFont="1" applyFill="1" applyBorder="1" applyAlignment="1">
      <alignment horizontal="center" vertical="center"/>
    </xf>
    <xf numFmtId="165" fontId="81" fillId="23" borderId="1" xfId="5" applyFont="1" applyFill="1" applyBorder="1">
      <alignment horizontal="center" vertical="center" wrapText="1"/>
    </xf>
    <xf numFmtId="165" fontId="81" fillId="23" borderId="6" xfId="5" applyFont="1" applyFill="1" applyBorder="1">
      <alignment horizontal="center" vertical="center" wrapText="1"/>
    </xf>
    <xf numFmtId="0" fontId="81" fillId="23" borderId="41" xfId="1" applyFont="1" applyFill="1" applyBorder="1" applyAlignment="1">
      <alignment horizontal="center" vertical="center" wrapText="1"/>
    </xf>
    <xf numFmtId="164" fontId="81" fillId="23" borderId="41" xfId="2" applyFont="1" applyFill="1" applyBorder="1" applyAlignment="1">
      <alignment horizontal="center" vertical="center" wrapText="1"/>
    </xf>
    <xf numFmtId="0" fontId="75" fillId="0" borderId="0" xfId="1" applyFont="1" applyAlignment="1">
      <alignment horizontal="center" vertical="center"/>
    </xf>
    <xf numFmtId="0" fontId="77" fillId="0" borderId="0" xfId="1" applyFont="1" applyAlignment="1">
      <alignment horizontal="center" vertical="center"/>
    </xf>
    <xf numFmtId="4" fontId="81" fillId="23" borderId="3" xfId="2" applyNumberFormat="1" applyFont="1" applyFill="1" applyBorder="1" applyAlignment="1">
      <alignment horizontal="center" vertical="center" wrapText="1"/>
    </xf>
    <xf numFmtId="4" fontId="81" fillId="23" borderId="4" xfId="2" applyNumberFormat="1" applyFont="1" applyFill="1" applyBorder="1" applyAlignment="1">
      <alignment horizontal="center" vertical="center" wrapText="1"/>
    </xf>
  </cellXfs>
  <cellStyles count="16">
    <cellStyle name="Millares [0] 2" xfId="7" xr:uid="{D8FA6B98-034C-434C-95F5-E306AD1DB148}"/>
    <cellStyle name="Millares [0] 2 2" xfId="10" xr:uid="{F43C4FAA-29F3-4638-8146-8BB055616CE6}"/>
    <cellStyle name="Millares [0] 3" xfId="12" xr:uid="{97EDB775-A553-4C5B-BEC7-FB5DFD101BE5}"/>
    <cellStyle name="Millares [0] 3 2" xfId="13" xr:uid="{73B59BD6-4EAC-4729-A548-DE37EC3A5A59}"/>
    <cellStyle name="Millares 2" xfId="2" xr:uid="{6954AB19-4A27-461F-9EBF-D2EFE4C77A1C}"/>
    <cellStyle name="Nivel 1,2.3,5,6,9" xfId="5" xr:uid="{A53958DD-D927-43A3-BFC9-DCC79D7EE6DC}"/>
    <cellStyle name="NIVEL 8" xfId="6" xr:uid="{B07977D7-A936-4E04-A19C-2B1CC0DB9BD6}"/>
    <cellStyle name="Normal" xfId="0" builtinId="0"/>
    <cellStyle name="Normal 11" xfId="11" xr:uid="{00F74357-25B7-4519-B295-3D69A670878F}"/>
    <cellStyle name="Normal 2 2" xfId="4" xr:uid="{2EDFCB34-C765-41A2-A8A6-65F2DC191991}"/>
    <cellStyle name="Normal 2 3" xfId="9" xr:uid="{5F57C6F6-5C8D-48BE-830F-1AD96DB86144}"/>
    <cellStyle name="Normal_EJECUCION NOVIEMBRE 2009" xfId="1" xr:uid="{AA8DA0A4-D7B3-4267-96D5-50F305CEF403}"/>
    <cellStyle name="Porcentaje" xfId="15" builtinId="5"/>
    <cellStyle name="Porcentaje 2" xfId="3" xr:uid="{EA4B9EB1-2787-417D-B81E-87381E2D9C78}"/>
    <cellStyle name="Porcentaje 3" xfId="8" xr:uid="{86BFCBB9-ABF9-4E43-AC9E-5A0E3BEA42F6}"/>
    <cellStyle name="Porcentual 2" xfId="14" xr:uid="{319FF71C-4E1E-4C8D-BD99-7A1D2DD6CB09}"/>
  </cellStyles>
  <dxfs count="83"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pivotCacheDefinition" Target="pivotCache/pivotCacheDefinition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pivotCacheDefinition" Target="pivotCache/pivotCacheDefinition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619500" cy="666750"/>
    <xdr:pic>
      <xdr:nvPicPr>
        <xdr:cNvPr id="2" name="Imagen 1">
          <a:extLst>
            <a:ext uri="{FF2B5EF4-FFF2-40B4-BE49-F238E27FC236}">
              <a16:creationId xmlns:a16="http://schemas.microsoft.com/office/drawing/2014/main" id="{C4EA38E7-8A64-446D-8E7F-6BD584201F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1925"/>
          <a:ext cx="3619500" cy="6667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130969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8AA1E2-A3EF-4A75-945B-61FDF443A1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195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285750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9F6B33-D38F-49F3-B160-6686CC9BE2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195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440531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74DD4A-72A8-4AED-B233-8103EC2D89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12356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142875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80D647-6990-4F7A-B213-0ED523A54B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099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130969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35D9FE-1B14-4B42-86B2-8405652900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3607594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404813</xdr:colOff>
      <xdr:row>3</xdr:row>
      <xdr:rowOff>83344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58B9DB-EB9A-497C-90F1-3F71C0B270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3605213" cy="6643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178594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3589FB-EE2A-4186-A3A4-079A9D4796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3607594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59532</xdr:rowOff>
    </xdr:from>
    <xdr:to>
      <xdr:col>10</xdr:col>
      <xdr:colOff>95250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09C392-282C-4E9D-93A6-E0229EF56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221457"/>
          <a:ext cx="3602831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59532</xdr:rowOff>
    </xdr:from>
    <xdr:to>
      <xdr:col>10</xdr:col>
      <xdr:colOff>154782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D4C0B3-B50E-4E27-BB35-568C087352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221457"/>
          <a:ext cx="3605213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59532</xdr:rowOff>
    </xdr:from>
    <xdr:to>
      <xdr:col>10</xdr:col>
      <xdr:colOff>154782</xdr:colOff>
      <xdr:row>3</xdr:row>
      <xdr:rowOff>83345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B50EA5-16BD-40C0-9079-2783B9DCF6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221457"/>
          <a:ext cx="3605213" cy="6619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130969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678871-586D-4E20-984A-AB242166D5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099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59532</xdr:rowOff>
    </xdr:from>
    <xdr:to>
      <xdr:col>10</xdr:col>
      <xdr:colOff>154782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CF1BAF-3D6D-4CE3-98C1-EC10BF243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221457"/>
          <a:ext cx="3605213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59532</xdr:rowOff>
    </xdr:from>
    <xdr:to>
      <xdr:col>10</xdr:col>
      <xdr:colOff>154782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3E6FD5-71B3-40C2-9BB5-96B73B3B15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221457"/>
          <a:ext cx="3605213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8A21F6-BEBE-466C-9565-EFE3EA616A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1457"/>
          <a:ext cx="3617118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59035C-6AF6-48C4-B62E-5792E7387C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1457"/>
          <a:ext cx="3617118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10</xdr:col>
      <xdr:colOff>119062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14625D-873B-422D-928F-A0A9204D6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1457"/>
          <a:ext cx="3617118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C2F83A-B38B-4355-A077-6075EF2F70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1457"/>
          <a:ext cx="3617118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23814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848CB0-B498-4168-82B7-3505799983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1457"/>
          <a:ext cx="3617118" cy="6691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2EF9B7-04F9-4EEE-ABE5-D8FB1E170C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97657"/>
          <a:ext cx="3617118" cy="6619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53DED8-8554-4B60-89F5-056223A75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97657"/>
          <a:ext cx="3617118" cy="6619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E5C623-6432-40F0-9EC5-C69AE30CA3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97657"/>
          <a:ext cx="3617118" cy="6619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238125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D0E117-999C-4DBF-AF8D-BCB8DDDF500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12356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CAD8C8-7B97-4F71-8B31-4DF6D3A658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97657"/>
          <a:ext cx="3617118" cy="6619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59532</xdr:rowOff>
    </xdr:from>
    <xdr:to>
      <xdr:col>11</xdr:col>
      <xdr:colOff>2940843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893165-D3E0-4F6B-909C-BA9EFB4E9C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02407"/>
          <a:ext cx="3617118" cy="6619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1750218</xdr:colOff>
      <xdr:row>0</xdr:row>
      <xdr:rowOff>35719</xdr:rowOff>
    </xdr:from>
    <xdr:to>
      <xdr:col>11</xdr:col>
      <xdr:colOff>3417092</xdr:colOff>
      <xdr:row>3</xdr:row>
      <xdr:rowOff>178593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BD957776-EBB5-4233-8F1D-85ECD4CAE6D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35943" y="35719"/>
          <a:ext cx="4267199" cy="781049"/>
        </a:xfrm>
        <a:prstGeom prst="rect">
          <a:avLst/>
        </a:prstGeom>
        <a:ln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892968</xdr:colOff>
      <xdr:row>0</xdr:row>
      <xdr:rowOff>35718</xdr:rowOff>
    </xdr:from>
    <xdr:to>
      <xdr:col>11</xdr:col>
      <xdr:colOff>2797967</xdr:colOff>
      <xdr:row>3</xdr:row>
      <xdr:rowOff>107155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7F299354-C059-4184-A56D-014A9DCC934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78693" y="35718"/>
          <a:ext cx="5124449" cy="823912"/>
        </a:xfrm>
        <a:prstGeom prst="rect">
          <a:avLst/>
        </a:prstGeom>
        <a:ln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892968</xdr:colOff>
      <xdr:row>0</xdr:row>
      <xdr:rowOff>35718</xdr:rowOff>
    </xdr:from>
    <xdr:to>
      <xdr:col>11</xdr:col>
      <xdr:colOff>2797967</xdr:colOff>
      <xdr:row>3</xdr:row>
      <xdr:rowOff>107155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CC89B7B1-6A9A-4E67-A2A8-041DE0C1B803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78693" y="35718"/>
          <a:ext cx="5124449" cy="823912"/>
        </a:xfrm>
        <a:prstGeom prst="rect">
          <a:avLst/>
        </a:prstGeom>
        <a:ln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892968</xdr:colOff>
      <xdr:row>0</xdr:row>
      <xdr:rowOff>35718</xdr:rowOff>
    </xdr:from>
    <xdr:to>
      <xdr:col>11</xdr:col>
      <xdr:colOff>3155155</xdr:colOff>
      <xdr:row>3</xdr:row>
      <xdr:rowOff>107155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2F37B9D0-A3CA-4537-99A6-3552A89C997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78693" y="35718"/>
          <a:ext cx="5129212" cy="823912"/>
        </a:xfrm>
        <a:prstGeom prst="rect">
          <a:avLst/>
        </a:prstGeom>
        <a:ln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11905</xdr:colOff>
      <xdr:row>0</xdr:row>
      <xdr:rowOff>0</xdr:rowOff>
    </xdr:from>
    <xdr:to>
      <xdr:col>8</xdr:col>
      <xdr:colOff>47623</xdr:colOff>
      <xdr:row>3</xdr:row>
      <xdr:rowOff>71437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215C364F-C7FD-44E7-AF20-3A52BE42991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49" y="0"/>
          <a:ext cx="5131593" cy="821531"/>
        </a:xfrm>
        <a:prstGeom prst="rect">
          <a:avLst/>
        </a:prstGeom>
        <a:ln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1059655</xdr:colOff>
      <xdr:row>1</xdr:row>
      <xdr:rowOff>47624</xdr:rowOff>
    </xdr:from>
    <xdr:to>
      <xdr:col>11</xdr:col>
      <xdr:colOff>3321842</xdr:colOff>
      <xdr:row>4</xdr:row>
      <xdr:rowOff>142874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2726BF82-7E34-46C1-ABCC-3964DE1363A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45380" y="190499"/>
          <a:ext cx="5129212" cy="819150"/>
        </a:xfrm>
        <a:prstGeom prst="rect">
          <a:avLst/>
        </a:prstGeom>
        <a:ln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1059655</xdr:colOff>
      <xdr:row>1</xdr:row>
      <xdr:rowOff>47624</xdr:rowOff>
    </xdr:from>
    <xdr:to>
      <xdr:col>11</xdr:col>
      <xdr:colOff>3321842</xdr:colOff>
      <xdr:row>3</xdr:row>
      <xdr:rowOff>190499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6F736BE-B335-4BA4-A41E-F8F473C22B6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45380" y="190499"/>
          <a:ext cx="5129212" cy="828675"/>
        </a:xfrm>
        <a:prstGeom prst="rect">
          <a:avLst/>
        </a:prstGeom>
        <a:ln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1059655</xdr:colOff>
      <xdr:row>1</xdr:row>
      <xdr:rowOff>47624</xdr:rowOff>
    </xdr:from>
    <xdr:to>
      <xdr:col>11</xdr:col>
      <xdr:colOff>3321842</xdr:colOff>
      <xdr:row>3</xdr:row>
      <xdr:rowOff>190499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C5A897A-051A-4788-A856-427BB8F4F9F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45380" y="190499"/>
          <a:ext cx="5129212" cy="828675"/>
        </a:xfrm>
        <a:prstGeom prst="rect">
          <a:avLst/>
        </a:prstGeom>
        <a:ln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238125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181698-C0C4-4F5C-B804-11F53EF3EB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12356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1059655</xdr:colOff>
      <xdr:row>1</xdr:row>
      <xdr:rowOff>47624</xdr:rowOff>
    </xdr:from>
    <xdr:to>
      <xdr:col>12</xdr:col>
      <xdr:colOff>500061</xdr:colOff>
      <xdr:row>3</xdr:row>
      <xdr:rowOff>190499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35CF1FB8-10E3-4848-98FB-350E98F6669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45380" y="190499"/>
          <a:ext cx="5117306" cy="828675"/>
        </a:xfrm>
        <a:prstGeom prst="rect">
          <a:avLst/>
        </a:prstGeom>
        <a:ln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1059655</xdr:colOff>
      <xdr:row>1</xdr:row>
      <xdr:rowOff>47624</xdr:rowOff>
    </xdr:from>
    <xdr:to>
      <xdr:col>11</xdr:col>
      <xdr:colOff>83342</xdr:colOff>
      <xdr:row>3</xdr:row>
      <xdr:rowOff>190499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47273E9F-94B7-43BF-888A-6AC19660C46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45380" y="190499"/>
          <a:ext cx="5122068" cy="828675"/>
        </a:xfrm>
        <a:prstGeom prst="rect">
          <a:avLst/>
        </a:prstGeom>
        <a:ln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83342</xdr:colOff>
      <xdr:row>1</xdr:row>
      <xdr:rowOff>195333</xdr:rowOff>
    </xdr:from>
    <xdr:to>
      <xdr:col>2</xdr:col>
      <xdr:colOff>23812</xdr:colOff>
      <xdr:row>3</xdr:row>
      <xdr:rowOff>164677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1B8CD6-A831-4CAC-987A-663F77A0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92" y="338208"/>
          <a:ext cx="1854995" cy="655144"/>
        </a:xfrm>
        <a:prstGeom prst="rect">
          <a:avLst/>
        </a:prstGeom>
      </xdr:spPr>
    </xdr:pic>
    <xdr:clientData/>
  </xdr:twoCellAnchor>
  <xdr:twoCellAnchor editAs="oneCell">
    <xdr:from>
      <xdr:col>9</xdr:col>
      <xdr:colOff>379682</xdr:colOff>
      <xdr:row>1</xdr:row>
      <xdr:rowOff>190503</xdr:rowOff>
    </xdr:from>
    <xdr:to>
      <xdr:col>11</xdr:col>
      <xdr:colOff>3011095</xdr:colOff>
      <xdr:row>3</xdr:row>
      <xdr:rowOff>159847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3DAC5A-420E-403D-98B1-14A3C5DA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2357" y="333378"/>
          <a:ext cx="3374364" cy="65514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83342</xdr:colOff>
      <xdr:row>1</xdr:row>
      <xdr:rowOff>195333</xdr:rowOff>
    </xdr:from>
    <xdr:to>
      <xdr:col>2</xdr:col>
      <xdr:colOff>23812</xdr:colOff>
      <xdr:row>3</xdr:row>
      <xdr:rowOff>164677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641BC7-8B10-43FE-9880-9929B70C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92" y="338208"/>
          <a:ext cx="1854995" cy="655144"/>
        </a:xfrm>
        <a:prstGeom prst="rect">
          <a:avLst/>
        </a:prstGeom>
      </xdr:spPr>
    </xdr:pic>
    <xdr:clientData/>
  </xdr:twoCellAnchor>
  <xdr:twoCellAnchor editAs="oneCell">
    <xdr:from>
      <xdr:col>9</xdr:col>
      <xdr:colOff>379682</xdr:colOff>
      <xdr:row>1</xdr:row>
      <xdr:rowOff>190503</xdr:rowOff>
    </xdr:from>
    <xdr:to>
      <xdr:col>11</xdr:col>
      <xdr:colOff>3011095</xdr:colOff>
      <xdr:row>3</xdr:row>
      <xdr:rowOff>159847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9242C3-7480-402F-8DA7-924B6F5E1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2357" y="333378"/>
          <a:ext cx="3374364" cy="6551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130969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EDA18-7B48-483C-A42D-8DC334127C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099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154782</xdr:rowOff>
    </xdr:from>
    <xdr:to>
      <xdr:col>6</xdr:col>
      <xdr:colOff>130969</xdr:colOff>
      <xdr:row>2</xdr:row>
      <xdr:rowOff>273844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619388-2478-49C1-B251-4890691312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782"/>
          <a:ext cx="36195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1143000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5B02AD-118B-439B-AEE9-F7D3C6A871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099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1143000</xdr:colOff>
      <xdr:row>2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BA7090-4A58-44D6-9A4C-A97FACF7AE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36099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1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B959B3-D24B-4C94-9B6B-FFCFAB4A44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195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bio.munoz\Documents\Informe%20Ejecucion%20Pptal%202019\Informes%20Ejecucion%20Presupuestal%20Febrero%202020\bInforme%20EjecucionPresupuestal%20Vigencia,%20CXP%20y%20Reserva%2020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bio.munoz\Documents\Informe%20Ejecucion%20Pptal%202019\Informes%20Ejecucion%20Presupuestal%20Enero%202020\bInforme%20EjecucionPresupuestal%20Vigencia,%20CXP%20y%20Reserva%20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sco.sharepoint.com/Users/fabio.munoz/Documents/Informe%20Ejecucion%20Pptal%202019/Informes%20Ejecucion%20Presupuestal%20Febrero%202020/bInforme%20EjecucionPresupuestal%20Vigencia,%20CXP%20y%20Reserva%202020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sco.sharepoint.com/Users/fabio.munoz/Documents/Informe%20Ejecucion%20Pptal%202019/Informes%20Ejecucion%20Presupuestal%20Enero%202020/bInforme%20EjecucionPresupuestal%20Vigencia,%20CXP%20y%20Reserva%20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sco.sharepoint.com/Users/Financiera/Documents/EJECUCCION%20PRESUPUESTAL/EJECUCION%20PPTAL%20202006/bInforme%20EjecucionPresupuestal%20Vigencia,%20CXP%20y%20Reserva%2020200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.Ejecutivo.2019"/>
      <sheetName val="Vigencia"/>
      <sheetName val="EJEC_2020"/>
      <sheetName val="PPTO 2019 DPS Modif2"/>
      <sheetName val="Reserva"/>
      <sheetName val="Ejec_RESERVA"/>
      <sheetName val="RPS_reserva"/>
      <sheetName val="Just"/>
      <sheetName val="PAGOS_reserva"/>
      <sheetName val="CXP"/>
      <sheetName val="Ejec_CXP19"/>
      <sheetName val="pagoCXP"/>
    </sheetNames>
    <sheetDataSet>
      <sheetData sheetId="0"/>
      <sheetData sheetId="1">
        <row r="5">
          <cell r="L5" t="str">
            <v>A-01-01-01=10</v>
          </cell>
          <cell r="M5" t="str">
            <v>Nación</v>
          </cell>
          <cell r="N5" t="str">
            <v>10</v>
          </cell>
          <cell r="O5" t="str">
            <v>CSF</v>
          </cell>
          <cell r="P5" t="str">
            <v>SALARIO</v>
          </cell>
          <cell r="Q5">
            <v>68019000000</v>
          </cell>
          <cell r="R5">
            <v>0</v>
          </cell>
          <cell r="S5">
            <v>0</v>
          </cell>
          <cell r="T5">
            <v>68019000000</v>
          </cell>
          <cell r="U5">
            <v>0</v>
          </cell>
          <cell r="V5">
            <v>68019000000</v>
          </cell>
          <cell r="W5">
            <v>0</v>
          </cell>
          <cell r="X5">
            <v>61031327000</v>
          </cell>
          <cell r="Y5">
            <v>9178883040</v>
          </cell>
          <cell r="Z5">
            <v>9178883040</v>
          </cell>
          <cell r="AA5">
            <v>9178883040</v>
          </cell>
        </row>
        <row r="6">
          <cell r="L6" t="str">
            <v>A-01-01-02=10</v>
          </cell>
          <cell r="M6" t="str">
            <v>Nación</v>
          </cell>
          <cell r="N6" t="str">
            <v>10</v>
          </cell>
          <cell r="O6" t="str">
            <v>CSF</v>
          </cell>
          <cell r="P6" t="str">
            <v>CONTRIBUCIONES INHERENTES A LA NÓMINA</v>
          </cell>
          <cell r="Q6">
            <v>24735000000</v>
          </cell>
          <cell r="R6">
            <v>0</v>
          </cell>
          <cell r="S6">
            <v>0</v>
          </cell>
          <cell r="T6">
            <v>24735000000</v>
          </cell>
          <cell r="U6">
            <v>0</v>
          </cell>
          <cell r="V6">
            <v>24735000000</v>
          </cell>
          <cell r="W6">
            <v>0</v>
          </cell>
          <cell r="X6">
            <v>22257548000</v>
          </cell>
          <cell r="Y6">
            <v>3681444213</v>
          </cell>
          <cell r="Z6">
            <v>3681444213</v>
          </cell>
          <cell r="AA6">
            <v>3681361413</v>
          </cell>
        </row>
        <row r="7">
          <cell r="L7" t="str">
            <v>A-01-01-03=10</v>
          </cell>
          <cell r="M7" t="str">
            <v>Nación</v>
          </cell>
          <cell r="N7" t="str">
            <v>10</v>
          </cell>
          <cell r="O7" t="str">
            <v>CSF</v>
          </cell>
          <cell r="P7" t="str">
            <v>REMUNERACIONES NO CONSTITUTIVAS DE FACTOR SALARIAL</v>
          </cell>
          <cell r="Q7">
            <v>6984000000</v>
          </cell>
          <cell r="R7">
            <v>0</v>
          </cell>
          <cell r="S7">
            <v>0</v>
          </cell>
          <cell r="T7">
            <v>6984000000</v>
          </cell>
          <cell r="U7">
            <v>0</v>
          </cell>
          <cell r="V7">
            <v>6954000000</v>
          </cell>
          <cell r="W7">
            <v>30000000</v>
          </cell>
          <cell r="X7">
            <v>6475079000</v>
          </cell>
          <cell r="Y7">
            <v>814198442</v>
          </cell>
          <cell r="Z7">
            <v>814198442</v>
          </cell>
          <cell r="AA7">
            <v>814198442</v>
          </cell>
        </row>
        <row r="8">
          <cell r="L8" t="str">
            <v>A-02-02=10</v>
          </cell>
          <cell r="M8" t="str">
            <v>Nación</v>
          </cell>
          <cell r="N8" t="str">
            <v>10</v>
          </cell>
          <cell r="O8" t="str">
            <v>CSF</v>
          </cell>
          <cell r="P8" t="str">
            <v>ADQUISICIONES DIFERENTES DE ACTIVOS</v>
          </cell>
          <cell r="Q8">
            <v>42289000000</v>
          </cell>
          <cell r="R8">
            <v>0</v>
          </cell>
          <cell r="S8">
            <v>0</v>
          </cell>
          <cell r="T8">
            <v>42289000000</v>
          </cell>
          <cell r="U8">
            <v>0</v>
          </cell>
          <cell r="V8">
            <v>31981727327.439999</v>
          </cell>
          <cell r="W8">
            <v>10307272672.559999</v>
          </cell>
          <cell r="X8">
            <v>26129926049.310001</v>
          </cell>
          <cell r="Y8">
            <v>4028558598.0100002</v>
          </cell>
          <cell r="Z8">
            <v>4027386695.0100002</v>
          </cell>
          <cell r="AA8">
            <v>4006887467.0100002</v>
          </cell>
        </row>
        <row r="9">
          <cell r="L9" t="str">
            <v>A-03-03-01-999=10</v>
          </cell>
          <cell r="M9" t="str">
            <v>Nación</v>
          </cell>
          <cell r="N9" t="str">
            <v>10</v>
          </cell>
          <cell r="O9" t="str">
            <v>CSF</v>
          </cell>
          <cell r="P9" t="str">
            <v>OTRAS TRANSFERENCIAS - DISTRIBUCIÓN PREVIO CONCEPTO DGPPN</v>
          </cell>
          <cell r="Q9">
            <v>11791000000</v>
          </cell>
          <cell r="R9">
            <v>0</v>
          </cell>
          <cell r="S9">
            <v>0</v>
          </cell>
          <cell r="T9">
            <v>11791000000</v>
          </cell>
          <cell r="U9">
            <v>11791000000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L10" t="str">
            <v>A-03-04-02-012=10</v>
          </cell>
          <cell r="M10" t="str">
            <v>Nación</v>
          </cell>
          <cell r="N10" t="str">
            <v>10</v>
          </cell>
          <cell r="O10" t="str">
            <v>CSF</v>
          </cell>
          <cell r="P10" t="str">
            <v>INCAPACIDADES Y LICENCIAS DE MATERNIDAD Y PATERNIDAD (NO DE PENSIONES)</v>
          </cell>
          <cell r="Q10">
            <v>752000000</v>
          </cell>
          <cell r="R10">
            <v>0</v>
          </cell>
          <cell r="S10">
            <v>36000000</v>
          </cell>
          <cell r="T10">
            <v>716000000</v>
          </cell>
          <cell r="U10">
            <v>0</v>
          </cell>
          <cell r="V10">
            <v>716000000</v>
          </cell>
          <cell r="W10">
            <v>0</v>
          </cell>
          <cell r="X10">
            <v>716000000</v>
          </cell>
          <cell r="Y10">
            <v>114396457</v>
          </cell>
          <cell r="Z10">
            <v>114396457</v>
          </cell>
          <cell r="AA10">
            <v>114396457</v>
          </cell>
        </row>
        <row r="11">
          <cell r="L11" t="str">
            <v>A-03-04-02-025=10</v>
          </cell>
          <cell r="M11" t="str">
            <v>Nación</v>
          </cell>
          <cell r="N11" t="str">
            <v>10</v>
          </cell>
          <cell r="O11" t="str">
            <v>CSF</v>
          </cell>
          <cell r="P11" t="str">
            <v>INDEMNIZACIONES (NO DE PENSIONES)</v>
          </cell>
          <cell r="Q11">
            <v>0</v>
          </cell>
          <cell r="R11">
            <v>36000000</v>
          </cell>
          <cell r="S11">
            <v>0</v>
          </cell>
          <cell r="T11">
            <v>36000000</v>
          </cell>
          <cell r="U11">
            <v>0</v>
          </cell>
          <cell r="V11">
            <v>36000000</v>
          </cell>
          <cell r="W11">
            <v>0</v>
          </cell>
          <cell r="X11">
            <v>35990874</v>
          </cell>
          <cell r="Y11">
            <v>35990874</v>
          </cell>
          <cell r="Z11">
            <v>35990874</v>
          </cell>
          <cell r="AA11">
            <v>35990874</v>
          </cell>
        </row>
        <row r="12">
          <cell r="L12" t="str">
            <v>A-03-10-01-001=10</v>
          </cell>
          <cell r="M12" t="str">
            <v>Nación</v>
          </cell>
          <cell r="N12" t="str">
            <v>10</v>
          </cell>
          <cell r="O12" t="str">
            <v>CSF</v>
          </cell>
          <cell r="P12" t="str">
            <v>SENTENCIAS</v>
          </cell>
          <cell r="Q12">
            <v>2597000000</v>
          </cell>
          <cell r="R12">
            <v>0</v>
          </cell>
          <cell r="S12">
            <v>0</v>
          </cell>
          <cell r="T12">
            <v>2597000000</v>
          </cell>
          <cell r="U12">
            <v>0</v>
          </cell>
          <cell r="V12">
            <v>0</v>
          </cell>
          <cell r="W12">
            <v>2597000000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L13" t="str">
            <v>A-08-01=10</v>
          </cell>
          <cell r="M13" t="str">
            <v>Nación</v>
          </cell>
          <cell r="N13" t="str">
            <v>10</v>
          </cell>
          <cell r="O13" t="str">
            <v>CSF</v>
          </cell>
          <cell r="P13" t="str">
            <v>IMPUESTOS</v>
          </cell>
          <cell r="Q13">
            <v>84000000</v>
          </cell>
          <cell r="R13">
            <v>0</v>
          </cell>
          <cell r="S13">
            <v>0</v>
          </cell>
          <cell r="T13">
            <v>84000000</v>
          </cell>
          <cell r="U13">
            <v>0</v>
          </cell>
          <cell r="V13">
            <v>84000000</v>
          </cell>
          <cell r="W13">
            <v>0</v>
          </cell>
          <cell r="X13">
            <v>57811499.210000001</v>
          </cell>
          <cell r="Y13">
            <v>16263100.210000001</v>
          </cell>
          <cell r="Z13">
            <v>16263100.210000001</v>
          </cell>
          <cell r="AA13">
            <v>16263100.210000001</v>
          </cell>
        </row>
        <row r="14">
          <cell r="L14" t="str">
            <v>A-08-04-01=11</v>
          </cell>
          <cell r="M14" t="str">
            <v>Nación</v>
          </cell>
          <cell r="N14" t="str">
            <v>11</v>
          </cell>
          <cell r="O14" t="str">
            <v>SSF</v>
          </cell>
          <cell r="P14" t="str">
            <v>CUOTA DE FISCALIZACIÓN Y AUDITAJE</v>
          </cell>
          <cell r="Q14">
            <v>5740000000</v>
          </cell>
          <cell r="R14">
            <v>0</v>
          </cell>
          <cell r="S14">
            <v>0</v>
          </cell>
          <cell r="T14">
            <v>5740000000</v>
          </cell>
          <cell r="U14">
            <v>0</v>
          </cell>
          <cell r="V14">
            <v>0</v>
          </cell>
          <cell r="W14">
            <v>5740000000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L15" t="str">
            <v>C-4101-1500-5=11</v>
          </cell>
          <cell r="M15" t="str">
            <v>Nación</v>
          </cell>
          <cell r="N15" t="str">
            <v>11</v>
          </cell>
          <cell r="O15" t="str">
            <v>CSF</v>
          </cell>
          <cell r="P15" t="str">
            <v>IMPLEMENTACIÓN DE INTERVENCIÓN INTEGRAL APD CON ENFOQUE DIFERENCIAL ÉTNICO PARA INDIGENAS Y AFROS A NIVEL  NACIONAL</v>
          </cell>
          <cell r="Q15">
            <v>66398074900</v>
          </cell>
          <cell r="R15">
            <v>0</v>
          </cell>
          <cell r="S15">
            <v>0</v>
          </cell>
          <cell r="T15">
            <v>66398074900</v>
          </cell>
          <cell r="U15">
            <v>0</v>
          </cell>
          <cell r="V15">
            <v>61345787771</v>
          </cell>
          <cell r="W15">
            <v>5052287129</v>
          </cell>
          <cell r="X15">
            <v>61254503910</v>
          </cell>
          <cell r="Y15">
            <v>16005500</v>
          </cell>
          <cell r="Z15">
            <v>16005500</v>
          </cell>
          <cell r="AA15">
            <v>16005500</v>
          </cell>
        </row>
        <row r="16">
          <cell r="L16" t="str">
            <v>C-4101-1500-6=11</v>
          </cell>
          <cell r="M16" t="str">
            <v>Nación</v>
          </cell>
          <cell r="N16" t="str">
            <v>11</v>
          </cell>
          <cell r="O16" t="str">
            <v>CSF</v>
          </cell>
          <cell r="P16" t="str">
            <v>IMPLEMENTACIÓN DE UN ESQUEMA ESPECIAL DE ACOMPAÑAMIENTO FAMILIAR DIRIGIDO A LA POBLACIÓN VICTIMA DE DESPLAZAMIENTO FORZADO RETORNADA O REUBICADA EN ZONAS RURALES, A NIVEL  NACIONAL</v>
          </cell>
          <cell r="Q16">
            <v>118101757963</v>
          </cell>
          <cell r="R16">
            <v>0</v>
          </cell>
          <cell r="S16">
            <v>0</v>
          </cell>
          <cell r="T16">
            <v>118101757963</v>
          </cell>
          <cell r="U16">
            <v>0</v>
          </cell>
          <cell r="V16">
            <v>107367094606</v>
          </cell>
          <cell r="W16">
            <v>10734663357</v>
          </cell>
          <cell r="X16">
            <v>107176204888</v>
          </cell>
          <cell r="Y16">
            <v>8358490705</v>
          </cell>
          <cell r="Z16">
            <v>8358490705</v>
          </cell>
          <cell r="AA16">
            <v>3155619922</v>
          </cell>
        </row>
        <row r="17">
          <cell r="L17" t="str">
            <v>C-4103-1500-12=10</v>
          </cell>
          <cell r="M17" t="str">
            <v>Nación</v>
          </cell>
          <cell r="N17" t="str">
            <v>10</v>
          </cell>
          <cell r="O17" t="str">
            <v>CSF</v>
          </cell>
          <cell r="P17" t="str">
            <v>IMPLEMENTACIÓN DE TRANSFERENCIAS MONETARIAS CONDICIONADAS PARA POBLACIÓN VULNERABLE A NIVEL NACIONAL - FIP  NACIONAL</v>
          </cell>
          <cell r="Q17">
            <v>187908006435</v>
          </cell>
          <cell r="R17">
            <v>0</v>
          </cell>
          <cell r="S17">
            <v>0</v>
          </cell>
          <cell r="T17">
            <v>187908006435</v>
          </cell>
          <cell r="U17">
            <v>0</v>
          </cell>
          <cell r="V17">
            <v>180573190384.82999</v>
          </cell>
          <cell r="W17">
            <v>7334816050.1700001</v>
          </cell>
          <cell r="X17">
            <v>63725394558.959999</v>
          </cell>
          <cell r="Y17">
            <v>17741107530.959999</v>
          </cell>
          <cell r="Z17">
            <v>17741107530.959999</v>
          </cell>
          <cell r="AA17">
            <v>17741107530.959999</v>
          </cell>
        </row>
        <row r="18">
          <cell r="L18" t="str">
            <v>C-4103-1500-12=11</v>
          </cell>
          <cell r="M18" t="str">
            <v>Nación</v>
          </cell>
          <cell r="N18" t="str">
            <v>11</v>
          </cell>
          <cell r="O18" t="str">
            <v>CSF</v>
          </cell>
          <cell r="P18" t="str">
            <v>IMPLEMENTACIÓN DE TRANSFERENCIAS MONETARIAS CONDICIONADAS PARA POBLACIÓN VULNERABLE A NIVEL NACIONAL - FIP  NACIONAL</v>
          </cell>
          <cell r="Q18">
            <v>1691172057916</v>
          </cell>
          <cell r="R18">
            <v>0</v>
          </cell>
          <cell r="S18">
            <v>0</v>
          </cell>
          <cell r="T18">
            <v>1691172057916</v>
          </cell>
          <cell r="U18">
            <v>60000000000</v>
          </cell>
          <cell r="V18">
            <v>1631172057916</v>
          </cell>
          <cell r="W18">
            <v>0</v>
          </cell>
          <cell r="X18">
            <v>1631172057916</v>
          </cell>
          <cell r="Y18">
            <v>83609960000</v>
          </cell>
          <cell r="Z18">
            <v>83609960000</v>
          </cell>
          <cell r="AA18">
            <v>83609960000</v>
          </cell>
        </row>
        <row r="19">
          <cell r="L19" t="str">
            <v>C-4103-1500-13=11</v>
          </cell>
          <cell r="M19" t="str">
            <v>Nación</v>
          </cell>
          <cell r="N19" t="str">
            <v>11</v>
          </cell>
          <cell r="O19" t="str">
            <v>CSF</v>
          </cell>
          <cell r="P19" t="str">
            <v>IMPLEMENTACIÓN DE UNIDADES PRODUCTIVAS DE AUTOCONSUMO PARA POBLACIÓN POBRE Y VULNERABLE   NACIONAL</v>
          </cell>
          <cell r="Q19">
            <v>25903028858</v>
          </cell>
          <cell r="R19">
            <v>0</v>
          </cell>
          <cell r="S19">
            <v>0</v>
          </cell>
          <cell r="T19">
            <v>25903028858</v>
          </cell>
          <cell r="U19">
            <v>0</v>
          </cell>
          <cell r="V19">
            <v>15257352021</v>
          </cell>
          <cell r="W19">
            <v>10645676837</v>
          </cell>
          <cell r="X19">
            <v>15235884496</v>
          </cell>
          <cell r="Y19">
            <v>20685476</v>
          </cell>
          <cell r="Z19">
            <v>20685476</v>
          </cell>
          <cell r="AA19">
            <v>20685476</v>
          </cell>
        </row>
        <row r="20">
          <cell r="L20" t="str">
            <v>C-4103-1500-14=10</v>
          </cell>
          <cell r="M20" t="str">
            <v>Nación</v>
          </cell>
          <cell r="N20" t="str">
            <v>10</v>
          </cell>
          <cell r="O20" t="str">
            <v>CSF</v>
          </cell>
          <cell r="P20" t="str">
            <v>FORTALECIMIENTO PARA EL DESARROLLO DE INFRAESTRUCTURA SOCIAL Y HÁBITAT PARA LA INCLUSIÓN SOCIAL A NIVEL NACIONAL - FIP  NACIONAL</v>
          </cell>
          <cell r="Q20">
            <v>50000000000</v>
          </cell>
          <cell r="R20">
            <v>0</v>
          </cell>
          <cell r="S20">
            <v>0</v>
          </cell>
          <cell r="T20">
            <v>50000000000</v>
          </cell>
          <cell r="U20">
            <v>50000000000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L21" t="str">
            <v>C-4103-1500-14=11</v>
          </cell>
          <cell r="M21" t="str">
            <v>Nación</v>
          </cell>
          <cell r="N21" t="str">
            <v>11</v>
          </cell>
          <cell r="O21" t="str">
            <v>CSF</v>
          </cell>
          <cell r="P21" t="str">
            <v>FORTALECIMIENTO PARA EL DESARROLLO DE INFRAESTRUCTURA SOCIAL Y HÁBITAT PARA LA INCLUSIÓN SOCIAL A NIVEL NACIONAL - FIP  NACIONAL</v>
          </cell>
          <cell r="Q21">
            <v>1176882227478</v>
          </cell>
          <cell r="R21">
            <v>0</v>
          </cell>
          <cell r="S21">
            <v>0</v>
          </cell>
          <cell r="T21">
            <v>1176882227478</v>
          </cell>
          <cell r="U21">
            <v>590000000000</v>
          </cell>
          <cell r="V21">
            <v>582200722490.95996</v>
          </cell>
          <cell r="W21">
            <v>4681504987.04</v>
          </cell>
          <cell r="X21">
            <v>499557309456.75</v>
          </cell>
          <cell r="Y21">
            <v>23117482525.549999</v>
          </cell>
          <cell r="Z21">
            <v>23117482525.549999</v>
          </cell>
          <cell r="AA21">
            <v>23117482525.549999</v>
          </cell>
        </row>
        <row r="22">
          <cell r="L22" t="str">
            <v>C-4103-1500-16=11</v>
          </cell>
          <cell r="M22" t="str">
            <v>Nación</v>
          </cell>
          <cell r="N22" t="str">
            <v>11</v>
          </cell>
          <cell r="O22" t="str">
            <v>CSF</v>
          </cell>
          <cell r="P22" t="str">
            <v>FORTALECIMIENTO A ENTIDADES TERRITORIALES EN POLITICA DE SEGURIDAD ALIMENTARIA  NACIONAL</v>
          </cell>
          <cell r="Q22">
            <v>1000000000</v>
          </cell>
          <cell r="R22">
            <v>0</v>
          </cell>
          <cell r="S22">
            <v>0</v>
          </cell>
          <cell r="T22">
            <v>1000000000</v>
          </cell>
          <cell r="U22">
            <v>0</v>
          </cell>
          <cell r="V22">
            <v>0</v>
          </cell>
          <cell r="W22">
            <v>1000000000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L23" t="str">
            <v>C-4103-1500-17=11</v>
          </cell>
          <cell r="M23" t="str">
            <v>Nación</v>
          </cell>
          <cell r="N23" t="str">
            <v>11</v>
          </cell>
          <cell r="O23" t="str">
            <v>CSF</v>
          </cell>
          <cell r="P23" t="str">
            <v>IMPLEMENTACIÓN DE HERRAMIENTAS PARA LA INCLUSIÓN PRODUCTIVA DE LA POBLACIÓN EN SITUACIÓN DE POBREZA EXTREMA, VULNERABILIDAD Y VICTIMAS DEL DESPLAZAMIENTO FORZADO POR LA VIOLENCIA FIP A NIVEL  NACIONAL</v>
          </cell>
          <cell r="Q23">
            <v>83583395677</v>
          </cell>
          <cell r="R23">
            <v>0</v>
          </cell>
          <cell r="S23">
            <v>0</v>
          </cell>
          <cell r="T23">
            <v>83583395677</v>
          </cell>
          <cell r="U23">
            <v>40000000000</v>
          </cell>
          <cell r="V23">
            <v>39521968004</v>
          </cell>
          <cell r="W23">
            <v>4061427673</v>
          </cell>
          <cell r="X23">
            <v>38677333392</v>
          </cell>
          <cell r="Y23">
            <v>100748682</v>
          </cell>
          <cell r="Z23">
            <v>100748682</v>
          </cell>
          <cell r="AA23">
            <v>100748682</v>
          </cell>
        </row>
        <row r="24">
          <cell r="L24" t="str">
            <v>C-4103-1500-18=11</v>
          </cell>
          <cell r="M24" t="str">
            <v>Nación</v>
          </cell>
          <cell r="N24" t="str">
            <v>11</v>
          </cell>
          <cell r="O24" t="str">
            <v>CSF</v>
          </cell>
          <cell r="P24" t="str">
            <v>IMPLEMENTACIÓN DE LA ESTRATEGIA DE ACOMPAÑAMIENTO FAMILIAR Y COMUNITARIO PARA LA SUPERACIÓN DE LA POBREZA - FIP A NIVEL   NACIONAL</v>
          </cell>
          <cell r="Q24">
            <v>70125561842</v>
          </cell>
          <cell r="R24">
            <v>0</v>
          </cell>
          <cell r="S24">
            <v>0</v>
          </cell>
          <cell r="T24">
            <v>70125561842</v>
          </cell>
          <cell r="U24">
            <v>60000000000</v>
          </cell>
          <cell r="V24">
            <v>3645066839.9200001</v>
          </cell>
          <cell r="W24">
            <v>6480495002.0799999</v>
          </cell>
          <cell r="X24">
            <v>3197913279.9200001</v>
          </cell>
          <cell r="Y24">
            <v>129771155.38</v>
          </cell>
          <cell r="Z24">
            <v>129771155.38</v>
          </cell>
          <cell r="AA24">
            <v>129771155.38</v>
          </cell>
        </row>
        <row r="25">
          <cell r="L25" t="str">
            <v>C-4103-1500-19=11</v>
          </cell>
          <cell r="M25" t="str">
            <v>Nación</v>
          </cell>
          <cell r="N25" t="str">
            <v>11</v>
          </cell>
          <cell r="O25" t="str">
            <v>CSF</v>
          </cell>
          <cell r="P25" t="str">
            <v>FORTALECIMIENTO DE LA GESTIÓN DE OFERTA PARA LA SUPERACIÓN DE LA POBREZA- FIP A NIVEL  NACIONAL</v>
          </cell>
          <cell r="Q25">
            <v>11281479935</v>
          </cell>
          <cell r="R25">
            <v>0</v>
          </cell>
          <cell r="S25">
            <v>0</v>
          </cell>
          <cell r="T25">
            <v>11281479935</v>
          </cell>
          <cell r="U25">
            <v>0</v>
          </cell>
          <cell r="V25">
            <v>4688897948</v>
          </cell>
          <cell r="W25">
            <v>6592581987</v>
          </cell>
          <cell r="X25">
            <v>3289871503</v>
          </cell>
          <cell r="Y25">
            <v>34049425</v>
          </cell>
          <cell r="Z25">
            <v>34049425</v>
          </cell>
          <cell r="AA25">
            <v>34049425</v>
          </cell>
        </row>
        <row r="26">
          <cell r="L26" t="str">
            <v>C-4199-1500-2=11</v>
          </cell>
          <cell r="M26" t="str">
            <v>Nación</v>
          </cell>
          <cell r="N26" t="str">
            <v>11</v>
          </cell>
          <cell r="O26" t="str">
            <v>CSF</v>
          </cell>
          <cell r="P26" t="str">
            <v>IMPLEMENTACIÓN Y AMPLIACIÓN DE LAS TECNOLOGÍAS DE INFORMACIÓN Y COMUNICACIONES EN DPS A NIVEL  NACIONAL</v>
          </cell>
          <cell r="Q26">
            <v>3226548466</v>
          </cell>
          <cell r="R26">
            <v>0</v>
          </cell>
          <cell r="S26">
            <v>0</v>
          </cell>
          <cell r="T26">
            <v>3226548466</v>
          </cell>
          <cell r="U26">
            <v>0</v>
          </cell>
          <cell r="V26">
            <v>1485351079</v>
          </cell>
          <cell r="W26">
            <v>1741197387</v>
          </cell>
          <cell r="X26">
            <v>1421220009.4000001</v>
          </cell>
          <cell r="Y26">
            <v>0</v>
          </cell>
          <cell r="Z26">
            <v>0</v>
          </cell>
          <cell r="AA26">
            <v>0</v>
          </cell>
        </row>
        <row r="27">
          <cell r="L27" t="str">
            <v>=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>
            <v>3648573139470</v>
          </cell>
          <cell r="R27">
            <v>36000000</v>
          </cell>
          <cell r="S27">
            <v>36000000</v>
          </cell>
          <cell r="T27">
            <v>3648573139470</v>
          </cell>
          <cell r="U27">
            <v>811791000000</v>
          </cell>
          <cell r="V27">
            <v>2759783216388.1499</v>
          </cell>
          <cell r="W27">
            <v>76998923081.849503</v>
          </cell>
          <cell r="X27">
            <v>2541411375832.5498</v>
          </cell>
          <cell r="Y27">
            <v>150998035724.10999</v>
          </cell>
          <cell r="Z27">
            <v>150996863821.10999</v>
          </cell>
          <cell r="AA27">
            <v>145773411010.10999</v>
          </cell>
        </row>
        <row r="28">
          <cell r="L28" t="str">
            <v>A-01-01-01-001-001=10</v>
          </cell>
          <cell r="M28" t="str">
            <v>Nación</v>
          </cell>
          <cell r="N28" t="str">
            <v>10</v>
          </cell>
          <cell r="O28" t="str">
            <v>CSF</v>
          </cell>
          <cell r="P28" t="str">
            <v>SUELDO BÁSICO</v>
          </cell>
          <cell r="Q28">
            <v>54858000000</v>
          </cell>
          <cell r="R28">
            <v>0</v>
          </cell>
          <cell r="S28">
            <v>0</v>
          </cell>
          <cell r="T28">
            <v>54858000000</v>
          </cell>
          <cell r="U28">
            <v>0</v>
          </cell>
          <cell r="V28">
            <v>54858000000</v>
          </cell>
          <cell r="W28">
            <v>0</v>
          </cell>
          <cell r="X28">
            <v>48931483000</v>
          </cell>
          <cell r="Y28">
            <v>8471994648</v>
          </cell>
          <cell r="Z28">
            <v>8471994648</v>
          </cell>
          <cell r="AA28">
            <v>8471994648</v>
          </cell>
        </row>
        <row r="29">
          <cell r="L29" t="str">
            <v>A-01-01-01-001-002=10</v>
          </cell>
          <cell r="M29" t="str">
            <v>Nación</v>
          </cell>
          <cell r="N29" t="str">
            <v>10</v>
          </cell>
          <cell r="O29" t="str">
            <v>CSF</v>
          </cell>
          <cell r="P29" t="str">
            <v>GASTOS DE REPRESENTACIÓN</v>
          </cell>
          <cell r="Q29">
            <v>263000000</v>
          </cell>
          <cell r="R29">
            <v>0</v>
          </cell>
          <cell r="S29">
            <v>0</v>
          </cell>
          <cell r="T29">
            <v>263000000</v>
          </cell>
          <cell r="U29">
            <v>0</v>
          </cell>
          <cell r="V29">
            <v>263000000</v>
          </cell>
          <cell r="W29">
            <v>0</v>
          </cell>
          <cell r="X29">
            <v>263000000</v>
          </cell>
          <cell r="Y29">
            <v>43724808</v>
          </cell>
          <cell r="Z29">
            <v>43724808</v>
          </cell>
          <cell r="AA29">
            <v>43724808</v>
          </cell>
        </row>
        <row r="30">
          <cell r="L30" t="str">
            <v>A-01-01-01-001-003=10</v>
          </cell>
          <cell r="M30" t="str">
            <v>Nación</v>
          </cell>
          <cell r="N30" t="str">
            <v>10</v>
          </cell>
          <cell r="O30" t="str">
            <v>CSF</v>
          </cell>
          <cell r="P30" t="str">
            <v>PRIMA TÉCNICA SALARIAL</v>
          </cell>
          <cell r="Q30">
            <v>550000000</v>
          </cell>
          <cell r="R30">
            <v>0</v>
          </cell>
          <cell r="S30">
            <v>0</v>
          </cell>
          <cell r="T30">
            <v>550000000</v>
          </cell>
          <cell r="U30">
            <v>0</v>
          </cell>
          <cell r="V30">
            <v>550000000</v>
          </cell>
          <cell r="W30">
            <v>0</v>
          </cell>
          <cell r="X30">
            <v>494639000</v>
          </cell>
          <cell r="Y30">
            <v>85502643</v>
          </cell>
          <cell r="Z30">
            <v>85502643</v>
          </cell>
          <cell r="AA30">
            <v>85502643</v>
          </cell>
        </row>
        <row r="31">
          <cell r="L31" t="str">
            <v>A-01-01-01-001-004=10</v>
          </cell>
          <cell r="M31" t="str">
            <v>Nación</v>
          </cell>
          <cell r="N31" t="str">
            <v>10</v>
          </cell>
          <cell r="O31" t="str">
            <v>CSF</v>
          </cell>
          <cell r="P31" t="str">
            <v>SUBSIDIO DE ALIMENTACIÓN</v>
          </cell>
          <cell r="Q31">
            <v>100000000</v>
          </cell>
          <cell r="R31">
            <v>0</v>
          </cell>
          <cell r="S31">
            <v>0</v>
          </cell>
          <cell r="T31">
            <v>100000000</v>
          </cell>
          <cell r="U31">
            <v>0</v>
          </cell>
          <cell r="V31">
            <v>100000000</v>
          </cell>
          <cell r="W31">
            <v>0</v>
          </cell>
          <cell r="X31">
            <v>94700000</v>
          </cell>
          <cell r="Y31">
            <v>14350665</v>
          </cell>
          <cell r="Z31">
            <v>14350665</v>
          </cell>
          <cell r="AA31">
            <v>14350665</v>
          </cell>
        </row>
        <row r="32">
          <cell r="L32" t="str">
            <v>A-01-01-01-001-005=10</v>
          </cell>
          <cell r="M32" t="str">
            <v>Nación</v>
          </cell>
          <cell r="N32" t="str">
            <v>10</v>
          </cell>
          <cell r="O32" t="str">
            <v>CSF</v>
          </cell>
          <cell r="P32" t="str">
            <v xml:space="preserve">AUXILIO DE TRANSPORTE </v>
          </cell>
          <cell r="Q32">
            <v>98000000</v>
          </cell>
          <cell r="R32">
            <v>0</v>
          </cell>
          <cell r="S32">
            <v>0</v>
          </cell>
          <cell r="T32">
            <v>98000000</v>
          </cell>
          <cell r="U32">
            <v>0</v>
          </cell>
          <cell r="V32">
            <v>98000000</v>
          </cell>
          <cell r="W32">
            <v>0</v>
          </cell>
          <cell r="X32">
            <v>90000000</v>
          </cell>
          <cell r="Y32">
            <v>23474715</v>
          </cell>
          <cell r="Z32">
            <v>23474715</v>
          </cell>
          <cell r="AA32">
            <v>23474715</v>
          </cell>
        </row>
        <row r="33">
          <cell r="L33" t="str">
            <v>A-01-01-01-001-006=10</v>
          </cell>
          <cell r="M33" t="str">
            <v>Nación</v>
          </cell>
          <cell r="N33" t="str">
            <v>10</v>
          </cell>
          <cell r="O33" t="str">
            <v>CSF</v>
          </cell>
          <cell r="P33" t="str">
            <v>PRIMA DE SERVICIO</v>
          </cell>
          <cell r="Q33">
            <v>2500000000</v>
          </cell>
          <cell r="R33">
            <v>0</v>
          </cell>
          <cell r="S33">
            <v>0</v>
          </cell>
          <cell r="T33">
            <v>2500000000</v>
          </cell>
          <cell r="U33">
            <v>0</v>
          </cell>
          <cell r="V33">
            <v>2500000000</v>
          </cell>
          <cell r="W33">
            <v>0</v>
          </cell>
          <cell r="X33">
            <v>2242820000</v>
          </cell>
          <cell r="Y33">
            <v>12518048</v>
          </cell>
          <cell r="Z33">
            <v>12518048</v>
          </cell>
          <cell r="AA33">
            <v>12518048</v>
          </cell>
        </row>
        <row r="34">
          <cell r="L34" t="str">
            <v>A-01-01-01-001-007=10</v>
          </cell>
          <cell r="M34" t="str">
            <v>Nación</v>
          </cell>
          <cell r="N34" t="str">
            <v>10</v>
          </cell>
          <cell r="O34" t="str">
            <v>CSF</v>
          </cell>
          <cell r="P34" t="str">
            <v>BONIFICACIÓN POR SERVICIOS PRESTADOS</v>
          </cell>
          <cell r="Q34">
            <v>1800000000</v>
          </cell>
          <cell r="R34">
            <v>0</v>
          </cell>
          <cell r="S34">
            <v>0</v>
          </cell>
          <cell r="T34">
            <v>1800000000</v>
          </cell>
          <cell r="U34">
            <v>0</v>
          </cell>
          <cell r="V34">
            <v>1800000000</v>
          </cell>
          <cell r="W34">
            <v>0</v>
          </cell>
          <cell r="X34">
            <v>1622800000</v>
          </cell>
          <cell r="Y34">
            <v>296377109</v>
          </cell>
          <cell r="Z34">
            <v>296377109</v>
          </cell>
          <cell r="AA34">
            <v>296377109</v>
          </cell>
        </row>
        <row r="35">
          <cell r="L35" t="str">
            <v>A-01-01-01-001-008=10</v>
          </cell>
          <cell r="M35" t="str">
            <v>Nación</v>
          </cell>
          <cell r="N35" t="str">
            <v>10</v>
          </cell>
          <cell r="O35" t="str">
            <v>CSF</v>
          </cell>
          <cell r="P35" t="str">
            <v>HORAS EXTRAS, DOMINICALES, FESTIVOS Y RECARGOS</v>
          </cell>
          <cell r="Q35">
            <v>250000000</v>
          </cell>
          <cell r="R35">
            <v>0</v>
          </cell>
          <cell r="S35">
            <v>0</v>
          </cell>
          <cell r="T35">
            <v>250000000</v>
          </cell>
          <cell r="U35">
            <v>0</v>
          </cell>
          <cell r="V35">
            <v>250000000</v>
          </cell>
          <cell r="W35">
            <v>0</v>
          </cell>
          <cell r="X35">
            <v>250000000</v>
          </cell>
          <cell r="Y35">
            <v>10413481</v>
          </cell>
          <cell r="Z35">
            <v>10413481</v>
          </cell>
          <cell r="AA35">
            <v>10413481</v>
          </cell>
        </row>
        <row r="36">
          <cell r="L36" t="str">
            <v>A-01-01-01-001-009=10</v>
          </cell>
          <cell r="M36" t="str">
            <v>Nación</v>
          </cell>
          <cell r="N36" t="str">
            <v>10</v>
          </cell>
          <cell r="O36" t="str">
            <v>CSF</v>
          </cell>
          <cell r="P36" t="str">
            <v>PRIMA DE NAVIDAD</v>
          </cell>
          <cell r="Q36">
            <v>5000000000</v>
          </cell>
          <cell r="R36">
            <v>0</v>
          </cell>
          <cell r="S36">
            <v>0</v>
          </cell>
          <cell r="T36">
            <v>5000000000</v>
          </cell>
          <cell r="U36">
            <v>0</v>
          </cell>
          <cell r="V36">
            <v>5000000000</v>
          </cell>
          <cell r="W36">
            <v>0</v>
          </cell>
          <cell r="X36">
            <v>4441885000</v>
          </cell>
          <cell r="Y36">
            <v>4265269</v>
          </cell>
          <cell r="Z36">
            <v>4265269</v>
          </cell>
          <cell r="AA36">
            <v>4265269</v>
          </cell>
        </row>
        <row r="37">
          <cell r="L37" t="str">
            <v>A-01-01-01-001-010=10</v>
          </cell>
          <cell r="M37" t="str">
            <v>Nación</v>
          </cell>
          <cell r="N37" t="str">
            <v>10</v>
          </cell>
          <cell r="O37" t="str">
            <v>CSF</v>
          </cell>
          <cell r="P37" t="str">
            <v>PRIMA DE VACACIONES</v>
          </cell>
          <cell r="Q37">
            <v>2600000000</v>
          </cell>
          <cell r="R37">
            <v>0</v>
          </cell>
          <cell r="S37">
            <v>0</v>
          </cell>
          <cell r="T37">
            <v>2600000000</v>
          </cell>
          <cell r="U37">
            <v>0</v>
          </cell>
          <cell r="V37">
            <v>2600000000</v>
          </cell>
          <cell r="W37">
            <v>0</v>
          </cell>
          <cell r="X37">
            <v>2600000000</v>
          </cell>
          <cell r="Y37">
            <v>216261654</v>
          </cell>
          <cell r="Z37">
            <v>216261654</v>
          </cell>
          <cell r="AA37">
            <v>216261654</v>
          </cell>
        </row>
        <row r="38">
          <cell r="L38" t="str">
            <v>A-01-01-02-001=10</v>
          </cell>
          <cell r="M38" t="str">
            <v>Nación</v>
          </cell>
          <cell r="N38" t="str">
            <v>10</v>
          </cell>
          <cell r="O38" t="str">
            <v>CSF</v>
          </cell>
          <cell r="P38" t="str">
            <v>PENSIONES</v>
          </cell>
          <cell r="Q38">
            <v>7000000000</v>
          </cell>
          <cell r="R38">
            <v>0</v>
          </cell>
          <cell r="S38">
            <v>0</v>
          </cell>
          <cell r="T38">
            <v>7000000000</v>
          </cell>
          <cell r="U38">
            <v>0</v>
          </cell>
          <cell r="V38">
            <v>7000000000</v>
          </cell>
          <cell r="W38">
            <v>0</v>
          </cell>
          <cell r="X38">
            <v>6261000000</v>
          </cell>
          <cell r="Y38">
            <v>1166669400</v>
          </cell>
          <cell r="Z38">
            <v>1166669400</v>
          </cell>
          <cell r="AA38">
            <v>1166669400</v>
          </cell>
        </row>
        <row r="39">
          <cell r="L39" t="str">
            <v>A-01-01-02-002=10</v>
          </cell>
          <cell r="M39" t="str">
            <v>Nación</v>
          </cell>
          <cell r="N39" t="str">
            <v>10</v>
          </cell>
          <cell r="O39" t="str">
            <v>CSF</v>
          </cell>
          <cell r="P39" t="str">
            <v>SALUD</v>
          </cell>
          <cell r="Q39">
            <v>6000000000</v>
          </cell>
          <cell r="R39">
            <v>0</v>
          </cell>
          <cell r="S39">
            <v>0</v>
          </cell>
          <cell r="T39">
            <v>6000000000</v>
          </cell>
          <cell r="U39">
            <v>0</v>
          </cell>
          <cell r="V39">
            <v>6000000000</v>
          </cell>
          <cell r="W39">
            <v>0</v>
          </cell>
          <cell r="X39">
            <v>5476480000</v>
          </cell>
          <cell r="Y39">
            <v>828066400</v>
          </cell>
          <cell r="Z39">
            <v>828066400</v>
          </cell>
          <cell r="AA39">
            <v>828066400</v>
          </cell>
        </row>
        <row r="40">
          <cell r="L40" t="str">
            <v>A-01-01-02-003=10</v>
          </cell>
          <cell r="M40" t="str">
            <v>Nación</v>
          </cell>
          <cell r="N40" t="str">
            <v>10</v>
          </cell>
          <cell r="O40" t="str">
            <v>CSF</v>
          </cell>
          <cell r="P40" t="str">
            <v xml:space="preserve">AUXILIO DE CESANTÍAS </v>
          </cell>
          <cell r="Q40">
            <v>5555000000</v>
          </cell>
          <cell r="R40">
            <v>0</v>
          </cell>
          <cell r="S40">
            <v>0</v>
          </cell>
          <cell r="T40">
            <v>5555000000</v>
          </cell>
          <cell r="U40">
            <v>0</v>
          </cell>
          <cell r="V40">
            <v>5555000000</v>
          </cell>
          <cell r="W40">
            <v>0</v>
          </cell>
          <cell r="X40">
            <v>4950300000</v>
          </cell>
          <cell r="Y40">
            <v>771808313</v>
          </cell>
          <cell r="Z40">
            <v>771808313</v>
          </cell>
          <cell r="AA40">
            <v>771808313</v>
          </cell>
        </row>
        <row r="41">
          <cell r="L41" t="str">
            <v>A-01-01-02-004=10</v>
          </cell>
          <cell r="M41" t="str">
            <v>Nación</v>
          </cell>
          <cell r="N41" t="str">
            <v>10</v>
          </cell>
          <cell r="O41" t="str">
            <v>CSF</v>
          </cell>
          <cell r="P41" t="str">
            <v>CAJAS DE COMPENSACIÓN FAMILIAR</v>
          </cell>
          <cell r="Q41">
            <v>2500000000</v>
          </cell>
          <cell r="R41">
            <v>0</v>
          </cell>
          <cell r="S41">
            <v>0</v>
          </cell>
          <cell r="T41">
            <v>2500000000</v>
          </cell>
          <cell r="U41">
            <v>0</v>
          </cell>
          <cell r="V41">
            <v>2500000000</v>
          </cell>
          <cell r="W41">
            <v>0</v>
          </cell>
          <cell r="X41">
            <v>2243000000</v>
          </cell>
          <cell r="Y41">
            <v>370659200</v>
          </cell>
          <cell r="Z41">
            <v>370659200</v>
          </cell>
          <cell r="AA41">
            <v>370659200</v>
          </cell>
        </row>
        <row r="42">
          <cell r="L42" t="str">
            <v>A-01-01-02-005=10</v>
          </cell>
          <cell r="M42" t="str">
            <v>Nación</v>
          </cell>
          <cell r="N42" t="str">
            <v>10</v>
          </cell>
          <cell r="O42" t="str">
            <v>CSF</v>
          </cell>
          <cell r="P42" t="str">
            <v>APORTES GENERALES AL SISTEMA DE RIESGOS LABORALES</v>
          </cell>
          <cell r="Q42">
            <v>500000000</v>
          </cell>
          <cell r="R42">
            <v>0</v>
          </cell>
          <cell r="S42">
            <v>0</v>
          </cell>
          <cell r="T42">
            <v>500000000</v>
          </cell>
          <cell r="U42">
            <v>0</v>
          </cell>
          <cell r="V42">
            <v>500000000</v>
          </cell>
          <cell r="W42">
            <v>0</v>
          </cell>
          <cell r="X42">
            <v>467850000</v>
          </cell>
          <cell r="Y42">
            <v>80690100</v>
          </cell>
          <cell r="Z42">
            <v>80690100</v>
          </cell>
          <cell r="AA42">
            <v>80607300</v>
          </cell>
        </row>
        <row r="43">
          <cell r="L43" t="str">
            <v>A-01-01-02-006=10</v>
          </cell>
          <cell r="M43" t="str">
            <v>Nación</v>
          </cell>
          <cell r="N43" t="str">
            <v>10</v>
          </cell>
          <cell r="O43" t="str">
            <v>CSF</v>
          </cell>
          <cell r="P43" t="str">
            <v>APORTES AL ICBF</v>
          </cell>
          <cell r="Q43">
            <v>1890000000</v>
          </cell>
          <cell r="R43">
            <v>0</v>
          </cell>
          <cell r="S43">
            <v>0</v>
          </cell>
          <cell r="T43">
            <v>1890000000</v>
          </cell>
          <cell r="U43">
            <v>0</v>
          </cell>
          <cell r="V43">
            <v>1890000000</v>
          </cell>
          <cell r="W43">
            <v>0</v>
          </cell>
          <cell r="X43">
            <v>1697400000</v>
          </cell>
          <cell r="Y43">
            <v>278016400</v>
          </cell>
          <cell r="Z43">
            <v>278016400</v>
          </cell>
          <cell r="AA43">
            <v>278016400</v>
          </cell>
        </row>
        <row r="44">
          <cell r="L44" t="str">
            <v>A-01-01-02-007=10</v>
          </cell>
          <cell r="M44" t="str">
            <v>Nación</v>
          </cell>
          <cell r="N44" t="str">
            <v>10</v>
          </cell>
          <cell r="O44" t="str">
            <v>CSF</v>
          </cell>
          <cell r="P44" t="str">
            <v>APORTES AL SENA</v>
          </cell>
          <cell r="Q44">
            <v>320000000</v>
          </cell>
          <cell r="R44">
            <v>0</v>
          </cell>
          <cell r="S44">
            <v>0</v>
          </cell>
          <cell r="T44">
            <v>320000000</v>
          </cell>
          <cell r="U44">
            <v>0</v>
          </cell>
          <cell r="V44">
            <v>320000000</v>
          </cell>
          <cell r="W44">
            <v>0</v>
          </cell>
          <cell r="X44">
            <v>287880000</v>
          </cell>
          <cell r="Y44">
            <v>46399800</v>
          </cell>
          <cell r="Z44">
            <v>46399800</v>
          </cell>
          <cell r="AA44">
            <v>46399800</v>
          </cell>
        </row>
        <row r="45">
          <cell r="L45" t="str">
            <v>A-01-01-02-008=10</v>
          </cell>
          <cell r="M45" t="str">
            <v>Nación</v>
          </cell>
          <cell r="N45" t="str">
            <v>10</v>
          </cell>
          <cell r="O45" t="str">
            <v>CSF</v>
          </cell>
          <cell r="P45" t="str">
            <v>APORTES A LA ESAP</v>
          </cell>
          <cell r="Q45">
            <v>320000000</v>
          </cell>
          <cell r="R45">
            <v>0</v>
          </cell>
          <cell r="S45">
            <v>0</v>
          </cell>
          <cell r="T45">
            <v>320000000</v>
          </cell>
          <cell r="U45">
            <v>0</v>
          </cell>
          <cell r="V45">
            <v>320000000</v>
          </cell>
          <cell r="W45">
            <v>0</v>
          </cell>
          <cell r="X45">
            <v>287880000</v>
          </cell>
          <cell r="Y45">
            <v>46399800</v>
          </cell>
          <cell r="Z45">
            <v>46399800</v>
          </cell>
          <cell r="AA45">
            <v>46399800</v>
          </cell>
        </row>
        <row r="46">
          <cell r="L46" t="str">
            <v>A-01-01-02-009=10</v>
          </cell>
          <cell r="M46" t="str">
            <v>Nación</v>
          </cell>
          <cell r="N46" t="str">
            <v>10</v>
          </cell>
          <cell r="O46" t="str">
            <v>CSF</v>
          </cell>
          <cell r="P46" t="str">
            <v>APORTES A ESCUELAS INDUSTRIALES E INSTITUTOS TÉCNICOS</v>
          </cell>
          <cell r="Q46">
            <v>650000000</v>
          </cell>
          <cell r="R46">
            <v>0</v>
          </cell>
          <cell r="S46">
            <v>0</v>
          </cell>
          <cell r="T46">
            <v>650000000</v>
          </cell>
          <cell r="U46">
            <v>0</v>
          </cell>
          <cell r="V46">
            <v>650000000</v>
          </cell>
          <cell r="W46">
            <v>0</v>
          </cell>
          <cell r="X46">
            <v>585758000</v>
          </cell>
          <cell r="Y46">
            <v>92734800</v>
          </cell>
          <cell r="Z46">
            <v>92734800</v>
          </cell>
          <cell r="AA46">
            <v>92734800</v>
          </cell>
        </row>
        <row r="47">
          <cell r="L47" t="str">
            <v>A-01-01-03-001-001=10</v>
          </cell>
          <cell r="M47" t="str">
            <v>Nación</v>
          </cell>
          <cell r="N47" t="str">
            <v>10</v>
          </cell>
          <cell r="O47" t="str">
            <v>CSF</v>
          </cell>
          <cell r="P47" t="str">
            <v>SUELDO DE VACACIONES</v>
          </cell>
          <cell r="Q47">
            <v>2580000000</v>
          </cell>
          <cell r="R47">
            <v>0</v>
          </cell>
          <cell r="S47">
            <v>0</v>
          </cell>
          <cell r="T47">
            <v>2580000000</v>
          </cell>
          <cell r="U47">
            <v>0</v>
          </cell>
          <cell r="V47">
            <v>2580000000</v>
          </cell>
          <cell r="W47">
            <v>0</v>
          </cell>
          <cell r="X47">
            <v>2580000000</v>
          </cell>
          <cell r="Y47">
            <v>256055248</v>
          </cell>
          <cell r="Z47">
            <v>256055248</v>
          </cell>
          <cell r="AA47">
            <v>256055248</v>
          </cell>
        </row>
        <row r="48">
          <cell r="L48" t="str">
            <v>A-01-01-03-001-002=10</v>
          </cell>
          <cell r="M48" t="str">
            <v>Nación</v>
          </cell>
          <cell r="N48" t="str">
            <v>10</v>
          </cell>
          <cell r="O48" t="str">
            <v>CSF</v>
          </cell>
          <cell r="P48" t="str">
            <v>INDEMNIZACIÓN POR VACACIONES</v>
          </cell>
          <cell r="Q48">
            <v>500000000</v>
          </cell>
          <cell r="R48">
            <v>0</v>
          </cell>
          <cell r="S48">
            <v>0</v>
          </cell>
          <cell r="T48">
            <v>500000000</v>
          </cell>
          <cell r="U48">
            <v>0</v>
          </cell>
          <cell r="V48">
            <v>500000000</v>
          </cell>
          <cell r="W48">
            <v>0</v>
          </cell>
          <cell r="X48">
            <v>500000000</v>
          </cell>
          <cell r="Y48">
            <v>54543184</v>
          </cell>
          <cell r="Z48">
            <v>54543184</v>
          </cell>
          <cell r="AA48">
            <v>54543184</v>
          </cell>
        </row>
        <row r="49">
          <cell r="L49" t="str">
            <v>A-01-01-03-001-003=10</v>
          </cell>
          <cell r="M49" t="str">
            <v>Nación</v>
          </cell>
          <cell r="N49" t="str">
            <v>10</v>
          </cell>
          <cell r="O49" t="str">
            <v>CSF</v>
          </cell>
          <cell r="P49" t="str">
            <v>BONIFICACIÓN ESPECIAL DE RECREACIÓN</v>
          </cell>
          <cell r="Q49">
            <v>320000000</v>
          </cell>
          <cell r="R49">
            <v>0</v>
          </cell>
          <cell r="S49">
            <v>0</v>
          </cell>
          <cell r="T49">
            <v>320000000</v>
          </cell>
          <cell r="U49">
            <v>0</v>
          </cell>
          <cell r="V49">
            <v>320000000</v>
          </cell>
          <cell r="W49">
            <v>0</v>
          </cell>
          <cell r="X49">
            <v>320000000</v>
          </cell>
          <cell r="Y49">
            <v>26631836</v>
          </cell>
          <cell r="Z49">
            <v>26631836</v>
          </cell>
          <cell r="AA49">
            <v>26631836</v>
          </cell>
        </row>
        <row r="50">
          <cell r="L50" t="str">
            <v>A-01-01-03-002=10</v>
          </cell>
          <cell r="M50" t="str">
            <v>Nación</v>
          </cell>
          <cell r="N50" t="str">
            <v>10</v>
          </cell>
          <cell r="O50" t="str">
            <v>CSF</v>
          </cell>
          <cell r="P50" t="str">
            <v>PRIMA TÉCNICA NO SALARIAL</v>
          </cell>
          <cell r="Q50">
            <v>2160000000</v>
          </cell>
          <cell r="R50">
            <v>0</v>
          </cell>
          <cell r="S50">
            <v>0</v>
          </cell>
          <cell r="T50">
            <v>2160000000</v>
          </cell>
          <cell r="U50">
            <v>0</v>
          </cell>
          <cell r="V50">
            <v>2160000000</v>
          </cell>
          <cell r="W50">
            <v>0</v>
          </cell>
          <cell r="X50">
            <v>1681079000</v>
          </cell>
          <cell r="Y50">
            <v>339522871</v>
          </cell>
          <cell r="Z50">
            <v>339522871</v>
          </cell>
          <cell r="AA50">
            <v>339522871</v>
          </cell>
        </row>
        <row r="51">
          <cell r="L51" t="str">
            <v>A-01-01-03-005=10</v>
          </cell>
          <cell r="M51" t="str">
            <v>Nación</v>
          </cell>
          <cell r="N51" t="str">
            <v>10</v>
          </cell>
          <cell r="O51" t="str">
            <v>CSF</v>
          </cell>
          <cell r="P51" t="str">
            <v>PRIMA DE RIESGO</v>
          </cell>
          <cell r="Q51">
            <v>24000000</v>
          </cell>
          <cell r="R51">
            <v>0</v>
          </cell>
          <cell r="S51">
            <v>0</v>
          </cell>
          <cell r="T51">
            <v>24000000</v>
          </cell>
          <cell r="U51">
            <v>0</v>
          </cell>
          <cell r="V51">
            <v>24000000</v>
          </cell>
          <cell r="W51">
            <v>0</v>
          </cell>
          <cell r="X51">
            <v>24000000</v>
          </cell>
          <cell r="Y51">
            <v>662958</v>
          </cell>
          <cell r="Z51">
            <v>662958</v>
          </cell>
          <cell r="AA51">
            <v>662958</v>
          </cell>
        </row>
        <row r="52">
          <cell r="L52" t="str">
            <v>A-01-01-03-013=10</v>
          </cell>
          <cell r="M52" t="str">
            <v>Nación</v>
          </cell>
          <cell r="N52" t="str">
            <v>10</v>
          </cell>
          <cell r="O52" t="str">
            <v>CSF</v>
          </cell>
          <cell r="P52" t="str">
            <v>ESTÍMULOS A LOS EMPLEADOS DEL ESTADO</v>
          </cell>
          <cell r="Q52">
            <v>30000000</v>
          </cell>
          <cell r="R52">
            <v>0</v>
          </cell>
          <cell r="S52">
            <v>0</v>
          </cell>
          <cell r="T52">
            <v>30000000</v>
          </cell>
          <cell r="U52">
            <v>0</v>
          </cell>
          <cell r="V52">
            <v>0</v>
          </cell>
          <cell r="W52">
            <v>30000000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L53" t="str">
            <v>A-01-01-03-016=10</v>
          </cell>
          <cell r="M53" t="str">
            <v>Nación</v>
          </cell>
          <cell r="N53" t="str">
            <v>10</v>
          </cell>
          <cell r="O53" t="str">
            <v>CSF</v>
          </cell>
          <cell r="P53" t="str">
            <v>PRIMA DE COORDINACIÓN</v>
          </cell>
          <cell r="Q53">
            <v>770000000</v>
          </cell>
          <cell r="R53">
            <v>0</v>
          </cell>
          <cell r="S53">
            <v>0</v>
          </cell>
          <cell r="T53">
            <v>770000000</v>
          </cell>
          <cell r="U53">
            <v>0</v>
          </cell>
          <cell r="V53">
            <v>770000000</v>
          </cell>
          <cell r="W53">
            <v>0</v>
          </cell>
          <cell r="X53">
            <v>770000000</v>
          </cell>
          <cell r="Y53">
            <v>131314623</v>
          </cell>
          <cell r="Z53">
            <v>131314623</v>
          </cell>
          <cell r="AA53">
            <v>131314623</v>
          </cell>
        </row>
        <row r="54">
          <cell r="L54" t="str">
            <v>A-01-01-03-030=10</v>
          </cell>
          <cell r="M54" t="str">
            <v>Nación</v>
          </cell>
          <cell r="N54" t="str">
            <v>10</v>
          </cell>
          <cell r="O54" t="str">
            <v>CSF</v>
          </cell>
          <cell r="P54" t="str">
            <v>BONIFICACIÓN DE DIRECCIÓN</v>
          </cell>
          <cell r="Q54">
            <v>600000000</v>
          </cell>
          <cell r="R54">
            <v>0</v>
          </cell>
          <cell r="S54">
            <v>0</v>
          </cell>
          <cell r="T54">
            <v>600000000</v>
          </cell>
          <cell r="U54">
            <v>0</v>
          </cell>
          <cell r="V54">
            <v>600000000</v>
          </cell>
          <cell r="W54">
            <v>0</v>
          </cell>
          <cell r="X54">
            <v>600000000</v>
          </cell>
          <cell r="Y54">
            <v>5467722</v>
          </cell>
          <cell r="Z54">
            <v>5467722</v>
          </cell>
          <cell r="AA54">
            <v>5467722</v>
          </cell>
        </row>
        <row r="55">
          <cell r="L55" t="str">
            <v>A-02-02-01-001-005=10</v>
          </cell>
          <cell r="M55" t="str">
            <v>Nación</v>
          </cell>
          <cell r="N55" t="str">
            <v>10</v>
          </cell>
          <cell r="O55" t="str">
            <v>CSF</v>
          </cell>
          <cell r="P55" t="str">
            <v>PIEDRA, ARENA Y ARCILLA</v>
          </cell>
          <cell r="Q55">
            <v>51000000</v>
          </cell>
          <cell r="R55">
            <v>0</v>
          </cell>
          <cell r="S55">
            <v>0</v>
          </cell>
          <cell r="T55">
            <v>51000000</v>
          </cell>
          <cell r="U55">
            <v>0</v>
          </cell>
          <cell r="V55">
            <v>35000000</v>
          </cell>
          <cell r="W55">
            <v>16000000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L56" t="str">
            <v>A-02-02-01-001-007=10</v>
          </cell>
          <cell r="M56" t="str">
            <v>Nación</v>
          </cell>
          <cell r="N56" t="str">
            <v>10</v>
          </cell>
          <cell r="O56" t="str">
            <v>CSF</v>
          </cell>
          <cell r="P56" t="str">
            <v>ELECTRICIDAD, GAS DE CIUDAD, VAPOR Y AGUA CALIENTE</v>
          </cell>
          <cell r="Q56">
            <v>18000000</v>
          </cell>
          <cell r="R56">
            <v>0</v>
          </cell>
          <cell r="S56">
            <v>0</v>
          </cell>
          <cell r="T56">
            <v>18000000</v>
          </cell>
          <cell r="U56">
            <v>0</v>
          </cell>
          <cell r="V56">
            <v>0</v>
          </cell>
          <cell r="W56">
            <v>18000000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L57" t="str">
            <v>A-02-02-01-002-008=10</v>
          </cell>
          <cell r="M57" t="str">
            <v>Nación</v>
          </cell>
          <cell r="N57" t="str">
            <v>10</v>
          </cell>
          <cell r="O57" t="str">
            <v>CSF</v>
          </cell>
          <cell r="P57" t="str">
            <v>DOTACIÓN (PRENDAS DE VESTIR Y CALZADO)</v>
          </cell>
          <cell r="Q57">
            <v>140000000</v>
          </cell>
          <cell r="R57">
            <v>0</v>
          </cell>
          <cell r="S57">
            <v>0</v>
          </cell>
          <cell r="T57">
            <v>140000000</v>
          </cell>
          <cell r="U57">
            <v>0</v>
          </cell>
          <cell r="V57">
            <v>0</v>
          </cell>
          <cell r="W57">
            <v>140000000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L58" t="str">
            <v>A-02-02-01-003-002=10</v>
          </cell>
          <cell r="M58" t="str">
            <v>Nación</v>
          </cell>
          <cell r="N58" t="str">
            <v>10</v>
          </cell>
          <cell r="O58" t="str">
            <v>CSF</v>
          </cell>
          <cell r="P58" t="str">
            <v>PASTA O PULPA, PAPEL Y PRODUCTOS DE PAPEL; IMPRESOS Y ARTÍCULOS RELACIONADOS</v>
          </cell>
          <cell r="Q58">
            <v>106000000</v>
          </cell>
          <cell r="R58">
            <v>0</v>
          </cell>
          <cell r="S58">
            <v>0</v>
          </cell>
          <cell r="T58">
            <v>106000000</v>
          </cell>
          <cell r="U58">
            <v>0</v>
          </cell>
          <cell r="V58">
            <v>6000000</v>
          </cell>
          <cell r="W58">
            <v>100000000</v>
          </cell>
          <cell r="X58">
            <v>500000</v>
          </cell>
          <cell r="Y58">
            <v>500000</v>
          </cell>
          <cell r="Z58">
            <v>500000</v>
          </cell>
          <cell r="AA58">
            <v>500000</v>
          </cell>
        </row>
        <row r="59">
          <cell r="L59" t="str">
            <v>A-02-02-01-003-003=10</v>
          </cell>
          <cell r="M59" t="str">
            <v>Nación</v>
          </cell>
          <cell r="N59" t="str">
            <v>10</v>
          </cell>
          <cell r="O59" t="str">
            <v>CSF</v>
          </cell>
          <cell r="P59" t="str">
            <v>PRODUCTOS DE HORNOS DE COQUE; PRODUCTOS DE REFINACIÓN DE PETRÓLEO Y COMBUSTIBLE NUCLEAR</v>
          </cell>
          <cell r="Q59">
            <v>107264202</v>
          </cell>
          <cell r="R59">
            <v>0</v>
          </cell>
          <cell r="S59">
            <v>0</v>
          </cell>
          <cell r="T59">
            <v>107264202</v>
          </cell>
          <cell r="U59">
            <v>0</v>
          </cell>
          <cell r="V59">
            <v>98064202</v>
          </cell>
          <cell r="W59">
            <v>9200000</v>
          </cell>
          <cell r="X59">
            <v>98064202</v>
          </cell>
          <cell r="Y59">
            <v>5097149</v>
          </cell>
          <cell r="Z59">
            <v>5097149</v>
          </cell>
          <cell r="AA59">
            <v>5097149</v>
          </cell>
        </row>
        <row r="60">
          <cell r="L60" t="str">
            <v>A-02-02-01-003-005=10</v>
          </cell>
          <cell r="M60" t="str">
            <v>Nación</v>
          </cell>
          <cell r="N60" t="str">
            <v>10</v>
          </cell>
          <cell r="O60" t="str">
            <v>CSF</v>
          </cell>
          <cell r="P60" t="str">
            <v>OTROS PRODUCTOS QUÍMICOS; FIBRAS ARTIFICIALES (O FIBRAS INDUSTRIALES HECHAS POR EL HOMBRE)</v>
          </cell>
          <cell r="Q60">
            <v>6000000</v>
          </cell>
          <cell r="R60">
            <v>0</v>
          </cell>
          <cell r="S60">
            <v>0</v>
          </cell>
          <cell r="T60">
            <v>6000000</v>
          </cell>
          <cell r="U60">
            <v>0</v>
          </cell>
          <cell r="V60">
            <v>6000000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L61" t="str">
            <v>A-02-02-01-003-006=10</v>
          </cell>
          <cell r="M61" t="str">
            <v>Nación</v>
          </cell>
          <cell r="N61" t="str">
            <v>10</v>
          </cell>
          <cell r="O61" t="str">
            <v>CSF</v>
          </cell>
          <cell r="P61" t="str">
            <v>PRODUCTOS DE CAUCHO Y PLÁSTICO</v>
          </cell>
          <cell r="Q61">
            <v>18000000</v>
          </cell>
          <cell r="R61">
            <v>0</v>
          </cell>
          <cell r="S61">
            <v>0</v>
          </cell>
          <cell r="T61">
            <v>18000000</v>
          </cell>
          <cell r="U61">
            <v>0</v>
          </cell>
          <cell r="V61">
            <v>16000000</v>
          </cell>
          <cell r="W61">
            <v>2000000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L62" t="str">
            <v>A-02-02-01-003-007=10</v>
          </cell>
          <cell r="M62" t="str">
            <v>Nación</v>
          </cell>
          <cell r="N62" t="str">
            <v>10</v>
          </cell>
          <cell r="O62" t="str">
            <v>CSF</v>
          </cell>
          <cell r="P62" t="str">
            <v>VIDRIO Y PRODUCTOS DE VIDRIO Y OTROS PRODUCTOS NO METÁLICOS N.C.P.</v>
          </cell>
          <cell r="Q62">
            <v>8000000</v>
          </cell>
          <cell r="R62">
            <v>0</v>
          </cell>
          <cell r="S62">
            <v>0</v>
          </cell>
          <cell r="T62">
            <v>8000000</v>
          </cell>
          <cell r="U62">
            <v>0</v>
          </cell>
          <cell r="V62">
            <v>0</v>
          </cell>
          <cell r="W62">
            <v>8000000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L63" t="str">
            <v>A-02-02-01-003-008=10</v>
          </cell>
          <cell r="M63" t="str">
            <v>Nación</v>
          </cell>
          <cell r="N63" t="str">
            <v>10</v>
          </cell>
          <cell r="O63" t="str">
            <v>CSF</v>
          </cell>
          <cell r="P63" t="str">
            <v>OTROS BIENES TRANSPORTABLES N.C.P.</v>
          </cell>
          <cell r="Q63">
            <v>110000000</v>
          </cell>
          <cell r="R63">
            <v>0</v>
          </cell>
          <cell r="S63">
            <v>0</v>
          </cell>
          <cell r="T63">
            <v>110000000</v>
          </cell>
          <cell r="U63">
            <v>0</v>
          </cell>
          <cell r="V63">
            <v>102992969</v>
          </cell>
          <cell r="W63">
            <v>7007031</v>
          </cell>
          <cell r="X63">
            <v>500000</v>
          </cell>
          <cell r="Y63">
            <v>500000</v>
          </cell>
          <cell r="Z63">
            <v>500000</v>
          </cell>
          <cell r="AA63">
            <v>500000</v>
          </cell>
        </row>
        <row r="64">
          <cell r="L64" t="str">
            <v>A-02-02-01-004-002=10</v>
          </cell>
          <cell r="M64" t="str">
            <v>Nación</v>
          </cell>
          <cell r="N64" t="str">
            <v>10</v>
          </cell>
          <cell r="O64" t="str">
            <v>CSF</v>
          </cell>
          <cell r="P64" t="str">
            <v>PRODUCTOS METÁLICOS ELABORADOS (EXCEPTO MAQUINARIA Y EQUIPO)</v>
          </cell>
          <cell r="Q64">
            <v>37000000</v>
          </cell>
          <cell r="R64">
            <v>0</v>
          </cell>
          <cell r="S64">
            <v>0</v>
          </cell>
          <cell r="T64">
            <v>37000000</v>
          </cell>
          <cell r="U64">
            <v>0</v>
          </cell>
          <cell r="V64">
            <v>20000000</v>
          </cell>
          <cell r="W64">
            <v>17000000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L65" t="str">
            <v>A-02-02-01-004-005=10</v>
          </cell>
          <cell r="M65" t="str">
            <v>Nación</v>
          </cell>
          <cell r="N65" t="str">
            <v>10</v>
          </cell>
          <cell r="O65" t="str">
            <v>CSF</v>
          </cell>
          <cell r="P65" t="str">
            <v>MAQUINARIA DE OFICINA, CONTABILIDAD E INFORMÁTICA</v>
          </cell>
          <cell r="Q65">
            <v>0</v>
          </cell>
          <cell r="R65">
            <v>82000000</v>
          </cell>
          <cell r="S65">
            <v>0</v>
          </cell>
          <cell r="T65">
            <v>82000000</v>
          </cell>
          <cell r="U65">
            <v>0</v>
          </cell>
          <cell r="V65">
            <v>0</v>
          </cell>
          <cell r="W65">
            <v>82000000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L66" t="str">
            <v>A-02-02-01-004-006=10</v>
          </cell>
          <cell r="M66" t="str">
            <v>Nación</v>
          </cell>
          <cell r="N66" t="str">
            <v>10</v>
          </cell>
          <cell r="O66" t="str">
            <v>CSF</v>
          </cell>
          <cell r="P66" t="str">
            <v>MAQUINARIA Y APARATOS ELÉCTRICOS</v>
          </cell>
          <cell r="Q66">
            <v>0</v>
          </cell>
          <cell r="R66">
            <v>30000000</v>
          </cell>
          <cell r="S66">
            <v>0</v>
          </cell>
          <cell r="T66">
            <v>30000000</v>
          </cell>
          <cell r="U66">
            <v>0</v>
          </cell>
          <cell r="V66">
            <v>0</v>
          </cell>
          <cell r="W66">
            <v>30000000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L67" t="str">
            <v>A-02-02-01-004-007=10</v>
          </cell>
          <cell r="M67" t="str">
            <v>Nación</v>
          </cell>
          <cell r="N67" t="str">
            <v>10</v>
          </cell>
          <cell r="O67" t="str">
            <v>CSF</v>
          </cell>
          <cell r="P67" t="str">
            <v>EQUIPO Y APARATOS DE RADIO, TELEVISIÓN Y COMUNICACIONES</v>
          </cell>
          <cell r="Q67">
            <v>261000000</v>
          </cell>
          <cell r="R67">
            <v>0</v>
          </cell>
          <cell r="S67">
            <v>112000000</v>
          </cell>
          <cell r="T67">
            <v>149000000</v>
          </cell>
          <cell r="U67">
            <v>0</v>
          </cell>
          <cell r="V67">
            <v>51633241</v>
          </cell>
          <cell r="W67">
            <v>97366759</v>
          </cell>
          <cell r="X67">
            <v>49699676.460000001</v>
          </cell>
          <cell r="Y67">
            <v>0</v>
          </cell>
          <cell r="Z67">
            <v>0</v>
          </cell>
          <cell r="AA67">
            <v>0</v>
          </cell>
        </row>
        <row r="68">
          <cell r="L68" t="str">
            <v>A-02-02-02-006-003=10</v>
          </cell>
          <cell r="M68" t="str">
            <v>Nación</v>
          </cell>
          <cell r="N68" t="str">
            <v>10</v>
          </cell>
          <cell r="O68" t="str">
            <v>CSF</v>
          </cell>
          <cell r="P68" t="str">
            <v>ALOJAMIENTO; SERVICIOS DE SUMINISTROS DE COMIDAS Y BEBIDAS</v>
          </cell>
          <cell r="Q68">
            <v>12000000</v>
          </cell>
          <cell r="R68">
            <v>0</v>
          </cell>
          <cell r="S68">
            <v>0</v>
          </cell>
          <cell r="T68">
            <v>12000000</v>
          </cell>
          <cell r="U68">
            <v>0</v>
          </cell>
          <cell r="V68">
            <v>12000000</v>
          </cell>
          <cell r="W68">
            <v>0</v>
          </cell>
          <cell r="X68">
            <v>2000000</v>
          </cell>
          <cell r="Y68">
            <v>2000000</v>
          </cell>
          <cell r="Z68">
            <v>2000000</v>
          </cell>
          <cell r="AA68">
            <v>2000000</v>
          </cell>
        </row>
        <row r="69">
          <cell r="L69" t="str">
            <v>A-02-02-02-006-004=10</v>
          </cell>
          <cell r="M69" t="str">
            <v>Nación</v>
          </cell>
          <cell r="N69" t="str">
            <v>10</v>
          </cell>
          <cell r="O69" t="str">
            <v>CSF</v>
          </cell>
          <cell r="P69" t="str">
            <v>SERVICIOS DE TRANSPORTE DE PASAJEROS</v>
          </cell>
          <cell r="Q69">
            <v>4851925294</v>
          </cell>
          <cell r="R69">
            <v>2400000</v>
          </cell>
          <cell r="S69">
            <v>0</v>
          </cell>
          <cell r="T69">
            <v>4854325294</v>
          </cell>
          <cell r="U69">
            <v>0</v>
          </cell>
          <cell r="V69">
            <v>3054405353</v>
          </cell>
          <cell r="W69">
            <v>1799919941</v>
          </cell>
          <cell r="X69">
            <v>1691763232</v>
          </cell>
          <cell r="Y69">
            <v>434366532</v>
          </cell>
          <cell r="Z69">
            <v>434366532</v>
          </cell>
          <cell r="AA69">
            <v>434366532</v>
          </cell>
        </row>
        <row r="70">
          <cell r="L70" t="str">
            <v>A-02-02-02-006-005=10</v>
          </cell>
          <cell r="M70" t="str">
            <v>Nación</v>
          </cell>
          <cell r="N70" t="str">
            <v>10</v>
          </cell>
          <cell r="O70" t="str">
            <v>CSF</v>
          </cell>
          <cell r="P70" t="str">
            <v>SERVICIOS DE TRANSPORTE DE CARGA</v>
          </cell>
          <cell r="Q70">
            <v>100000000</v>
          </cell>
          <cell r="R70">
            <v>7600000</v>
          </cell>
          <cell r="S70">
            <v>0</v>
          </cell>
          <cell r="T70">
            <v>107600000</v>
          </cell>
          <cell r="U70">
            <v>0</v>
          </cell>
          <cell r="V70">
            <v>94600000</v>
          </cell>
          <cell r="W70">
            <v>13000000</v>
          </cell>
          <cell r="X70">
            <v>3000000</v>
          </cell>
          <cell r="Y70">
            <v>1500000</v>
          </cell>
          <cell r="Z70">
            <v>1500000</v>
          </cell>
          <cell r="AA70">
            <v>0</v>
          </cell>
        </row>
        <row r="71">
          <cell r="L71" t="str">
            <v>A-02-02-02-006-006=10</v>
          </cell>
          <cell r="M71" t="str">
            <v>Nación</v>
          </cell>
          <cell r="N71" t="str">
            <v>10</v>
          </cell>
          <cell r="O71" t="str">
            <v>CSF</v>
          </cell>
          <cell r="P71" t="str">
            <v>SERVICIOS DE ALQUILER DE VEHÍCULOS DE TRANSPORTE CON OPERARIO</v>
          </cell>
          <cell r="Q71">
            <v>10000000</v>
          </cell>
          <cell r="R71">
            <v>0</v>
          </cell>
          <cell r="S71">
            <v>10000000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L72" t="str">
            <v>A-02-02-02-006-008=10</v>
          </cell>
          <cell r="M72" t="str">
            <v>Nación</v>
          </cell>
          <cell r="N72" t="str">
            <v>10</v>
          </cell>
          <cell r="O72" t="str">
            <v>CSF</v>
          </cell>
          <cell r="P72" t="str">
            <v>SERVICIOS POSTALES Y DE MENSAJERÍA</v>
          </cell>
          <cell r="Q72">
            <v>2053178180</v>
          </cell>
          <cell r="R72">
            <v>0</v>
          </cell>
          <cell r="S72">
            <v>0</v>
          </cell>
          <cell r="T72">
            <v>2053178180</v>
          </cell>
          <cell r="U72">
            <v>0</v>
          </cell>
          <cell r="V72">
            <v>1853178180</v>
          </cell>
          <cell r="W72">
            <v>200000000</v>
          </cell>
          <cell r="X72">
            <v>1847178180</v>
          </cell>
          <cell r="Y72">
            <v>172926456</v>
          </cell>
          <cell r="Z72">
            <v>172926456</v>
          </cell>
          <cell r="AA72">
            <v>172926456</v>
          </cell>
        </row>
        <row r="73">
          <cell r="L73" t="str">
            <v>A-02-02-02-006-009=10</v>
          </cell>
          <cell r="M73" t="str">
            <v>Nación</v>
          </cell>
          <cell r="N73" t="str">
            <v>10</v>
          </cell>
          <cell r="O73" t="str">
            <v>CSF</v>
          </cell>
          <cell r="P73" t="str">
            <v>SERVICIOS DE DISTRIBUCIÓN DE ELECTRICIDAD, GAS Y AGUA (POR CUENTA PROPIA)</v>
          </cell>
          <cell r="Q73">
            <v>730060000</v>
          </cell>
          <cell r="R73">
            <v>0</v>
          </cell>
          <cell r="S73">
            <v>0</v>
          </cell>
          <cell r="T73">
            <v>730060000</v>
          </cell>
          <cell r="U73">
            <v>0</v>
          </cell>
          <cell r="V73">
            <v>730060000</v>
          </cell>
          <cell r="W73">
            <v>0</v>
          </cell>
          <cell r="X73">
            <v>108216992.45999999</v>
          </cell>
          <cell r="Y73">
            <v>108216992.45999999</v>
          </cell>
          <cell r="Z73">
            <v>108216992.45999999</v>
          </cell>
          <cell r="AA73">
            <v>105759581.39</v>
          </cell>
        </row>
        <row r="74">
          <cell r="L74" t="str">
            <v>A-02-02-02-007-001=10</v>
          </cell>
          <cell r="M74" t="str">
            <v>Nación</v>
          </cell>
          <cell r="N74" t="str">
            <v>10</v>
          </cell>
          <cell r="O74" t="str">
            <v>CSF</v>
          </cell>
          <cell r="P74" t="str">
            <v>SERVICIOS FINANCIEROS Y SERVICIOS CONEXOS</v>
          </cell>
          <cell r="Q74">
            <v>25000000</v>
          </cell>
          <cell r="R74">
            <v>0</v>
          </cell>
          <cell r="S74">
            <v>0</v>
          </cell>
          <cell r="T74">
            <v>25000000</v>
          </cell>
          <cell r="U74">
            <v>0</v>
          </cell>
          <cell r="V74">
            <v>8540850</v>
          </cell>
          <cell r="W74">
            <v>16459150</v>
          </cell>
          <cell r="X74">
            <v>8409000</v>
          </cell>
          <cell r="Y74">
            <v>0</v>
          </cell>
          <cell r="Z74">
            <v>0</v>
          </cell>
          <cell r="AA74">
            <v>0</v>
          </cell>
        </row>
        <row r="75">
          <cell r="L75" t="str">
            <v>A-02-02-02-007-002=10</v>
          </cell>
          <cell r="M75" t="str">
            <v>Nación</v>
          </cell>
          <cell r="N75" t="str">
            <v>10</v>
          </cell>
          <cell r="O75" t="str">
            <v>CSF</v>
          </cell>
          <cell r="P75" t="str">
            <v>SERVICIOS INMOBILIARIOS</v>
          </cell>
          <cell r="Q75">
            <v>12745333207</v>
          </cell>
          <cell r="R75">
            <v>0</v>
          </cell>
          <cell r="S75">
            <v>0</v>
          </cell>
          <cell r="T75">
            <v>12745333207</v>
          </cell>
          <cell r="U75">
            <v>0</v>
          </cell>
          <cell r="V75">
            <v>10950672906</v>
          </cell>
          <cell r="W75">
            <v>1794660301</v>
          </cell>
          <cell r="X75">
            <v>10905139266</v>
          </cell>
          <cell r="Y75">
            <v>2331173106</v>
          </cell>
          <cell r="Z75">
            <v>2331173106</v>
          </cell>
          <cell r="AA75">
            <v>2318845940</v>
          </cell>
        </row>
        <row r="76">
          <cell r="L76" t="str">
            <v>A-02-02-02-008-002=10</v>
          </cell>
          <cell r="M76" t="str">
            <v>Nación</v>
          </cell>
          <cell r="N76" t="str">
            <v>10</v>
          </cell>
          <cell r="O76" t="str">
            <v>CSF</v>
          </cell>
          <cell r="P76" t="str">
            <v>SERVICIOS JURÍDICOS Y CONTABLES</v>
          </cell>
          <cell r="Q76">
            <v>172000000</v>
          </cell>
          <cell r="R76">
            <v>0</v>
          </cell>
          <cell r="S76">
            <v>0</v>
          </cell>
          <cell r="T76">
            <v>172000000</v>
          </cell>
          <cell r="U76">
            <v>0</v>
          </cell>
          <cell r="V76">
            <v>50970821</v>
          </cell>
          <cell r="W76">
            <v>121029179</v>
          </cell>
          <cell r="X76">
            <v>21756280</v>
          </cell>
          <cell r="Y76">
            <v>0</v>
          </cell>
          <cell r="Z76">
            <v>0</v>
          </cell>
          <cell r="AA76">
            <v>0</v>
          </cell>
        </row>
        <row r="77">
          <cell r="L77" t="str">
            <v>A-02-02-02-008-003=10</v>
          </cell>
          <cell r="M77" t="str">
            <v>Nación</v>
          </cell>
          <cell r="N77" t="str">
            <v>10</v>
          </cell>
          <cell r="O77" t="str">
            <v>CSF</v>
          </cell>
          <cell r="P77" t="str">
            <v>OTROS SERVICIOS PROFESIONALES, CIENTÍFICOS Y TÉCNICOS</v>
          </cell>
          <cell r="Q77">
            <v>9548931993</v>
          </cell>
          <cell r="R77">
            <v>0</v>
          </cell>
          <cell r="S77">
            <v>3000000</v>
          </cell>
          <cell r="T77">
            <v>9545931993</v>
          </cell>
          <cell r="U77">
            <v>0</v>
          </cell>
          <cell r="V77">
            <v>7657135135</v>
          </cell>
          <cell r="W77">
            <v>1888796858</v>
          </cell>
          <cell r="X77">
            <v>7106852550</v>
          </cell>
          <cell r="Y77">
            <v>232116184</v>
          </cell>
          <cell r="Z77">
            <v>232116184</v>
          </cell>
          <cell r="AA77">
            <v>232116184</v>
          </cell>
        </row>
        <row r="78">
          <cell r="L78" t="str">
            <v>A-02-02-02-008-004=10</v>
          </cell>
          <cell r="M78" t="str">
            <v>Nación</v>
          </cell>
          <cell r="N78" t="str">
            <v>10</v>
          </cell>
          <cell r="O78" t="str">
            <v>CSF</v>
          </cell>
          <cell r="P78" t="str">
            <v>SERVICIOS DE TELECOMUNICACIONES, TRANSMISIÓN Y SUMINISTRO DE INFORMACIÓN</v>
          </cell>
          <cell r="Q78">
            <v>2298000000</v>
          </cell>
          <cell r="R78">
            <v>0</v>
          </cell>
          <cell r="S78">
            <v>0</v>
          </cell>
          <cell r="T78">
            <v>2298000000</v>
          </cell>
          <cell r="U78">
            <v>0</v>
          </cell>
          <cell r="V78">
            <v>2045623196.6300001</v>
          </cell>
          <cell r="W78">
            <v>252376803.37</v>
          </cell>
          <cell r="X78">
            <v>546886674.63</v>
          </cell>
          <cell r="Y78">
            <v>308981967</v>
          </cell>
          <cell r="Z78">
            <v>308981967</v>
          </cell>
          <cell r="AA78">
            <v>308644171</v>
          </cell>
        </row>
        <row r="79">
          <cell r="L79" t="str">
            <v>A-02-02-02-008-005=10</v>
          </cell>
          <cell r="M79" t="str">
            <v>Nación</v>
          </cell>
          <cell r="N79" t="str">
            <v>10</v>
          </cell>
          <cell r="O79" t="str">
            <v>CSF</v>
          </cell>
          <cell r="P79" t="str">
            <v>SERVICIOS DE SOPORTE</v>
          </cell>
          <cell r="Q79">
            <v>3859335661</v>
          </cell>
          <cell r="R79">
            <v>3000000</v>
          </cell>
          <cell r="S79">
            <v>0</v>
          </cell>
          <cell r="T79">
            <v>3862335661</v>
          </cell>
          <cell r="U79">
            <v>0</v>
          </cell>
          <cell r="V79">
            <v>3036169635.8099999</v>
          </cell>
          <cell r="W79">
            <v>826166025.19000006</v>
          </cell>
          <cell r="X79">
            <v>2828629643.21</v>
          </cell>
          <cell r="Y79">
            <v>381338287</v>
          </cell>
          <cell r="Z79">
            <v>381338287</v>
          </cell>
          <cell r="AA79">
            <v>381338287</v>
          </cell>
        </row>
        <row r="80">
          <cell r="L80" t="str">
            <v>A-02-02-02-008-007=10</v>
          </cell>
          <cell r="M80" t="str">
            <v>Nación</v>
          </cell>
          <cell r="N80" t="str">
            <v>10</v>
          </cell>
          <cell r="O80" t="str">
            <v>CSF</v>
          </cell>
          <cell r="P80" t="str">
            <v>SERVICIOS DE MANTENIMIENTO, REPARACIÓN E INSTALACIÓN (EXCEPTO SERVICIOS DE CONSTRUCCIÓN)</v>
          </cell>
          <cell r="Q80">
            <v>1363025393</v>
          </cell>
          <cell r="R80">
            <v>0</v>
          </cell>
          <cell r="S80">
            <v>0</v>
          </cell>
          <cell r="T80">
            <v>1363025393</v>
          </cell>
          <cell r="U80">
            <v>0</v>
          </cell>
          <cell r="V80">
            <v>649725393</v>
          </cell>
          <cell r="W80">
            <v>713300000</v>
          </cell>
          <cell r="X80">
            <v>561025393</v>
          </cell>
          <cell r="Y80">
            <v>500000</v>
          </cell>
          <cell r="Z80">
            <v>500000</v>
          </cell>
          <cell r="AA80">
            <v>500000</v>
          </cell>
        </row>
        <row r="81">
          <cell r="L81" t="str">
            <v>A-02-02-02-008-009=10</v>
          </cell>
          <cell r="M81" t="str">
            <v>Nación</v>
          </cell>
          <cell r="N81" t="str">
            <v>10</v>
          </cell>
          <cell r="O81" t="str">
            <v>CSF</v>
          </cell>
          <cell r="P81" t="str">
            <v>OTROS SERVICIOS DE FABRICACIÓN; SERVICIOS DE EDICIÓN, IMPRESIÓN Y REPRODUCCIÓN; SERVICIOS DE RECUPERACIÓN DE MATERIALES</v>
          </cell>
          <cell r="Q81">
            <v>77000000</v>
          </cell>
          <cell r="R81">
            <v>0</v>
          </cell>
          <cell r="S81">
            <v>0</v>
          </cell>
          <cell r="T81">
            <v>77000000</v>
          </cell>
          <cell r="U81">
            <v>0</v>
          </cell>
          <cell r="V81">
            <v>47000000</v>
          </cell>
          <cell r="W81">
            <v>30000000</v>
          </cell>
          <cell r="X81">
            <v>500000</v>
          </cell>
          <cell r="Y81">
            <v>500000</v>
          </cell>
          <cell r="Z81">
            <v>500000</v>
          </cell>
          <cell r="AA81">
            <v>500000</v>
          </cell>
        </row>
        <row r="82">
          <cell r="L82" t="str">
            <v>A-02-02-02-009-002=10</v>
          </cell>
          <cell r="M82" t="str">
            <v>Nación</v>
          </cell>
          <cell r="N82" t="str">
            <v>10</v>
          </cell>
          <cell r="O82" t="str">
            <v>CSF</v>
          </cell>
          <cell r="P82" t="str">
            <v>SERVICIOS DE EDUCACIÓN</v>
          </cell>
          <cell r="Q82">
            <v>730000000</v>
          </cell>
          <cell r="R82">
            <v>0</v>
          </cell>
          <cell r="S82">
            <v>0</v>
          </cell>
          <cell r="T82">
            <v>730000000</v>
          </cell>
          <cell r="U82">
            <v>0</v>
          </cell>
          <cell r="V82">
            <v>0</v>
          </cell>
          <cell r="W82">
            <v>730000000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L83" t="str">
            <v>A-02-02-02-009-003=10</v>
          </cell>
          <cell r="M83" t="str">
            <v>Nación</v>
          </cell>
          <cell r="N83" t="str">
            <v>10</v>
          </cell>
          <cell r="O83" t="str">
            <v>CSF</v>
          </cell>
          <cell r="P83" t="str">
            <v>SERVICIOS PARA EL CUIDADO DE LA SALUD HUMANA Y SERVICIOS SOCIALES</v>
          </cell>
          <cell r="Q83">
            <v>365636000</v>
          </cell>
          <cell r="R83">
            <v>0</v>
          </cell>
          <cell r="S83">
            <v>0</v>
          </cell>
          <cell r="T83">
            <v>365636000</v>
          </cell>
          <cell r="U83">
            <v>0</v>
          </cell>
          <cell r="V83">
            <v>147768875</v>
          </cell>
          <cell r="W83">
            <v>217867125</v>
          </cell>
          <cell r="X83">
            <v>76906520</v>
          </cell>
          <cell r="Y83">
            <v>2652000</v>
          </cell>
          <cell r="Z83">
            <v>2652000</v>
          </cell>
          <cell r="AA83">
            <v>0</v>
          </cell>
        </row>
        <row r="84">
          <cell r="L84" t="str">
            <v>A-02-02-02-009-004=10</v>
          </cell>
          <cell r="M84" t="str">
            <v>Nación</v>
          </cell>
          <cell r="N84" t="str">
            <v>10</v>
          </cell>
          <cell r="O84" t="str">
            <v>CSF</v>
          </cell>
          <cell r="P84" t="str">
            <v>SERVICIOS DE ALCANTARILLADO, RECOLECCIÓN, TRATAMIENTO Y DISPOSICIÓN DE DESECHOS Y OTROS SERVICIOS DE SANEAMIENTO AMBIENTAL</v>
          </cell>
          <cell r="Q84">
            <v>55000000</v>
          </cell>
          <cell r="R84">
            <v>0</v>
          </cell>
          <cell r="S84">
            <v>0</v>
          </cell>
          <cell r="T84">
            <v>55000000</v>
          </cell>
          <cell r="U84">
            <v>0</v>
          </cell>
          <cell r="V84">
            <v>55000000</v>
          </cell>
          <cell r="W84">
            <v>0</v>
          </cell>
          <cell r="X84">
            <v>5465319.5499999998</v>
          </cell>
          <cell r="Y84">
            <v>5465319.5499999998</v>
          </cell>
          <cell r="Z84">
            <v>5465319.5499999998</v>
          </cell>
          <cell r="AA84">
            <v>5002760.62</v>
          </cell>
        </row>
        <row r="85">
          <cell r="L85" t="str">
            <v>A-02-02-02-009-006=10</v>
          </cell>
          <cell r="M85" t="str">
            <v>Nación</v>
          </cell>
          <cell r="N85" t="str">
            <v>10</v>
          </cell>
          <cell r="O85" t="str">
            <v>CSF</v>
          </cell>
          <cell r="P85" t="str">
            <v>SERVICIOS DE ESPARCIMIENTO, CULTURALES Y DEPORTIVOS</v>
          </cell>
          <cell r="Q85">
            <v>1160000000</v>
          </cell>
          <cell r="R85">
            <v>0</v>
          </cell>
          <cell r="S85">
            <v>0</v>
          </cell>
          <cell r="T85">
            <v>1160000000</v>
          </cell>
          <cell r="U85">
            <v>0</v>
          </cell>
          <cell r="V85">
            <v>82811000</v>
          </cell>
          <cell r="W85">
            <v>1077189000</v>
          </cell>
          <cell r="X85">
            <v>82811000</v>
          </cell>
          <cell r="Y85">
            <v>0</v>
          </cell>
          <cell r="Z85">
            <v>0</v>
          </cell>
          <cell r="AA85">
            <v>0</v>
          </cell>
        </row>
        <row r="86">
          <cell r="L86" t="str">
            <v>A-02-02-02-009-007=10</v>
          </cell>
          <cell r="M86" t="str">
            <v>Nación</v>
          </cell>
          <cell r="N86" t="str">
            <v>10</v>
          </cell>
          <cell r="O86" t="str">
            <v>CSF</v>
          </cell>
          <cell r="P86" t="str">
            <v>OTROS SERVICIOS</v>
          </cell>
          <cell r="Q86">
            <v>100000000</v>
          </cell>
          <cell r="R86">
            <v>0</v>
          </cell>
          <cell r="S86">
            <v>0</v>
          </cell>
          <cell r="T86">
            <v>100000000</v>
          </cell>
          <cell r="U86">
            <v>0</v>
          </cell>
          <cell r="V86">
            <v>65500</v>
          </cell>
          <cell r="W86">
            <v>99934500</v>
          </cell>
          <cell r="X86">
            <v>65500</v>
          </cell>
          <cell r="Y86">
            <v>65500</v>
          </cell>
          <cell r="Z86">
            <v>65500</v>
          </cell>
          <cell r="AA86">
            <v>65500</v>
          </cell>
        </row>
        <row r="87">
          <cell r="L87" t="str">
            <v>A-02-02-02-010=10</v>
          </cell>
          <cell r="M87" t="str">
            <v>Nación</v>
          </cell>
          <cell r="N87" t="str">
            <v>10</v>
          </cell>
          <cell r="O87" t="str">
            <v>CSF</v>
          </cell>
          <cell r="P87" t="str">
            <v>VIÁTICOS DE LOS FUNCIONARIOS EN COMISIÓN</v>
          </cell>
          <cell r="Q87">
            <v>1170310070</v>
          </cell>
          <cell r="R87">
            <v>0</v>
          </cell>
          <cell r="S87">
            <v>0</v>
          </cell>
          <cell r="T87">
            <v>1170310070</v>
          </cell>
          <cell r="U87">
            <v>0</v>
          </cell>
          <cell r="V87">
            <v>1170310070</v>
          </cell>
          <cell r="W87">
            <v>0</v>
          </cell>
          <cell r="X87">
            <v>184556620</v>
          </cell>
          <cell r="Y87">
            <v>40659105</v>
          </cell>
          <cell r="Z87">
            <v>39487202</v>
          </cell>
          <cell r="AA87">
            <v>38724906</v>
          </cell>
        </row>
        <row r="88">
          <cell r="L88" t="str">
            <v>A-03-04-02-012-001=10</v>
          </cell>
          <cell r="M88" t="str">
            <v>Nación</v>
          </cell>
          <cell r="N88" t="str">
            <v>10</v>
          </cell>
          <cell r="O88" t="str">
            <v>CSF</v>
          </cell>
          <cell r="P88" t="str">
            <v>INCAPACIDADES (NO DE PENSIONES)</v>
          </cell>
          <cell r="Q88">
            <v>402000000</v>
          </cell>
          <cell r="R88">
            <v>0</v>
          </cell>
          <cell r="S88">
            <v>0</v>
          </cell>
          <cell r="T88">
            <v>402000000</v>
          </cell>
          <cell r="U88">
            <v>0</v>
          </cell>
          <cell r="V88">
            <v>402000000</v>
          </cell>
          <cell r="W88">
            <v>0</v>
          </cell>
          <cell r="X88">
            <v>402000000</v>
          </cell>
          <cell r="Y88">
            <v>100660347</v>
          </cell>
          <cell r="Z88">
            <v>100660347</v>
          </cell>
          <cell r="AA88">
            <v>100660347</v>
          </cell>
        </row>
        <row r="89">
          <cell r="L89" t="str">
            <v>A-03-04-02-012-002=10</v>
          </cell>
          <cell r="M89" t="str">
            <v>Nación</v>
          </cell>
          <cell r="N89" t="str">
            <v>10</v>
          </cell>
          <cell r="O89" t="str">
            <v>CSF</v>
          </cell>
          <cell r="P89" t="str">
            <v>LICENCIAS DE MATERNIDAD Y PATERNIDAD (NO DE PENSIONES)</v>
          </cell>
          <cell r="Q89">
            <v>350000000</v>
          </cell>
          <cell r="R89">
            <v>0</v>
          </cell>
          <cell r="S89">
            <v>36000000</v>
          </cell>
          <cell r="T89">
            <v>314000000</v>
          </cell>
          <cell r="U89">
            <v>0</v>
          </cell>
          <cell r="V89">
            <v>314000000</v>
          </cell>
          <cell r="W89">
            <v>0</v>
          </cell>
          <cell r="X89">
            <v>314000000</v>
          </cell>
          <cell r="Y89">
            <v>13736110</v>
          </cell>
          <cell r="Z89">
            <v>13736110</v>
          </cell>
          <cell r="AA89">
            <v>13736110</v>
          </cell>
        </row>
        <row r="90">
          <cell r="L90" t="str">
            <v>A-08-01-02-001=10</v>
          </cell>
          <cell r="M90" t="str">
            <v>Nación</v>
          </cell>
          <cell r="N90" t="str">
            <v>10</v>
          </cell>
          <cell r="O90" t="str">
            <v>CSF</v>
          </cell>
          <cell r="P90" t="str">
            <v>IMPUESTO PREDIAL Y SOBRETASA AMBIENTAL</v>
          </cell>
          <cell r="Q90">
            <v>51000000</v>
          </cell>
          <cell r="R90">
            <v>0</v>
          </cell>
          <cell r="S90">
            <v>0</v>
          </cell>
          <cell r="T90">
            <v>51000000</v>
          </cell>
          <cell r="U90">
            <v>0</v>
          </cell>
          <cell r="V90">
            <v>51000000</v>
          </cell>
          <cell r="W90">
            <v>0</v>
          </cell>
          <cell r="X90">
            <v>49978748</v>
          </cell>
          <cell r="Y90">
            <v>8669748</v>
          </cell>
          <cell r="Z90">
            <v>8669748</v>
          </cell>
          <cell r="AA90">
            <v>8669748</v>
          </cell>
        </row>
        <row r="91">
          <cell r="L91" t="str">
            <v>A-08-01-02-004=10</v>
          </cell>
          <cell r="M91" t="str">
            <v>Nación</v>
          </cell>
          <cell r="N91" t="str">
            <v>10</v>
          </cell>
          <cell r="O91" t="str">
            <v>CSF</v>
          </cell>
          <cell r="P91" t="str">
            <v>IMPUESTO DE ALUMBRADO PÚBLICO</v>
          </cell>
          <cell r="Q91">
            <v>26000000</v>
          </cell>
          <cell r="R91">
            <v>0</v>
          </cell>
          <cell r="S91">
            <v>0</v>
          </cell>
          <cell r="T91">
            <v>26000000</v>
          </cell>
          <cell r="U91">
            <v>0</v>
          </cell>
          <cell r="V91">
            <v>26000000</v>
          </cell>
          <cell r="W91">
            <v>0</v>
          </cell>
          <cell r="X91">
            <v>7832751.21</v>
          </cell>
          <cell r="Y91">
            <v>7593352.21</v>
          </cell>
          <cell r="Z91">
            <v>7593352.21</v>
          </cell>
          <cell r="AA91">
            <v>7593352.21</v>
          </cell>
        </row>
        <row r="92">
          <cell r="L92" t="str">
            <v>A-08-01-02-006=10</v>
          </cell>
          <cell r="M92" t="str">
            <v>Nación</v>
          </cell>
          <cell r="N92" t="str">
            <v>10</v>
          </cell>
          <cell r="O92" t="str">
            <v>CSF</v>
          </cell>
          <cell r="P92" t="str">
            <v>IMPUESTO SOBRE VEHÍCULOS AUTOMOTORES</v>
          </cell>
          <cell r="Q92">
            <v>7000000</v>
          </cell>
          <cell r="R92">
            <v>0</v>
          </cell>
          <cell r="S92">
            <v>0</v>
          </cell>
          <cell r="T92">
            <v>7000000</v>
          </cell>
          <cell r="U92">
            <v>0</v>
          </cell>
          <cell r="V92">
            <v>7000000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L93" t="str">
            <v>C-4101-1500-5-0-4101073-02=11</v>
          </cell>
          <cell r="M93" t="str">
            <v>Nación</v>
          </cell>
          <cell r="N93" t="str">
            <v>11</v>
          </cell>
          <cell r="O93" t="str">
            <v>CSF</v>
          </cell>
          <cell r="P93" t="str">
            <v>ADQUISICIÓN DE BIENES Y SERVICIOS - SERVICIO DE APOYO PARA LA GENERACIÓN DE INGRESOS - IMPLEMENTACIÓN DE INTERVENCIÓN INTEGRAL APD CON ENFOQUE DIFERENCIAL ÉTNICO PARA INDIGENAS Y AFROS A NIVEL  NACIONAL</v>
          </cell>
          <cell r="Q93">
            <v>37511369742</v>
          </cell>
          <cell r="R93">
            <v>0</v>
          </cell>
          <cell r="S93">
            <v>0</v>
          </cell>
          <cell r="T93">
            <v>37511369742</v>
          </cell>
          <cell r="U93">
            <v>0</v>
          </cell>
          <cell r="V93">
            <v>34622400000</v>
          </cell>
          <cell r="W93">
            <v>2888969742</v>
          </cell>
          <cell r="X93">
            <v>34622400000</v>
          </cell>
          <cell r="Y93">
            <v>0</v>
          </cell>
          <cell r="Z93">
            <v>0</v>
          </cell>
          <cell r="AA93">
            <v>0</v>
          </cell>
        </row>
        <row r="94">
          <cell r="L94" t="str">
            <v>C-4101-1500-5-0-4101074-02=11</v>
          </cell>
          <cell r="M94" t="str">
            <v>Nación</v>
          </cell>
          <cell r="N94" t="str">
            <v>11</v>
          </cell>
          <cell r="O94" t="str">
            <v>CSF</v>
          </cell>
          <cell r="P94" t="str">
            <v xml:space="preserve">ADQUISICIÓN DE BIENES Y SERVICIOS - SERVICIO DE ACOMPAÑAMIENTO COMUNITARIO A LOS HOGARES EN RIESGO DE DESPLAZAMIENTO, RETORNADOS O REUBICADOS - IMPLEMENTACIÓN DE INTERVENCIÓN INTEGRAL APD CON ENFOQUE DIFERENCIAL ÉTNICO PARA INDIGENAS Y AFROS A NIVEL </v>
          </cell>
          <cell r="Q94">
            <v>8799663116</v>
          </cell>
          <cell r="R94">
            <v>0</v>
          </cell>
          <cell r="S94">
            <v>0</v>
          </cell>
          <cell r="T94">
            <v>8799663116</v>
          </cell>
          <cell r="U94">
            <v>0</v>
          </cell>
          <cell r="V94">
            <v>8799663116</v>
          </cell>
          <cell r="W94">
            <v>0</v>
          </cell>
          <cell r="X94">
            <v>8799663116</v>
          </cell>
          <cell r="Y94">
            <v>0</v>
          </cell>
          <cell r="Z94">
            <v>0</v>
          </cell>
          <cell r="AA94">
            <v>0</v>
          </cell>
        </row>
        <row r="95">
          <cell r="L95" t="str">
            <v>C-4101-1500-5-0-4101077-02=11</v>
          </cell>
          <cell r="M95" t="str">
            <v>Nación</v>
          </cell>
          <cell r="N95" t="str">
            <v>11</v>
          </cell>
          <cell r="O95" t="str">
            <v>CSF</v>
          </cell>
          <cell r="P95" t="str">
            <v>ADQUISICIÓN DE BIENES Y SERVICIOS - SERVICIO DE APOYO PARA LAS UNIDADES PRODUCTIVAS PARA EL AUTOCONSUMO DE HOGARES DESPLAZADOS O EN RIESGO DE DESPLAZAMIENTO, RETORNADOS O REUBICADOS - IMPLEMENTACIÓN DE INTERVENCIÓN INTEGRAL APD CON ENFOQUE DIFERENCIA</v>
          </cell>
          <cell r="Q95">
            <v>4325174580</v>
          </cell>
          <cell r="R95">
            <v>0</v>
          </cell>
          <cell r="S95">
            <v>0</v>
          </cell>
          <cell r="T95">
            <v>4325174580</v>
          </cell>
          <cell r="U95">
            <v>0</v>
          </cell>
          <cell r="V95">
            <v>3106555494</v>
          </cell>
          <cell r="W95">
            <v>1218619086</v>
          </cell>
          <cell r="X95">
            <v>3015271633</v>
          </cell>
          <cell r="Y95">
            <v>16005500</v>
          </cell>
          <cell r="Z95">
            <v>16005500</v>
          </cell>
          <cell r="AA95">
            <v>16005500</v>
          </cell>
        </row>
        <row r="96">
          <cell r="L96" t="str">
            <v>C-4101-1500-5-0-4101078-02=11</v>
          </cell>
          <cell r="M96" t="str">
            <v>Nación</v>
          </cell>
          <cell r="N96" t="str">
            <v>11</v>
          </cell>
          <cell r="O96" t="str">
            <v>CSF</v>
          </cell>
          <cell r="P96" t="str">
            <v>ADQUISICIÓN DE BIENES Y SERVICIOS - SERVICIO DE ASISTENCIA TÉCNICA PARA EL AUTOCONSUMO DE LOS HOGARES DESPLAZADOS O EN RIESGO DE DESPLAZAMIENTO, RETORNADOS O REUBICADOS - IMPLEMENTACIÓN DE INTERVENCIÓN INTEGRAL APD CON ENFOQUE DIFERENCIAL ÉTNICO PARA</v>
          </cell>
          <cell r="Q96">
            <v>7972098301</v>
          </cell>
          <cell r="R96">
            <v>0</v>
          </cell>
          <cell r="S96">
            <v>0</v>
          </cell>
          <cell r="T96">
            <v>7972098301</v>
          </cell>
          <cell r="U96">
            <v>0</v>
          </cell>
          <cell r="V96">
            <v>7027400000</v>
          </cell>
          <cell r="W96">
            <v>944698301</v>
          </cell>
          <cell r="X96">
            <v>7027400000</v>
          </cell>
          <cell r="Y96">
            <v>0</v>
          </cell>
          <cell r="Z96">
            <v>0</v>
          </cell>
          <cell r="AA96">
            <v>0</v>
          </cell>
        </row>
        <row r="97">
          <cell r="L97" t="str">
            <v>C-4101-1500-5-0-4101080-02=11</v>
          </cell>
          <cell r="M97" t="str">
            <v>Nación</v>
          </cell>
          <cell r="N97" t="str">
            <v>11</v>
          </cell>
          <cell r="O97" t="str">
            <v>CSF</v>
          </cell>
          <cell r="P97" t="str">
            <v>ADQUISICIÓN DE BIENES Y SERVICIOS - SERVICIO DE ASISTENCIA TÉCNICA PARA LA GENERACIÓN DE INGRESOS - IMPLEMENTACIÓN DE INTERVENCIÓN INTEGRAL APD CON ENFOQUE DIFERENCIAL ÉTNICO PARA INDIGENAS Y AFROS A NIVEL  NACIONAL</v>
          </cell>
          <cell r="Q97">
            <v>5196200000</v>
          </cell>
          <cell r="R97">
            <v>0</v>
          </cell>
          <cell r="S97">
            <v>0</v>
          </cell>
          <cell r="T97">
            <v>5196200000</v>
          </cell>
          <cell r="U97">
            <v>0</v>
          </cell>
          <cell r="V97">
            <v>5196200000</v>
          </cell>
          <cell r="W97">
            <v>0</v>
          </cell>
          <cell r="X97">
            <v>5196200000</v>
          </cell>
          <cell r="Y97">
            <v>0</v>
          </cell>
          <cell r="Z97">
            <v>0</v>
          </cell>
          <cell r="AA97">
            <v>0</v>
          </cell>
        </row>
        <row r="98">
          <cell r="L98" t="str">
            <v>C-4101-1500-5-0-4101081-02=11</v>
          </cell>
          <cell r="M98" t="str">
            <v>Nación</v>
          </cell>
          <cell r="N98" t="str">
            <v>11</v>
          </cell>
          <cell r="O98" t="str">
            <v>CSF</v>
          </cell>
          <cell r="P98" t="str">
            <v>ADQUISICIÓN DE BIENES Y SERVICIOS - SERVICIO DE APOYO AL FORTALECIMIENTO COMUNITARIO A LOS HOGARES EN RIESGO DE DESPLAZAMIENTO, RETORNADOS O REUBICADOS - IMPLEMENTACIÓN DE INTERVENCIÓN INTEGRAL APD CON ENFOQUE DIFERENCIAL ÉTNICO PARA INDIGENAS Y AFRO</v>
          </cell>
          <cell r="Q98">
            <v>2593569161</v>
          </cell>
          <cell r="R98">
            <v>0</v>
          </cell>
          <cell r="S98">
            <v>0</v>
          </cell>
          <cell r="T98">
            <v>2593569161</v>
          </cell>
          <cell r="U98">
            <v>0</v>
          </cell>
          <cell r="V98">
            <v>2593569161</v>
          </cell>
          <cell r="W98">
            <v>0</v>
          </cell>
          <cell r="X98">
            <v>2593569161</v>
          </cell>
          <cell r="Y98">
            <v>0</v>
          </cell>
          <cell r="Z98">
            <v>0</v>
          </cell>
          <cell r="AA98">
            <v>0</v>
          </cell>
        </row>
        <row r="99">
          <cell r="L99" t="str">
            <v>C-4101-1500-6-0-4101080-02=11</v>
          </cell>
          <cell r="M99" t="str">
            <v>Nación</v>
          </cell>
          <cell r="N99" t="str">
            <v>11</v>
          </cell>
          <cell r="O99" t="str">
            <v>CSF</v>
          </cell>
          <cell r="P99" t="str">
            <v>ADQUISICIÓN DE BIENES Y SERVICIOS - SERVICIO DE ASISTENCIA TÉCNICA PARA LA GENERACIÓN DE INGRESOS - IMPLEMENTACIÓN DE UN ESQUEMA ESPECIAL DE ACOMPAÑAMIENTO FAMILIAR DIRIGIDO A LA POBLACIÓN VICTIMA DE DESPLAZAMIENTO FORZADO RETORNADA O REUBICADA EN ZO</v>
          </cell>
          <cell r="Q99">
            <v>30467075662</v>
          </cell>
          <cell r="R99">
            <v>0</v>
          </cell>
          <cell r="S99">
            <v>0</v>
          </cell>
          <cell r="T99">
            <v>30467075662</v>
          </cell>
          <cell r="U99">
            <v>0</v>
          </cell>
          <cell r="V99">
            <v>23398487248</v>
          </cell>
          <cell r="W99">
            <v>7068588414</v>
          </cell>
          <cell r="X99">
            <v>23398487248</v>
          </cell>
          <cell r="Y99">
            <v>0</v>
          </cell>
          <cell r="Z99">
            <v>0</v>
          </cell>
          <cell r="AA99">
            <v>0</v>
          </cell>
        </row>
        <row r="100">
          <cell r="L100" t="str">
            <v>C-4101-1500-6-0-4101081-02=11</v>
          </cell>
          <cell r="M100" t="str">
            <v>Nación</v>
          </cell>
          <cell r="N100" t="str">
            <v>11</v>
          </cell>
          <cell r="O100" t="str">
            <v>CSF</v>
          </cell>
          <cell r="P100" t="str">
            <v>ADQUISICIÓN DE BIENES Y SERVICIOS - SERVICIO DE APOYO AL FORTALECIMIENTO COMUNITARIO A LOS HOGARES EN RIESGO DE DESPLAZAMIENTO, RETORNADOS O REUBICADOS - IMPLEMENTACIÓN DE UN ESQUEMA ESPECIAL DE ACOMPAÑAMIENTO FAMILIAR DIRIGIDO A LA POBLACIÓN VICTIMA</v>
          </cell>
          <cell r="Q100">
            <v>4435143756</v>
          </cell>
          <cell r="R100">
            <v>0</v>
          </cell>
          <cell r="S100">
            <v>0</v>
          </cell>
          <cell r="T100">
            <v>4435143756</v>
          </cell>
          <cell r="U100">
            <v>0</v>
          </cell>
          <cell r="V100">
            <v>4435143756</v>
          </cell>
          <cell r="W100">
            <v>0</v>
          </cell>
          <cell r="X100">
            <v>4435143756</v>
          </cell>
          <cell r="Y100">
            <v>0</v>
          </cell>
          <cell r="Z100">
            <v>0</v>
          </cell>
          <cell r="AA100">
            <v>0</v>
          </cell>
        </row>
        <row r="101">
          <cell r="L101" t="str">
            <v>C-4101-1500-6-0-4101078-02=11</v>
          </cell>
          <cell r="M101" t="str">
            <v>Nación</v>
          </cell>
          <cell r="N101" t="str">
            <v>11</v>
          </cell>
          <cell r="O101" t="str">
            <v>CSF</v>
          </cell>
          <cell r="P101" t="str">
            <v xml:space="preserve">ADQUISICIÓN DE BIENES Y SERVICIOS - SERVICIO DE ASISTENCIA TÉCNICA PARA EL AUTOCONSUMO DE LOS HOGARES DESPLAZADOS O EN RIESGO DE DESPLAZAMIENTO, RETORNADOS O REUBICADOS - IMPLEMENTACIÓN DE UN ESQUEMA ESPECIAL DE ACOMPAÑAMIENTO FAMILIAR DIRIGIDO A LA </v>
          </cell>
          <cell r="Q101">
            <v>16276997084</v>
          </cell>
          <cell r="R101">
            <v>0</v>
          </cell>
          <cell r="S101">
            <v>0</v>
          </cell>
          <cell r="T101">
            <v>16276997084</v>
          </cell>
          <cell r="U101">
            <v>0</v>
          </cell>
          <cell r="V101">
            <v>15724922141</v>
          </cell>
          <cell r="W101">
            <v>552074943</v>
          </cell>
          <cell r="X101">
            <v>15534032423</v>
          </cell>
          <cell r="Y101">
            <v>38868703</v>
          </cell>
          <cell r="Z101">
            <v>38868703</v>
          </cell>
          <cell r="AA101">
            <v>38868703</v>
          </cell>
        </row>
        <row r="102">
          <cell r="L102" t="str">
            <v>C-4101-1500-6-0-4101077-02=11</v>
          </cell>
          <cell r="M102" t="str">
            <v>Nación</v>
          </cell>
          <cell r="N102" t="str">
            <v>11</v>
          </cell>
          <cell r="O102" t="str">
            <v>CSF</v>
          </cell>
          <cell r="P102" t="str">
            <v>ADQUISICIÓN DE BIENES Y SERVICIOS - SERVICIO DE APOYO PARA LAS UNIDADES PRODUCTIVAS PARA EL AUTOCONSUMO DE HOGARES DESPLAZADOS O EN RIESGO DE DESPLAZAMIENTO, RETORNADOS O REUBICADOS - IMPLEMENTACIÓN DE UN ESQUEMA ESPECIAL DE ACOMPAÑAMIENTO FAMILIAR D</v>
          </cell>
          <cell r="Q102">
            <v>17722088000</v>
          </cell>
          <cell r="R102">
            <v>0</v>
          </cell>
          <cell r="S102">
            <v>0</v>
          </cell>
          <cell r="T102">
            <v>17722088000</v>
          </cell>
          <cell r="U102">
            <v>0</v>
          </cell>
          <cell r="V102">
            <v>17722088000</v>
          </cell>
          <cell r="W102">
            <v>0</v>
          </cell>
          <cell r="X102">
            <v>17722088000</v>
          </cell>
          <cell r="Y102">
            <v>0</v>
          </cell>
          <cell r="Z102">
            <v>0</v>
          </cell>
          <cell r="AA102">
            <v>0</v>
          </cell>
        </row>
        <row r="103">
          <cell r="L103" t="str">
            <v>C-4101-1500-6-0-4101073-02=11</v>
          </cell>
          <cell r="M103" t="str">
            <v>Nación</v>
          </cell>
          <cell r="N103" t="str">
            <v>11</v>
          </cell>
          <cell r="O103" t="str">
            <v>CSF</v>
          </cell>
          <cell r="P103" t="str">
            <v xml:space="preserve">ADQUISICIÓN DE BIENES Y SERVICIOS - SERVICIO DE APOYO PARA LA GENERACIÓN DE INGRESOS - IMPLEMENTACIÓN DE UN ESQUEMA ESPECIAL DE ACOMPAÑAMIENTO FAMILIAR DIRIGIDO A LA POBLACIÓN VICTIMA DE DESPLAZAMIENTO FORZADO RETORNADA O REUBICADA EN ZONAS RURALES, </v>
          </cell>
          <cell r="Q103">
            <v>4947405600</v>
          </cell>
          <cell r="R103">
            <v>0</v>
          </cell>
          <cell r="S103">
            <v>0</v>
          </cell>
          <cell r="T103">
            <v>4947405600</v>
          </cell>
          <cell r="U103">
            <v>0</v>
          </cell>
          <cell r="V103">
            <v>1947405600</v>
          </cell>
          <cell r="W103">
            <v>3000000000</v>
          </cell>
          <cell r="X103">
            <v>1947405600</v>
          </cell>
          <cell r="Y103">
            <v>623536251</v>
          </cell>
          <cell r="Z103">
            <v>623536251</v>
          </cell>
          <cell r="AA103">
            <v>263992268</v>
          </cell>
        </row>
        <row r="104">
          <cell r="L104" t="str">
            <v>C-4101-1500-6-0-4101074-02=11</v>
          </cell>
          <cell r="M104" t="str">
            <v>Nación</v>
          </cell>
          <cell r="N104" t="str">
            <v>11</v>
          </cell>
          <cell r="O104" t="str">
            <v>CSF</v>
          </cell>
          <cell r="P104" t="str">
            <v>ADQUISICIÓN DE BIENES Y SERVICIOS - SERVICIO DE ACOMPAÑAMIENTO COMUNITARIO A LOS HOGARES EN RIESGO DE DESPLAZAMIENTO, RETORNADOS O REUBICADOS - IMPLEMENTACIÓN DE UN ESQUEMA ESPECIAL DE ACOMPAÑAMIENTO FAMILIAR DIRIGIDO A LA POBLACIÓN VICTIMA DE DESPLA</v>
          </cell>
          <cell r="Q104">
            <v>27420887861</v>
          </cell>
          <cell r="R104">
            <v>0</v>
          </cell>
          <cell r="S104">
            <v>0</v>
          </cell>
          <cell r="T104">
            <v>27420887861</v>
          </cell>
          <cell r="U104">
            <v>0</v>
          </cell>
          <cell r="V104">
            <v>27306887861</v>
          </cell>
          <cell r="W104">
            <v>114000000</v>
          </cell>
          <cell r="X104">
            <v>27306887861</v>
          </cell>
          <cell r="Y104">
            <v>7696085751</v>
          </cell>
          <cell r="Z104">
            <v>7696085751</v>
          </cell>
          <cell r="AA104">
            <v>2852758951</v>
          </cell>
        </row>
        <row r="105">
          <cell r="L105" t="str">
            <v>C-4101-1500-6-0-4101081-03=11</v>
          </cell>
          <cell r="M105" t="str">
            <v>Nación</v>
          </cell>
          <cell r="N105" t="str">
            <v>11</v>
          </cell>
          <cell r="O105" t="str">
            <v>CSF</v>
          </cell>
          <cell r="P105" t="str">
            <v>TRANSFERENCIAS CORRIENTES - SERVICIO DE APOYO AL FORTALECIMIENTO COMUNITARIO A LOS HOGARES EN RIESGO DE DESPLAZAMIENTO, RETORNADOS O REUBICADOS - IMPLEMENTACIÓN DE UN ESQUEMA ESPECIAL DE ACOMPAÑAMIENTO FAMILIAR DIRIGIDO A LA POBLACIÓN VICTIMA DE DESP</v>
          </cell>
          <cell r="Q105">
            <v>16832160000</v>
          </cell>
          <cell r="R105">
            <v>0</v>
          </cell>
          <cell r="S105">
            <v>0</v>
          </cell>
          <cell r="T105">
            <v>16832160000</v>
          </cell>
          <cell r="U105">
            <v>0</v>
          </cell>
          <cell r="V105">
            <v>16832160000</v>
          </cell>
          <cell r="W105">
            <v>0</v>
          </cell>
          <cell r="X105">
            <v>16832160000</v>
          </cell>
          <cell r="Y105">
            <v>0</v>
          </cell>
          <cell r="Z105">
            <v>0</v>
          </cell>
          <cell r="AA105">
            <v>0</v>
          </cell>
        </row>
        <row r="106">
          <cell r="L106" t="str">
            <v>C-4103-1500-12-0-4103006-02=10</v>
          </cell>
          <cell r="M106" t="str">
            <v>Nación</v>
          </cell>
          <cell r="N106" t="str">
            <v>10</v>
          </cell>
          <cell r="O106" t="str">
            <v>CSF</v>
          </cell>
          <cell r="P106" t="str">
            <v>ADQUISICIÓN DE BIENES Y SERVICIOS - SERVICIO DE APOYO FINANCIERO PARA LA ENTREGA DE TRANSFERENCIAS MONETARIAS CONDICIONADAS - IMPLEMENTACIÓN DE TRANSFERENCIAS MONETARIAS CONDICIONADAS PARA POBLACIÓN VULNERABLE A NIVEL NACIONAL - FIP  NACIONAL</v>
          </cell>
          <cell r="Q106">
            <v>170514008840.17001</v>
          </cell>
          <cell r="R106">
            <v>0</v>
          </cell>
          <cell r="S106">
            <v>4660008249</v>
          </cell>
          <cell r="T106">
            <v>165854000591.17001</v>
          </cell>
          <cell r="U106">
            <v>0</v>
          </cell>
          <cell r="V106">
            <v>159119184541</v>
          </cell>
          <cell r="W106">
            <v>6734816050.1700001</v>
          </cell>
          <cell r="X106">
            <v>42295388715.129997</v>
          </cell>
          <cell r="Y106">
            <v>17740107530.959999</v>
          </cell>
          <cell r="Z106">
            <v>17740107530.959999</v>
          </cell>
          <cell r="AA106">
            <v>17740107530.959999</v>
          </cell>
        </row>
        <row r="107">
          <cell r="L107" t="str">
            <v>C-4103-1500-12-0-4103009-02=10</v>
          </cell>
          <cell r="M107" t="str">
            <v>Nación</v>
          </cell>
          <cell r="N107" t="str">
            <v>10</v>
          </cell>
          <cell r="O107" t="str">
            <v>CSF</v>
          </cell>
          <cell r="P107" t="str">
            <v xml:space="preserve">ADQUISICIÓN DE BIENES Y SERVICIOS - SERVICIO DE ASISTENCIA EN TEMAS DE DESARROLLO DE HABILIDADES NO COGNITIVAS PARA LA INCLUSIÓN PRODUCTIVA - IMPLEMENTACIÓN DE TRANSFERENCIAS MONETARIAS CONDICIONADAS PARA POBLACIÓN VULNERABLE A NIVEL NACIONAL - FIP  </v>
          </cell>
          <cell r="Q107">
            <v>5711307018</v>
          </cell>
          <cell r="R107">
            <v>0</v>
          </cell>
          <cell r="S107">
            <v>0</v>
          </cell>
          <cell r="T107">
            <v>5711307018</v>
          </cell>
          <cell r="U107">
            <v>0</v>
          </cell>
          <cell r="V107">
            <v>5111307018</v>
          </cell>
          <cell r="W107">
            <v>600000000</v>
          </cell>
          <cell r="X107">
            <v>5111307018</v>
          </cell>
          <cell r="Y107">
            <v>0</v>
          </cell>
          <cell r="Z107">
            <v>0</v>
          </cell>
          <cell r="AA107">
            <v>0</v>
          </cell>
        </row>
        <row r="108">
          <cell r="L108" t="str">
            <v>C-4103-1500-12-0-4103006-03=10</v>
          </cell>
          <cell r="M108" t="str">
            <v>Nación</v>
          </cell>
          <cell r="N108" t="str">
            <v>10</v>
          </cell>
          <cell r="O108" t="str">
            <v>CSF</v>
          </cell>
          <cell r="P108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8">
            <v>11682690576.83</v>
          </cell>
          <cell r="R108">
            <v>4660008249</v>
          </cell>
          <cell r="S108">
            <v>0</v>
          </cell>
          <cell r="T108">
            <v>16342698825.83</v>
          </cell>
          <cell r="U108">
            <v>0</v>
          </cell>
          <cell r="V108">
            <v>16342698825.83</v>
          </cell>
          <cell r="W108">
            <v>0</v>
          </cell>
          <cell r="X108">
            <v>16318698825.83</v>
          </cell>
          <cell r="Y108">
            <v>1000000</v>
          </cell>
          <cell r="Z108">
            <v>1000000</v>
          </cell>
          <cell r="AA108">
            <v>1000000</v>
          </cell>
        </row>
        <row r="109">
          <cell r="L109" t="str">
            <v>C-4103-1500-12-0-4103006-03=11</v>
          </cell>
          <cell r="M109" t="str">
            <v>Nación</v>
          </cell>
          <cell r="N109" t="str">
            <v>11</v>
          </cell>
          <cell r="O109" t="str">
            <v>CSF</v>
          </cell>
          <cell r="P109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9">
            <v>1691172057916</v>
          </cell>
          <cell r="R109">
            <v>0</v>
          </cell>
          <cell r="S109">
            <v>60000000000</v>
          </cell>
          <cell r="T109">
            <v>1631172057916</v>
          </cell>
          <cell r="U109">
            <v>0</v>
          </cell>
          <cell r="V109">
            <v>1631172057916</v>
          </cell>
          <cell r="W109">
            <v>0</v>
          </cell>
          <cell r="X109">
            <v>1631172057916</v>
          </cell>
          <cell r="Y109">
            <v>83609960000</v>
          </cell>
          <cell r="Z109">
            <v>83609960000</v>
          </cell>
          <cell r="AA109">
            <v>83609960000</v>
          </cell>
        </row>
        <row r="110">
          <cell r="L110" t="str">
            <v>C-4103-1500-13-0-4103051-02=11</v>
          </cell>
          <cell r="M110" t="str">
            <v>Nación</v>
          </cell>
          <cell r="N110" t="str">
            <v>11</v>
          </cell>
          <cell r="O110" t="str">
            <v>CSF</v>
          </cell>
          <cell r="P110" t="str">
            <v>ADQUISICIÓN DE BIENES Y SERVICIOS - SERVICIO DE ASISTENCIA TÉCNICA PARA EL AUTOCONSUMO DE LOS HOGARES EN SITUACIÓN DE VULNERABILIDAD SOCIAL - IMPLEMENTACIÓN DE UNIDADES PRODUCTIVAS DE AUTOCONSUMO PARA POBLACIÓN POBRE Y VULNERABLE   NACIONAL</v>
          </cell>
          <cell r="Q110">
            <v>7218669145</v>
          </cell>
          <cell r="R110">
            <v>0</v>
          </cell>
          <cell r="S110">
            <v>0</v>
          </cell>
          <cell r="T110">
            <v>7218669145</v>
          </cell>
          <cell r="U110">
            <v>0</v>
          </cell>
          <cell r="V110">
            <v>4406021511</v>
          </cell>
          <cell r="W110">
            <v>2812647634</v>
          </cell>
          <cell r="X110">
            <v>4406021511</v>
          </cell>
          <cell r="Y110">
            <v>0</v>
          </cell>
          <cell r="Z110">
            <v>0</v>
          </cell>
          <cell r="AA110">
            <v>0</v>
          </cell>
        </row>
        <row r="111">
          <cell r="L111" t="str">
            <v>C-4103-1500-13-0-4103053-02=11</v>
          </cell>
          <cell r="M111" t="str">
            <v>Nación</v>
          </cell>
          <cell r="N111" t="str">
            <v>11</v>
          </cell>
          <cell r="O111" t="str">
            <v>CSF</v>
          </cell>
          <cell r="P111" t="str">
            <v>ADQUISICIÓN DE BIENES Y SERVICIOS - SERVICIO DE ASISTENCIA TÉCNICA PARA EL MEJORAMIENTO DE HÁBITOS ALIMENTARIOS - IMPLEMENTACIÓN DE UNIDADES PRODUCTIVAS DE AUTOCONSUMO PARA POBLACIÓN POBRE Y VULNERABLE   NACIONAL</v>
          </cell>
          <cell r="Q111">
            <v>4348087590</v>
          </cell>
          <cell r="R111">
            <v>0</v>
          </cell>
          <cell r="S111">
            <v>0</v>
          </cell>
          <cell r="T111">
            <v>4348087590</v>
          </cell>
          <cell r="U111">
            <v>0</v>
          </cell>
          <cell r="V111">
            <v>2653919568</v>
          </cell>
          <cell r="W111">
            <v>1694168022</v>
          </cell>
          <cell r="X111">
            <v>2653919568</v>
          </cell>
          <cell r="Y111">
            <v>0</v>
          </cell>
          <cell r="Z111">
            <v>0</v>
          </cell>
          <cell r="AA111">
            <v>0</v>
          </cell>
        </row>
        <row r="112">
          <cell r="L112" t="str">
            <v>C-4103-1500-13-0-4103054-02=11</v>
          </cell>
          <cell r="M112" t="str">
            <v>Nación</v>
          </cell>
          <cell r="N112" t="str">
            <v>11</v>
          </cell>
          <cell r="O112" t="str">
            <v>CSF</v>
          </cell>
          <cell r="P112" t="str">
            <v>ADQUISICIÓN DE BIENES Y SERVICIOS - SERVICIO DE MONITOREO Y SEGUIMIENTO A LAS INTERVENCIONES IMPLEMENTADAS PARA LA INCLUSIÓN SOCIAL Y PRODUCTIVA DE LA POBLACIÓN EN SITUACIÓN DE VULNERABILIDAD - IMPLEMENTACIÓN DE UNIDADES PRODUCTIVAS DE AUTOCONSUMO PA</v>
          </cell>
          <cell r="Q112">
            <v>2171371771</v>
          </cell>
          <cell r="R112">
            <v>0</v>
          </cell>
          <cell r="S112">
            <v>0</v>
          </cell>
          <cell r="T112">
            <v>2171371771</v>
          </cell>
          <cell r="U112">
            <v>0</v>
          </cell>
          <cell r="V112">
            <v>739984123</v>
          </cell>
          <cell r="W112">
            <v>1431387648</v>
          </cell>
          <cell r="X112">
            <v>718516598</v>
          </cell>
          <cell r="Y112">
            <v>20685476</v>
          </cell>
          <cell r="Z112">
            <v>20685476</v>
          </cell>
          <cell r="AA112">
            <v>20685476</v>
          </cell>
        </row>
        <row r="113">
          <cell r="L113" t="str">
            <v>C-4103-1500-13-0-4103055-02=11</v>
          </cell>
          <cell r="M113" t="str">
            <v>Nación</v>
          </cell>
          <cell r="N113" t="str">
            <v>11</v>
          </cell>
          <cell r="O113" t="str">
            <v>CSF</v>
          </cell>
          <cell r="P113" t="str">
            <v>ADQUISICIÓN DE BIENES Y SERVICIOS - SERVICIO DE APOYO PARA LAS UNIDADES PRODUCTIVAS PARA EL AUTOCONSUMO DE LOS HOGARES EN SITUACIÓN DE VULNERABILIDAD SOCIAL - IMPLEMENTACIÓN DE UNIDADES PRODUCTIVAS DE AUTOCONSUMO PARA POBLACIÓN POBRE Y VULNERABLE   N</v>
          </cell>
          <cell r="Q113">
            <v>12164900352</v>
          </cell>
          <cell r="R113">
            <v>0</v>
          </cell>
          <cell r="S113">
            <v>0</v>
          </cell>
          <cell r="T113">
            <v>12164900352</v>
          </cell>
          <cell r="U113">
            <v>0</v>
          </cell>
          <cell r="V113">
            <v>7457426819</v>
          </cell>
          <cell r="W113">
            <v>4707473533</v>
          </cell>
          <cell r="X113">
            <v>7457426819</v>
          </cell>
          <cell r="Y113">
            <v>0</v>
          </cell>
          <cell r="Z113">
            <v>0</v>
          </cell>
          <cell r="AA113">
            <v>0</v>
          </cell>
        </row>
        <row r="114">
          <cell r="L114" t="str">
            <v>C-4103-1500-14-0-4103048-02=11</v>
          </cell>
          <cell r="M114" t="str">
            <v>Nación</v>
          </cell>
          <cell r="N114" t="str">
            <v>11</v>
          </cell>
          <cell r="O114" t="str">
            <v>CSF</v>
          </cell>
          <cell r="P114" t="str">
            <v>ADQUISICIÓN DE BIENES Y SERVICIOS - SERVICIO DE ASISTENCIA TÉCNICA EN PROYECTOS DE INFRAESTRUCTURA SOCIAL A ENTIDADES TERRITORIALES - FORTALECIMIENTO PARA EL DESARROLLO DE INFRAESTRUCTURA SOCIAL Y HÁBITAT PARA LA INCLUSIÓN SOCIAL A NIVEL NACIONAL - F</v>
          </cell>
          <cell r="Q114">
            <v>21666882589.209999</v>
          </cell>
          <cell r="R114">
            <v>700000000</v>
          </cell>
          <cell r="S114">
            <v>0</v>
          </cell>
          <cell r="T114">
            <v>22366882589.209999</v>
          </cell>
          <cell r="U114">
            <v>0</v>
          </cell>
          <cell r="V114">
            <v>18840867891.209999</v>
          </cell>
          <cell r="W114">
            <v>3526014698</v>
          </cell>
          <cell r="X114">
            <v>8433119931</v>
          </cell>
          <cell r="Y114">
            <v>105680517</v>
          </cell>
          <cell r="Z114">
            <v>105680517</v>
          </cell>
          <cell r="AA114">
            <v>105680517</v>
          </cell>
        </row>
        <row r="115">
          <cell r="L115" t="str">
            <v>C-4103-1500-14-0-4103016-02=11</v>
          </cell>
          <cell r="M115" t="str">
            <v>Nación</v>
          </cell>
          <cell r="N115" t="str">
            <v>11</v>
          </cell>
          <cell r="O115" t="str">
            <v>CSF</v>
          </cell>
          <cell r="P115" t="str">
            <v>ADQUISICIÓN DE BIENES Y SERVICIOS - SERVICIO DE APOYO FINANCIERO PARA FINANCIACIÓN DE OBRAS DE INFRAESTRUCTURA SOCIAL - FORTALECIMIENTO PARA EL DESARROLLO DE INFRAESTRUCTURA SOCIAL Y HÁBITAT PARA LA INCLUSIÓN SOCIAL A NIVEL NACIONAL - FIP  NACIONAL</v>
          </cell>
          <cell r="Q115">
            <v>358903207165.07001</v>
          </cell>
          <cell r="R115">
            <v>46178302383</v>
          </cell>
          <cell r="S115">
            <v>366968373082.07001</v>
          </cell>
          <cell r="T115">
            <v>38113136466</v>
          </cell>
          <cell r="U115">
            <v>0</v>
          </cell>
          <cell r="V115">
            <v>38113136466</v>
          </cell>
          <cell r="W115">
            <v>0</v>
          </cell>
          <cell r="X115">
            <v>36249682146</v>
          </cell>
          <cell r="Y115">
            <v>0</v>
          </cell>
          <cell r="Z115">
            <v>0</v>
          </cell>
          <cell r="AA115">
            <v>0</v>
          </cell>
        </row>
        <row r="116">
          <cell r="L116" t="str">
            <v>C-4103-1500-14-0-4103016-03=10</v>
          </cell>
          <cell r="M116" t="str">
            <v>Nación</v>
          </cell>
          <cell r="N116" t="str">
            <v>10</v>
          </cell>
          <cell r="O116" t="str">
            <v>CSF</v>
          </cell>
          <cell r="P116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6">
            <v>50000000000</v>
          </cell>
          <cell r="R116">
            <v>0</v>
          </cell>
          <cell r="S116">
            <v>50000000000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L117" t="str">
            <v>C-4103-1500-14-0-4103016-03=11</v>
          </cell>
          <cell r="M117" t="str">
            <v>Nación</v>
          </cell>
          <cell r="N117" t="str">
            <v>11</v>
          </cell>
          <cell r="O117" t="str">
            <v>CSF</v>
          </cell>
          <cell r="P117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7">
            <v>796312137723.71997</v>
          </cell>
          <cell r="R117">
            <v>0</v>
          </cell>
          <cell r="S117">
            <v>329909929300.92999</v>
          </cell>
          <cell r="T117">
            <v>466402208422.78998</v>
          </cell>
          <cell r="U117">
            <v>0</v>
          </cell>
          <cell r="V117">
            <v>465246718133.75</v>
          </cell>
          <cell r="W117">
            <v>1155490289.04</v>
          </cell>
          <cell r="X117">
            <v>454874507379.75</v>
          </cell>
          <cell r="Y117">
            <v>23011802008.549999</v>
          </cell>
          <cell r="Z117">
            <v>23011802008.549999</v>
          </cell>
          <cell r="AA117">
            <v>23011802008.549999</v>
          </cell>
        </row>
        <row r="118">
          <cell r="L118" t="str">
            <v>C-4103-1500-16-0-4103056-02=11</v>
          </cell>
          <cell r="M118" t="str">
            <v>Nación</v>
          </cell>
          <cell r="N118" t="str">
            <v>11</v>
          </cell>
          <cell r="O118" t="str">
            <v>CSF</v>
          </cell>
          <cell r="P118" t="str">
            <v>ADQUISICIÓN DE BIENES Y SERVICIOS -  SERVICIO DE ASISTENCIA TÉCNICA EN SEGURIDAD ALIMENTARIA Y NUTRICIONAL A ENTIDADES TERRITORIALES - FORTALECIMIENTO A ENTIDADES TERRITORIALES EN POLITICA DE SEGURIDAD ALIMENTARIA  NACIONAL</v>
          </cell>
          <cell r="Q118">
            <v>730000000</v>
          </cell>
          <cell r="R118">
            <v>0</v>
          </cell>
          <cell r="S118">
            <v>0</v>
          </cell>
          <cell r="T118">
            <v>730000000</v>
          </cell>
          <cell r="U118">
            <v>0</v>
          </cell>
          <cell r="V118">
            <v>0</v>
          </cell>
          <cell r="W118">
            <v>730000000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L119" t="str">
            <v>C-4103-1500-16-0-4103060-02=11</v>
          </cell>
          <cell r="M119" t="str">
            <v>Nación</v>
          </cell>
          <cell r="N119" t="str">
            <v>11</v>
          </cell>
          <cell r="O119" t="str">
            <v>CSF</v>
          </cell>
          <cell r="P119" t="str">
            <v>ADQUISICIÓN DE BIENES Y SERVICIOS - DOCUMENTO DE LINEAMIENTOS TÉCNICOS - FORTALECIMIENTO A ENTIDADES TERRITORIALES EN POLITICA DE SEGURIDAD ALIMENTARIA  NACIONAL</v>
          </cell>
          <cell r="Q119">
            <v>270000000</v>
          </cell>
          <cell r="R119">
            <v>0</v>
          </cell>
          <cell r="S119">
            <v>0</v>
          </cell>
          <cell r="T119">
            <v>270000000</v>
          </cell>
          <cell r="U119">
            <v>0</v>
          </cell>
          <cell r="V119">
            <v>0</v>
          </cell>
          <cell r="W119">
            <v>270000000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L120" t="str">
            <v>C-4103-1500-17-0-4103058-02=11</v>
          </cell>
          <cell r="M120" t="str">
            <v>Nación</v>
          </cell>
          <cell r="N120" t="str">
            <v>11</v>
          </cell>
          <cell r="O120" t="str">
            <v>CSF</v>
          </cell>
          <cell r="P120" t="str">
            <v>ADQUISICIÓN DE BIENES Y SERVICIOS - SERVICIO DE APOYO PARA EL FORTALECIMIENTO DE UNIDADES PRODUCTIVAS COLECTIVAS PARA LA GENERACIÓN DE INGRESOS - IMPLEMENTACIÓN DE HERRAMIENTAS PARA LA INCLUSIÓN PRODUCTIVA DE LA POBLACIÓN EN SITUACIÓN DE POBREZA EXTR</v>
          </cell>
          <cell r="Q120">
            <v>12632794125</v>
          </cell>
          <cell r="R120">
            <v>0</v>
          </cell>
          <cell r="S120">
            <v>9713476480</v>
          </cell>
          <cell r="T120">
            <v>2919317645</v>
          </cell>
          <cell r="U120">
            <v>0</v>
          </cell>
          <cell r="V120">
            <v>2919317645</v>
          </cell>
          <cell r="W120">
            <v>0</v>
          </cell>
          <cell r="X120">
            <v>2919317645</v>
          </cell>
          <cell r="Y120">
            <v>0</v>
          </cell>
          <cell r="Z120">
            <v>0</v>
          </cell>
          <cell r="AA120">
            <v>0</v>
          </cell>
        </row>
        <row r="121">
          <cell r="L121" t="str">
            <v>C-4103-1500-17-0-4103059-02=11</v>
          </cell>
          <cell r="M121" t="str">
            <v>Nación</v>
          </cell>
          <cell r="N121" t="str">
            <v>11</v>
          </cell>
          <cell r="O121" t="str">
            <v>CSF</v>
          </cell>
          <cell r="P121" t="str">
            <v>ADQUISICIÓN DE BIENES Y SERVICIOS - SERVICIO DE ASISTENCIA TÉCNICA PARA FORTALECIMIENTO DE UNIDADES PRODUCTIVAS COLECTIVAS PARA LA GENERACIÓN DE INGRESOS - IMPLEMENTACIÓN DE HERRAMIENTAS PARA LA INCLUSIÓN PRODUCTIVA DE LA POBLACIÓN EN SITUACIÓN DE PO</v>
          </cell>
          <cell r="Q121">
            <v>1307947412</v>
          </cell>
          <cell r="R121">
            <v>0</v>
          </cell>
          <cell r="S121">
            <v>0</v>
          </cell>
          <cell r="T121">
            <v>1307947412</v>
          </cell>
          <cell r="U121">
            <v>0</v>
          </cell>
          <cell r="V121">
            <v>975341297</v>
          </cell>
          <cell r="W121">
            <v>332606115</v>
          </cell>
          <cell r="X121">
            <v>975341297</v>
          </cell>
          <cell r="Y121">
            <v>0</v>
          </cell>
          <cell r="Z121">
            <v>0</v>
          </cell>
          <cell r="AA121">
            <v>0</v>
          </cell>
        </row>
        <row r="122">
          <cell r="L122" t="str">
            <v>C-4103-1500-17-0-4103005-02=11</v>
          </cell>
          <cell r="M122" t="str">
            <v>Nación</v>
          </cell>
          <cell r="N122" t="str">
            <v>11</v>
          </cell>
          <cell r="O122" t="str">
            <v>CSF</v>
          </cell>
          <cell r="P122" t="str">
            <v>ADQUISICIÓN DE BIENES Y SERVICIOS - SERVICIO DE ASISTENCIA TÉCNICA PARA EL EMPRENDIMIENTO  - IMPLEMENTACIÓN DE HERRAMIENTAS PARA LA INCLUSIÓN PRODUCTIVA DE LA POBLACIÓN EN SITUACIÓN DE POBREZA EXTREMA, VULNERABILIDAD Y VICTIMAS DEL DESPLAZAMIENTO FOR</v>
          </cell>
          <cell r="Q122">
            <v>24060301659</v>
          </cell>
          <cell r="R122">
            <v>0</v>
          </cell>
          <cell r="S122">
            <v>5805513391</v>
          </cell>
          <cell r="T122">
            <v>18254788268</v>
          </cell>
          <cell r="U122">
            <v>0</v>
          </cell>
          <cell r="V122">
            <v>14525966710</v>
          </cell>
          <cell r="W122">
            <v>3728821558</v>
          </cell>
          <cell r="X122">
            <v>13681332098</v>
          </cell>
          <cell r="Y122">
            <v>100748682</v>
          </cell>
          <cell r="Z122">
            <v>100748682</v>
          </cell>
          <cell r="AA122">
            <v>100748682</v>
          </cell>
        </row>
        <row r="123">
          <cell r="L123" t="str">
            <v>C-4103-1500-17-0-4103057-03=11</v>
          </cell>
          <cell r="M123" t="str">
            <v>Nación</v>
          </cell>
          <cell r="N123" t="str">
            <v>11</v>
          </cell>
          <cell r="O123" t="str">
            <v>CSF</v>
          </cell>
          <cell r="P123" t="str">
            <v xml:space="preserve">TRANSFERENCIAS CORRIENTES - SERVICIO DE APOYO A UNIDADES PRODUCTIVAS INDIVIDUALES PARA LA GENERACIÓN DE INGRESOS - IMPLEMENTACIÓN DE HERRAMIENTAS PARA LA INCLUSIÓN PRODUCTIVA DE LA POBLACIÓN EN SITUACIÓN DE POBREZA EXTREMA, VULNERABILIDAD Y VICTIMAS </v>
          </cell>
          <cell r="Q123">
            <v>45582352481</v>
          </cell>
          <cell r="R123">
            <v>0</v>
          </cell>
          <cell r="S123">
            <v>24481010129</v>
          </cell>
          <cell r="T123">
            <v>21101342352</v>
          </cell>
          <cell r="U123">
            <v>0</v>
          </cell>
          <cell r="V123">
            <v>21101342352</v>
          </cell>
          <cell r="W123">
            <v>0</v>
          </cell>
          <cell r="X123">
            <v>21101342352</v>
          </cell>
          <cell r="Y123">
            <v>0</v>
          </cell>
          <cell r="Z123">
            <v>0</v>
          </cell>
          <cell r="AA123">
            <v>0</v>
          </cell>
        </row>
        <row r="124">
          <cell r="L124" t="str">
            <v>C-4103-1500-18-0-4103050-02=11</v>
          </cell>
          <cell r="M124" t="str">
            <v>Nación</v>
          </cell>
          <cell r="N124" t="str">
            <v>11</v>
          </cell>
          <cell r="O124" t="str">
            <v>CSF</v>
          </cell>
          <cell r="P124" t="str">
            <v>ADQUISICIÓN DE BIENES Y SERVICIOS - SERVICIO DE ACOMPAÑAMIENTO FAMILIAR Y COMUNITARIO PARA LA SUPERACIÓN DE LA POBREZA - IMPLEMENTACIÓN DE LA ESTRATEGIA DE ACOMPAÑAMIENTO FAMILIAR Y COMUNITARIO PARA LA SUPERACIÓN DE LA POBREZA - FIP A NIVEL   NACIONA</v>
          </cell>
          <cell r="Q124">
            <v>70125561842</v>
          </cell>
          <cell r="R124">
            <v>0</v>
          </cell>
          <cell r="S124">
            <v>60000000000</v>
          </cell>
          <cell r="T124">
            <v>10125561842</v>
          </cell>
          <cell r="U124">
            <v>0</v>
          </cell>
          <cell r="V124">
            <v>3645066839.9200001</v>
          </cell>
          <cell r="W124">
            <v>6480495002.0799999</v>
          </cell>
          <cell r="X124">
            <v>3197913279.9200001</v>
          </cell>
          <cell r="Y124">
            <v>129771155.38</v>
          </cell>
          <cell r="Z124">
            <v>129771155.38</v>
          </cell>
          <cell r="AA124">
            <v>129771155.38</v>
          </cell>
        </row>
        <row r="125">
          <cell r="L125" t="str">
            <v>C-4103-1500-19-0-4103052-02=11</v>
          </cell>
          <cell r="M125" t="str">
            <v>Nación</v>
          </cell>
          <cell r="N125" t="str">
            <v>11</v>
          </cell>
          <cell r="O125" t="str">
            <v>CSF</v>
          </cell>
          <cell r="P125" t="str">
            <v>ADQUISICIÓN DE BIENES Y SERVICIOS - SERVICIO DE GESTIÓN DE OFERTA SOCIAL PARA LA POBLACIÓN VULNERABLE - FORTALECIMIENTO DE LA GESTIÓN DE OFERTA PARA LA SUPERACIÓN DE LA POBREZA- FIP A NIVEL  NACIONAL</v>
          </cell>
          <cell r="Q125">
            <v>9835707936</v>
          </cell>
          <cell r="R125">
            <v>0</v>
          </cell>
          <cell r="S125">
            <v>0</v>
          </cell>
          <cell r="T125">
            <v>9835707936</v>
          </cell>
          <cell r="U125">
            <v>0</v>
          </cell>
          <cell r="V125">
            <v>4474125948</v>
          </cell>
          <cell r="W125">
            <v>5361581988</v>
          </cell>
          <cell r="X125">
            <v>3096194279</v>
          </cell>
          <cell r="Y125">
            <v>34049425</v>
          </cell>
          <cell r="Z125">
            <v>34049425</v>
          </cell>
          <cell r="AA125">
            <v>34049425</v>
          </cell>
        </row>
        <row r="126">
          <cell r="L126" t="str">
            <v>C-4103-1500-19-0-4103060-02=11</v>
          </cell>
          <cell r="M126" t="str">
            <v>Nación</v>
          </cell>
          <cell r="N126" t="str">
            <v>11</v>
          </cell>
          <cell r="O126" t="str">
            <v>CSF</v>
          </cell>
          <cell r="P126" t="str">
            <v>ADQUISICIÓN DE BIENES Y SERVICIOS - DOCUMENTO DE LINEAMIENTOS TÉCNICOS - FORTALECIMIENTO DE LA GESTIÓN DE OFERTA PARA LA SUPERACIÓN DE LA POBREZA- FIP A NIVEL  NACIONAL</v>
          </cell>
          <cell r="Q126">
            <v>1226999999</v>
          </cell>
          <cell r="R126">
            <v>0</v>
          </cell>
          <cell r="S126">
            <v>0</v>
          </cell>
          <cell r="T126">
            <v>1226999999</v>
          </cell>
          <cell r="U126">
            <v>0</v>
          </cell>
          <cell r="V126">
            <v>0</v>
          </cell>
          <cell r="W126">
            <v>1226999999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L127" t="str">
            <v>C-4103-1500-19-0-4103049-02=11</v>
          </cell>
          <cell r="M127" t="str">
            <v>Nación</v>
          </cell>
          <cell r="N127" t="str">
            <v>11</v>
          </cell>
          <cell r="O127" t="str">
            <v>CSF</v>
          </cell>
          <cell r="P127" t="str">
            <v>ADQUISICIÓN DE BIENES Y SERVICIOS - SERVICIO DE ASISTENCIA TÉCNICA A LAS ENTIDADES TERRITORIALES EN LA FORMULACIÓN DE SUS MARCOS DE LUCHA CONTRA LA POBREZA - FORTALECIMIENTO DE LA GESTIÓN DE OFERTA PARA LA SUPERACIÓN DE LA POBREZA- FIP A NIVEL  NACIO</v>
          </cell>
          <cell r="Q127">
            <v>218772000</v>
          </cell>
          <cell r="R127">
            <v>0</v>
          </cell>
          <cell r="S127">
            <v>0</v>
          </cell>
          <cell r="T127">
            <v>218772000</v>
          </cell>
          <cell r="U127">
            <v>0</v>
          </cell>
          <cell r="V127">
            <v>214772000</v>
          </cell>
          <cell r="W127">
            <v>4000000</v>
          </cell>
          <cell r="X127">
            <v>193677224</v>
          </cell>
          <cell r="Y127">
            <v>0</v>
          </cell>
          <cell r="Z127">
            <v>0</v>
          </cell>
          <cell r="AA127">
            <v>0</v>
          </cell>
        </row>
        <row r="128">
          <cell r="L128" t="str">
            <v>C-4199-1500-2-0-4199062-02=11</v>
          </cell>
          <cell r="M128" t="str">
            <v>Nación</v>
          </cell>
          <cell r="N128" t="str">
            <v>11</v>
          </cell>
          <cell r="O128" t="str">
            <v>CSF</v>
          </cell>
          <cell r="P128" t="str">
            <v>ADQUISICIÓN DE BIENES Y SERVICIOS - SERVICIOS TECNOLÓGICOS  - IMPLEMENTACIÓN Y AMPLIACIÓN DE LAS TECNOLOGÍAS DE INFORMACIÓN Y COMUNICACIONES EN DPS A NIVEL  NACIONAL</v>
          </cell>
          <cell r="Q128">
            <v>3226548466</v>
          </cell>
          <cell r="R128">
            <v>0</v>
          </cell>
          <cell r="S128">
            <v>0</v>
          </cell>
          <cell r="T128">
            <v>3226548466</v>
          </cell>
          <cell r="U128">
            <v>0</v>
          </cell>
          <cell r="V128">
            <v>1485351079</v>
          </cell>
          <cell r="W128">
            <v>1741197387</v>
          </cell>
          <cell r="X128">
            <v>1421220009.4000001</v>
          </cell>
          <cell r="Y128">
            <v>0</v>
          </cell>
          <cell r="Z128">
            <v>0</v>
          </cell>
          <cell r="AA12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.Ejecutivo.2019"/>
      <sheetName val="Vigencia"/>
      <sheetName val="EJEC_2020"/>
      <sheetName val="PPTO 2019 DPS Modif2"/>
      <sheetName val="Reserva"/>
      <sheetName val="Ejec_RESERVA"/>
      <sheetName val="RPS_reserva"/>
      <sheetName val="PAGOS_reserva"/>
      <sheetName val="CXP"/>
      <sheetName val="Ejec_CXP19"/>
      <sheetName val="pagoCXP"/>
      <sheetName val="Modif2"/>
    </sheetNames>
    <sheetDataSet>
      <sheetData sheetId="0"/>
      <sheetData sheetId="1">
        <row r="5">
          <cell r="L5" t="str">
            <v>A-01-01-01=10</v>
          </cell>
          <cell r="M5" t="str">
            <v>Nación</v>
          </cell>
          <cell r="N5" t="str">
            <v>10</v>
          </cell>
          <cell r="O5" t="str">
            <v>CSF</v>
          </cell>
          <cell r="P5" t="str">
            <v>SALARIO</v>
          </cell>
          <cell r="Q5">
            <v>68019000000</v>
          </cell>
          <cell r="R5">
            <v>0</v>
          </cell>
          <cell r="S5">
            <v>0</v>
          </cell>
          <cell r="T5">
            <v>68019000000</v>
          </cell>
          <cell r="U5">
            <v>0</v>
          </cell>
          <cell r="V5">
            <v>68019000000</v>
          </cell>
          <cell r="W5">
            <v>0</v>
          </cell>
          <cell r="X5">
            <v>61031327000</v>
          </cell>
          <cell r="Y5">
            <v>4409317677</v>
          </cell>
          <cell r="Z5">
            <v>4409317677</v>
          </cell>
          <cell r="AA5">
            <v>4409317677</v>
          </cell>
        </row>
        <row r="6">
          <cell r="L6" t="str">
            <v>A-01-01-02=10</v>
          </cell>
          <cell r="M6" t="str">
            <v>Nación</v>
          </cell>
          <cell r="N6" t="str">
            <v>10</v>
          </cell>
          <cell r="O6" t="str">
            <v>CSF</v>
          </cell>
          <cell r="P6" t="str">
            <v>CONTRIBUCIONES INHERENTES A LA NÓMINA</v>
          </cell>
          <cell r="Q6">
            <v>24735000000</v>
          </cell>
          <cell r="R6">
            <v>0</v>
          </cell>
          <cell r="S6">
            <v>0</v>
          </cell>
          <cell r="T6">
            <v>24735000000</v>
          </cell>
          <cell r="U6">
            <v>0</v>
          </cell>
          <cell r="V6">
            <v>24735000000</v>
          </cell>
          <cell r="W6">
            <v>0</v>
          </cell>
          <cell r="X6">
            <v>22257548000</v>
          </cell>
          <cell r="Y6">
            <v>1817880130</v>
          </cell>
          <cell r="Z6">
            <v>1817880130</v>
          </cell>
          <cell r="AA6">
            <v>1817880130</v>
          </cell>
        </row>
        <row r="7">
          <cell r="L7" t="str">
            <v>A-01-01-03=10</v>
          </cell>
          <cell r="M7" t="str">
            <v>Nación</v>
          </cell>
          <cell r="N7" t="str">
            <v>10</v>
          </cell>
          <cell r="O7" t="str">
            <v>CSF</v>
          </cell>
          <cell r="P7" t="str">
            <v>REMUNERACIONES NO CONSTITUTIVAS DE FACTOR SALARIAL</v>
          </cell>
          <cell r="Q7">
            <v>6984000000</v>
          </cell>
          <cell r="R7">
            <v>0</v>
          </cell>
          <cell r="S7">
            <v>0</v>
          </cell>
          <cell r="T7">
            <v>6984000000</v>
          </cell>
          <cell r="U7">
            <v>0</v>
          </cell>
          <cell r="V7">
            <v>6954000000</v>
          </cell>
          <cell r="W7">
            <v>30000000</v>
          </cell>
          <cell r="X7">
            <v>6475079000</v>
          </cell>
          <cell r="Y7">
            <v>358855054</v>
          </cell>
          <cell r="Z7">
            <v>358855054</v>
          </cell>
          <cell r="AA7">
            <v>358855054</v>
          </cell>
        </row>
        <row r="8">
          <cell r="L8" t="str">
            <v>A-02-02=10</v>
          </cell>
          <cell r="M8" t="str">
            <v>Nación</v>
          </cell>
          <cell r="N8" t="str">
            <v>10</v>
          </cell>
          <cell r="O8" t="str">
            <v>CSF</v>
          </cell>
          <cell r="P8" t="str">
            <v>ADQUISICIONES DIFERENTES DE ACTIVOS</v>
          </cell>
          <cell r="Q8">
            <v>42289000000</v>
          </cell>
          <cell r="R8">
            <v>0</v>
          </cell>
          <cell r="S8">
            <v>0</v>
          </cell>
          <cell r="T8">
            <v>42289000000</v>
          </cell>
          <cell r="U8">
            <v>0</v>
          </cell>
          <cell r="V8">
            <v>31343809404.970001</v>
          </cell>
          <cell r="W8">
            <v>10945190595.030001</v>
          </cell>
          <cell r="X8">
            <v>24214797714.849998</v>
          </cell>
          <cell r="Y8">
            <v>1345923446.8800001</v>
          </cell>
          <cell r="Z8">
            <v>1340791710.8800001</v>
          </cell>
          <cell r="AA8">
            <v>1332727341.8800001</v>
          </cell>
        </row>
        <row r="9">
          <cell r="L9" t="str">
            <v>A-03-03-01-999=10</v>
          </cell>
          <cell r="M9" t="str">
            <v>Nación</v>
          </cell>
          <cell r="N9" t="str">
            <v>10</v>
          </cell>
          <cell r="O9" t="str">
            <v>CSF</v>
          </cell>
          <cell r="P9" t="str">
            <v>OTRAS TRANSFERENCIAS - DISTRIBUCIÓN PREVIO CONCEPTO DGPPN</v>
          </cell>
          <cell r="Q9">
            <v>11791000000</v>
          </cell>
          <cell r="R9">
            <v>0</v>
          </cell>
          <cell r="S9">
            <v>0</v>
          </cell>
          <cell r="T9">
            <v>11791000000</v>
          </cell>
          <cell r="U9">
            <v>11791000000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L10" t="str">
            <v>A-03-04-02-012=10</v>
          </cell>
          <cell r="M10" t="str">
            <v>Nación</v>
          </cell>
          <cell r="N10" t="str">
            <v>10</v>
          </cell>
          <cell r="O10" t="str">
            <v>CSF</v>
          </cell>
          <cell r="P10" t="str">
            <v>INCAPACIDADES Y LICENCIAS DE MATERNIDAD Y PATERNIDAD (NO DE PENSIONES)</v>
          </cell>
          <cell r="Q10">
            <v>752000000</v>
          </cell>
          <cell r="R10">
            <v>0</v>
          </cell>
          <cell r="S10">
            <v>0</v>
          </cell>
          <cell r="T10">
            <v>752000000</v>
          </cell>
          <cell r="U10">
            <v>0</v>
          </cell>
          <cell r="V10">
            <v>752000000</v>
          </cell>
          <cell r="W10">
            <v>0</v>
          </cell>
          <cell r="X10">
            <v>752000000</v>
          </cell>
          <cell r="Y10">
            <v>56786767</v>
          </cell>
          <cell r="Z10">
            <v>56786767</v>
          </cell>
          <cell r="AA10">
            <v>56786767</v>
          </cell>
        </row>
        <row r="11">
          <cell r="L11" t="str">
            <v>A-03-10-01-001=10</v>
          </cell>
          <cell r="M11" t="str">
            <v>Nación</v>
          </cell>
          <cell r="N11" t="str">
            <v>10</v>
          </cell>
          <cell r="O11" t="str">
            <v>CSF</v>
          </cell>
          <cell r="P11" t="str">
            <v>SENTENCIAS</v>
          </cell>
          <cell r="Q11">
            <v>2597000000</v>
          </cell>
          <cell r="R11">
            <v>0</v>
          </cell>
          <cell r="S11">
            <v>0</v>
          </cell>
          <cell r="T11">
            <v>2597000000</v>
          </cell>
          <cell r="U11">
            <v>0</v>
          </cell>
          <cell r="V11">
            <v>0</v>
          </cell>
          <cell r="W11">
            <v>2597000000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L12" t="str">
            <v>A-08-01=10</v>
          </cell>
          <cell r="M12" t="str">
            <v>Nación</v>
          </cell>
          <cell r="N12" t="str">
            <v>10</v>
          </cell>
          <cell r="O12" t="str">
            <v>CSF</v>
          </cell>
          <cell r="P12" t="str">
            <v>IMPUESTOS</v>
          </cell>
          <cell r="Q12">
            <v>84000000</v>
          </cell>
          <cell r="R12">
            <v>0</v>
          </cell>
          <cell r="S12">
            <v>0</v>
          </cell>
          <cell r="T12">
            <v>84000000</v>
          </cell>
          <cell r="U12">
            <v>0</v>
          </cell>
          <cell r="V12">
            <v>84000000</v>
          </cell>
          <cell r="W12">
            <v>0</v>
          </cell>
          <cell r="X12">
            <v>4119918.21</v>
          </cell>
          <cell r="Y12">
            <v>4119918.21</v>
          </cell>
          <cell r="Z12">
            <v>4119918.21</v>
          </cell>
          <cell r="AA12">
            <v>3480755.21</v>
          </cell>
        </row>
        <row r="13">
          <cell r="L13" t="str">
            <v>A-08-04-01=11</v>
          </cell>
          <cell r="M13" t="str">
            <v>Nación</v>
          </cell>
          <cell r="N13" t="str">
            <v>11</v>
          </cell>
          <cell r="O13" t="str">
            <v>SSF</v>
          </cell>
          <cell r="P13" t="str">
            <v>CUOTA DE FISCALIZACIÓN Y AUDITAJE</v>
          </cell>
          <cell r="Q13">
            <v>5740000000</v>
          </cell>
          <cell r="R13">
            <v>0</v>
          </cell>
          <cell r="S13">
            <v>0</v>
          </cell>
          <cell r="T13">
            <v>5740000000</v>
          </cell>
          <cell r="U13">
            <v>0</v>
          </cell>
          <cell r="V13">
            <v>0</v>
          </cell>
          <cell r="W13">
            <v>5740000000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L14" t="str">
            <v>C-4101-1500-5=11</v>
          </cell>
          <cell r="M14" t="str">
            <v>Nación</v>
          </cell>
          <cell r="N14" t="str">
            <v>11</v>
          </cell>
          <cell r="O14" t="str">
            <v>CSF</v>
          </cell>
          <cell r="P14" t="str">
            <v>IMPLEMENTACIÓN DE INTERVENCIÓN INTEGRAL APD CON ENFOQUE DIFERENCIAL ÉTNICO PARA INDIGENAS Y AFROS A NIVEL  NACIONAL</v>
          </cell>
          <cell r="Q14">
            <v>66398074900</v>
          </cell>
          <cell r="R14">
            <v>0</v>
          </cell>
          <cell r="S14">
            <v>0</v>
          </cell>
          <cell r="T14">
            <v>66398074900</v>
          </cell>
          <cell r="U14">
            <v>0</v>
          </cell>
          <cell r="V14">
            <v>61345787771</v>
          </cell>
          <cell r="W14">
            <v>5052287129</v>
          </cell>
          <cell r="X14">
            <v>61150637244</v>
          </cell>
          <cell r="Y14">
            <v>0</v>
          </cell>
          <cell r="Z14">
            <v>0</v>
          </cell>
          <cell r="AA14">
            <v>0</v>
          </cell>
        </row>
        <row r="15">
          <cell r="L15" t="str">
            <v>C-4101-1500-6=11</v>
          </cell>
          <cell r="M15" t="str">
            <v>Nación</v>
          </cell>
          <cell r="N15" t="str">
            <v>11</v>
          </cell>
          <cell r="O15" t="str">
            <v>CSF</v>
          </cell>
          <cell r="P15" t="str">
            <v>IMPLEMENTACIÓN DE UN ESQUEMA ESPECIAL DE ACOMPAÑAMIENTO FAMILIAR DIRIGIDO A LA POBLACIÓN VICTIMA DE DESPLAZAMIENTO FORZADO RETORNADA O REUBICADA EN ZONAS RURALES, A NIVEL  NACIONAL</v>
          </cell>
          <cell r="Q15">
            <v>118101757963</v>
          </cell>
          <cell r="R15">
            <v>0</v>
          </cell>
          <cell r="S15">
            <v>0</v>
          </cell>
          <cell r="T15">
            <v>118101757963</v>
          </cell>
          <cell r="U15">
            <v>0</v>
          </cell>
          <cell r="V15">
            <v>107367094606</v>
          </cell>
          <cell r="W15">
            <v>10734663357</v>
          </cell>
          <cell r="X15">
            <v>107121068144</v>
          </cell>
          <cell r="Y15">
            <v>0</v>
          </cell>
          <cell r="Z15">
            <v>0</v>
          </cell>
          <cell r="AA15">
            <v>0</v>
          </cell>
        </row>
        <row r="16">
          <cell r="L16" t="str">
            <v>C-4103-1500-12=10</v>
          </cell>
          <cell r="M16" t="str">
            <v>Nación</v>
          </cell>
          <cell r="N16" t="str">
            <v>10</v>
          </cell>
          <cell r="O16" t="str">
            <v>CSF</v>
          </cell>
          <cell r="P16" t="str">
            <v>IMPLEMENTACIÓN DE TRANSFERENCIAS MONETARIAS CONDICIONADAS PARA POBLACIÓN VULNERABLE A NIVEL NACIONAL - FIP  NACIONAL</v>
          </cell>
          <cell r="Q16">
            <v>187908006435</v>
          </cell>
          <cell r="R16">
            <v>0</v>
          </cell>
          <cell r="S16">
            <v>0</v>
          </cell>
          <cell r="T16">
            <v>187908006435</v>
          </cell>
          <cell r="U16">
            <v>0</v>
          </cell>
          <cell r="V16">
            <v>175726793747.82999</v>
          </cell>
          <cell r="W16">
            <v>12181212687.17</v>
          </cell>
          <cell r="X16">
            <v>45571317923.129997</v>
          </cell>
          <cell r="Y16">
            <v>0</v>
          </cell>
          <cell r="Z16">
            <v>0</v>
          </cell>
          <cell r="AA16">
            <v>0</v>
          </cell>
        </row>
        <row r="17">
          <cell r="L17" t="str">
            <v>C-4103-1500-12=11</v>
          </cell>
          <cell r="M17" t="str">
            <v>Nación</v>
          </cell>
          <cell r="N17" t="str">
            <v>11</v>
          </cell>
          <cell r="O17" t="str">
            <v>CSF</v>
          </cell>
          <cell r="P17" t="str">
            <v>IMPLEMENTACIÓN DE TRANSFERENCIAS MONETARIAS CONDICIONADAS PARA POBLACIÓN VULNERABLE A NIVEL NACIONAL - FIP  NACIONAL</v>
          </cell>
          <cell r="Q17">
            <v>1691172057916</v>
          </cell>
          <cell r="R17">
            <v>0</v>
          </cell>
          <cell r="S17">
            <v>0</v>
          </cell>
          <cell r="T17">
            <v>1691172057916</v>
          </cell>
          <cell r="U17">
            <v>0</v>
          </cell>
          <cell r="V17">
            <v>1691172057916</v>
          </cell>
          <cell r="W17">
            <v>0</v>
          </cell>
          <cell r="X17">
            <v>570317913623</v>
          </cell>
          <cell r="Y17">
            <v>0</v>
          </cell>
          <cell r="Z17">
            <v>0</v>
          </cell>
          <cell r="AA17">
            <v>0</v>
          </cell>
        </row>
        <row r="18">
          <cell r="L18" t="str">
            <v>C-4103-1500-13=11</v>
          </cell>
          <cell r="M18" t="str">
            <v>Nación</v>
          </cell>
          <cell r="N18" t="str">
            <v>11</v>
          </cell>
          <cell r="O18" t="str">
            <v>CSF</v>
          </cell>
          <cell r="P18" t="str">
            <v>IMPLEMENTACIÓN DE UNIDADES PRODUCTIVAS DE AUTOCONSUMO PARA POBLACIÓN POBRE Y VULNERABLE   NACIONAL</v>
          </cell>
          <cell r="Q18">
            <v>25903028858</v>
          </cell>
          <cell r="R18">
            <v>0</v>
          </cell>
          <cell r="S18">
            <v>0</v>
          </cell>
          <cell r="T18">
            <v>25903028858</v>
          </cell>
          <cell r="U18">
            <v>0</v>
          </cell>
          <cell r="V18">
            <v>15249272903</v>
          </cell>
          <cell r="W18">
            <v>10653755955</v>
          </cell>
          <cell r="X18">
            <v>14926117016</v>
          </cell>
          <cell r="Y18">
            <v>0</v>
          </cell>
          <cell r="Z18">
            <v>0</v>
          </cell>
          <cell r="AA18">
            <v>0</v>
          </cell>
        </row>
        <row r="19">
          <cell r="L19" t="str">
            <v>C-4103-1500-14=10</v>
          </cell>
          <cell r="M19" t="str">
            <v>Nación</v>
          </cell>
          <cell r="N19" t="str">
            <v>10</v>
          </cell>
          <cell r="O19" t="str">
            <v>CSF</v>
          </cell>
          <cell r="P19" t="str">
            <v>FORTALECIMIENTO PARA EL DESARROLLO DE INFRAESTRUCTURA SOCIAL Y HÁBITAT PARA LA INCLUSIÓN SOCIAL A NIVEL NACIONAL - FIP  NACIONAL</v>
          </cell>
          <cell r="Q19">
            <v>50000000000</v>
          </cell>
          <cell r="R19">
            <v>0</v>
          </cell>
          <cell r="S19">
            <v>0</v>
          </cell>
          <cell r="T19">
            <v>50000000000</v>
          </cell>
          <cell r="U19">
            <v>0</v>
          </cell>
          <cell r="V19">
            <v>0</v>
          </cell>
          <cell r="W19">
            <v>50000000000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L20" t="str">
            <v>C-4103-1500-14=11</v>
          </cell>
          <cell r="M20" t="str">
            <v>Nación</v>
          </cell>
          <cell r="N20" t="str">
            <v>11</v>
          </cell>
          <cell r="O20" t="str">
            <v>CSF</v>
          </cell>
          <cell r="P20" t="str">
            <v>FORTALECIMIENTO PARA EL DESARROLLO DE INFRAESTRUCTURA SOCIAL Y HÁBITAT PARA LA INCLUSIÓN SOCIAL A NIVEL NACIONAL - FIP  NACIONAL</v>
          </cell>
          <cell r="Q20">
            <v>1176882227478</v>
          </cell>
          <cell r="R20">
            <v>0</v>
          </cell>
          <cell r="S20">
            <v>0</v>
          </cell>
          <cell r="T20">
            <v>1176882227478</v>
          </cell>
          <cell r="U20">
            <v>0</v>
          </cell>
          <cell r="V20">
            <v>509965057416.96002</v>
          </cell>
          <cell r="W20">
            <v>666917170061.04004</v>
          </cell>
          <cell r="X20">
            <v>494094264261.75</v>
          </cell>
          <cell r="Y20">
            <v>0</v>
          </cell>
          <cell r="Z20">
            <v>0</v>
          </cell>
          <cell r="AA20">
            <v>0</v>
          </cell>
        </row>
        <row r="21">
          <cell r="L21" t="str">
            <v>C-4103-1500-16=11</v>
          </cell>
          <cell r="M21" t="str">
            <v>Nación</v>
          </cell>
          <cell r="N21" t="str">
            <v>11</v>
          </cell>
          <cell r="O21" t="str">
            <v>CSF</v>
          </cell>
          <cell r="P21" t="str">
            <v>FORTALECIMIENTO A ENTIDADES TERRITORIALES EN POLITICA DE SEGURIDAD ALIMENTARIA  NACIONAL</v>
          </cell>
          <cell r="Q21">
            <v>1000000000</v>
          </cell>
          <cell r="R21">
            <v>0</v>
          </cell>
          <cell r="S21">
            <v>0</v>
          </cell>
          <cell r="T21">
            <v>1000000000</v>
          </cell>
          <cell r="U21">
            <v>0</v>
          </cell>
          <cell r="V21">
            <v>0</v>
          </cell>
          <cell r="W21">
            <v>1000000000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L22" t="str">
            <v>C-4103-1500-17=11</v>
          </cell>
          <cell r="M22" t="str">
            <v>Nación</v>
          </cell>
          <cell r="N22" t="str">
            <v>11</v>
          </cell>
          <cell r="O22" t="str">
            <v>CSF</v>
          </cell>
          <cell r="P22" t="str">
            <v>IMPLEMENTACIÓN DE HERRAMIENTAS PARA LA INCLUSIÓN PRODUCTIVA DE LA POBLACIÓN EN SITUACIÓN DE POBREZA EXTREMA, VULNERABILIDAD Y VICTIMAS DEL DESPLAZAMIENTO FORZADO POR LA VIOLENCIA FIP A NIVEL  NACIONAL</v>
          </cell>
          <cell r="Q22">
            <v>83583395677</v>
          </cell>
          <cell r="R22">
            <v>0</v>
          </cell>
          <cell r="S22">
            <v>0</v>
          </cell>
          <cell r="T22">
            <v>83583395677</v>
          </cell>
          <cell r="U22">
            <v>0</v>
          </cell>
          <cell r="V22">
            <v>41415967841</v>
          </cell>
          <cell r="W22">
            <v>42167427836</v>
          </cell>
          <cell r="X22">
            <v>38633062202</v>
          </cell>
          <cell r="Y22">
            <v>416769</v>
          </cell>
          <cell r="Z22">
            <v>416769</v>
          </cell>
          <cell r="AA22">
            <v>0</v>
          </cell>
        </row>
        <row r="23">
          <cell r="L23" t="str">
            <v>C-4103-1500-18=11</v>
          </cell>
          <cell r="M23" t="str">
            <v>Nación</v>
          </cell>
          <cell r="N23" t="str">
            <v>11</v>
          </cell>
          <cell r="O23" t="str">
            <v>CSF</v>
          </cell>
          <cell r="P23" t="str">
            <v>IMPLEMENTACIÓN DE LA ESTRATEGIA DE ACOMPAÑAMIENTO FAMILIAR Y COMUNITARIO PARA LA SUPERACIÓN DE LA POBREZA - FIP A NIVEL   NACIONAL</v>
          </cell>
          <cell r="Q23">
            <v>70125561842</v>
          </cell>
          <cell r="R23">
            <v>0</v>
          </cell>
          <cell r="S23">
            <v>0</v>
          </cell>
          <cell r="T23">
            <v>70125561842</v>
          </cell>
          <cell r="U23">
            <v>0</v>
          </cell>
          <cell r="V23">
            <v>3625066839.9200001</v>
          </cell>
          <cell r="W23">
            <v>66500495002.080002</v>
          </cell>
          <cell r="X23">
            <v>2665516270.9200001</v>
          </cell>
          <cell r="Y23">
            <v>0</v>
          </cell>
          <cell r="Z23">
            <v>0</v>
          </cell>
          <cell r="AA23">
            <v>0</v>
          </cell>
        </row>
        <row r="24">
          <cell r="L24" t="str">
            <v>C-4103-1500-19=11</v>
          </cell>
          <cell r="M24" t="str">
            <v>Nación</v>
          </cell>
          <cell r="N24" t="str">
            <v>11</v>
          </cell>
          <cell r="O24" t="str">
            <v>CSF</v>
          </cell>
          <cell r="P24" t="str">
            <v>FORTALECIMIENTO DE LA GESTIÓN DE OFERTA PARA LA SUPERACIÓN DE LA POBREZA- FIP A NIVEL  NACIONAL</v>
          </cell>
          <cell r="Q24">
            <v>11281479935</v>
          </cell>
          <cell r="R24">
            <v>0</v>
          </cell>
          <cell r="S24">
            <v>0</v>
          </cell>
          <cell r="T24">
            <v>11281479935</v>
          </cell>
          <cell r="U24">
            <v>0</v>
          </cell>
          <cell r="V24">
            <v>4477125948</v>
          </cell>
          <cell r="W24">
            <v>6804353987</v>
          </cell>
          <cell r="X24">
            <v>3032781405</v>
          </cell>
          <cell r="Y24">
            <v>0</v>
          </cell>
          <cell r="Z24">
            <v>0</v>
          </cell>
          <cell r="AA24">
            <v>0</v>
          </cell>
        </row>
        <row r="25">
          <cell r="L25" t="str">
            <v>C-4199-1500-2=11</v>
          </cell>
          <cell r="M25" t="str">
            <v>Nación</v>
          </cell>
          <cell r="N25" t="str">
            <v>11</v>
          </cell>
          <cell r="O25" t="str">
            <v>CSF</v>
          </cell>
          <cell r="P25" t="str">
            <v>IMPLEMENTACIÓN Y AMPLIACIÓN DE LAS TECNOLOGÍAS DE INFORMACIÓN Y COMUNICACIONES EN DPS A NIVEL  NACIONAL</v>
          </cell>
          <cell r="Q25">
            <v>3226548466</v>
          </cell>
          <cell r="R25">
            <v>0</v>
          </cell>
          <cell r="S25">
            <v>0</v>
          </cell>
          <cell r="T25">
            <v>3226548466</v>
          </cell>
          <cell r="U25">
            <v>0</v>
          </cell>
          <cell r="V25">
            <v>0</v>
          </cell>
          <cell r="W25">
            <v>3226548466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L26" t="str">
            <v>=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>
            <v>3648573139470</v>
          </cell>
          <cell r="R26">
            <v>0</v>
          </cell>
          <cell r="S26">
            <v>0</v>
          </cell>
          <cell r="T26">
            <v>3648573139470</v>
          </cell>
          <cell r="U26">
            <v>11791000000</v>
          </cell>
          <cell r="V26">
            <v>2742232034394.6802</v>
          </cell>
          <cell r="W26">
            <v>894550105075.31995</v>
          </cell>
          <cell r="X26">
            <v>1452247549722.8601</v>
          </cell>
          <cell r="Y26">
            <v>7993299762.0900002</v>
          </cell>
          <cell r="Z26">
            <v>7988168026.0900002</v>
          </cell>
          <cell r="AA26">
            <v>7979047725.0900002</v>
          </cell>
        </row>
        <row r="27">
          <cell r="L27" t="str">
            <v>A-01-01-01-001-001=10</v>
          </cell>
          <cell r="M27" t="str">
            <v>Nación</v>
          </cell>
          <cell r="N27" t="str">
            <v>10</v>
          </cell>
          <cell r="O27" t="str">
            <v>CSF</v>
          </cell>
          <cell r="P27" t="str">
            <v>SUELDO BÁSICO</v>
          </cell>
          <cell r="Q27">
            <v>54858000000</v>
          </cell>
          <cell r="R27">
            <v>0</v>
          </cell>
          <cell r="S27">
            <v>0</v>
          </cell>
          <cell r="T27">
            <v>54858000000</v>
          </cell>
          <cell r="U27">
            <v>0</v>
          </cell>
          <cell r="V27">
            <v>54858000000</v>
          </cell>
          <cell r="W27">
            <v>0</v>
          </cell>
          <cell r="X27">
            <v>48931483000</v>
          </cell>
          <cell r="Y27">
            <v>4066231714</v>
          </cell>
          <cell r="Z27">
            <v>4066231714</v>
          </cell>
          <cell r="AA27">
            <v>4066231714</v>
          </cell>
        </row>
        <row r="28">
          <cell r="L28" t="str">
            <v>A-01-01-01-001-002=10</v>
          </cell>
          <cell r="M28" t="str">
            <v>Nación</v>
          </cell>
          <cell r="N28" t="str">
            <v>10</v>
          </cell>
          <cell r="O28" t="str">
            <v>CSF</v>
          </cell>
          <cell r="P28" t="str">
            <v>GASTOS DE REPRESENTACIÓN</v>
          </cell>
          <cell r="Q28">
            <v>263000000</v>
          </cell>
          <cell r="R28">
            <v>0</v>
          </cell>
          <cell r="S28">
            <v>0</v>
          </cell>
          <cell r="T28">
            <v>263000000</v>
          </cell>
          <cell r="U28">
            <v>0</v>
          </cell>
          <cell r="V28">
            <v>263000000</v>
          </cell>
          <cell r="W28">
            <v>0</v>
          </cell>
          <cell r="X28">
            <v>263000000</v>
          </cell>
          <cell r="Y28">
            <v>21862404</v>
          </cell>
          <cell r="Z28">
            <v>21862404</v>
          </cell>
          <cell r="AA28">
            <v>21862404</v>
          </cell>
        </row>
        <row r="29">
          <cell r="L29" t="str">
            <v>A-01-01-01-001-003=10</v>
          </cell>
          <cell r="M29" t="str">
            <v>Nación</v>
          </cell>
          <cell r="N29" t="str">
            <v>10</v>
          </cell>
          <cell r="O29" t="str">
            <v>CSF</v>
          </cell>
          <cell r="P29" t="str">
            <v>PRIMA TÉCNICA SALARIAL</v>
          </cell>
          <cell r="Q29">
            <v>550000000</v>
          </cell>
          <cell r="R29">
            <v>0</v>
          </cell>
          <cell r="S29">
            <v>0</v>
          </cell>
          <cell r="T29">
            <v>550000000</v>
          </cell>
          <cell r="U29">
            <v>0</v>
          </cell>
          <cell r="V29">
            <v>550000000</v>
          </cell>
          <cell r="W29">
            <v>0</v>
          </cell>
          <cell r="X29">
            <v>494639000</v>
          </cell>
          <cell r="Y29">
            <v>39499895</v>
          </cell>
          <cell r="Z29">
            <v>39499895</v>
          </cell>
          <cell r="AA29">
            <v>39499895</v>
          </cell>
        </row>
        <row r="30">
          <cell r="L30" t="str">
            <v>A-01-01-01-001-004=10</v>
          </cell>
          <cell r="M30" t="str">
            <v>Nación</v>
          </cell>
          <cell r="N30" t="str">
            <v>10</v>
          </cell>
          <cell r="O30" t="str">
            <v>CSF</v>
          </cell>
          <cell r="P30" t="str">
            <v>SUBSIDIO DE ALIMENTACIÓN</v>
          </cell>
          <cell r="Q30">
            <v>100000000</v>
          </cell>
          <cell r="R30">
            <v>0</v>
          </cell>
          <cell r="S30">
            <v>0</v>
          </cell>
          <cell r="T30">
            <v>100000000</v>
          </cell>
          <cell r="U30">
            <v>0</v>
          </cell>
          <cell r="V30">
            <v>100000000</v>
          </cell>
          <cell r="W30">
            <v>0</v>
          </cell>
          <cell r="X30">
            <v>94700000</v>
          </cell>
          <cell r="Y30">
            <v>6826448</v>
          </cell>
          <cell r="Z30">
            <v>6826448</v>
          </cell>
          <cell r="AA30">
            <v>6826448</v>
          </cell>
        </row>
        <row r="31">
          <cell r="L31" t="str">
            <v>A-01-01-01-001-005=10</v>
          </cell>
          <cell r="M31" t="str">
            <v>Nación</v>
          </cell>
          <cell r="N31" t="str">
            <v>10</v>
          </cell>
          <cell r="O31" t="str">
            <v>CSF</v>
          </cell>
          <cell r="P31" t="str">
            <v xml:space="preserve">AUXILIO DE TRANSPORTE </v>
          </cell>
          <cell r="Q31">
            <v>98000000</v>
          </cell>
          <cell r="R31">
            <v>0</v>
          </cell>
          <cell r="S31">
            <v>0</v>
          </cell>
          <cell r="T31">
            <v>98000000</v>
          </cell>
          <cell r="U31">
            <v>0</v>
          </cell>
          <cell r="V31">
            <v>98000000</v>
          </cell>
          <cell r="W31">
            <v>0</v>
          </cell>
          <cell r="X31">
            <v>90000000</v>
          </cell>
          <cell r="Y31">
            <v>11166518</v>
          </cell>
          <cell r="Z31">
            <v>11166518</v>
          </cell>
          <cell r="AA31">
            <v>11166518</v>
          </cell>
        </row>
        <row r="32">
          <cell r="L32" t="str">
            <v>A-01-01-01-001-006=10</v>
          </cell>
          <cell r="M32" t="str">
            <v>Nación</v>
          </cell>
          <cell r="N32" t="str">
            <v>10</v>
          </cell>
          <cell r="O32" t="str">
            <v>CSF</v>
          </cell>
          <cell r="P32" t="str">
            <v>PRIMA DE SERVICIO</v>
          </cell>
          <cell r="Q32">
            <v>2500000000</v>
          </cell>
          <cell r="R32">
            <v>0</v>
          </cell>
          <cell r="S32">
            <v>0</v>
          </cell>
          <cell r="T32">
            <v>2500000000</v>
          </cell>
          <cell r="U32">
            <v>0</v>
          </cell>
          <cell r="V32">
            <v>2500000000</v>
          </cell>
          <cell r="W32">
            <v>0</v>
          </cell>
          <cell r="X32">
            <v>2242820000</v>
          </cell>
          <cell r="Y32">
            <v>3265867</v>
          </cell>
          <cell r="Z32">
            <v>3265867</v>
          </cell>
          <cell r="AA32">
            <v>3265867</v>
          </cell>
        </row>
        <row r="33">
          <cell r="L33" t="str">
            <v>A-01-01-01-001-007=10</v>
          </cell>
          <cell r="M33" t="str">
            <v>Nación</v>
          </cell>
          <cell r="N33" t="str">
            <v>10</v>
          </cell>
          <cell r="O33" t="str">
            <v>CSF</v>
          </cell>
          <cell r="P33" t="str">
            <v>BONIFICACIÓN POR SERVICIOS PRESTADOS</v>
          </cell>
          <cell r="Q33">
            <v>1800000000</v>
          </cell>
          <cell r="R33">
            <v>0</v>
          </cell>
          <cell r="S33">
            <v>0</v>
          </cell>
          <cell r="T33">
            <v>1800000000</v>
          </cell>
          <cell r="U33">
            <v>0</v>
          </cell>
          <cell r="V33">
            <v>1800000000</v>
          </cell>
          <cell r="W33">
            <v>0</v>
          </cell>
          <cell r="X33">
            <v>1622800000</v>
          </cell>
          <cell r="Y33">
            <v>170792407</v>
          </cell>
          <cell r="Z33">
            <v>170792407</v>
          </cell>
          <cell r="AA33">
            <v>170792407</v>
          </cell>
        </row>
        <row r="34">
          <cell r="L34" t="str">
            <v>A-01-01-01-001-008=10</v>
          </cell>
          <cell r="M34" t="str">
            <v>Nación</v>
          </cell>
          <cell r="N34" t="str">
            <v>10</v>
          </cell>
          <cell r="O34" t="str">
            <v>CSF</v>
          </cell>
          <cell r="P34" t="str">
            <v>HORAS EXTRAS, DOMINICALES, FESTIVOS Y RECARGOS</v>
          </cell>
          <cell r="Q34">
            <v>250000000</v>
          </cell>
          <cell r="R34">
            <v>0</v>
          </cell>
          <cell r="S34">
            <v>0</v>
          </cell>
          <cell r="T34">
            <v>250000000</v>
          </cell>
          <cell r="U34">
            <v>0</v>
          </cell>
          <cell r="V34">
            <v>250000000</v>
          </cell>
          <cell r="W34">
            <v>0</v>
          </cell>
          <cell r="X34">
            <v>250000000</v>
          </cell>
          <cell r="Y34">
            <v>0</v>
          </cell>
          <cell r="Z34">
            <v>0</v>
          </cell>
          <cell r="AA34">
            <v>0</v>
          </cell>
        </row>
        <row r="35">
          <cell r="L35" t="str">
            <v>A-01-01-01-001-009=10</v>
          </cell>
          <cell r="M35" t="str">
            <v>Nación</v>
          </cell>
          <cell r="N35" t="str">
            <v>10</v>
          </cell>
          <cell r="O35" t="str">
            <v>CSF</v>
          </cell>
          <cell r="P35" t="str">
            <v>PRIMA DE NAVIDAD</v>
          </cell>
          <cell r="Q35">
            <v>5000000000</v>
          </cell>
          <cell r="R35">
            <v>0</v>
          </cell>
          <cell r="S35">
            <v>0</v>
          </cell>
          <cell r="T35">
            <v>5000000000</v>
          </cell>
          <cell r="U35">
            <v>0</v>
          </cell>
          <cell r="V35">
            <v>5000000000</v>
          </cell>
          <cell r="W35">
            <v>0</v>
          </cell>
          <cell r="X35">
            <v>4441885000</v>
          </cell>
          <cell r="Y35">
            <v>1000852</v>
          </cell>
          <cell r="Z35">
            <v>1000852</v>
          </cell>
          <cell r="AA35">
            <v>1000852</v>
          </cell>
        </row>
        <row r="36">
          <cell r="L36" t="str">
            <v>A-01-01-01-001-010=10</v>
          </cell>
          <cell r="M36" t="str">
            <v>Nación</v>
          </cell>
          <cell r="N36" t="str">
            <v>10</v>
          </cell>
          <cell r="O36" t="str">
            <v>CSF</v>
          </cell>
          <cell r="P36" t="str">
            <v>PRIMA DE VACACIONES</v>
          </cell>
          <cell r="Q36">
            <v>2600000000</v>
          </cell>
          <cell r="R36">
            <v>0</v>
          </cell>
          <cell r="S36">
            <v>0</v>
          </cell>
          <cell r="T36">
            <v>2600000000</v>
          </cell>
          <cell r="U36">
            <v>0</v>
          </cell>
          <cell r="V36">
            <v>2600000000</v>
          </cell>
          <cell r="W36">
            <v>0</v>
          </cell>
          <cell r="X36">
            <v>2600000000</v>
          </cell>
          <cell r="Y36">
            <v>88671572</v>
          </cell>
          <cell r="Z36">
            <v>88671572</v>
          </cell>
          <cell r="AA36">
            <v>88671572</v>
          </cell>
        </row>
        <row r="37">
          <cell r="L37" t="str">
            <v>A-01-01-02-001=10</v>
          </cell>
          <cell r="M37" t="str">
            <v>Nación</v>
          </cell>
          <cell r="N37" t="str">
            <v>10</v>
          </cell>
          <cell r="O37" t="str">
            <v>CSF</v>
          </cell>
          <cell r="P37" t="str">
            <v>PENSIONES</v>
          </cell>
          <cell r="Q37">
            <v>7000000000</v>
          </cell>
          <cell r="R37">
            <v>0</v>
          </cell>
          <cell r="S37">
            <v>0</v>
          </cell>
          <cell r="T37">
            <v>7000000000</v>
          </cell>
          <cell r="U37">
            <v>0</v>
          </cell>
          <cell r="V37">
            <v>7000000000</v>
          </cell>
          <cell r="W37">
            <v>0</v>
          </cell>
          <cell r="X37">
            <v>6261000000</v>
          </cell>
          <cell r="Y37">
            <v>589206000</v>
          </cell>
          <cell r="Z37">
            <v>589206000</v>
          </cell>
          <cell r="AA37">
            <v>589206000</v>
          </cell>
        </row>
        <row r="38">
          <cell r="L38" t="str">
            <v>A-01-01-02-002=10</v>
          </cell>
          <cell r="M38" t="str">
            <v>Nación</v>
          </cell>
          <cell r="N38" t="str">
            <v>10</v>
          </cell>
          <cell r="O38" t="str">
            <v>CSF</v>
          </cell>
          <cell r="P38" t="str">
            <v>SALUD</v>
          </cell>
          <cell r="Q38">
            <v>6000000000</v>
          </cell>
          <cell r="R38">
            <v>0</v>
          </cell>
          <cell r="S38">
            <v>0</v>
          </cell>
          <cell r="T38">
            <v>6000000000</v>
          </cell>
          <cell r="U38">
            <v>0</v>
          </cell>
          <cell r="V38">
            <v>6000000000</v>
          </cell>
          <cell r="W38">
            <v>0</v>
          </cell>
          <cell r="X38">
            <v>5476480000</v>
          </cell>
          <cell r="Y38">
            <v>418197400</v>
          </cell>
          <cell r="Z38">
            <v>418197400</v>
          </cell>
          <cell r="AA38">
            <v>418197400</v>
          </cell>
        </row>
        <row r="39">
          <cell r="L39" t="str">
            <v>A-01-01-02-003=10</v>
          </cell>
          <cell r="M39" t="str">
            <v>Nación</v>
          </cell>
          <cell r="N39" t="str">
            <v>10</v>
          </cell>
          <cell r="O39" t="str">
            <v>CSF</v>
          </cell>
          <cell r="P39" t="str">
            <v xml:space="preserve">AUXILIO DE CESANTÍAS </v>
          </cell>
          <cell r="Q39">
            <v>5555000000</v>
          </cell>
          <cell r="R39">
            <v>0</v>
          </cell>
          <cell r="S39">
            <v>0</v>
          </cell>
          <cell r="T39">
            <v>5555000000</v>
          </cell>
          <cell r="U39">
            <v>0</v>
          </cell>
          <cell r="V39">
            <v>5555000000</v>
          </cell>
          <cell r="W39">
            <v>0</v>
          </cell>
          <cell r="X39">
            <v>4950300000</v>
          </cell>
          <cell r="Y39">
            <v>370882630</v>
          </cell>
          <cell r="Z39">
            <v>370882630</v>
          </cell>
          <cell r="AA39">
            <v>370882630</v>
          </cell>
        </row>
        <row r="40">
          <cell r="L40" t="str">
            <v>A-01-01-02-004=10</v>
          </cell>
          <cell r="M40" t="str">
            <v>Nación</v>
          </cell>
          <cell r="N40" t="str">
            <v>10</v>
          </cell>
          <cell r="O40" t="str">
            <v>CSF</v>
          </cell>
          <cell r="P40" t="str">
            <v>CAJAS DE COMPENSACIÓN FAMILIAR</v>
          </cell>
          <cell r="Q40">
            <v>2500000000</v>
          </cell>
          <cell r="R40">
            <v>0</v>
          </cell>
          <cell r="S40">
            <v>0</v>
          </cell>
          <cell r="T40">
            <v>2500000000</v>
          </cell>
          <cell r="U40">
            <v>0</v>
          </cell>
          <cell r="V40">
            <v>2500000000</v>
          </cell>
          <cell r="W40">
            <v>0</v>
          </cell>
          <cell r="X40">
            <v>2243000000</v>
          </cell>
          <cell r="Y40">
            <v>178062100</v>
          </cell>
          <cell r="Z40">
            <v>178062100</v>
          </cell>
          <cell r="AA40">
            <v>178062100</v>
          </cell>
        </row>
        <row r="41">
          <cell r="L41" t="str">
            <v>A-01-01-02-005=10</v>
          </cell>
          <cell r="M41" t="str">
            <v>Nación</v>
          </cell>
          <cell r="N41" t="str">
            <v>10</v>
          </cell>
          <cell r="O41" t="str">
            <v>CSF</v>
          </cell>
          <cell r="P41" t="str">
            <v>APORTES GENERALES AL SISTEMA DE RIESGOS LABORALES</v>
          </cell>
          <cell r="Q41">
            <v>500000000</v>
          </cell>
          <cell r="R41">
            <v>0</v>
          </cell>
          <cell r="S41">
            <v>0</v>
          </cell>
          <cell r="T41">
            <v>500000000</v>
          </cell>
          <cell r="U41">
            <v>0</v>
          </cell>
          <cell r="V41">
            <v>500000000</v>
          </cell>
          <cell r="W41">
            <v>0</v>
          </cell>
          <cell r="X41">
            <v>467850000</v>
          </cell>
          <cell r="Y41">
            <v>38835400</v>
          </cell>
          <cell r="Z41">
            <v>38835400</v>
          </cell>
          <cell r="AA41">
            <v>38835400</v>
          </cell>
        </row>
        <row r="42">
          <cell r="L42" t="str">
            <v>A-01-01-02-006=10</v>
          </cell>
          <cell r="M42" t="str">
            <v>Nación</v>
          </cell>
          <cell r="N42" t="str">
            <v>10</v>
          </cell>
          <cell r="O42" t="str">
            <v>CSF</v>
          </cell>
          <cell r="P42" t="str">
            <v>APORTES AL ICBF</v>
          </cell>
          <cell r="Q42">
            <v>1890000000</v>
          </cell>
          <cell r="R42">
            <v>0</v>
          </cell>
          <cell r="S42">
            <v>0</v>
          </cell>
          <cell r="T42">
            <v>1890000000</v>
          </cell>
          <cell r="U42">
            <v>0</v>
          </cell>
          <cell r="V42">
            <v>1890000000</v>
          </cell>
          <cell r="W42">
            <v>0</v>
          </cell>
          <cell r="X42">
            <v>1697400000</v>
          </cell>
          <cell r="Y42">
            <v>133558600</v>
          </cell>
          <cell r="Z42">
            <v>133558600</v>
          </cell>
          <cell r="AA42">
            <v>133558600</v>
          </cell>
        </row>
        <row r="43">
          <cell r="L43" t="str">
            <v>A-01-01-02-007=10</v>
          </cell>
          <cell r="M43" t="str">
            <v>Nación</v>
          </cell>
          <cell r="N43" t="str">
            <v>10</v>
          </cell>
          <cell r="O43" t="str">
            <v>CSF</v>
          </cell>
          <cell r="P43" t="str">
            <v>APORTES AL SENA</v>
          </cell>
          <cell r="Q43">
            <v>320000000</v>
          </cell>
          <cell r="R43">
            <v>0</v>
          </cell>
          <cell r="S43">
            <v>0</v>
          </cell>
          <cell r="T43">
            <v>320000000</v>
          </cell>
          <cell r="U43">
            <v>0</v>
          </cell>
          <cell r="V43">
            <v>320000000</v>
          </cell>
          <cell r="W43">
            <v>0</v>
          </cell>
          <cell r="X43">
            <v>287880000</v>
          </cell>
          <cell r="Y43">
            <v>22293400</v>
          </cell>
          <cell r="Z43">
            <v>22293400</v>
          </cell>
          <cell r="AA43">
            <v>22293400</v>
          </cell>
        </row>
        <row r="44">
          <cell r="L44" t="str">
            <v>A-01-01-02-008=10</v>
          </cell>
          <cell r="M44" t="str">
            <v>Nación</v>
          </cell>
          <cell r="N44" t="str">
            <v>10</v>
          </cell>
          <cell r="O44" t="str">
            <v>CSF</v>
          </cell>
          <cell r="P44" t="str">
            <v>APORTES A LA ESAP</v>
          </cell>
          <cell r="Q44">
            <v>320000000</v>
          </cell>
          <cell r="R44">
            <v>0</v>
          </cell>
          <cell r="S44">
            <v>0</v>
          </cell>
          <cell r="T44">
            <v>320000000</v>
          </cell>
          <cell r="U44">
            <v>0</v>
          </cell>
          <cell r="V44">
            <v>320000000</v>
          </cell>
          <cell r="W44">
            <v>0</v>
          </cell>
          <cell r="X44">
            <v>287880000</v>
          </cell>
          <cell r="Y44">
            <v>22293400</v>
          </cell>
          <cell r="Z44">
            <v>22293400</v>
          </cell>
          <cell r="AA44">
            <v>22293400</v>
          </cell>
        </row>
        <row r="45">
          <cell r="L45" t="str">
            <v>A-01-01-02-009=10</v>
          </cell>
          <cell r="M45" t="str">
            <v>Nación</v>
          </cell>
          <cell r="N45" t="str">
            <v>10</v>
          </cell>
          <cell r="O45" t="str">
            <v>CSF</v>
          </cell>
          <cell r="P45" t="str">
            <v>APORTES A ESCUELAS INDUSTRIALES E INSTITUTOS TÉCNICOS</v>
          </cell>
          <cell r="Q45">
            <v>650000000</v>
          </cell>
          <cell r="R45">
            <v>0</v>
          </cell>
          <cell r="S45">
            <v>0</v>
          </cell>
          <cell r="T45">
            <v>650000000</v>
          </cell>
          <cell r="U45">
            <v>0</v>
          </cell>
          <cell r="V45">
            <v>650000000</v>
          </cell>
          <cell r="W45">
            <v>0</v>
          </cell>
          <cell r="X45">
            <v>585758000</v>
          </cell>
          <cell r="Y45">
            <v>44551200</v>
          </cell>
          <cell r="Z45">
            <v>44551200</v>
          </cell>
          <cell r="AA45">
            <v>44551200</v>
          </cell>
        </row>
        <row r="46">
          <cell r="L46" t="str">
            <v>A-01-01-03-001-001=10</v>
          </cell>
          <cell r="M46" t="str">
            <v>Nación</v>
          </cell>
          <cell r="N46" t="str">
            <v>10</v>
          </cell>
          <cell r="O46" t="str">
            <v>CSF</v>
          </cell>
          <cell r="P46" t="str">
            <v>SUELDO DE VACACIONES</v>
          </cell>
          <cell r="Q46">
            <v>2580000000</v>
          </cell>
          <cell r="R46">
            <v>0</v>
          </cell>
          <cell r="S46">
            <v>0</v>
          </cell>
          <cell r="T46">
            <v>2580000000</v>
          </cell>
          <cell r="U46">
            <v>0</v>
          </cell>
          <cell r="V46">
            <v>2580000000</v>
          </cell>
          <cell r="W46">
            <v>0</v>
          </cell>
          <cell r="X46">
            <v>2580000000</v>
          </cell>
          <cell r="Y46">
            <v>95509359</v>
          </cell>
          <cell r="Z46">
            <v>95509359</v>
          </cell>
          <cell r="AA46">
            <v>95509359</v>
          </cell>
        </row>
        <row r="47">
          <cell r="L47" t="str">
            <v>A-01-01-03-001-002=10</v>
          </cell>
          <cell r="M47" t="str">
            <v>Nación</v>
          </cell>
          <cell r="N47" t="str">
            <v>10</v>
          </cell>
          <cell r="O47" t="str">
            <v>CSF</v>
          </cell>
          <cell r="P47" t="str">
            <v>INDEMNIZACIÓN POR VACACIONES</v>
          </cell>
          <cell r="Q47">
            <v>500000000</v>
          </cell>
          <cell r="R47">
            <v>0</v>
          </cell>
          <cell r="S47">
            <v>0</v>
          </cell>
          <cell r="T47">
            <v>500000000</v>
          </cell>
          <cell r="U47">
            <v>0</v>
          </cell>
          <cell r="V47">
            <v>500000000</v>
          </cell>
          <cell r="W47">
            <v>0</v>
          </cell>
          <cell r="X47">
            <v>500000000</v>
          </cell>
          <cell r="Y47">
            <v>21423480</v>
          </cell>
          <cell r="Z47">
            <v>21423480</v>
          </cell>
          <cell r="AA47">
            <v>21423480</v>
          </cell>
        </row>
        <row r="48">
          <cell r="L48" t="str">
            <v>A-01-01-03-001-003=10</v>
          </cell>
          <cell r="M48" t="str">
            <v>Nación</v>
          </cell>
          <cell r="N48" t="str">
            <v>10</v>
          </cell>
          <cell r="O48" t="str">
            <v>CSF</v>
          </cell>
          <cell r="P48" t="str">
            <v>BONIFICACIÓN ESPECIAL DE RECREACIÓN</v>
          </cell>
          <cell r="Q48">
            <v>320000000</v>
          </cell>
          <cell r="R48">
            <v>0</v>
          </cell>
          <cell r="S48">
            <v>0</v>
          </cell>
          <cell r="T48">
            <v>320000000</v>
          </cell>
          <cell r="U48">
            <v>0</v>
          </cell>
          <cell r="V48">
            <v>320000000</v>
          </cell>
          <cell r="W48">
            <v>0</v>
          </cell>
          <cell r="X48">
            <v>320000000</v>
          </cell>
          <cell r="Y48">
            <v>10998148</v>
          </cell>
          <cell r="Z48">
            <v>10998148</v>
          </cell>
          <cell r="AA48">
            <v>10998148</v>
          </cell>
        </row>
        <row r="49">
          <cell r="L49" t="str">
            <v>A-01-01-03-002=10</v>
          </cell>
          <cell r="M49" t="str">
            <v>Nación</v>
          </cell>
          <cell r="N49" t="str">
            <v>10</v>
          </cell>
          <cell r="O49" t="str">
            <v>CSF</v>
          </cell>
          <cell r="P49" t="str">
            <v>PRIMA TÉCNICA NO SALARIAL</v>
          </cell>
          <cell r="Q49">
            <v>2160000000</v>
          </cell>
          <cell r="R49">
            <v>0</v>
          </cell>
          <cell r="S49">
            <v>0</v>
          </cell>
          <cell r="T49">
            <v>2160000000</v>
          </cell>
          <cell r="U49">
            <v>0</v>
          </cell>
          <cell r="V49">
            <v>2160000000</v>
          </cell>
          <cell r="W49">
            <v>0</v>
          </cell>
          <cell r="X49">
            <v>1681079000</v>
          </cell>
          <cell r="Y49">
            <v>164835179</v>
          </cell>
          <cell r="Z49">
            <v>164835179</v>
          </cell>
          <cell r="AA49">
            <v>164835179</v>
          </cell>
        </row>
        <row r="50">
          <cell r="L50" t="str">
            <v>A-01-01-03-005=10</v>
          </cell>
          <cell r="M50" t="str">
            <v>Nación</v>
          </cell>
          <cell r="N50" t="str">
            <v>10</v>
          </cell>
          <cell r="O50" t="str">
            <v>CSF</v>
          </cell>
          <cell r="P50" t="str">
            <v>PRIMA DE RIESGO</v>
          </cell>
          <cell r="Q50">
            <v>24000000</v>
          </cell>
          <cell r="R50">
            <v>0</v>
          </cell>
          <cell r="S50">
            <v>0</v>
          </cell>
          <cell r="T50">
            <v>24000000</v>
          </cell>
          <cell r="U50">
            <v>0</v>
          </cell>
          <cell r="V50">
            <v>24000000</v>
          </cell>
          <cell r="W50">
            <v>0</v>
          </cell>
          <cell r="X50">
            <v>24000000</v>
          </cell>
          <cell r="Y50">
            <v>331479</v>
          </cell>
          <cell r="Z50">
            <v>331479</v>
          </cell>
          <cell r="AA50">
            <v>331479</v>
          </cell>
        </row>
        <row r="51">
          <cell r="L51" t="str">
            <v>A-01-01-03-013=10</v>
          </cell>
          <cell r="M51" t="str">
            <v>Nación</v>
          </cell>
          <cell r="N51" t="str">
            <v>10</v>
          </cell>
          <cell r="O51" t="str">
            <v>CSF</v>
          </cell>
          <cell r="P51" t="str">
            <v>ESTÍMULOS A LOS EMPLEADOS DEL ESTADO</v>
          </cell>
          <cell r="Q51">
            <v>30000000</v>
          </cell>
          <cell r="R51">
            <v>0</v>
          </cell>
          <cell r="S51">
            <v>0</v>
          </cell>
          <cell r="T51">
            <v>30000000</v>
          </cell>
          <cell r="U51">
            <v>0</v>
          </cell>
          <cell r="V51">
            <v>0</v>
          </cell>
          <cell r="W51">
            <v>30000000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L52" t="str">
            <v>A-01-01-03-016=10</v>
          </cell>
          <cell r="M52" t="str">
            <v>Nación</v>
          </cell>
          <cell r="N52" t="str">
            <v>10</v>
          </cell>
          <cell r="O52" t="str">
            <v>CSF</v>
          </cell>
          <cell r="P52" t="str">
            <v>PRIMA DE COORDINACIÓN</v>
          </cell>
          <cell r="Q52">
            <v>770000000</v>
          </cell>
          <cell r="R52">
            <v>0</v>
          </cell>
          <cell r="S52">
            <v>0</v>
          </cell>
          <cell r="T52">
            <v>770000000</v>
          </cell>
          <cell r="U52">
            <v>0</v>
          </cell>
          <cell r="V52">
            <v>770000000</v>
          </cell>
          <cell r="W52">
            <v>0</v>
          </cell>
          <cell r="X52">
            <v>770000000</v>
          </cell>
          <cell r="Y52">
            <v>65757409</v>
          </cell>
          <cell r="Z52">
            <v>65757409</v>
          </cell>
          <cell r="AA52">
            <v>65757409</v>
          </cell>
        </row>
        <row r="53">
          <cell r="L53" t="str">
            <v>A-01-01-03-030=10</v>
          </cell>
          <cell r="M53" t="str">
            <v>Nación</v>
          </cell>
          <cell r="N53" t="str">
            <v>10</v>
          </cell>
          <cell r="O53" t="str">
            <v>CSF</v>
          </cell>
          <cell r="P53" t="str">
            <v>BONIFICACIÓN DE DIRECCIÓN</v>
          </cell>
          <cell r="Q53">
            <v>600000000</v>
          </cell>
          <cell r="R53">
            <v>0</v>
          </cell>
          <cell r="S53">
            <v>0</v>
          </cell>
          <cell r="T53">
            <v>600000000</v>
          </cell>
          <cell r="U53">
            <v>0</v>
          </cell>
          <cell r="V53">
            <v>600000000</v>
          </cell>
          <cell r="W53">
            <v>0</v>
          </cell>
          <cell r="X53">
            <v>600000000</v>
          </cell>
          <cell r="Y53">
            <v>0</v>
          </cell>
          <cell r="Z53">
            <v>0</v>
          </cell>
          <cell r="AA53">
            <v>0</v>
          </cell>
        </row>
        <row r="54">
          <cell r="L54" t="str">
            <v>A-02-02-01-001-005=10</v>
          </cell>
          <cell r="M54" t="str">
            <v>Nación</v>
          </cell>
          <cell r="N54" t="str">
            <v>10</v>
          </cell>
          <cell r="O54" t="str">
            <v>CSF</v>
          </cell>
          <cell r="P54" t="str">
            <v>PIEDRA, ARENA Y ARCILLA</v>
          </cell>
          <cell r="Q54">
            <v>51000000</v>
          </cell>
          <cell r="R54">
            <v>0</v>
          </cell>
          <cell r="S54">
            <v>0</v>
          </cell>
          <cell r="T54">
            <v>51000000</v>
          </cell>
          <cell r="U54">
            <v>0</v>
          </cell>
          <cell r="V54">
            <v>0</v>
          </cell>
          <cell r="W54">
            <v>51000000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L55" t="str">
            <v>A-02-02-01-001-007=10</v>
          </cell>
          <cell r="M55" t="str">
            <v>Nación</v>
          </cell>
          <cell r="N55" t="str">
            <v>10</v>
          </cell>
          <cell r="O55" t="str">
            <v>CSF</v>
          </cell>
          <cell r="P55" t="str">
            <v>ELECTRICIDAD, GAS DE CIUDAD, VAPOR Y AGUA CALIENTE</v>
          </cell>
          <cell r="Q55">
            <v>18000000</v>
          </cell>
          <cell r="R55">
            <v>0</v>
          </cell>
          <cell r="S55">
            <v>0</v>
          </cell>
          <cell r="T55">
            <v>18000000</v>
          </cell>
          <cell r="U55">
            <v>0</v>
          </cell>
          <cell r="V55">
            <v>0</v>
          </cell>
          <cell r="W55">
            <v>18000000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L56" t="str">
            <v>A-02-02-01-002-008=10</v>
          </cell>
          <cell r="M56" t="str">
            <v>Nación</v>
          </cell>
          <cell r="N56" t="str">
            <v>10</v>
          </cell>
          <cell r="O56" t="str">
            <v>CSF</v>
          </cell>
          <cell r="P56" t="str">
            <v>DOTACIÓN (PRENDAS DE VESTIR Y CALZADO)</v>
          </cell>
          <cell r="Q56">
            <v>140000000</v>
          </cell>
          <cell r="R56">
            <v>0</v>
          </cell>
          <cell r="S56">
            <v>0</v>
          </cell>
          <cell r="T56">
            <v>140000000</v>
          </cell>
          <cell r="U56">
            <v>0</v>
          </cell>
          <cell r="V56">
            <v>0</v>
          </cell>
          <cell r="W56">
            <v>140000000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L57" t="str">
            <v>A-02-02-01-003-002=10</v>
          </cell>
          <cell r="M57" t="str">
            <v>Nación</v>
          </cell>
          <cell r="N57" t="str">
            <v>10</v>
          </cell>
          <cell r="O57" t="str">
            <v>CSF</v>
          </cell>
          <cell r="P57" t="str">
            <v>PASTA O PULPA, PAPEL Y PRODUCTOS DE PAPEL; IMPRESOS Y ARTÍCULOS RELACIONADOS</v>
          </cell>
          <cell r="Q57">
            <v>106000000</v>
          </cell>
          <cell r="R57">
            <v>0</v>
          </cell>
          <cell r="S57">
            <v>0</v>
          </cell>
          <cell r="T57">
            <v>106000000</v>
          </cell>
          <cell r="U57">
            <v>0</v>
          </cell>
          <cell r="V57">
            <v>3000000</v>
          </cell>
          <cell r="W57">
            <v>103000000</v>
          </cell>
          <cell r="X57">
            <v>500000</v>
          </cell>
          <cell r="Y57">
            <v>500000</v>
          </cell>
          <cell r="Z57">
            <v>500000</v>
          </cell>
          <cell r="AA57">
            <v>500000</v>
          </cell>
        </row>
        <row r="58">
          <cell r="L58" t="str">
            <v>A-02-02-01-003-003=10</v>
          </cell>
          <cell r="M58" t="str">
            <v>Nación</v>
          </cell>
          <cell r="N58" t="str">
            <v>10</v>
          </cell>
          <cell r="O58" t="str">
            <v>CSF</v>
          </cell>
          <cell r="P58" t="str">
            <v>PRODUCTOS DE HORNOS DE COQUE; PRODUCTOS DE REFINACIÓN DE PETRÓLEO Y COMBUSTIBLE NUCLEAR</v>
          </cell>
          <cell r="Q58">
            <v>107264202</v>
          </cell>
          <cell r="R58">
            <v>0</v>
          </cell>
          <cell r="S58">
            <v>0</v>
          </cell>
          <cell r="T58">
            <v>107264202</v>
          </cell>
          <cell r="U58">
            <v>0</v>
          </cell>
          <cell r="V58">
            <v>98064202</v>
          </cell>
          <cell r="W58">
            <v>9200000</v>
          </cell>
          <cell r="X58">
            <v>98064202</v>
          </cell>
          <cell r="Y58">
            <v>0</v>
          </cell>
          <cell r="Z58">
            <v>0</v>
          </cell>
          <cell r="AA58">
            <v>0</v>
          </cell>
        </row>
        <row r="59">
          <cell r="L59" t="str">
            <v>A-02-02-01-003-005=10</v>
          </cell>
          <cell r="M59" t="str">
            <v>Nación</v>
          </cell>
          <cell r="N59" t="str">
            <v>10</v>
          </cell>
          <cell r="O59" t="str">
            <v>CSF</v>
          </cell>
          <cell r="P59" t="str">
            <v>OTROS PRODUCTOS QUÍMICOS; FIBRAS ARTIFICIALES (O FIBRAS INDUSTRIALES HECHAS POR EL HOMBRE)</v>
          </cell>
          <cell r="Q59">
            <v>6000000</v>
          </cell>
          <cell r="R59">
            <v>0</v>
          </cell>
          <cell r="S59">
            <v>0</v>
          </cell>
          <cell r="T59">
            <v>6000000</v>
          </cell>
          <cell r="U59">
            <v>0</v>
          </cell>
          <cell r="V59">
            <v>0</v>
          </cell>
          <cell r="W59">
            <v>6000000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L60" t="str">
            <v>A-02-02-01-003-006=10</v>
          </cell>
          <cell r="M60" t="str">
            <v>Nación</v>
          </cell>
          <cell r="N60" t="str">
            <v>10</v>
          </cell>
          <cell r="O60" t="str">
            <v>CSF</v>
          </cell>
          <cell r="P60" t="str">
            <v>PRODUCTOS DE CAUCHO Y PLÁSTICO</v>
          </cell>
          <cell r="Q60">
            <v>18000000</v>
          </cell>
          <cell r="R60">
            <v>0</v>
          </cell>
          <cell r="S60">
            <v>0</v>
          </cell>
          <cell r="T60">
            <v>18000000</v>
          </cell>
          <cell r="U60">
            <v>0</v>
          </cell>
          <cell r="V60">
            <v>0</v>
          </cell>
          <cell r="W60">
            <v>18000000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L61" t="str">
            <v>A-02-02-01-003-007=10</v>
          </cell>
          <cell r="M61" t="str">
            <v>Nación</v>
          </cell>
          <cell r="N61" t="str">
            <v>10</v>
          </cell>
          <cell r="O61" t="str">
            <v>CSF</v>
          </cell>
          <cell r="P61" t="str">
            <v>VIDRIO Y PRODUCTOS DE VIDRIO Y OTROS PRODUCTOS NO METÁLICOS N.C.P.</v>
          </cell>
          <cell r="Q61">
            <v>8000000</v>
          </cell>
          <cell r="R61">
            <v>0</v>
          </cell>
          <cell r="S61">
            <v>0</v>
          </cell>
          <cell r="T61">
            <v>8000000</v>
          </cell>
          <cell r="U61">
            <v>0</v>
          </cell>
          <cell r="V61">
            <v>0</v>
          </cell>
          <cell r="W61">
            <v>8000000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L62" t="str">
            <v>A-02-02-01-003-008=10</v>
          </cell>
          <cell r="M62" t="str">
            <v>Nación</v>
          </cell>
          <cell r="N62" t="str">
            <v>10</v>
          </cell>
          <cell r="O62" t="str">
            <v>CSF</v>
          </cell>
          <cell r="P62" t="str">
            <v>OTROS BIENES TRANSPORTABLES N.C.P.</v>
          </cell>
          <cell r="Q62">
            <v>110000000</v>
          </cell>
          <cell r="R62">
            <v>0</v>
          </cell>
          <cell r="S62">
            <v>0</v>
          </cell>
          <cell r="T62">
            <v>110000000</v>
          </cell>
          <cell r="U62">
            <v>0</v>
          </cell>
          <cell r="V62">
            <v>3000000</v>
          </cell>
          <cell r="W62">
            <v>107000000</v>
          </cell>
          <cell r="X62">
            <v>500000</v>
          </cell>
          <cell r="Y62">
            <v>500000</v>
          </cell>
          <cell r="Z62">
            <v>500000</v>
          </cell>
          <cell r="AA62">
            <v>500000</v>
          </cell>
        </row>
        <row r="63">
          <cell r="L63" t="str">
            <v>A-02-02-01-004-002=10</v>
          </cell>
          <cell r="M63" t="str">
            <v>Nación</v>
          </cell>
          <cell r="N63" t="str">
            <v>10</v>
          </cell>
          <cell r="O63" t="str">
            <v>CSF</v>
          </cell>
          <cell r="P63" t="str">
            <v>PRODUCTOS METÁLICOS ELABORADOS (EXCEPTO MAQUINARIA Y EQUIPO)</v>
          </cell>
          <cell r="Q63">
            <v>37000000</v>
          </cell>
          <cell r="R63">
            <v>0</v>
          </cell>
          <cell r="S63">
            <v>0</v>
          </cell>
          <cell r="T63">
            <v>37000000</v>
          </cell>
          <cell r="U63">
            <v>0</v>
          </cell>
          <cell r="V63">
            <v>0</v>
          </cell>
          <cell r="W63">
            <v>37000000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L64" t="str">
            <v>A-02-02-01-004-007=10</v>
          </cell>
          <cell r="M64" t="str">
            <v>Nación</v>
          </cell>
          <cell r="N64" t="str">
            <v>10</v>
          </cell>
          <cell r="O64" t="str">
            <v>CSF</v>
          </cell>
          <cell r="P64" t="str">
            <v>EQUIPO Y APARATOS DE RADIO, TELEVISIÓN Y COMUNICACIONES</v>
          </cell>
          <cell r="Q64">
            <v>261000000</v>
          </cell>
          <cell r="R64">
            <v>0</v>
          </cell>
          <cell r="S64">
            <v>0</v>
          </cell>
          <cell r="T64">
            <v>261000000</v>
          </cell>
          <cell r="U64">
            <v>0</v>
          </cell>
          <cell r="V64">
            <v>0</v>
          </cell>
          <cell r="W64">
            <v>261000000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L65" t="str">
            <v>A-02-02-02-006-003=10</v>
          </cell>
          <cell r="M65" t="str">
            <v>Nación</v>
          </cell>
          <cell r="N65" t="str">
            <v>10</v>
          </cell>
          <cell r="O65" t="str">
            <v>CSF</v>
          </cell>
          <cell r="P65" t="str">
            <v>ALOJAMIENTO; SERVICIOS DE SUMINISTROS DE COMIDAS Y BEBIDAS</v>
          </cell>
          <cell r="Q65">
            <v>12000000</v>
          </cell>
          <cell r="R65">
            <v>0</v>
          </cell>
          <cell r="S65">
            <v>0</v>
          </cell>
          <cell r="T65">
            <v>12000000</v>
          </cell>
          <cell r="U65">
            <v>0</v>
          </cell>
          <cell r="V65">
            <v>12000000</v>
          </cell>
          <cell r="W65">
            <v>0</v>
          </cell>
          <cell r="X65">
            <v>2000000</v>
          </cell>
          <cell r="Y65">
            <v>2000000</v>
          </cell>
          <cell r="Z65">
            <v>2000000</v>
          </cell>
          <cell r="AA65">
            <v>2000000</v>
          </cell>
        </row>
        <row r="66">
          <cell r="L66" t="str">
            <v>A-02-02-02-006-004=10</v>
          </cell>
          <cell r="M66" t="str">
            <v>Nación</v>
          </cell>
          <cell r="N66" t="str">
            <v>10</v>
          </cell>
          <cell r="O66" t="str">
            <v>CSF</v>
          </cell>
          <cell r="P66" t="str">
            <v>SERVICIOS DE TRANSPORTE DE PASAJEROS</v>
          </cell>
          <cell r="Q66">
            <v>4851925294</v>
          </cell>
          <cell r="R66">
            <v>0</v>
          </cell>
          <cell r="S66">
            <v>0</v>
          </cell>
          <cell r="T66">
            <v>4851925294</v>
          </cell>
          <cell r="U66">
            <v>0</v>
          </cell>
          <cell r="V66">
            <v>3052005353</v>
          </cell>
          <cell r="W66">
            <v>1799919941</v>
          </cell>
          <cell r="X66">
            <v>1667943417</v>
          </cell>
          <cell r="Y66">
            <v>82000</v>
          </cell>
          <cell r="Z66">
            <v>82000</v>
          </cell>
          <cell r="AA66">
            <v>82000</v>
          </cell>
        </row>
        <row r="67">
          <cell r="L67" t="str">
            <v>A-02-02-02-006-005=10</v>
          </cell>
          <cell r="M67" t="str">
            <v>Nación</v>
          </cell>
          <cell r="N67" t="str">
            <v>10</v>
          </cell>
          <cell r="O67" t="str">
            <v>CSF</v>
          </cell>
          <cell r="P67" t="str">
            <v>SERVICIOS DE TRANSPORTE DE CARGA</v>
          </cell>
          <cell r="Q67">
            <v>100000000</v>
          </cell>
          <cell r="R67">
            <v>0</v>
          </cell>
          <cell r="S67">
            <v>0</v>
          </cell>
          <cell r="T67">
            <v>100000000</v>
          </cell>
          <cell r="U67">
            <v>0</v>
          </cell>
          <cell r="V67">
            <v>0</v>
          </cell>
          <cell r="W67">
            <v>100000000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L68" t="str">
            <v>A-02-02-02-006-006=10</v>
          </cell>
          <cell r="M68" t="str">
            <v>Nación</v>
          </cell>
          <cell r="N68" t="str">
            <v>10</v>
          </cell>
          <cell r="O68" t="str">
            <v>CSF</v>
          </cell>
          <cell r="P68" t="str">
            <v>SERVICIOS DE ALQUILER DE VEHÍCULOS DE TRANSPORTE CON OPERARIO</v>
          </cell>
          <cell r="Q68">
            <v>10000000</v>
          </cell>
          <cell r="R68">
            <v>0</v>
          </cell>
          <cell r="S68">
            <v>0</v>
          </cell>
          <cell r="T68">
            <v>10000000</v>
          </cell>
          <cell r="U68">
            <v>0</v>
          </cell>
          <cell r="V68">
            <v>0</v>
          </cell>
          <cell r="W68">
            <v>10000000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L69" t="str">
            <v>A-02-02-02-006-008=10</v>
          </cell>
          <cell r="M69" t="str">
            <v>Nación</v>
          </cell>
          <cell r="N69" t="str">
            <v>10</v>
          </cell>
          <cell r="O69" t="str">
            <v>CSF</v>
          </cell>
          <cell r="P69" t="str">
            <v>SERVICIOS POSTALES Y DE MENSAJERÍA</v>
          </cell>
          <cell r="Q69">
            <v>2053178180</v>
          </cell>
          <cell r="R69">
            <v>0</v>
          </cell>
          <cell r="S69">
            <v>0</v>
          </cell>
          <cell r="T69">
            <v>2053178180</v>
          </cell>
          <cell r="U69">
            <v>0</v>
          </cell>
          <cell r="V69">
            <v>1853178180</v>
          </cell>
          <cell r="W69">
            <v>200000000</v>
          </cell>
          <cell r="X69">
            <v>1847178180</v>
          </cell>
          <cell r="Y69">
            <v>1000000</v>
          </cell>
          <cell r="Z69">
            <v>1000000</v>
          </cell>
          <cell r="AA69">
            <v>1000000</v>
          </cell>
        </row>
        <row r="70">
          <cell r="L70" t="str">
            <v>A-02-02-02-006-009=10</v>
          </cell>
          <cell r="M70" t="str">
            <v>Nación</v>
          </cell>
          <cell r="N70" t="str">
            <v>10</v>
          </cell>
          <cell r="O70" t="str">
            <v>CSF</v>
          </cell>
          <cell r="P70" t="str">
            <v>SERVICIOS DE DISTRIBUCIÓN DE ELECTRICIDAD, GAS Y AGUA (POR CUENTA PROPIA)</v>
          </cell>
          <cell r="Q70">
            <v>730060000</v>
          </cell>
          <cell r="R70">
            <v>0</v>
          </cell>
          <cell r="S70">
            <v>0</v>
          </cell>
          <cell r="T70">
            <v>730060000</v>
          </cell>
          <cell r="U70">
            <v>0</v>
          </cell>
          <cell r="V70">
            <v>730060000</v>
          </cell>
          <cell r="W70">
            <v>0</v>
          </cell>
          <cell r="X70">
            <v>66018906.170000002</v>
          </cell>
          <cell r="Y70">
            <v>66018906.170000002</v>
          </cell>
          <cell r="Z70">
            <v>66018906.170000002</v>
          </cell>
          <cell r="AA70">
            <v>65819182.039999999</v>
          </cell>
        </row>
        <row r="71">
          <cell r="L71" t="str">
            <v>A-02-02-02-007-001=10</v>
          </cell>
          <cell r="M71" t="str">
            <v>Nación</v>
          </cell>
          <cell r="N71" t="str">
            <v>10</v>
          </cell>
          <cell r="O71" t="str">
            <v>CSF</v>
          </cell>
          <cell r="P71" t="str">
            <v>SERVICIOS FINANCIEROS Y SERVICIOS CONEXOS</v>
          </cell>
          <cell r="Q71">
            <v>25000000</v>
          </cell>
          <cell r="R71">
            <v>0</v>
          </cell>
          <cell r="S71">
            <v>0</v>
          </cell>
          <cell r="T71">
            <v>25000000</v>
          </cell>
          <cell r="U71">
            <v>0</v>
          </cell>
          <cell r="V71">
            <v>8540850</v>
          </cell>
          <cell r="W71">
            <v>16459150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L72" t="str">
            <v>A-02-02-02-007-002=10</v>
          </cell>
          <cell r="M72" t="str">
            <v>Nación</v>
          </cell>
          <cell r="N72" t="str">
            <v>10</v>
          </cell>
          <cell r="O72" t="str">
            <v>CSF</v>
          </cell>
          <cell r="P72" t="str">
            <v>SERVICIOS INMOBILIARIOS</v>
          </cell>
          <cell r="Q72">
            <v>12745333207</v>
          </cell>
          <cell r="R72">
            <v>0</v>
          </cell>
          <cell r="S72">
            <v>0</v>
          </cell>
          <cell r="T72">
            <v>12745333207</v>
          </cell>
          <cell r="U72">
            <v>0</v>
          </cell>
          <cell r="V72">
            <v>10949629567</v>
          </cell>
          <cell r="W72">
            <v>1795703640</v>
          </cell>
          <cell r="X72">
            <v>10905139266</v>
          </cell>
          <cell r="Y72">
            <v>1135821532</v>
          </cell>
          <cell r="Z72">
            <v>1130689796</v>
          </cell>
          <cell r="AA72">
            <v>1123168397</v>
          </cell>
        </row>
        <row r="73">
          <cell r="L73" t="str">
            <v>A-02-02-02-008-002=10</v>
          </cell>
          <cell r="M73" t="str">
            <v>Nación</v>
          </cell>
          <cell r="N73" t="str">
            <v>10</v>
          </cell>
          <cell r="O73" t="str">
            <v>CSF</v>
          </cell>
          <cell r="P73" t="str">
            <v>SERVICIOS JURÍDICOS Y CONTABLES</v>
          </cell>
          <cell r="Q73">
            <v>172000000</v>
          </cell>
          <cell r="R73">
            <v>0</v>
          </cell>
          <cell r="S73">
            <v>0</v>
          </cell>
          <cell r="T73">
            <v>172000000</v>
          </cell>
          <cell r="U73">
            <v>0</v>
          </cell>
          <cell r="V73">
            <v>45970821</v>
          </cell>
          <cell r="W73">
            <v>126029179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L74" t="str">
            <v>A-02-02-02-008-003=10</v>
          </cell>
          <cell r="M74" t="str">
            <v>Nación</v>
          </cell>
          <cell r="N74" t="str">
            <v>10</v>
          </cell>
          <cell r="O74" t="str">
            <v>CSF</v>
          </cell>
          <cell r="P74" t="str">
            <v>OTROS SERVICIOS PROFESIONALES, CIENTÍFICOS Y TÉCNICOS</v>
          </cell>
          <cell r="Q74">
            <v>9548931993</v>
          </cell>
          <cell r="R74">
            <v>0</v>
          </cell>
          <cell r="S74">
            <v>0</v>
          </cell>
          <cell r="T74">
            <v>9548931993</v>
          </cell>
          <cell r="U74">
            <v>0</v>
          </cell>
          <cell r="V74">
            <v>7775114453</v>
          </cell>
          <cell r="W74">
            <v>1773817540</v>
          </cell>
          <cell r="X74">
            <v>5975322385</v>
          </cell>
          <cell r="Y74">
            <v>0</v>
          </cell>
          <cell r="Z74">
            <v>0</v>
          </cell>
          <cell r="AA74">
            <v>0</v>
          </cell>
        </row>
        <row r="75">
          <cell r="L75" t="str">
            <v>A-02-02-02-008-004=10</v>
          </cell>
          <cell r="M75" t="str">
            <v>Nación</v>
          </cell>
          <cell r="N75" t="str">
            <v>10</v>
          </cell>
          <cell r="O75" t="str">
            <v>CSF</v>
          </cell>
          <cell r="P75" t="str">
            <v>SERVICIOS DE TELECOMUNICACIONES, TRANSMISIÓN Y SUMINISTRO DE INFORMACIÓN</v>
          </cell>
          <cell r="Q75">
            <v>2298000000</v>
          </cell>
          <cell r="R75">
            <v>0</v>
          </cell>
          <cell r="S75">
            <v>0</v>
          </cell>
          <cell r="T75">
            <v>2298000000</v>
          </cell>
          <cell r="U75">
            <v>0</v>
          </cell>
          <cell r="V75">
            <v>2008295276.6300001</v>
          </cell>
          <cell r="W75">
            <v>289704723.37</v>
          </cell>
          <cell r="X75">
            <v>377082264.63</v>
          </cell>
          <cell r="Y75">
            <v>133016564</v>
          </cell>
          <cell r="Z75">
            <v>133016564</v>
          </cell>
          <cell r="AA75">
            <v>132897564</v>
          </cell>
        </row>
        <row r="76">
          <cell r="L76" t="str">
            <v>A-02-02-02-008-005=10</v>
          </cell>
          <cell r="M76" t="str">
            <v>Nación</v>
          </cell>
          <cell r="N76" t="str">
            <v>10</v>
          </cell>
          <cell r="O76" t="str">
            <v>CSF</v>
          </cell>
          <cell r="P76" t="str">
            <v>SERVICIOS DE SOPORTE</v>
          </cell>
          <cell r="Q76">
            <v>3859335661</v>
          </cell>
          <cell r="R76">
            <v>0</v>
          </cell>
          <cell r="S76">
            <v>0</v>
          </cell>
          <cell r="T76">
            <v>3859335661</v>
          </cell>
          <cell r="U76">
            <v>0</v>
          </cell>
          <cell r="V76">
            <v>2847168239.3400002</v>
          </cell>
          <cell r="W76">
            <v>1012167421.66</v>
          </cell>
          <cell r="X76">
            <v>2594343072.3400002</v>
          </cell>
          <cell r="Y76">
            <v>0</v>
          </cell>
          <cell r="Z76">
            <v>0</v>
          </cell>
          <cell r="AA76">
            <v>0</v>
          </cell>
        </row>
        <row r="77">
          <cell r="L77" t="str">
            <v>A-02-02-02-008-007=10</v>
          </cell>
          <cell r="M77" t="str">
            <v>Nación</v>
          </cell>
          <cell r="N77" t="str">
            <v>10</v>
          </cell>
          <cell r="O77" t="str">
            <v>CSF</v>
          </cell>
          <cell r="P77" t="str">
            <v>SERVICIOS DE MANTENIMIENTO, REPARACIÓN E INSTALACIÓN (EXCEPTO SERVICIOS DE CONSTRUCCIÓN)</v>
          </cell>
          <cell r="Q77">
            <v>1363025393</v>
          </cell>
          <cell r="R77">
            <v>0</v>
          </cell>
          <cell r="S77">
            <v>0</v>
          </cell>
          <cell r="T77">
            <v>1363025393</v>
          </cell>
          <cell r="U77">
            <v>0</v>
          </cell>
          <cell r="V77">
            <v>562025393</v>
          </cell>
          <cell r="W77">
            <v>801000000</v>
          </cell>
          <cell r="X77">
            <v>561025393</v>
          </cell>
          <cell r="Y77">
            <v>500000</v>
          </cell>
          <cell r="Z77">
            <v>500000</v>
          </cell>
          <cell r="AA77">
            <v>500000</v>
          </cell>
        </row>
        <row r="78">
          <cell r="L78" t="str">
            <v>A-02-02-02-008-009=10</v>
          </cell>
          <cell r="M78" t="str">
            <v>Nación</v>
          </cell>
          <cell r="N78" t="str">
            <v>10</v>
          </cell>
          <cell r="O78" t="str">
            <v>CSF</v>
          </cell>
          <cell r="P78" t="str">
            <v>OTROS SERVICIOS DE FABRICACIÓN; SERVICIOS DE EDICIÓN, IMPRESIÓN Y REPRODUCCIÓN; SERVICIOS DE RECUPERACIÓN DE MATERIALES</v>
          </cell>
          <cell r="Q78">
            <v>77000000</v>
          </cell>
          <cell r="R78">
            <v>0</v>
          </cell>
          <cell r="S78">
            <v>0</v>
          </cell>
          <cell r="T78">
            <v>77000000</v>
          </cell>
          <cell r="U78">
            <v>0</v>
          </cell>
          <cell r="V78">
            <v>2000000</v>
          </cell>
          <cell r="W78">
            <v>75000000</v>
          </cell>
          <cell r="X78">
            <v>500000</v>
          </cell>
          <cell r="Y78">
            <v>500000</v>
          </cell>
          <cell r="Z78">
            <v>500000</v>
          </cell>
          <cell r="AA78">
            <v>500000</v>
          </cell>
        </row>
        <row r="79">
          <cell r="L79" t="str">
            <v>A-02-02-02-009-002=10</v>
          </cell>
          <cell r="M79" t="str">
            <v>Nación</v>
          </cell>
          <cell r="N79" t="str">
            <v>10</v>
          </cell>
          <cell r="O79" t="str">
            <v>CSF</v>
          </cell>
          <cell r="P79" t="str">
            <v>SERVICIOS DE EDUCACIÓN</v>
          </cell>
          <cell r="Q79">
            <v>730000000</v>
          </cell>
          <cell r="R79">
            <v>0</v>
          </cell>
          <cell r="S79">
            <v>0</v>
          </cell>
          <cell r="T79">
            <v>730000000</v>
          </cell>
          <cell r="U79">
            <v>0</v>
          </cell>
          <cell r="V79">
            <v>0</v>
          </cell>
          <cell r="W79">
            <v>730000000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L80" t="str">
            <v>A-02-02-02-009-003=10</v>
          </cell>
          <cell r="M80" t="str">
            <v>Nación</v>
          </cell>
          <cell r="N80" t="str">
            <v>10</v>
          </cell>
          <cell r="O80" t="str">
            <v>CSF</v>
          </cell>
          <cell r="P80" t="str">
            <v>SERVICIOS PARA EL CUIDADO DE LA SALUD HUMANA Y SERVICIOS SOCIALES</v>
          </cell>
          <cell r="Q80">
            <v>365636000</v>
          </cell>
          <cell r="R80">
            <v>0</v>
          </cell>
          <cell r="S80">
            <v>0</v>
          </cell>
          <cell r="T80">
            <v>365636000</v>
          </cell>
          <cell r="U80">
            <v>0</v>
          </cell>
          <cell r="V80">
            <v>85636000</v>
          </cell>
          <cell r="W80">
            <v>280000000</v>
          </cell>
          <cell r="X80">
            <v>55636000</v>
          </cell>
          <cell r="Y80">
            <v>0</v>
          </cell>
          <cell r="Z80">
            <v>0</v>
          </cell>
          <cell r="AA80">
            <v>0</v>
          </cell>
        </row>
        <row r="81">
          <cell r="L81" t="str">
            <v>A-02-02-02-009-004=10</v>
          </cell>
          <cell r="M81" t="str">
            <v>Nación</v>
          </cell>
          <cell r="N81" t="str">
            <v>10</v>
          </cell>
          <cell r="O81" t="str">
            <v>CSF</v>
          </cell>
          <cell r="P81" t="str">
            <v>SERVICIOS DE ALCANTARILLADO, RECOLECCIÓN, TRATAMIENTO Y DISPOSICIÓN DE DESECHOS Y OTROS SERVICIOS DE SANEAMIENTO AMBIENTAL</v>
          </cell>
          <cell r="Q81">
            <v>55000000</v>
          </cell>
          <cell r="R81">
            <v>0</v>
          </cell>
          <cell r="S81">
            <v>0</v>
          </cell>
          <cell r="T81">
            <v>55000000</v>
          </cell>
          <cell r="U81">
            <v>0</v>
          </cell>
          <cell r="V81">
            <v>55000000</v>
          </cell>
          <cell r="W81">
            <v>0</v>
          </cell>
          <cell r="X81">
            <v>2448803.71</v>
          </cell>
          <cell r="Y81">
            <v>2448803.71</v>
          </cell>
          <cell r="Z81">
            <v>2448803.71</v>
          </cell>
          <cell r="AA81">
            <v>2224557.84</v>
          </cell>
        </row>
        <row r="82">
          <cell r="L82" t="str">
            <v>A-02-02-02-009-006=10</v>
          </cell>
          <cell r="M82" t="str">
            <v>Nación</v>
          </cell>
          <cell r="N82" t="str">
            <v>10</v>
          </cell>
          <cell r="O82" t="str">
            <v>CSF</v>
          </cell>
          <cell r="P82" t="str">
            <v>SERVICIOS DE ESPARCIMIENTO, CULTURALES Y DEPORTIVOS</v>
          </cell>
          <cell r="Q82">
            <v>1160000000</v>
          </cell>
          <cell r="R82">
            <v>0</v>
          </cell>
          <cell r="S82">
            <v>0</v>
          </cell>
          <cell r="T82">
            <v>1160000000</v>
          </cell>
          <cell r="U82">
            <v>0</v>
          </cell>
          <cell r="V82">
            <v>82811000</v>
          </cell>
          <cell r="W82">
            <v>1077189000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L83" t="str">
            <v>A-02-02-02-009-007=10</v>
          </cell>
          <cell r="M83" t="str">
            <v>Nación</v>
          </cell>
          <cell r="N83" t="str">
            <v>10</v>
          </cell>
          <cell r="O83" t="str">
            <v>CSF</v>
          </cell>
          <cell r="P83" t="str">
            <v>OTROS SERVICIOS</v>
          </cell>
          <cell r="Q83">
            <v>100000000</v>
          </cell>
          <cell r="R83">
            <v>0</v>
          </cell>
          <cell r="S83">
            <v>0</v>
          </cell>
          <cell r="T83">
            <v>100000000</v>
          </cell>
          <cell r="U83">
            <v>0</v>
          </cell>
          <cell r="V83">
            <v>0</v>
          </cell>
          <cell r="W83">
            <v>100000000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L84" t="str">
            <v>A-02-02-02-010=10</v>
          </cell>
          <cell r="M84" t="str">
            <v>Nación</v>
          </cell>
          <cell r="N84" t="str">
            <v>10</v>
          </cell>
          <cell r="O84" t="str">
            <v>CSF</v>
          </cell>
          <cell r="P84" t="str">
            <v>VIÁTICOS DE LOS FUNCIONARIOS EN COMISIÓN</v>
          </cell>
          <cell r="Q84">
            <v>1170310070</v>
          </cell>
          <cell r="R84">
            <v>0</v>
          </cell>
          <cell r="S84">
            <v>0</v>
          </cell>
          <cell r="T84">
            <v>1170310070</v>
          </cell>
          <cell r="U84">
            <v>0</v>
          </cell>
          <cell r="V84">
            <v>1170310070</v>
          </cell>
          <cell r="W84">
            <v>0</v>
          </cell>
          <cell r="X84">
            <v>61095825</v>
          </cell>
          <cell r="Y84">
            <v>3535641</v>
          </cell>
          <cell r="Z84">
            <v>3535641</v>
          </cell>
          <cell r="AA84">
            <v>3535641</v>
          </cell>
        </row>
        <row r="85">
          <cell r="L85" t="str">
            <v>A-03-04-02-012-001=10</v>
          </cell>
          <cell r="M85" t="str">
            <v>Nación</v>
          </cell>
          <cell r="N85" t="str">
            <v>10</v>
          </cell>
          <cell r="O85" t="str">
            <v>CSF</v>
          </cell>
          <cell r="P85" t="str">
            <v>INCAPACIDADES (NO DE PENSIONES)</v>
          </cell>
          <cell r="Q85">
            <v>402000000</v>
          </cell>
          <cell r="R85">
            <v>0</v>
          </cell>
          <cell r="S85">
            <v>0</v>
          </cell>
          <cell r="T85">
            <v>402000000</v>
          </cell>
          <cell r="U85">
            <v>0</v>
          </cell>
          <cell r="V85">
            <v>402000000</v>
          </cell>
          <cell r="W85">
            <v>0</v>
          </cell>
          <cell r="X85">
            <v>402000000</v>
          </cell>
          <cell r="Y85">
            <v>50191447</v>
          </cell>
          <cell r="Z85">
            <v>50191447</v>
          </cell>
          <cell r="AA85">
            <v>50191447</v>
          </cell>
        </row>
        <row r="86">
          <cell r="L86" t="str">
            <v>A-03-04-02-012-002=10</v>
          </cell>
          <cell r="M86" t="str">
            <v>Nación</v>
          </cell>
          <cell r="N86" t="str">
            <v>10</v>
          </cell>
          <cell r="O86" t="str">
            <v>CSF</v>
          </cell>
          <cell r="P86" t="str">
            <v>LICENCIAS DE MATERNIDAD Y PATERNIDAD (NO DE PENSIONES)</v>
          </cell>
          <cell r="Q86">
            <v>350000000</v>
          </cell>
          <cell r="R86">
            <v>0</v>
          </cell>
          <cell r="S86">
            <v>0</v>
          </cell>
          <cell r="T86">
            <v>350000000</v>
          </cell>
          <cell r="U86">
            <v>0</v>
          </cell>
          <cell r="V86">
            <v>350000000</v>
          </cell>
          <cell r="W86">
            <v>0</v>
          </cell>
          <cell r="X86">
            <v>350000000</v>
          </cell>
          <cell r="Y86">
            <v>6595320</v>
          </cell>
          <cell r="Z86">
            <v>6595320</v>
          </cell>
          <cell r="AA86">
            <v>6595320</v>
          </cell>
        </row>
        <row r="87">
          <cell r="L87" t="str">
            <v>A-08-01-02-001=10</v>
          </cell>
          <cell r="M87" t="str">
            <v>Nación</v>
          </cell>
          <cell r="N87" t="str">
            <v>10</v>
          </cell>
          <cell r="O87" t="str">
            <v>CSF</v>
          </cell>
          <cell r="P87" t="str">
            <v>IMPUESTO PREDIAL Y SOBRETASA AMBIENTAL</v>
          </cell>
          <cell r="Q87">
            <v>51000000</v>
          </cell>
          <cell r="R87">
            <v>0</v>
          </cell>
          <cell r="S87">
            <v>0</v>
          </cell>
          <cell r="T87">
            <v>51000000</v>
          </cell>
          <cell r="U87">
            <v>0</v>
          </cell>
          <cell r="V87">
            <v>51000000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L88" t="str">
            <v>A-08-01-02-004=10</v>
          </cell>
          <cell r="M88" t="str">
            <v>Nación</v>
          </cell>
          <cell r="N88" t="str">
            <v>10</v>
          </cell>
          <cell r="O88" t="str">
            <v>CSF</v>
          </cell>
          <cell r="P88" t="str">
            <v>IMPUESTO DE ALUMBRADO PÚBLICO</v>
          </cell>
          <cell r="Q88">
            <v>26000000</v>
          </cell>
          <cell r="R88">
            <v>0</v>
          </cell>
          <cell r="S88">
            <v>0</v>
          </cell>
          <cell r="T88">
            <v>26000000</v>
          </cell>
          <cell r="U88">
            <v>0</v>
          </cell>
          <cell r="V88">
            <v>26000000</v>
          </cell>
          <cell r="W88">
            <v>0</v>
          </cell>
          <cell r="X88">
            <v>4119918.21</v>
          </cell>
          <cell r="Y88">
            <v>4119918.21</v>
          </cell>
          <cell r="Z88">
            <v>4119918.21</v>
          </cell>
          <cell r="AA88">
            <v>3480755.21</v>
          </cell>
        </row>
        <row r="89">
          <cell r="L89" t="str">
            <v>A-08-01-02-006=10</v>
          </cell>
          <cell r="M89" t="str">
            <v>Nación</v>
          </cell>
          <cell r="N89" t="str">
            <v>10</v>
          </cell>
          <cell r="O89" t="str">
            <v>CSF</v>
          </cell>
          <cell r="P89" t="str">
            <v>IMPUESTO SOBRE VEHÍCULOS AUTOMOTORES</v>
          </cell>
          <cell r="Q89">
            <v>7000000</v>
          </cell>
          <cell r="R89">
            <v>0</v>
          </cell>
          <cell r="S89">
            <v>0</v>
          </cell>
          <cell r="T89">
            <v>7000000</v>
          </cell>
          <cell r="U89">
            <v>0</v>
          </cell>
          <cell r="V89">
            <v>7000000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L90" t="str">
            <v>C-4101-1500-5-0-4101073-02=11</v>
          </cell>
          <cell r="M90" t="str">
            <v>Nación</v>
          </cell>
          <cell r="N90" t="str">
            <v>11</v>
          </cell>
          <cell r="O90" t="str">
            <v>CSF</v>
          </cell>
          <cell r="P90" t="str">
            <v>ADQUISICIÓN DE BIENES Y SERVICIOS - SERVICIO DE APOYO PARA LA GENERACIÓN DE INGRESOS - IMPLEMENTACIÓN DE INTERVENCIÓN INTEGRAL APD CON ENFOQUE DIFERENCIAL ÉTNICO PARA INDIGENAS Y AFROS A NIVEL  NACIONAL</v>
          </cell>
          <cell r="Q90">
            <v>37511369742</v>
          </cell>
          <cell r="R90">
            <v>0</v>
          </cell>
          <cell r="S90">
            <v>0</v>
          </cell>
          <cell r="T90">
            <v>37511369742</v>
          </cell>
          <cell r="U90">
            <v>0</v>
          </cell>
          <cell r="V90">
            <v>34622400000</v>
          </cell>
          <cell r="W90">
            <v>2888969742</v>
          </cell>
          <cell r="X90">
            <v>34622400000</v>
          </cell>
          <cell r="Y90">
            <v>0</v>
          </cell>
          <cell r="Z90">
            <v>0</v>
          </cell>
          <cell r="AA90">
            <v>0</v>
          </cell>
        </row>
        <row r="91">
          <cell r="L91" t="str">
            <v>C-4101-1500-5-0-4101074-02=11</v>
          </cell>
          <cell r="M91" t="str">
            <v>Nación</v>
          </cell>
          <cell r="N91" t="str">
            <v>11</v>
          </cell>
          <cell r="O91" t="str">
            <v>CSF</v>
          </cell>
          <cell r="P91" t="str">
            <v xml:space="preserve">ADQUISICIÓN DE BIENES Y SERVICIOS - SERVICIO DE ACOMPAÑAMIENTO COMUNITARIO A LOS HOGARES EN RIESGO DE DESPLAZAMIENTO, RETORNADOS O REUBICADOS - IMPLEMENTACIÓN DE INTERVENCIÓN INTEGRAL APD CON ENFOQUE DIFERENCIAL ÉTNICO PARA INDIGENAS Y AFROS A NIVEL </v>
          </cell>
          <cell r="Q91">
            <v>8799663116</v>
          </cell>
          <cell r="R91">
            <v>0</v>
          </cell>
          <cell r="S91">
            <v>0</v>
          </cell>
          <cell r="T91">
            <v>8799663116</v>
          </cell>
          <cell r="U91">
            <v>0</v>
          </cell>
          <cell r="V91">
            <v>8799663116</v>
          </cell>
          <cell r="W91">
            <v>0</v>
          </cell>
          <cell r="X91">
            <v>8799663116</v>
          </cell>
          <cell r="Y91">
            <v>0</v>
          </cell>
          <cell r="Z91">
            <v>0</v>
          </cell>
          <cell r="AA91">
            <v>0</v>
          </cell>
        </row>
        <row r="92">
          <cell r="L92" t="str">
            <v>C-4101-1500-5-0-4101077-02=11</v>
          </cell>
          <cell r="M92" t="str">
            <v>Nación</v>
          </cell>
          <cell r="N92" t="str">
            <v>11</v>
          </cell>
          <cell r="O92" t="str">
            <v>CSF</v>
          </cell>
          <cell r="P92" t="str">
            <v>ADQUISICIÓN DE BIENES Y SERVICIOS - SERVICIO DE APOYO PARA LAS UNIDADES PRODUCTIVAS PARA EL AUTOCONSUMO DE HOGARES DESPLAZADOS O EN RIESGO DE DESPLAZAMIENTO, RETORNADOS O REUBICADOS - IMPLEMENTACIÓN DE INTERVENCIÓN INTEGRAL APD CON ENFOQUE DIFERENCIA</v>
          </cell>
          <cell r="Q92">
            <v>4325174580</v>
          </cell>
          <cell r="R92">
            <v>0</v>
          </cell>
          <cell r="S92">
            <v>0</v>
          </cell>
          <cell r="T92">
            <v>4325174580</v>
          </cell>
          <cell r="U92">
            <v>0</v>
          </cell>
          <cell r="V92">
            <v>3106555494</v>
          </cell>
          <cell r="W92">
            <v>1218619086</v>
          </cell>
          <cell r="X92">
            <v>2911404967</v>
          </cell>
          <cell r="Y92">
            <v>0</v>
          </cell>
          <cell r="Z92">
            <v>0</v>
          </cell>
          <cell r="AA92">
            <v>0</v>
          </cell>
        </row>
        <row r="93">
          <cell r="L93" t="str">
            <v>C-4101-1500-5-0-4101078-02=11</v>
          </cell>
          <cell r="M93" t="str">
            <v>Nación</v>
          </cell>
          <cell r="N93" t="str">
            <v>11</v>
          </cell>
          <cell r="O93" t="str">
            <v>CSF</v>
          </cell>
          <cell r="P93" t="str">
            <v>ADQUISICIÓN DE BIENES Y SERVICIOS - SERVICIO DE ASISTENCIA TÉCNICA PARA EL AUTOCONSUMO DE LOS HOGARES DESPLAZADOS O EN RIESGO DE DESPLAZAMIENTO, RETORNADOS O REUBICADOS - IMPLEMENTACIÓN DE INTERVENCIÓN INTEGRAL APD CON ENFOQUE DIFERENCIAL ÉTNICO PARA</v>
          </cell>
          <cell r="Q93">
            <v>7972098301</v>
          </cell>
          <cell r="R93">
            <v>0</v>
          </cell>
          <cell r="S93">
            <v>0</v>
          </cell>
          <cell r="T93">
            <v>7972098301</v>
          </cell>
          <cell r="U93">
            <v>0</v>
          </cell>
          <cell r="V93">
            <v>7027400000</v>
          </cell>
          <cell r="W93">
            <v>944698301</v>
          </cell>
          <cell r="X93">
            <v>7027400000</v>
          </cell>
          <cell r="Y93">
            <v>0</v>
          </cell>
          <cell r="Z93">
            <v>0</v>
          </cell>
          <cell r="AA93">
            <v>0</v>
          </cell>
        </row>
        <row r="94">
          <cell r="L94" t="str">
            <v>C-4101-1500-5-0-4101080-02=11</v>
          </cell>
          <cell r="M94" t="str">
            <v>Nación</v>
          </cell>
          <cell r="N94" t="str">
            <v>11</v>
          </cell>
          <cell r="O94" t="str">
            <v>CSF</v>
          </cell>
          <cell r="P94" t="str">
            <v>ADQUISICIÓN DE BIENES Y SERVICIOS - SERVICIO DE ASISTENCIA TÉCNICA PARA LA GENERACIÓN DE INGRESOS - IMPLEMENTACIÓN DE INTERVENCIÓN INTEGRAL APD CON ENFOQUE DIFERENCIAL ÉTNICO PARA INDIGENAS Y AFROS A NIVEL  NACIONAL</v>
          </cell>
          <cell r="Q94">
            <v>5196200000</v>
          </cell>
          <cell r="R94">
            <v>0</v>
          </cell>
          <cell r="S94">
            <v>0</v>
          </cell>
          <cell r="T94">
            <v>5196200000</v>
          </cell>
          <cell r="U94">
            <v>0</v>
          </cell>
          <cell r="V94">
            <v>5196200000</v>
          </cell>
          <cell r="W94">
            <v>0</v>
          </cell>
          <cell r="X94">
            <v>5196200000</v>
          </cell>
          <cell r="Y94">
            <v>0</v>
          </cell>
          <cell r="Z94">
            <v>0</v>
          </cell>
          <cell r="AA94">
            <v>0</v>
          </cell>
        </row>
        <row r="95">
          <cell r="L95" t="str">
            <v>C-4101-1500-5-0-4101081-02=11</v>
          </cell>
          <cell r="M95" t="str">
            <v>Nación</v>
          </cell>
          <cell r="N95" t="str">
            <v>11</v>
          </cell>
          <cell r="O95" t="str">
            <v>CSF</v>
          </cell>
          <cell r="P95" t="str">
            <v>ADQUISICIÓN DE BIENES Y SERVICIOS - SERVICIO DE APOYO AL FORTALECIMIENTO COMUNITARIO A LOS HOGARES EN RIESGO DE DESPLAZAMIENTO, RETORNADOS O REUBICADOS - IMPLEMENTACIÓN DE INTERVENCIÓN INTEGRAL APD CON ENFOQUE DIFERENCIAL ÉTNICO PARA INDIGENAS Y AFRO</v>
          </cell>
          <cell r="Q95">
            <v>2593569161</v>
          </cell>
          <cell r="R95">
            <v>0</v>
          </cell>
          <cell r="S95">
            <v>0</v>
          </cell>
          <cell r="T95">
            <v>2593569161</v>
          </cell>
          <cell r="U95">
            <v>0</v>
          </cell>
          <cell r="V95">
            <v>2593569161</v>
          </cell>
          <cell r="W95">
            <v>0</v>
          </cell>
          <cell r="X95">
            <v>2593569161</v>
          </cell>
          <cell r="Y95">
            <v>0</v>
          </cell>
          <cell r="Z95">
            <v>0</v>
          </cell>
          <cell r="AA95">
            <v>0</v>
          </cell>
        </row>
        <row r="96">
          <cell r="L96" t="str">
            <v>C-4101-1500-6-0-4101080-02=11</v>
          </cell>
          <cell r="M96" t="str">
            <v>Nación</v>
          </cell>
          <cell r="N96" t="str">
            <v>11</v>
          </cell>
          <cell r="O96" t="str">
            <v>CSF</v>
          </cell>
          <cell r="P96" t="str">
            <v>ADQUISICIÓN DE BIENES Y SERVICIOS - SERVICIO DE ASISTENCIA TÉCNICA PARA LA GENERACIÓN DE INGRESOS - IMPLEMENTACIÓN DE UN ESQUEMA ESPECIAL DE ACOMPAÑAMIENTO FAMILIAR DIRIGIDO A LA POBLACIÓN VICTIMA DE DESPLAZAMIENTO FORZADO RETORNADA O REUBICADA EN ZO</v>
          </cell>
          <cell r="Q96">
            <v>30467075662</v>
          </cell>
          <cell r="R96">
            <v>0</v>
          </cell>
          <cell r="S96">
            <v>0</v>
          </cell>
          <cell r="T96">
            <v>30467075662</v>
          </cell>
          <cell r="U96">
            <v>0</v>
          </cell>
          <cell r="V96">
            <v>23398487248</v>
          </cell>
          <cell r="W96">
            <v>7068588414</v>
          </cell>
          <cell r="X96">
            <v>23398487248</v>
          </cell>
          <cell r="Y96">
            <v>0</v>
          </cell>
          <cell r="Z96">
            <v>0</v>
          </cell>
          <cell r="AA96">
            <v>0</v>
          </cell>
        </row>
        <row r="97">
          <cell r="L97" t="str">
            <v>C-4101-1500-6-0-4101081-02=11</v>
          </cell>
          <cell r="M97" t="str">
            <v>Nación</v>
          </cell>
          <cell r="N97" t="str">
            <v>11</v>
          </cell>
          <cell r="O97" t="str">
            <v>CSF</v>
          </cell>
          <cell r="P97" t="str">
            <v>ADQUISICIÓN DE BIENES Y SERVICIOS - SERVICIO DE APOYO AL FORTALECIMIENTO COMUNITARIO A LOS HOGARES EN RIESGO DE DESPLAZAMIENTO, RETORNADOS O REUBICADOS - IMPLEMENTACIÓN DE UN ESQUEMA ESPECIAL DE ACOMPAÑAMIENTO FAMILIAR DIRIGIDO A LA POBLACIÓN VICTIMA</v>
          </cell>
          <cell r="Q97">
            <v>4435143756</v>
          </cell>
          <cell r="R97">
            <v>0</v>
          </cell>
          <cell r="S97">
            <v>0</v>
          </cell>
          <cell r="T97">
            <v>4435143756</v>
          </cell>
          <cell r="U97">
            <v>0</v>
          </cell>
          <cell r="V97">
            <v>4435143756</v>
          </cell>
          <cell r="W97">
            <v>0</v>
          </cell>
          <cell r="X97">
            <v>4435143756</v>
          </cell>
          <cell r="Y97">
            <v>0</v>
          </cell>
          <cell r="Z97">
            <v>0</v>
          </cell>
          <cell r="AA97">
            <v>0</v>
          </cell>
        </row>
        <row r="98">
          <cell r="L98" t="str">
            <v>C-4101-1500-6-0-4101078-02=11</v>
          </cell>
          <cell r="M98" t="str">
            <v>Nación</v>
          </cell>
          <cell r="N98" t="str">
            <v>11</v>
          </cell>
          <cell r="O98" t="str">
            <v>CSF</v>
          </cell>
          <cell r="P98" t="str">
            <v xml:space="preserve">ADQUISICIÓN DE BIENES Y SERVICIOS - SERVICIO DE ASISTENCIA TÉCNICA PARA EL AUTOCONSUMO DE LOS HOGARES DESPLAZADOS O EN RIESGO DE DESPLAZAMIENTO, RETORNADOS O REUBICADOS - IMPLEMENTACIÓN DE UN ESQUEMA ESPECIAL DE ACOMPAÑAMIENTO FAMILIAR DIRIGIDO A LA </v>
          </cell>
          <cell r="Q98">
            <v>16276997084</v>
          </cell>
          <cell r="R98">
            <v>0</v>
          </cell>
          <cell r="S98">
            <v>0</v>
          </cell>
          <cell r="T98">
            <v>16276997084</v>
          </cell>
          <cell r="U98">
            <v>0</v>
          </cell>
          <cell r="V98">
            <v>15724922141</v>
          </cell>
          <cell r="W98">
            <v>552074943</v>
          </cell>
          <cell r="X98">
            <v>15478895679</v>
          </cell>
          <cell r="Y98">
            <v>0</v>
          </cell>
          <cell r="Z98">
            <v>0</v>
          </cell>
          <cell r="AA98">
            <v>0</v>
          </cell>
        </row>
        <row r="99">
          <cell r="L99" t="str">
            <v>C-4101-1500-6-0-4101077-02=11</v>
          </cell>
          <cell r="M99" t="str">
            <v>Nación</v>
          </cell>
          <cell r="N99" t="str">
            <v>11</v>
          </cell>
          <cell r="O99" t="str">
            <v>CSF</v>
          </cell>
          <cell r="P99" t="str">
            <v>ADQUISICIÓN DE BIENES Y SERVICIOS - SERVICIO DE APOYO PARA LAS UNIDADES PRODUCTIVAS PARA EL AUTOCONSUMO DE HOGARES DESPLAZADOS O EN RIESGO DE DESPLAZAMIENTO, RETORNADOS O REUBICADOS - IMPLEMENTACIÓN DE UN ESQUEMA ESPECIAL DE ACOMPAÑAMIENTO FAMILIAR D</v>
          </cell>
          <cell r="Q99">
            <v>17722088000</v>
          </cell>
          <cell r="R99">
            <v>0</v>
          </cell>
          <cell r="S99">
            <v>0</v>
          </cell>
          <cell r="T99">
            <v>17722088000</v>
          </cell>
          <cell r="U99">
            <v>0</v>
          </cell>
          <cell r="V99">
            <v>17722088000</v>
          </cell>
          <cell r="W99">
            <v>0</v>
          </cell>
          <cell r="X99">
            <v>17722088000</v>
          </cell>
          <cell r="Y99">
            <v>0</v>
          </cell>
          <cell r="Z99">
            <v>0</v>
          </cell>
          <cell r="AA99">
            <v>0</v>
          </cell>
        </row>
        <row r="100">
          <cell r="L100" t="str">
            <v>C-4101-1500-6-0-4101073-02=11</v>
          </cell>
          <cell r="M100" t="str">
            <v>Nación</v>
          </cell>
          <cell r="N100" t="str">
            <v>11</v>
          </cell>
          <cell r="O100" t="str">
            <v>CSF</v>
          </cell>
          <cell r="P100" t="str">
            <v xml:space="preserve">ADQUISICIÓN DE BIENES Y SERVICIOS - SERVICIO DE APOYO PARA LA GENERACIÓN DE INGRESOS - IMPLEMENTACIÓN DE UN ESQUEMA ESPECIAL DE ACOMPAÑAMIENTO FAMILIAR DIRIGIDO A LA POBLACIÓN VICTIMA DE DESPLAZAMIENTO FORZADO RETORNADA O REUBICADA EN ZONAS RURALES, </v>
          </cell>
          <cell r="Q100">
            <v>4947405600</v>
          </cell>
          <cell r="R100">
            <v>0</v>
          </cell>
          <cell r="S100">
            <v>0</v>
          </cell>
          <cell r="T100">
            <v>4947405600</v>
          </cell>
          <cell r="U100">
            <v>0</v>
          </cell>
          <cell r="V100">
            <v>1947405600</v>
          </cell>
          <cell r="W100">
            <v>3000000000</v>
          </cell>
          <cell r="X100">
            <v>1947405600</v>
          </cell>
          <cell r="Y100">
            <v>0</v>
          </cell>
          <cell r="Z100">
            <v>0</v>
          </cell>
          <cell r="AA100">
            <v>0</v>
          </cell>
        </row>
        <row r="101">
          <cell r="L101" t="str">
            <v>C-4101-1500-6-0-4101074-02=11</v>
          </cell>
          <cell r="M101" t="str">
            <v>Nación</v>
          </cell>
          <cell r="N101" t="str">
            <v>11</v>
          </cell>
          <cell r="O101" t="str">
            <v>CSF</v>
          </cell>
          <cell r="P101" t="str">
            <v>ADQUISICIÓN DE BIENES Y SERVICIOS - SERVICIO DE ACOMPAÑAMIENTO COMUNITARIO A LOS HOGARES EN RIESGO DE DESPLAZAMIENTO, RETORNADOS O REUBICADOS - IMPLEMENTACIÓN DE UN ESQUEMA ESPECIAL DE ACOMPAÑAMIENTO FAMILIAR DIRIGIDO A LA POBLACIÓN VICTIMA DE DESPLA</v>
          </cell>
          <cell r="Q101">
            <v>27420887861</v>
          </cell>
          <cell r="R101">
            <v>0</v>
          </cell>
          <cell r="S101">
            <v>0</v>
          </cell>
          <cell r="T101">
            <v>27420887861</v>
          </cell>
          <cell r="U101">
            <v>0</v>
          </cell>
          <cell r="V101">
            <v>27306887861</v>
          </cell>
          <cell r="W101">
            <v>114000000</v>
          </cell>
          <cell r="X101">
            <v>27306887861</v>
          </cell>
          <cell r="Y101">
            <v>0</v>
          </cell>
          <cell r="Z101">
            <v>0</v>
          </cell>
          <cell r="AA101">
            <v>0</v>
          </cell>
        </row>
        <row r="102">
          <cell r="L102" t="str">
            <v>C-4101-1500-6-0-4101081-03=11</v>
          </cell>
          <cell r="M102" t="str">
            <v>Nación</v>
          </cell>
          <cell r="N102" t="str">
            <v>11</v>
          </cell>
          <cell r="O102" t="str">
            <v>CSF</v>
          </cell>
          <cell r="P102" t="str">
            <v>TRANSFERENCIAS CORRIENTES - SERVICIO DE APOYO AL FORTALECIMIENTO COMUNITARIO A LOS HOGARES EN RIESGO DE DESPLAZAMIENTO, RETORNADOS O REUBICADOS - IMPLEMENTACIÓN DE UN ESQUEMA ESPECIAL DE ACOMPAÑAMIENTO FAMILIAR DIRIGIDO A LA POBLACIÓN VICTIMA DE DESP</v>
          </cell>
          <cell r="Q102">
            <v>16832160000</v>
          </cell>
          <cell r="R102">
            <v>0</v>
          </cell>
          <cell r="S102">
            <v>0</v>
          </cell>
          <cell r="T102">
            <v>16832160000</v>
          </cell>
          <cell r="U102">
            <v>0</v>
          </cell>
          <cell r="V102">
            <v>16832160000</v>
          </cell>
          <cell r="W102">
            <v>0</v>
          </cell>
          <cell r="X102">
            <v>16832160000</v>
          </cell>
          <cell r="Y102">
            <v>0</v>
          </cell>
          <cell r="Z102">
            <v>0</v>
          </cell>
          <cell r="AA102">
            <v>0</v>
          </cell>
        </row>
        <row r="103">
          <cell r="L103" t="str">
            <v>C-4103-1500-12-0-4103006-02=10</v>
          </cell>
          <cell r="M103" t="str">
            <v>Nación</v>
          </cell>
          <cell r="N103" t="str">
            <v>10</v>
          </cell>
          <cell r="O103" t="str">
            <v>CSF</v>
          </cell>
          <cell r="P103" t="str">
            <v>ADQUISICIÓN DE BIENES Y SERVICIOS - SERVICIO DE APOYO FINANCIERO PARA LA ENTREGA DE TRANSFERENCIAS MONETARIAS CONDICIONADAS - IMPLEMENTACIÓN DE TRANSFERENCIAS MONETARIAS CONDICIONADAS PARA POBLACIÓN VULNERABLE A NIVEL NACIONAL - FIP  NACIONAL</v>
          </cell>
          <cell r="Q103">
            <v>170514008840.17001</v>
          </cell>
          <cell r="R103">
            <v>0</v>
          </cell>
          <cell r="S103">
            <v>0</v>
          </cell>
          <cell r="T103">
            <v>170514008840.17001</v>
          </cell>
          <cell r="U103">
            <v>0</v>
          </cell>
          <cell r="V103">
            <v>158932796153</v>
          </cell>
          <cell r="W103">
            <v>11581212687.17</v>
          </cell>
          <cell r="X103">
            <v>40460010905.129997</v>
          </cell>
          <cell r="Y103">
            <v>0</v>
          </cell>
          <cell r="Z103">
            <v>0</v>
          </cell>
          <cell r="AA103">
            <v>0</v>
          </cell>
        </row>
        <row r="104">
          <cell r="L104" t="str">
            <v>C-4103-1500-12-0-4103009-02=10</v>
          </cell>
          <cell r="M104" t="str">
            <v>Nación</v>
          </cell>
          <cell r="N104" t="str">
            <v>10</v>
          </cell>
          <cell r="O104" t="str">
            <v>CSF</v>
          </cell>
          <cell r="P104" t="str">
            <v xml:space="preserve">ADQUISICIÓN DE BIENES Y SERVICIOS - SERVICIO DE ASISTENCIA EN TEMAS DE DESARROLLO DE HABILIDADES NO COGNITIVAS PARA LA INCLUSIÓN PRODUCTIVA - IMPLEMENTACIÓN DE TRANSFERENCIAS MONETARIAS CONDICIONADAS PARA POBLACIÓN VULNERABLE A NIVEL NACIONAL - FIP  </v>
          </cell>
          <cell r="Q104">
            <v>5711307018</v>
          </cell>
          <cell r="R104">
            <v>0</v>
          </cell>
          <cell r="S104">
            <v>0</v>
          </cell>
          <cell r="T104">
            <v>5711307018</v>
          </cell>
          <cell r="U104">
            <v>0</v>
          </cell>
          <cell r="V104">
            <v>5111307018</v>
          </cell>
          <cell r="W104">
            <v>600000000</v>
          </cell>
          <cell r="X104">
            <v>5111307018</v>
          </cell>
          <cell r="Y104">
            <v>0</v>
          </cell>
          <cell r="Z104">
            <v>0</v>
          </cell>
          <cell r="AA104">
            <v>0</v>
          </cell>
        </row>
        <row r="105">
          <cell r="L105" t="str">
            <v>C-4103-1500-12-0-4103006-03=10</v>
          </cell>
          <cell r="M105" t="str">
            <v>Nación</v>
          </cell>
          <cell r="N105" t="str">
            <v>10</v>
          </cell>
          <cell r="O105" t="str">
            <v>CSF</v>
          </cell>
          <cell r="P105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5">
            <v>11682690576.83</v>
          </cell>
          <cell r="R105">
            <v>0</v>
          </cell>
          <cell r="S105">
            <v>0</v>
          </cell>
          <cell r="T105">
            <v>11682690576.83</v>
          </cell>
          <cell r="U105">
            <v>0</v>
          </cell>
          <cell r="V105">
            <v>11682690576.83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L106" t="str">
            <v>C-4103-1500-12-0-4103006-03=11</v>
          </cell>
          <cell r="M106" t="str">
            <v>Nación</v>
          </cell>
          <cell r="N106" t="str">
            <v>11</v>
          </cell>
          <cell r="O106" t="str">
            <v>CSF</v>
          </cell>
          <cell r="P106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6">
            <v>1691172057916</v>
          </cell>
          <cell r="R106">
            <v>0</v>
          </cell>
          <cell r="S106">
            <v>0</v>
          </cell>
          <cell r="T106">
            <v>1691172057916</v>
          </cell>
          <cell r="U106">
            <v>0</v>
          </cell>
          <cell r="V106">
            <v>1691172057916</v>
          </cell>
          <cell r="W106">
            <v>0</v>
          </cell>
          <cell r="X106">
            <v>570317913623</v>
          </cell>
          <cell r="Y106">
            <v>0</v>
          </cell>
          <cell r="Z106">
            <v>0</v>
          </cell>
          <cell r="AA106">
            <v>0</v>
          </cell>
        </row>
        <row r="107">
          <cell r="L107" t="str">
            <v>C-4103-1500-13-0-4103051-02=11</v>
          </cell>
          <cell r="M107" t="str">
            <v>Nación</v>
          </cell>
          <cell r="N107" t="str">
            <v>11</v>
          </cell>
          <cell r="O107" t="str">
            <v>CSF</v>
          </cell>
          <cell r="P107" t="str">
            <v>ADQUISICIÓN DE BIENES Y SERVICIOS - SERVICIO DE ASISTENCIA TÉCNICA PARA EL AUTOCONSUMO DE LOS HOGARES EN SITUACIÓN DE VULNERABILIDAD SOCIAL - IMPLEMENTACIÓN DE UNIDADES PRODUCTIVAS DE AUTOCONSUMO PARA POBLACIÓN POBRE Y VULNERABLE   NACIONAL</v>
          </cell>
          <cell r="Q107">
            <v>7218669145</v>
          </cell>
          <cell r="R107">
            <v>0</v>
          </cell>
          <cell r="S107">
            <v>0</v>
          </cell>
          <cell r="T107">
            <v>7218669145</v>
          </cell>
          <cell r="U107">
            <v>0</v>
          </cell>
          <cell r="V107">
            <v>4406021511</v>
          </cell>
          <cell r="W107">
            <v>2812647634</v>
          </cell>
          <cell r="X107">
            <v>4406021511</v>
          </cell>
          <cell r="Y107">
            <v>0</v>
          </cell>
          <cell r="Z107">
            <v>0</v>
          </cell>
          <cell r="AA107">
            <v>0</v>
          </cell>
        </row>
        <row r="108">
          <cell r="L108" t="str">
            <v>C-4103-1500-13-0-4103053-02=11</v>
          </cell>
          <cell r="M108" t="str">
            <v>Nación</v>
          </cell>
          <cell r="N108" t="str">
            <v>11</v>
          </cell>
          <cell r="O108" t="str">
            <v>CSF</v>
          </cell>
          <cell r="P108" t="str">
            <v>ADQUISICIÓN DE BIENES Y SERVICIOS - SERVICIO DE ASISTENCIA TÉCNICA PARA EL MEJORAMIENTO DE HÁBITOS ALIMENTARIOS - IMPLEMENTACIÓN DE UNIDADES PRODUCTIVAS DE AUTOCONSUMO PARA POBLACIÓN POBRE Y VULNERABLE   NACIONAL</v>
          </cell>
          <cell r="Q108">
            <v>4348087590</v>
          </cell>
          <cell r="R108">
            <v>0</v>
          </cell>
          <cell r="S108">
            <v>0</v>
          </cell>
          <cell r="T108">
            <v>4348087590</v>
          </cell>
          <cell r="U108">
            <v>0</v>
          </cell>
          <cell r="V108">
            <v>2653919568</v>
          </cell>
          <cell r="W108">
            <v>1694168022</v>
          </cell>
          <cell r="X108">
            <v>2653919568</v>
          </cell>
          <cell r="Y108">
            <v>0</v>
          </cell>
          <cell r="Z108">
            <v>0</v>
          </cell>
          <cell r="AA108">
            <v>0</v>
          </cell>
        </row>
        <row r="109">
          <cell r="L109" t="str">
            <v>C-4103-1500-13-0-4103054-02=11</v>
          </cell>
          <cell r="M109" t="str">
            <v>Nación</v>
          </cell>
          <cell r="N109" t="str">
            <v>11</v>
          </cell>
          <cell r="O109" t="str">
            <v>CSF</v>
          </cell>
          <cell r="P109" t="str">
            <v>ADQUISICIÓN DE BIENES Y SERVICIOS - SERVICIO DE MONITOREO Y SEGUIMIENTO A LAS INTERVENCIONES IMPLEMENTADAS PARA LA INCLUSIÓN SOCIAL Y PRODUCTIVA DE LA POBLACIÓN EN SITUACIÓN DE VULNERABILIDAD - IMPLEMENTACIÓN DE UNIDADES PRODUCTIVAS DE AUTOCONSUMO PA</v>
          </cell>
          <cell r="Q109">
            <v>2171371771</v>
          </cell>
          <cell r="R109">
            <v>0</v>
          </cell>
          <cell r="S109">
            <v>0</v>
          </cell>
          <cell r="T109">
            <v>2171371771</v>
          </cell>
          <cell r="U109">
            <v>0</v>
          </cell>
          <cell r="V109">
            <v>731905005</v>
          </cell>
          <cell r="W109">
            <v>1439466766</v>
          </cell>
          <cell r="X109">
            <v>408749118</v>
          </cell>
          <cell r="Y109">
            <v>0</v>
          </cell>
          <cell r="Z109">
            <v>0</v>
          </cell>
          <cell r="AA109">
            <v>0</v>
          </cell>
        </row>
        <row r="110">
          <cell r="L110" t="str">
            <v>C-4103-1500-13-0-4103055-02=11</v>
          </cell>
          <cell r="M110" t="str">
            <v>Nación</v>
          </cell>
          <cell r="N110" t="str">
            <v>11</v>
          </cell>
          <cell r="O110" t="str">
            <v>CSF</v>
          </cell>
          <cell r="P110" t="str">
            <v>ADQUISICIÓN DE BIENES Y SERVICIOS - SERVICIO DE APOYO PARA LAS UNIDADES PRODUCTIVAS PARA EL AUTOCONSUMO DE LOS HOGARES EN SITUACIÓN DE VULNERABILIDAD SOCIAL - IMPLEMENTACIÓN DE UNIDADES PRODUCTIVAS DE AUTOCONSUMO PARA POBLACIÓN POBRE Y VULNERABLE   N</v>
          </cell>
          <cell r="Q110">
            <v>12164900352</v>
          </cell>
          <cell r="R110">
            <v>0</v>
          </cell>
          <cell r="S110">
            <v>0</v>
          </cell>
          <cell r="T110">
            <v>12164900352</v>
          </cell>
          <cell r="U110">
            <v>0</v>
          </cell>
          <cell r="V110">
            <v>7457426819</v>
          </cell>
          <cell r="W110">
            <v>4707473533</v>
          </cell>
          <cell r="X110">
            <v>7457426819</v>
          </cell>
          <cell r="Y110">
            <v>0</v>
          </cell>
          <cell r="Z110">
            <v>0</v>
          </cell>
          <cell r="AA110">
            <v>0</v>
          </cell>
        </row>
        <row r="111">
          <cell r="L111" t="str">
            <v>C-4103-1500-14-0-4103048-02=11</v>
          </cell>
          <cell r="M111" t="str">
            <v>Nación</v>
          </cell>
          <cell r="N111" t="str">
            <v>11</v>
          </cell>
          <cell r="O111" t="str">
            <v>CSF</v>
          </cell>
          <cell r="P111" t="str">
            <v>ADQUISICIÓN DE BIENES Y SERVICIOS - SERVICIO DE ASISTENCIA TÉCNICA EN PROYECTOS DE INFRAESTRUCTURA SOCIAL A ENTIDADES TERRITORIALES - FORTALECIMIENTO PARA EL DESARROLLO DE INFRAESTRUCTURA SOCIAL Y HÁBITAT PARA LA INCLUSIÓN SOCIAL A NIVEL NACIONAL - F</v>
          </cell>
          <cell r="Q111">
            <v>21666882589.209999</v>
          </cell>
          <cell r="R111">
            <v>0</v>
          </cell>
          <cell r="S111">
            <v>0</v>
          </cell>
          <cell r="T111">
            <v>21666882589.209999</v>
          </cell>
          <cell r="U111">
            <v>0</v>
          </cell>
          <cell r="V111">
            <v>18840867891.209999</v>
          </cell>
          <cell r="W111">
            <v>2826014698</v>
          </cell>
          <cell r="X111">
            <v>2970074736</v>
          </cell>
          <cell r="Y111">
            <v>0</v>
          </cell>
          <cell r="Z111">
            <v>0</v>
          </cell>
          <cell r="AA111">
            <v>0</v>
          </cell>
        </row>
        <row r="112">
          <cell r="L112" t="str">
            <v>C-4103-1500-14-0-4103016-02=11</v>
          </cell>
          <cell r="M112" t="str">
            <v>Nación</v>
          </cell>
          <cell r="N112" t="str">
            <v>11</v>
          </cell>
          <cell r="O112" t="str">
            <v>CSF</v>
          </cell>
          <cell r="P112" t="str">
            <v>ADQUISICIÓN DE BIENES Y SERVICIOS - SERVICIO DE APOYO FINANCIERO PARA FINANCIACIÓN DE OBRAS DE INFRAESTRUCTURA SOCIAL - FORTALECIMIENTO PARA EL DESARROLLO DE INFRAESTRUCTURA SOCIAL Y HÁBITAT PARA LA INCLUSIÓN SOCIAL A NIVEL NACIONAL - FIP  NACIONAL</v>
          </cell>
          <cell r="Q112">
            <v>358903207165.07001</v>
          </cell>
          <cell r="R112">
            <v>44314848063</v>
          </cell>
          <cell r="S112">
            <v>0</v>
          </cell>
          <cell r="T112">
            <v>403218055228.07001</v>
          </cell>
          <cell r="U112">
            <v>0</v>
          </cell>
          <cell r="V112">
            <v>36249682146</v>
          </cell>
          <cell r="W112">
            <v>366968373082.07001</v>
          </cell>
          <cell r="X112">
            <v>36249682146</v>
          </cell>
          <cell r="Y112">
            <v>0</v>
          </cell>
          <cell r="Z112">
            <v>0</v>
          </cell>
          <cell r="AA112">
            <v>0</v>
          </cell>
        </row>
        <row r="113">
          <cell r="L113" t="str">
            <v>C-4103-1500-14-0-4103016-03=10</v>
          </cell>
          <cell r="M113" t="str">
            <v>Nación</v>
          </cell>
          <cell r="N113" t="str">
            <v>10</v>
          </cell>
          <cell r="O113" t="str">
            <v>CSF</v>
          </cell>
          <cell r="P113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3">
            <v>50000000000</v>
          </cell>
          <cell r="R113">
            <v>0</v>
          </cell>
          <cell r="S113">
            <v>0</v>
          </cell>
          <cell r="T113">
            <v>50000000000</v>
          </cell>
          <cell r="U113">
            <v>0</v>
          </cell>
          <cell r="V113">
            <v>0</v>
          </cell>
          <cell r="W113">
            <v>50000000000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L114" t="str">
            <v>C-4103-1500-14-0-4103016-03=11</v>
          </cell>
          <cell r="M114" t="str">
            <v>Nación</v>
          </cell>
          <cell r="N114" t="str">
            <v>11</v>
          </cell>
          <cell r="O114" t="str">
            <v>CSF</v>
          </cell>
          <cell r="P114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4">
            <v>796312137723.71997</v>
          </cell>
          <cell r="R114">
            <v>0</v>
          </cell>
          <cell r="S114">
            <v>44314848063</v>
          </cell>
          <cell r="T114">
            <v>751997289660.71997</v>
          </cell>
          <cell r="U114">
            <v>0</v>
          </cell>
          <cell r="V114">
            <v>454874507379.75</v>
          </cell>
          <cell r="W114">
            <v>297122782280.96997</v>
          </cell>
          <cell r="X114">
            <v>454874507379.75</v>
          </cell>
          <cell r="Y114">
            <v>0</v>
          </cell>
          <cell r="Z114">
            <v>0</v>
          </cell>
          <cell r="AA114">
            <v>0</v>
          </cell>
        </row>
        <row r="115">
          <cell r="L115" t="str">
            <v>C-4103-1500-16-0-4103056-02=11</v>
          </cell>
          <cell r="M115" t="str">
            <v>Nación</v>
          </cell>
          <cell r="N115" t="str">
            <v>11</v>
          </cell>
          <cell r="O115" t="str">
            <v>CSF</v>
          </cell>
          <cell r="P115" t="str">
            <v>ADQUISICIÓN DE BIENES Y SERVICIOS -  SERVICIO DE ASISTENCIA TÉCNICA EN SEGURIDAD ALIMENTARIA Y NUTRICIONAL A ENTIDADES TERRITORIALES - FORTALECIMIENTO A ENTIDADES TERRITORIALES EN POLITICA DE SEGURIDAD ALIMENTARIA  NACIONAL</v>
          </cell>
          <cell r="Q115">
            <v>730000000</v>
          </cell>
          <cell r="R115">
            <v>0</v>
          </cell>
          <cell r="S115">
            <v>0</v>
          </cell>
          <cell r="T115">
            <v>730000000</v>
          </cell>
          <cell r="U115">
            <v>0</v>
          </cell>
          <cell r="V115">
            <v>0</v>
          </cell>
          <cell r="W115">
            <v>730000000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L116" t="str">
            <v>C-4103-1500-16-0-4103060-02=11</v>
          </cell>
          <cell r="M116" t="str">
            <v>Nación</v>
          </cell>
          <cell r="N116" t="str">
            <v>11</v>
          </cell>
          <cell r="O116" t="str">
            <v>CSF</v>
          </cell>
          <cell r="P116" t="str">
            <v>ADQUISICIÓN DE BIENES Y SERVICIOS - DOCUMENTO DE LINEAMIENTOS TÉCNICOS - FORTALECIMIENTO A ENTIDADES TERRITORIALES EN POLITICA DE SEGURIDAD ALIMENTARIA  NACIONAL</v>
          </cell>
          <cell r="Q116">
            <v>270000000</v>
          </cell>
          <cell r="R116">
            <v>0</v>
          </cell>
          <cell r="S116">
            <v>0</v>
          </cell>
          <cell r="T116">
            <v>270000000</v>
          </cell>
          <cell r="U116">
            <v>0</v>
          </cell>
          <cell r="V116">
            <v>0</v>
          </cell>
          <cell r="W116">
            <v>270000000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L117" t="str">
            <v>C-4103-1500-17-0-4103058-02=11</v>
          </cell>
          <cell r="M117" t="str">
            <v>Nación</v>
          </cell>
          <cell r="N117" t="str">
            <v>11</v>
          </cell>
          <cell r="O117" t="str">
            <v>CSF</v>
          </cell>
          <cell r="P117" t="str">
            <v>ADQUISICIÓN DE BIENES Y SERVICIOS - SERVICIO DE APOYO PARA EL FORTALECIMIENTO DE UNIDADES PRODUCTIVAS COLECTIVAS PARA LA GENERACIÓN DE INGRESOS - IMPLEMENTACIÓN DE HERRAMIENTAS PARA LA INCLUSIÓN PRODUCTIVA DE LA POBLACIÓN EN SITUACIÓN DE POBREZA EXTR</v>
          </cell>
          <cell r="Q117">
            <v>12632794125</v>
          </cell>
          <cell r="R117">
            <v>0</v>
          </cell>
          <cell r="S117">
            <v>0</v>
          </cell>
          <cell r="T117">
            <v>12632794125</v>
          </cell>
          <cell r="U117">
            <v>0</v>
          </cell>
          <cell r="V117">
            <v>2919317645</v>
          </cell>
          <cell r="W117">
            <v>9713476480</v>
          </cell>
          <cell r="X117">
            <v>2919317645</v>
          </cell>
          <cell r="Y117">
            <v>0</v>
          </cell>
          <cell r="Z117">
            <v>0</v>
          </cell>
          <cell r="AA117">
            <v>0</v>
          </cell>
        </row>
        <row r="118">
          <cell r="L118" t="str">
            <v>C-4103-1500-17-0-4103059-02=11</v>
          </cell>
          <cell r="M118" t="str">
            <v>Nación</v>
          </cell>
          <cell r="N118" t="str">
            <v>11</v>
          </cell>
          <cell r="O118" t="str">
            <v>CSF</v>
          </cell>
          <cell r="P118" t="str">
            <v>ADQUISICIÓN DE BIENES Y SERVICIOS - SERVICIO DE ASISTENCIA TÉCNICA PARA FORTALECIMIENTO DE UNIDADES PRODUCTIVAS COLECTIVAS PARA LA GENERACIÓN DE INGRESOS - IMPLEMENTACIÓN DE HERRAMIENTAS PARA LA INCLUSIÓN PRODUCTIVA DE LA POBLACIÓN EN SITUACIÓN DE PO</v>
          </cell>
          <cell r="Q118">
            <v>1307947412</v>
          </cell>
          <cell r="R118">
            <v>0</v>
          </cell>
          <cell r="S118">
            <v>0</v>
          </cell>
          <cell r="T118">
            <v>1307947412</v>
          </cell>
          <cell r="U118">
            <v>0</v>
          </cell>
          <cell r="V118">
            <v>975341297</v>
          </cell>
          <cell r="W118">
            <v>332606115</v>
          </cell>
          <cell r="X118">
            <v>975341297</v>
          </cell>
          <cell r="Y118">
            <v>0</v>
          </cell>
          <cell r="Z118">
            <v>0</v>
          </cell>
          <cell r="AA118">
            <v>0</v>
          </cell>
        </row>
        <row r="119">
          <cell r="L119" t="str">
            <v>C-4103-1500-17-0-4103005-02=11</v>
          </cell>
          <cell r="M119" t="str">
            <v>Nación</v>
          </cell>
          <cell r="N119" t="str">
            <v>11</v>
          </cell>
          <cell r="O119" t="str">
            <v>CSF</v>
          </cell>
          <cell r="P119" t="str">
            <v>ADQUISICIÓN DE BIENES Y SERVICIOS - SERVICIO DE ASISTENCIA TÉCNICA PARA EL EMPRENDIMIENTO  - IMPLEMENTACIÓN DE HERRAMIENTAS PARA LA INCLUSIÓN PRODUCTIVA DE LA POBLACIÓN EN SITUACIÓN DE POBREZA EXTREMA, VULNERABILIDAD Y VICTIMAS DEL DESPLAZAMIENTO FOR</v>
          </cell>
          <cell r="Q119">
            <v>24060301659</v>
          </cell>
          <cell r="R119">
            <v>0</v>
          </cell>
          <cell r="S119">
            <v>0</v>
          </cell>
          <cell r="T119">
            <v>24060301659</v>
          </cell>
          <cell r="U119">
            <v>0</v>
          </cell>
          <cell r="V119">
            <v>16419966547</v>
          </cell>
          <cell r="W119">
            <v>7640335112</v>
          </cell>
          <cell r="X119">
            <v>13637060908</v>
          </cell>
          <cell r="Y119">
            <v>416769</v>
          </cell>
          <cell r="Z119">
            <v>416769</v>
          </cell>
          <cell r="AA119">
            <v>0</v>
          </cell>
        </row>
        <row r="120">
          <cell r="L120" t="str">
            <v>C-4103-1500-17-0-4103057-03=11</v>
          </cell>
          <cell r="M120" t="str">
            <v>Nación</v>
          </cell>
          <cell r="N120" t="str">
            <v>11</v>
          </cell>
          <cell r="O120" t="str">
            <v>CSF</v>
          </cell>
          <cell r="P120" t="str">
            <v xml:space="preserve">TRANSFERENCIAS CORRIENTES - SERVICIO DE APOYO A UNIDADES PRODUCTIVAS INDIVIDUALES PARA LA GENERACIÓN DE INGRESOS - IMPLEMENTACIÓN DE HERRAMIENTAS PARA LA INCLUSIÓN PRODUCTIVA DE LA POBLACIÓN EN SITUACIÓN DE POBREZA EXTREMA, VULNERABILIDAD Y VICTIMAS </v>
          </cell>
          <cell r="Q120">
            <v>45582352481</v>
          </cell>
          <cell r="R120">
            <v>0</v>
          </cell>
          <cell r="S120">
            <v>0</v>
          </cell>
          <cell r="T120">
            <v>45582352481</v>
          </cell>
          <cell r="U120">
            <v>0</v>
          </cell>
          <cell r="V120">
            <v>21101342352</v>
          </cell>
          <cell r="W120">
            <v>24481010129</v>
          </cell>
          <cell r="X120">
            <v>21101342352</v>
          </cell>
          <cell r="Y120">
            <v>0</v>
          </cell>
          <cell r="Z120">
            <v>0</v>
          </cell>
          <cell r="AA120">
            <v>0</v>
          </cell>
        </row>
        <row r="121">
          <cell r="L121" t="str">
            <v>C-4103-1500-18-0-4103050-02=11</v>
          </cell>
          <cell r="M121" t="str">
            <v>Nación</v>
          </cell>
          <cell r="N121" t="str">
            <v>11</v>
          </cell>
          <cell r="O121" t="str">
            <v>CSF</v>
          </cell>
          <cell r="P121" t="str">
            <v>ADQUISICIÓN DE BIENES Y SERVICIOS - SERVICIO DE ACOMPAÑAMIENTO FAMILIAR Y COMUNITARIO PARA LA SUPERACIÓN DE LA POBREZA - IMPLEMENTACIÓN DE LA ESTRATEGIA DE ACOMPAÑAMIENTO FAMILIAR Y COMUNITARIO PARA LA SUPERACIÓN DE LA POBREZA - FIP A NIVEL   NACIONA</v>
          </cell>
          <cell r="Q121">
            <v>70125561842</v>
          </cell>
          <cell r="R121">
            <v>0</v>
          </cell>
          <cell r="S121">
            <v>0</v>
          </cell>
          <cell r="T121">
            <v>70125561842</v>
          </cell>
          <cell r="U121">
            <v>0</v>
          </cell>
          <cell r="V121">
            <v>3625066839.9200001</v>
          </cell>
          <cell r="W121">
            <v>66500495002.080002</v>
          </cell>
          <cell r="X121">
            <v>2665516270.9200001</v>
          </cell>
          <cell r="Y121">
            <v>0</v>
          </cell>
          <cell r="Z121">
            <v>0</v>
          </cell>
          <cell r="AA121">
            <v>0</v>
          </cell>
        </row>
        <row r="122">
          <cell r="L122" t="str">
            <v>C-4103-1500-19-0-4103052-02=11</v>
          </cell>
          <cell r="M122" t="str">
            <v>Nación</v>
          </cell>
          <cell r="N122" t="str">
            <v>11</v>
          </cell>
          <cell r="O122" t="str">
            <v>CSF</v>
          </cell>
          <cell r="P122" t="str">
            <v>ADQUISICIÓN DE BIENES Y SERVICIOS - SERVICIO DE GESTIÓN DE OFERTA SOCIAL PARA LA POBLACIÓN VULNERABLE - FORTALECIMIENTO DE LA GESTIÓN DE OFERTA PARA LA SUPERACIÓN DE LA POBREZA- FIP A NIVEL  NACIONAL</v>
          </cell>
          <cell r="Q122">
            <v>9835707936</v>
          </cell>
          <cell r="R122">
            <v>0</v>
          </cell>
          <cell r="S122">
            <v>0</v>
          </cell>
          <cell r="T122">
            <v>9835707936</v>
          </cell>
          <cell r="U122">
            <v>0</v>
          </cell>
          <cell r="V122">
            <v>4474125948</v>
          </cell>
          <cell r="W122">
            <v>5361581988</v>
          </cell>
          <cell r="X122">
            <v>3032781405</v>
          </cell>
          <cell r="Y122">
            <v>0</v>
          </cell>
          <cell r="Z122">
            <v>0</v>
          </cell>
          <cell r="AA122">
            <v>0</v>
          </cell>
        </row>
        <row r="123">
          <cell r="L123" t="str">
            <v>C-4103-1500-19-0-4103060-02=11</v>
          </cell>
          <cell r="M123" t="str">
            <v>Nación</v>
          </cell>
          <cell r="N123" t="str">
            <v>11</v>
          </cell>
          <cell r="O123" t="str">
            <v>CSF</v>
          </cell>
          <cell r="P123" t="str">
            <v>ADQUISICIÓN DE BIENES Y SERVICIOS - DOCUMENTO DE LINEAMIENTOS TÉCNICOS - FORTALECIMIENTO DE LA GESTIÓN DE OFERTA PARA LA SUPERACIÓN DE LA POBREZA- FIP A NIVEL  NACIONAL</v>
          </cell>
          <cell r="Q123">
            <v>1226999999</v>
          </cell>
          <cell r="R123">
            <v>0</v>
          </cell>
          <cell r="S123">
            <v>0</v>
          </cell>
          <cell r="T123">
            <v>1226999999</v>
          </cell>
          <cell r="U123">
            <v>0</v>
          </cell>
          <cell r="V123">
            <v>0</v>
          </cell>
          <cell r="W123">
            <v>1226999999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L124" t="str">
            <v>C-4103-1500-19-0-4103049-02=11</v>
          </cell>
          <cell r="M124" t="str">
            <v>Nación</v>
          </cell>
          <cell r="N124" t="str">
            <v>11</v>
          </cell>
          <cell r="O124" t="str">
            <v>CSF</v>
          </cell>
          <cell r="P124" t="str">
            <v>ADQUISICIÓN DE BIENES Y SERVICIOS - SERVICIO DE ASISTENCIA TÉCNICA A LAS ENTIDADES TERRITORIALES EN LA FORMULACIÓN DE SUS MARCOS DE LUCHA CONTRA LA POBREZA - FORTALECIMIENTO DE LA GESTIÓN DE OFERTA PARA LA SUPERACIÓN DE LA POBREZA- FIP A NIVEL  NACIO</v>
          </cell>
          <cell r="Q124">
            <v>218772000</v>
          </cell>
          <cell r="R124">
            <v>0</v>
          </cell>
          <cell r="S124">
            <v>0</v>
          </cell>
          <cell r="T124">
            <v>218772000</v>
          </cell>
          <cell r="U124">
            <v>0</v>
          </cell>
          <cell r="V124">
            <v>3000000</v>
          </cell>
          <cell r="W124">
            <v>215772000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L125" t="str">
            <v>C-4199-1500-2-0-4199062-02=11</v>
          </cell>
          <cell r="M125" t="str">
            <v>Nación</v>
          </cell>
          <cell r="N125" t="str">
            <v>11</v>
          </cell>
          <cell r="O125" t="str">
            <v>CSF</v>
          </cell>
          <cell r="P125" t="str">
            <v>ADQUISICIÓN DE BIENES Y SERVICIOS - SERVICIOS TECNOLÓGICOS  - IMPLEMENTACIÓN Y AMPLIACIÓN DE LAS TECNOLOGÍAS DE INFORMACIÓN Y COMUNICACIONES EN DPS A NIVEL  NACIONAL</v>
          </cell>
          <cell r="Q125">
            <v>3226548466</v>
          </cell>
          <cell r="R125">
            <v>0</v>
          </cell>
          <cell r="S125">
            <v>0</v>
          </cell>
          <cell r="T125">
            <v>3226548466</v>
          </cell>
          <cell r="U125">
            <v>0</v>
          </cell>
          <cell r="V125">
            <v>0</v>
          </cell>
          <cell r="W125">
            <v>3226548466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.Ejecutivo.2019"/>
      <sheetName val="Vigencia"/>
      <sheetName val="EJEC_2020"/>
      <sheetName val="PPTO 2019 DPS Modif2"/>
      <sheetName val="Reserva"/>
      <sheetName val="Ejec_RESERVA"/>
      <sheetName val="RPS_reserva"/>
      <sheetName val="Just"/>
      <sheetName val="PAGOS_reserva"/>
      <sheetName val="CXP"/>
      <sheetName val="Ejec_CXP19"/>
      <sheetName val="pagoCXP"/>
    </sheetNames>
    <sheetDataSet>
      <sheetData sheetId="0"/>
      <sheetData sheetId="1">
        <row r="5">
          <cell r="L5" t="str">
            <v>A-01-01-01=10</v>
          </cell>
          <cell r="M5" t="str">
            <v>Nación</v>
          </cell>
          <cell r="N5" t="str">
            <v>10</v>
          </cell>
          <cell r="O5" t="str">
            <v>CSF</v>
          </cell>
          <cell r="P5" t="str">
            <v>SALARIO</v>
          </cell>
          <cell r="Q5">
            <v>68019000000</v>
          </cell>
          <cell r="R5">
            <v>0</v>
          </cell>
          <cell r="S5">
            <v>0</v>
          </cell>
          <cell r="T5">
            <v>68019000000</v>
          </cell>
          <cell r="U5">
            <v>0</v>
          </cell>
          <cell r="V5">
            <v>68019000000</v>
          </cell>
          <cell r="W5">
            <v>0</v>
          </cell>
          <cell r="X5">
            <v>61031327000</v>
          </cell>
          <cell r="Y5">
            <v>9178883040</v>
          </cell>
          <cell r="Z5">
            <v>9178883040</v>
          </cell>
          <cell r="AA5">
            <v>9178883040</v>
          </cell>
        </row>
        <row r="6">
          <cell r="L6" t="str">
            <v>A-01-01-02=10</v>
          </cell>
          <cell r="M6" t="str">
            <v>Nación</v>
          </cell>
          <cell r="N6" t="str">
            <v>10</v>
          </cell>
          <cell r="O6" t="str">
            <v>CSF</v>
          </cell>
          <cell r="P6" t="str">
            <v>CONTRIBUCIONES INHERENTES A LA NÓMINA</v>
          </cell>
          <cell r="Q6">
            <v>24735000000</v>
          </cell>
          <cell r="R6">
            <v>0</v>
          </cell>
          <cell r="S6">
            <v>0</v>
          </cell>
          <cell r="T6">
            <v>24735000000</v>
          </cell>
          <cell r="U6">
            <v>0</v>
          </cell>
          <cell r="V6">
            <v>24735000000</v>
          </cell>
          <cell r="W6">
            <v>0</v>
          </cell>
          <cell r="X6">
            <v>22257548000</v>
          </cell>
          <cell r="Y6">
            <v>3681444213</v>
          </cell>
          <cell r="Z6">
            <v>3681444213</v>
          </cell>
          <cell r="AA6">
            <v>3681361413</v>
          </cell>
        </row>
        <row r="7">
          <cell r="L7" t="str">
            <v>A-01-01-03=10</v>
          </cell>
          <cell r="M7" t="str">
            <v>Nación</v>
          </cell>
          <cell r="N7" t="str">
            <v>10</v>
          </cell>
          <cell r="O7" t="str">
            <v>CSF</v>
          </cell>
          <cell r="P7" t="str">
            <v>REMUNERACIONES NO CONSTITUTIVAS DE FACTOR SALARIAL</v>
          </cell>
          <cell r="Q7">
            <v>6984000000</v>
          </cell>
          <cell r="R7">
            <v>0</v>
          </cell>
          <cell r="S7">
            <v>0</v>
          </cell>
          <cell r="T7">
            <v>6984000000</v>
          </cell>
          <cell r="U7">
            <v>0</v>
          </cell>
          <cell r="V7">
            <v>6954000000</v>
          </cell>
          <cell r="W7">
            <v>30000000</v>
          </cell>
          <cell r="X7">
            <v>6475079000</v>
          </cell>
          <cell r="Y7">
            <v>814198442</v>
          </cell>
          <cell r="Z7">
            <v>814198442</v>
          </cell>
          <cell r="AA7">
            <v>814198442</v>
          </cell>
        </row>
        <row r="8">
          <cell r="L8" t="str">
            <v>A-02-02=10</v>
          </cell>
          <cell r="M8" t="str">
            <v>Nación</v>
          </cell>
          <cell r="N8" t="str">
            <v>10</v>
          </cell>
          <cell r="O8" t="str">
            <v>CSF</v>
          </cell>
          <cell r="P8" t="str">
            <v>ADQUISICIONES DIFERENTES DE ACTIVOS</v>
          </cell>
          <cell r="Q8">
            <v>42289000000</v>
          </cell>
          <cell r="R8">
            <v>0</v>
          </cell>
          <cell r="S8">
            <v>0</v>
          </cell>
          <cell r="T8">
            <v>42289000000</v>
          </cell>
          <cell r="U8">
            <v>0</v>
          </cell>
          <cell r="V8">
            <v>31981727327.439999</v>
          </cell>
          <cell r="W8">
            <v>10307272672.559999</v>
          </cell>
          <cell r="X8">
            <v>26129926049.310001</v>
          </cell>
          <cell r="Y8">
            <v>4028558598.0100002</v>
          </cell>
          <cell r="Z8">
            <v>4027386695.0100002</v>
          </cell>
          <cell r="AA8">
            <v>4006887467.0100002</v>
          </cell>
        </row>
        <row r="9">
          <cell r="L9" t="str">
            <v>A-03-03-01-999=10</v>
          </cell>
          <cell r="M9" t="str">
            <v>Nación</v>
          </cell>
          <cell r="N9" t="str">
            <v>10</v>
          </cell>
          <cell r="O9" t="str">
            <v>CSF</v>
          </cell>
          <cell r="P9" t="str">
            <v>OTRAS TRANSFERENCIAS - DISTRIBUCIÓN PREVIO CONCEPTO DGPPN</v>
          </cell>
          <cell r="Q9">
            <v>11791000000</v>
          </cell>
          <cell r="R9">
            <v>0</v>
          </cell>
          <cell r="S9">
            <v>0</v>
          </cell>
          <cell r="T9">
            <v>11791000000</v>
          </cell>
          <cell r="U9">
            <v>11791000000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L10" t="str">
            <v>A-03-04-02-012=10</v>
          </cell>
          <cell r="M10" t="str">
            <v>Nación</v>
          </cell>
          <cell r="N10" t="str">
            <v>10</v>
          </cell>
          <cell r="O10" t="str">
            <v>CSF</v>
          </cell>
          <cell r="P10" t="str">
            <v>INCAPACIDADES Y LICENCIAS DE MATERNIDAD Y PATERNIDAD (NO DE PENSIONES)</v>
          </cell>
          <cell r="Q10">
            <v>752000000</v>
          </cell>
          <cell r="R10">
            <v>0</v>
          </cell>
          <cell r="S10">
            <v>36000000</v>
          </cell>
          <cell r="T10">
            <v>716000000</v>
          </cell>
          <cell r="U10">
            <v>0</v>
          </cell>
          <cell r="V10">
            <v>716000000</v>
          </cell>
          <cell r="W10">
            <v>0</v>
          </cell>
          <cell r="X10">
            <v>716000000</v>
          </cell>
          <cell r="Y10">
            <v>114396457</v>
          </cell>
          <cell r="Z10">
            <v>114396457</v>
          </cell>
          <cell r="AA10">
            <v>114396457</v>
          </cell>
        </row>
        <row r="11">
          <cell r="L11" t="str">
            <v>A-03-04-02-025=10</v>
          </cell>
          <cell r="M11" t="str">
            <v>Nación</v>
          </cell>
          <cell r="N11" t="str">
            <v>10</v>
          </cell>
          <cell r="O11" t="str">
            <v>CSF</v>
          </cell>
          <cell r="P11" t="str">
            <v>INDEMNIZACIONES (NO DE PENSIONES)</v>
          </cell>
          <cell r="Q11">
            <v>0</v>
          </cell>
          <cell r="R11">
            <v>36000000</v>
          </cell>
          <cell r="S11">
            <v>0</v>
          </cell>
          <cell r="T11">
            <v>36000000</v>
          </cell>
          <cell r="U11">
            <v>0</v>
          </cell>
          <cell r="V11">
            <v>36000000</v>
          </cell>
          <cell r="W11">
            <v>0</v>
          </cell>
          <cell r="X11">
            <v>35990874</v>
          </cell>
          <cell r="Y11">
            <v>35990874</v>
          </cell>
          <cell r="Z11">
            <v>35990874</v>
          </cell>
          <cell r="AA11">
            <v>35990874</v>
          </cell>
        </row>
        <row r="12">
          <cell r="L12" t="str">
            <v>A-03-10-01-001=10</v>
          </cell>
          <cell r="M12" t="str">
            <v>Nación</v>
          </cell>
          <cell r="N12" t="str">
            <v>10</v>
          </cell>
          <cell r="O12" t="str">
            <v>CSF</v>
          </cell>
          <cell r="P12" t="str">
            <v>SENTENCIAS</v>
          </cell>
          <cell r="Q12">
            <v>2597000000</v>
          </cell>
          <cell r="R12">
            <v>0</v>
          </cell>
          <cell r="S12">
            <v>0</v>
          </cell>
          <cell r="T12">
            <v>2597000000</v>
          </cell>
          <cell r="U12">
            <v>0</v>
          </cell>
          <cell r="V12">
            <v>0</v>
          </cell>
          <cell r="W12">
            <v>2597000000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L13" t="str">
            <v>A-08-01=10</v>
          </cell>
          <cell r="M13" t="str">
            <v>Nación</v>
          </cell>
          <cell r="N13" t="str">
            <v>10</v>
          </cell>
          <cell r="O13" t="str">
            <v>CSF</v>
          </cell>
          <cell r="P13" t="str">
            <v>IMPUESTOS</v>
          </cell>
          <cell r="Q13">
            <v>84000000</v>
          </cell>
          <cell r="R13">
            <v>0</v>
          </cell>
          <cell r="S13">
            <v>0</v>
          </cell>
          <cell r="T13">
            <v>84000000</v>
          </cell>
          <cell r="U13">
            <v>0</v>
          </cell>
          <cell r="V13">
            <v>84000000</v>
          </cell>
          <cell r="W13">
            <v>0</v>
          </cell>
          <cell r="X13">
            <v>57811499.210000001</v>
          </cell>
          <cell r="Y13">
            <v>16263100.210000001</v>
          </cell>
          <cell r="Z13">
            <v>16263100.210000001</v>
          </cell>
          <cell r="AA13">
            <v>16263100.210000001</v>
          </cell>
        </row>
        <row r="14">
          <cell r="L14" t="str">
            <v>A-08-04-01=11</v>
          </cell>
          <cell r="M14" t="str">
            <v>Nación</v>
          </cell>
          <cell r="N14" t="str">
            <v>11</v>
          </cell>
          <cell r="O14" t="str">
            <v>SSF</v>
          </cell>
          <cell r="P14" t="str">
            <v>CUOTA DE FISCALIZACIÓN Y AUDITAJE</v>
          </cell>
          <cell r="Q14">
            <v>5740000000</v>
          </cell>
          <cell r="R14">
            <v>0</v>
          </cell>
          <cell r="S14">
            <v>0</v>
          </cell>
          <cell r="T14">
            <v>5740000000</v>
          </cell>
          <cell r="U14">
            <v>0</v>
          </cell>
          <cell r="V14">
            <v>0</v>
          </cell>
          <cell r="W14">
            <v>5740000000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L15" t="str">
            <v>C-4101-1500-5=11</v>
          </cell>
          <cell r="M15" t="str">
            <v>Nación</v>
          </cell>
          <cell r="N15" t="str">
            <v>11</v>
          </cell>
          <cell r="O15" t="str">
            <v>CSF</v>
          </cell>
          <cell r="P15" t="str">
            <v>IMPLEMENTACIÓN DE INTERVENCIÓN INTEGRAL APD CON ENFOQUE DIFERENCIAL ÉTNICO PARA INDIGENAS Y AFROS A NIVEL  NACIONAL</v>
          </cell>
          <cell r="Q15">
            <v>66398074900</v>
          </cell>
          <cell r="R15">
            <v>0</v>
          </cell>
          <cell r="S15">
            <v>0</v>
          </cell>
          <cell r="T15">
            <v>66398074900</v>
          </cell>
          <cell r="U15">
            <v>0</v>
          </cell>
          <cell r="V15">
            <v>61345787771</v>
          </cell>
          <cell r="W15">
            <v>5052287129</v>
          </cell>
          <cell r="X15">
            <v>61254503910</v>
          </cell>
          <cell r="Y15">
            <v>16005500</v>
          </cell>
          <cell r="Z15">
            <v>16005500</v>
          </cell>
          <cell r="AA15">
            <v>16005500</v>
          </cell>
        </row>
        <row r="16">
          <cell r="L16" t="str">
            <v>C-4101-1500-6=11</v>
          </cell>
          <cell r="M16" t="str">
            <v>Nación</v>
          </cell>
          <cell r="N16" t="str">
            <v>11</v>
          </cell>
          <cell r="O16" t="str">
            <v>CSF</v>
          </cell>
          <cell r="P16" t="str">
            <v>IMPLEMENTACIÓN DE UN ESQUEMA ESPECIAL DE ACOMPAÑAMIENTO FAMILIAR DIRIGIDO A LA POBLACIÓN VICTIMA DE DESPLAZAMIENTO FORZADO RETORNADA O REUBICADA EN ZONAS RURALES, A NIVEL  NACIONAL</v>
          </cell>
          <cell r="Q16">
            <v>118101757963</v>
          </cell>
          <cell r="R16">
            <v>0</v>
          </cell>
          <cell r="S16">
            <v>0</v>
          </cell>
          <cell r="T16">
            <v>118101757963</v>
          </cell>
          <cell r="U16">
            <v>0</v>
          </cell>
          <cell r="V16">
            <v>107367094606</v>
          </cell>
          <cell r="W16">
            <v>10734663357</v>
          </cell>
          <cell r="X16">
            <v>107176204888</v>
          </cell>
          <cell r="Y16">
            <v>8358490705</v>
          </cell>
          <cell r="Z16">
            <v>8358490705</v>
          </cell>
          <cell r="AA16">
            <v>3155619922</v>
          </cell>
        </row>
        <row r="17">
          <cell r="L17" t="str">
            <v>C-4103-1500-12=10</v>
          </cell>
          <cell r="M17" t="str">
            <v>Nación</v>
          </cell>
          <cell r="N17" t="str">
            <v>10</v>
          </cell>
          <cell r="O17" t="str">
            <v>CSF</v>
          </cell>
          <cell r="P17" t="str">
            <v>IMPLEMENTACIÓN DE TRANSFERENCIAS MONETARIAS CONDICIONADAS PARA POBLACIÓN VULNERABLE A NIVEL NACIONAL - FIP  NACIONAL</v>
          </cell>
          <cell r="Q17">
            <v>187908006435</v>
          </cell>
          <cell r="R17">
            <v>0</v>
          </cell>
          <cell r="S17">
            <v>0</v>
          </cell>
          <cell r="T17">
            <v>187908006435</v>
          </cell>
          <cell r="U17">
            <v>0</v>
          </cell>
          <cell r="V17">
            <v>180573190384.82999</v>
          </cell>
          <cell r="W17">
            <v>7334816050.1700001</v>
          </cell>
          <cell r="X17">
            <v>63725394558.959999</v>
          </cell>
          <cell r="Y17">
            <v>17741107530.959999</v>
          </cell>
          <cell r="Z17">
            <v>17741107530.959999</v>
          </cell>
          <cell r="AA17">
            <v>17741107530.959999</v>
          </cell>
        </row>
        <row r="18">
          <cell r="L18" t="str">
            <v>C-4103-1500-12=11</v>
          </cell>
          <cell r="M18" t="str">
            <v>Nación</v>
          </cell>
          <cell r="N18" t="str">
            <v>11</v>
          </cell>
          <cell r="O18" t="str">
            <v>CSF</v>
          </cell>
          <cell r="P18" t="str">
            <v>IMPLEMENTACIÓN DE TRANSFERENCIAS MONETARIAS CONDICIONADAS PARA POBLACIÓN VULNERABLE A NIVEL NACIONAL - FIP  NACIONAL</v>
          </cell>
          <cell r="Q18">
            <v>1691172057916</v>
          </cell>
          <cell r="R18">
            <v>0</v>
          </cell>
          <cell r="S18">
            <v>0</v>
          </cell>
          <cell r="T18">
            <v>1691172057916</v>
          </cell>
          <cell r="U18">
            <v>60000000000</v>
          </cell>
          <cell r="V18">
            <v>1631172057916</v>
          </cell>
          <cell r="W18">
            <v>0</v>
          </cell>
          <cell r="X18">
            <v>1631172057916</v>
          </cell>
          <cell r="Y18">
            <v>83609960000</v>
          </cell>
          <cell r="Z18">
            <v>83609960000</v>
          </cell>
          <cell r="AA18">
            <v>83609960000</v>
          </cell>
        </row>
        <row r="19">
          <cell r="L19" t="str">
            <v>C-4103-1500-13=11</v>
          </cell>
          <cell r="M19" t="str">
            <v>Nación</v>
          </cell>
          <cell r="N19" t="str">
            <v>11</v>
          </cell>
          <cell r="O19" t="str">
            <v>CSF</v>
          </cell>
          <cell r="P19" t="str">
            <v>IMPLEMENTACIÓN DE UNIDADES PRODUCTIVAS DE AUTOCONSUMO PARA POBLACIÓN POBRE Y VULNERABLE   NACIONAL</v>
          </cell>
          <cell r="Q19">
            <v>25903028858</v>
          </cell>
          <cell r="R19">
            <v>0</v>
          </cell>
          <cell r="S19">
            <v>0</v>
          </cell>
          <cell r="T19">
            <v>25903028858</v>
          </cell>
          <cell r="U19">
            <v>0</v>
          </cell>
          <cell r="V19">
            <v>15257352021</v>
          </cell>
          <cell r="W19">
            <v>10645676837</v>
          </cell>
          <cell r="X19">
            <v>15235884496</v>
          </cell>
          <cell r="Y19">
            <v>20685476</v>
          </cell>
          <cell r="Z19">
            <v>20685476</v>
          </cell>
          <cell r="AA19">
            <v>20685476</v>
          </cell>
        </row>
        <row r="20">
          <cell r="L20" t="str">
            <v>C-4103-1500-14=10</v>
          </cell>
          <cell r="M20" t="str">
            <v>Nación</v>
          </cell>
          <cell r="N20" t="str">
            <v>10</v>
          </cell>
          <cell r="O20" t="str">
            <v>CSF</v>
          </cell>
          <cell r="P20" t="str">
            <v>FORTALECIMIENTO PARA EL DESARROLLO DE INFRAESTRUCTURA SOCIAL Y HÁBITAT PARA LA INCLUSIÓN SOCIAL A NIVEL NACIONAL - FIP  NACIONAL</v>
          </cell>
          <cell r="Q20">
            <v>50000000000</v>
          </cell>
          <cell r="R20">
            <v>0</v>
          </cell>
          <cell r="S20">
            <v>0</v>
          </cell>
          <cell r="T20">
            <v>50000000000</v>
          </cell>
          <cell r="U20">
            <v>50000000000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L21" t="str">
            <v>C-4103-1500-14=11</v>
          </cell>
          <cell r="M21" t="str">
            <v>Nación</v>
          </cell>
          <cell r="N21" t="str">
            <v>11</v>
          </cell>
          <cell r="O21" t="str">
            <v>CSF</v>
          </cell>
          <cell r="P21" t="str">
            <v>FORTALECIMIENTO PARA EL DESARROLLO DE INFRAESTRUCTURA SOCIAL Y HÁBITAT PARA LA INCLUSIÓN SOCIAL A NIVEL NACIONAL - FIP  NACIONAL</v>
          </cell>
          <cell r="Q21">
            <v>1176882227478</v>
          </cell>
          <cell r="R21">
            <v>0</v>
          </cell>
          <cell r="S21">
            <v>0</v>
          </cell>
          <cell r="T21">
            <v>1176882227478</v>
          </cell>
          <cell r="U21">
            <v>590000000000</v>
          </cell>
          <cell r="V21">
            <v>582200722490.95996</v>
          </cell>
          <cell r="W21">
            <v>4681504987.04</v>
          </cell>
          <cell r="X21">
            <v>499557309456.75</v>
          </cell>
          <cell r="Y21">
            <v>23117482525.549999</v>
          </cell>
          <cell r="Z21">
            <v>23117482525.549999</v>
          </cell>
          <cell r="AA21">
            <v>23117482525.549999</v>
          </cell>
        </row>
        <row r="22">
          <cell r="L22" t="str">
            <v>C-4103-1500-16=11</v>
          </cell>
          <cell r="M22" t="str">
            <v>Nación</v>
          </cell>
          <cell r="N22" t="str">
            <v>11</v>
          </cell>
          <cell r="O22" t="str">
            <v>CSF</v>
          </cell>
          <cell r="P22" t="str">
            <v>FORTALECIMIENTO A ENTIDADES TERRITORIALES EN POLITICA DE SEGURIDAD ALIMENTARIA  NACIONAL</v>
          </cell>
          <cell r="Q22">
            <v>1000000000</v>
          </cell>
          <cell r="R22">
            <v>0</v>
          </cell>
          <cell r="S22">
            <v>0</v>
          </cell>
          <cell r="T22">
            <v>1000000000</v>
          </cell>
          <cell r="U22">
            <v>0</v>
          </cell>
          <cell r="V22">
            <v>0</v>
          </cell>
          <cell r="W22">
            <v>1000000000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L23" t="str">
            <v>C-4103-1500-17=11</v>
          </cell>
          <cell r="M23" t="str">
            <v>Nación</v>
          </cell>
          <cell r="N23" t="str">
            <v>11</v>
          </cell>
          <cell r="O23" t="str">
            <v>CSF</v>
          </cell>
          <cell r="P23" t="str">
            <v>IMPLEMENTACIÓN DE HERRAMIENTAS PARA LA INCLUSIÓN PRODUCTIVA DE LA POBLACIÓN EN SITUACIÓN DE POBREZA EXTREMA, VULNERABILIDAD Y VICTIMAS DEL DESPLAZAMIENTO FORZADO POR LA VIOLENCIA FIP A NIVEL  NACIONAL</v>
          </cell>
          <cell r="Q23">
            <v>83583395677</v>
          </cell>
          <cell r="R23">
            <v>0</v>
          </cell>
          <cell r="S23">
            <v>0</v>
          </cell>
          <cell r="T23">
            <v>83583395677</v>
          </cell>
          <cell r="U23">
            <v>40000000000</v>
          </cell>
          <cell r="V23">
            <v>39521968004</v>
          </cell>
          <cell r="W23">
            <v>4061427673</v>
          </cell>
          <cell r="X23">
            <v>38677333392</v>
          </cell>
          <cell r="Y23">
            <v>100748682</v>
          </cell>
          <cell r="Z23">
            <v>100748682</v>
          </cell>
          <cell r="AA23">
            <v>100748682</v>
          </cell>
        </row>
        <row r="24">
          <cell r="L24" t="str">
            <v>C-4103-1500-18=11</v>
          </cell>
          <cell r="M24" t="str">
            <v>Nación</v>
          </cell>
          <cell r="N24" t="str">
            <v>11</v>
          </cell>
          <cell r="O24" t="str">
            <v>CSF</v>
          </cell>
          <cell r="P24" t="str">
            <v>IMPLEMENTACIÓN DE LA ESTRATEGIA DE ACOMPAÑAMIENTO FAMILIAR Y COMUNITARIO PARA LA SUPERACIÓN DE LA POBREZA - FIP A NIVEL   NACIONAL</v>
          </cell>
          <cell r="Q24">
            <v>70125561842</v>
          </cell>
          <cell r="R24">
            <v>0</v>
          </cell>
          <cell r="S24">
            <v>0</v>
          </cell>
          <cell r="T24">
            <v>70125561842</v>
          </cell>
          <cell r="U24">
            <v>60000000000</v>
          </cell>
          <cell r="V24">
            <v>3645066839.9200001</v>
          </cell>
          <cell r="W24">
            <v>6480495002.0799999</v>
          </cell>
          <cell r="X24">
            <v>3197913279.9200001</v>
          </cell>
          <cell r="Y24">
            <v>129771155.38</v>
          </cell>
          <cell r="Z24">
            <v>129771155.38</v>
          </cell>
          <cell r="AA24">
            <v>129771155.38</v>
          </cell>
        </row>
        <row r="25">
          <cell r="L25" t="str">
            <v>C-4103-1500-19=11</v>
          </cell>
          <cell r="M25" t="str">
            <v>Nación</v>
          </cell>
          <cell r="N25" t="str">
            <v>11</v>
          </cell>
          <cell r="O25" t="str">
            <v>CSF</v>
          </cell>
          <cell r="P25" t="str">
            <v>FORTALECIMIENTO DE LA GESTIÓN DE OFERTA PARA LA SUPERACIÓN DE LA POBREZA- FIP A NIVEL  NACIONAL</v>
          </cell>
          <cell r="Q25">
            <v>11281479935</v>
          </cell>
          <cell r="R25">
            <v>0</v>
          </cell>
          <cell r="S25">
            <v>0</v>
          </cell>
          <cell r="T25">
            <v>11281479935</v>
          </cell>
          <cell r="U25">
            <v>0</v>
          </cell>
          <cell r="V25">
            <v>4688897948</v>
          </cell>
          <cell r="W25">
            <v>6592581987</v>
          </cell>
          <cell r="X25">
            <v>3289871503</v>
          </cell>
          <cell r="Y25">
            <v>34049425</v>
          </cell>
          <cell r="Z25">
            <v>34049425</v>
          </cell>
          <cell r="AA25">
            <v>34049425</v>
          </cell>
        </row>
        <row r="26">
          <cell r="L26" t="str">
            <v>C-4199-1500-2=11</v>
          </cell>
          <cell r="M26" t="str">
            <v>Nación</v>
          </cell>
          <cell r="N26" t="str">
            <v>11</v>
          </cell>
          <cell r="O26" t="str">
            <v>CSF</v>
          </cell>
          <cell r="P26" t="str">
            <v>IMPLEMENTACIÓN Y AMPLIACIÓN DE LAS TECNOLOGÍAS DE INFORMACIÓN Y COMUNICACIONES EN DPS A NIVEL  NACIONAL</v>
          </cell>
          <cell r="Q26">
            <v>3226548466</v>
          </cell>
          <cell r="R26">
            <v>0</v>
          </cell>
          <cell r="S26">
            <v>0</v>
          </cell>
          <cell r="T26">
            <v>3226548466</v>
          </cell>
          <cell r="U26">
            <v>0</v>
          </cell>
          <cell r="V26">
            <v>1485351079</v>
          </cell>
          <cell r="W26">
            <v>1741197387</v>
          </cell>
          <cell r="X26">
            <v>1421220009.4000001</v>
          </cell>
          <cell r="Y26">
            <v>0</v>
          </cell>
          <cell r="Z26">
            <v>0</v>
          </cell>
          <cell r="AA26">
            <v>0</v>
          </cell>
        </row>
        <row r="27">
          <cell r="L27" t="str">
            <v>=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>
            <v>3648573139470</v>
          </cell>
          <cell r="R27">
            <v>36000000</v>
          </cell>
          <cell r="S27">
            <v>36000000</v>
          </cell>
          <cell r="T27">
            <v>3648573139470</v>
          </cell>
          <cell r="U27">
            <v>811791000000</v>
          </cell>
          <cell r="V27">
            <v>2759783216388.1499</v>
          </cell>
          <cell r="W27">
            <v>76998923081.849503</v>
          </cell>
          <cell r="X27">
            <v>2541411375832.5498</v>
          </cell>
          <cell r="Y27">
            <v>150998035724.10999</v>
          </cell>
          <cell r="Z27">
            <v>150996863821.10999</v>
          </cell>
          <cell r="AA27">
            <v>145773411010.10999</v>
          </cell>
        </row>
        <row r="28">
          <cell r="L28" t="str">
            <v>A-01-01-01-001-001=10</v>
          </cell>
          <cell r="M28" t="str">
            <v>Nación</v>
          </cell>
          <cell r="N28" t="str">
            <v>10</v>
          </cell>
          <cell r="O28" t="str">
            <v>CSF</v>
          </cell>
          <cell r="P28" t="str">
            <v>SUELDO BÁSICO</v>
          </cell>
          <cell r="Q28">
            <v>54858000000</v>
          </cell>
          <cell r="R28">
            <v>0</v>
          </cell>
          <cell r="S28">
            <v>0</v>
          </cell>
          <cell r="T28">
            <v>54858000000</v>
          </cell>
          <cell r="U28">
            <v>0</v>
          </cell>
          <cell r="V28">
            <v>54858000000</v>
          </cell>
          <cell r="W28">
            <v>0</v>
          </cell>
          <cell r="X28">
            <v>48931483000</v>
          </cell>
          <cell r="Y28">
            <v>8471994648</v>
          </cell>
          <cell r="Z28">
            <v>8471994648</v>
          </cell>
          <cell r="AA28">
            <v>8471994648</v>
          </cell>
        </row>
        <row r="29">
          <cell r="L29" t="str">
            <v>A-01-01-01-001-002=10</v>
          </cell>
          <cell r="M29" t="str">
            <v>Nación</v>
          </cell>
          <cell r="N29" t="str">
            <v>10</v>
          </cell>
          <cell r="O29" t="str">
            <v>CSF</v>
          </cell>
          <cell r="P29" t="str">
            <v>GASTOS DE REPRESENTACIÓN</v>
          </cell>
          <cell r="Q29">
            <v>263000000</v>
          </cell>
          <cell r="R29">
            <v>0</v>
          </cell>
          <cell r="S29">
            <v>0</v>
          </cell>
          <cell r="T29">
            <v>263000000</v>
          </cell>
          <cell r="U29">
            <v>0</v>
          </cell>
          <cell r="V29">
            <v>263000000</v>
          </cell>
          <cell r="W29">
            <v>0</v>
          </cell>
          <cell r="X29">
            <v>263000000</v>
          </cell>
          <cell r="Y29">
            <v>43724808</v>
          </cell>
          <cell r="Z29">
            <v>43724808</v>
          </cell>
          <cell r="AA29">
            <v>43724808</v>
          </cell>
        </row>
        <row r="30">
          <cell r="L30" t="str">
            <v>A-01-01-01-001-003=10</v>
          </cell>
          <cell r="M30" t="str">
            <v>Nación</v>
          </cell>
          <cell r="N30" t="str">
            <v>10</v>
          </cell>
          <cell r="O30" t="str">
            <v>CSF</v>
          </cell>
          <cell r="P30" t="str">
            <v>PRIMA TÉCNICA SALARIAL</v>
          </cell>
          <cell r="Q30">
            <v>550000000</v>
          </cell>
          <cell r="R30">
            <v>0</v>
          </cell>
          <cell r="S30">
            <v>0</v>
          </cell>
          <cell r="T30">
            <v>550000000</v>
          </cell>
          <cell r="U30">
            <v>0</v>
          </cell>
          <cell r="V30">
            <v>550000000</v>
          </cell>
          <cell r="W30">
            <v>0</v>
          </cell>
          <cell r="X30">
            <v>494639000</v>
          </cell>
          <cell r="Y30">
            <v>85502643</v>
          </cell>
          <cell r="Z30">
            <v>85502643</v>
          </cell>
          <cell r="AA30">
            <v>85502643</v>
          </cell>
        </row>
        <row r="31">
          <cell r="L31" t="str">
            <v>A-01-01-01-001-004=10</v>
          </cell>
          <cell r="M31" t="str">
            <v>Nación</v>
          </cell>
          <cell r="N31" t="str">
            <v>10</v>
          </cell>
          <cell r="O31" t="str">
            <v>CSF</v>
          </cell>
          <cell r="P31" t="str">
            <v>SUBSIDIO DE ALIMENTACIÓN</v>
          </cell>
          <cell r="Q31">
            <v>100000000</v>
          </cell>
          <cell r="R31">
            <v>0</v>
          </cell>
          <cell r="S31">
            <v>0</v>
          </cell>
          <cell r="T31">
            <v>100000000</v>
          </cell>
          <cell r="U31">
            <v>0</v>
          </cell>
          <cell r="V31">
            <v>100000000</v>
          </cell>
          <cell r="W31">
            <v>0</v>
          </cell>
          <cell r="X31">
            <v>94700000</v>
          </cell>
          <cell r="Y31">
            <v>14350665</v>
          </cell>
          <cell r="Z31">
            <v>14350665</v>
          </cell>
          <cell r="AA31">
            <v>14350665</v>
          </cell>
        </row>
        <row r="32">
          <cell r="L32" t="str">
            <v>A-01-01-01-001-005=10</v>
          </cell>
          <cell r="M32" t="str">
            <v>Nación</v>
          </cell>
          <cell r="N32" t="str">
            <v>10</v>
          </cell>
          <cell r="O32" t="str">
            <v>CSF</v>
          </cell>
          <cell r="P32" t="str">
            <v xml:space="preserve">AUXILIO DE TRANSPORTE </v>
          </cell>
          <cell r="Q32">
            <v>98000000</v>
          </cell>
          <cell r="R32">
            <v>0</v>
          </cell>
          <cell r="S32">
            <v>0</v>
          </cell>
          <cell r="T32">
            <v>98000000</v>
          </cell>
          <cell r="U32">
            <v>0</v>
          </cell>
          <cell r="V32">
            <v>98000000</v>
          </cell>
          <cell r="W32">
            <v>0</v>
          </cell>
          <cell r="X32">
            <v>90000000</v>
          </cell>
          <cell r="Y32">
            <v>23474715</v>
          </cell>
          <cell r="Z32">
            <v>23474715</v>
          </cell>
          <cell r="AA32">
            <v>23474715</v>
          </cell>
        </row>
        <row r="33">
          <cell r="L33" t="str">
            <v>A-01-01-01-001-006=10</v>
          </cell>
          <cell r="M33" t="str">
            <v>Nación</v>
          </cell>
          <cell r="N33" t="str">
            <v>10</v>
          </cell>
          <cell r="O33" t="str">
            <v>CSF</v>
          </cell>
          <cell r="P33" t="str">
            <v>PRIMA DE SERVICIO</v>
          </cell>
          <cell r="Q33">
            <v>2500000000</v>
          </cell>
          <cell r="R33">
            <v>0</v>
          </cell>
          <cell r="S33">
            <v>0</v>
          </cell>
          <cell r="T33">
            <v>2500000000</v>
          </cell>
          <cell r="U33">
            <v>0</v>
          </cell>
          <cell r="V33">
            <v>2500000000</v>
          </cell>
          <cell r="W33">
            <v>0</v>
          </cell>
          <cell r="X33">
            <v>2242820000</v>
          </cell>
          <cell r="Y33">
            <v>12518048</v>
          </cell>
          <cell r="Z33">
            <v>12518048</v>
          </cell>
          <cell r="AA33">
            <v>12518048</v>
          </cell>
        </row>
        <row r="34">
          <cell r="L34" t="str">
            <v>A-01-01-01-001-007=10</v>
          </cell>
          <cell r="M34" t="str">
            <v>Nación</v>
          </cell>
          <cell r="N34" t="str">
            <v>10</v>
          </cell>
          <cell r="O34" t="str">
            <v>CSF</v>
          </cell>
          <cell r="P34" t="str">
            <v>BONIFICACIÓN POR SERVICIOS PRESTADOS</v>
          </cell>
          <cell r="Q34">
            <v>1800000000</v>
          </cell>
          <cell r="R34">
            <v>0</v>
          </cell>
          <cell r="S34">
            <v>0</v>
          </cell>
          <cell r="T34">
            <v>1800000000</v>
          </cell>
          <cell r="U34">
            <v>0</v>
          </cell>
          <cell r="V34">
            <v>1800000000</v>
          </cell>
          <cell r="W34">
            <v>0</v>
          </cell>
          <cell r="X34">
            <v>1622800000</v>
          </cell>
          <cell r="Y34">
            <v>296377109</v>
          </cell>
          <cell r="Z34">
            <v>296377109</v>
          </cell>
          <cell r="AA34">
            <v>296377109</v>
          </cell>
        </row>
        <row r="35">
          <cell r="L35" t="str">
            <v>A-01-01-01-001-008=10</v>
          </cell>
          <cell r="M35" t="str">
            <v>Nación</v>
          </cell>
          <cell r="N35" t="str">
            <v>10</v>
          </cell>
          <cell r="O35" t="str">
            <v>CSF</v>
          </cell>
          <cell r="P35" t="str">
            <v>HORAS EXTRAS, DOMINICALES, FESTIVOS Y RECARGOS</v>
          </cell>
          <cell r="Q35">
            <v>250000000</v>
          </cell>
          <cell r="R35">
            <v>0</v>
          </cell>
          <cell r="S35">
            <v>0</v>
          </cell>
          <cell r="T35">
            <v>250000000</v>
          </cell>
          <cell r="U35">
            <v>0</v>
          </cell>
          <cell r="V35">
            <v>250000000</v>
          </cell>
          <cell r="W35">
            <v>0</v>
          </cell>
          <cell r="X35">
            <v>250000000</v>
          </cell>
          <cell r="Y35">
            <v>10413481</v>
          </cell>
          <cell r="Z35">
            <v>10413481</v>
          </cell>
          <cell r="AA35">
            <v>10413481</v>
          </cell>
        </row>
        <row r="36">
          <cell r="L36" t="str">
            <v>A-01-01-01-001-009=10</v>
          </cell>
          <cell r="M36" t="str">
            <v>Nación</v>
          </cell>
          <cell r="N36" t="str">
            <v>10</v>
          </cell>
          <cell r="O36" t="str">
            <v>CSF</v>
          </cell>
          <cell r="P36" t="str">
            <v>PRIMA DE NAVIDAD</v>
          </cell>
          <cell r="Q36">
            <v>5000000000</v>
          </cell>
          <cell r="R36">
            <v>0</v>
          </cell>
          <cell r="S36">
            <v>0</v>
          </cell>
          <cell r="T36">
            <v>5000000000</v>
          </cell>
          <cell r="U36">
            <v>0</v>
          </cell>
          <cell r="V36">
            <v>5000000000</v>
          </cell>
          <cell r="W36">
            <v>0</v>
          </cell>
          <cell r="X36">
            <v>4441885000</v>
          </cell>
          <cell r="Y36">
            <v>4265269</v>
          </cell>
          <cell r="Z36">
            <v>4265269</v>
          </cell>
          <cell r="AA36">
            <v>4265269</v>
          </cell>
        </row>
        <row r="37">
          <cell r="L37" t="str">
            <v>A-01-01-01-001-010=10</v>
          </cell>
          <cell r="M37" t="str">
            <v>Nación</v>
          </cell>
          <cell r="N37" t="str">
            <v>10</v>
          </cell>
          <cell r="O37" t="str">
            <v>CSF</v>
          </cell>
          <cell r="P37" t="str">
            <v>PRIMA DE VACACIONES</v>
          </cell>
          <cell r="Q37">
            <v>2600000000</v>
          </cell>
          <cell r="R37">
            <v>0</v>
          </cell>
          <cell r="S37">
            <v>0</v>
          </cell>
          <cell r="T37">
            <v>2600000000</v>
          </cell>
          <cell r="U37">
            <v>0</v>
          </cell>
          <cell r="V37">
            <v>2600000000</v>
          </cell>
          <cell r="W37">
            <v>0</v>
          </cell>
          <cell r="X37">
            <v>2600000000</v>
          </cell>
          <cell r="Y37">
            <v>216261654</v>
          </cell>
          <cell r="Z37">
            <v>216261654</v>
          </cell>
          <cell r="AA37">
            <v>216261654</v>
          </cell>
        </row>
        <row r="38">
          <cell r="L38" t="str">
            <v>A-01-01-02-001=10</v>
          </cell>
          <cell r="M38" t="str">
            <v>Nación</v>
          </cell>
          <cell r="N38" t="str">
            <v>10</v>
          </cell>
          <cell r="O38" t="str">
            <v>CSF</v>
          </cell>
          <cell r="P38" t="str">
            <v>PENSIONES</v>
          </cell>
          <cell r="Q38">
            <v>7000000000</v>
          </cell>
          <cell r="R38">
            <v>0</v>
          </cell>
          <cell r="S38">
            <v>0</v>
          </cell>
          <cell r="T38">
            <v>7000000000</v>
          </cell>
          <cell r="U38">
            <v>0</v>
          </cell>
          <cell r="V38">
            <v>7000000000</v>
          </cell>
          <cell r="W38">
            <v>0</v>
          </cell>
          <cell r="X38">
            <v>6261000000</v>
          </cell>
          <cell r="Y38">
            <v>1166669400</v>
          </cell>
          <cell r="Z38">
            <v>1166669400</v>
          </cell>
          <cell r="AA38">
            <v>1166669400</v>
          </cell>
        </row>
        <row r="39">
          <cell r="L39" t="str">
            <v>A-01-01-02-002=10</v>
          </cell>
          <cell r="M39" t="str">
            <v>Nación</v>
          </cell>
          <cell r="N39" t="str">
            <v>10</v>
          </cell>
          <cell r="O39" t="str">
            <v>CSF</v>
          </cell>
          <cell r="P39" t="str">
            <v>SALUD</v>
          </cell>
          <cell r="Q39">
            <v>6000000000</v>
          </cell>
          <cell r="R39">
            <v>0</v>
          </cell>
          <cell r="S39">
            <v>0</v>
          </cell>
          <cell r="T39">
            <v>6000000000</v>
          </cell>
          <cell r="U39">
            <v>0</v>
          </cell>
          <cell r="V39">
            <v>6000000000</v>
          </cell>
          <cell r="W39">
            <v>0</v>
          </cell>
          <cell r="X39">
            <v>5476480000</v>
          </cell>
          <cell r="Y39">
            <v>828066400</v>
          </cell>
          <cell r="Z39">
            <v>828066400</v>
          </cell>
          <cell r="AA39">
            <v>828066400</v>
          </cell>
        </row>
        <row r="40">
          <cell r="L40" t="str">
            <v>A-01-01-02-003=10</v>
          </cell>
          <cell r="M40" t="str">
            <v>Nación</v>
          </cell>
          <cell r="N40" t="str">
            <v>10</v>
          </cell>
          <cell r="O40" t="str">
            <v>CSF</v>
          </cell>
          <cell r="P40" t="str">
            <v xml:space="preserve">AUXILIO DE CESANTÍAS </v>
          </cell>
          <cell r="Q40">
            <v>5555000000</v>
          </cell>
          <cell r="R40">
            <v>0</v>
          </cell>
          <cell r="S40">
            <v>0</v>
          </cell>
          <cell r="T40">
            <v>5555000000</v>
          </cell>
          <cell r="U40">
            <v>0</v>
          </cell>
          <cell r="V40">
            <v>5555000000</v>
          </cell>
          <cell r="W40">
            <v>0</v>
          </cell>
          <cell r="X40">
            <v>4950300000</v>
          </cell>
          <cell r="Y40">
            <v>771808313</v>
          </cell>
          <cell r="Z40">
            <v>771808313</v>
          </cell>
          <cell r="AA40">
            <v>771808313</v>
          </cell>
        </row>
        <row r="41">
          <cell r="L41" t="str">
            <v>A-01-01-02-004=10</v>
          </cell>
          <cell r="M41" t="str">
            <v>Nación</v>
          </cell>
          <cell r="N41" t="str">
            <v>10</v>
          </cell>
          <cell r="O41" t="str">
            <v>CSF</v>
          </cell>
          <cell r="P41" t="str">
            <v>CAJAS DE COMPENSACIÓN FAMILIAR</v>
          </cell>
          <cell r="Q41">
            <v>2500000000</v>
          </cell>
          <cell r="R41">
            <v>0</v>
          </cell>
          <cell r="S41">
            <v>0</v>
          </cell>
          <cell r="T41">
            <v>2500000000</v>
          </cell>
          <cell r="U41">
            <v>0</v>
          </cell>
          <cell r="V41">
            <v>2500000000</v>
          </cell>
          <cell r="W41">
            <v>0</v>
          </cell>
          <cell r="X41">
            <v>2243000000</v>
          </cell>
          <cell r="Y41">
            <v>370659200</v>
          </cell>
          <cell r="Z41">
            <v>370659200</v>
          </cell>
          <cell r="AA41">
            <v>370659200</v>
          </cell>
        </row>
        <row r="42">
          <cell r="L42" t="str">
            <v>A-01-01-02-005=10</v>
          </cell>
          <cell r="M42" t="str">
            <v>Nación</v>
          </cell>
          <cell r="N42" t="str">
            <v>10</v>
          </cell>
          <cell r="O42" t="str">
            <v>CSF</v>
          </cell>
          <cell r="P42" t="str">
            <v>APORTES GENERALES AL SISTEMA DE RIESGOS LABORALES</v>
          </cell>
          <cell r="Q42">
            <v>500000000</v>
          </cell>
          <cell r="R42">
            <v>0</v>
          </cell>
          <cell r="S42">
            <v>0</v>
          </cell>
          <cell r="T42">
            <v>500000000</v>
          </cell>
          <cell r="U42">
            <v>0</v>
          </cell>
          <cell r="V42">
            <v>500000000</v>
          </cell>
          <cell r="W42">
            <v>0</v>
          </cell>
          <cell r="X42">
            <v>467850000</v>
          </cell>
          <cell r="Y42">
            <v>80690100</v>
          </cell>
          <cell r="Z42">
            <v>80690100</v>
          </cell>
          <cell r="AA42">
            <v>80607300</v>
          </cell>
        </row>
        <row r="43">
          <cell r="L43" t="str">
            <v>A-01-01-02-006=10</v>
          </cell>
          <cell r="M43" t="str">
            <v>Nación</v>
          </cell>
          <cell r="N43" t="str">
            <v>10</v>
          </cell>
          <cell r="O43" t="str">
            <v>CSF</v>
          </cell>
          <cell r="P43" t="str">
            <v>APORTES AL ICBF</v>
          </cell>
          <cell r="Q43">
            <v>1890000000</v>
          </cell>
          <cell r="R43">
            <v>0</v>
          </cell>
          <cell r="S43">
            <v>0</v>
          </cell>
          <cell r="T43">
            <v>1890000000</v>
          </cell>
          <cell r="U43">
            <v>0</v>
          </cell>
          <cell r="V43">
            <v>1890000000</v>
          </cell>
          <cell r="W43">
            <v>0</v>
          </cell>
          <cell r="X43">
            <v>1697400000</v>
          </cell>
          <cell r="Y43">
            <v>278016400</v>
          </cell>
          <cell r="Z43">
            <v>278016400</v>
          </cell>
          <cell r="AA43">
            <v>278016400</v>
          </cell>
        </row>
        <row r="44">
          <cell r="L44" t="str">
            <v>A-01-01-02-007=10</v>
          </cell>
          <cell r="M44" t="str">
            <v>Nación</v>
          </cell>
          <cell r="N44" t="str">
            <v>10</v>
          </cell>
          <cell r="O44" t="str">
            <v>CSF</v>
          </cell>
          <cell r="P44" t="str">
            <v>APORTES AL SENA</v>
          </cell>
          <cell r="Q44">
            <v>320000000</v>
          </cell>
          <cell r="R44">
            <v>0</v>
          </cell>
          <cell r="S44">
            <v>0</v>
          </cell>
          <cell r="T44">
            <v>320000000</v>
          </cell>
          <cell r="U44">
            <v>0</v>
          </cell>
          <cell r="V44">
            <v>320000000</v>
          </cell>
          <cell r="W44">
            <v>0</v>
          </cell>
          <cell r="X44">
            <v>287880000</v>
          </cell>
          <cell r="Y44">
            <v>46399800</v>
          </cell>
          <cell r="Z44">
            <v>46399800</v>
          </cell>
          <cell r="AA44">
            <v>46399800</v>
          </cell>
        </row>
        <row r="45">
          <cell r="L45" t="str">
            <v>A-01-01-02-008=10</v>
          </cell>
          <cell r="M45" t="str">
            <v>Nación</v>
          </cell>
          <cell r="N45" t="str">
            <v>10</v>
          </cell>
          <cell r="O45" t="str">
            <v>CSF</v>
          </cell>
          <cell r="P45" t="str">
            <v>APORTES A LA ESAP</v>
          </cell>
          <cell r="Q45">
            <v>320000000</v>
          </cell>
          <cell r="R45">
            <v>0</v>
          </cell>
          <cell r="S45">
            <v>0</v>
          </cell>
          <cell r="T45">
            <v>320000000</v>
          </cell>
          <cell r="U45">
            <v>0</v>
          </cell>
          <cell r="V45">
            <v>320000000</v>
          </cell>
          <cell r="W45">
            <v>0</v>
          </cell>
          <cell r="X45">
            <v>287880000</v>
          </cell>
          <cell r="Y45">
            <v>46399800</v>
          </cell>
          <cell r="Z45">
            <v>46399800</v>
          </cell>
          <cell r="AA45">
            <v>46399800</v>
          </cell>
        </row>
        <row r="46">
          <cell r="L46" t="str">
            <v>A-01-01-02-009=10</v>
          </cell>
          <cell r="M46" t="str">
            <v>Nación</v>
          </cell>
          <cell r="N46" t="str">
            <v>10</v>
          </cell>
          <cell r="O46" t="str">
            <v>CSF</v>
          </cell>
          <cell r="P46" t="str">
            <v>APORTES A ESCUELAS INDUSTRIALES E INSTITUTOS TÉCNICOS</v>
          </cell>
          <cell r="Q46">
            <v>650000000</v>
          </cell>
          <cell r="R46">
            <v>0</v>
          </cell>
          <cell r="S46">
            <v>0</v>
          </cell>
          <cell r="T46">
            <v>650000000</v>
          </cell>
          <cell r="U46">
            <v>0</v>
          </cell>
          <cell r="V46">
            <v>650000000</v>
          </cell>
          <cell r="W46">
            <v>0</v>
          </cell>
          <cell r="X46">
            <v>585758000</v>
          </cell>
          <cell r="Y46">
            <v>92734800</v>
          </cell>
          <cell r="Z46">
            <v>92734800</v>
          </cell>
          <cell r="AA46">
            <v>92734800</v>
          </cell>
        </row>
        <row r="47">
          <cell r="L47" t="str">
            <v>A-01-01-03-001-001=10</v>
          </cell>
          <cell r="M47" t="str">
            <v>Nación</v>
          </cell>
          <cell r="N47" t="str">
            <v>10</v>
          </cell>
          <cell r="O47" t="str">
            <v>CSF</v>
          </cell>
          <cell r="P47" t="str">
            <v>SUELDO DE VACACIONES</v>
          </cell>
          <cell r="Q47">
            <v>2580000000</v>
          </cell>
          <cell r="R47">
            <v>0</v>
          </cell>
          <cell r="S47">
            <v>0</v>
          </cell>
          <cell r="T47">
            <v>2580000000</v>
          </cell>
          <cell r="U47">
            <v>0</v>
          </cell>
          <cell r="V47">
            <v>2580000000</v>
          </cell>
          <cell r="W47">
            <v>0</v>
          </cell>
          <cell r="X47">
            <v>2580000000</v>
          </cell>
          <cell r="Y47">
            <v>256055248</v>
          </cell>
          <cell r="Z47">
            <v>256055248</v>
          </cell>
          <cell r="AA47">
            <v>256055248</v>
          </cell>
        </row>
        <row r="48">
          <cell r="L48" t="str">
            <v>A-01-01-03-001-002=10</v>
          </cell>
          <cell r="M48" t="str">
            <v>Nación</v>
          </cell>
          <cell r="N48" t="str">
            <v>10</v>
          </cell>
          <cell r="O48" t="str">
            <v>CSF</v>
          </cell>
          <cell r="P48" t="str">
            <v>INDEMNIZACIÓN POR VACACIONES</v>
          </cell>
          <cell r="Q48">
            <v>500000000</v>
          </cell>
          <cell r="R48">
            <v>0</v>
          </cell>
          <cell r="S48">
            <v>0</v>
          </cell>
          <cell r="T48">
            <v>500000000</v>
          </cell>
          <cell r="U48">
            <v>0</v>
          </cell>
          <cell r="V48">
            <v>500000000</v>
          </cell>
          <cell r="W48">
            <v>0</v>
          </cell>
          <cell r="X48">
            <v>500000000</v>
          </cell>
          <cell r="Y48">
            <v>54543184</v>
          </cell>
          <cell r="Z48">
            <v>54543184</v>
          </cell>
          <cell r="AA48">
            <v>54543184</v>
          </cell>
        </row>
        <row r="49">
          <cell r="L49" t="str">
            <v>A-01-01-03-001-003=10</v>
          </cell>
          <cell r="M49" t="str">
            <v>Nación</v>
          </cell>
          <cell r="N49" t="str">
            <v>10</v>
          </cell>
          <cell r="O49" t="str">
            <v>CSF</v>
          </cell>
          <cell r="P49" t="str">
            <v>BONIFICACIÓN ESPECIAL DE RECREACIÓN</v>
          </cell>
          <cell r="Q49">
            <v>320000000</v>
          </cell>
          <cell r="R49">
            <v>0</v>
          </cell>
          <cell r="S49">
            <v>0</v>
          </cell>
          <cell r="T49">
            <v>320000000</v>
          </cell>
          <cell r="U49">
            <v>0</v>
          </cell>
          <cell r="V49">
            <v>320000000</v>
          </cell>
          <cell r="W49">
            <v>0</v>
          </cell>
          <cell r="X49">
            <v>320000000</v>
          </cell>
          <cell r="Y49">
            <v>26631836</v>
          </cell>
          <cell r="Z49">
            <v>26631836</v>
          </cell>
          <cell r="AA49">
            <v>26631836</v>
          </cell>
        </row>
        <row r="50">
          <cell r="L50" t="str">
            <v>A-01-01-03-002=10</v>
          </cell>
          <cell r="M50" t="str">
            <v>Nación</v>
          </cell>
          <cell r="N50" t="str">
            <v>10</v>
          </cell>
          <cell r="O50" t="str">
            <v>CSF</v>
          </cell>
          <cell r="P50" t="str">
            <v>PRIMA TÉCNICA NO SALARIAL</v>
          </cell>
          <cell r="Q50">
            <v>2160000000</v>
          </cell>
          <cell r="R50">
            <v>0</v>
          </cell>
          <cell r="S50">
            <v>0</v>
          </cell>
          <cell r="T50">
            <v>2160000000</v>
          </cell>
          <cell r="U50">
            <v>0</v>
          </cell>
          <cell r="V50">
            <v>2160000000</v>
          </cell>
          <cell r="W50">
            <v>0</v>
          </cell>
          <cell r="X50">
            <v>1681079000</v>
          </cell>
          <cell r="Y50">
            <v>339522871</v>
          </cell>
          <cell r="Z50">
            <v>339522871</v>
          </cell>
          <cell r="AA50">
            <v>339522871</v>
          </cell>
        </row>
        <row r="51">
          <cell r="L51" t="str">
            <v>A-01-01-03-005=10</v>
          </cell>
          <cell r="M51" t="str">
            <v>Nación</v>
          </cell>
          <cell r="N51" t="str">
            <v>10</v>
          </cell>
          <cell r="O51" t="str">
            <v>CSF</v>
          </cell>
          <cell r="P51" t="str">
            <v>PRIMA DE RIESGO</v>
          </cell>
          <cell r="Q51">
            <v>24000000</v>
          </cell>
          <cell r="R51">
            <v>0</v>
          </cell>
          <cell r="S51">
            <v>0</v>
          </cell>
          <cell r="T51">
            <v>24000000</v>
          </cell>
          <cell r="U51">
            <v>0</v>
          </cell>
          <cell r="V51">
            <v>24000000</v>
          </cell>
          <cell r="W51">
            <v>0</v>
          </cell>
          <cell r="X51">
            <v>24000000</v>
          </cell>
          <cell r="Y51">
            <v>662958</v>
          </cell>
          <cell r="Z51">
            <v>662958</v>
          </cell>
          <cell r="AA51">
            <v>662958</v>
          </cell>
        </row>
        <row r="52">
          <cell r="L52" t="str">
            <v>A-01-01-03-013=10</v>
          </cell>
          <cell r="M52" t="str">
            <v>Nación</v>
          </cell>
          <cell r="N52" t="str">
            <v>10</v>
          </cell>
          <cell r="O52" t="str">
            <v>CSF</v>
          </cell>
          <cell r="P52" t="str">
            <v>ESTÍMULOS A LOS EMPLEADOS DEL ESTADO</v>
          </cell>
          <cell r="Q52">
            <v>30000000</v>
          </cell>
          <cell r="R52">
            <v>0</v>
          </cell>
          <cell r="S52">
            <v>0</v>
          </cell>
          <cell r="T52">
            <v>30000000</v>
          </cell>
          <cell r="U52">
            <v>0</v>
          </cell>
          <cell r="V52">
            <v>0</v>
          </cell>
          <cell r="W52">
            <v>30000000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L53" t="str">
            <v>A-01-01-03-016=10</v>
          </cell>
          <cell r="M53" t="str">
            <v>Nación</v>
          </cell>
          <cell r="N53" t="str">
            <v>10</v>
          </cell>
          <cell r="O53" t="str">
            <v>CSF</v>
          </cell>
          <cell r="P53" t="str">
            <v>PRIMA DE COORDINACIÓN</v>
          </cell>
          <cell r="Q53">
            <v>770000000</v>
          </cell>
          <cell r="R53">
            <v>0</v>
          </cell>
          <cell r="S53">
            <v>0</v>
          </cell>
          <cell r="T53">
            <v>770000000</v>
          </cell>
          <cell r="U53">
            <v>0</v>
          </cell>
          <cell r="V53">
            <v>770000000</v>
          </cell>
          <cell r="W53">
            <v>0</v>
          </cell>
          <cell r="X53">
            <v>770000000</v>
          </cell>
          <cell r="Y53">
            <v>131314623</v>
          </cell>
          <cell r="Z53">
            <v>131314623</v>
          </cell>
          <cell r="AA53">
            <v>131314623</v>
          </cell>
        </row>
        <row r="54">
          <cell r="L54" t="str">
            <v>A-01-01-03-030=10</v>
          </cell>
          <cell r="M54" t="str">
            <v>Nación</v>
          </cell>
          <cell r="N54" t="str">
            <v>10</v>
          </cell>
          <cell r="O54" t="str">
            <v>CSF</v>
          </cell>
          <cell r="P54" t="str">
            <v>BONIFICACIÓN DE DIRECCIÓN</v>
          </cell>
          <cell r="Q54">
            <v>600000000</v>
          </cell>
          <cell r="R54">
            <v>0</v>
          </cell>
          <cell r="S54">
            <v>0</v>
          </cell>
          <cell r="T54">
            <v>600000000</v>
          </cell>
          <cell r="U54">
            <v>0</v>
          </cell>
          <cell r="V54">
            <v>600000000</v>
          </cell>
          <cell r="W54">
            <v>0</v>
          </cell>
          <cell r="X54">
            <v>600000000</v>
          </cell>
          <cell r="Y54">
            <v>5467722</v>
          </cell>
          <cell r="Z54">
            <v>5467722</v>
          </cell>
          <cell r="AA54">
            <v>5467722</v>
          </cell>
        </row>
        <row r="55">
          <cell r="L55" t="str">
            <v>A-02-02-01-001-005=10</v>
          </cell>
          <cell r="M55" t="str">
            <v>Nación</v>
          </cell>
          <cell r="N55" t="str">
            <v>10</v>
          </cell>
          <cell r="O55" t="str">
            <v>CSF</v>
          </cell>
          <cell r="P55" t="str">
            <v>PIEDRA, ARENA Y ARCILLA</v>
          </cell>
          <cell r="Q55">
            <v>51000000</v>
          </cell>
          <cell r="R55">
            <v>0</v>
          </cell>
          <cell r="S55">
            <v>0</v>
          </cell>
          <cell r="T55">
            <v>51000000</v>
          </cell>
          <cell r="U55">
            <v>0</v>
          </cell>
          <cell r="V55">
            <v>35000000</v>
          </cell>
          <cell r="W55">
            <v>16000000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L56" t="str">
            <v>A-02-02-01-001-007=10</v>
          </cell>
          <cell r="M56" t="str">
            <v>Nación</v>
          </cell>
          <cell r="N56" t="str">
            <v>10</v>
          </cell>
          <cell r="O56" t="str">
            <v>CSF</v>
          </cell>
          <cell r="P56" t="str">
            <v>ELECTRICIDAD, GAS DE CIUDAD, VAPOR Y AGUA CALIENTE</v>
          </cell>
          <cell r="Q56">
            <v>18000000</v>
          </cell>
          <cell r="R56">
            <v>0</v>
          </cell>
          <cell r="S56">
            <v>0</v>
          </cell>
          <cell r="T56">
            <v>18000000</v>
          </cell>
          <cell r="U56">
            <v>0</v>
          </cell>
          <cell r="V56">
            <v>0</v>
          </cell>
          <cell r="W56">
            <v>18000000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L57" t="str">
            <v>A-02-02-01-002-008=10</v>
          </cell>
          <cell r="M57" t="str">
            <v>Nación</v>
          </cell>
          <cell r="N57" t="str">
            <v>10</v>
          </cell>
          <cell r="O57" t="str">
            <v>CSF</v>
          </cell>
          <cell r="P57" t="str">
            <v>DOTACIÓN (PRENDAS DE VESTIR Y CALZADO)</v>
          </cell>
          <cell r="Q57">
            <v>140000000</v>
          </cell>
          <cell r="R57">
            <v>0</v>
          </cell>
          <cell r="S57">
            <v>0</v>
          </cell>
          <cell r="T57">
            <v>140000000</v>
          </cell>
          <cell r="U57">
            <v>0</v>
          </cell>
          <cell r="V57">
            <v>0</v>
          </cell>
          <cell r="W57">
            <v>140000000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L58" t="str">
            <v>A-02-02-01-003-002=10</v>
          </cell>
          <cell r="M58" t="str">
            <v>Nación</v>
          </cell>
          <cell r="N58" t="str">
            <v>10</v>
          </cell>
          <cell r="O58" t="str">
            <v>CSF</v>
          </cell>
          <cell r="P58" t="str">
            <v>PASTA O PULPA, PAPEL Y PRODUCTOS DE PAPEL; IMPRESOS Y ARTÍCULOS RELACIONADOS</v>
          </cell>
          <cell r="Q58">
            <v>106000000</v>
          </cell>
          <cell r="R58">
            <v>0</v>
          </cell>
          <cell r="S58">
            <v>0</v>
          </cell>
          <cell r="T58">
            <v>106000000</v>
          </cell>
          <cell r="U58">
            <v>0</v>
          </cell>
          <cell r="V58">
            <v>6000000</v>
          </cell>
          <cell r="W58">
            <v>100000000</v>
          </cell>
          <cell r="X58">
            <v>500000</v>
          </cell>
          <cell r="Y58">
            <v>500000</v>
          </cell>
          <cell r="Z58">
            <v>500000</v>
          </cell>
          <cell r="AA58">
            <v>500000</v>
          </cell>
        </row>
        <row r="59">
          <cell r="L59" t="str">
            <v>A-02-02-01-003-003=10</v>
          </cell>
          <cell r="M59" t="str">
            <v>Nación</v>
          </cell>
          <cell r="N59" t="str">
            <v>10</v>
          </cell>
          <cell r="O59" t="str">
            <v>CSF</v>
          </cell>
          <cell r="P59" t="str">
            <v>PRODUCTOS DE HORNOS DE COQUE; PRODUCTOS DE REFINACIÓN DE PETRÓLEO Y COMBUSTIBLE NUCLEAR</v>
          </cell>
          <cell r="Q59">
            <v>107264202</v>
          </cell>
          <cell r="R59">
            <v>0</v>
          </cell>
          <cell r="S59">
            <v>0</v>
          </cell>
          <cell r="T59">
            <v>107264202</v>
          </cell>
          <cell r="U59">
            <v>0</v>
          </cell>
          <cell r="V59">
            <v>98064202</v>
          </cell>
          <cell r="W59">
            <v>9200000</v>
          </cell>
          <cell r="X59">
            <v>98064202</v>
          </cell>
          <cell r="Y59">
            <v>5097149</v>
          </cell>
          <cell r="Z59">
            <v>5097149</v>
          </cell>
          <cell r="AA59">
            <v>5097149</v>
          </cell>
        </row>
        <row r="60">
          <cell r="L60" t="str">
            <v>A-02-02-01-003-005=10</v>
          </cell>
          <cell r="M60" t="str">
            <v>Nación</v>
          </cell>
          <cell r="N60" t="str">
            <v>10</v>
          </cell>
          <cell r="O60" t="str">
            <v>CSF</v>
          </cell>
          <cell r="P60" t="str">
            <v>OTROS PRODUCTOS QUÍMICOS; FIBRAS ARTIFICIALES (O FIBRAS INDUSTRIALES HECHAS POR EL HOMBRE)</v>
          </cell>
          <cell r="Q60">
            <v>6000000</v>
          </cell>
          <cell r="R60">
            <v>0</v>
          </cell>
          <cell r="S60">
            <v>0</v>
          </cell>
          <cell r="T60">
            <v>6000000</v>
          </cell>
          <cell r="U60">
            <v>0</v>
          </cell>
          <cell r="V60">
            <v>6000000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L61" t="str">
            <v>A-02-02-01-003-006=10</v>
          </cell>
          <cell r="M61" t="str">
            <v>Nación</v>
          </cell>
          <cell r="N61" t="str">
            <v>10</v>
          </cell>
          <cell r="O61" t="str">
            <v>CSF</v>
          </cell>
          <cell r="P61" t="str">
            <v>PRODUCTOS DE CAUCHO Y PLÁSTICO</v>
          </cell>
          <cell r="Q61">
            <v>18000000</v>
          </cell>
          <cell r="R61">
            <v>0</v>
          </cell>
          <cell r="S61">
            <v>0</v>
          </cell>
          <cell r="T61">
            <v>18000000</v>
          </cell>
          <cell r="U61">
            <v>0</v>
          </cell>
          <cell r="V61">
            <v>16000000</v>
          </cell>
          <cell r="W61">
            <v>2000000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L62" t="str">
            <v>A-02-02-01-003-007=10</v>
          </cell>
          <cell r="M62" t="str">
            <v>Nación</v>
          </cell>
          <cell r="N62" t="str">
            <v>10</v>
          </cell>
          <cell r="O62" t="str">
            <v>CSF</v>
          </cell>
          <cell r="P62" t="str">
            <v>VIDRIO Y PRODUCTOS DE VIDRIO Y OTROS PRODUCTOS NO METÁLICOS N.C.P.</v>
          </cell>
          <cell r="Q62">
            <v>8000000</v>
          </cell>
          <cell r="R62">
            <v>0</v>
          </cell>
          <cell r="S62">
            <v>0</v>
          </cell>
          <cell r="T62">
            <v>8000000</v>
          </cell>
          <cell r="U62">
            <v>0</v>
          </cell>
          <cell r="V62">
            <v>0</v>
          </cell>
          <cell r="W62">
            <v>8000000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L63" t="str">
            <v>A-02-02-01-003-008=10</v>
          </cell>
          <cell r="M63" t="str">
            <v>Nación</v>
          </cell>
          <cell r="N63" t="str">
            <v>10</v>
          </cell>
          <cell r="O63" t="str">
            <v>CSF</v>
          </cell>
          <cell r="P63" t="str">
            <v>OTROS BIENES TRANSPORTABLES N.C.P.</v>
          </cell>
          <cell r="Q63">
            <v>110000000</v>
          </cell>
          <cell r="R63">
            <v>0</v>
          </cell>
          <cell r="S63">
            <v>0</v>
          </cell>
          <cell r="T63">
            <v>110000000</v>
          </cell>
          <cell r="U63">
            <v>0</v>
          </cell>
          <cell r="V63">
            <v>102992969</v>
          </cell>
          <cell r="W63">
            <v>7007031</v>
          </cell>
          <cell r="X63">
            <v>500000</v>
          </cell>
          <cell r="Y63">
            <v>500000</v>
          </cell>
          <cell r="Z63">
            <v>500000</v>
          </cell>
          <cell r="AA63">
            <v>500000</v>
          </cell>
        </row>
        <row r="64">
          <cell r="L64" t="str">
            <v>A-02-02-01-004-002=10</v>
          </cell>
          <cell r="M64" t="str">
            <v>Nación</v>
          </cell>
          <cell r="N64" t="str">
            <v>10</v>
          </cell>
          <cell r="O64" t="str">
            <v>CSF</v>
          </cell>
          <cell r="P64" t="str">
            <v>PRODUCTOS METÁLICOS ELABORADOS (EXCEPTO MAQUINARIA Y EQUIPO)</v>
          </cell>
          <cell r="Q64">
            <v>37000000</v>
          </cell>
          <cell r="R64">
            <v>0</v>
          </cell>
          <cell r="S64">
            <v>0</v>
          </cell>
          <cell r="T64">
            <v>37000000</v>
          </cell>
          <cell r="U64">
            <v>0</v>
          </cell>
          <cell r="V64">
            <v>20000000</v>
          </cell>
          <cell r="W64">
            <v>17000000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L65" t="str">
            <v>A-02-02-01-004-005=10</v>
          </cell>
          <cell r="M65" t="str">
            <v>Nación</v>
          </cell>
          <cell r="N65" t="str">
            <v>10</v>
          </cell>
          <cell r="O65" t="str">
            <v>CSF</v>
          </cell>
          <cell r="P65" t="str">
            <v>MAQUINARIA DE OFICINA, CONTABILIDAD E INFORMÁTICA</v>
          </cell>
          <cell r="Q65">
            <v>0</v>
          </cell>
          <cell r="R65">
            <v>82000000</v>
          </cell>
          <cell r="S65">
            <v>0</v>
          </cell>
          <cell r="T65">
            <v>82000000</v>
          </cell>
          <cell r="U65">
            <v>0</v>
          </cell>
          <cell r="V65">
            <v>0</v>
          </cell>
          <cell r="W65">
            <v>82000000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L66" t="str">
            <v>A-02-02-01-004-006=10</v>
          </cell>
          <cell r="M66" t="str">
            <v>Nación</v>
          </cell>
          <cell r="N66" t="str">
            <v>10</v>
          </cell>
          <cell r="O66" t="str">
            <v>CSF</v>
          </cell>
          <cell r="P66" t="str">
            <v>MAQUINARIA Y APARATOS ELÉCTRICOS</v>
          </cell>
          <cell r="Q66">
            <v>0</v>
          </cell>
          <cell r="R66">
            <v>30000000</v>
          </cell>
          <cell r="S66">
            <v>0</v>
          </cell>
          <cell r="T66">
            <v>30000000</v>
          </cell>
          <cell r="U66">
            <v>0</v>
          </cell>
          <cell r="V66">
            <v>0</v>
          </cell>
          <cell r="W66">
            <v>30000000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L67" t="str">
            <v>A-02-02-01-004-007=10</v>
          </cell>
          <cell r="M67" t="str">
            <v>Nación</v>
          </cell>
          <cell r="N67" t="str">
            <v>10</v>
          </cell>
          <cell r="O67" t="str">
            <v>CSF</v>
          </cell>
          <cell r="P67" t="str">
            <v>EQUIPO Y APARATOS DE RADIO, TELEVISIÓN Y COMUNICACIONES</v>
          </cell>
          <cell r="Q67">
            <v>261000000</v>
          </cell>
          <cell r="R67">
            <v>0</v>
          </cell>
          <cell r="S67">
            <v>112000000</v>
          </cell>
          <cell r="T67">
            <v>149000000</v>
          </cell>
          <cell r="U67">
            <v>0</v>
          </cell>
          <cell r="V67">
            <v>51633241</v>
          </cell>
          <cell r="W67">
            <v>97366759</v>
          </cell>
          <cell r="X67">
            <v>49699676.460000001</v>
          </cell>
          <cell r="Y67">
            <v>0</v>
          </cell>
          <cell r="Z67">
            <v>0</v>
          </cell>
          <cell r="AA67">
            <v>0</v>
          </cell>
        </row>
        <row r="68">
          <cell r="L68" t="str">
            <v>A-02-02-02-006-003=10</v>
          </cell>
          <cell r="M68" t="str">
            <v>Nación</v>
          </cell>
          <cell r="N68" t="str">
            <v>10</v>
          </cell>
          <cell r="O68" t="str">
            <v>CSF</v>
          </cell>
          <cell r="P68" t="str">
            <v>ALOJAMIENTO; SERVICIOS DE SUMINISTROS DE COMIDAS Y BEBIDAS</v>
          </cell>
          <cell r="Q68">
            <v>12000000</v>
          </cell>
          <cell r="R68">
            <v>0</v>
          </cell>
          <cell r="S68">
            <v>0</v>
          </cell>
          <cell r="T68">
            <v>12000000</v>
          </cell>
          <cell r="U68">
            <v>0</v>
          </cell>
          <cell r="V68">
            <v>12000000</v>
          </cell>
          <cell r="W68">
            <v>0</v>
          </cell>
          <cell r="X68">
            <v>2000000</v>
          </cell>
          <cell r="Y68">
            <v>2000000</v>
          </cell>
          <cell r="Z68">
            <v>2000000</v>
          </cell>
          <cell r="AA68">
            <v>2000000</v>
          </cell>
        </row>
        <row r="69">
          <cell r="L69" t="str">
            <v>A-02-02-02-006-004=10</v>
          </cell>
          <cell r="M69" t="str">
            <v>Nación</v>
          </cell>
          <cell r="N69" t="str">
            <v>10</v>
          </cell>
          <cell r="O69" t="str">
            <v>CSF</v>
          </cell>
          <cell r="P69" t="str">
            <v>SERVICIOS DE TRANSPORTE DE PASAJEROS</v>
          </cell>
          <cell r="Q69">
            <v>4851925294</v>
          </cell>
          <cell r="R69">
            <v>2400000</v>
          </cell>
          <cell r="S69">
            <v>0</v>
          </cell>
          <cell r="T69">
            <v>4854325294</v>
          </cell>
          <cell r="U69">
            <v>0</v>
          </cell>
          <cell r="V69">
            <v>3054405353</v>
          </cell>
          <cell r="W69">
            <v>1799919941</v>
          </cell>
          <cell r="X69">
            <v>1691763232</v>
          </cell>
          <cell r="Y69">
            <v>434366532</v>
          </cell>
          <cell r="Z69">
            <v>434366532</v>
          </cell>
          <cell r="AA69">
            <v>434366532</v>
          </cell>
        </row>
        <row r="70">
          <cell r="L70" t="str">
            <v>A-02-02-02-006-005=10</v>
          </cell>
          <cell r="M70" t="str">
            <v>Nación</v>
          </cell>
          <cell r="N70" t="str">
            <v>10</v>
          </cell>
          <cell r="O70" t="str">
            <v>CSF</v>
          </cell>
          <cell r="P70" t="str">
            <v>SERVICIOS DE TRANSPORTE DE CARGA</v>
          </cell>
          <cell r="Q70">
            <v>100000000</v>
          </cell>
          <cell r="R70">
            <v>7600000</v>
          </cell>
          <cell r="S70">
            <v>0</v>
          </cell>
          <cell r="T70">
            <v>107600000</v>
          </cell>
          <cell r="U70">
            <v>0</v>
          </cell>
          <cell r="V70">
            <v>94600000</v>
          </cell>
          <cell r="W70">
            <v>13000000</v>
          </cell>
          <cell r="X70">
            <v>3000000</v>
          </cell>
          <cell r="Y70">
            <v>1500000</v>
          </cell>
          <cell r="Z70">
            <v>1500000</v>
          </cell>
          <cell r="AA70">
            <v>0</v>
          </cell>
        </row>
        <row r="71">
          <cell r="L71" t="str">
            <v>A-02-02-02-006-006=10</v>
          </cell>
          <cell r="M71" t="str">
            <v>Nación</v>
          </cell>
          <cell r="N71" t="str">
            <v>10</v>
          </cell>
          <cell r="O71" t="str">
            <v>CSF</v>
          </cell>
          <cell r="P71" t="str">
            <v>SERVICIOS DE ALQUILER DE VEHÍCULOS DE TRANSPORTE CON OPERARIO</v>
          </cell>
          <cell r="Q71">
            <v>10000000</v>
          </cell>
          <cell r="R71">
            <v>0</v>
          </cell>
          <cell r="S71">
            <v>10000000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L72" t="str">
            <v>A-02-02-02-006-008=10</v>
          </cell>
          <cell r="M72" t="str">
            <v>Nación</v>
          </cell>
          <cell r="N72" t="str">
            <v>10</v>
          </cell>
          <cell r="O72" t="str">
            <v>CSF</v>
          </cell>
          <cell r="P72" t="str">
            <v>SERVICIOS POSTALES Y DE MENSAJERÍA</v>
          </cell>
          <cell r="Q72">
            <v>2053178180</v>
          </cell>
          <cell r="R72">
            <v>0</v>
          </cell>
          <cell r="S72">
            <v>0</v>
          </cell>
          <cell r="T72">
            <v>2053178180</v>
          </cell>
          <cell r="U72">
            <v>0</v>
          </cell>
          <cell r="V72">
            <v>1853178180</v>
          </cell>
          <cell r="W72">
            <v>200000000</v>
          </cell>
          <cell r="X72">
            <v>1847178180</v>
          </cell>
          <cell r="Y72">
            <v>172926456</v>
          </cell>
          <cell r="Z72">
            <v>172926456</v>
          </cell>
          <cell r="AA72">
            <v>172926456</v>
          </cell>
        </row>
        <row r="73">
          <cell r="L73" t="str">
            <v>A-02-02-02-006-009=10</v>
          </cell>
          <cell r="M73" t="str">
            <v>Nación</v>
          </cell>
          <cell r="N73" t="str">
            <v>10</v>
          </cell>
          <cell r="O73" t="str">
            <v>CSF</v>
          </cell>
          <cell r="P73" t="str">
            <v>SERVICIOS DE DISTRIBUCIÓN DE ELECTRICIDAD, GAS Y AGUA (POR CUENTA PROPIA)</v>
          </cell>
          <cell r="Q73">
            <v>730060000</v>
          </cell>
          <cell r="R73">
            <v>0</v>
          </cell>
          <cell r="S73">
            <v>0</v>
          </cell>
          <cell r="T73">
            <v>730060000</v>
          </cell>
          <cell r="U73">
            <v>0</v>
          </cell>
          <cell r="V73">
            <v>730060000</v>
          </cell>
          <cell r="W73">
            <v>0</v>
          </cell>
          <cell r="X73">
            <v>108216992.45999999</v>
          </cell>
          <cell r="Y73">
            <v>108216992.45999999</v>
          </cell>
          <cell r="Z73">
            <v>108216992.45999999</v>
          </cell>
          <cell r="AA73">
            <v>105759581.39</v>
          </cell>
        </row>
        <row r="74">
          <cell r="L74" t="str">
            <v>A-02-02-02-007-001=10</v>
          </cell>
          <cell r="M74" t="str">
            <v>Nación</v>
          </cell>
          <cell r="N74" t="str">
            <v>10</v>
          </cell>
          <cell r="O74" t="str">
            <v>CSF</v>
          </cell>
          <cell r="P74" t="str">
            <v>SERVICIOS FINANCIEROS Y SERVICIOS CONEXOS</v>
          </cell>
          <cell r="Q74">
            <v>25000000</v>
          </cell>
          <cell r="R74">
            <v>0</v>
          </cell>
          <cell r="S74">
            <v>0</v>
          </cell>
          <cell r="T74">
            <v>25000000</v>
          </cell>
          <cell r="U74">
            <v>0</v>
          </cell>
          <cell r="V74">
            <v>8540850</v>
          </cell>
          <cell r="W74">
            <v>16459150</v>
          </cell>
          <cell r="X74">
            <v>8409000</v>
          </cell>
          <cell r="Y74">
            <v>0</v>
          </cell>
          <cell r="Z74">
            <v>0</v>
          </cell>
          <cell r="AA74">
            <v>0</v>
          </cell>
        </row>
        <row r="75">
          <cell r="L75" t="str">
            <v>A-02-02-02-007-002=10</v>
          </cell>
          <cell r="M75" t="str">
            <v>Nación</v>
          </cell>
          <cell r="N75" t="str">
            <v>10</v>
          </cell>
          <cell r="O75" t="str">
            <v>CSF</v>
          </cell>
          <cell r="P75" t="str">
            <v>SERVICIOS INMOBILIARIOS</v>
          </cell>
          <cell r="Q75">
            <v>12745333207</v>
          </cell>
          <cell r="R75">
            <v>0</v>
          </cell>
          <cell r="S75">
            <v>0</v>
          </cell>
          <cell r="T75">
            <v>12745333207</v>
          </cell>
          <cell r="U75">
            <v>0</v>
          </cell>
          <cell r="V75">
            <v>10950672906</v>
          </cell>
          <cell r="W75">
            <v>1794660301</v>
          </cell>
          <cell r="X75">
            <v>10905139266</v>
          </cell>
          <cell r="Y75">
            <v>2331173106</v>
          </cell>
          <cell r="Z75">
            <v>2331173106</v>
          </cell>
          <cell r="AA75">
            <v>2318845940</v>
          </cell>
        </row>
        <row r="76">
          <cell r="L76" t="str">
            <v>A-02-02-02-008-002=10</v>
          </cell>
          <cell r="M76" t="str">
            <v>Nación</v>
          </cell>
          <cell r="N76" t="str">
            <v>10</v>
          </cell>
          <cell r="O76" t="str">
            <v>CSF</v>
          </cell>
          <cell r="P76" t="str">
            <v>SERVICIOS JURÍDICOS Y CONTABLES</v>
          </cell>
          <cell r="Q76">
            <v>172000000</v>
          </cell>
          <cell r="R76">
            <v>0</v>
          </cell>
          <cell r="S76">
            <v>0</v>
          </cell>
          <cell r="T76">
            <v>172000000</v>
          </cell>
          <cell r="U76">
            <v>0</v>
          </cell>
          <cell r="V76">
            <v>50970821</v>
          </cell>
          <cell r="W76">
            <v>121029179</v>
          </cell>
          <cell r="X76">
            <v>21756280</v>
          </cell>
          <cell r="Y76">
            <v>0</v>
          </cell>
          <cell r="Z76">
            <v>0</v>
          </cell>
          <cell r="AA76">
            <v>0</v>
          </cell>
        </row>
        <row r="77">
          <cell r="L77" t="str">
            <v>A-02-02-02-008-003=10</v>
          </cell>
          <cell r="M77" t="str">
            <v>Nación</v>
          </cell>
          <cell r="N77" t="str">
            <v>10</v>
          </cell>
          <cell r="O77" t="str">
            <v>CSF</v>
          </cell>
          <cell r="P77" t="str">
            <v>OTROS SERVICIOS PROFESIONALES, CIENTÍFICOS Y TÉCNICOS</v>
          </cell>
          <cell r="Q77">
            <v>9548931993</v>
          </cell>
          <cell r="R77">
            <v>0</v>
          </cell>
          <cell r="S77">
            <v>3000000</v>
          </cell>
          <cell r="T77">
            <v>9545931993</v>
          </cell>
          <cell r="U77">
            <v>0</v>
          </cell>
          <cell r="V77">
            <v>7657135135</v>
          </cell>
          <cell r="W77">
            <v>1888796858</v>
          </cell>
          <cell r="X77">
            <v>7106852550</v>
          </cell>
          <cell r="Y77">
            <v>232116184</v>
          </cell>
          <cell r="Z77">
            <v>232116184</v>
          </cell>
          <cell r="AA77">
            <v>232116184</v>
          </cell>
        </row>
        <row r="78">
          <cell r="L78" t="str">
            <v>A-02-02-02-008-004=10</v>
          </cell>
          <cell r="M78" t="str">
            <v>Nación</v>
          </cell>
          <cell r="N78" t="str">
            <v>10</v>
          </cell>
          <cell r="O78" t="str">
            <v>CSF</v>
          </cell>
          <cell r="P78" t="str">
            <v>SERVICIOS DE TELECOMUNICACIONES, TRANSMISIÓN Y SUMINISTRO DE INFORMACIÓN</v>
          </cell>
          <cell r="Q78">
            <v>2298000000</v>
          </cell>
          <cell r="R78">
            <v>0</v>
          </cell>
          <cell r="S78">
            <v>0</v>
          </cell>
          <cell r="T78">
            <v>2298000000</v>
          </cell>
          <cell r="U78">
            <v>0</v>
          </cell>
          <cell r="V78">
            <v>2045623196.6300001</v>
          </cell>
          <cell r="W78">
            <v>252376803.37</v>
          </cell>
          <cell r="X78">
            <v>546886674.63</v>
          </cell>
          <cell r="Y78">
            <v>308981967</v>
          </cell>
          <cell r="Z78">
            <v>308981967</v>
          </cell>
          <cell r="AA78">
            <v>308644171</v>
          </cell>
        </row>
        <row r="79">
          <cell r="L79" t="str">
            <v>A-02-02-02-008-005=10</v>
          </cell>
          <cell r="M79" t="str">
            <v>Nación</v>
          </cell>
          <cell r="N79" t="str">
            <v>10</v>
          </cell>
          <cell r="O79" t="str">
            <v>CSF</v>
          </cell>
          <cell r="P79" t="str">
            <v>SERVICIOS DE SOPORTE</v>
          </cell>
          <cell r="Q79">
            <v>3859335661</v>
          </cell>
          <cell r="R79">
            <v>3000000</v>
          </cell>
          <cell r="S79">
            <v>0</v>
          </cell>
          <cell r="T79">
            <v>3862335661</v>
          </cell>
          <cell r="U79">
            <v>0</v>
          </cell>
          <cell r="V79">
            <v>3036169635.8099999</v>
          </cell>
          <cell r="W79">
            <v>826166025.19000006</v>
          </cell>
          <cell r="X79">
            <v>2828629643.21</v>
          </cell>
          <cell r="Y79">
            <v>381338287</v>
          </cell>
          <cell r="Z79">
            <v>381338287</v>
          </cell>
          <cell r="AA79">
            <v>381338287</v>
          </cell>
        </row>
        <row r="80">
          <cell r="L80" t="str">
            <v>A-02-02-02-008-007=10</v>
          </cell>
          <cell r="M80" t="str">
            <v>Nación</v>
          </cell>
          <cell r="N80" t="str">
            <v>10</v>
          </cell>
          <cell r="O80" t="str">
            <v>CSF</v>
          </cell>
          <cell r="P80" t="str">
            <v>SERVICIOS DE MANTENIMIENTO, REPARACIÓN E INSTALACIÓN (EXCEPTO SERVICIOS DE CONSTRUCCIÓN)</v>
          </cell>
          <cell r="Q80">
            <v>1363025393</v>
          </cell>
          <cell r="R80">
            <v>0</v>
          </cell>
          <cell r="S80">
            <v>0</v>
          </cell>
          <cell r="T80">
            <v>1363025393</v>
          </cell>
          <cell r="U80">
            <v>0</v>
          </cell>
          <cell r="V80">
            <v>649725393</v>
          </cell>
          <cell r="W80">
            <v>713300000</v>
          </cell>
          <cell r="X80">
            <v>561025393</v>
          </cell>
          <cell r="Y80">
            <v>500000</v>
          </cell>
          <cell r="Z80">
            <v>500000</v>
          </cell>
          <cell r="AA80">
            <v>500000</v>
          </cell>
        </row>
        <row r="81">
          <cell r="L81" t="str">
            <v>A-02-02-02-008-009=10</v>
          </cell>
          <cell r="M81" t="str">
            <v>Nación</v>
          </cell>
          <cell r="N81" t="str">
            <v>10</v>
          </cell>
          <cell r="O81" t="str">
            <v>CSF</v>
          </cell>
          <cell r="P81" t="str">
            <v>OTROS SERVICIOS DE FABRICACIÓN; SERVICIOS DE EDICIÓN, IMPRESIÓN Y REPRODUCCIÓN; SERVICIOS DE RECUPERACIÓN DE MATERIALES</v>
          </cell>
          <cell r="Q81">
            <v>77000000</v>
          </cell>
          <cell r="R81">
            <v>0</v>
          </cell>
          <cell r="S81">
            <v>0</v>
          </cell>
          <cell r="T81">
            <v>77000000</v>
          </cell>
          <cell r="U81">
            <v>0</v>
          </cell>
          <cell r="V81">
            <v>47000000</v>
          </cell>
          <cell r="W81">
            <v>30000000</v>
          </cell>
          <cell r="X81">
            <v>500000</v>
          </cell>
          <cell r="Y81">
            <v>500000</v>
          </cell>
          <cell r="Z81">
            <v>500000</v>
          </cell>
          <cell r="AA81">
            <v>500000</v>
          </cell>
        </row>
        <row r="82">
          <cell r="L82" t="str">
            <v>A-02-02-02-009-002=10</v>
          </cell>
          <cell r="M82" t="str">
            <v>Nación</v>
          </cell>
          <cell r="N82" t="str">
            <v>10</v>
          </cell>
          <cell r="O82" t="str">
            <v>CSF</v>
          </cell>
          <cell r="P82" t="str">
            <v>SERVICIOS DE EDUCACIÓN</v>
          </cell>
          <cell r="Q82">
            <v>730000000</v>
          </cell>
          <cell r="R82">
            <v>0</v>
          </cell>
          <cell r="S82">
            <v>0</v>
          </cell>
          <cell r="T82">
            <v>730000000</v>
          </cell>
          <cell r="U82">
            <v>0</v>
          </cell>
          <cell r="V82">
            <v>0</v>
          </cell>
          <cell r="W82">
            <v>730000000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L83" t="str">
            <v>A-02-02-02-009-003=10</v>
          </cell>
          <cell r="M83" t="str">
            <v>Nación</v>
          </cell>
          <cell r="N83" t="str">
            <v>10</v>
          </cell>
          <cell r="O83" t="str">
            <v>CSF</v>
          </cell>
          <cell r="P83" t="str">
            <v>SERVICIOS PARA EL CUIDADO DE LA SALUD HUMANA Y SERVICIOS SOCIALES</v>
          </cell>
          <cell r="Q83">
            <v>365636000</v>
          </cell>
          <cell r="R83">
            <v>0</v>
          </cell>
          <cell r="S83">
            <v>0</v>
          </cell>
          <cell r="T83">
            <v>365636000</v>
          </cell>
          <cell r="U83">
            <v>0</v>
          </cell>
          <cell r="V83">
            <v>147768875</v>
          </cell>
          <cell r="W83">
            <v>217867125</v>
          </cell>
          <cell r="X83">
            <v>76906520</v>
          </cell>
          <cell r="Y83">
            <v>2652000</v>
          </cell>
          <cell r="Z83">
            <v>2652000</v>
          </cell>
          <cell r="AA83">
            <v>0</v>
          </cell>
        </row>
        <row r="84">
          <cell r="L84" t="str">
            <v>A-02-02-02-009-004=10</v>
          </cell>
          <cell r="M84" t="str">
            <v>Nación</v>
          </cell>
          <cell r="N84" t="str">
            <v>10</v>
          </cell>
          <cell r="O84" t="str">
            <v>CSF</v>
          </cell>
          <cell r="P84" t="str">
            <v>SERVICIOS DE ALCANTARILLADO, RECOLECCIÓN, TRATAMIENTO Y DISPOSICIÓN DE DESECHOS Y OTROS SERVICIOS DE SANEAMIENTO AMBIENTAL</v>
          </cell>
          <cell r="Q84">
            <v>55000000</v>
          </cell>
          <cell r="R84">
            <v>0</v>
          </cell>
          <cell r="S84">
            <v>0</v>
          </cell>
          <cell r="T84">
            <v>55000000</v>
          </cell>
          <cell r="U84">
            <v>0</v>
          </cell>
          <cell r="V84">
            <v>55000000</v>
          </cell>
          <cell r="W84">
            <v>0</v>
          </cell>
          <cell r="X84">
            <v>5465319.5499999998</v>
          </cell>
          <cell r="Y84">
            <v>5465319.5499999998</v>
          </cell>
          <cell r="Z84">
            <v>5465319.5499999998</v>
          </cell>
          <cell r="AA84">
            <v>5002760.62</v>
          </cell>
        </row>
        <row r="85">
          <cell r="L85" t="str">
            <v>A-02-02-02-009-006=10</v>
          </cell>
          <cell r="M85" t="str">
            <v>Nación</v>
          </cell>
          <cell r="N85" t="str">
            <v>10</v>
          </cell>
          <cell r="O85" t="str">
            <v>CSF</v>
          </cell>
          <cell r="P85" t="str">
            <v>SERVICIOS DE ESPARCIMIENTO, CULTURALES Y DEPORTIVOS</v>
          </cell>
          <cell r="Q85">
            <v>1160000000</v>
          </cell>
          <cell r="R85">
            <v>0</v>
          </cell>
          <cell r="S85">
            <v>0</v>
          </cell>
          <cell r="T85">
            <v>1160000000</v>
          </cell>
          <cell r="U85">
            <v>0</v>
          </cell>
          <cell r="V85">
            <v>82811000</v>
          </cell>
          <cell r="W85">
            <v>1077189000</v>
          </cell>
          <cell r="X85">
            <v>82811000</v>
          </cell>
          <cell r="Y85">
            <v>0</v>
          </cell>
          <cell r="Z85">
            <v>0</v>
          </cell>
          <cell r="AA85">
            <v>0</v>
          </cell>
        </row>
        <row r="86">
          <cell r="L86" t="str">
            <v>A-02-02-02-009-007=10</v>
          </cell>
          <cell r="M86" t="str">
            <v>Nación</v>
          </cell>
          <cell r="N86" t="str">
            <v>10</v>
          </cell>
          <cell r="O86" t="str">
            <v>CSF</v>
          </cell>
          <cell r="P86" t="str">
            <v>OTROS SERVICIOS</v>
          </cell>
          <cell r="Q86">
            <v>100000000</v>
          </cell>
          <cell r="R86">
            <v>0</v>
          </cell>
          <cell r="S86">
            <v>0</v>
          </cell>
          <cell r="T86">
            <v>100000000</v>
          </cell>
          <cell r="U86">
            <v>0</v>
          </cell>
          <cell r="V86">
            <v>65500</v>
          </cell>
          <cell r="W86">
            <v>99934500</v>
          </cell>
          <cell r="X86">
            <v>65500</v>
          </cell>
          <cell r="Y86">
            <v>65500</v>
          </cell>
          <cell r="Z86">
            <v>65500</v>
          </cell>
          <cell r="AA86">
            <v>65500</v>
          </cell>
        </row>
        <row r="87">
          <cell r="L87" t="str">
            <v>A-02-02-02-010=10</v>
          </cell>
          <cell r="M87" t="str">
            <v>Nación</v>
          </cell>
          <cell r="N87" t="str">
            <v>10</v>
          </cell>
          <cell r="O87" t="str">
            <v>CSF</v>
          </cell>
          <cell r="P87" t="str">
            <v>VIÁTICOS DE LOS FUNCIONARIOS EN COMISIÓN</v>
          </cell>
          <cell r="Q87">
            <v>1170310070</v>
          </cell>
          <cell r="R87">
            <v>0</v>
          </cell>
          <cell r="S87">
            <v>0</v>
          </cell>
          <cell r="T87">
            <v>1170310070</v>
          </cell>
          <cell r="U87">
            <v>0</v>
          </cell>
          <cell r="V87">
            <v>1170310070</v>
          </cell>
          <cell r="W87">
            <v>0</v>
          </cell>
          <cell r="X87">
            <v>184556620</v>
          </cell>
          <cell r="Y87">
            <v>40659105</v>
          </cell>
          <cell r="Z87">
            <v>39487202</v>
          </cell>
          <cell r="AA87">
            <v>38724906</v>
          </cell>
        </row>
        <row r="88">
          <cell r="L88" t="str">
            <v>A-03-04-02-012-001=10</v>
          </cell>
          <cell r="M88" t="str">
            <v>Nación</v>
          </cell>
          <cell r="N88" t="str">
            <v>10</v>
          </cell>
          <cell r="O88" t="str">
            <v>CSF</v>
          </cell>
          <cell r="P88" t="str">
            <v>INCAPACIDADES (NO DE PENSIONES)</v>
          </cell>
          <cell r="Q88">
            <v>402000000</v>
          </cell>
          <cell r="R88">
            <v>0</v>
          </cell>
          <cell r="S88">
            <v>0</v>
          </cell>
          <cell r="T88">
            <v>402000000</v>
          </cell>
          <cell r="U88">
            <v>0</v>
          </cell>
          <cell r="V88">
            <v>402000000</v>
          </cell>
          <cell r="W88">
            <v>0</v>
          </cell>
          <cell r="X88">
            <v>402000000</v>
          </cell>
          <cell r="Y88">
            <v>100660347</v>
          </cell>
          <cell r="Z88">
            <v>100660347</v>
          </cell>
          <cell r="AA88">
            <v>100660347</v>
          </cell>
        </row>
        <row r="89">
          <cell r="L89" t="str">
            <v>A-03-04-02-012-002=10</v>
          </cell>
          <cell r="M89" t="str">
            <v>Nación</v>
          </cell>
          <cell r="N89" t="str">
            <v>10</v>
          </cell>
          <cell r="O89" t="str">
            <v>CSF</v>
          </cell>
          <cell r="P89" t="str">
            <v>LICENCIAS DE MATERNIDAD Y PATERNIDAD (NO DE PENSIONES)</v>
          </cell>
          <cell r="Q89">
            <v>350000000</v>
          </cell>
          <cell r="R89">
            <v>0</v>
          </cell>
          <cell r="S89">
            <v>36000000</v>
          </cell>
          <cell r="T89">
            <v>314000000</v>
          </cell>
          <cell r="U89">
            <v>0</v>
          </cell>
          <cell r="V89">
            <v>314000000</v>
          </cell>
          <cell r="W89">
            <v>0</v>
          </cell>
          <cell r="X89">
            <v>314000000</v>
          </cell>
          <cell r="Y89">
            <v>13736110</v>
          </cell>
          <cell r="Z89">
            <v>13736110</v>
          </cell>
          <cell r="AA89">
            <v>13736110</v>
          </cell>
        </row>
        <row r="90">
          <cell r="L90" t="str">
            <v>A-08-01-02-001=10</v>
          </cell>
          <cell r="M90" t="str">
            <v>Nación</v>
          </cell>
          <cell r="N90" t="str">
            <v>10</v>
          </cell>
          <cell r="O90" t="str">
            <v>CSF</v>
          </cell>
          <cell r="P90" t="str">
            <v>IMPUESTO PREDIAL Y SOBRETASA AMBIENTAL</v>
          </cell>
          <cell r="Q90">
            <v>51000000</v>
          </cell>
          <cell r="R90">
            <v>0</v>
          </cell>
          <cell r="S90">
            <v>0</v>
          </cell>
          <cell r="T90">
            <v>51000000</v>
          </cell>
          <cell r="U90">
            <v>0</v>
          </cell>
          <cell r="V90">
            <v>51000000</v>
          </cell>
          <cell r="W90">
            <v>0</v>
          </cell>
          <cell r="X90">
            <v>49978748</v>
          </cell>
          <cell r="Y90">
            <v>8669748</v>
          </cell>
          <cell r="Z90">
            <v>8669748</v>
          </cell>
          <cell r="AA90">
            <v>8669748</v>
          </cell>
        </row>
        <row r="91">
          <cell r="L91" t="str">
            <v>A-08-01-02-004=10</v>
          </cell>
          <cell r="M91" t="str">
            <v>Nación</v>
          </cell>
          <cell r="N91" t="str">
            <v>10</v>
          </cell>
          <cell r="O91" t="str">
            <v>CSF</v>
          </cell>
          <cell r="P91" t="str">
            <v>IMPUESTO DE ALUMBRADO PÚBLICO</v>
          </cell>
          <cell r="Q91">
            <v>26000000</v>
          </cell>
          <cell r="R91">
            <v>0</v>
          </cell>
          <cell r="S91">
            <v>0</v>
          </cell>
          <cell r="T91">
            <v>26000000</v>
          </cell>
          <cell r="U91">
            <v>0</v>
          </cell>
          <cell r="V91">
            <v>26000000</v>
          </cell>
          <cell r="W91">
            <v>0</v>
          </cell>
          <cell r="X91">
            <v>7832751.21</v>
          </cell>
          <cell r="Y91">
            <v>7593352.21</v>
          </cell>
          <cell r="Z91">
            <v>7593352.21</v>
          </cell>
          <cell r="AA91">
            <v>7593352.21</v>
          </cell>
        </row>
        <row r="92">
          <cell r="L92" t="str">
            <v>A-08-01-02-006=10</v>
          </cell>
          <cell r="M92" t="str">
            <v>Nación</v>
          </cell>
          <cell r="N92" t="str">
            <v>10</v>
          </cell>
          <cell r="O92" t="str">
            <v>CSF</v>
          </cell>
          <cell r="P92" t="str">
            <v>IMPUESTO SOBRE VEHÍCULOS AUTOMOTORES</v>
          </cell>
          <cell r="Q92">
            <v>7000000</v>
          </cell>
          <cell r="R92">
            <v>0</v>
          </cell>
          <cell r="S92">
            <v>0</v>
          </cell>
          <cell r="T92">
            <v>7000000</v>
          </cell>
          <cell r="U92">
            <v>0</v>
          </cell>
          <cell r="V92">
            <v>7000000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L93" t="str">
            <v>C-4101-1500-5-0-4101073-02=11</v>
          </cell>
          <cell r="M93" t="str">
            <v>Nación</v>
          </cell>
          <cell r="N93" t="str">
            <v>11</v>
          </cell>
          <cell r="O93" t="str">
            <v>CSF</v>
          </cell>
          <cell r="P93" t="str">
            <v>ADQUISICIÓN DE BIENES Y SERVICIOS - SERVICIO DE APOYO PARA LA GENERACIÓN DE INGRESOS - IMPLEMENTACIÓN DE INTERVENCIÓN INTEGRAL APD CON ENFOQUE DIFERENCIAL ÉTNICO PARA INDIGENAS Y AFROS A NIVEL  NACIONAL</v>
          </cell>
          <cell r="Q93">
            <v>37511369742</v>
          </cell>
          <cell r="R93">
            <v>0</v>
          </cell>
          <cell r="S93">
            <v>0</v>
          </cell>
          <cell r="T93">
            <v>37511369742</v>
          </cell>
          <cell r="U93">
            <v>0</v>
          </cell>
          <cell r="V93">
            <v>34622400000</v>
          </cell>
          <cell r="W93">
            <v>2888969742</v>
          </cell>
          <cell r="X93">
            <v>34622400000</v>
          </cell>
          <cell r="Y93">
            <v>0</v>
          </cell>
          <cell r="Z93">
            <v>0</v>
          </cell>
          <cell r="AA93">
            <v>0</v>
          </cell>
        </row>
        <row r="94">
          <cell r="L94" t="str">
            <v>C-4101-1500-5-0-4101074-02=11</v>
          </cell>
          <cell r="M94" t="str">
            <v>Nación</v>
          </cell>
          <cell r="N94" t="str">
            <v>11</v>
          </cell>
          <cell r="O94" t="str">
            <v>CSF</v>
          </cell>
          <cell r="P94" t="str">
            <v xml:space="preserve">ADQUISICIÓN DE BIENES Y SERVICIOS - SERVICIO DE ACOMPAÑAMIENTO COMUNITARIO A LOS HOGARES EN RIESGO DE DESPLAZAMIENTO, RETORNADOS O REUBICADOS - IMPLEMENTACIÓN DE INTERVENCIÓN INTEGRAL APD CON ENFOQUE DIFERENCIAL ÉTNICO PARA INDIGENAS Y AFROS A NIVEL </v>
          </cell>
          <cell r="Q94">
            <v>8799663116</v>
          </cell>
          <cell r="R94">
            <v>0</v>
          </cell>
          <cell r="S94">
            <v>0</v>
          </cell>
          <cell r="T94">
            <v>8799663116</v>
          </cell>
          <cell r="U94">
            <v>0</v>
          </cell>
          <cell r="V94">
            <v>8799663116</v>
          </cell>
          <cell r="W94">
            <v>0</v>
          </cell>
          <cell r="X94">
            <v>8799663116</v>
          </cell>
          <cell r="Y94">
            <v>0</v>
          </cell>
          <cell r="Z94">
            <v>0</v>
          </cell>
          <cell r="AA94">
            <v>0</v>
          </cell>
        </row>
        <row r="95">
          <cell r="L95" t="str">
            <v>C-4101-1500-5-0-4101077-02=11</v>
          </cell>
          <cell r="M95" t="str">
            <v>Nación</v>
          </cell>
          <cell r="N95" t="str">
            <v>11</v>
          </cell>
          <cell r="O95" t="str">
            <v>CSF</v>
          </cell>
          <cell r="P95" t="str">
            <v>ADQUISICIÓN DE BIENES Y SERVICIOS - SERVICIO DE APOYO PARA LAS UNIDADES PRODUCTIVAS PARA EL AUTOCONSUMO DE HOGARES DESPLAZADOS O EN RIESGO DE DESPLAZAMIENTO, RETORNADOS O REUBICADOS - IMPLEMENTACIÓN DE INTERVENCIÓN INTEGRAL APD CON ENFOQUE DIFERENCIA</v>
          </cell>
          <cell r="Q95">
            <v>4325174580</v>
          </cell>
          <cell r="R95">
            <v>0</v>
          </cell>
          <cell r="S95">
            <v>0</v>
          </cell>
          <cell r="T95">
            <v>4325174580</v>
          </cell>
          <cell r="U95">
            <v>0</v>
          </cell>
          <cell r="V95">
            <v>3106555494</v>
          </cell>
          <cell r="W95">
            <v>1218619086</v>
          </cell>
          <cell r="X95">
            <v>3015271633</v>
          </cell>
          <cell r="Y95">
            <v>16005500</v>
          </cell>
          <cell r="Z95">
            <v>16005500</v>
          </cell>
          <cell r="AA95">
            <v>16005500</v>
          </cell>
        </row>
        <row r="96">
          <cell r="L96" t="str">
            <v>C-4101-1500-5-0-4101078-02=11</v>
          </cell>
          <cell r="M96" t="str">
            <v>Nación</v>
          </cell>
          <cell r="N96" t="str">
            <v>11</v>
          </cell>
          <cell r="O96" t="str">
            <v>CSF</v>
          </cell>
          <cell r="P96" t="str">
            <v>ADQUISICIÓN DE BIENES Y SERVICIOS - SERVICIO DE ASISTENCIA TÉCNICA PARA EL AUTOCONSUMO DE LOS HOGARES DESPLAZADOS O EN RIESGO DE DESPLAZAMIENTO, RETORNADOS O REUBICADOS - IMPLEMENTACIÓN DE INTERVENCIÓN INTEGRAL APD CON ENFOQUE DIFERENCIAL ÉTNICO PARA</v>
          </cell>
          <cell r="Q96">
            <v>7972098301</v>
          </cell>
          <cell r="R96">
            <v>0</v>
          </cell>
          <cell r="S96">
            <v>0</v>
          </cell>
          <cell r="T96">
            <v>7972098301</v>
          </cell>
          <cell r="U96">
            <v>0</v>
          </cell>
          <cell r="V96">
            <v>7027400000</v>
          </cell>
          <cell r="W96">
            <v>944698301</v>
          </cell>
          <cell r="X96">
            <v>7027400000</v>
          </cell>
          <cell r="Y96">
            <v>0</v>
          </cell>
          <cell r="Z96">
            <v>0</v>
          </cell>
          <cell r="AA96">
            <v>0</v>
          </cell>
        </row>
        <row r="97">
          <cell r="L97" t="str">
            <v>C-4101-1500-5-0-4101080-02=11</v>
          </cell>
          <cell r="M97" t="str">
            <v>Nación</v>
          </cell>
          <cell r="N97" t="str">
            <v>11</v>
          </cell>
          <cell r="O97" t="str">
            <v>CSF</v>
          </cell>
          <cell r="P97" t="str">
            <v>ADQUISICIÓN DE BIENES Y SERVICIOS - SERVICIO DE ASISTENCIA TÉCNICA PARA LA GENERACIÓN DE INGRESOS - IMPLEMENTACIÓN DE INTERVENCIÓN INTEGRAL APD CON ENFOQUE DIFERENCIAL ÉTNICO PARA INDIGENAS Y AFROS A NIVEL  NACIONAL</v>
          </cell>
          <cell r="Q97">
            <v>5196200000</v>
          </cell>
          <cell r="R97">
            <v>0</v>
          </cell>
          <cell r="S97">
            <v>0</v>
          </cell>
          <cell r="T97">
            <v>5196200000</v>
          </cell>
          <cell r="U97">
            <v>0</v>
          </cell>
          <cell r="V97">
            <v>5196200000</v>
          </cell>
          <cell r="W97">
            <v>0</v>
          </cell>
          <cell r="X97">
            <v>5196200000</v>
          </cell>
          <cell r="Y97">
            <v>0</v>
          </cell>
          <cell r="Z97">
            <v>0</v>
          </cell>
          <cell r="AA97">
            <v>0</v>
          </cell>
        </row>
        <row r="98">
          <cell r="L98" t="str">
            <v>C-4101-1500-5-0-4101081-02=11</v>
          </cell>
          <cell r="M98" t="str">
            <v>Nación</v>
          </cell>
          <cell r="N98" t="str">
            <v>11</v>
          </cell>
          <cell r="O98" t="str">
            <v>CSF</v>
          </cell>
          <cell r="P98" t="str">
            <v>ADQUISICIÓN DE BIENES Y SERVICIOS - SERVICIO DE APOYO AL FORTALECIMIENTO COMUNITARIO A LOS HOGARES EN RIESGO DE DESPLAZAMIENTO, RETORNADOS O REUBICADOS - IMPLEMENTACIÓN DE INTERVENCIÓN INTEGRAL APD CON ENFOQUE DIFERENCIAL ÉTNICO PARA INDIGENAS Y AFRO</v>
          </cell>
          <cell r="Q98">
            <v>2593569161</v>
          </cell>
          <cell r="R98">
            <v>0</v>
          </cell>
          <cell r="S98">
            <v>0</v>
          </cell>
          <cell r="T98">
            <v>2593569161</v>
          </cell>
          <cell r="U98">
            <v>0</v>
          </cell>
          <cell r="V98">
            <v>2593569161</v>
          </cell>
          <cell r="W98">
            <v>0</v>
          </cell>
          <cell r="X98">
            <v>2593569161</v>
          </cell>
          <cell r="Y98">
            <v>0</v>
          </cell>
          <cell r="Z98">
            <v>0</v>
          </cell>
          <cell r="AA98">
            <v>0</v>
          </cell>
        </row>
        <row r="99">
          <cell r="L99" t="str">
            <v>C-4101-1500-6-0-4101080-02=11</v>
          </cell>
          <cell r="M99" t="str">
            <v>Nación</v>
          </cell>
          <cell r="N99" t="str">
            <v>11</v>
          </cell>
          <cell r="O99" t="str">
            <v>CSF</v>
          </cell>
          <cell r="P99" t="str">
            <v>ADQUISICIÓN DE BIENES Y SERVICIOS - SERVICIO DE ASISTENCIA TÉCNICA PARA LA GENERACIÓN DE INGRESOS - IMPLEMENTACIÓN DE UN ESQUEMA ESPECIAL DE ACOMPAÑAMIENTO FAMILIAR DIRIGIDO A LA POBLACIÓN VICTIMA DE DESPLAZAMIENTO FORZADO RETORNADA O REUBICADA EN ZO</v>
          </cell>
          <cell r="Q99">
            <v>30467075662</v>
          </cell>
          <cell r="R99">
            <v>0</v>
          </cell>
          <cell r="S99">
            <v>0</v>
          </cell>
          <cell r="T99">
            <v>30467075662</v>
          </cell>
          <cell r="U99">
            <v>0</v>
          </cell>
          <cell r="V99">
            <v>23398487248</v>
          </cell>
          <cell r="W99">
            <v>7068588414</v>
          </cell>
          <cell r="X99">
            <v>23398487248</v>
          </cell>
          <cell r="Y99">
            <v>0</v>
          </cell>
          <cell r="Z99">
            <v>0</v>
          </cell>
          <cell r="AA99">
            <v>0</v>
          </cell>
        </row>
        <row r="100">
          <cell r="L100" t="str">
            <v>C-4101-1500-6-0-4101081-02=11</v>
          </cell>
          <cell r="M100" t="str">
            <v>Nación</v>
          </cell>
          <cell r="N100" t="str">
            <v>11</v>
          </cell>
          <cell r="O100" t="str">
            <v>CSF</v>
          </cell>
          <cell r="P100" t="str">
            <v>ADQUISICIÓN DE BIENES Y SERVICIOS - SERVICIO DE APOYO AL FORTALECIMIENTO COMUNITARIO A LOS HOGARES EN RIESGO DE DESPLAZAMIENTO, RETORNADOS O REUBICADOS - IMPLEMENTACIÓN DE UN ESQUEMA ESPECIAL DE ACOMPAÑAMIENTO FAMILIAR DIRIGIDO A LA POBLACIÓN VICTIMA</v>
          </cell>
          <cell r="Q100">
            <v>4435143756</v>
          </cell>
          <cell r="R100">
            <v>0</v>
          </cell>
          <cell r="S100">
            <v>0</v>
          </cell>
          <cell r="T100">
            <v>4435143756</v>
          </cell>
          <cell r="U100">
            <v>0</v>
          </cell>
          <cell r="V100">
            <v>4435143756</v>
          </cell>
          <cell r="W100">
            <v>0</v>
          </cell>
          <cell r="X100">
            <v>4435143756</v>
          </cell>
          <cell r="Y100">
            <v>0</v>
          </cell>
          <cell r="Z100">
            <v>0</v>
          </cell>
          <cell r="AA100">
            <v>0</v>
          </cell>
        </row>
        <row r="101">
          <cell r="L101" t="str">
            <v>C-4101-1500-6-0-4101078-02=11</v>
          </cell>
          <cell r="M101" t="str">
            <v>Nación</v>
          </cell>
          <cell r="N101" t="str">
            <v>11</v>
          </cell>
          <cell r="O101" t="str">
            <v>CSF</v>
          </cell>
          <cell r="P101" t="str">
            <v xml:space="preserve">ADQUISICIÓN DE BIENES Y SERVICIOS - SERVICIO DE ASISTENCIA TÉCNICA PARA EL AUTOCONSUMO DE LOS HOGARES DESPLAZADOS O EN RIESGO DE DESPLAZAMIENTO, RETORNADOS O REUBICADOS - IMPLEMENTACIÓN DE UN ESQUEMA ESPECIAL DE ACOMPAÑAMIENTO FAMILIAR DIRIGIDO A LA </v>
          </cell>
          <cell r="Q101">
            <v>16276997084</v>
          </cell>
          <cell r="R101">
            <v>0</v>
          </cell>
          <cell r="S101">
            <v>0</v>
          </cell>
          <cell r="T101">
            <v>16276997084</v>
          </cell>
          <cell r="U101">
            <v>0</v>
          </cell>
          <cell r="V101">
            <v>15724922141</v>
          </cell>
          <cell r="W101">
            <v>552074943</v>
          </cell>
          <cell r="X101">
            <v>15534032423</v>
          </cell>
          <cell r="Y101">
            <v>38868703</v>
          </cell>
          <cell r="Z101">
            <v>38868703</v>
          </cell>
          <cell r="AA101">
            <v>38868703</v>
          </cell>
        </row>
        <row r="102">
          <cell r="L102" t="str">
            <v>C-4101-1500-6-0-4101077-02=11</v>
          </cell>
          <cell r="M102" t="str">
            <v>Nación</v>
          </cell>
          <cell r="N102" t="str">
            <v>11</v>
          </cell>
          <cell r="O102" t="str">
            <v>CSF</v>
          </cell>
          <cell r="P102" t="str">
            <v>ADQUISICIÓN DE BIENES Y SERVICIOS - SERVICIO DE APOYO PARA LAS UNIDADES PRODUCTIVAS PARA EL AUTOCONSUMO DE HOGARES DESPLAZADOS O EN RIESGO DE DESPLAZAMIENTO, RETORNADOS O REUBICADOS - IMPLEMENTACIÓN DE UN ESQUEMA ESPECIAL DE ACOMPAÑAMIENTO FAMILIAR D</v>
          </cell>
          <cell r="Q102">
            <v>17722088000</v>
          </cell>
          <cell r="R102">
            <v>0</v>
          </cell>
          <cell r="S102">
            <v>0</v>
          </cell>
          <cell r="T102">
            <v>17722088000</v>
          </cell>
          <cell r="U102">
            <v>0</v>
          </cell>
          <cell r="V102">
            <v>17722088000</v>
          </cell>
          <cell r="W102">
            <v>0</v>
          </cell>
          <cell r="X102">
            <v>17722088000</v>
          </cell>
          <cell r="Y102">
            <v>0</v>
          </cell>
          <cell r="Z102">
            <v>0</v>
          </cell>
          <cell r="AA102">
            <v>0</v>
          </cell>
        </row>
        <row r="103">
          <cell r="L103" t="str">
            <v>C-4101-1500-6-0-4101073-02=11</v>
          </cell>
          <cell r="M103" t="str">
            <v>Nación</v>
          </cell>
          <cell r="N103" t="str">
            <v>11</v>
          </cell>
          <cell r="O103" t="str">
            <v>CSF</v>
          </cell>
          <cell r="P103" t="str">
            <v xml:space="preserve">ADQUISICIÓN DE BIENES Y SERVICIOS - SERVICIO DE APOYO PARA LA GENERACIÓN DE INGRESOS - IMPLEMENTACIÓN DE UN ESQUEMA ESPECIAL DE ACOMPAÑAMIENTO FAMILIAR DIRIGIDO A LA POBLACIÓN VICTIMA DE DESPLAZAMIENTO FORZADO RETORNADA O REUBICADA EN ZONAS RURALES, </v>
          </cell>
          <cell r="Q103">
            <v>4947405600</v>
          </cell>
          <cell r="R103">
            <v>0</v>
          </cell>
          <cell r="S103">
            <v>0</v>
          </cell>
          <cell r="T103">
            <v>4947405600</v>
          </cell>
          <cell r="U103">
            <v>0</v>
          </cell>
          <cell r="V103">
            <v>1947405600</v>
          </cell>
          <cell r="W103">
            <v>3000000000</v>
          </cell>
          <cell r="X103">
            <v>1947405600</v>
          </cell>
          <cell r="Y103">
            <v>623536251</v>
          </cell>
          <cell r="Z103">
            <v>623536251</v>
          </cell>
          <cell r="AA103">
            <v>263992268</v>
          </cell>
        </row>
        <row r="104">
          <cell r="L104" t="str">
            <v>C-4101-1500-6-0-4101074-02=11</v>
          </cell>
          <cell r="M104" t="str">
            <v>Nación</v>
          </cell>
          <cell r="N104" t="str">
            <v>11</v>
          </cell>
          <cell r="O104" t="str">
            <v>CSF</v>
          </cell>
          <cell r="P104" t="str">
            <v>ADQUISICIÓN DE BIENES Y SERVICIOS - SERVICIO DE ACOMPAÑAMIENTO COMUNITARIO A LOS HOGARES EN RIESGO DE DESPLAZAMIENTO, RETORNADOS O REUBICADOS - IMPLEMENTACIÓN DE UN ESQUEMA ESPECIAL DE ACOMPAÑAMIENTO FAMILIAR DIRIGIDO A LA POBLACIÓN VICTIMA DE DESPLA</v>
          </cell>
          <cell r="Q104">
            <v>27420887861</v>
          </cell>
          <cell r="R104">
            <v>0</v>
          </cell>
          <cell r="S104">
            <v>0</v>
          </cell>
          <cell r="T104">
            <v>27420887861</v>
          </cell>
          <cell r="U104">
            <v>0</v>
          </cell>
          <cell r="V104">
            <v>27306887861</v>
          </cell>
          <cell r="W104">
            <v>114000000</v>
          </cell>
          <cell r="X104">
            <v>27306887861</v>
          </cell>
          <cell r="Y104">
            <v>7696085751</v>
          </cell>
          <cell r="Z104">
            <v>7696085751</v>
          </cell>
          <cell r="AA104">
            <v>2852758951</v>
          </cell>
        </row>
        <row r="105">
          <cell r="L105" t="str">
            <v>C-4101-1500-6-0-4101081-03=11</v>
          </cell>
          <cell r="M105" t="str">
            <v>Nación</v>
          </cell>
          <cell r="N105" t="str">
            <v>11</v>
          </cell>
          <cell r="O105" t="str">
            <v>CSF</v>
          </cell>
          <cell r="P105" t="str">
            <v>TRANSFERENCIAS CORRIENTES - SERVICIO DE APOYO AL FORTALECIMIENTO COMUNITARIO A LOS HOGARES EN RIESGO DE DESPLAZAMIENTO, RETORNADOS O REUBICADOS - IMPLEMENTACIÓN DE UN ESQUEMA ESPECIAL DE ACOMPAÑAMIENTO FAMILIAR DIRIGIDO A LA POBLACIÓN VICTIMA DE DESP</v>
          </cell>
          <cell r="Q105">
            <v>16832160000</v>
          </cell>
          <cell r="R105">
            <v>0</v>
          </cell>
          <cell r="S105">
            <v>0</v>
          </cell>
          <cell r="T105">
            <v>16832160000</v>
          </cell>
          <cell r="U105">
            <v>0</v>
          </cell>
          <cell r="V105">
            <v>16832160000</v>
          </cell>
          <cell r="W105">
            <v>0</v>
          </cell>
          <cell r="X105">
            <v>16832160000</v>
          </cell>
          <cell r="Y105">
            <v>0</v>
          </cell>
          <cell r="Z105">
            <v>0</v>
          </cell>
          <cell r="AA105">
            <v>0</v>
          </cell>
        </row>
        <row r="106">
          <cell r="L106" t="str">
            <v>C-4103-1500-12-0-4103006-02=10</v>
          </cell>
          <cell r="M106" t="str">
            <v>Nación</v>
          </cell>
          <cell r="N106" t="str">
            <v>10</v>
          </cell>
          <cell r="O106" t="str">
            <v>CSF</v>
          </cell>
          <cell r="P106" t="str">
            <v>ADQUISICIÓN DE BIENES Y SERVICIOS - SERVICIO DE APOYO FINANCIERO PARA LA ENTREGA DE TRANSFERENCIAS MONETARIAS CONDICIONADAS - IMPLEMENTACIÓN DE TRANSFERENCIAS MONETARIAS CONDICIONADAS PARA POBLACIÓN VULNERABLE A NIVEL NACIONAL - FIP  NACIONAL</v>
          </cell>
          <cell r="Q106">
            <v>170514008840.17001</v>
          </cell>
          <cell r="R106">
            <v>0</v>
          </cell>
          <cell r="S106">
            <v>4660008249</v>
          </cell>
          <cell r="T106">
            <v>165854000591.17001</v>
          </cell>
          <cell r="U106">
            <v>0</v>
          </cell>
          <cell r="V106">
            <v>159119184541</v>
          </cell>
          <cell r="W106">
            <v>6734816050.1700001</v>
          </cell>
          <cell r="X106">
            <v>42295388715.129997</v>
          </cell>
          <cell r="Y106">
            <v>17740107530.959999</v>
          </cell>
          <cell r="Z106">
            <v>17740107530.959999</v>
          </cell>
          <cell r="AA106">
            <v>17740107530.959999</v>
          </cell>
        </row>
        <row r="107">
          <cell r="L107" t="str">
            <v>C-4103-1500-12-0-4103009-02=10</v>
          </cell>
          <cell r="M107" t="str">
            <v>Nación</v>
          </cell>
          <cell r="N107" t="str">
            <v>10</v>
          </cell>
          <cell r="O107" t="str">
            <v>CSF</v>
          </cell>
          <cell r="P107" t="str">
            <v xml:space="preserve">ADQUISICIÓN DE BIENES Y SERVICIOS - SERVICIO DE ASISTENCIA EN TEMAS DE DESARROLLO DE HABILIDADES NO COGNITIVAS PARA LA INCLUSIÓN PRODUCTIVA - IMPLEMENTACIÓN DE TRANSFERENCIAS MONETARIAS CONDICIONADAS PARA POBLACIÓN VULNERABLE A NIVEL NACIONAL - FIP  </v>
          </cell>
          <cell r="Q107">
            <v>5711307018</v>
          </cell>
          <cell r="R107">
            <v>0</v>
          </cell>
          <cell r="S107">
            <v>0</v>
          </cell>
          <cell r="T107">
            <v>5711307018</v>
          </cell>
          <cell r="U107">
            <v>0</v>
          </cell>
          <cell r="V107">
            <v>5111307018</v>
          </cell>
          <cell r="W107">
            <v>600000000</v>
          </cell>
          <cell r="X107">
            <v>5111307018</v>
          </cell>
          <cell r="Y107">
            <v>0</v>
          </cell>
          <cell r="Z107">
            <v>0</v>
          </cell>
          <cell r="AA107">
            <v>0</v>
          </cell>
        </row>
        <row r="108">
          <cell r="L108" t="str">
            <v>C-4103-1500-12-0-4103006-03=10</v>
          </cell>
          <cell r="M108" t="str">
            <v>Nación</v>
          </cell>
          <cell r="N108" t="str">
            <v>10</v>
          </cell>
          <cell r="O108" t="str">
            <v>CSF</v>
          </cell>
          <cell r="P108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8">
            <v>11682690576.83</v>
          </cell>
          <cell r="R108">
            <v>4660008249</v>
          </cell>
          <cell r="S108">
            <v>0</v>
          </cell>
          <cell r="T108">
            <v>16342698825.83</v>
          </cell>
          <cell r="U108">
            <v>0</v>
          </cell>
          <cell r="V108">
            <v>16342698825.83</v>
          </cell>
          <cell r="W108">
            <v>0</v>
          </cell>
          <cell r="X108">
            <v>16318698825.83</v>
          </cell>
          <cell r="Y108">
            <v>1000000</v>
          </cell>
          <cell r="Z108">
            <v>1000000</v>
          </cell>
          <cell r="AA108">
            <v>1000000</v>
          </cell>
        </row>
        <row r="109">
          <cell r="L109" t="str">
            <v>C-4103-1500-12-0-4103006-03=11</v>
          </cell>
          <cell r="M109" t="str">
            <v>Nación</v>
          </cell>
          <cell r="N109" t="str">
            <v>11</v>
          </cell>
          <cell r="O109" t="str">
            <v>CSF</v>
          </cell>
          <cell r="P109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9">
            <v>1691172057916</v>
          </cell>
          <cell r="R109">
            <v>0</v>
          </cell>
          <cell r="S109">
            <v>60000000000</v>
          </cell>
          <cell r="T109">
            <v>1631172057916</v>
          </cell>
          <cell r="U109">
            <v>0</v>
          </cell>
          <cell r="V109">
            <v>1631172057916</v>
          </cell>
          <cell r="W109">
            <v>0</v>
          </cell>
          <cell r="X109">
            <v>1631172057916</v>
          </cell>
          <cell r="Y109">
            <v>83609960000</v>
          </cell>
          <cell r="Z109">
            <v>83609960000</v>
          </cell>
          <cell r="AA109">
            <v>83609960000</v>
          </cell>
        </row>
        <row r="110">
          <cell r="L110" t="str">
            <v>C-4103-1500-13-0-4103051-02=11</v>
          </cell>
          <cell r="M110" t="str">
            <v>Nación</v>
          </cell>
          <cell r="N110" t="str">
            <v>11</v>
          </cell>
          <cell r="O110" t="str">
            <v>CSF</v>
          </cell>
          <cell r="P110" t="str">
            <v>ADQUISICIÓN DE BIENES Y SERVICIOS - SERVICIO DE ASISTENCIA TÉCNICA PARA EL AUTOCONSUMO DE LOS HOGARES EN SITUACIÓN DE VULNERABILIDAD SOCIAL - IMPLEMENTACIÓN DE UNIDADES PRODUCTIVAS DE AUTOCONSUMO PARA POBLACIÓN POBRE Y VULNERABLE   NACIONAL</v>
          </cell>
          <cell r="Q110">
            <v>7218669145</v>
          </cell>
          <cell r="R110">
            <v>0</v>
          </cell>
          <cell r="S110">
            <v>0</v>
          </cell>
          <cell r="T110">
            <v>7218669145</v>
          </cell>
          <cell r="U110">
            <v>0</v>
          </cell>
          <cell r="V110">
            <v>4406021511</v>
          </cell>
          <cell r="W110">
            <v>2812647634</v>
          </cell>
          <cell r="X110">
            <v>4406021511</v>
          </cell>
          <cell r="Y110">
            <v>0</v>
          </cell>
          <cell r="Z110">
            <v>0</v>
          </cell>
          <cell r="AA110">
            <v>0</v>
          </cell>
        </row>
        <row r="111">
          <cell r="L111" t="str">
            <v>C-4103-1500-13-0-4103053-02=11</v>
          </cell>
          <cell r="M111" t="str">
            <v>Nación</v>
          </cell>
          <cell r="N111" t="str">
            <v>11</v>
          </cell>
          <cell r="O111" t="str">
            <v>CSF</v>
          </cell>
          <cell r="P111" t="str">
            <v>ADQUISICIÓN DE BIENES Y SERVICIOS - SERVICIO DE ASISTENCIA TÉCNICA PARA EL MEJORAMIENTO DE HÁBITOS ALIMENTARIOS - IMPLEMENTACIÓN DE UNIDADES PRODUCTIVAS DE AUTOCONSUMO PARA POBLACIÓN POBRE Y VULNERABLE   NACIONAL</v>
          </cell>
          <cell r="Q111">
            <v>4348087590</v>
          </cell>
          <cell r="R111">
            <v>0</v>
          </cell>
          <cell r="S111">
            <v>0</v>
          </cell>
          <cell r="T111">
            <v>4348087590</v>
          </cell>
          <cell r="U111">
            <v>0</v>
          </cell>
          <cell r="V111">
            <v>2653919568</v>
          </cell>
          <cell r="W111">
            <v>1694168022</v>
          </cell>
          <cell r="X111">
            <v>2653919568</v>
          </cell>
          <cell r="Y111">
            <v>0</v>
          </cell>
          <cell r="Z111">
            <v>0</v>
          </cell>
          <cell r="AA111">
            <v>0</v>
          </cell>
        </row>
        <row r="112">
          <cell r="L112" t="str">
            <v>C-4103-1500-13-0-4103054-02=11</v>
          </cell>
          <cell r="M112" t="str">
            <v>Nación</v>
          </cell>
          <cell r="N112" t="str">
            <v>11</v>
          </cell>
          <cell r="O112" t="str">
            <v>CSF</v>
          </cell>
          <cell r="P112" t="str">
            <v>ADQUISICIÓN DE BIENES Y SERVICIOS - SERVICIO DE MONITOREO Y SEGUIMIENTO A LAS INTERVENCIONES IMPLEMENTADAS PARA LA INCLUSIÓN SOCIAL Y PRODUCTIVA DE LA POBLACIÓN EN SITUACIÓN DE VULNERABILIDAD - IMPLEMENTACIÓN DE UNIDADES PRODUCTIVAS DE AUTOCONSUMO PA</v>
          </cell>
          <cell r="Q112">
            <v>2171371771</v>
          </cell>
          <cell r="R112">
            <v>0</v>
          </cell>
          <cell r="S112">
            <v>0</v>
          </cell>
          <cell r="T112">
            <v>2171371771</v>
          </cell>
          <cell r="U112">
            <v>0</v>
          </cell>
          <cell r="V112">
            <v>739984123</v>
          </cell>
          <cell r="W112">
            <v>1431387648</v>
          </cell>
          <cell r="X112">
            <v>718516598</v>
          </cell>
          <cell r="Y112">
            <v>20685476</v>
          </cell>
          <cell r="Z112">
            <v>20685476</v>
          </cell>
          <cell r="AA112">
            <v>20685476</v>
          </cell>
        </row>
        <row r="113">
          <cell r="L113" t="str">
            <v>C-4103-1500-13-0-4103055-02=11</v>
          </cell>
          <cell r="M113" t="str">
            <v>Nación</v>
          </cell>
          <cell r="N113" t="str">
            <v>11</v>
          </cell>
          <cell r="O113" t="str">
            <v>CSF</v>
          </cell>
          <cell r="P113" t="str">
            <v>ADQUISICIÓN DE BIENES Y SERVICIOS - SERVICIO DE APOYO PARA LAS UNIDADES PRODUCTIVAS PARA EL AUTOCONSUMO DE LOS HOGARES EN SITUACIÓN DE VULNERABILIDAD SOCIAL - IMPLEMENTACIÓN DE UNIDADES PRODUCTIVAS DE AUTOCONSUMO PARA POBLACIÓN POBRE Y VULNERABLE   N</v>
          </cell>
          <cell r="Q113">
            <v>12164900352</v>
          </cell>
          <cell r="R113">
            <v>0</v>
          </cell>
          <cell r="S113">
            <v>0</v>
          </cell>
          <cell r="T113">
            <v>12164900352</v>
          </cell>
          <cell r="U113">
            <v>0</v>
          </cell>
          <cell r="V113">
            <v>7457426819</v>
          </cell>
          <cell r="W113">
            <v>4707473533</v>
          </cell>
          <cell r="X113">
            <v>7457426819</v>
          </cell>
          <cell r="Y113">
            <v>0</v>
          </cell>
          <cell r="Z113">
            <v>0</v>
          </cell>
          <cell r="AA113">
            <v>0</v>
          </cell>
        </row>
        <row r="114">
          <cell r="L114" t="str">
            <v>C-4103-1500-14-0-4103048-02=11</v>
          </cell>
          <cell r="M114" t="str">
            <v>Nación</v>
          </cell>
          <cell r="N114" t="str">
            <v>11</v>
          </cell>
          <cell r="O114" t="str">
            <v>CSF</v>
          </cell>
          <cell r="P114" t="str">
            <v>ADQUISICIÓN DE BIENES Y SERVICIOS - SERVICIO DE ASISTENCIA TÉCNICA EN PROYECTOS DE INFRAESTRUCTURA SOCIAL A ENTIDADES TERRITORIALES - FORTALECIMIENTO PARA EL DESARROLLO DE INFRAESTRUCTURA SOCIAL Y HÁBITAT PARA LA INCLUSIÓN SOCIAL A NIVEL NACIONAL - F</v>
          </cell>
          <cell r="Q114">
            <v>21666882589.209999</v>
          </cell>
          <cell r="R114">
            <v>700000000</v>
          </cell>
          <cell r="S114">
            <v>0</v>
          </cell>
          <cell r="T114">
            <v>22366882589.209999</v>
          </cell>
          <cell r="U114">
            <v>0</v>
          </cell>
          <cell r="V114">
            <v>18840867891.209999</v>
          </cell>
          <cell r="W114">
            <v>3526014698</v>
          </cell>
          <cell r="X114">
            <v>8433119931</v>
          </cell>
          <cell r="Y114">
            <v>105680517</v>
          </cell>
          <cell r="Z114">
            <v>105680517</v>
          </cell>
          <cell r="AA114">
            <v>105680517</v>
          </cell>
        </row>
        <row r="115">
          <cell r="L115" t="str">
            <v>C-4103-1500-14-0-4103016-02=11</v>
          </cell>
          <cell r="M115" t="str">
            <v>Nación</v>
          </cell>
          <cell r="N115" t="str">
            <v>11</v>
          </cell>
          <cell r="O115" t="str">
            <v>CSF</v>
          </cell>
          <cell r="P115" t="str">
            <v>ADQUISICIÓN DE BIENES Y SERVICIOS - SERVICIO DE APOYO FINANCIERO PARA FINANCIACIÓN DE OBRAS DE INFRAESTRUCTURA SOCIAL - FORTALECIMIENTO PARA EL DESARROLLO DE INFRAESTRUCTURA SOCIAL Y HÁBITAT PARA LA INCLUSIÓN SOCIAL A NIVEL NACIONAL - FIP  NACIONAL</v>
          </cell>
          <cell r="Q115">
            <v>358903207165.07001</v>
          </cell>
          <cell r="R115">
            <v>46178302383</v>
          </cell>
          <cell r="S115">
            <v>366968373082.07001</v>
          </cell>
          <cell r="T115">
            <v>38113136466</v>
          </cell>
          <cell r="U115">
            <v>0</v>
          </cell>
          <cell r="V115">
            <v>38113136466</v>
          </cell>
          <cell r="W115">
            <v>0</v>
          </cell>
          <cell r="X115">
            <v>36249682146</v>
          </cell>
          <cell r="Y115">
            <v>0</v>
          </cell>
          <cell r="Z115">
            <v>0</v>
          </cell>
          <cell r="AA115">
            <v>0</v>
          </cell>
        </row>
        <row r="116">
          <cell r="L116" t="str">
            <v>C-4103-1500-14-0-4103016-03=10</v>
          </cell>
          <cell r="M116" t="str">
            <v>Nación</v>
          </cell>
          <cell r="N116" t="str">
            <v>10</v>
          </cell>
          <cell r="O116" t="str">
            <v>CSF</v>
          </cell>
          <cell r="P116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6">
            <v>50000000000</v>
          </cell>
          <cell r="R116">
            <v>0</v>
          </cell>
          <cell r="S116">
            <v>50000000000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L117" t="str">
            <v>C-4103-1500-14-0-4103016-03=11</v>
          </cell>
          <cell r="M117" t="str">
            <v>Nación</v>
          </cell>
          <cell r="N117" t="str">
            <v>11</v>
          </cell>
          <cell r="O117" t="str">
            <v>CSF</v>
          </cell>
          <cell r="P117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7">
            <v>796312137723.71997</v>
          </cell>
          <cell r="R117">
            <v>0</v>
          </cell>
          <cell r="S117">
            <v>329909929300.92999</v>
          </cell>
          <cell r="T117">
            <v>466402208422.78998</v>
          </cell>
          <cell r="U117">
            <v>0</v>
          </cell>
          <cell r="V117">
            <v>465246718133.75</v>
          </cell>
          <cell r="W117">
            <v>1155490289.04</v>
          </cell>
          <cell r="X117">
            <v>454874507379.75</v>
          </cell>
          <cell r="Y117">
            <v>23011802008.549999</v>
          </cell>
          <cell r="Z117">
            <v>23011802008.549999</v>
          </cell>
          <cell r="AA117">
            <v>23011802008.549999</v>
          </cell>
        </row>
        <row r="118">
          <cell r="L118" t="str">
            <v>C-4103-1500-16-0-4103056-02=11</v>
          </cell>
          <cell r="M118" t="str">
            <v>Nación</v>
          </cell>
          <cell r="N118" t="str">
            <v>11</v>
          </cell>
          <cell r="O118" t="str">
            <v>CSF</v>
          </cell>
          <cell r="P118" t="str">
            <v>ADQUISICIÓN DE BIENES Y SERVICIOS -  SERVICIO DE ASISTENCIA TÉCNICA EN SEGURIDAD ALIMENTARIA Y NUTRICIONAL A ENTIDADES TERRITORIALES - FORTALECIMIENTO A ENTIDADES TERRITORIALES EN POLITICA DE SEGURIDAD ALIMENTARIA  NACIONAL</v>
          </cell>
          <cell r="Q118">
            <v>730000000</v>
          </cell>
          <cell r="R118">
            <v>0</v>
          </cell>
          <cell r="S118">
            <v>0</v>
          </cell>
          <cell r="T118">
            <v>730000000</v>
          </cell>
          <cell r="U118">
            <v>0</v>
          </cell>
          <cell r="V118">
            <v>0</v>
          </cell>
          <cell r="W118">
            <v>730000000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L119" t="str">
            <v>C-4103-1500-16-0-4103060-02=11</v>
          </cell>
          <cell r="M119" t="str">
            <v>Nación</v>
          </cell>
          <cell r="N119" t="str">
            <v>11</v>
          </cell>
          <cell r="O119" t="str">
            <v>CSF</v>
          </cell>
          <cell r="P119" t="str">
            <v>ADQUISICIÓN DE BIENES Y SERVICIOS - DOCUMENTO DE LINEAMIENTOS TÉCNICOS - FORTALECIMIENTO A ENTIDADES TERRITORIALES EN POLITICA DE SEGURIDAD ALIMENTARIA  NACIONAL</v>
          </cell>
          <cell r="Q119">
            <v>270000000</v>
          </cell>
          <cell r="R119">
            <v>0</v>
          </cell>
          <cell r="S119">
            <v>0</v>
          </cell>
          <cell r="T119">
            <v>270000000</v>
          </cell>
          <cell r="U119">
            <v>0</v>
          </cell>
          <cell r="V119">
            <v>0</v>
          </cell>
          <cell r="W119">
            <v>270000000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L120" t="str">
            <v>C-4103-1500-17-0-4103058-02=11</v>
          </cell>
          <cell r="M120" t="str">
            <v>Nación</v>
          </cell>
          <cell r="N120" t="str">
            <v>11</v>
          </cell>
          <cell r="O120" t="str">
            <v>CSF</v>
          </cell>
          <cell r="P120" t="str">
            <v>ADQUISICIÓN DE BIENES Y SERVICIOS - SERVICIO DE APOYO PARA EL FORTALECIMIENTO DE UNIDADES PRODUCTIVAS COLECTIVAS PARA LA GENERACIÓN DE INGRESOS - IMPLEMENTACIÓN DE HERRAMIENTAS PARA LA INCLUSIÓN PRODUCTIVA DE LA POBLACIÓN EN SITUACIÓN DE POBREZA EXTR</v>
          </cell>
          <cell r="Q120">
            <v>12632794125</v>
          </cell>
          <cell r="R120">
            <v>0</v>
          </cell>
          <cell r="S120">
            <v>9713476480</v>
          </cell>
          <cell r="T120">
            <v>2919317645</v>
          </cell>
          <cell r="U120">
            <v>0</v>
          </cell>
          <cell r="V120">
            <v>2919317645</v>
          </cell>
          <cell r="W120">
            <v>0</v>
          </cell>
          <cell r="X120">
            <v>2919317645</v>
          </cell>
          <cell r="Y120">
            <v>0</v>
          </cell>
          <cell r="Z120">
            <v>0</v>
          </cell>
          <cell r="AA120">
            <v>0</v>
          </cell>
        </row>
        <row r="121">
          <cell r="L121" t="str">
            <v>C-4103-1500-17-0-4103059-02=11</v>
          </cell>
          <cell r="M121" t="str">
            <v>Nación</v>
          </cell>
          <cell r="N121" t="str">
            <v>11</v>
          </cell>
          <cell r="O121" t="str">
            <v>CSF</v>
          </cell>
          <cell r="P121" t="str">
            <v>ADQUISICIÓN DE BIENES Y SERVICIOS - SERVICIO DE ASISTENCIA TÉCNICA PARA FORTALECIMIENTO DE UNIDADES PRODUCTIVAS COLECTIVAS PARA LA GENERACIÓN DE INGRESOS - IMPLEMENTACIÓN DE HERRAMIENTAS PARA LA INCLUSIÓN PRODUCTIVA DE LA POBLACIÓN EN SITUACIÓN DE PO</v>
          </cell>
          <cell r="Q121">
            <v>1307947412</v>
          </cell>
          <cell r="R121">
            <v>0</v>
          </cell>
          <cell r="S121">
            <v>0</v>
          </cell>
          <cell r="T121">
            <v>1307947412</v>
          </cell>
          <cell r="U121">
            <v>0</v>
          </cell>
          <cell r="V121">
            <v>975341297</v>
          </cell>
          <cell r="W121">
            <v>332606115</v>
          </cell>
          <cell r="X121">
            <v>975341297</v>
          </cell>
          <cell r="Y121">
            <v>0</v>
          </cell>
          <cell r="Z121">
            <v>0</v>
          </cell>
          <cell r="AA121">
            <v>0</v>
          </cell>
        </row>
        <row r="122">
          <cell r="L122" t="str">
            <v>C-4103-1500-17-0-4103005-02=11</v>
          </cell>
          <cell r="M122" t="str">
            <v>Nación</v>
          </cell>
          <cell r="N122" t="str">
            <v>11</v>
          </cell>
          <cell r="O122" t="str">
            <v>CSF</v>
          </cell>
          <cell r="P122" t="str">
            <v>ADQUISICIÓN DE BIENES Y SERVICIOS - SERVICIO DE ASISTENCIA TÉCNICA PARA EL EMPRENDIMIENTO  - IMPLEMENTACIÓN DE HERRAMIENTAS PARA LA INCLUSIÓN PRODUCTIVA DE LA POBLACIÓN EN SITUACIÓN DE POBREZA EXTREMA, VULNERABILIDAD Y VICTIMAS DEL DESPLAZAMIENTO FOR</v>
          </cell>
          <cell r="Q122">
            <v>24060301659</v>
          </cell>
          <cell r="R122">
            <v>0</v>
          </cell>
          <cell r="S122">
            <v>5805513391</v>
          </cell>
          <cell r="T122">
            <v>18254788268</v>
          </cell>
          <cell r="U122">
            <v>0</v>
          </cell>
          <cell r="V122">
            <v>14525966710</v>
          </cell>
          <cell r="W122">
            <v>3728821558</v>
          </cell>
          <cell r="X122">
            <v>13681332098</v>
          </cell>
          <cell r="Y122">
            <v>100748682</v>
          </cell>
          <cell r="Z122">
            <v>100748682</v>
          </cell>
          <cell r="AA122">
            <v>100748682</v>
          </cell>
        </row>
        <row r="123">
          <cell r="L123" t="str">
            <v>C-4103-1500-17-0-4103057-03=11</v>
          </cell>
          <cell r="M123" t="str">
            <v>Nación</v>
          </cell>
          <cell r="N123" t="str">
            <v>11</v>
          </cell>
          <cell r="O123" t="str">
            <v>CSF</v>
          </cell>
          <cell r="P123" t="str">
            <v xml:space="preserve">TRANSFERENCIAS CORRIENTES - SERVICIO DE APOYO A UNIDADES PRODUCTIVAS INDIVIDUALES PARA LA GENERACIÓN DE INGRESOS - IMPLEMENTACIÓN DE HERRAMIENTAS PARA LA INCLUSIÓN PRODUCTIVA DE LA POBLACIÓN EN SITUACIÓN DE POBREZA EXTREMA, VULNERABILIDAD Y VICTIMAS </v>
          </cell>
          <cell r="Q123">
            <v>45582352481</v>
          </cell>
          <cell r="R123">
            <v>0</v>
          </cell>
          <cell r="S123">
            <v>24481010129</v>
          </cell>
          <cell r="T123">
            <v>21101342352</v>
          </cell>
          <cell r="U123">
            <v>0</v>
          </cell>
          <cell r="V123">
            <v>21101342352</v>
          </cell>
          <cell r="W123">
            <v>0</v>
          </cell>
          <cell r="X123">
            <v>21101342352</v>
          </cell>
          <cell r="Y123">
            <v>0</v>
          </cell>
          <cell r="Z123">
            <v>0</v>
          </cell>
          <cell r="AA123">
            <v>0</v>
          </cell>
        </row>
        <row r="124">
          <cell r="L124" t="str">
            <v>C-4103-1500-18-0-4103050-02=11</v>
          </cell>
          <cell r="M124" t="str">
            <v>Nación</v>
          </cell>
          <cell r="N124" t="str">
            <v>11</v>
          </cell>
          <cell r="O124" t="str">
            <v>CSF</v>
          </cell>
          <cell r="P124" t="str">
            <v>ADQUISICIÓN DE BIENES Y SERVICIOS - SERVICIO DE ACOMPAÑAMIENTO FAMILIAR Y COMUNITARIO PARA LA SUPERACIÓN DE LA POBREZA - IMPLEMENTACIÓN DE LA ESTRATEGIA DE ACOMPAÑAMIENTO FAMILIAR Y COMUNITARIO PARA LA SUPERACIÓN DE LA POBREZA - FIP A NIVEL   NACIONA</v>
          </cell>
          <cell r="Q124">
            <v>70125561842</v>
          </cell>
          <cell r="R124">
            <v>0</v>
          </cell>
          <cell r="S124">
            <v>60000000000</v>
          </cell>
          <cell r="T124">
            <v>10125561842</v>
          </cell>
          <cell r="U124">
            <v>0</v>
          </cell>
          <cell r="V124">
            <v>3645066839.9200001</v>
          </cell>
          <cell r="W124">
            <v>6480495002.0799999</v>
          </cell>
          <cell r="X124">
            <v>3197913279.9200001</v>
          </cell>
          <cell r="Y124">
            <v>129771155.38</v>
          </cell>
          <cell r="Z124">
            <v>129771155.38</v>
          </cell>
          <cell r="AA124">
            <v>129771155.38</v>
          </cell>
        </row>
        <row r="125">
          <cell r="L125" t="str">
            <v>C-4103-1500-19-0-4103052-02=11</v>
          </cell>
          <cell r="M125" t="str">
            <v>Nación</v>
          </cell>
          <cell r="N125" t="str">
            <v>11</v>
          </cell>
          <cell r="O125" t="str">
            <v>CSF</v>
          </cell>
          <cell r="P125" t="str">
            <v>ADQUISICIÓN DE BIENES Y SERVICIOS - SERVICIO DE GESTIÓN DE OFERTA SOCIAL PARA LA POBLACIÓN VULNERABLE - FORTALECIMIENTO DE LA GESTIÓN DE OFERTA PARA LA SUPERACIÓN DE LA POBREZA- FIP A NIVEL  NACIONAL</v>
          </cell>
          <cell r="Q125">
            <v>9835707936</v>
          </cell>
          <cell r="R125">
            <v>0</v>
          </cell>
          <cell r="S125">
            <v>0</v>
          </cell>
          <cell r="T125">
            <v>9835707936</v>
          </cell>
          <cell r="U125">
            <v>0</v>
          </cell>
          <cell r="V125">
            <v>4474125948</v>
          </cell>
          <cell r="W125">
            <v>5361581988</v>
          </cell>
          <cell r="X125">
            <v>3096194279</v>
          </cell>
          <cell r="Y125">
            <v>34049425</v>
          </cell>
          <cell r="Z125">
            <v>34049425</v>
          </cell>
          <cell r="AA125">
            <v>34049425</v>
          </cell>
        </row>
        <row r="126">
          <cell r="L126" t="str">
            <v>C-4103-1500-19-0-4103060-02=11</v>
          </cell>
          <cell r="M126" t="str">
            <v>Nación</v>
          </cell>
          <cell r="N126" t="str">
            <v>11</v>
          </cell>
          <cell r="O126" t="str">
            <v>CSF</v>
          </cell>
          <cell r="P126" t="str">
            <v>ADQUISICIÓN DE BIENES Y SERVICIOS - DOCUMENTO DE LINEAMIENTOS TÉCNICOS - FORTALECIMIENTO DE LA GESTIÓN DE OFERTA PARA LA SUPERACIÓN DE LA POBREZA- FIP A NIVEL  NACIONAL</v>
          </cell>
          <cell r="Q126">
            <v>1226999999</v>
          </cell>
          <cell r="R126">
            <v>0</v>
          </cell>
          <cell r="S126">
            <v>0</v>
          </cell>
          <cell r="T126">
            <v>1226999999</v>
          </cell>
          <cell r="U126">
            <v>0</v>
          </cell>
          <cell r="V126">
            <v>0</v>
          </cell>
          <cell r="W126">
            <v>1226999999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L127" t="str">
            <v>C-4103-1500-19-0-4103049-02=11</v>
          </cell>
          <cell r="M127" t="str">
            <v>Nación</v>
          </cell>
          <cell r="N127" t="str">
            <v>11</v>
          </cell>
          <cell r="O127" t="str">
            <v>CSF</v>
          </cell>
          <cell r="P127" t="str">
            <v>ADQUISICIÓN DE BIENES Y SERVICIOS - SERVICIO DE ASISTENCIA TÉCNICA A LAS ENTIDADES TERRITORIALES EN LA FORMULACIÓN DE SUS MARCOS DE LUCHA CONTRA LA POBREZA - FORTALECIMIENTO DE LA GESTIÓN DE OFERTA PARA LA SUPERACIÓN DE LA POBREZA- FIP A NIVEL  NACIO</v>
          </cell>
          <cell r="Q127">
            <v>218772000</v>
          </cell>
          <cell r="R127">
            <v>0</v>
          </cell>
          <cell r="S127">
            <v>0</v>
          </cell>
          <cell r="T127">
            <v>218772000</v>
          </cell>
          <cell r="U127">
            <v>0</v>
          </cell>
          <cell r="V127">
            <v>214772000</v>
          </cell>
          <cell r="W127">
            <v>4000000</v>
          </cell>
          <cell r="X127">
            <v>193677224</v>
          </cell>
          <cell r="Y127">
            <v>0</v>
          </cell>
          <cell r="Z127">
            <v>0</v>
          </cell>
          <cell r="AA127">
            <v>0</v>
          </cell>
        </row>
        <row r="128">
          <cell r="L128" t="str">
            <v>C-4199-1500-2-0-4199062-02=11</v>
          </cell>
          <cell r="M128" t="str">
            <v>Nación</v>
          </cell>
          <cell r="N128" t="str">
            <v>11</v>
          </cell>
          <cell r="O128" t="str">
            <v>CSF</v>
          </cell>
          <cell r="P128" t="str">
            <v>ADQUISICIÓN DE BIENES Y SERVICIOS - SERVICIOS TECNOLÓGICOS  - IMPLEMENTACIÓN Y AMPLIACIÓN DE LAS TECNOLOGÍAS DE INFORMACIÓN Y COMUNICACIONES EN DPS A NIVEL  NACIONAL</v>
          </cell>
          <cell r="Q128">
            <v>3226548466</v>
          </cell>
          <cell r="R128">
            <v>0</v>
          </cell>
          <cell r="S128">
            <v>0</v>
          </cell>
          <cell r="T128">
            <v>3226548466</v>
          </cell>
          <cell r="U128">
            <v>0</v>
          </cell>
          <cell r="V128">
            <v>1485351079</v>
          </cell>
          <cell r="W128">
            <v>1741197387</v>
          </cell>
          <cell r="X128">
            <v>1421220009.4000001</v>
          </cell>
          <cell r="Y128">
            <v>0</v>
          </cell>
          <cell r="Z128">
            <v>0</v>
          </cell>
          <cell r="AA12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.Ejecutivo.2019"/>
      <sheetName val="Vigencia"/>
      <sheetName val="EJEC_2020"/>
      <sheetName val="PPTO 2019 DPS Modif2"/>
      <sheetName val="Reserva"/>
      <sheetName val="Ejec_RESERVA"/>
      <sheetName val="RPS_reserva"/>
      <sheetName val="PAGOS_reserva"/>
      <sheetName val="CXP"/>
      <sheetName val="Ejec_CXP19"/>
      <sheetName val="pagoCXP"/>
      <sheetName val="Modif2"/>
    </sheetNames>
    <sheetDataSet>
      <sheetData sheetId="0"/>
      <sheetData sheetId="1">
        <row r="5">
          <cell r="L5" t="str">
            <v>A-01-01-01=10</v>
          </cell>
          <cell r="M5" t="str">
            <v>Nación</v>
          </cell>
          <cell r="N5" t="str">
            <v>10</v>
          </cell>
          <cell r="O5" t="str">
            <v>CSF</v>
          </cell>
          <cell r="P5" t="str">
            <v>SALARIO</v>
          </cell>
          <cell r="Q5">
            <v>68019000000</v>
          </cell>
          <cell r="R5">
            <v>0</v>
          </cell>
          <cell r="S5">
            <v>0</v>
          </cell>
          <cell r="T5">
            <v>68019000000</v>
          </cell>
          <cell r="U5">
            <v>0</v>
          </cell>
          <cell r="V5">
            <v>68019000000</v>
          </cell>
          <cell r="W5">
            <v>0</v>
          </cell>
          <cell r="X5">
            <v>61031327000</v>
          </cell>
          <cell r="Y5">
            <v>4409317677</v>
          </cell>
          <cell r="Z5">
            <v>4409317677</v>
          </cell>
          <cell r="AA5">
            <v>4409317677</v>
          </cell>
        </row>
        <row r="6">
          <cell r="L6" t="str">
            <v>A-01-01-02=10</v>
          </cell>
          <cell r="M6" t="str">
            <v>Nación</v>
          </cell>
          <cell r="N6" t="str">
            <v>10</v>
          </cell>
          <cell r="O6" t="str">
            <v>CSF</v>
          </cell>
          <cell r="P6" t="str">
            <v>CONTRIBUCIONES INHERENTES A LA NÓMINA</v>
          </cell>
          <cell r="Q6">
            <v>24735000000</v>
          </cell>
          <cell r="R6">
            <v>0</v>
          </cell>
          <cell r="S6">
            <v>0</v>
          </cell>
          <cell r="T6">
            <v>24735000000</v>
          </cell>
          <cell r="U6">
            <v>0</v>
          </cell>
          <cell r="V6">
            <v>24735000000</v>
          </cell>
          <cell r="W6">
            <v>0</v>
          </cell>
          <cell r="X6">
            <v>22257548000</v>
          </cell>
          <cell r="Y6">
            <v>1817880130</v>
          </cell>
          <cell r="Z6">
            <v>1817880130</v>
          </cell>
          <cell r="AA6">
            <v>1817880130</v>
          </cell>
        </row>
        <row r="7">
          <cell r="L7" t="str">
            <v>A-01-01-03=10</v>
          </cell>
          <cell r="M7" t="str">
            <v>Nación</v>
          </cell>
          <cell r="N7" t="str">
            <v>10</v>
          </cell>
          <cell r="O7" t="str">
            <v>CSF</v>
          </cell>
          <cell r="P7" t="str">
            <v>REMUNERACIONES NO CONSTITUTIVAS DE FACTOR SALARIAL</v>
          </cell>
          <cell r="Q7">
            <v>6984000000</v>
          </cell>
          <cell r="R7">
            <v>0</v>
          </cell>
          <cell r="S7">
            <v>0</v>
          </cell>
          <cell r="T7">
            <v>6984000000</v>
          </cell>
          <cell r="U7">
            <v>0</v>
          </cell>
          <cell r="V7">
            <v>6954000000</v>
          </cell>
          <cell r="W7">
            <v>30000000</v>
          </cell>
          <cell r="X7">
            <v>6475079000</v>
          </cell>
          <cell r="Y7">
            <v>358855054</v>
          </cell>
          <cell r="Z7">
            <v>358855054</v>
          </cell>
          <cell r="AA7">
            <v>358855054</v>
          </cell>
        </row>
        <row r="8">
          <cell r="L8" t="str">
            <v>A-02-02=10</v>
          </cell>
          <cell r="M8" t="str">
            <v>Nación</v>
          </cell>
          <cell r="N8" t="str">
            <v>10</v>
          </cell>
          <cell r="O8" t="str">
            <v>CSF</v>
          </cell>
          <cell r="P8" t="str">
            <v>ADQUISICIONES DIFERENTES DE ACTIVOS</v>
          </cell>
          <cell r="Q8">
            <v>42289000000</v>
          </cell>
          <cell r="R8">
            <v>0</v>
          </cell>
          <cell r="S8">
            <v>0</v>
          </cell>
          <cell r="T8">
            <v>42289000000</v>
          </cell>
          <cell r="U8">
            <v>0</v>
          </cell>
          <cell r="V8">
            <v>31343809404.970001</v>
          </cell>
          <cell r="W8">
            <v>10945190595.030001</v>
          </cell>
          <cell r="X8">
            <v>24214797714.849998</v>
          </cell>
          <cell r="Y8">
            <v>1345923446.8800001</v>
          </cell>
          <cell r="Z8">
            <v>1340791710.8800001</v>
          </cell>
          <cell r="AA8">
            <v>1332727341.8800001</v>
          </cell>
        </row>
        <row r="9">
          <cell r="L9" t="str">
            <v>A-03-03-01-999=10</v>
          </cell>
          <cell r="M9" t="str">
            <v>Nación</v>
          </cell>
          <cell r="N9" t="str">
            <v>10</v>
          </cell>
          <cell r="O9" t="str">
            <v>CSF</v>
          </cell>
          <cell r="P9" t="str">
            <v>OTRAS TRANSFERENCIAS - DISTRIBUCIÓN PREVIO CONCEPTO DGPPN</v>
          </cell>
          <cell r="Q9">
            <v>11791000000</v>
          </cell>
          <cell r="R9">
            <v>0</v>
          </cell>
          <cell r="S9">
            <v>0</v>
          </cell>
          <cell r="T9">
            <v>11791000000</v>
          </cell>
          <cell r="U9">
            <v>11791000000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L10" t="str">
            <v>A-03-04-02-012=10</v>
          </cell>
          <cell r="M10" t="str">
            <v>Nación</v>
          </cell>
          <cell r="N10" t="str">
            <v>10</v>
          </cell>
          <cell r="O10" t="str">
            <v>CSF</v>
          </cell>
          <cell r="P10" t="str">
            <v>INCAPACIDADES Y LICENCIAS DE MATERNIDAD Y PATERNIDAD (NO DE PENSIONES)</v>
          </cell>
          <cell r="Q10">
            <v>752000000</v>
          </cell>
          <cell r="R10">
            <v>0</v>
          </cell>
          <cell r="S10">
            <v>0</v>
          </cell>
          <cell r="T10">
            <v>752000000</v>
          </cell>
          <cell r="U10">
            <v>0</v>
          </cell>
          <cell r="V10">
            <v>752000000</v>
          </cell>
          <cell r="W10">
            <v>0</v>
          </cell>
          <cell r="X10">
            <v>752000000</v>
          </cell>
          <cell r="Y10">
            <v>56786767</v>
          </cell>
          <cell r="Z10">
            <v>56786767</v>
          </cell>
          <cell r="AA10">
            <v>56786767</v>
          </cell>
        </row>
        <row r="11">
          <cell r="L11" t="str">
            <v>A-03-10-01-001=10</v>
          </cell>
          <cell r="M11" t="str">
            <v>Nación</v>
          </cell>
          <cell r="N11" t="str">
            <v>10</v>
          </cell>
          <cell r="O11" t="str">
            <v>CSF</v>
          </cell>
          <cell r="P11" t="str">
            <v>SENTENCIAS</v>
          </cell>
          <cell r="Q11">
            <v>2597000000</v>
          </cell>
          <cell r="R11">
            <v>0</v>
          </cell>
          <cell r="S11">
            <v>0</v>
          </cell>
          <cell r="T11">
            <v>2597000000</v>
          </cell>
          <cell r="U11">
            <v>0</v>
          </cell>
          <cell r="V11">
            <v>0</v>
          </cell>
          <cell r="W11">
            <v>2597000000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L12" t="str">
            <v>A-08-01=10</v>
          </cell>
          <cell r="M12" t="str">
            <v>Nación</v>
          </cell>
          <cell r="N12" t="str">
            <v>10</v>
          </cell>
          <cell r="O12" t="str">
            <v>CSF</v>
          </cell>
          <cell r="P12" t="str">
            <v>IMPUESTOS</v>
          </cell>
          <cell r="Q12">
            <v>84000000</v>
          </cell>
          <cell r="R12">
            <v>0</v>
          </cell>
          <cell r="S12">
            <v>0</v>
          </cell>
          <cell r="T12">
            <v>84000000</v>
          </cell>
          <cell r="U12">
            <v>0</v>
          </cell>
          <cell r="V12">
            <v>84000000</v>
          </cell>
          <cell r="W12">
            <v>0</v>
          </cell>
          <cell r="X12">
            <v>4119918.21</v>
          </cell>
          <cell r="Y12">
            <v>4119918.21</v>
          </cell>
          <cell r="Z12">
            <v>4119918.21</v>
          </cell>
          <cell r="AA12">
            <v>3480755.21</v>
          </cell>
        </row>
        <row r="13">
          <cell r="L13" t="str">
            <v>A-08-04-01=11</v>
          </cell>
          <cell r="M13" t="str">
            <v>Nación</v>
          </cell>
          <cell r="N13" t="str">
            <v>11</v>
          </cell>
          <cell r="O13" t="str">
            <v>SSF</v>
          </cell>
          <cell r="P13" t="str">
            <v>CUOTA DE FISCALIZACIÓN Y AUDITAJE</v>
          </cell>
          <cell r="Q13">
            <v>5740000000</v>
          </cell>
          <cell r="R13">
            <v>0</v>
          </cell>
          <cell r="S13">
            <v>0</v>
          </cell>
          <cell r="T13">
            <v>5740000000</v>
          </cell>
          <cell r="U13">
            <v>0</v>
          </cell>
          <cell r="V13">
            <v>0</v>
          </cell>
          <cell r="W13">
            <v>5740000000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L14" t="str">
            <v>C-4101-1500-5=11</v>
          </cell>
          <cell r="M14" t="str">
            <v>Nación</v>
          </cell>
          <cell r="N14" t="str">
            <v>11</v>
          </cell>
          <cell r="O14" t="str">
            <v>CSF</v>
          </cell>
          <cell r="P14" t="str">
            <v>IMPLEMENTACIÓN DE INTERVENCIÓN INTEGRAL APD CON ENFOQUE DIFERENCIAL ÉTNICO PARA INDIGENAS Y AFROS A NIVEL  NACIONAL</v>
          </cell>
          <cell r="Q14">
            <v>66398074900</v>
          </cell>
          <cell r="R14">
            <v>0</v>
          </cell>
          <cell r="S14">
            <v>0</v>
          </cell>
          <cell r="T14">
            <v>66398074900</v>
          </cell>
          <cell r="U14">
            <v>0</v>
          </cell>
          <cell r="V14">
            <v>61345787771</v>
          </cell>
          <cell r="W14">
            <v>5052287129</v>
          </cell>
          <cell r="X14">
            <v>61150637244</v>
          </cell>
          <cell r="Y14">
            <v>0</v>
          </cell>
          <cell r="Z14">
            <v>0</v>
          </cell>
          <cell r="AA14">
            <v>0</v>
          </cell>
        </row>
        <row r="15">
          <cell r="L15" t="str">
            <v>C-4101-1500-6=11</v>
          </cell>
          <cell r="M15" t="str">
            <v>Nación</v>
          </cell>
          <cell r="N15" t="str">
            <v>11</v>
          </cell>
          <cell r="O15" t="str">
            <v>CSF</v>
          </cell>
          <cell r="P15" t="str">
            <v>IMPLEMENTACIÓN DE UN ESQUEMA ESPECIAL DE ACOMPAÑAMIENTO FAMILIAR DIRIGIDO A LA POBLACIÓN VICTIMA DE DESPLAZAMIENTO FORZADO RETORNADA O REUBICADA EN ZONAS RURALES, A NIVEL  NACIONAL</v>
          </cell>
          <cell r="Q15">
            <v>118101757963</v>
          </cell>
          <cell r="R15">
            <v>0</v>
          </cell>
          <cell r="S15">
            <v>0</v>
          </cell>
          <cell r="T15">
            <v>118101757963</v>
          </cell>
          <cell r="U15">
            <v>0</v>
          </cell>
          <cell r="V15">
            <v>107367094606</v>
          </cell>
          <cell r="W15">
            <v>10734663357</v>
          </cell>
          <cell r="X15">
            <v>107121068144</v>
          </cell>
          <cell r="Y15">
            <v>0</v>
          </cell>
          <cell r="Z15">
            <v>0</v>
          </cell>
          <cell r="AA15">
            <v>0</v>
          </cell>
        </row>
        <row r="16">
          <cell r="L16" t="str">
            <v>C-4103-1500-12=10</v>
          </cell>
          <cell r="M16" t="str">
            <v>Nación</v>
          </cell>
          <cell r="N16" t="str">
            <v>10</v>
          </cell>
          <cell r="O16" t="str">
            <v>CSF</v>
          </cell>
          <cell r="P16" t="str">
            <v>IMPLEMENTACIÓN DE TRANSFERENCIAS MONETARIAS CONDICIONADAS PARA POBLACIÓN VULNERABLE A NIVEL NACIONAL - FIP  NACIONAL</v>
          </cell>
          <cell r="Q16">
            <v>187908006435</v>
          </cell>
          <cell r="R16">
            <v>0</v>
          </cell>
          <cell r="S16">
            <v>0</v>
          </cell>
          <cell r="T16">
            <v>187908006435</v>
          </cell>
          <cell r="U16">
            <v>0</v>
          </cell>
          <cell r="V16">
            <v>175726793747.82999</v>
          </cell>
          <cell r="W16">
            <v>12181212687.17</v>
          </cell>
          <cell r="X16">
            <v>45571317923.129997</v>
          </cell>
          <cell r="Y16">
            <v>0</v>
          </cell>
          <cell r="Z16">
            <v>0</v>
          </cell>
          <cell r="AA16">
            <v>0</v>
          </cell>
        </row>
        <row r="17">
          <cell r="L17" t="str">
            <v>C-4103-1500-12=11</v>
          </cell>
          <cell r="M17" t="str">
            <v>Nación</v>
          </cell>
          <cell r="N17" t="str">
            <v>11</v>
          </cell>
          <cell r="O17" t="str">
            <v>CSF</v>
          </cell>
          <cell r="P17" t="str">
            <v>IMPLEMENTACIÓN DE TRANSFERENCIAS MONETARIAS CONDICIONADAS PARA POBLACIÓN VULNERABLE A NIVEL NACIONAL - FIP  NACIONAL</v>
          </cell>
          <cell r="Q17">
            <v>1691172057916</v>
          </cell>
          <cell r="R17">
            <v>0</v>
          </cell>
          <cell r="S17">
            <v>0</v>
          </cell>
          <cell r="T17">
            <v>1691172057916</v>
          </cell>
          <cell r="U17">
            <v>0</v>
          </cell>
          <cell r="V17">
            <v>1691172057916</v>
          </cell>
          <cell r="W17">
            <v>0</v>
          </cell>
          <cell r="X17">
            <v>570317913623</v>
          </cell>
          <cell r="Y17">
            <v>0</v>
          </cell>
          <cell r="Z17">
            <v>0</v>
          </cell>
          <cell r="AA17">
            <v>0</v>
          </cell>
        </row>
        <row r="18">
          <cell r="L18" t="str">
            <v>C-4103-1500-13=11</v>
          </cell>
          <cell r="M18" t="str">
            <v>Nación</v>
          </cell>
          <cell r="N18" t="str">
            <v>11</v>
          </cell>
          <cell r="O18" t="str">
            <v>CSF</v>
          </cell>
          <cell r="P18" t="str">
            <v>IMPLEMENTACIÓN DE UNIDADES PRODUCTIVAS DE AUTOCONSUMO PARA POBLACIÓN POBRE Y VULNERABLE   NACIONAL</v>
          </cell>
          <cell r="Q18">
            <v>25903028858</v>
          </cell>
          <cell r="R18">
            <v>0</v>
          </cell>
          <cell r="S18">
            <v>0</v>
          </cell>
          <cell r="T18">
            <v>25903028858</v>
          </cell>
          <cell r="U18">
            <v>0</v>
          </cell>
          <cell r="V18">
            <v>15249272903</v>
          </cell>
          <cell r="W18">
            <v>10653755955</v>
          </cell>
          <cell r="X18">
            <v>14926117016</v>
          </cell>
          <cell r="Y18">
            <v>0</v>
          </cell>
          <cell r="Z18">
            <v>0</v>
          </cell>
          <cell r="AA18">
            <v>0</v>
          </cell>
        </row>
        <row r="19">
          <cell r="L19" t="str">
            <v>C-4103-1500-14=10</v>
          </cell>
          <cell r="M19" t="str">
            <v>Nación</v>
          </cell>
          <cell r="N19" t="str">
            <v>10</v>
          </cell>
          <cell r="O19" t="str">
            <v>CSF</v>
          </cell>
          <cell r="P19" t="str">
            <v>FORTALECIMIENTO PARA EL DESARROLLO DE INFRAESTRUCTURA SOCIAL Y HÁBITAT PARA LA INCLUSIÓN SOCIAL A NIVEL NACIONAL - FIP  NACIONAL</v>
          </cell>
          <cell r="Q19">
            <v>50000000000</v>
          </cell>
          <cell r="R19">
            <v>0</v>
          </cell>
          <cell r="S19">
            <v>0</v>
          </cell>
          <cell r="T19">
            <v>50000000000</v>
          </cell>
          <cell r="U19">
            <v>0</v>
          </cell>
          <cell r="V19">
            <v>0</v>
          </cell>
          <cell r="W19">
            <v>50000000000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L20" t="str">
            <v>C-4103-1500-14=11</v>
          </cell>
          <cell r="M20" t="str">
            <v>Nación</v>
          </cell>
          <cell r="N20" t="str">
            <v>11</v>
          </cell>
          <cell r="O20" t="str">
            <v>CSF</v>
          </cell>
          <cell r="P20" t="str">
            <v>FORTALECIMIENTO PARA EL DESARROLLO DE INFRAESTRUCTURA SOCIAL Y HÁBITAT PARA LA INCLUSIÓN SOCIAL A NIVEL NACIONAL - FIP  NACIONAL</v>
          </cell>
          <cell r="Q20">
            <v>1176882227478</v>
          </cell>
          <cell r="R20">
            <v>0</v>
          </cell>
          <cell r="S20">
            <v>0</v>
          </cell>
          <cell r="T20">
            <v>1176882227478</v>
          </cell>
          <cell r="U20">
            <v>0</v>
          </cell>
          <cell r="V20">
            <v>509965057416.96002</v>
          </cell>
          <cell r="W20">
            <v>666917170061.04004</v>
          </cell>
          <cell r="X20">
            <v>494094264261.75</v>
          </cell>
          <cell r="Y20">
            <v>0</v>
          </cell>
          <cell r="Z20">
            <v>0</v>
          </cell>
          <cell r="AA20">
            <v>0</v>
          </cell>
        </row>
        <row r="21">
          <cell r="L21" t="str">
            <v>C-4103-1500-16=11</v>
          </cell>
          <cell r="M21" t="str">
            <v>Nación</v>
          </cell>
          <cell r="N21" t="str">
            <v>11</v>
          </cell>
          <cell r="O21" t="str">
            <v>CSF</v>
          </cell>
          <cell r="P21" t="str">
            <v>FORTALECIMIENTO A ENTIDADES TERRITORIALES EN POLITICA DE SEGURIDAD ALIMENTARIA  NACIONAL</v>
          </cell>
          <cell r="Q21">
            <v>1000000000</v>
          </cell>
          <cell r="R21">
            <v>0</v>
          </cell>
          <cell r="S21">
            <v>0</v>
          </cell>
          <cell r="T21">
            <v>1000000000</v>
          </cell>
          <cell r="U21">
            <v>0</v>
          </cell>
          <cell r="V21">
            <v>0</v>
          </cell>
          <cell r="W21">
            <v>1000000000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L22" t="str">
            <v>C-4103-1500-17=11</v>
          </cell>
          <cell r="M22" t="str">
            <v>Nación</v>
          </cell>
          <cell r="N22" t="str">
            <v>11</v>
          </cell>
          <cell r="O22" t="str">
            <v>CSF</v>
          </cell>
          <cell r="P22" t="str">
            <v>IMPLEMENTACIÓN DE HERRAMIENTAS PARA LA INCLUSIÓN PRODUCTIVA DE LA POBLACIÓN EN SITUACIÓN DE POBREZA EXTREMA, VULNERABILIDAD Y VICTIMAS DEL DESPLAZAMIENTO FORZADO POR LA VIOLENCIA FIP A NIVEL  NACIONAL</v>
          </cell>
          <cell r="Q22">
            <v>83583395677</v>
          </cell>
          <cell r="R22">
            <v>0</v>
          </cell>
          <cell r="S22">
            <v>0</v>
          </cell>
          <cell r="T22">
            <v>83583395677</v>
          </cell>
          <cell r="U22">
            <v>0</v>
          </cell>
          <cell r="V22">
            <v>41415967841</v>
          </cell>
          <cell r="W22">
            <v>42167427836</v>
          </cell>
          <cell r="X22">
            <v>38633062202</v>
          </cell>
          <cell r="Y22">
            <v>416769</v>
          </cell>
          <cell r="Z22">
            <v>416769</v>
          </cell>
          <cell r="AA22">
            <v>0</v>
          </cell>
        </row>
        <row r="23">
          <cell r="L23" t="str">
            <v>C-4103-1500-18=11</v>
          </cell>
          <cell r="M23" t="str">
            <v>Nación</v>
          </cell>
          <cell r="N23" t="str">
            <v>11</v>
          </cell>
          <cell r="O23" t="str">
            <v>CSF</v>
          </cell>
          <cell r="P23" t="str">
            <v>IMPLEMENTACIÓN DE LA ESTRATEGIA DE ACOMPAÑAMIENTO FAMILIAR Y COMUNITARIO PARA LA SUPERACIÓN DE LA POBREZA - FIP A NIVEL   NACIONAL</v>
          </cell>
          <cell r="Q23">
            <v>70125561842</v>
          </cell>
          <cell r="R23">
            <v>0</v>
          </cell>
          <cell r="S23">
            <v>0</v>
          </cell>
          <cell r="T23">
            <v>70125561842</v>
          </cell>
          <cell r="U23">
            <v>0</v>
          </cell>
          <cell r="V23">
            <v>3625066839.9200001</v>
          </cell>
          <cell r="W23">
            <v>66500495002.080002</v>
          </cell>
          <cell r="X23">
            <v>2665516270.9200001</v>
          </cell>
          <cell r="Y23">
            <v>0</v>
          </cell>
          <cell r="Z23">
            <v>0</v>
          </cell>
          <cell r="AA23">
            <v>0</v>
          </cell>
        </row>
        <row r="24">
          <cell r="L24" t="str">
            <v>C-4103-1500-19=11</v>
          </cell>
          <cell r="M24" t="str">
            <v>Nación</v>
          </cell>
          <cell r="N24" t="str">
            <v>11</v>
          </cell>
          <cell r="O24" t="str">
            <v>CSF</v>
          </cell>
          <cell r="P24" t="str">
            <v>FORTALECIMIENTO DE LA GESTIÓN DE OFERTA PARA LA SUPERACIÓN DE LA POBREZA- FIP A NIVEL  NACIONAL</v>
          </cell>
          <cell r="Q24">
            <v>11281479935</v>
          </cell>
          <cell r="R24">
            <v>0</v>
          </cell>
          <cell r="S24">
            <v>0</v>
          </cell>
          <cell r="T24">
            <v>11281479935</v>
          </cell>
          <cell r="U24">
            <v>0</v>
          </cell>
          <cell r="V24">
            <v>4477125948</v>
          </cell>
          <cell r="W24">
            <v>6804353987</v>
          </cell>
          <cell r="X24">
            <v>3032781405</v>
          </cell>
          <cell r="Y24">
            <v>0</v>
          </cell>
          <cell r="Z24">
            <v>0</v>
          </cell>
          <cell r="AA24">
            <v>0</v>
          </cell>
        </row>
        <row r="25">
          <cell r="L25" t="str">
            <v>C-4199-1500-2=11</v>
          </cell>
          <cell r="M25" t="str">
            <v>Nación</v>
          </cell>
          <cell r="N25" t="str">
            <v>11</v>
          </cell>
          <cell r="O25" t="str">
            <v>CSF</v>
          </cell>
          <cell r="P25" t="str">
            <v>IMPLEMENTACIÓN Y AMPLIACIÓN DE LAS TECNOLOGÍAS DE INFORMACIÓN Y COMUNICACIONES EN DPS A NIVEL  NACIONAL</v>
          </cell>
          <cell r="Q25">
            <v>3226548466</v>
          </cell>
          <cell r="R25">
            <v>0</v>
          </cell>
          <cell r="S25">
            <v>0</v>
          </cell>
          <cell r="T25">
            <v>3226548466</v>
          </cell>
          <cell r="U25">
            <v>0</v>
          </cell>
          <cell r="V25">
            <v>0</v>
          </cell>
          <cell r="W25">
            <v>3226548466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L26" t="str">
            <v>=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>
            <v>3648573139470</v>
          </cell>
          <cell r="R26">
            <v>0</v>
          </cell>
          <cell r="S26">
            <v>0</v>
          </cell>
          <cell r="T26">
            <v>3648573139470</v>
          </cell>
          <cell r="U26">
            <v>11791000000</v>
          </cell>
          <cell r="V26">
            <v>2742232034394.6802</v>
          </cell>
          <cell r="W26">
            <v>894550105075.31995</v>
          </cell>
          <cell r="X26">
            <v>1452247549722.8601</v>
          </cell>
          <cell r="Y26">
            <v>7993299762.0900002</v>
          </cell>
          <cell r="Z26">
            <v>7988168026.0900002</v>
          </cell>
          <cell r="AA26">
            <v>7979047725.0900002</v>
          </cell>
        </row>
        <row r="27">
          <cell r="L27" t="str">
            <v>A-01-01-01-001-001=10</v>
          </cell>
          <cell r="M27" t="str">
            <v>Nación</v>
          </cell>
          <cell r="N27" t="str">
            <v>10</v>
          </cell>
          <cell r="O27" t="str">
            <v>CSF</v>
          </cell>
          <cell r="P27" t="str">
            <v>SUELDO BÁSICO</v>
          </cell>
          <cell r="Q27">
            <v>54858000000</v>
          </cell>
          <cell r="R27">
            <v>0</v>
          </cell>
          <cell r="S27">
            <v>0</v>
          </cell>
          <cell r="T27">
            <v>54858000000</v>
          </cell>
          <cell r="U27">
            <v>0</v>
          </cell>
          <cell r="V27">
            <v>54858000000</v>
          </cell>
          <cell r="W27">
            <v>0</v>
          </cell>
          <cell r="X27">
            <v>48931483000</v>
          </cell>
          <cell r="Y27">
            <v>4066231714</v>
          </cell>
          <cell r="Z27">
            <v>4066231714</v>
          </cell>
          <cell r="AA27">
            <v>4066231714</v>
          </cell>
        </row>
        <row r="28">
          <cell r="L28" t="str">
            <v>A-01-01-01-001-002=10</v>
          </cell>
          <cell r="M28" t="str">
            <v>Nación</v>
          </cell>
          <cell r="N28" t="str">
            <v>10</v>
          </cell>
          <cell r="O28" t="str">
            <v>CSF</v>
          </cell>
          <cell r="P28" t="str">
            <v>GASTOS DE REPRESENTACIÓN</v>
          </cell>
          <cell r="Q28">
            <v>263000000</v>
          </cell>
          <cell r="R28">
            <v>0</v>
          </cell>
          <cell r="S28">
            <v>0</v>
          </cell>
          <cell r="T28">
            <v>263000000</v>
          </cell>
          <cell r="U28">
            <v>0</v>
          </cell>
          <cell r="V28">
            <v>263000000</v>
          </cell>
          <cell r="W28">
            <v>0</v>
          </cell>
          <cell r="X28">
            <v>263000000</v>
          </cell>
          <cell r="Y28">
            <v>21862404</v>
          </cell>
          <cell r="Z28">
            <v>21862404</v>
          </cell>
          <cell r="AA28">
            <v>21862404</v>
          </cell>
        </row>
        <row r="29">
          <cell r="L29" t="str">
            <v>A-01-01-01-001-003=10</v>
          </cell>
          <cell r="M29" t="str">
            <v>Nación</v>
          </cell>
          <cell r="N29" t="str">
            <v>10</v>
          </cell>
          <cell r="O29" t="str">
            <v>CSF</v>
          </cell>
          <cell r="P29" t="str">
            <v>PRIMA TÉCNICA SALARIAL</v>
          </cell>
          <cell r="Q29">
            <v>550000000</v>
          </cell>
          <cell r="R29">
            <v>0</v>
          </cell>
          <cell r="S29">
            <v>0</v>
          </cell>
          <cell r="T29">
            <v>550000000</v>
          </cell>
          <cell r="U29">
            <v>0</v>
          </cell>
          <cell r="V29">
            <v>550000000</v>
          </cell>
          <cell r="W29">
            <v>0</v>
          </cell>
          <cell r="X29">
            <v>494639000</v>
          </cell>
          <cell r="Y29">
            <v>39499895</v>
          </cell>
          <cell r="Z29">
            <v>39499895</v>
          </cell>
          <cell r="AA29">
            <v>39499895</v>
          </cell>
        </row>
        <row r="30">
          <cell r="L30" t="str">
            <v>A-01-01-01-001-004=10</v>
          </cell>
          <cell r="M30" t="str">
            <v>Nación</v>
          </cell>
          <cell r="N30" t="str">
            <v>10</v>
          </cell>
          <cell r="O30" t="str">
            <v>CSF</v>
          </cell>
          <cell r="P30" t="str">
            <v>SUBSIDIO DE ALIMENTACIÓN</v>
          </cell>
          <cell r="Q30">
            <v>100000000</v>
          </cell>
          <cell r="R30">
            <v>0</v>
          </cell>
          <cell r="S30">
            <v>0</v>
          </cell>
          <cell r="T30">
            <v>100000000</v>
          </cell>
          <cell r="U30">
            <v>0</v>
          </cell>
          <cell r="V30">
            <v>100000000</v>
          </cell>
          <cell r="W30">
            <v>0</v>
          </cell>
          <cell r="X30">
            <v>94700000</v>
          </cell>
          <cell r="Y30">
            <v>6826448</v>
          </cell>
          <cell r="Z30">
            <v>6826448</v>
          </cell>
          <cell r="AA30">
            <v>6826448</v>
          </cell>
        </row>
        <row r="31">
          <cell r="L31" t="str">
            <v>A-01-01-01-001-005=10</v>
          </cell>
          <cell r="M31" t="str">
            <v>Nación</v>
          </cell>
          <cell r="N31" t="str">
            <v>10</v>
          </cell>
          <cell r="O31" t="str">
            <v>CSF</v>
          </cell>
          <cell r="P31" t="str">
            <v xml:space="preserve">AUXILIO DE TRANSPORTE </v>
          </cell>
          <cell r="Q31">
            <v>98000000</v>
          </cell>
          <cell r="R31">
            <v>0</v>
          </cell>
          <cell r="S31">
            <v>0</v>
          </cell>
          <cell r="T31">
            <v>98000000</v>
          </cell>
          <cell r="U31">
            <v>0</v>
          </cell>
          <cell r="V31">
            <v>98000000</v>
          </cell>
          <cell r="W31">
            <v>0</v>
          </cell>
          <cell r="X31">
            <v>90000000</v>
          </cell>
          <cell r="Y31">
            <v>11166518</v>
          </cell>
          <cell r="Z31">
            <v>11166518</v>
          </cell>
          <cell r="AA31">
            <v>11166518</v>
          </cell>
        </row>
        <row r="32">
          <cell r="L32" t="str">
            <v>A-01-01-01-001-006=10</v>
          </cell>
          <cell r="M32" t="str">
            <v>Nación</v>
          </cell>
          <cell r="N32" t="str">
            <v>10</v>
          </cell>
          <cell r="O32" t="str">
            <v>CSF</v>
          </cell>
          <cell r="P32" t="str">
            <v>PRIMA DE SERVICIO</v>
          </cell>
          <cell r="Q32">
            <v>2500000000</v>
          </cell>
          <cell r="R32">
            <v>0</v>
          </cell>
          <cell r="S32">
            <v>0</v>
          </cell>
          <cell r="T32">
            <v>2500000000</v>
          </cell>
          <cell r="U32">
            <v>0</v>
          </cell>
          <cell r="V32">
            <v>2500000000</v>
          </cell>
          <cell r="W32">
            <v>0</v>
          </cell>
          <cell r="X32">
            <v>2242820000</v>
          </cell>
          <cell r="Y32">
            <v>3265867</v>
          </cell>
          <cell r="Z32">
            <v>3265867</v>
          </cell>
          <cell r="AA32">
            <v>3265867</v>
          </cell>
        </row>
        <row r="33">
          <cell r="L33" t="str">
            <v>A-01-01-01-001-007=10</v>
          </cell>
          <cell r="M33" t="str">
            <v>Nación</v>
          </cell>
          <cell r="N33" t="str">
            <v>10</v>
          </cell>
          <cell r="O33" t="str">
            <v>CSF</v>
          </cell>
          <cell r="P33" t="str">
            <v>BONIFICACIÓN POR SERVICIOS PRESTADOS</v>
          </cell>
          <cell r="Q33">
            <v>1800000000</v>
          </cell>
          <cell r="R33">
            <v>0</v>
          </cell>
          <cell r="S33">
            <v>0</v>
          </cell>
          <cell r="T33">
            <v>1800000000</v>
          </cell>
          <cell r="U33">
            <v>0</v>
          </cell>
          <cell r="V33">
            <v>1800000000</v>
          </cell>
          <cell r="W33">
            <v>0</v>
          </cell>
          <cell r="X33">
            <v>1622800000</v>
          </cell>
          <cell r="Y33">
            <v>170792407</v>
          </cell>
          <cell r="Z33">
            <v>170792407</v>
          </cell>
          <cell r="AA33">
            <v>170792407</v>
          </cell>
        </row>
        <row r="34">
          <cell r="L34" t="str">
            <v>A-01-01-01-001-008=10</v>
          </cell>
          <cell r="M34" t="str">
            <v>Nación</v>
          </cell>
          <cell r="N34" t="str">
            <v>10</v>
          </cell>
          <cell r="O34" t="str">
            <v>CSF</v>
          </cell>
          <cell r="P34" t="str">
            <v>HORAS EXTRAS, DOMINICALES, FESTIVOS Y RECARGOS</v>
          </cell>
          <cell r="Q34">
            <v>250000000</v>
          </cell>
          <cell r="R34">
            <v>0</v>
          </cell>
          <cell r="S34">
            <v>0</v>
          </cell>
          <cell r="T34">
            <v>250000000</v>
          </cell>
          <cell r="U34">
            <v>0</v>
          </cell>
          <cell r="V34">
            <v>250000000</v>
          </cell>
          <cell r="W34">
            <v>0</v>
          </cell>
          <cell r="X34">
            <v>250000000</v>
          </cell>
          <cell r="Y34">
            <v>0</v>
          </cell>
          <cell r="Z34">
            <v>0</v>
          </cell>
          <cell r="AA34">
            <v>0</v>
          </cell>
        </row>
        <row r="35">
          <cell r="L35" t="str">
            <v>A-01-01-01-001-009=10</v>
          </cell>
          <cell r="M35" t="str">
            <v>Nación</v>
          </cell>
          <cell r="N35" t="str">
            <v>10</v>
          </cell>
          <cell r="O35" t="str">
            <v>CSF</v>
          </cell>
          <cell r="P35" t="str">
            <v>PRIMA DE NAVIDAD</v>
          </cell>
          <cell r="Q35">
            <v>5000000000</v>
          </cell>
          <cell r="R35">
            <v>0</v>
          </cell>
          <cell r="S35">
            <v>0</v>
          </cell>
          <cell r="T35">
            <v>5000000000</v>
          </cell>
          <cell r="U35">
            <v>0</v>
          </cell>
          <cell r="V35">
            <v>5000000000</v>
          </cell>
          <cell r="W35">
            <v>0</v>
          </cell>
          <cell r="X35">
            <v>4441885000</v>
          </cell>
          <cell r="Y35">
            <v>1000852</v>
          </cell>
          <cell r="Z35">
            <v>1000852</v>
          </cell>
          <cell r="AA35">
            <v>1000852</v>
          </cell>
        </row>
        <row r="36">
          <cell r="L36" t="str">
            <v>A-01-01-01-001-010=10</v>
          </cell>
          <cell r="M36" t="str">
            <v>Nación</v>
          </cell>
          <cell r="N36" t="str">
            <v>10</v>
          </cell>
          <cell r="O36" t="str">
            <v>CSF</v>
          </cell>
          <cell r="P36" t="str">
            <v>PRIMA DE VACACIONES</v>
          </cell>
          <cell r="Q36">
            <v>2600000000</v>
          </cell>
          <cell r="R36">
            <v>0</v>
          </cell>
          <cell r="S36">
            <v>0</v>
          </cell>
          <cell r="T36">
            <v>2600000000</v>
          </cell>
          <cell r="U36">
            <v>0</v>
          </cell>
          <cell r="V36">
            <v>2600000000</v>
          </cell>
          <cell r="W36">
            <v>0</v>
          </cell>
          <cell r="X36">
            <v>2600000000</v>
          </cell>
          <cell r="Y36">
            <v>88671572</v>
          </cell>
          <cell r="Z36">
            <v>88671572</v>
          </cell>
          <cell r="AA36">
            <v>88671572</v>
          </cell>
        </row>
        <row r="37">
          <cell r="L37" t="str">
            <v>A-01-01-02-001=10</v>
          </cell>
          <cell r="M37" t="str">
            <v>Nación</v>
          </cell>
          <cell r="N37" t="str">
            <v>10</v>
          </cell>
          <cell r="O37" t="str">
            <v>CSF</v>
          </cell>
          <cell r="P37" t="str">
            <v>PENSIONES</v>
          </cell>
          <cell r="Q37">
            <v>7000000000</v>
          </cell>
          <cell r="R37">
            <v>0</v>
          </cell>
          <cell r="S37">
            <v>0</v>
          </cell>
          <cell r="T37">
            <v>7000000000</v>
          </cell>
          <cell r="U37">
            <v>0</v>
          </cell>
          <cell r="V37">
            <v>7000000000</v>
          </cell>
          <cell r="W37">
            <v>0</v>
          </cell>
          <cell r="X37">
            <v>6261000000</v>
          </cell>
          <cell r="Y37">
            <v>589206000</v>
          </cell>
          <cell r="Z37">
            <v>589206000</v>
          </cell>
          <cell r="AA37">
            <v>589206000</v>
          </cell>
        </row>
        <row r="38">
          <cell r="L38" t="str">
            <v>A-01-01-02-002=10</v>
          </cell>
          <cell r="M38" t="str">
            <v>Nación</v>
          </cell>
          <cell r="N38" t="str">
            <v>10</v>
          </cell>
          <cell r="O38" t="str">
            <v>CSF</v>
          </cell>
          <cell r="P38" t="str">
            <v>SALUD</v>
          </cell>
          <cell r="Q38">
            <v>6000000000</v>
          </cell>
          <cell r="R38">
            <v>0</v>
          </cell>
          <cell r="S38">
            <v>0</v>
          </cell>
          <cell r="T38">
            <v>6000000000</v>
          </cell>
          <cell r="U38">
            <v>0</v>
          </cell>
          <cell r="V38">
            <v>6000000000</v>
          </cell>
          <cell r="W38">
            <v>0</v>
          </cell>
          <cell r="X38">
            <v>5476480000</v>
          </cell>
          <cell r="Y38">
            <v>418197400</v>
          </cell>
          <cell r="Z38">
            <v>418197400</v>
          </cell>
          <cell r="AA38">
            <v>418197400</v>
          </cell>
        </row>
        <row r="39">
          <cell r="L39" t="str">
            <v>A-01-01-02-003=10</v>
          </cell>
          <cell r="M39" t="str">
            <v>Nación</v>
          </cell>
          <cell r="N39" t="str">
            <v>10</v>
          </cell>
          <cell r="O39" t="str">
            <v>CSF</v>
          </cell>
          <cell r="P39" t="str">
            <v xml:space="preserve">AUXILIO DE CESANTÍAS </v>
          </cell>
          <cell r="Q39">
            <v>5555000000</v>
          </cell>
          <cell r="R39">
            <v>0</v>
          </cell>
          <cell r="S39">
            <v>0</v>
          </cell>
          <cell r="T39">
            <v>5555000000</v>
          </cell>
          <cell r="U39">
            <v>0</v>
          </cell>
          <cell r="V39">
            <v>5555000000</v>
          </cell>
          <cell r="W39">
            <v>0</v>
          </cell>
          <cell r="X39">
            <v>4950300000</v>
          </cell>
          <cell r="Y39">
            <v>370882630</v>
          </cell>
          <cell r="Z39">
            <v>370882630</v>
          </cell>
          <cell r="AA39">
            <v>370882630</v>
          </cell>
        </row>
        <row r="40">
          <cell r="L40" t="str">
            <v>A-01-01-02-004=10</v>
          </cell>
          <cell r="M40" t="str">
            <v>Nación</v>
          </cell>
          <cell r="N40" t="str">
            <v>10</v>
          </cell>
          <cell r="O40" t="str">
            <v>CSF</v>
          </cell>
          <cell r="P40" t="str">
            <v>CAJAS DE COMPENSACIÓN FAMILIAR</v>
          </cell>
          <cell r="Q40">
            <v>2500000000</v>
          </cell>
          <cell r="R40">
            <v>0</v>
          </cell>
          <cell r="S40">
            <v>0</v>
          </cell>
          <cell r="T40">
            <v>2500000000</v>
          </cell>
          <cell r="U40">
            <v>0</v>
          </cell>
          <cell r="V40">
            <v>2500000000</v>
          </cell>
          <cell r="W40">
            <v>0</v>
          </cell>
          <cell r="X40">
            <v>2243000000</v>
          </cell>
          <cell r="Y40">
            <v>178062100</v>
          </cell>
          <cell r="Z40">
            <v>178062100</v>
          </cell>
          <cell r="AA40">
            <v>178062100</v>
          </cell>
        </row>
        <row r="41">
          <cell r="L41" t="str">
            <v>A-01-01-02-005=10</v>
          </cell>
          <cell r="M41" t="str">
            <v>Nación</v>
          </cell>
          <cell r="N41" t="str">
            <v>10</v>
          </cell>
          <cell r="O41" t="str">
            <v>CSF</v>
          </cell>
          <cell r="P41" t="str">
            <v>APORTES GENERALES AL SISTEMA DE RIESGOS LABORALES</v>
          </cell>
          <cell r="Q41">
            <v>500000000</v>
          </cell>
          <cell r="R41">
            <v>0</v>
          </cell>
          <cell r="S41">
            <v>0</v>
          </cell>
          <cell r="T41">
            <v>500000000</v>
          </cell>
          <cell r="U41">
            <v>0</v>
          </cell>
          <cell r="V41">
            <v>500000000</v>
          </cell>
          <cell r="W41">
            <v>0</v>
          </cell>
          <cell r="X41">
            <v>467850000</v>
          </cell>
          <cell r="Y41">
            <v>38835400</v>
          </cell>
          <cell r="Z41">
            <v>38835400</v>
          </cell>
          <cell r="AA41">
            <v>38835400</v>
          </cell>
        </row>
        <row r="42">
          <cell r="L42" t="str">
            <v>A-01-01-02-006=10</v>
          </cell>
          <cell r="M42" t="str">
            <v>Nación</v>
          </cell>
          <cell r="N42" t="str">
            <v>10</v>
          </cell>
          <cell r="O42" t="str">
            <v>CSF</v>
          </cell>
          <cell r="P42" t="str">
            <v>APORTES AL ICBF</v>
          </cell>
          <cell r="Q42">
            <v>1890000000</v>
          </cell>
          <cell r="R42">
            <v>0</v>
          </cell>
          <cell r="S42">
            <v>0</v>
          </cell>
          <cell r="T42">
            <v>1890000000</v>
          </cell>
          <cell r="U42">
            <v>0</v>
          </cell>
          <cell r="V42">
            <v>1890000000</v>
          </cell>
          <cell r="W42">
            <v>0</v>
          </cell>
          <cell r="X42">
            <v>1697400000</v>
          </cell>
          <cell r="Y42">
            <v>133558600</v>
          </cell>
          <cell r="Z42">
            <v>133558600</v>
          </cell>
          <cell r="AA42">
            <v>133558600</v>
          </cell>
        </row>
        <row r="43">
          <cell r="L43" t="str">
            <v>A-01-01-02-007=10</v>
          </cell>
          <cell r="M43" t="str">
            <v>Nación</v>
          </cell>
          <cell r="N43" t="str">
            <v>10</v>
          </cell>
          <cell r="O43" t="str">
            <v>CSF</v>
          </cell>
          <cell r="P43" t="str">
            <v>APORTES AL SENA</v>
          </cell>
          <cell r="Q43">
            <v>320000000</v>
          </cell>
          <cell r="R43">
            <v>0</v>
          </cell>
          <cell r="S43">
            <v>0</v>
          </cell>
          <cell r="T43">
            <v>320000000</v>
          </cell>
          <cell r="U43">
            <v>0</v>
          </cell>
          <cell r="V43">
            <v>320000000</v>
          </cell>
          <cell r="W43">
            <v>0</v>
          </cell>
          <cell r="X43">
            <v>287880000</v>
          </cell>
          <cell r="Y43">
            <v>22293400</v>
          </cell>
          <cell r="Z43">
            <v>22293400</v>
          </cell>
          <cell r="AA43">
            <v>22293400</v>
          </cell>
        </row>
        <row r="44">
          <cell r="L44" t="str">
            <v>A-01-01-02-008=10</v>
          </cell>
          <cell r="M44" t="str">
            <v>Nación</v>
          </cell>
          <cell r="N44" t="str">
            <v>10</v>
          </cell>
          <cell r="O44" t="str">
            <v>CSF</v>
          </cell>
          <cell r="P44" t="str">
            <v>APORTES A LA ESAP</v>
          </cell>
          <cell r="Q44">
            <v>320000000</v>
          </cell>
          <cell r="R44">
            <v>0</v>
          </cell>
          <cell r="S44">
            <v>0</v>
          </cell>
          <cell r="T44">
            <v>320000000</v>
          </cell>
          <cell r="U44">
            <v>0</v>
          </cell>
          <cell r="V44">
            <v>320000000</v>
          </cell>
          <cell r="W44">
            <v>0</v>
          </cell>
          <cell r="X44">
            <v>287880000</v>
          </cell>
          <cell r="Y44">
            <v>22293400</v>
          </cell>
          <cell r="Z44">
            <v>22293400</v>
          </cell>
          <cell r="AA44">
            <v>22293400</v>
          </cell>
        </row>
        <row r="45">
          <cell r="L45" t="str">
            <v>A-01-01-02-009=10</v>
          </cell>
          <cell r="M45" t="str">
            <v>Nación</v>
          </cell>
          <cell r="N45" t="str">
            <v>10</v>
          </cell>
          <cell r="O45" t="str">
            <v>CSF</v>
          </cell>
          <cell r="P45" t="str">
            <v>APORTES A ESCUELAS INDUSTRIALES E INSTITUTOS TÉCNICOS</v>
          </cell>
          <cell r="Q45">
            <v>650000000</v>
          </cell>
          <cell r="R45">
            <v>0</v>
          </cell>
          <cell r="S45">
            <v>0</v>
          </cell>
          <cell r="T45">
            <v>650000000</v>
          </cell>
          <cell r="U45">
            <v>0</v>
          </cell>
          <cell r="V45">
            <v>650000000</v>
          </cell>
          <cell r="W45">
            <v>0</v>
          </cell>
          <cell r="X45">
            <v>585758000</v>
          </cell>
          <cell r="Y45">
            <v>44551200</v>
          </cell>
          <cell r="Z45">
            <v>44551200</v>
          </cell>
          <cell r="AA45">
            <v>44551200</v>
          </cell>
        </row>
        <row r="46">
          <cell r="L46" t="str">
            <v>A-01-01-03-001-001=10</v>
          </cell>
          <cell r="M46" t="str">
            <v>Nación</v>
          </cell>
          <cell r="N46" t="str">
            <v>10</v>
          </cell>
          <cell r="O46" t="str">
            <v>CSF</v>
          </cell>
          <cell r="P46" t="str">
            <v>SUELDO DE VACACIONES</v>
          </cell>
          <cell r="Q46">
            <v>2580000000</v>
          </cell>
          <cell r="R46">
            <v>0</v>
          </cell>
          <cell r="S46">
            <v>0</v>
          </cell>
          <cell r="T46">
            <v>2580000000</v>
          </cell>
          <cell r="U46">
            <v>0</v>
          </cell>
          <cell r="V46">
            <v>2580000000</v>
          </cell>
          <cell r="W46">
            <v>0</v>
          </cell>
          <cell r="X46">
            <v>2580000000</v>
          </cell>
          <cell r="Y46">
            <v>95509359</v>
          </cell>
          <cell r="Z46">
            <v>95509359</v>
          </cell>
          <cell r="AA46">
            <v>95509359</v>
          </cell>
        </row>
        <row r="47">
          <cell r="L47" t="str">
            <v>A-01-01-03-001-002=10</v>
          </cell>
          <cell r="M47" t="str">
            <v>Nación</v>
          </cell>
          <cell r="N47" t="str">
            <v>10</v>
          </cell>
          <cell r="O47" t="str">
            <v>CSF</v>
          </cell>
          <cell r="P47" t="str">
            <v>INDEMNIZACIÓN POR VACACIONES</v>
          </cell>
          <cell r="Q47">
            <v>500000000</v>
          </cell>
          <cell r="R47">
            <v>0</v>
          </cell>
          <cell r="S47">
            <v>0</v>
          </cell>
          <cell r="T47">
            <v>500000000</v>
          </cell>
          <cell r="U47">
            <v>0</v>
          </cell>
          <cell r="V47">
            <v>500000000</v>
          </cell>
          <cell r="W47">
            <v>0</v>
          </cell>
          <cell r="X47">
            <v>500000000</v>
          </cell>
          <cell r="Y47">
            <v>21423480</v>
          </cell>
          <cell r="Z47">
            <v>21423480</v>
          </cell>
          <cell r="AA47">
            <v>21423480</v>
          </cell>
        </row>
        <row r="48">
          <cell r="L48" t="str">
            <v>A-01-01-03-001-003=10</v>
          </cell>
          <cell r="M48" t="str">
            <v>Nación</v>
          </cell>
          <cell r="N48" t="str">
            <v>10</v>
          </cell>
          <cell r="O48" t="str">
            <v>CSF</v>
          </cell>
          <cell r="P48" t="str">
            <v>BONIFICACIÓN ESPECIAL DE RECREACIÓN</v>
          </cell>
          <cell r="Q48">
            <v>320000000</v>
          </cell>
          <cell r="R48">
            <v>0</v>
          </cell>
          <cell r="S48">
            <v>0</v>
          </cell>
          <cell r="T48">
            <v>320000000</v>
          </cell>
          <cell r="U48">
            <v>0</v>
          </cell>
          <cell r="V48">
            <v>320000000</v>
          </cell>
          <cell r="W48">
            <v>0</v>
          </cell>
          <cell r="X48">
            <v>320000000</v>
          </cell>
          <cell r="Y48">
            <v>10998148</v>
          </cell>
          <cell r="Z48">
            <v>10998148</v>
          </cell>
          <cell r="AA48">
            <v>10998148</v>
          </cell>
        </row>
        <row r="49">
          <cell r="L49" t="str">
            <v>A-01-01-03-002=10</v>
          </cell>
          <cell r="M49" t="str">
            <v>Nación</v>
          </cell>
          <cell r="N49" t="str">
            <v>10</v>
          </cell>
          <cell r="O49" t="str">
            <v>CSF</v>
          </cell>
          <cell r="P49" t="str">
            <v>PRIMA TÉCNICA NO SALARIAL</v>
          </cell>
          <cell r="Q49">
            <v>2160000000</v>
          </cell>
          <cell r="R49">
            <v>0</v>
          </cell>
          <cell r="S49">
            <v>0</v>
          </cell>
          <cell r="T49">
            <v>2160000000</v>
          </cell>
          <cell r="U49">
            <v>0</v>
          </cell>
          <cell r="V49">
            <v>2160000000</v>
          </cell>
          <cell r="W49">
            <v>0</v>
          </cell>
          <cell r="X49">
            <v>1681079000</v>
          </cell>
          <cell r="Y49">
            <v>164835179</v>
          </cell>
          <cell r="Z49">
            <v>164835179</v>
          </cell>
          <cell r="AA49">
            <v>164835179</v>
          </cell>
        </row>
        <row r="50">
          <cell r="L50" t="str">
            <v>A-01-01-03-005=10</v>
          </cell>
          <cell r="M50" t="str">
            <v>Nación</v>
          </cell>
          <cell r="N50" t="str">
            <v>10</v>
          </cell>
          <cell r="O50" t="str">
            <v>CSF</v>
          </cell>
          <cell r="P50" t="str">
            <v>PRIMA DE RIESGO</v>
          </cell>
          <cell r="Q50">
            <v>24000000</v>
          </cell>
          <cell r="R50">
            <v>0</v>
          </cell>
          <cell r="S50">
            <v>0</v>
          </cell>
          <cell r="T50">
            <v>24000000</v>
          </cell>
          <cell r="U50">
            <v>0</v>
          </cell>
          <cell r="V50">
            <v>24000000</v>
          </cell>
          <cell r="W50">
            <v>0</v>
          </cell>
          <cell r="X50">
            <v>24000000</v>
          </cell>
          <cell r="Y50">
            <v>331479</v>
          </cell>
          <cell r="Z50">
            <v>331479</v>
          </cell>
          <cell r="AA50">
            <v>331479</v>
          </cell>
        </row>
        <row r="51">
          <cell r="L51" t="str">
            <v>A-01-01-03-013=10</v>
          </cell>
          <cell r="M51" t="str">
            <v>Nación</v>
          </cell>
          <cell r="N51" t="str">
            <v>10</v>
          </cell>
          <cell r="O51" t="str">
            <v>CSF</v>
          </cell>
          <cell r="P51" t="str">
            <v>ESTÍMULOS A LOS EMPLEADOS DEL ESTADO</v>
          </cell>
          <cell r="Q51">
            <v>30000000</v>
          </cell>
          <cell r="R51">
            <v>0</v>
          </cell>
          <cell r="S51">
            <v>0</v>
          </cell>
          <cell r="T51">
            <v>30000000</v>
          </cell>
          <cell r="U51">
            <v>0</v>
          </cell>
          <cell r="V51">
            <v>0</v>
          </cell>
          <cell r="W51">
            <v>30000000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L52" t="str">
            <v>A-01-01-03-016=10</v>
          </cell>
          <cell r="M52" t="str">
            <v>Nación</v>
          </cell>
          <cell r="N52" t="str">
            <v>10</v>
          </cell>
          <cell r="O52" t="str">
            <v>CSF</v>
          </cell>
          <cell r="P52" t="str">
            <v>PRIMA DE COORDINACIÓN</v>
          </cell>
          <cell r="Q52">
            <v>770000000</v>
          </cell>
          <cell r="R52">
            <v>0</v>
          </cell>
          <cell r="S52">
            <v>0</v>
          </cell>
          <cell r="T52">
            <v>770000000</v>
          </cell>
          <cell r="U52">
            <v>0</v>
          </cell>
          <cell r="V52">
            <v>770000000</v>
          </cell>
          <cell r="W52">
            <v>0</v>
          </cell>
          <cell r="X52">
            <v>770000000</v>
          </cell>
          <cell r="Y52">
            <v>65757409</v>
          </cell>
          <cell r="Z52">
            <v>65757409</v>
          </cell>
          <cell r="AA52">
            <v>65757409</v>
          </cell>
        </row>
        <row r="53">
          <cell r="L53" t="str">
            <v>A-01-01-03-030=10</v>
          </cell>
          <cell r="M53" t="str">
            <v>Nación</v>
          </cell>
          <cell r="N53" t="str">
            <v>10</v>
          </cell>
          <cell r="O53" t="str">
            <v>CSF</v>
          </cell>
          <cell r="P53" t="str">
            <v>BONIFICACIÓN DE DIRECCIÓN</v>
          </cell>
          <cell r="Q53">
            <v>600000000</v>
          </cell>
          <cell r="R53">
            <v>0</v>
          </cell>
          <cell r="S53">
            <v>0</v>
          </cell>
          <cell r="T53">
            <v>600000000</v>
          </cell>
          <cell r="U53">
            <v>0</v>
          </cell>
          <cell r="V53">
            <v>600000000</v>
          </cell>
          <cell r="W53">
            <v>0</v>
          </cell>
          <cell r="X53">
            <v>600000000</v>
          </cell>
          <cell r="Y53">
            <v>0</v>
          </cell>
          <cell r="Z53">
            <v>0</v>
          </cell>
          <cell r="AA53">
            <v>0</v>
          </cell>
        </row>
        <row r="54">
          <cell r="L54" t="str">
            <v>A-02-02-01-001-005=10</v>
          </cell>
          <cell r="M54" t="str">
            <v>Nación</v>
          </cell>
          <cell r="N54" t="str">
            <v>10</v>
          </cell>
          <cell r="O54" t="str">
            <v>CSF</v>
          </cell>
          <cell r="P54" t="str">
            <v>PIEDRA, ARENA Y ARCILLA</v>
          </cell>
          <cell r="Q54">
            <v>51000000</v>
          </cell>
          <cell r="R54">
            <v>0</v>
          </cell>
          <cell r="S54">
            <v>0</v>
          </cell>
          <cell r="T54">
            <v>51000000</v>
          </cell>
          <cell r="U54">
            <v>0</v>
          </cell>
          <cell r="V54">
            <v>0</v>
          </cell>
          <cell r="W54">
            <v>51000000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L55" t="str">
            <v>A-02-02-01-001-007=10</v>
          </cell>
          <cell r="M55" t="str">
            <v>Nación</v>
          </cell>
          <cell r="N55" t="str">
            <v>10</v>
          </cell>
          <cell r="O55" t="str">
            <v>CSF</v>
          </cell>
          <cell r="P55" t="str">
            <v>ELECTRICIDAD, GAS DE CIUDAD, VAPOR Y AGUA CALIENTE</v>
          </cell>
          <cell r="Q55">
            <v>18000000</v>
          </cell>
          <cell r="R55">
            <v>0</v>
          </cell>
          <cell r="S55">
            <v>0</v>
          </cell>
          <cell r="T55">
            <v>18000000</v>
          </cell>
          <cell r="U55">
            <v>0</v>
          </cell>
          <cell r="V55">
            <v>0</v>
          </cell>
          <cell r="W55">
            <v>18000000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L56" t="str">
            <v>A-02-02-01-002-008=10</v>
          </cell>
          <cell r="M56" t="str">
            <v>Nación</v>
          </cell>
          <cell r="N56" t="str">
            <v>10</v>
          </cell>
          <cell r="O56" t="str">
            <v>CSF</v>
          </cell>
          <cell r="P56" t="str">
            <v>DOTACIÓN (PRENDAS DE VESTIR Y CALZADO)</v>
          </cell>
          <cell r="Q56">
            <v>140000000</v>
          </cell>
          <cell r="R56">
            <v>0</v>
          </cell>
          <cell r="S56">
            <v>0</v>
          </cell>
          <cell r="T56">
            <v>140000000</v>
          </cell>
          <cell r="U56">
            <v>0</v>
          </cell>
          <cell r="V56">
            <v>0</v>
          </cell>
          <cell r="W56">
            <v>140000000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L57" t="str">
            <v>A-02-02-01-003-002=10</v>
          </cell>
          <cell r="M57" t="str">
            <v>Nación</v>
          </cell>
          <cell r="N57" t="str">
            <v>10</v>
          </cell>
          <cell r="O57" t="str">
            <v>CSF</v>
          </cell>
          <cell r="P57" t="str">
            <v>PASTA O PULPA, PAPEL Y PRODUCTOS DE PAPEL; IMPRESOS Y ARTÍCULOS RELACIONADOS</v>
          </cell>
          <cell r="Q57">
            <v>106000000</v>
          </cell>
          <cell r="R57">
            <v>0</v>
          </cell>
          <cell r="S57">
            <v>0</v>
          </cell>
          <cell r="T57">
            <v>106000000</v>
          </cell>
          <cell r="U57">
            <v>0</v>
          </cell>
          <cell r="V57">
            <v>3000000</v>
          </cell>
          <cell r="W57">
            <v>103000000</v>
          </cell>
          <cell r="X57">
            <v>500000</v>
          </cell>
          <cell r="Y57">
            <v>500000</v>
          </cell>
          <cell r="Z57">
            <v>500000</v>
          </cell>
          <cell r="AA57">
            <v>500000</v>
          </cell>
        </row>
        <row r="58">
          <cell r="L58" t="str">
            <v>A-02-02-01-003-003=10</v>
          </cell>
          <cell r="M58" t="str">
            <v>Nación</v>
          </cell>
          <cell r="N58" t="str">
            <v>10</v>
          </cell>
          <cell r="O58" t="str">
            <v>CSF</v>
          </cell>
          <cell r="P58" t="str">
            <v>PRODUCTOS DE HORNOS DE COQUE; PRODUCTOS DE REFINACIÓN DE PETRÓLEO Y COMBUSTIBLE NUCLEAR</v>
          </cell>
          <cell r="Q58">
            <v>107264202</v>
          </cell>
          <cell r="R58">
            <v>0</v>
          </cell>
          <cell r="S58">
            <v>0</v>
          </cell>
          <cell r="T58">
            <v>107264202</v>
          </cell>
          <cell r="U58">
            <v>0</v>
          </cell>
          <cell r="V58">
            <v>98064202</v>
          </cell>
          <cell r="W58">
            <v>9200000</v>
          </cell>
          <cell r="X58">
            <v>98064202</v>
          </cell>
          <cell r="Y58">
            <v>0</v>
          </cell>
          <cell r="Z58">
            <v>0</v>
          </cell>
          <cell r="AA58">
            <v>0</v>
          </cell>
        </row>
        <row r="59">
          <cell r="L59" t="str">
            <v>A-02-02-01-003-005=10</v>
          </cell>
          <cell r="M59" t="str">
            <v>Nación</v>
          </cell>
          <cell r="N59" t="str">
            <v>10</v>
          </cell>
          <cell r="O59" t="str">
            <v>CSF</v>
          </cell>
          <cell r="P59" t="str">
            <v>OTROS PRODUCTOS QUÍMICOS; FIBRAS ARTIFICIALES (O FIBRAS INDUSTRIALES HECHAS POR EL HOMBRE)</v>
          </cell>
          <cell r="Q59">
            <v>6000000</v>
          </cell>
          <cell r="R59">
            <v>0</v>
          </cell>
          <cell r="S59">
            <v>0</v>
          </cell>
          <cell r="T59">
            <v>6000000</v>
          </cell>
          <cell r="U59">
            <v>0</v>
          </cell>
          <cell r="V59">
            <v>0</v>
          </cell>
          <cell r="W59">
            <v>6000000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L60" t="str">
            <v>A-02-02-01-003-006=10</v>
          </cell>
          <cell r="M60" t="str">
            <v>Nación</v>
          </cell>
          <cell r="N60" t="str">
            <v>10</v>
          </cell>
          <cell r="O60" t="str">
            <v>CSF</v>
          </cell>
          <cell r="P60" t="str">
            <v>PRODUCTOS DE CAUCHO Y PLÁSTICO</v>
          </cell>
          <cell r="Q60">
            <v>18000000</v>
          </cell>
          <cell r="R60">
            <v>0</v>
          </cell>
          <cell r="S60">
            <v>0</v>
          </cell>
          <cell r="T60">
            <v>18000000</v>
          </cell>
          <cell r="U60">
            <v>0</v>
          </cell>
          <cell r="V60">
            <v>0</v>
          </cell>
          <cell r="W60">
            <v>18000000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L61" t="str">
            <v>A-02-02-01-003-007=10</v>
          </cell>
          <cell r="M61" t="str">
            <v>Nación</v>
          </cell>
          <cell r="N61" t="str">
            <v>10</v>
          </cell>
          <cell r="O61" t="str">
            <v>CSF</v>
          </cell>
          <cell r="P61" t="str">
            <v>VIDRIO Y PRODUCTOS DE VIDRIO Y OTROS PRODUCTOS NO METÁLICOS N.C.P.</v>
          </cell>
          <cell r="Q61">
            <v>8000000</v>
          </cell>
          <cell r="R61">
            <v>0</v>
          </cell>
          <cell r="S61">
            <v>0</v>
          </cell>
          <cell r="T61">
            <v>8000000</v>
          </cell>
          <cell r="U61">
            <v>0</v>
          </cell>
          <cell r="V61">
            <v>0</v>
          </cell>
          <cell r="W61">
            <v>8000000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L62" t="str">
            <v>A-02-02-01-003-008=10</v>
          </cell>
          <cell r="M62" t="str">
            <v>Nación</v>
          </cell>
          <cell r="N62" t="str">
            <v>10</v>
          </cell>
          <cell r="O62" t="str">
            <v>CSF</v>
          </cell>
          <cell r="P62" t="str">
            <v>OTROS BIENES TRANSPORTABLES N.C.P.</v>
          </cell>
          <cell r="Q62">
            <v>110000000</v>
          </cell>
          <cell r="R62">
            <v>0</v>
          </cell>
          <cell r="S62">
            <v>0</v>
          </cell>
          <cell r="T62">
            <v>110000000</v>
          </cell>
          <cell r="U62">
            <v>0</v>
          </cell>
          <cell r="V62">
            <v>3000000</v>
          </cell>
          <cell r="W62">
            <v>107000000</v>
          </cell>
          <cell r="X62">
            <v>500000</v>
          </cell>
          <cell r="Y62">
            <v>500000</v>
          </cell>
          <cell r="Z62">
            <v>500000</v>
          </cell>
          <cell r="AA62">
            <v>500000</v>
          </cell>
        </row>
        <row r="63">
          <cell r="L63" t="str">
            <v>A-02-02-01-004-002=10</v>
          </cell>
          <cell r="M63" t="str">
            <v>Nación</v>
          </cell>
          <cell r="N63" t="str">
            <v>10</v>
          </cell>
          <cell r="O63" t="str">
            <v>CSF</v>
          </cell>
          <cell r="P63" t="str">
            <v>PRODUCTOS METÁLICOS ELABORADOS (EXCEPTO MAQUINARIA Y EQUIPO)</v>
          </cell>
          <cell r="Q63">
            <v>37000000</v>
          </cell>
          <cell r="R63">
            <v>0</v>
          </cell>
          <cell r="S63">
            <v>0</v>
          </cell>
          <cell r="T63">
            <v>37000000</v>
          </cell>
          <cell r="U63">
            <v>0</v>
          </cell>
          <cell r="V63">
            <v>0</v>
          </cell>
          <cell r="W63">
            <v>37000000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L64" t="str">
            <v>A-02-02-01-004-007=10</v>
          </cell>
          <cell r="M64" t="str">
            <v>Nación</v>
          </cell>
          <cell r="N64" t="str">
            <v>10</v>
          </cell>
          <cell r="O64" t="str">
            <v>CSF</v>
          </cell>
          <cell r="P64" t="str">
            <v>EQUIPO Y APARATOS DE RADIO, TELEVISIÓN Y COMUNICACIONES</v>
          </cell>
          <cell r="Q64">
            <v>261000000</v>
          </cell>
          <cell r="R64">
            <v>0</v>
          </cell>
          <cell r="S64">
            <v>0</v>
          </cell>
          <cell r="T64">
            <v>261000000</v>
          </cell>
          <cell r="U64">
            <v>0</v>
          </cell>
          <cell r="V64">
            <v>0</v>
          </cell>
          <cell r="W64">
            <v>261000000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L65" t="str">
            <v>A-02-02-02-006-003=10</v>
          </cell>
          <cell r="M65" t="str">
            <v>Nación</v>
          </cell>
          <cell r="N65" t="str">
            <v>10</v>
          </cell>
          <cell r="O65" t="str">
            <v>CSF</v>
          </cell>
          <cell r="P65" t="str">
            <v>ALOJAMIENTO; SERVICIOS DE SUMINISTROS DE COMIDAS Y BEBIDAS</v>
          </cell>
          <cell r="Q65">
            <v>12000000</v>
          </cell>
          <cell r="R65">
            <v>0</v>
          </cell>
          <cell r="S65">
            <v>0</v>
          </cell>
          <cell r="T65">
            <v>12000000</v>
          </cell>
          <cell r="U65">
            <v>0</v>
          </cell>
          <cell r="V65">
            <v>12000000</v>
          </cell>
          <cell r="W65">
            <v>0</v>
          </cell>
          <cell r="X65">
            <v>2000000</v>
          </cell>
          <cell r="Y65">
            <v>2000000</v>
          </cell>
          <cell r="Z65">
            <v>2000000</v>
          </cell>
          <cell r="AA65">
            <v>2000000</v>
          </cell>
        </row>
        <row r="66">
          <cell r="L66" t="str">
            <v>A-02-02-02-006-004=10</v>
          </cell>
          <cell r="M66" t="str">
            <v>Nación</v>
          </cell>
          <cell r="N66" t="str">
            <v>10</v>
          </cell>
          <cell r="O66" t="str">
            <v>CSF</v>
          </cell>
          <cell r="P66" t="str">
            <v>SERVICIOS DE TRANSPORTE DE PASAJEROS</v>
          </cell>
          <cell r="Q66">
            <v>4851925294</v>
          </cell>
          <cell r="R66">
            <v>0</v>
          </cell>
          <cell r="S66">
            <v>0</v>
          </cell>
          <cell r="T66">
            <v>4851925294</v>
          </cell>
          <cell r="U66">
            <v>0</v>
          </cell>
          <cell r="V66">
            <v>3052005353</v>
          </cell>
          <cell r="W66">
            <v>1799919941</v>
          </cell>
          <cell r="X66">
            <v>1667943417</v>
          </cell>
          <cell r="Y66">
            <v>82000</v>
          </cell>
          <cell r="Z66">
            <v>82000</v>
          </cell>
          <cell r="AA66">
            <v>82000</v>
          </cell>
        </row>
        <row r="67">
          <cell r="L67" t="str">
            <v>A-02-02-02-006-005=10</v>
          </cell>
          <cell r="M67" t="str">
            <v>Nación</v>
          </cell>
          <cell r="N67" t="str">
            <v>10</v>
          </cell>
          <cell r="O67" t="str">
            <v>CSF</v>
          </cell>
          <cell r="P67" t="str">
            <v>SERVICIOS DE TRANSPORTE DE CARGA</v>
          </cell>
          <cell r="Q67">
            <v>100000000</v>
          </cell>
          <cell r="R67">
            <v>0</v>
          </cell>
          <cell r="S67">
            <v>0</v>
          </cell>
          <cell r="T67">
            <v>100000000</v>
          </cell>
          <cell r="U67">
            <v>0</v>
          </cell>
          <cell r="V67">
            <v>0</v>
          </cell>
          <cell r="W67">
            <v>100000000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L68" t="str">
            <v>A-02-02-02-006-006=10</v>
          </cell>
          <cell r="M68" t="str">
            <v>Nación</v>
          </cell>
          <cell r="N68" t="str">
            <v>10</v>
          </cell>
          <cell r="O68" t="str">
            <v>CSF</v>
          </cell>
          <cell r="P68" t="str">
            <v>SERVICIOS DE ALQUILER DE VEHÍCULOS DE TRANSPORTE CON OPERARIO</v>
          </cell>
          <cell r="Q68">
            <v>10000000</v>
          </cell>
          <cell r="R68">
            <v>0</v>
          </cell>
          <cell r="S68">
            <v>0</v>
          </cell>
          <cell r="T68">
            <v>10000000</v>
          </cell>
          <cell r="U68">
            <v>0</v>
          </cell>
          <cell r="V68">
            <v>0</v>
          </cell>
          <cell r="W68">
            <v>10000000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L69" t="str">
            <v>A-02-02-02-006-008=10</v>
          </cell>
          <cell r="M69" t="str">
            <v>Nación</v>
          </cell>
          <cell r="N69" t="str">
            <v>10</v>
          </cell>
          <cell r="O69" t="str">
            <v>CSF</v>
          </cell>
          <cell r="P69" t="str">
            <v>SERVICIOS POSTALES Y DE MENSAJERÍA</v>
          </cell>
          <cell r="Q69">
            <v>2053178180</v>
          </cell>
          <cell r="R69">
            <v>0</v>
          </cell>
          <cell r="S69">
            <v>0</v>
          </cell>
          <cell r="T69">
            <v>2053178180</v>
          </cell>
          <cell r="U69">
            <v>0</v>
          </cell>
          <cell r="V69">
            <v>1853178180</v>
          </cell>
          <cell r="W69">
            <v>200000000</v>
          </cell>
          <cell r="X69">
            <v>1847178180</v>
          </cell>
          <cell r="Y69">
            <v>1000000</v>
          </cell>
          <cell r="Z69">
            <v>1000000</v>
          </cell>
          <cell r="AA69">
            <v>1000000</v>
          </cell>
        </row>
        <row r="70">
          <cell r="L70" t="str">
            <v>A-02-02-02-006-009=10</v>
          </cell>
          <cell r="M70" t="str">
            <v>Nación</v>
          </cell>
          <cell r="N70" t="str">
            <v>10</v>
          </cell>
          <cell r="O70" t="str">
            <v>CSF</v>
          </cell>
          <cell r="P70" t="str">
            <v>SERVICIOS DE DISTRIBUCIÓN DE ELECTRICIDAD, GAS Y AGUA (POR CUENTA PROPIA)</v>
          </cell>
          <cell r="Q70">
            <v>730060000</v>
          </cell>
          <cell r="R70">
            <v>0</v>
          </cell>
          <cell r="S70">
            <v>0</v>
          </cell>
          <cell r="T70">
            <v>730060000</v>
          </cell>
          <cell r="U70">
            <v>0</v>
          </cell>
          <cell r="V70">
            <v>730060000</v>
          </cell>
          <cell r="W70">
            <v>0</v>
          </cell>
          <cell r="X70">
            <v>66018906.170000002</v>
          </cell>
          <cell r="Y70">
            <v>66018906.170000002</v>
          </cell>
          <cell r="Z70">
            <v>66018906.170000002</v>
          </cell>
          <cell r="AA70">
            <v>65819182.039999999</v>
          </cell>
        </row>
        <row r="71">
          <cell r="L71" t="str">
            <v>A-02-02-02-007-001=10</v>
          </cell>
          <cell r="M71" t="str">
            <v>Nación</v>
          </cell>
          <cell r="N71" t="str">
            <v>10</v>
          </cell>
          <cell r="O71" t="str">
            <v>CSF</v>
          </cell>
          <cell r="P71" t="str">
            <v>SERVICIOS FINANCIEROS Y SERVICIOS CONEXOS</v>
          </cell>
          <cell r="Q71">
            <v>25000000</v>
          </cell>
          <cell r="R71">
            <v>0</v>
          </cell>
          <cell r="S71">
            <v>0</v>
          </cell>
          <cell r="T71">
            <v>25000000</v>
          </cell>
          <cell r="U71">
            <v>0</v>
          </cell>
          <cell r="V71">
            <v>8540850</v>
          </cell>
          <cell r="W71">
            <v>16459150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L72" t="str">
            <v>A-02-02-02-007-002=10</v>
          </cell>
          <cell r="M72" t="str">
            <v>Nación</v>
          </cell>
          <cell r="N72" t="str">
            <v>10</v>
          </cell>
          <cell r="O72" t="str">
            <v>CSF</v>
          </cell>
          <cell r="P72" t="str">
            <v>SERVICIOS INMOBILIARIOS</v>
          </cell>
          <cell r="Q72">
            <v>12745333207</v>
          </cell>
          <cell r="R72">
            <v>0</v>
          </cell>
          <cell r="S72">
            <v>0</v>
          </cell>
          <cell r="T72">
            <v>12745333207</v>
          </cell>
          <cell r="U72">
            <v>0</v>
          </cell>
          <cell r="V72">
            <v>10949629567</v>
          </cell>
          <cell r="W72">
            <v>1795703640</v>
          </cell>
          <cell r="X72">
            <v>10905139266</v>
          </cell>
          <cell r="Y72">
            <v>1135821532</v>
          </cell>
          <cell r="Z72">
            <v>1130689796</v>
          </cell>
          <cell r="AA72">
            <v>1123168397</v>
          </cell>
        </row>
        <row r="73">
          <cell r="L73" t="str">
            <v>A-02-02-02-008-002=10</v>
          </cell>
          <cell r="M73" t="str">
            <v>Nación</v>
          </cell>
          <cell r="N73" t="str">
            <v>10</v>
          </cell>
          <cell r="O73" t="str">
            <v>CSF</v>
          </cell>
          <cell r="P73" t="str">
            <v>SERVICIOS JURÍDICOS Y CONTABLES</v>
          </cell>
          <cell r="Q73">
            <v>172000000</v>
          </cell>
          <cell r="R73">
            <v>0</v>
          </cell>
          <cell r="S73">
            <v>0</v>
          </cell>
          <cell r="T73">
            <v>172000000</v>
          </cell>
          <cell r="U73">
            <v>0</v>
          </cell>
          <cell r="V73">
            <v>45970821</v>
          </cell>
          <cell r="W73">
            <v>126029179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L74" t="str">
            <v>A-02-02-02-008-003=10</v>
          </cell>
          <cell r="M74" t="str">
            <v>Nación</v>
          </cell>
          <cell r="N74" t="str">
            <v>10</v>
          </cell>
          <cell r="O74" t="str">
            <v>CSF</v>
          </cell>
          <cell r="P74" t="str">
            <v>OTROS SERVICIOS PROFESIONALES, CIENTÍFICOS Y TÉCNICOS</v>
          </cell>
          <cell r="Q74">
            <v>9548931993</v>
          </cell>
          <cell r="R74">
            <v>0</v>
          </cell>
          <cell r="S74">
            <v>0</v>
          </cell>
          <cell r="T74">
            <v>9548931993</v>
          </cell>
          <cell r="U74">
            <v>0</v>
          </cell>
          <cell r="V74">
            <v>7775114453</v>
          </cell>
          <cell r="W74">
            <v>1773817540</v>
          </cell>
          <cell r="X74">
            <v>5975322385</v>
          </cell>
          <cell r="Y74">
            <v>0</v>
          </cell>
          <cell r="Z74">
            <v>0</v>
          </cell>
          <cell r="AA74">
            <v>0</v>
          </cell>
        </row>
        <row r="75">
          <cell r="L75" t="str">
            <v>A-02-02-02-008-004=10</v>
          </cell>
          <cell r="M75" t="str">
            <v>Nación</v>
          </cell>
          <cell r="N75" t="str">
            <v>10</v>
          </cell>
          <cell r="O75" t="str">
            <v>CSF</v>
          </cell>
          <cell r="P75" t="str">
            <v>SERVICIOS DE TELECOMUNICACIONES, TRANSMISIÓN Y SUMINISTRO DE INFORMACIÓN</v>
          </cell>
          <cell r="Q75">
            <v>2298000000</v>
          </cell>
          <cell r="R75">
            <v>0</v>
          </cell>
          <cell r="S75">
            <v>0</v>
          </cell>
          <cell r="T75">
            <v>2298000000</v>
          </cell>
          <cell r="U75">
            <v>0</v>
          </cell>
          <cell r="V75">
            <v>2008295276.6300001</v>
          </cell>
          <cell r="W75">
            <v>289704723.37</v>
          </cell>
          <cell r="X75">
            <v>377082264.63</v>
          </cell>
          <cell r="Y75">
            <v>133016564</v>
          </cell>
          <cell r="Z75">
            <v>133016564</v>
          </cell>
          <cell r="AA75">
            <v>132897564</v>
          </cell>
        </row>
        <row r="76">
          <cell r="L76" t="str">
            <v>A-02-02-02-008-005=10</v>
          </cell>
          <cell r="M76" t="str">
            <v>Nación</v>
          </cell>
          <cell r="N76" t="str">
            <v>10</v>
          </cell>
          <cell r="O76" t="str">
            <v>CSF</v>
          </cell>
          <cell r="P76" t="str">
            <v>SERVICIOS DE SOPORTE</v>
          </cell>
          <cell r="Q76">
            <v>3859335661</v>
          </cell>
          <cell r="R76">
            <v>0</v>
          </cell>
          <cell r="S76">
            <v>0</v>
          </cell>
          <cell r="T76">
            <v>3859335661</v>
          </cell>
          <cell r="U76">
            <v>0</v>
          </cell>
          <cell r="V76">
            <v>2847168239.3400002</v>
          </cell>
          <cell r="W76">
            <v>1012167421.66</v>
          </cell>
          <cell r="X76">
            <v>2594343072.3400002</v>
          </cell>
          <cell r="Y76">
            <v>0</v>
          </cell>
          <cell r="Z76">
            <v>0</v>
          </cell>
          <cell r="AA76">
            <v>0</v>
          </cell>
        </row>
        <row r="77">
          <cell r="L77" t="str">
            <v>A-02-02-02-008-007=10</v>
          </cell>
          <cell r="M77" t="str">
            <v>Nación</v>
          </cell>
          <cell r="N77" t="str">
            <v>10</v>
          </cell>
          <cell r="O77" t="str">
            <v>CSF</v>
          </cell>
          <cell r="P77" t="str">
            <v>SERVICIOS DE MANTENIMIENTO, REPARACIÓN E INSTALACIÓN (EXCEPTO SERVICIOS DE CONSTRUCCIÓN)</v>
          </cell>
          <cell r="Q77">
            <v>1363025393</v>
          </cell>
          <cell r="R77">
            <v>0</v>
          </cell>
          <cell r="S77">
            <v>0</v>
          </cell>
          <cell r="T77">
            <v>1363025393</v>
          </cell>
          <cell r="U77">
            <v>0</v>
          </cell>
          <cell r="V77">
            <v>562025393</v>
          </cell>
          <cell r="W77">
            <v>801000000</v>
          </cell>
          <cell r="X77">
            <v>561025393</v>
          </cell>
          <cell r="Y77">
            <v>500000</v>
          </cell>
          <cell r="Z77">
            <v>500000</v>
          </cell>
          <cell r="AA77">
            <v>500000</v>
          </cell>
        </row>
        <row r="78">
          <cell r="L78" t="str">
            <v>A-02-02-02-008-009=10</v>
          </cell>
          <cell r="M78" t="str">
            <v>Nación</v>
          </cell>
          <cell r="N78" t="str">
            <v>10</v>
          </cell>
          <cell r="O78" t="str">
            <v>CSF</v>
          </cell>
          <cell r="P78" t="str">
            <v>OTROS SERVICIOS DE FABRICACIÓN; SERVICIOS DE EDICIÓN, IMPRESIÓN Y REPRODUCCIÓN; SERVICIOS DE RECUPERACIÓN DE MATERIALES</v>
          </cell>
          <cell r="Q78">
            <v>77000000</v>
          </cell>
          <cell r="R78">
            <v>0</v>
          </cell>
          <cell r="S78">
            <v>0</v>
          </cell>
          <cell r="T78">
            <v>77000000</v>
          </cell>
          <cell r="U78">
            <v>0</v>
          </cell>
          <cell r="V78">
            <v>2000000</v>
          </cell>
          <cell r="W78">
            <v>75000000</v>
          </cell>
          <cell r="X78">
            <v>500000</v>
          </cell>
          <cell r="Y78">
            <v>500000</v>
          </cell>
          <cell r="Z78">
            <v>500000</v>
          </cell>
          <cell r="AA78">
            <v>500000</v>
          </cell>
        </row>
        <row r="79">
          <cell r="L79" t="str">
            <v>A-02-02-02-009-002=10</v>
          </cell>
          <cell r="M79" t="str">
            <v>Nación</v>
          </cell>
          <cell r="N79" t="str">
            <v>10</v>
          </cell>
          <cell r="O79" t="str">
            <v>CSF</v>
          </cell>
          <cell r="P79" t="str">
            <v>SERVICIOS DE EDUCACIÓN</v>
          </cell>
          <cell r="Q79">
            <v>730000000</v>
          </cell>
          <cell r="R79">
            <v>0</v>
          </cell>
          <cell r="S79">
            <v>0</v>
          </cell>
          <cell r="T79">
            <v>730000000</v>
          </cell>
          <cell r="U79">
            <v>0</v>
          </cell>
          <cell r="V79">
            <v>0</v>
          </cell>
          <cell r="W79">
            <v>730000000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L80" t="str">
            <v>A-02-02-02-009-003=10</v>
          </cell>
          <cell r="M80" t="str">
            <v>Nación</v>
          </cell>
          <cell r="N80" t="str">
            <v>10</v>
          </cell>
          <cell r="O80" t="str">
            <v>CSF</v>
          </cell>
          <cell r="P80" t="str">
            <v>SERVICIOS PARA EL CUIDADO DE LA SALUD HUMANA Y SERVICIOS SOCIALES</v>
          </cell>
          <cell r="Q80">
            <v>365636000</v>
          </cell>
          <cell r="R80">
            <v>0</v>
          </cell>
          <cell r="S80">
            <v>0</v>
          </cell>
          <cell r="T80">
            <v>365636000</v>
          </cell>
          <cell r="U80">
            <v>0</v>
          </cell>
          <cell r="V80">
            <v>85636000</v>
          </cell>
          <cell r="W80">
            <v>280000000</v>
          </cell>
          <cell r="X80">
            <v>55636000</v>
          </cell>
          <cell r="Y80">
            <v>0</v>
          </cell>
          <cell r="Z80">
            <v>0</v>
          </cell>
          <cell r="AA80">
            <v>0</v>
          </cell>
        </row>
        <row r="81">
          <cell r="L81" t="str">
            <v>A-02-02-02-009-004=10</v>
          </cell>
          <cell r="M81" t="str">
            <v>Nación</v>
          </cell>
          <cell r="N81" t="str">
            <v>10</v>
          </cell>
          <cell r="O81" t="str">
            <v>CSF</v>
          </cell>
          <cell r="P81" t="str">
            <v>SERVICIOS DE ALCANTARILLADO, RECOLECCIÓN, TRATAMIENTO Y DISPOSICIÓN DE DESECHOS Y OTROS SERVICIOS DE SANEAMIENTO AMBIENTAL</v>
          </cell>
          <cell r="Q81">
            <v>55000000</v>
          </cell>
          <cell r="R81">
            <v>0</v>
          </cell>
          <cell r="S81">
            <v>0</v>
          </cell>
          <cell r="T81">
            <v>55000000</v>
          </cell>
          <cell r="U81">
            <v>0</v>
          </cell>
          <cell r="V81">
            <v>55000000</v>
          </cell>
          <cell r="W81">
            <v>0</v>
          </cell>
          <cell r="X81">
            <v>2448803.71</v>
          </cell>
          <cell r="Y81">
            <v>2448803.71</v>
          </cell>
          <cell r="Z81">
            <v>2448803.71</v>
          </cell>
          <cell r="AA81">
            <v>2224557.84</v>
          </cell>
        </row>
        <row r="82">
          <cell r="L82" t="str">
            <v>A-02-02-02-009-006=10</v>
          </cell>
          <cell r="M82" t="str">
            <v>Nación</v>
          </cell>
          <cell r="N82" t="str">
            <v>10</v>
          </cell>
          <cell r="O82" t="str">
            <v>CSF</v>
          </cell>
          <cell r="P82" t="str">
            <v>SERVICIOS DE ESPARCIMIENTO, CULTURALES Y DEPORTIVOS</v>
          </cell>
          <cell r="Q82">
            <v>1160000000</v>
          </cell>
          <cell r="R82">
            <v>0</v>
          </cell>
          <cell r="S82">
            <v>0</v>
          </cell>
          <cell r="T82">
            <v>1160000000</v>
          </cell>
          <cell r="U82">
            <v>0</v>
          </cell>
          <cell r="V82">
            <v>82811000</v>
          </cell>
          <cell r="W82">
            <v>1077189000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L83" t="str">
            <v>A-02-02-02-009-007=10</v>
          </cell>
          <cell r="M83" t="str">
            <v>Nación</v>
          </cell>
          <cell r="N83" t="str">
            <v>10</v>
          </cell>
          <cell r="O83" t="str">
            <v>CSF</v>
          </cell>
          <cell r="P83" t="str">
            <v>OTROS SERVICIOS</v>
          </cell>
          <cell r="Q83">
            <v>100000000</v>
          </cell>
          <cell r="R83">
            <v>0</v>
          </cell>
          <cell r="S83">
            <v>0</v>
          </cell>
          <cell r="T83">
            <v>100000000</v>
          </cell>
          <cell r="U83">
            <v>0</v>
          </cell>
          <cell r="V83">
            <v>0</v>
          </cell>
          <cell r="W83">
            <v>100000000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L84" t="str">
            <v>A-02-02-02-010=10</v>
          </cell>
          <cell r="M84" t="str">
            <v>Nación</v>
          </cell>
          <cell r="N84" t="str">
            <v>10</v>
          </cell>
          <cell r="O84" t="str">
            <v>CSF</v>
          </cell>
          <cell r="P84" t="str">
            <v>VIÁTICOS DE LOS FUNCIONARIOS EN COMISIÓN</v>
          </cell>
          <cell r="Q84">
            <v>1170310070</v>
          </cell>
          <cell r="R84">
            <v>0</v>
          </cell>
          <cell r="S84">
            <v>0</v>
          </cell>
          <cell r="T84">
            <v>1170310070</v>
          </cell>
          <cell r="U84">
            <v>0</v>
          </cell>
          <cell r="V84">
            <v>1170310070</v>
          </cell>
          <cell r="W84">
            <v>0</v>
          </cell>
          <cell r="X84">
            <v>61095825</v>
          </cell>
          <cell r="Y84">
            <v>3535641</v>
          </cell>
          <cell r="Z84">
            <v>3535641</v>
          </cell>
          <cell r="AA84">
            <v>3535641</v>
          </cell>
        </row>
        <row r="85">
          <cell r="L85" t="str">
            <v>A-03-04-02-012-001=10</v>
          </cell>
          <cell r="M85" t="str">
            <v>Nación</v>
          </cell>
          <cell r="N85" t="str">
            <v>10</v>
          </cell>
          <cell r="O85" t="str">
            <v>CSF</v>
          </cell>
          <cell r="P85" t="str">
            <v>INCAPACIDADES (NO DE PENSIONES)</v>
          </cell>
          <cell r="Q85">
            <v>402000000</v>
          </cell>
          <cell r="R85">
            <v>0</v>
          </cell>
          <cell r="S85">
            <v>0</v>
          </cell>
          <cell r="T85">
            <v>402000000</v>
          </cell>
          <cell r="U85">
            <v>0</v>
          </cell>
          <cell r="V85">
            <v>402000000</v>
          </cell>
          <cell r="W85">
            <v>0</v>
          </cell>
          <cell r="X85">
            <v>402000000</v>
          </cell>
          <cell r="Y85">
            <v>50191447</v>
          </cell>
          <cell r="Z85">
            <v>50191447</v>
          </cell>
          <cell r="AA85">
            <v>50191447</v>
          </cell>
        </row>
        <row r="86">
          <cell r="L86" t="str">
            <v>A-03-04-02-012-002=10</v>
          </cell>
          <cell r="M86" t="str">
            <v>Nación</v>
          </cell>
          <cell r="N86" t="str">
            <v>10</v>
          </cell>
          <cell r="O86" t="str">
            <v>CSF</v>
          </cell>
          <cell r="P86" t="str">
            <v>LICENCIAS DE MATERNIDAD Y PATERNIDAD (NO DE PENSIONES)</v>
          </cell>
          <cell r="Q86">
            <v>350000000</v>
          </cell>
          <cell r="R86">
            <v>0</v>
          </cell>
          <cell r="S86">
            <v>0</v>
          </cell>
          <cell r="T86">
            <v>350000000</v>
          </cell>
          <cell r="U86">
            <v>0</v>
          </cell>
          <cell r="V86">
            <v>350000000</v>
          </cell>
          <cell r="W86">
            <v>0</v>
          </cell>
          <cell r="X86">
            <v>350000000</v>
          </cell>
          <cell r="Y86">
            <v>6595320</v>
          </cell>
          <cell r="Z86">
            <v>6595320</v>
          </cell>
          <cell r="AA86">
            <v>6595320</v>
          </cell>
        </row>
        <row r="87">
          <cell r="L87" t="str">
            <v>A-08-01-02-001=10</v>
          </cell>
          <cell r="M87" t="str">
            <v>Nación</v>
          </cell>
          <cell r="N87" t="str">
            <v>10</v>
          </cell>
          <cell r="O87" t="str">
            <v>CSF</v>
          </cell>
          <cell r="P87" t="str">
            <v>IMPUESTO PREDIAL Y SOBRETASA AMBIENTAL</v>
          </cell>
          <cell r="Q87">
            <v>51000000</v>
          </cell>
          <cell r="R87">
            <v>0</v>
          </cell>
          <cell r="S87">
            <v>0</v>
          </cell>
          <cell r="T87">
            <v>51000000</v>
          </cell>
          <cell r="U87">
            <v>0</v>
          </cell>
          <cell r="V87">
            <v>51000000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L88" t="str">
            <v>A-08-01-02-004=10</v>
          </cell>
          <cell r="M88" t="str">
            <v>Nación</v>
          </cell>
          <cell r="N88" t="str">
            <v>10</v>
          </cell>
          <cell r="O88" t="str">
            <v>CSF</v>
          </cell>
          <cell r="P88" t="str">
            <v>IMPUESTO DE ALUMBRADO PÚBLICO</v>
          </cell>
          <cell r="Q88">
            <v>26000000</v>
          </cell>
          <cell r="R88">
            <v>0</v>
          </cell>
          <cell r="S88">
            <v>0</v>
          </cell>
          <cell r="T88">
            <v>26000000</v>
          </cell>
          <cell r="U88">
            <v>0</v>
          </cell>
          <cell r="V88">
            <v>26000000</v>
          </cell>
          <cell r="W88">
            <v>0</v>
          </cell>
          <cell r="X88">
            <v>4119918.21</v>
          </cell>
          <cell r="Y88">
            <v>4119918.21</v>
          </cell>
          <cell r="Z88">
            <v>4119918.21</v>
          </cell>
          <cell r="AA88">
            <v>3480755.21</v>
          </cell>
        </row>
        <row r="89">
          <cell r="L89" t="str">
            <v>A-08-01-02-006=10</v>
          </cell>
          <cell r="M89" t="str">
            <v>Nación</v>
          </cell>
          <cell r="N89" t="str">
            <v>10</v>
          </cell>
          <cell r="O89" t="str">
            <v>CSF</v>
          </cell>
          <cell r="P89" t="str">
            <v>IMPUESTO SOBRE VEHÍCULOS AUTOMOTORES</v>
          </cell>
          <cell r="Q89">
            <v>7000000</v>
          </cell>
          <cell r="R89">
            <v>0</v>
          </cell>
          <cell r="S89">
            <v>0</v>
          </cell>
          <cell r="T89">
            <v>7000000</v>
          </cell>
          <cell r="U89">
            <v>0</v>
          </cell>
          <cell r="V89">
            <v>7000000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L90" t="str">
            <v>C-4101-1500-5-0-4101073-02=11</v>
          </cell>
          <cell r="M90" t="str">
            <v>Nación</v>
          </cell>
          <cell r="N90" t="str">
            <v>11</v>
          </cell>
          <cell r="O90" t="str">
            <v>CSF</v>
          </cell>
          <cell r="P90" t="str">
            <v>ADQUISICIÓN DE BIENES Y SERVICIOS - SERVICIO DE APOYO PARA LA GENERACIÓN DE INGRESOS - IMPLEMENTACIÓN DE INTERVENCIÓN INTEGRAL APD CON ENFOQUE DIFERENCIAL ÉTNICO PARA INDIGENAS Y AFROS A NIVEL  NACIONAL</v>
          </cell>
          <cell r="Q90">
            <v>37511369742</v>
          </cell>
          <cell r="R90">
            <v>0</v>
          </cell>
          <cell r="S90">
            <v>0</v>
          </cell>
          <cell r="T90">
            <v>37511369742</v>
          </cell>
          <cell r="U90">
            <v>0</v>
          </cell>
          <cell r="V90">
            <v>34622400000</v>
          </cell>
          <cell r="W90">
            <v>2888969742</v>
          </cell>
          <cell r="X90">
            <v>34622400000</v>
          </cell>
          <cell r="Y90">
            <v>0</v>
          </cell>
          <cell r="Z90">
            <v>0</v>
          </cell>
          <cell r="AA90">
            <v>0</v>
          </cell>
        </row>
        <row r="91">
          <cell r="L91" t="str">
            <v>C-4101-1500-5-0-4101074-02=11</v>
          </cell>
          <cell r="M91" t="str">
            <v>Nación</v>
          </cell>
          <cell r="N91" t="str">
            <v>11</v>
          </cell>
          <cell r="O91" t="str">
            <v>CSF</v>
          </cell>
          <cell r="P91" t="str">
            <v xml:space="preserve">ADQUISICIÓN DE BIENES Y SERVICIOS - SERVICIO DE ACOMPAÑAMIENTO COMUNITARIO A LOS HOGARES EN RIESGO DE DESPLAZAMIENTO, RETORNADOS O REUBICADOS - IMPLEMENTACIÓN DE INTERVENCIÓN INTEGRAL APD CON ENFOQUE DIFERENCIAL ÉTNICO PARA INDIGENAS Y AFROS A NIVEL </v>
          </cell>
          <cell r="Q91">
            <v>8799663116</v>
          </cell>
          <cell r="R91">
            <v>0</v>
          </cell>
          <cell r="S91">
            <v>0</v>
          </cell>
          <cell r="T91">
            <v>8799663116</v>
          </cell>
          <cell r="U91">
            <v>0</v>
          </cell>
          <cell r="V91">
            <v>8799663116</v>
          </cell>
          <cell r="W91">
            <v>0</v>
          </cell>
          <cell r="X91">
            <v>8799663116</v>
          </cell>
          <cell r="Y91">
            <v>0</v>
          </cell>
          <cell r="Z91">
            <v>0</v>
          </cell>
          <cell r="AA91">
            <v>0</v>
          </cell>
        </row>
        <row r="92">
          <cell r="L92" t="str">
            <v>C-4101-1500-5-0-4101077-02=11</v>
          </cell>
          <cell r="M92" t="str">
            <v>Nación</v>
          </cell>
          <cell r="N92" t="str">
            <v>11</v>
          </cell>
          <cell r="O92" t="str">
            <v>CSF</v>
          </cell>
          <cell r="P92" t="str">
            <v>ADQUISICIÓN DE BIENES Y SERVICIOS - SERVICIO DE APOYO PARA LAS UNIDADES PRODUCTIVAS PARA EL AUTOCONSUMO DE HOGARES DESPLAZADOS O EN RIESGO DE DESPLAZAMIENTO, RETORNADOS O REUBICADOS - IMPLEMENTACIÓN DE INTERVENCIÓN INTEGRAL APD CON ENFOQUE DIFERENCIA</v>
          </cell>
          <cell r="Q92">
            <v>4325174580</v>
          </cell>
          <cell r="R92">
            <v>0</v>
          </cell>
          <cell r="S92">
            <v>0</v>
          </cell>
          <cell r="T92">
            <v>4325174580</v>
          </cell>
          <cell r="U92">
            <v>0</v>
          </cell>
          <cell r="V92">
            <v>3106555494</v>
          </cell>
          <cell r="W92">
            <v>1218619086</v>
          </cell>
          <cell r="X92">
            <v>2911404967</v>
          </cell>
          <cell r="Y92">
            <v>0</v>
          </cell>
          <cell r="Z92">
            <v>0</v>
          </cell>
          <cell r="AA92">
            <v>0</v>
          </cell>
        </row>
        <row r="93">
          <cell r="L93" t="str">
            <v>C-4101-1500-5-0-4101078-02=11</v>
          </cell>
          <cell r="M93" t="str">
            <v>Nación</v>
          </cell>
          <cell r="N93" t="str">
            <v>11</v>
          </cell>
          <cell r="O93" t="str">
            <v>CSF</v>
          </cell>
          <cell r="P93" t="str">
            <v>ADQUISICIÓN DE BIENES Y SERVICIOS - SERVICIO DE ASISTENCIA TÉCNICA PARA EL AUTOCONSUMO DE LOS HOGARES DESPLAZADOS O EN RIESGO DE DESPLAZAMIENTO, RETORNADOS O REUBICADOS - IMPLEMENTACIÓN DE INTERVENCIÓN INTEGRAL APD CON ENFOQUE DIFERENCIAL ÉTNICO PARA</v>
          </cell>
          <cell r="Q93">
            <v>7972098301</v>
          </cell>
          <cell r="R93">
            <v>0</v>
          </cell>
          <cell r="S93">
            <v>0</v>
          </cell>
          <cell r="T93">
            <v>7972098301</v>
          </cell>
          <cell r="U93">
            <v>0</v>
          </cell>
          <cell r="V93">
            <v>7027400000</v>
          </cell>
          <cell r="W93">
            <v>944698301</v>
          </cell>
          <cell r="X93">
            <v>7027400000</v>
          </cell>
          <cell r="Y93">
            <v>0</v>
          </cell>
          <cell r="Z93">
            <v>0</v>
          </cell>
          <cell r="AA93">
            <v>0</v>
          </cell>
        </row>
        <row r="94">
          <cell r="L94" t="str">
            <v>C-4101-1500-5-0-4101080-02=11</v>
          </cell>
          <cell r="M94" t="str">
            <v>Nación</v>
          </cell>
          <cell r="N94" t="str">
            <v>11</v>
          </cell>
          <cell r="O94" t="str">
            <v>CSF</v>
          </cell>
          <cell r="P94" t="str">
            <v>ADQUISICIÓN DE BIENES Y SERVICIOS - SERVICIO DE ASISTENCIA TÉCNICA PARA LA GENERACIÓN DE INGRESOS - IMPLEMENTACIÓN DE INTERVENCIÓN INTEGRAL APD CON ENFOQUE DIFERENCIAL ÉTNICO PARA INDIGENAS Y AFROS A NIVEL  NACIONAL</v>
          </cell>
          <cell r="Q94">
            <v>5196200000</v>
          </cell>
          <cell r="R94">
            <v>0</v>
          </cell>
          <cell r="S94">
            <v>0</v>
          </cell>
          <cell r="T94">
            <v>5196200000</v>
          </cell>
          <cell r="U94">
            <v>0</v>
          </cell>
          <cell r="V94">
            <v>5196200000</v>
          </cell>
          <cell r="W94">
            <v>0</v>
          </cell>
          <cell r="X94">
            <v>5196200000</v>
          </cell>
          <cell r="Y94">
            <v>0</v>
          </cell>
          <cell r="Z94">
            <v>0</v>
          </cell>
          <cell r="AA94">
            <v>0</v>
          </cell>
        </row>
        <row r="95">
          <cell r="L95" t="str">
            <v>C-4101-1500-5-0-4101081-02=11</v>
          </cell>
          <cell r="M95" t="str">
            <v>Nación</v>
          </cell>
          <cell r="N95" t="str">
            <v>11</v>
          </cell>
          <cell r="O95" t="str">
            <v>CSF</v>
          </cell>
          <cell r="P95" t="str">
            <v>ADQUISICIÓN DE BIENES Y SERVICIOS - SERVICIO DE APOYO AL FORTALECIMIENTO COMUNITARIO A LOS HOGARES EN RIESGO DE DESPLAZAMIENTO, RETORNADOS O REUBICADOS - IMPLEMENTACIÓN DE INTERVENCIÓN INTEGRAL APD CON ENFOQUE DIFERENCIAL ÉTNICO PARA INDIGENAS Y AFRO</v>
          </cell>
          <cell r="Q95">
            <v>2593569161</v>
          </cell>
          <cell r="R95">
            <v>0</v>
          </cell>
          <cell r="S95">
            <v>0</v>
          </cell>
          <cell r="T95">
            <v>2593569161</v>
          </cell>
          <cell r="U95">
            <v>0</v>
          </cell>
          <cell r="V95">
            <v>2593569161</v>
          </cell>
          <cell r="W95">
            <v>0</v>
          </cell>
          <cell r="X95">
            <v>2593569161</v>
          </cell>
          <cell r="Y95">
            <v>0</v>
          </cell>
          <cell r="Z95">
            <v>0</v>
          </cell>
          <cell r="AA95">
            <v>0</v>
          </cell>
        </row>
        <row r="96">
          <cell r="L96" t="str">
            <v>C-4101-1500-6-0-4101080-02=11</v>
          </cell>
          <cell r="M96" t="str">
            <v>Nación</v>
          </cell>
          <cell r="N96" t="str">
            <v>11</v>
          </cell>
          <cell r="O96" t="str">
            <v>CSF</v>
          </cell>
          <cell r="P96" t="str">
            <v>ADQUISICIÓN DE BIENES Y SERVICIOS - SERVICIO DE ASISTENCIA TÉCNICA PARA LA GENERACIÓN DE INGRESOS - IMPLEMENTACIÓN DE UN ESQUEMA ESPECIAL DE ACOMPAÑAMIENTO FAMILIAR DIRIGIDO A LA POBLACIÓN VICTIMA DE DESPLAZAMIENTO FORZADO RETORNADA O REUBICADA EN ZO</v>
          </cell>
          <cell r="Q96">
            <v>30467075662</v>
          </cell>
          <cell r="R96">
            <v>0</v>
          </cell>
          <cell r="S96">
            <v>0</v>
          </cell>
          <cell r="T96">
            <v>30467075662</v>
          </cell>
          <cell r="U96">
            <v>0</v>
          </cell>
          <cell r="V96">
            <v>23398487248</v>
          </cell>
          <cell r="W96">
            <v>7068588414</v>
          </cell>
          <cell r="X96">
            <v>23398487248</v>
          </cell>
          <cell r="Y96">
            <v>0</v>
          </cell>
          <cell r="Z96">
            <v>0</v>
          </cell>
          <cell r="AA96">
            <v>0</v>
          </cell>
        </row>
        <row r="97">
          <cell r="L97" t="str">
            <v>C-4101-1500-6-0-4101081-02=11</v>
          </cell>
          <cell r="M97" t="str">
            <v>Nación</v>
          </cell>
          <cell r="N97" t="str">
            <v>11</v>
          </cell>
          <cell r="O97" t="str">
            <v>CSF</v>
          </cell>
          <cell r="P97" t="str">
            <v>ADQUISICIÓN DE BIENES Y SERVICIOS - SERVICIO DE APOYO AL FORTALECIMIENTO COMUNITARIO A LOS HOGARES EN RIESGO DE DESPLAZAMIENTO, RETORNADOS O REUBICADOS - IMPLEMENTACIÓN DE UN ESQUEMA ESPECIAL DE ACOMPAÑAMIENTO FAMILIAR DIRIGIDO A LA POBLACIÓN VICTIMA</v>
          </cell>
          <cell r="Q97">
            <v>4435143756</v>
          </cell>
          <cell r="R97">
            <v>0</v>
          </cell>
          <cell r="S97">
            <v>0</v>
          </cell>
          <cell r="T97">
            <v>4435143756</v>
          </cell>
          <cell r="U97">
            <v>0</v>
          </cell>
          <cell r="V97">
            <v>4435143756</v>
          </cell>
          <cell r="W97">
            <v>0</v>
          </cell>
          <cell r="X97">
            <v>4435143756</v>
          </cell>
          <cell r="Y97">
            <v>0</v>
          </cell>
          <cell r="Z97">
            <v>0</v>
          </cell>
          <cell r="AA97">
            <v>0</v>
          </cell>
        </row>
        <row r="98">
          <cell r="L98" t="str">
            <v>C-4101-1500-6-0-4101078-02=11</v>
          </cell>
          <cell r="M98" t="str">
            <v>Nación</v>
          </cell>
          <cell r="N98" t="str">
            <v>11</v>
          </cell>
          <cell r="O98" t="str">
            <v>CSF</v>
          </cell>
          <cell r="P98" t="str">
            <v xml:space="preserve">ADQUISICIÓN DE BIENES Y SERVICIOS - SERVICIO DE ASISTENCIA TÉCNICA PARA EL AUTOCONSUMO DE LOS HOGARES DESPLAZADOS O EN RIESGO DE DESPLAZAMIENTO, RETORNADOS O REUBICADOS - IMPLEMENTACIÓN DE UN ESQUEMA ESPECIAL DE ACOMPAÑAMIENTO FAMILIAR DIRIGIDO A LA </v>
          </cell>
          <cell r="Q98">
            <v>16276997084</v>
          </cell>
          <cell r="R98">
            <v>0</v>
          </cell>
          <cell r="S98">
            <v>0</v>
          </cell>
          <cell r="T98">
            <v>16276997084</v>
          </cell>
          <cell r="U98">
            <v>0</v>
          </cell>
          <cell r="V98">
            <v>15724922141</v>
          </cell>
          <cell r="W98">
            <v>552074943</v>
          </cell>
          <cell r="X98">
            <v>15478895679</v>
          </cell>
          <cell r="Y98">
            <v>0</v>
          </cell>
          <cell r="Z98">
            <v>0</v>
          </cell>
          <cell r="AA98">
            <v>0</v>
          </cell>
        </row>
        <row r="99">
          <cell r="L99" t="str">
            <v>C-4101-1500-6-0-4101077-02=11</v>
          </cell>
          <cell r="M99" t="str">
            <v>Nación</v>
          </cell>
          <cell r="N99" t="str">
            <v>11</v>
          </cell>
          <cell r="O99" t="str">
            <v>CSF</v>
          </cell>
          <cell r="P99" t="str">
            <v>ADQUISICIÓN DE BIENES Y SERVICIOS - SERVICIO DE APOYO PARA LAS UNIDADES PRODUCTIVAS PARA EL AUTOCONSUMO DE HOGARES DESPLAZADOS O EN RIESGO DE DESPLAZAMIENTO, RETORNADOS O REUBICADOS - IMPLEMENTACIÓN DE UN ESQUEMA ESPECIAL DE ACOMPAÑAMIENTO FAMILIAR D</v>
          </cell>
          <cell r="Q99">
            <v>17722088000</v>
          </cell>
          <cell r="R99">
            <v>0</v>
          </cell>
          <cell r="S99">
            <v>0</v>
          </cell>
          <cell r="T99">
            <v>17722088000</v>
          </cell>
          <cell r="U99">
            <v>0</v>
          </cell>
          <cell r="V99">
            <v>17722088000</v>
          </cell>
          <cell r="W99">
            <v>0</v>
          </cell>
          <cell r="X99">
            <v>17722088000</v>
          </cell>
          <cell r="Y99">
            <v>0</v>
          </cell>
          <cell r="Z99">
            <v>0</v>
          </cell>
          <cell r="AA99">
            <v>0</v>
          </cell>
        </row>
        <row r="100">
          <cell r="L100" t="str">
            <v>C-4101-1500-6-0-4101073-02=11</v>
          </cell>
          <cell r="M100" t="str">
            <v>Nación</v>
          </cell>
          <cell r="N100" t="str">
            <v>11</v>
          </cell>
          <cell r="O100" t="str">
            <v>CSF</v>
          </cell>
          <cell r="P100" t="str">
            <v xml:space="preserve">ADQUISICIÓN DE BIENES Y SERVICIOS - SERVICIO DE APOYO PARA LA GENERACIÓN DE INGRESOS - IMPLEMENTACIÓN DE UN ESQUEMA ESPECIAL DE ACOMPAÑAMIENTO FAMILIAR DIRIGIDO A LA POBLACIÓN VICTIMA DE DESPLAZAMIENTO FORZADO RETORNADA O REUBICADA EN ZONAS RURALES, </v>
          </cell>
          <cell r="Q100">
            <v>4947405600</v>
          </cell>
          <cell r="R100">
            <v>0</v>
          </cell>
          <cell r="S100">
            <v>0</v>
          </cell>
          <cell r="T100">
            <v>4947405600</v>
          </cell>
          <cell r="U100">
            <v>0</v>
          </cell>
          <cell r="V100">
            <v>1947405600</v>
          </cell>
          <cell r="W100">
            <v>3000000000</v>
          </cell>
          <cell r="X100">
            <v>1947405600</v>
          </cell>
          <cell r="Y100">
            <v>0</v>
          </cell>
          <cell r="Z100">
            <v>0</v>
          </cell>
          <cell r="AA100">
            <v>0</v>
          </cell>
        </row>
        <row r="101">
          <cell r="L101" t="str">
            <v>C-4101-1500-6-0-4101074-02=11</v>
          </cell>
          <cell r="M101" t="str">
            <v>Nación</v>
          </cell>
          <cell r="N101" t="str">
            <v>11</v>
          </cell>
          <cell r="O101" t="str">
            <v>CSF</v>
          </cell>
          <cell r="P101" t="str">
            <v>ADQUISICIÓN DE BIENES Y SERVICIOS - SERVICIO DE ACOMPAÑAMIENTO COMUNITARIO A LOS HOGARES EN RIESGO DE DESPLAZAMIENTO, RETORNADOS O REUBICADOS - IMPLEMENTACIÓN DE UN ESQUEMA ESPECIAL DE ACOMPAÑAMIENTO FAMILIAR DIRIGIDO A LA POBLACIÓN VICTIMA DE DESPLA</v>
          </cell>
          <cell r="Q101">
            <v>27420887861</v>
          </cell>
          <cell r="R101">
            <v>0</v>
          </cell>
          <cell r="S101">
            <v>0</v>
          </cell>
          <cell r="T101">
            <v>27420887861</v>
          </cell>
          <cell r="U101">
            <v>0</v>
          </cell>
          <cell r="V101">
            <v>27306887861</v>
          </cell>
          <cell r="W101">
            <v>114000000</v>
          </cell>
          <cell r="X101">
            <v>27306887861</v>
          </cell>
          <cell r="Y101">
            <v>0</v>
          </cell>
          <cell r="Z101">
            <v>0</v>
          </cell>
          <cell r="AA101">
            <v>0</v>
          </cell>
        </row>
        <row r="102">
          <cell r="L102" t="str">
            <v>C-4101-1500-6-0-4101081-03=11</v>
          </cell>
          <cell r="M102" t="str">
            <v>Nación</v>
          </cell>
          <cell r="N102" t="str">
            <v>11</v>
          </cell>
          <cell r="O102" t="str">
            <v>CSF</v>
          </cell>
          <cell r="P102" t="str">
            <v>TRANSFERENCIAS CORRIENTES - SERVICIO DE APOYO AL FORTALECIMIENTO COMUNITARIO A LOS HOGARES EN RIESGO DE DESPLAZAMIENTO, RETORNADOS O REUBICADOS - IMPLEMENTACIÓN DE UN ESQUEMA ESPECIAL DE ACOMPAÑAMIENTO FAMILIAR DIRIGIDO A LA POBLACIÓN VICTIMA DE DESP</v>
          </cell>
          <cell r="Q102">
            <v>16832160000</v>
          </cell>
          <cell r="R102">
            <v>0</v>
          </cell>
          <cell r="S102">
            <v>0</v>
          </cell>
          <cell r="T102">
            <v>16832160000</v>
          </cell>
          <cell r="U102">
            <v>0</v>
          </cell>
          <cell r="V102">
            <v>16832160000</v>
          </cell>
          <cell r="W102">
            <v>0</v>
          </cell>
          <cell r="X102">
            <v>16832160000</v>
          </cell>
          <cell r="Y102">
            <v>0</v>
          </cell>
          <cell r="Z102">
            <v>0</v>
          </cell>
          <cell r="AA102">
            <v>0</v>
          </cell>
        </row>
        <row r="103">
          <cell r="L103" t="str">
            <v>C-4103-1500-12-0-4103006-02=10</v>
          </cell>
          <cell r="M103" t="str">
            <v>Nación</v>
          </cell>
          <cell r="N103" t="str">
            <v>10</v>
          </cell>
          <cell r="O103" t="str">
            <v>CSF</v>
          </cell>
          <cell r="P103" t="str">
            <v>ADQUISICIÓN DE BIENES Y SERVICIOS - SERVICIO DE APOYO FINANCIERO PARA LA ENTREGA DE TRANSFERENCIAS MONETARIAS CONDICIONADAS - IMPLEMENTACIÓN DE TRANSFERENCIAS MONETARIAS CONDICIONADAS PARA POBLACIÓN VULNERABLE A NIVEL NACIONAL - FIP  NACIONAL</v>
          </cell>
          <cell r="Q103">
            <v>170514008840.17001</v>
          </cell>
          <cell r="R103">
            <v>0</v>
          </cell>
          <cell r="S103">
            <v>0</v>
          </cell>
          <cell r="T103">
            <v>170514008840.17001</v>
          </cell>
          <cell r="U103">
            <v>0</v>
          </cell>
          <cell r="V103">
            <v>158932796153</v>
          </cell>
          <cell r="W103">
            <v>11581212687.17</v>
          </cell>
          <cell r="X103">
            <v>40460010905.129997</v>
          </cell>
          <cell r="Y103">
            <v>0</v>
          </cell>
          <cell r="Z103">
            <v>0</v>
          </cell>
          <cell r="AA103">
            <v>0</v>
          </cell>
        </row>
        <row r="104">
          <cell r="L104" t="str">
            <v>C-4103-1500-12-0-4103009-02=10</v>
          </cell>
          <cell r="M104" t="str">
            <v>Nación</v>
          </cell>
          <cell r="N104" t="str">
            <v>10</v>
          </cell>
          <cell r="O104" t="str">
            <v>CSF</v>
          </cell>
          <cell r="P104" t="str">
            <v xml:space="preserve">ADQUISICIÓN DE BIENES Y SERVICIOS - SERVICIO DE ASISTENCIA EN TEMAS DE DESARROLLO DE HABILIDADES NO COGNITIVAS PARA LA INCLUSIÓN PRODUCTIVA - IMPLEMENTACIÓN DE TRANSFERENCIAS MONETARIAS CONDICIONADAS PARA POBLACIÓN VULNERABLE A NIVEL NACIONAL - FIP  </v>
          </cell>
          <cell r="Q104">
            <v>5711307018</v>
          </cell>
          <cell r="R104">
            <v>0</v>
          </cell>
          <cell r="S104">
            <v>0</v>
          </cell>
          <cell r="T104">
            <v>5711307018</v>
          </cell>
          <cell r="U104">
            <v>0</v>
          </cell>
          <cell r="V104">
            <v>5111307018</v>
          </cell>
          <cell r="W104">
            <v>600000000</v>
          </cell>
          <cell r="X104">
            <v>5111307018</v>
          </cell>
          <cell r="Y104">
            <v>0</v>
          </cell>
          <cell r="Z104">
            <v>0</v>
          </cell>
          <cell r="AA104">
            <v>0</v>
          </cell>
        </row>
        <row r="105">
          <cell r="L105" t="str">
            <v>C-4103-1500-12-0-4103006-03=10</v>
          </cell>
          <cell r="M105" t="str">
            <v>Nación</v>
          </cell>
          <cell r="N105" t="str">
            <v>10</v>
          </cell>
          <cell r="O105" t="str">
            <v>CSF</v>
          </cell>
          <cell r="P105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5">
            <v>11682690576.83</v>
          </cell>
          <cell r="R105">
            <v>0</v>
          </cell>
          <cell r="S105">
            <v>0</v>
          </cell>
          <cell r="T105">
            <v>11682690576.83</v>
          </cell>
          <cell r="U105">
            <v>0</v>
          </cell>
          <cell r="V105">
            <v>11682690576.83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L106" t="str">
            <v>C-4103-1500-12-0-4103006-03=11</v>
          </cell>
          <cell r="M106" t="str">
            <v>Nación</v>
          </cell>
          <cell r="N106" t="str">
            <v>11</v>
          </cell>
          <cell r="O106" t="str">
            <v>CSF</v>
          </cell>
          <cell r="P106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06">
            <v>1691172057916</v>
          </cell>
          <cell r="R106">
            <v>0</v>
          </cell>
          <cell r="S106">
            <v>0</v>
          </cell>
          <cell r="T106">
            <v>1691172057916</v>
          </cell>
          <cell r="U106">
            <v>0</v>
          </cell>
          <cell r="V106">
            <v>1691172057916</v>
          </cell>
          <cell r="W106">
            <v>0</v>
          </cell>
          <cell r="X106">
            <v>570317913623</v>
          </cell>
          <cell r="Y106">
            <v>0</v>
          </cell>
          <cell r="Z106">
            <v>0</v>
          </cell>
          <cell r="AA106">
            <v>0</v>
          </cell>
        </row>
        <row r="107">
          <cell r="L107" t="str">
            <v>C-4103-1500-13-0-4103051-02=11</v>
          </cell>
          <cell r="M107" t="str">
            <v>Nación</v>
          </cell>
          <cell r="N107" t="str">
            <v>11</v>
          </cell>
          <cell r="O107" t="str">
            <v>CSF</v>
          </cell>
          <cell r="P107" t="str">
            <v>ADQUISICIÓN DE BIENES Y SERVICIOS - SERVICIO DE ASISTENCIA TÉCNICA PARA EL AUTOCONSUMO DE LOS HOGARES EN SITUACIÓN DE VULNERABILIDAD SOCIAL - IMPLEMENTACIÓN DE UNIDADES PRODUCTIVAS DE AUTOCONSUMO PARA POBLACIÓN POBRE Y VULNERABLE   NACIONAL</v>
          </cell>
          <cell r="Q107">
            <v>7218669145</v>
          </cell>
          <cell r="R107">
            <v>0</v>
          </cell>
          <cell r="S107">
            <v>0</v>
          </cell>
          <cell r="T107">
            <v>7218669145</v>
          </cell>
          <cell r="U107">
            <v>0</v>
          </cell>
          <cell r="V107">
            <v>4406021511</v>
          </cell>
          <cell r="W107">
            <v>2812647634</v>
          </cell>
          <cell r="X107">
            <v>4406021511</v>
          </cell>
          <cell r="Y107">
            <v>0</v>
          </cell>
          <cell r="Z107">
            <v>0</v>
          </cell>
          <cell r="AA107">
            <v>0</v>
          </cell>
        </row>
        <row r="108">
          <cell r="L108" t="str">
            <v>C-4103-1500-13-0-4103053-02=11</v>
          </cell>
          <cell r="M108" t="str">
            <v>Nación</v>
          </cell>
          <cell r="N108" t="str">
            <v>11</v>
          </cell>
          <cell r="O108" t="str">
            <v>CSF</v>
          </cell>
          <cell r="P108" t="str">
            <v>ADQUISICIÓN DE BIENES Y SERVICIOS - SERVICIO DE ASISTENCIA TÉCNICA PARA EL MEJORAMIENTO DE HÁBITOS ALIMENTARIOS - IMPLEMENTACIÓN DE UNIDADES PRODUCTIVAS DE AUTOCONSUMO PARA POBLACIÓN POBRE Y VULNERABLE   NACIONAL</v>
          </cell>
          <cell r="Q108">
            <v>4348087590</v>
          </cell>
          <cell r="R108">
            <v>0</v>
          </cell>
          <cell r="S108">
            <v>0</v>
          </cell>
          <cell r="T108">
            <v>4348087590</v>
          </cell>
          <cell r="U108">
            <v>0</v>
          </cell>
          <cell r="V108">
            <v>2653919568</v>
          </cell>
          <cell r="W108">
            <v>1694168022</v>
          </cell>
          <cell r="X108">
            <v>2653919568</v>
          </cell>
          <cell r="Y108">
            <v>0</v>
          </cell>
          <cell r="Z108">
            <v>0</v>
          </cell>
          <cell r="AA108">
            <v>0</v>
          </cell>
        </row>
        <row r="109">
          <cell r="L109" t="str">
            <v>C-4103-1500-13-0-4103054-02=11</v>
          </cell>
          <cell r="M109" t="str">
            <v>Nación</v>
          </cell>
          <cell r="N109" t="str">
            <v>11</v>
          </cell>
          <cell r="O109" t="str">
            <v>CSF</v>
          </cell>
          <cell r="P109" t="str">
            <v>ADQUISICIÓN DE BIENES Y SERVICIOS - SERVICIO DE MONITOREO Y SEGUIMIENTO A LAS INTERVENCIONES IMPLEMENTADAS PARA LA INCLUSIÓN SOCIAL Y PRODUCTIVA DE LA POBLACIÓN EN SITUACIÓN DE VULNERABILIDAD - IMPLEMENTACIÓN DE UNIDADES PRODUCTIVAS DE AUTOCONSUMO PA</v>
          </cell>
          <cell r="Q109">
            <v>2171371771</v>
          </cell>
          <cell r="R109">
            <v>0</v>
          </cell>
          <cell r="S109">
            <v>0</v>
          </cell>
          <cell r="T109">
            <v>2171371771</v>
          </cell>
          <cell r="U109">
            <v>0</v>
          </cell>
          <cell r="V109">
            <v>731905005</v>
          </cell>
          <cell r="W109">
            <v>1439466766</v>
          </cell>
          <cell r="X109">
            <v>408749118</v>
          </cell>
          <cell r="Y109">
            <v>0</v>
          </cell>
          <cell r="Z109">
            <v>0</v>
          </cell>
          <cell r="AA109">
            <v>0</v>
          </cell>
        </row>
        <row r="110">
          <cell r="L110" t="str">
            <v>C-4103-1500-13-0-4103055-02=11</v>
          </cell>
          <cell r="M110" t="str">
            <v>Nación</v>
          </cell>
          <cell r="N110" t="str">
            <v>11</v>
          </cell>
          <cell r="O110" t="str">
            <v>CSF</v>
          </cell>
          <cell r="P110" t="str">
            <v>ADQUISICIÓN DE BIENES Y SERVICIOS - SERVICIO DE APOYO PARA LAS UNIDADES PRODUCTIVAS PARA EL AUTOCONSUMO DE LOS HOGARES EN SITUACIÓN DE VULNERABILIDAD SOCIAL - IMPLEMENTACIÓN DE UNIDADES PRODUCTIVAS DE AUTOCONSUMO PARA POBLACIÓN POBRE Y VULNERABLE   N</v>
          </cell>
          <cell r="Q110">
            <v>12164900352</v>
          </cell>
          <cell r="R110">
            <v>0</v>
          </cell>
          <cell r="S110">
            <v>0</v>
          </cell>
          <cell r="T110">
            <v>12164900352</v>
          </cell>
          <cell r="U110">
            <v>0</v>
          </cell>
          <cell r="V110">
            <v>7457426819</v>
          </cell>
          <cell r="W110">
            <v>4707473533</v>
          </cell>
          <cell r="X110">
            <v>7457426819</v>
          </cell>
          <cell r="Y110">
            <v>0</v>
          </cell>
          <cell r="Z110">
            <v>0</v>
          </cell>
          <cell r="AA110">
            <v>0</v>
          </cell>
        </row>
        <row r="111">
          <cell r="L111" t="str">
            <v>C-4103-1500-14-0-4103048-02=11</v>
          </cell>
          <cell r="M111" t="str">
            <v>Nación</v>
          </cell>
          <cell r="N111" t="str">
            <v>11</v>
          </cell>
          <cell r="O111" t="str">
            <v>CSF</v>
          </cell>
          <cell r="P111" t="str">
            <v>ADQUISICIÓN DE BIENES Y SERVICIOS - SERVICIO DE ASISTENCIA TÉCNICA EN PROYECTOS DE INFRAESTRUCTURA SOCIAL A ENTIDADES TERRITORIALES - FORTALECIMIENTO PARA EL DESARROLLO DE INFRAESTRUCTURA SOCIAL Y HÁBITAT PARA LA INCLUSIÓN SOCIAL A NIVEL NACIONAL - F</v>
          </cell>
          <cell r="Q111">
            <v>21666882589.209999</v>
          </cell>
          <cell r="R111">
            <v>0</v>
          </cell>
          <cell r="S111">
            <v>0</v>
          </cell>
          <cell r="T111">
            <v>21666882589.209999</v>
          </cell>
          <cell r="U111">
            <v>0</v>
          </cell>
          <cell r="V111">
            <v>18840867891.209999</v>
          </cell>
          <cell r="W111">
            <v>2826014698</v>
          </cell>
          <cell r="X111">
            <v>2970074736</v>
          </cell>
          <cell r="Y111">
            <v>0</v>
          </cell>
          <cell r="Z111">
            <v>0</v>
          </cell>
          <cell r="AA111">
            <v>0</v>
          </cell>
        </row>
        <row r="112">
          <cell r="L112" t="str">
            <v>C-4103-1500-14-0-4103016-02=11</v>
          </cell>
          <cell r="M112" t="str">
            <v>Nación</v>
          </cell>
          <cell r="N112" t="str">
            <v>11</v>
          </cell>
          <cell r="O112" t="str">
            <v>CSF</v>
          </cell>
          <cell r="P112" t="str">
            <v>ADQUISICIÓN DE BIENES Y SERVICIOS - SERVICIO DE APOYO FINANCIERO PARA FINANCIACIÓN DE OBRAS DE INFRAESTRUCTURA SOCIAL - FORTALECIMIENTO PARA EL DESARROLLO DE INFRAESTRUCTURA SOCIAL Y HÁBITAT PARA LA INCLUSIÓN SOCIAL A NIVEL NACIONAL - FIP  NACIONAL</v>
          </cell>
          <cell r="Q112">
            <v>358903207165.07001</v>
          </cell>
          <cell r="R112">
            <v>44314848063</v>
          </cell>
          <cell r="S112">
            <v>0</v>
          </cell>
          <cell r="T112">
            <v>403218055228.07001</v>
          </cell>
          <cell r="U112">
            <v>0</v>
          </cell>
          <cell r="V112">
            <v>36249682146</v>
          </cell>
          <cell r="W112">
            <v>366968373082.07001</v>
          </cell>
          <cell r="X112">
            <v>36249682146</v>
          </cell>
          <cell r="Y112">
            <v>0</v>
          </cell>
          <cell r="Z112">
            <v>0</v>
          </cell>
          <cell r="AA112">
            <v>0</v>
          </cell>
        </row>
        <row r="113">
          <cell r="L113" t="str">
            <v>C-4103-1500-14-0-4103016-03=10</v>
          </cell>
          <cell r="M113" t="str">
            <v>Nación</v>
          </cell>
          <cell r="N113" t="str">
            <v>10</v>
          </cell>
          <cell r="O113" t="str">
            <v>CSF</v>
          </cell>
          <cell r="P113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3">
            <v>50000000000</v>
          </cell>
          <cell r="R113">
            <v>0</v>
          </cell>
          <cell r="S113">
            <v>0</v>
          </cell>
          <cell r="T113">
            <v>50000000000</v>
          </cell>
          <cell r="U113">
            <v>0</v>
          </cell>
          <cell r="V113">
            <v>0</v>
          </cell>
          <cell r="W113">
            <v>50000000000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L114" t="str">
            <v>C-4103-1500-14-0-4103016-03=11</v>
          </cell>
          <cell r="M114" t="str">
            <v>Nación</v>
          </cell>
          <cell r="N114" t="str">
            <v>11</v>
          </cell>
          <cell r="O114" t="str">
            <v>CSF</v>
          </cell>
          <cell r="P114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14">
            <v>796312137723.71997</v>
          </cell>
          <cell r="R114">
            <v>0</v>
          </cell>
          <cell r="S114">
            <v>44314848063</v>
          </cell>
          <cell r="T114">
            <v>751997289660.71997</v>
          </cell>
          <cell r="U114">
            <v>0</v>
          </cell>
          <cell r="V114">
            <v>454874507379.75</v>
          </cell>
          <cell r="W114">
            <v>297122782280.96997</v>
          </cell>
          <cell r="X114">
            <v>454874507379.75</v>
          </cell>
          <cell r="Y114">
            <v>0</v>
          </cell>
          <cell r="Z114">
            <v>0</v>
          </cell>
          <cell r="AA114">
            <v>0</v>
          </cell>
        </row>
        <row r="115">
          <cell r="L115" t="str">
            <v>C-4103-1500-16-0-4103056-02=11</v>
          </cell>
          <cell r="M115" t="str">
            <v>Nación</v>
          </cell>
          <cell r="N115" t="str">
            <v>11</v>
          </cell>
          <cell r="O115" t="str">
            <v>CSF</v>
          </cell>
          <cell r="P115" t="str">
            <v>ADQUISICIÓN DE BIENES Y SERVICIOS -  SERVICIO DE ASISTENCIA TÉCNICA EN SEGURIDAD ALIMENTARIA Y NUTRICIONAL A ENTIDADES TERRITORIALES - FORTALECIMIENTO A ENTIDADES TERRITORIALES EN POLITICA DE SEGURIDAD ALIMENTARIA  NACIONAL</v>
          </cell>
          <cell r="Q115">
            <v>730000000</v>
          </cell>
          <cell r="R115">
            <v>0</v>
          </cell>
          <cell r="S115">
            <v>0</v>
          </cell>
          <cell r="T115">
            <v>730000000</v>
          </cell>
          <cell r="U115">
            <v>0</v>
          </cell>
          <cell r="V115">
            <v>0</v>
          </cell>
          <cell r="W115">
            <v>730000000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L116" t="str">
            <v>C-4103-1500-16-0-4103060-02=11</v>
          </cell>
          <cell r="M116" t="str">
            <v>Nación</v>
          </cell>
          <cell r="N116" t="str">
            <v>11</v>
          </cell>
          <cell r="O116" t="str">
            <v>CSF</v>
          </cell>
          <cell r="P116" t="str">
            <v>ADQUISICIÓN DE BIENES Y SERVICIOS - DOCUMENTO DE LINEAMIENTOS TÉCNICOS - FORTALECIMIENTO A ENTIDADES TERRITORIALES EN POLITICA DE SEGURIDAD ALIMENTARIA  NACIONAL</v>
          </cell>
          <cell r="Q116">
            <v>270000000</v>
          </cell>
          <cell r="R116">
            <v>0</v>
          </cell>
          <cell r="S116">
            <v>0</v>
          </cell>
          <cell r="T116">
            <v>270000000</v>
          </cell>
          <cell r="U116">
            <v>0</v>
          </cell>
          <cell r="V116">
            <v>0</v>
          </cell>
          <cell r="W116">
            <v>270000000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L117" t="str">
            <v>C-4103-1500-17-0-4103058-02=11</v>
          </cell>
          <cell r="M117" t="str">
            <v>Nación</v>
          </cell>
          <cell r="N117" t="str">
            <v>11</v>
          </cell>
          <cell r="O117" t="str">
            <v>CSF</v>
          </cell>
          <cell r="P117" t="str">
            <v>ADQUISICIÓN DE BIENES Y SERVICIOS - SERVICIO DE APOYO PARA EL FORTALECIMIENTO DE UNIDADES PRODUCTIVAS COLECTIVAS PARA LA GENERACIÓN DE INGRESOS - IMPLEMENTACIÓN DE HERRAMIENTAS PARA LA INCLUSIÓN PRODUCTIVA DE LA POBLACIÓN EN SITUACIÓN DE POBREZA EXTR</v>
          </cell>
          <cell r="Q117">
            <v>12632794125</v>
          </cell>
          <cell r="R117">
            <v>0</v>
          </cell>
          <cell r="S117">
            <v>0</v>
          </cell>
          <cell r="T117">
            <v>12632794125</v>
          </cell>
          <cell r="U117">
            <v>0</v>
          </cell>
          <cell r="V117">
            <v>2919317645</v>
          </cell>
          <cell r="W117">
            <v>9713476480</v>
          </cell>
          <cell r="X117">
            <v>2919317645</v>
          </cell>
          <cell r="Y117">
            <v>0</v>
          </cell>
          <cell r="Z117">
            <v>0</v>
          </cell>
          <cell r="AA117">
            <v>0</v>
          </cell>
        </row>
        <row r="118">
          <cell r="L118" t="str">
            <v>C-4103-1500-17-0-4103059-02=11</v>
          </cell>
          <cell r="M118" t="str">
            <v>Nación</v>
          </cell>
          <cell r="N118" t="str">
            <v>11</v>
          </cell>
          <cell r="O118" t="str">
            <v>CSF</v>
          </cell>
          <cell r="P118" t="str">
            <v>ADQUISICIÓN DE BIENES Y SERVICIOS - SERVICIO DE ASISTENCIA TÉCNICA PARA FORTALECIMIENTO DE UNIDADES PRODUCTIVAS COLECTIVAS PARA LA GENERACIÓN DE INGRESOS - IMPLEMENTACIÓN DE HERRAMIENTAS PARA LA INCLUSIÓN PRODUCTIVA DE LA POBLACIÓN EN SITUACIÓN DE PO</v>
          </cell>
          <cell r="Q118">
            <v>1307947412</v>
          </cell>
          <cell r="R118">
            <v>0</v>
          </cell>
          <cell r="S118">
            <v>0</v>
          </cell>
          <cell r="T118">
            <v>1307947412</v>
          </cell>
          <cell r="U118">
            <v>0</v>
          </cell>
          <cell r="V118">
            <v>975341297</v>
          </cell>
          <cell r="W118">
            <v>332606115</v>
          </cell>
          <cell r="X118">
            <v>975341297</v>
          </cell>
          <cell r="Y118">
            <v>0</v>
          </cell>
          <cell r="Z118">
            <v>0</v>
          </cell>
          <cell r="AA118">
            <v>0</v>
          </cell>
        </row>
        <row r="119">
          <cell r="L119" t="str">
            <v>C-4103-1500-17-0-4103005-02=11</v>
          </cell>
          <cell r="M119" t="str">
            <v>Nación</v>
          </cell>
          <cell r="N119" t="str">
            <v>11</v>
          </cell>
          <cell r="O119" t="str">
            <v>CSF</v>
          </cell>
          <cell r="P119" t="str">
            <v>ADQUISICIÓN DE BIENES Y SERVICIOS - SERVICIO DE ASISTENCIA TÉCNICA PARA EL EMPRENDIMIENTO  - IMPLEMENTACIÓN DE HERRAMIENTAS PARA LA INCLUSIÓN PRODUCTIVA DE LA POBLACIÓN EN SITUACIÓN DE POBREZA EXTREMA, VULNERABILIDAD Y VICTIMAS DEL DESPLAZAMIENTO FOR</v>
          </cell>
          <cell r="Q119">
            <v>24060301659</v>
          </cell>
          <cell r="R119">
            <v>0</v>
          </cell>
          <cell r="S119">
            <v>0</v>
          </cell>
          <cell r="T119">
            <v>24060301659</v>
          </cell>
          <cell r="U119">
            <v>0</v>
          </cell>
          <cell r="V119">
            <v>16419966547</v>
          </cell>
          <cell r="W119">
            <v>7640335112</v>
          </cell>
          <cell r="X119">
            <v>13637060908</v>
          </cell>
          <cell r="Y119">
            <v>416769</v>
          </cell>
          <cell r="Z119">
            <v>416769</v>
          </cell>
          <cell r="AA119">
            <v>0</v>
          </cell>
        </row>
        <row r="120">
          <cell r="L120" t="str">
            <v>C-4103-1500-17-0-4103057-03=11</v>
          </cell>
          <cell r="M120" t="str">
            <v>Nación</v>
          </cell>
          <cell r="N120" t="str">
            <v>11</v>
          </cell>
          <cell r="O120" t="str">
            <v>CSF</v>
          </cell>
          <cell r="P120" t="str">
            <v xml:space="preserve">TRANSFERENCIAS CORRIENTES - SERVICIO DE APOYO A UNIDADES PRODUCTIVAS INDIVIDUALES PARA LA GENERACIÓN DE INGRESOS - IMPLEMENTACIÓN DE HERRAMIENTAS PARA LA INCLUSIÓN PRODUCTIVA DE LA POBLACIÓN EN SITUACIÓN DE POBREZA EXTREMA, VULNERABILIDAD Y VICTIMAS </v>
          </cell>
          <cell r="Q120">
            <v>45582352481</v>
          </cell>
          <cell r="R120">
            <v>0</v>
          </cell>
          <cell r="S120">
            <v>0</v>
          </cell>
          <cell r="T120">
            <v>45582352481</v>
          </cell>
          <cell r="U120">
            <v>0</v>
          </cell>
          <cell r="V120">
            <v>21101342352</v>
          </cell>
          <cell r="W120">
            <v>24481010129</v>
          </cell>
          <cell r="X120">
            <v>21101342352</v>
          </cell>
          <cell r="Y120">
            <v>0</v>
          </cell>
          <cell r="Z120">
            <v>0</v>
          </cell>
          <cell r="AA120">
            <v>0</v>
          </cell>
        </row>
        <row r="121">
          <cell r="L121" t="str">
            <v>C-4103-1500-18-0-4103050-02=11</v>
          </cell>
          <cell r="M121" t="str">
            <v>Nación</v>
          </cell>
          <cell r="N121" t="str">
            <v>11</v>
          </cell>
          <cell r="O121" t="str">
            <v>CSF</v>
          </cell>
          <cell r="P121" t="str">
            <v>ADQUISICIÓN DE BIENES Y SERVICIOS - SERVICIO DE ACOMPAÑAMIENTO FAMILIAR Y COMUNITARIO PARA LA SUPERACIÓN DE LA POBREZA - IMPLEMENTACIÓN DE LA ESTRATEGIA DE ACOMPAÑAMIENTO FAMILIAR Y COMUNITARIO PARA LA SUPERACIÓN DE LA POBREZA - FIP A NIVEL   NACIONA</v>
          </cell>
          <cell r="Q121">
            <v>70125561842</v>
          </cell>
          <cell r="R121">
            <v>0</v>
          </cell>
          <cell r="S121">
            <v>0</v>
          </cell>
          <cell r="T121">
            <v>70125561842</v>
          </cell>
          <cell r="U121">
            <v>0</v>
          </cell>
          <cell r="V121">
            <v>3625066839.9200001</v>
          </cell>
          <cell r="W121">
            <v>66500495002.080002</v>
          </cell>
          <cell r="X121">
            <v>2665516270.9200001</v>
          </cell>
          <cell r="Y121">
            <v>0</v>
          </cell>
          <cell r="Z121">
            <v>0</v>
          </cell>
          <cell r="AA121">
            <v>0</v>
          </cell>
        </row>
        <row r="122">
          <cell r="L122" t="str">
            <v>C-4103-1500-19-0-4103052-02=11</v>
          </cell>
          <cell r="M122" t="str">
            <v>Nación</v>
          </cell>
          <cell r="N122" t="str">
            <v>11</v>
          </cell>
          <cell r="O122" t="str">
            <v>CSF</v>
          </cell>
          <cell r="P122" t="str">
            <v>ADQUISICIÓN DE BIENES Y SERVICIOS - SERVICIO DE GESTIÓN DE OFERTA SOCIAL PARA LA POBLACIÓN VULNERABLE - FORTALECIMIENTO DE LA GESTIÓN DE OFERTA PARA LA SUPERACIÓN DE LA POBREZA- FIP A NIVEL  NACIONAL</v>
          </cell>
          <cell r="Q122">
            <v>9835707936</v>
          </cell>
          <cell r="R122">
            <v>0</v>
          </cell>
          <cell r="S122">
            <v>0</v>
          </cell>
          <cell r="T122">
            <v>9835707936</v>
          </cell>
          <cell r="U122">
            <v>0</v>
          </cell>
          <cell r="V122">
            <v>4474125948</v>
          </cell>
          <cell r="W122">
            <v>5361581988</v>
          </cell>
          <cell r="X122">
            <v>3032781405</v>
          </cell>
          <cell r="Y122">
            <v>0</v>
          </cell>
          <cell r="Z122">
            <v>0</v>
          </cell>
          <cell r="AA122">
            <v>0</v>
          </cell>
        </row>
        <row r="123">
          <cell r="L123" t="str">
            <v>C-4103-1500-19-0-4103060-02=11</v>
          </cell>
          <cell r="M123" t="str">
            <v>Nación</v>
          </cell>
          <cell r="N123" t="str">
            <v>11</v>
          </cell>
          <cell r="O123" t="str">
            <v>CSF</v>
          </cell>
          <cell r="P123" t="str">
            <v>ADQUISICIÓN DE BIENES Y SERVICIOS - DOCUMENTO DE LINEAMIENTOS TÉCNICOS - FORTALECIMIENTO DE LA GESTIÓN DE OFERTA PARA LA SUPERACIÓN DE LA POBREZA- FIP A NIVEL  NACIONAL</v>
          </cell>
          <cell r="Q123">
            <v>1226999999</v>
          </cell>
          <cell r="R123">
            <v>0</v>
          </cell>
          <cell r="S123">
            <v>0</v>
          </cell>
          <cell r="T123">
            <v>1226999999</v>
          </cell>
          <cell r="U123">
            <v>0</v>
          </cell>
          <cell r="V123">
            <v>0</v>
          </cell>
          <cell r="W123">
            <v>1226999999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L124" t="str">
            <v>C-4103-1500-19-0-4103049-02=11</v>
          </cell>
          <cell r="M124" t="str">
            <v>Nación</v>
          </cell>
          <cell r="N124" t="str">
            <v>11</v>
          </cell>
          <cell r="O124" t="str">
            <v>CSF</v>
          </cell>
          <cell r="P124" t="str">
            <v>ADQUISICIÓN DE BIENES Y SERVICIOS - SERVICIO DE ASISTENCIA TÉCNICA A LAS ENTIDADES TERRITORIALES EN LA FORMULACIÓN DE SUS MARCOS DE LUCHA CONTRA LA POBREZA - FORTALECIMIENTO DE LA GESTIÓN DE OFERTA PARA LA SUPERACIÓN DE LA POBREZA- FIP A NIVEL  NACIO</v>
          </cell>
          <cell r="Q124">
            <v>218772000</v>
          </cell>
          <cell r="R124">
            <v>0</v>
          </cell>
          <cell r="S124">
            <v>0</v>
          </cell>
          <cell r="T124">
            <v>218772000</v>
          </cell>
          <cell r="U124">
            <v>0</v>
          </cell>
          <cell r="V124">
            <v>3000000</v>
          </cell>
          <cell r="W124">
            <v>215772000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L125" t="str">
            <v>C-4199-1500-2-0-4199062-02=11</v>
          </cell>
          <cell r="M125" t="str">
            <v>Nación</v>
          </cell>
          <cell r="N125" t="str">
            <v>11</v>
          </cell>
          <cell r="O125" t="str">
            <v>CSF</v>
          </cell>
          <cell r="P125" t="str">
            <v>ADQUISICIÓN DE BIENES Y SERVICIOS - SERVICIOS TECNOLÓGICOS  - IMPLEMENTACIÓN Y AMPLIACIÓN DE LAS TECNOLOGÍAS DE INFORMACIÓN Y COMUNICACIONES EN DPS A NIVEL  NACIONAL</v>
          </cell>
          <cell r="Q125">
            <v>3226548466</v>
          </cell>
          <cell r="R125">
            <v>0</v>
          </cell>
          <cell r="S125">
            <v>0</v>
          </cell>
          <cell r="T125">
            <v>3226548466</v>
          </cell>
          <cell r="U125">
            <v>0</v>
          </cell>
          <cell r="V125">
            <v>0</v>
          </cell>
          <cell r="W125">
            <v>3226548466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.Ejecutivo.2019"/>
      <sheetName val="Vigencia"/>
      <sheetName val="EJEC_2020"/>
      <sheetName val="Modif2"/>
      <sheetName val="PPTO 2020 DPS Desag"/>
      <sheetName val="Reserva"/>
      <sheetName val="Ejec_RESERVA"/>
      <sheetName val="RPS_reserva"/>
      <sheetName val="Just"/>
      <sheetName val="PAGOS_reserva"/>
      <sheetName val="CXP"/>
      <sheetName val="Ejec_CXP19"/>
      <sheetName val="pagoCXP"/>
    </sheetNames>
    <sheetDataSet>
      <sheetData sheetId="0"/>
      <sheetData sheetId="1">
        <row r="5">
          <cell r="L5" t="str">
            <v>A-01-01-01=10</v>
          </cell>
          <cell r="M5" t="str">
            <v>Nación</v>
          </cell>
          <cell r="N5" t="str">
            <v>10</v>
          </cell>
          <cell r="O5" t="str">
            <v>CSF</v>
          </cell>
          <cell r="P5" t="str">
            <v>SALARIO</v>
          </cell>
          <cell r="Q5">
            <v>68019000000</v>
          </cell>
          <cell r="R5">
            <v>0</v>
          </cell>
          <cell r="S5">
            <v>0</v>
          </cell>
          <cell r="T5">
            <v>68019000000</v>
          </cell>
          <cell r="U5">
            <v>0</v>
          </cell>
          <cell r="V5">
            <v>68017528693</v>
          </cell>
          <cell r="W5">
            <v>1471307</v>
          </cell>
          <cell r="X5">
            <v>32136245512</v>
          </cell>
          <cell r="Y5">
            <v>32133403313</v>
          </cell>
          <cell r="Z5">
            <v>32133403313</v>
          </cell>
          <cell r="AA5">
            <v>29622216813</v>
          </cell>
        </row>
        <row r="6">
          <cell r="L6" t="str">
            <v>A-01-01-02=10</v>
          </cell>
          <cell r="M6" t="str">
            <v>Nación</v>
          </cell>
          <cell r="N6" t="str">
            <v>10</v>
          </cell>
          <cell r="O6" t="str">
            <v>CSF</v>
          </cell>
          <cell r="P6" t="str">
            <v>CONTRIBUCIONES INHERENTES A LA NÓMINA</v>
          </cell>
          <cell r="Q6">
            <v>24735000000</v>
          </cell>
          <cell r="R6">
            <v>0</v>
          </cell>
          <cell r="S6">
            <v>0</v>
          </cell>
          <cell r="T6">
            <v>24735000000</v>
          </cell>
          <cell r="U6">
            <v>0</v>
          </cell>
          <cell r="V6">
            <v>24735000000</v>
          </cell>
          <cell r="W6">
            <v>0</v>
          </cell>
          <cell r="X6">
            <v>14004424516</v>
          </cell>
          <cell r="Y6">
            <v>11535191444</v>
          </cell>
          <cell r="Z6">
            <v>11535191444</v>
          </cell>
          <cell r="AA6">
            <v>11535131644</v>
          </cell>
        </row>
        <row r="7">
          <cell r="L7" t="str">
            <v>A-01-01-03=10</v>
          </cell>
          <cell r="M7" t="str">
            <v>Nación</v>
          </cell>
          <cell r="N7" t="str">
            <v>10</v>
          </cell>
          <cell r="O7" t="str">
            <v>CSF</v>
          </cell>
          <cell r="P7" t="str">
            <v>REMUNERACIONES NO CONSTITUTIVAS DE FACTOR SALARIAL</v>
          </cell>
          <cell r="Q7">
            <v>6984000000</v>
          </cell>
          <cell r="R7">
            <v>0</v>
          </cell>
          <cell r="S7">
            <v>0</v>
          </cell>
          <cell r="T7">
            <v>6984000000</v>
          </cell>
          <cell r="U7">
            <v>0</v>
          </cell>
          <cell r="V7">
            <v>6984000000</v>
          </cell>
          <cell r="W7">
            <v>0</v>
          </cell>
          <cell r="X7">
            <v>3011603963</v>
          </cell>
          <cell r="Y7">
            <v>3011283896</v>
          </cell>
          <cell r="Z7">
            <v>3011283896</v>
          </cell>
          <cell r="AA7">
            <v>3011283896</v>
          </cell>
        </row>
        <row r="8">
          <cell r="L8" t="str">
            <v>A-02-02=10</v>
          </cell>
          <cell r="M8" t="str">
            <v>Nación</v>
          </cell>
          <cell r="N8" t="str">
            <v>10</v>
          </cell>
          <cell r="O8" t="str">
            <v>CSF</v>
          </cell>
          <cell r="P8" t="str">
            <v>ADQUISICIONES DIFERENTES DE ACTIVOS</v>
          </cell>
          <cell r="Q8">
            <v>42289000000</v>
          </cell>
          <cell r="R8">
            <v>0</v>
          </cell>
          <cell r="S8">
            <v>0</v>
          </cell>
          <cell r="T8">
            <v>42289000000</v>
          </cell>
          <cell r="U8">
            <v>0</v>
          </cell>
          <cell r="V8">
            <v>39467018129.660004</v>
          </cell>
          <cell r="W8">
            <v>2821981870.3400002</v>
          </cell>
          <cell r="X8">
            <v>34358074510.150002</v>
          </cell>
          <cell r="Y8">
            <v>16343246927.49</v>
          </cell>
          <cell r="Z8">
            <v>16291078784.49</v>
          </cell>
          <cell r="AA8">
            <v>16247148511.280001</v>
          </cell>
        </row>
        <row r="9">
          <cell r="L9" t="str">
            <v>A-03-03-01-082=54</v>
          </cell>
          <cell r="M9" t="str">
            <v>Nación</v>
          </cell>
          <cell r="N9" t="str">
            <v>54</v>
          </cell>
          <cell r="O9" t="str">
            <v>CSF</v>
          </cell>
          <cell r="P9" t="str">
            <v xml:space="preserve">FONDO DE MITIGACIÓN DE EMERGENCIAS - FOME </v>
          </cell>
          <cell r="Q9">
            <v>0</v>
          </cell>
          <cell r="R9">
            <v>991465489896</v>
          </cell>
          <cell r="S9">
            <v>0</v>
          </cell>
          <cell r="T9">
            <v>991465489896</v>
          </cell>
          <cell r="U9">
            <v>0</v>
          </cell>
          <cell r="V9">
            <v>978889204656</v>
          </cell>
          <cell r="W9">
            <v>12576285240</v>
          </cell>
          <cell r="X9">
            <v>978316432656</v>
          </cell>
          <cell r="Y9">
            <v>657665383192</v>
          </cell>
          <cell r="Z9">
            <v>657665383192</v>
          </cell>
          <cell r="AA9">
            <v>657665383192</v>
          </cell>
        </row>
        <row r="10">
          <cell r="L10" t="str">
            <v>A-03-03-01-999=10</v>
          </cell>
          <cell r="M10" t="str">
            <v>Nación</v>
          </cell>
          <cell r="N10" t="str">
            <v>10</v>
          </cell>
          <cell r="O10" t="str">
            <v>CSF</v>
          </cell>
          <cell r="P10" t="str">
            <v>OTRAS TRANSFERENCIAS - DISTRIBUCIÓN PREVIO CONCEPTO DGPPN</v>
          </cell>
          <cell r="Q10">
            <v>11791000000</v>
          </cell>
          <cell r="R10">
            <v>0</v>
          </cell>
          <cell r="S10">
            <v>0</v>
          </cell>
          <cell r="T10">
            <v>11791000000</v>
          </cell>
          <cell r="U10">
            <v>11791000000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L11" t="str">
            <v>A-03-04-02-012=10</v>
          </cell>
          <cell r="M11" t="str">
            <v>Nación</v>
          </cell>
          <cell r="N11" t="str">
            <v>10</v>
          </cell>
          <cell r="O11" t="str">
            <v>CSF</v>
          </cell>
          <cell r="P11" t="str">
            <v>INCAPACIDADES Y LICENCIAS DE MATERNIDAD Y PATERNIDAD (NO DE PENSIONES)</v>
          </cell>
          <cell r="Q11">
            <v>752000000</v>
          </cell>
          <cell r="R11">
            <v>0</v>
          </cell>
          <cell r="S11">
            <v>36000000</v>
          </cell>
          <cell r="T11">
            <v>716000000</v>
          </cell>
          <cell r="U11">
            <v>0</v>
          </cell>
          <cell r="V11">
            <v>716000000</v>
          </cell>
          <cell r="W11">
            <v>0</v>
          </cell>
          <cell r="X11">
            <v>356850368</v>
          </cell>
          <cell r="Y11">
            <v>255843969</v>
          </cell>
          <cell r="Z11">
            <v>255843969</v>
          </cell>
          <cell r="AA11">
            <v>255843969</v>
          </cell>
        </row>
        <row r="12">
          <cell r="L12" t="str">
            <v>A-03-04-02-025=10</v>
          </cell>
          <cell r="M12" t="str">
            <v>Nación</v>
          </cell>
          <cell r="N12" t="str">
            <v>10</v>
          </cell>
          <cell r="O12" t="str">
            <v>CSF</v>
          </cell>
          <cell r="P12" t="str">
            <v>INDEMNIZACIONES (NO DE PENSIONES)</v>
          </cell>
          <cell r="Q12">
            <v>0</v>
          </cell>
          <cell r="R12">
            <v>36000000</v>
          </cell>
          <cell r="S12">
            <v>0</v>
          </cell>
          <cell r="T12">
            <v>36000000</v>
          </cell>
          <cell r="U12">
            <v>0</v>
          </cell>
          <cell r="V12">
            <v>36000000</v>
          </cell>
          <cell r="W12">
            <v>0</v>
          </cell>
          <cell r="X12">
            <v>35990874</v>
          </cell>
          <cell r="Y12">
            <v>35990874</v>
          </cell>
          <cell r="Z12">
            <v>35990874</v>
          </cell>
          <cell r="AA12">
            <v>35990874</v>
          </cell>
        </row>
        <row r="13">
          <cell r="L13" t="str">
            <v>A-03-10-01-001=10</v>
          </cell>
          <cell r="M13" t="str">
            <v>Nación</v>
          </cell>
          <cell r="N13" t="str">
            <v>10</v>
          </cell>
          <cell r="O13" t="str">
            <v>CSF</v>
          </cell>
          <cell r="P13" t="str">
            <v>SENTENCIAS</v>
          </cell>
          <cell r="Q13">
            <v>2597000000</v>
          </cell>
          <cell r="R13">
            <v>0</v>
          </cell>
          <cell r="S13">
            <v>0</v>
          </cell>
          <cell r="T13">
            <v>2597000000</v>
          </cell>
          <cell r="U13">
            <v>0</v>
          </cell>
          <cell r="V13">
            <v>0</v>
          </cell>
          <cell r="W13">
            <v>2597000000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L14" t="str">
            <v>A-08-01=10</v>
          </cell>
          <cell r="M14" t="str">
            <v>Nación</v>
          </cell>
          <cell r="N14" t="str">
            <v>10</v>
          </cell>
          <cell r="O14" t="str">
            <v>CSF</v>
          </cell>
          <cell r="P14" t="str">
            <v>IMPUESTOS</v>
          </cell>
          <cell r="Q14">
            <v>84000000</v>
          </cell>
          <cell r="R14">
            <v>0</v>
          </cell>
          <cell r="S14">
            <v>0</v>
          </cell>
          <cell r="T14">
            <v>84000000</v>
          </cell>
          <cell r="U14">
            <v>0</v>
          </cell>
          <cell r="V14">
            <v>84000000</v>
          </cell>
          <cell r="W14">
            <v>0</v>
          </cell>
          <cell r="X14">
            <v>75892457.099999994</v>
          </cell>
          <cell r="Y14">
            <v>75892457.099999994</v>
          </cell>
          <cell r="Z14">
            <v>75892457.099999994</v>
          </cell>
          <cell r="AA14">
            <v>75704283.099999994</v>
          </cell>
        </row>
        <row r="15">
          <cell r="L15" t="str">
            <v>A-08-04-01=11</v>
          </cell>
          <cell r="M15" t="str">
            <v>Nación</v>
          </cell>
          <cell r="N15" t="str">
            <v>11</v>
          </cell>
          <cell r="O15" t="str">
            <v>SSF</v>
          </cell>
          <cell r="P15" t="str">
            <v>CUOTA DE FISCALIZACIÓN Y AUDITAJE</v>
          </cell>
          <cell r="Q15">
            <v>5740000000</v>
          </cell>
          <cell r="R15">
            <v>0</v>
          </cell>
          <cell r="S15">
            <v>0</v>
          </cell>
          <cell r="T15">
            <v>5740000000</v>
          </cell>
          <cell r="U15">
            <v>0</v>
          </cell>
          <cell r="V15">
            <v>4158767.3</v>
          </cell>
          <cell r="W15">
            <v>5735841232.6999998</v>
          </cell>
          <cell r="X15">
            <v>4118764.07</v>
          </cell>
          <cell r="Y15">
            <v>4118764.07</v>
          </cell>
          <cell r="Z15">
            <v>4118764.07</v>
          </cell>
          <cell r="AA15">
            <v>4118764.07</v>
          </cell>
        </row>
        <row r="16">
          <cell r="L16" t="str">
            <v>C-4101-1500-5=11</v>
          </cell>
          <cell r="M16" t="str">
            <v>Nación</v>
          </cell>
          <cell r="N16" t="str">
            <v>11</v>
          </cell>
          <cell r="O16" t="str">
            <v>CSF</v>
          </cell>
          <cell r="P16" t="str">
            <v>IMPLEMENTACIÓN DE INTERVENCIÓN INTEGRAL APD CON ENFOQUE DIFERENCIAL ÉTNICO PARA INDIGENAS Y AFROS A NIVEL  NACIONAL</v>
          </cell>
          <cell r="Q16">
            <v>66398074900</v>
          </cell>
          <cell r="R16">
            <v>0</v>
          </cell>
          <cell r="S16">
            <v>0</v>
          </cell>
          <cell r="T16">
            <v>66398074900</v>
          </cell>
          <cell r="U16">
            <v>0</v>
          </cell>
          <cell r="V16">
            <v>66267890394</v>
          </cell>
          <cell r="W16">
            <v>130184506</v>
          </cell>
          <cell r="X16">
            <v>61381319404</v>
          </cell>
          <cell r="Y16">
            <v>8851167796</v>
          </cell>
          <cell r="Z16">
            <v>8821974796</v>
          </cell>
          <cell r="AA16">
            <v>8821974796</v>
          </cell>
        </row>
        <row r="17">
          <cell r="L17" t="str">
            <v>C-4101-1500-6=11</v>
          </cell>
          <cell r="M17" t="str">
            <v>Nación</v>
          </cell>
          <cell r="N17" t="str">
            <v>11</v>
          </cell>
          <cell r="O17" t="str">
            <v>CSF</v>
          </cell>
          <cell r="P17" t="str">
            <v>IMPLEMENTACIÓN DE UN ESQUEMA ESPECIAL DE ACOMPAÑAMIENTO FAMILIAR DIRIGIDO A LA POBLACIÓN VICTIMA DE DESPLAZAMIENTO FORZADO RETORNADA O REUBICADA EN ZONAS RURALES, A NIVEL  NACIONAL</v>
          </cell>
          <cell r="Q17">
            <v>118101757963</v>
          </cell>
          <cell r="R17">
            <v>0</v>
          </cell>
          <cell r="S17">
            <v>0</v>
          </cell>
          <cell r="T17">
            <v>118101757963</v>
          </cell>
          <cell r="U17">
            <v>0</v>
          </cell>
          <cell r="V17">
            <v>118003436905</v>
          </cell>
          <cell r="W17">
            <v>98321058</v>
          </cell>
          <cell r="X17">
            <v>107300920202</v>
          </cell>
          <cell r="Y17">
            <v>32721793089</v>
          </cell>
          <cell r="Z17">
            <v>32712931036</v>
          </cell>
          <cell r="AA17">
            <v>29034768902</v>
          </cell>
        </row>
        <row r="18">
          <cell r="L18" t="str">
            <v>C-4103-1500-12=10</v>
          </cell>
          <cell r="M18" t="str">
            <v>Nación</v>
          </cell>
          <cell r="N18" t="str">
            <v>10</v>
          </cell>
          <cell r="O18" t="str">
            <v>CSF</v>
          </cell>
          <cell r="P18" t="str">
            <v>IMPLEMENTACIÓN DE TRANSFERENCIAS MONETARIAS CONDICIONADAS PARA POBLACIÓN VULNERABLE A NIVEL NACIONAL - FIP  NACIONAL</v>
          </cell>
          <cell r="Q18">
            <v>187908006435</v>
          </cell>
          <cell r="R18">
            <v>0</v>
          </cell>
          <cell r="S18">
            <v>0</v>
          </cell>
          <cell r="T18">
            <v>187908006435</v>
          </cell>
          <cell r="U18">
            <v>0</v>
          </cell>
          <cell r="V18">
            <v>137966390732.82999</v>
          </cell>
          <cell r="W18">
            <v>49941615702.169998</v>
          </cell>
          <cell r="X18">
            <v>134431834762.67</v>
          </cell>
          <cell r="Y18">
            <v>56629169710.959999</v>
          </cell>
          <cell r="Z18">
            <v>56569948697.959999</v>
          </cell>
          <cell r="AA18">
            <v>56568383097.959999</v>
          </cell>
        </row>
        <row r="19">
          <cell r="L19" t="str">
            <v>C-4103-1500-12=11</v>
          </cell>
          <cell r="M19" t="str">
            <v>Nación</v>
          </cell>
          <cell r="N19" t="str">
            <v>11</v>
          </cell>
          <cell r="O19" t="str">
            <v>CSF</v>
          </cell>
          <cell r="P19" t="str">
            <v>IMPLEMENTACIÓN DE TRANSFERENCIAS MONETARIAS CONDICIONADAS PARA POBLACIÓN VULNERABLE A NIVEL NACIONAL - FIP  NACIONAL</v>
          </cell>
          <cell r="Q19">
            <v>1691172057916</v>
          </cell>
          <cell r="R19">
            <v>0</v>
          </cell>
          <cell r="S19">
            <v>0</v>
          </cell>
          <cell r="T19">
            <v>1691172057916</v>
          </cell>
          <cell r="U19">
            <v>60000000000</v>
          </cell>
          <cell r="V19">
            <v>1631172057916</v>
          </cell>
          <cell r="W19">
            <v>0</v>
          </cell>
          <cell r="X19">
            <v>1631172057916</v>
          </cell>
          <cell r="Y19">
            <v>1369277288293</v>
          </cell>
          <cell r="Z19">
            <v>1369277288293</v>
          </cell>
          <cell r="AA19">
            <v>1369277288293</v>
          </cell>
        </row>
        <row r="20">
          <cell r="L20" t="str">
            <v>C-4103-1500-13=11</v>
          </cell>
          <cell r="M20" t="str">
            <v>Nación</v>
          </cell>
          <cell r="N20" t="str">
            <v>11</v>
          </cell>
          <cell r="O20" t="str">
            <v>CSF</v>
          </cell>
          <cell r="P20" t="str">
            <v>IMPLEMENTACIÓN DE UNIDADES PRODUCTIVAS DE AUTOCONSUMO PARA POBLACIÓN POBRE Y VULNERABLE   NACIONAL</v>
          </cell>
          <cell r="Q20">
            <v>25903028858</v>
          </cell>
          <cell r="R20">
            <v>1354183051</v>
          </cell>
          <cell r="S20">
            <v>0</v>
          </cell>
          <cell r="T20">
            <v>27257211909</v>
          </cell>
          <cell r="U20">
            <v>0</v>
          </cell>
          <cell r="V20">
            <v>25811933863</v>
          </cell>
          <cell r="W20">
            <v>1445278046</v>
          </cell>
          <cell r="X20">
            <v>15364091281</v>
          </cell>
          <cell r="Y20">
            <v>2260565009</v>
          </cell>
          <cell r="Z20">
            <v>2231165009</v>
          </cell>
          <cell r="AA20">
            <v>2231165009</v>
          </cell>
        </row>
        <row r="21">
          <cell r="L21" t="str">
            <v>C-4103-1500-14=10</v>
          </cell>
          <cell r="M21" t="str">
            <v>Nación</v>
          </cell>
          <cell r="N21" t="str">
            <v>10</v>
          </cell>
          <cell r="O21" t="str">
            <v>CSF</v>
          </cell>
          <cell r="P21" t="str">
            <v>FORTALECIMIENTO PARA EL DESARROLLO DE INFRAESTRUCTURA SOCIAL Y HÁBITAT PARA LA INCLUSIÓN SOCIAL A NIVEL NACIONAL - FIP  NACIONAL</v>
          </cell>
          <cell r="Q21">
            <v>50000000000</v>
          </cell>
          <cell r="R21">
            <v>0</v>
          </cell>
          <cell r="S21">
            <v>0</v>
          </cell>
          <cell r="T21">
            <v>50000000000</v>
          </cell>
          <cell r="U21">
            <v>50000000000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L22" t="str">
            <v>C-4103-1500-14=11</v>
          </cell>
          <cell r="M22" t="str">
            <v>Nación</v>
          </cell>
          <cell r="N22" t="str">
            <v>11</v>
          </cell>
          <cell r="O22" t="str">
            <v>CSF</v>
          </cell>
          <cell r="P22" t="str">
            <v>FORTALECIMIENTO PARA EL DESARROLLO DE INFRAESTRUCTURA SOCIAL Y HÁBITAT PARA LA INCLUSIÓN SOCIAL A NIVEL NACIONAL - FIP  NACIONAL</v>
          </cell>
          <cell r="Q22">
            <v>1176882227478</v>
          </cell>
          <cell r="R22">
            <v>0</v>
          </cell>
          <cell r="S22">
            <v>280000000000</v>
          </cell>
          <cell r="T22">
            <v>896882227478</v>
          </cell>
          <cell r="U22">
            <v>370000000000</v>
          </cell>
          <cell r="V22">
            <v>523703301183.71002</v>
          </cell>
          <cell r="W22">
            <v>3178926294.29</v>
          </cell>
          <cell r="X22">
            <v>508839053062.5</v>
          </cell>
          <cell r="Y22">
            <v>89222271656.970001</v>
          </cell>
          <cell r="Z22">
            <v>88979138547.970001</v>
          </cell>
          <cell r="AA22">
            <v>88970276494.970001</v>
          </cell>
        </row>
        <row r="23">
          <cell r="L23" t="str">
            <v>C-4103-1500-16=11</v>
          </cell>
          <cell r="M23" t="str">
            <v>Nación</v>
          </cell>
          <cell r="N23" t="str">
            <v>11</v>
          </cell>
          <cell r="O23" t="str">
            <v>CSF</v>
          </cell>
          <cell r="P23" t="str">
            <v>FORTALECIMIENTO A ENTIDADES TERRITORIALES EN POLITICA DE SEGURIDAD ALIMENTARIA  NACIONAL</v>
          </cell>
          <cell r="Q23">
            <v>1000000000</v>
          </cell>
          <cell r="R23">
            <v>0</v>
          </cell>
          <cell r="S23">
            <v>0</v>
          </cell>
          <cell r="T23">
            <v>1000000000</v>
          </cell>
          <cell r="U23">
            <v>0</v>
          </cell>
          <cell r="V23">
            <v>1000000000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L24" t="str">
            <v>C-4103-1500-17=11</v>
          </cell>
          <cell r="M24" t="str">
            <v>Nación</v>
          </cell>
          <cell r="N24" t="str">
            <v>11</v>
          </cell>
          <cell r="O24" t="str">
            <v>CSF</v>
          </cell>
          <cell r="P24" t="str">
            <v>IMPLEMENTACIÓN DE HERRAMIENTAS PARA LA INCLUSIÓN PRODUCTIVA DE LA POBLACIÓN EN SITUACIÓN DE POBREZA EXTREMA, VULNERABILIDAD Y VICTIMAS DEL DESPLAZAMIENTO FORZADO POR LA VIOLENCIA FIP A NIVEL  NACIONAL</v>
          </cell>
          <cell r="Q24">
            <v>83583395677</v>
          </cell>
          <cell r="R24">
            <v>650041300</v>
          </cell>
          <cell r="S24">
            <v>0</v>
          </cell>
          <cell r="T24">
            <v>84233436977</v>
          </cell>
          <cell r="U24">
            <v>40000000000</v>
          </cell>
          <cell r="V24">
            <v>42134451004</v>
          </cell>
          <cell r="W24">
            <v>2098985973</v>
          </cell>
          <cell r="X24">
            <v>40405854289</v>
          </cell>
          <cell r="Y24">
            <v>3662587385</v>
          </cell>
          <cell r="Z24">
            <v>3624763065</v>
          </cell>
          <cell r="AA24">
            <v>2782654313</v>
          </cell>
        </row>
        <row r="25">
          <cell r="L25" t="str">
            <v>C-4103-1500-18=11</v>
          </cell>
          <cell r="M25" t="str">
            <v>Nación</v>
          </cell>
          <cell r="N25" t="str">
            <v>11</v>
          </cell>
          <cell r="O25" t="str">
            <v>CSF</v>
          </cell>
          <cell r="P25" t="str">
            <v>IMPLEMENTACIÓN DE LA ESTRATEGIA DE ACOMPAÑAMIENTO FAMILIAR Y COMUNITARIO PARA LA SUPERACIÓN DE LA POBREZA - FIP A NIVEL   NACIONAL</v>
          </cell>
          <cell r="Q25">
            <v>70125561842</v>
          </cell>
          <cell r="R25">
            <v>0</v>
          </cell>
          <cell r="S25">
            <v>1004224351</v>
          </cell>
          <cell r="T25">
            <v>69121337491</v>
          </cell>
          <cell r="U25">
            <v>60000000000</v>
          </cell>
          <cell r="V25">
            <v>5624380365.9200001</v>
          </cell>
          <cell r="W25">
            <v>3496957125.0799999</v>
          </cell>
          <cell r="X25">
            <v>4680097023.9200001</v>
          </cell>
          <cell r="Y25">
            <v>1302591841.3800001</v>
          </cell>
          <cell r="Z25">
            <v>1302591841.3800001</v>
          </cell>
          <cell r="AA25">
            <v>1302591841.3800001</v>
          </cell>
        </row>
        <row r="26">
          <cell r="L26" t="str">
            <v>C-4103-1500-19=11</v>
          </cell>
          <cell r="M26" t="str">
            <v>Nación</v>
          </cell>
          <cell r="N26" t="str">
            <v>11</v>
          </cell>
          <cell r="O26" t="str">
            <v>CSF</v>
          </cell>
          <cell r="P26" t="str">
            <v>FORTALECIMIENTO DE LA GESTIÓN DE OFERTA PARA LA SUPERACIÓN DE LA POBREZA- FIP A NIVEL  NACIONAL</v>
          </cell>
          <cell r="Q26">
            <v>11281479935</v>
          </cell>
          <cell r="R26">
            <v>0</v>
          </cell>
          <cell r="S26">
            <v>1000000000</v>
          </cell>
          <cell r="T26">
            <v>10281479935</v>
          </cell>
          <cell r="U26">
            <v>0</v>
          </cell>
          <cell r="V26">
            <v>9786580320</v>
          </cell>
          <cell r="W26">
            <v>494899615</v>
          </cell>
          <cell r="X26">
            <v>5953820964.0500002</v>
          </cell>
          <cell r="Y26">
            <v>915160213</v>
          </cell>
          <cell r="Z26">
            <v>871271958</v>
          </cell>
          <cell r="AA26">
            <v>871271958</v>
          </cell>
        </row>
        <row r="27">
          <cell r="L27" t="str">
            <v>C-4103-1500-20=11</v>
          </cell>
          <cell r="M27" t="str">
            <v>Nación</v>
          </cell>
          <cell r="N27" t="str">
            <v>11</v>
          </cell>
          <cell r="O27" t="str">
            <v>CSF</v>
          </cell>
          <cell r="P27" t="str">
            <v>IMPLEMENTACION DE TRANSFERENCIAS MONETARIAS NO CONDICIONAS PARA DISMINUIR POBREZA MONETARIA EN LA POBLACION POBRE NACIONAL NACIONAL</v>
          </cell>
          <cell r="Q27">
            <v>0</v>
          </cell>
          <cell r="R27">
            <v>280000000000</v>
          </cell>
          <cell r="S27">
            <v>0</v>
          </cell>
          <cell r="T27">
            <v>280000000000</v>
          </cell>
          <cell r="U27">
            <v>0</v>
          </cell>
          <cell r="V27">
            <v>268635200000</v>
          </cell>
          <cell r="W27">
            <v>11364800000</v>
          </cell>
          <cell r="X27">
            <v>126006757916.81</v>
          </cell>
          <cell r="Y27">
            <v>104879100000</v>
          </cell>
          <cell r="Z27">
            <v>104879100000</v>
          </cell>
          <cell r="AA27">
            <v>104879100000</v>
          </cell>
        </row>
        <row r="28">
          <cell r="L28" t="str">
            <v>C-4199-1500-2=11</v>
          </cell>
          <cell r="M28" t="str">
            <v>Nación</v>
          </cell>
          <cell r="N28" t="str">
            <v>11</v>
          </cell>
          <cell r="O28" t="str">
            <v>CSF</v>
          </cell>
          <cell r="P28" t="str">
            <v>IMPLEMENTACIÓN Y AMPLIACIÓN DE LAS TECNOLOGÍAS DE INFORMACIÓN Y COMUNICACIONES EN DPS A NIVEL  NACIONAL</v>
          </cell>
          <cell r="Q28">
            <v>3226548466</v>
          </cell>
          <cell r="R28">
            <v>0</v>
          </cell>
          <cell r="S28">
            <v>0</v>
          </cell>
          <cell r="T28">
            <v>3226548466</v>
          </cell>
          <cell r="U28">
            <v>0</v>
          </cell>
          <cell r="V28">
            <v>2468074266.1300001</v>
          </cell>
          <cell r="W28">
            <v>758474199.87</v>
          </cell>
          <cell r="X28">
            <v>2018008934.1300001</v>
          </cell>
          <cell r="Y28">
            <v>2018008933.73</v>
          </cell>
          <cell r="Z28">
            <v>2018008933.73</v>
          </cell>
          <cell r="AA28">
            <v>2018008933.73</v>
          </cell>
        </row>
        <row r="29">
          <cell r="L29" t="str">
            <v>=</v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>
            <v>3648573139470</v>
          </cell>
          <cell r="R29">
            <v>1273505714247</v>
          </cell>
          <cell r="S29">
            <v>282040224351</v>
          </cell>
          <cell r="T29">
            <v>4640038629366</v>
          </cell>
          <cell r="U29">
            <v>591791000000</v>
          </cell>
          <cell r="V29">
            <v>3951506607196.5498</v>
          </cell>
          <cell r="W29">
            <v>96741022169.4496</v>
          </cell>
          <cell r="X29">
            <v>3699853449376.3999</v>
          </cell>
          <cell r="Y29">
            <v>2392800058764.7002</v>
          </cell>
          <cell r="Z29">
            <v>2392296368871.7002</v>
          </cell>
          <cell r="AA29">
            <v>2385210305585.4902</v>
          </cell>
        </row>
        <row r="30">
          <cell r="L30" t="str">
            <v>A-01-01-01-001-001=10</v>
          </cell>
          <cell r="M30" t="str">
            <v>Nación</v>
          </cell>
          <cell r="N30" t="str">
            <v>10</v>
          </cell>
          <cell r="O30" t="str">
            <v>CSF</v>
          </cell>
          <cell r="P30" t="str">
            <v>SUELDO BÁSICO</v>
          </cell>
          <cell r="Q30">
            <v>54858000000</v>
          </cell>
          <cell r="R30">
            <v>0</v>
          </cell>
          <cell r="S30">
            <v>0</v>
          </cell>
          <cell r="T30">
            <v>54858000000</v>
          </cell>
          <cell r="U30">
            <v>0</v>
          </cell>
          <cell r="V30">
            <v>54856528693</v>
          </cell>
          <cell r="W30">
            <v>1471307</v>
          </cell>
          <cell r="X30">
            <v>27329924158</v>
          </cell>
          <cell r="Y30">
            <v>27329924158</v>
          </cell>
          <cell r="Z30">
            <v>27329924158</v>
          </cell>
          <cell r="AA30">
            <v>27328452851</v>
          </cell>
        </row>
        <row r="31">
          <cell r="L31" t="str">
            <v>A-01-01-01-001-002=10</v>
          </cell>
          <cell r="M31" t="str">
            <v>Nación</v>
          </cell>
          <cell r="N31" t="str">
            <v>10</v>
          </cell>
          <cell r="O31" t="str">
            <v>CSF</v>
          </cell>
          <cell r="P31" t="str">
            <v>GASTOS DE REPRESENTACIÓN</v>
          </cell>
          <cell r="Q31">
            <v>263000000</v>
          </cell>
          <cell r="R31">
            <v>0</v>
          </cell>
          <cell r="S31">
            <v>0</v>
          </cell>
          <cell r="T31">
            <v>263000000</v>
          </cell>
          <cell r="U31">
            <v>0</v>
          </cell>
          <cell r="V31">
            <v>263000000</v>
          </cell>
          <cell r="W31">
            <v>0</v>
          </cell>
          <cell r="X31">
            <v>137890562</v>
          </cell>
          <cell r="Y31">
            <v>137890562</v>
          </cell>
          <cell r="Z31">
            <v>137890562</v>
          </cell>
          <cell r="AA31">
            <v>137890562</v>
          </cell>
        </row>
        <row r="32">
          <cell r="L32" t="str">
            <v>A-01-01-01-001-003=10</v>
          </cell>
          <cell r="M32" t="str">
            <v>Nación</v>
          </cell>
          <cell r="N32" t="str">
            <v>10</v>
          </cell>
          <cell r="O32" t="str">
            <v>CSF</v>
          </cell>
          <cell r="P32" t="str">
            <v>PRIMA TÉCNICA SALARIAL</v>
          </cell>
          <cell r="Q32">
            <v>550000000</v>
          </cell>
          <cell r="R32">
            <v>0</v>
          </cell>
          <cell r="S32">
            <v>0</v>
          </cell>
          <cell r="T32">
            <v>550000000</v>
          </cell>
          <cell r="U32">
            <v>0</v>
          </cell>
          <cell r="V32">
            <v>550000000</v>
          </cell>
          <cell r="W32">
            <v>0</v>
          </cell>
          <cell r="X32">
            <v>280134821</v>
          </cell>
          <cell r="Y32">
            <v>280134821</v>
          </cell>
          <cell r="Z32">
            <v>280134821</v>
          </cell>
          <cell r="AA32">
            <v>280134821</v>
          </cell>
        </row>
        <row r="33">
          <cell r="L33" t="str">
            <v>A-01-01-01-001-004=10</v>
          </cell>
          <cell r="M33" t="str">
            <v>Nación</v>
          </cell>
          <cell r="N33" t="str">
            <v>10</v>
          </cell>
          <cell r="O33" t="str">
            <v>CSF</v>
          </cell>
          <cell r="P33" t="str">
            <v>SUBSIDIO DE ALIMENTACIÓN</v>
          </cell>
          <cell r="Q33">
            <v>100000000</v>
          </cell>
          <cell r="R33">
            <v>0</v>
          </cell>
          <cell r="S33">
            <v>0</v>
          </cell>
          <cell r="T33">
            <v>100000000</v>
          </cell>
          <cell r="U33">
            <v>0</v>
          </cell>
          <cell r="V33">
            <v>100000000</v>
          </cell>
          <cell r="W33">
            <v>0</v>
          </cell>
          <cell r="X33">
            <v>46540402</v>
          </cell>
          <cell r="Y33">
            <v>46540402</v>
          </cell>
          <cell r="Z33">
            <v>46540402</v>
          </cell>
          <cell r="AA33">
            <v>46540402</v>
          </cell>
        </row>
        <row r="34">
          <cell r="L34" t="str">
            <v>A-01-01-01-001-005=10</v>
          </cell>
          <cell r="M34" t="str">
            <v>Nación</v>
          </cell>
          <cell r="N34" t="str">
            <v>10</v>
          </cell>
          <cell r="O34" t="str">
            <v>CSF</v>
          </cell>
          <cell r="P34" t="str">
            <v xml:space="preserve">AUXILIO DE TRANSPORTE </v>
          </cell>
          <cell r="Q34">
            <v>98000000</v>
          </cell>
          <cell r="R34">
            <v>0</v>
          </cell>
          <cell r="S34">
            <v>0</v>
          </cell>
          <cell r="T34">
            <v>98000000</v>
          </cell>
          <cell r="U34">
            <v>0</v>
          </cell>
          <cell r="V34">
            <v>98000000</v>
          </cell>
          <cell r="W34">
            <v>0</v>
          </cell>
          <cell r="X34">
            <v>37857107</v>
          </cell>
          <cell r="Y34">
            <v>35014908</v>
          </cell>
          <cell r="Z34">
            <v>35014908</v>
          </cell>
          <cell r="AA34">
            <v>35014908</v>
          </cell>
        </row>
        <row r="35">
          <cell r="L35" t="str">
            <v>A-01-01-01-001-006=10</v>
          </cell>
          <cell r="M35" t="str">
            <v>Nación</v>
          </cell>
          <cell r="N35" t="str">
            <v>10</v>
          </cell>
          <cell r="O35" t="str">
            <v>CSF</v>
          </cell>
          <cell r="P35" t="str">
            <v>PRIMA DE SERVICIO</v>
          </cell>
          <cell r="Q35">
            <v>2500000000</v>
          </cell>
          <cell r="R35">
            <v>230000000</v>
          </cell>
          <cell r="S35">
            <v>0</v>
          </cell>
          <cell r="T35">
            <v>2730000000</v>
          </cell>
          <cell r="U35">
            <v>0</v>
          </cell>
          <cell r="V35">
            <v>2730000000</v>
          </cell>
          <cell r="W35">
            <v>0</v>
          </cell>
          <cell r="X35">
            <v>2536186585</v>
          </cell>
          <cell r="Y35">
            <v>2536186585</v>
          </cell>
          <cell r="Z35">
            <v>2536186585</v>
          </cell>
          <cell r="AA35">
            <v>26471392</v>
          </cell>
        </row>
        <row r="36">
          <cell r="L36" t="str">
            <v>A-01-01-01-001-007=10</v>
          </cell>
          <cell r="M36" t="str">
            <v>Nación</v>
          </cell>
          <cell r="N36" t="str">
            <v>10</v>
          </cell>
          <cell r="O36" t="str">
            <v>CSF</v>
          </cell>
          <cell r="P36" t="str">
            <v>BONIFICACIÓN POR SERVICIOS PRESTADOS</v>
          </cell>
          <cell r="Q36">
            <v>1800000000</v>
          </cell>
          <cell r="R36">
            <v>0</v>
          </cell>
          <cell r="S36">
            <v>0</v>
          </cell>
          <cell r="T36">
            <v>1800000000</v>
          </cell>
          <cell r="U36">
            <v>0</v>
          </cell>
          <cell r="V36">
            <v>1800000000</v>
          </cell>
          <cell r="W36">
            <v>0</v>
          </cell>
          <cell r="X36">
            <v>976356499</v>
          </cell>
          <cell r="Y36">
            <v>976356499</v>
          </cell>
          <cell r="Z36">
            <v>976356499</v>
          </cell>
          <cell r="AA36">
            <v>976356499</v>
          </cell>
        </row>
        <row r="37">
          <cell r="L37" t="str">
            <v>A-01-01-01-001-008=10</v>
          </cell>
          <cell r="M37" t="str">
            <v>Nación</v>
          </cell>
          <cell r="N37" t="str">
            <v>10</v>
          </cell>
          <cell r="O37" t="str">
            <v>CSF</v>
          </cell>
          <cell r="P37" t="str">
            <v>HORAS EXTRAS, DOMINICALES, FESTIVOS Y RECARGOS</v>
          </cell>
          <cell r="Q37">
            <v>250000000</v>
          </cell>
          <cell r="R37">
            <v>0</v>
          </cell>
          <cell r="S37">
            <v>0</v>
          </cell>
          <cell r="T37">
            <v>250000000</v>
          </cell>
          <cell r="U37">
            <v>0</v>
          </cell>
          <cell r="V37">
            <v>250000000</v>
          </cell>
          <cell r="W37">
            <v>0</v>
          </cell>
          <cell r="X37">
            <v>36043388</v>
          </cell>
          <cell r="Y37">
            <v>36043388</v>
          </cell>
          <cell r="Z37">
            <v>36043388</v>
          </cell>
          <cell r="AA37">
            <v>36043388</v>
          </cell>
        </row>
        <row r="38">
          <cell r="L38" t="str">
            <v>A-01-01-01-001-009=10</v>
          </cell>
          <cell r="M38" t="str">
            <v>Nación</v>
          </cell>
          <cell r="N38" t="str">
            <v>10</v>
          </cell>
          <cell r="O38" t="str">
            <v>CSF</v>
          </cell>
          <cell r="P38" t="str">
            <v>PRIMA DE NAVIDAD</v>
          </cell>
          <cell r="Q38">
            <v>5000000000</v>
          </cell>
          <cell r="R38">
            <v>0</v>
          </cell>
          <cell r="S38">
            <v>0</v>
          </cell>
          <cell r="T38">
            <v>5000000000</v>
          </cell>
          <cell r="U38">
            <v>0</v>
          </cell>
          <cell r="V38">
            <v>5000000000</v>
          </cell>
          <cell r="W38">
            <v>0</v>
          </cell>
          <cell r="X38">
            <v>13825677</v>
          </cell>
          <cell r="Y38">
            <v>13825677</v>
          </cell>
          <cell r="Z38">
            <v>13825677</v>
          </cell>
          <cell r="AA38">
            <v>13825677</v>
          </cell>
        </row>
        <row r="39">
          <cell r="L39" t="str">
            <v>A-01-01-01-001-010=10</v>
          </cell>
          <cell r="M39" t="str">
            <v>Nación</v>
          </cell>
          <cell r="N39" t="str">
            <v>10</v>
          </cell>
          <cell r="O39" t="str">
            <v>CSF</v>
          </cell>
          <cell r="P39" t="str">
            <v>PRIMA DE VACACIONES</v>
          </cell>
          <cell r="Q39">
            <v>2600000000</v>
          </cell>
          <cell r="R39">
            <v>0</v>
          </cell>
          <cell r="S39">
            <v>275000000</v>
          </cell>
          <cell r="T39">
            <v>2325000000</v>
          </cell>
          <cell r="U39">
            <v>0</v>
          </cell>
          <cell r="V39">
            <v>2325000000</v>
          </cell>
          <cell r="W39">
            <v>0</v>
          </cell>
          <cell r="X39">
            <v>732483166</v>
          </cell>
          <cell r="Y39">
            <v>732483166</v>
          </cell>
          <cell r="Z39">
            <v>732483166</v>
          </cell>
          <cell r="AA39">
            <v>732483166</v>
          </cell>
        </row>
        <row r="40">
          <cell r="L40" t="str">
            <v>A-01-01-01-001-012=10</v>
          </cell>
          <cell r="M40" t="str">
            <v>Nación</v>
          </cell>
          <cell r="N40" t="str">
            <v>10</v>
          </cell>
          <cell r="O40" t="str">
            <v>CSF</v>
          </cell>
          <cell r="P40" t="str">
            <v xml:space="preserve">AUXILIO DE CONECTIVIDAD DIGITAL </v>
          </cell>
          <cell r="Q40">
            <v>0</v>
          </cell>
          <cell r="R40">
            <v>45000000</v>
          </cell>
          <cell r="S40">
            <v>0</v>
          </cell>
          <cell r="T40">
            <v>45000000</v>
          </cell>
          <cell r="U40">
            <v>0</v>
          </cell>
          <cell r="V40">
            <v>45000000</v>
          </cell>
          <cell r="W40">
            <v>0</v>
          </cell>
          <cell r="X40">
            <v>9003147</v>
          </cell>
          <cell r="Y40">
            <v>9003147</v>
          </cell>
          <cell r="Z40">
            <v>9003147</v>
          </cell>
          <cell r="AA40">
            <v>9003147</v>
          </cell>
        </row>
        <row r="41">
          <cell r="L41" t="str">
            <v>A-01-01-02-001=10</v>
          </cell>
          <cell r="M41" t="str">
            <v>Nación</v>
          </cell>
          <cell r="N41" t="str">
            <v>10</v>
          </cell>
          <cell r="O41" t="str">
            <v>CSF</v>
          </cell>
          <cell r="P41" t="str">
            <v>PENSIONES</v>
          </cell>
          <cell r="Q41">
            <v>7000000000</v>
          </cell>
          <cell r="R41">
            <v>0</v>
          </cell>
          <cell r="S41">
            <v>0</v>
          </cell>
          <cell r="T41">
            <v>7000000000</v>
          </cell>
          <cell r="U41">
            <v>0</v>
          </cell>
          <cell r="V41">
            <v>7000000000</v>
          </cell>
          <cell r="W41">
            <v>0</v>
          </cell>
          <cell r="X41">
            <v>3463491758</v>
          </cell>
          <cell r="Y41">
            <v>3463491758</v>
          </cell>
          <cell r="Z41">
            <v>3463491758</v>
          </cell>
          <cell r="AA41">
            <v>3463491758</v>
          </cell>
        </row>
        <row r="42">
          <cell r="L42" t="str">
            <v>A-01-01-02-002=10</v>
          </cell>
          <cell r="M42" t="str">
            <v>Nación</v>
          </cell>
          <cell r="N42" t="str">
            <v>10</v>
          </cell>
          <cell r="O42" t="str">
            <v>CSF</v>
          </cell>
          <cell r="P42" t="str">
            <v>SALUD</v>
          </cell>
          <cell r="Q42">
            <v>6000000000</v>
          </cell>
          <cell r="R42">
            <v>0</v>
          </cell>
          <cell r="S42">
            <v>0</v>
          </cell>
          <cell r="T42">
            <v>6000000000</v>
          </cell>
          <cell r="U42">
            <v>0</v>
          </cell>
          <cell r="V42">
            <v>6000000000</v>
          </cell>
          <cell r="W42">
            <v>0</v>
          </cell>
          <cell r="X42">
            <v>2600725058</v>
          </cell>
          <cell r="Y42">
            <v>2600725058</v>
          </cell>
          <cell r="Z42">
            <v>2600725058</v>
          </cell>
          <cell r="AA42">
            <v>2600725058</v>
          </cell>
        </row>
        <row r="43">
          <cell r="L43" t="str">
            <v>A-01-01-02-003=10</v>
          </cell>
          <cell r="M43" t="str">
            <v>Nación</v>
          </cell>
          <cell r="N43" t="str">
            <v>10</v>
          </cell>
          <cell r="O43" t="str">
            <v>CSF</v>
          </cell>
          <cell r="P43" t="str">
            <v xml:space="preserve">AUXILIO DE CESANTÍAS </v>
          </cell>
          <cell r="Q43">
            <v>5555000000</v>
          </cell>
          <cell r="R43">
            <v>0</v>
          </cell>
          <cell r="S43">
            <v>0</v>
          </cell>
          <cell r="T43">
            <v>5555000000</v>
          </cell>
          <cell r="U43">
            <v>0</v>
          </cell>
          <cell r="V43">
            <v>5555000000</v>
          </cell>
          <cell r="W43">
            <v>0</v>
          </cell>
          <cell r="X43">
            <v>4950300000</v>
          </cell>
          <cell r="Y43">
            <v>2488007128</v>
          </cell>
          <cell r="Z43">
            <v>2488007128</v>
          </cell>
          <cell r="AA43">
            <v>2488007128</v>
          </cell>
        </row>
        <row r="44">
          <cell r="L44" t="str">
            <v>A-01-01-02-004=10</v>
          </cell>
          <cell r="M44" t="str">
            <v>Nación</v>
          </cell>
          <cell r="N44" t="str">
            <v>10</v>
          </cell>
          <cell r="O44" t="str">
            <v>CSF</v>
          </cell>
          <cell r="P44" t="str">
            <v>CAJAS DE COMPENSACIÓN FAMILIAR</v>
          </cell>
          <cell r="Q44">
            <v>2500000000</v>
          </cell>
          <cell r="R44">
            <v>0</v>
          </cell>
          <cell r="S44">
            <v>0</v>
          </cell>
          <cell r="T44">
            <v>2500000000</v>
          </cell>
          <cell r="U44">
            <v>0</v>
          </cell>
          <cell r="V44">
            <v>2500000000</v>
          </cell>
          <cell r="W44">
            <v>0</v>
          </cell>
          <cell r="X44">
            <v>1196942800</v>
          </cell>
          <cell r="Y44">
            <v>1196942800</v>
          </cell>
          <cell r="Z44">
            <v>1196942800</v>
          </cell>
          <cell r="AA44">
            <v>1196942800</v>
          </cell>
        </row>
        <row r="45">
          <cell r="L45" t="str">
            <v>A-01-01-02-005=10</v>
          </cell>
          <cell r="M45" t="str">
            <v>Nación</v>
          </cell>
          <cell r="N45" t="str">
            <v>10</v>
          </cell>
          <cell r="O45" t="str">
            <v>CSF</v>
          </cell>
          <cell r="P45" t="str">
            <v>APORTES GENERALES AL SISTEMA DE RIESGOS LABORALES</v>
          </cell>
          <cell r="Q45">
            <v>500000000</v>
          </cell>
          <cell r="R45">
            <v>0</v>
          </cell>
          <cell r="S45">
            <v>0</v>
          </cell>
          <cell r="T45">
            <v>500000000</v>
          </cell>
          <cell r="U45">
            <v>0</v>
          </cell>
          <cell r="V45">
            <v>500000000</v>
          </cell>
          <cell r="W45">
            <v>0</v>
          </cell>
          <cell r="X45">
            <v>295722400</v>
          </cell>
          <cell r="Y45">
            <v>288782200</v>
          </cell>
          <cell r="Z45">
            <v>288782200</v>
          </cell>
          <cell r="AA45">
            <v>288722400</v>
          </cell>
        </row>
        <row r="46">
          <cell r="L46" t="str">
            <v>A-01-01-02-006=10</v>
          </cell>
          <cell r="M46" t="str">
            <v>Nación</v>
          </cell>
          <cell r="N46" t="str">
            <v>10</v>
          </cell>
          <cell r="O46" t="str">
            <v>CSF</v>
          </cell>
          <cell r="P46" t="str">
            <v>APORTES AL ICBF</v>
          </cell>
          <cell r="Q46">
            <v>1890000000</v>
          </cell>
          <cell r="R46">
            <v>0</v>
          </cell>
          <cell r="S46">
            <v>0</v>
          </cell>
          <cell r="T46">
            <v>1890000000</v>
          </cell>
          <cell r="U46">
            <v>0</v>
          </cell>
          <cell r="V46">
            <v>1890000000</v>
          </cell>
          <cell r="W46">
            <v>0</v>
          </cell>
          <cell r="X46">
            <v>897846600</v>
          </cell>
          <cell r="Y46">
            <v>897846600</v>
          </cell>
          <cell r="Z46">
            <v>897846600</v>
          </cell>
          <cell r="AA46">
            <v>897846600</v>
          </cell>
        </row>
        <row r="47">
          <cell r="L47" t="str">
            <v>A-01-01-02-007=10</v>
          </cell>
          <cell r="M47" t="str">
            <v>Nación</v>
          </cell>
          <cell r="N47" t="str">
            <v>10</v>
          </cell>
          <cell r="O47" t="str">
            <v>CSF</v>
          </cell>
          <cell r="P47" t="str">
            <v>APORTES AL SENA</v>
          </cell>
          <cell r="Q47">
            <v>320000000</v>
          </cell>
          <cell r="R47">
            <v>0</v>
          </cell>
          <cell r="S47">
            <v>0</v>
          </cell>
          <cell r="T47">
            <v>320000000</v>
          </cell>
          <cell r="U47">
            <v>0</v>
          </cell>
          <cell r="V47">
            <v>320000000</v>
          </cell>
          <cell r="W47">
            <v>0</v>
          </cell>
          <cell r="X47">
            <v>149928700</v>
          </cell>
          <cell r="Y47">
            <v>149928700</v>
          </cell>
          <cell r="Z47">
            <v>149928700</v>
          </cell>
          <cell r="AA47">
            <v>149928700</v>
          </cell>
        </row>
        <row r="48">
          <cell r="L48" t="str">
            <v>A-01-01-02-008=10</v>
          </cell>
          <cell r="M48" t="str">
            <v>Nación</v>
          </cell>
          <cell r="N48" t="str">
            <v>10</v>
          </cell>
          <cell r="O48" t="str">
            <v>CSF</v>
          </cell>
          <cell r="P48" t="str">
            <v>APORTES A LA ESAP</v>
          </cell>
          <cell r="Q48">
            <v>320000000</v>
          </cell>
          <cell r="R48">
            <v>0</v>
          </cell>
          <cell r="S48">
            <v>0</v>
          </cell>
          <cell r="T48">
            <v>320000000</v>
          </cell>
          <cell r="U48">
            <v>0</v>
          </cell>
          <cell r="V48">
            <v>320000000</v>
          </cell>
          <cell r="W48">
            <v>0</v>
          </cell>
          <cell r="X48">
            <v>149928700</v>
          </cell>
          <cell r="Y48">
            <v>149928700</v>
          </cell>
          <cell r="Z48">
            <v>149928700</v>
          </cell>
          <cell r="AA48">
            <v>149928700</v>
          </cell>
        </row>
        <row r="49">
          <cell r="L49" t="str">
            <v>A-01-01-02-009=10</v>
          </cell>
          <cell r="M49" t="str">
            <v>Nación</v>
          </cell>
          <cell r="N49" t="str">
            <v>10</v>
          </cell>
          <cell r="O49" t="str">
            <v>CSF</v>
          </cell>
          <cell r="P49" t="str">
            <v>APORTES A ESCUELAS INDUSTRIALES E INSTITUTOS TÉCNICOS</v>
          </cell>
          <cell r="Q49">
            <v>650000000</v>
          </cell>
          <cell r="R49">
            <v>0</v>
          </cell>
          <cell r="S49">
            <v>0</v>
          </cell>
          <cell r="T49">
            <v>650000000</v>
          </cell>
          <cell r="U49">
            <v>0</v>
          </cell>
          <cell r="V49">
            <v>650000000</v>
          </cell>
          <cell r="W49">
            <v>0</v>
          </cell>
          <cell r="X49">
            <v>299538500</v>
          </cell>
          <cell r="Y49">
            <v>299538500</v>
          </cell>
          <cell r="Z49">
            <v>299538500</v>
          </cell>
          <cell r="AA49">
            <v>299538500</v>
          </cell>
        </row>
        <row r="50">
          <cell r="L50" t="str">
            <v>A-01-01-03-001-001=10</v>
          </cell>
          <cell r="M50" t="str">
            <v>Nación</v>
          </cell>
          <cell r="N50" t="str">
            <v>10</v>
          </cell>
          <cell r="O50" t="str">
            <v>CSF</v>
          </cell>
          <cell r="P50" t="str">
            <v>SUELDO DE VACACIONES</v>
          </cell>
          <cell r="Q50">
            <v>2580000000</v>
          </cell>
          <cell r="R50">
            <v>0</v>
          </cell>
          <cell r="S50">
            <v>0</v>
          </cell>
          <cell r="T50">
            <v>2580000000</v>
          </cell>
          <cell r="U50">
            <v>0</v>
          </cell>
          <cell r="V50">
            <v>2580000000</v>
          </cell>
          <cell r="W50">
            <v>0</v>
          </cell>
          <cell r="X50">
            <v>989319788</v>
          </cell>
          <cell r="Y50">
            <v>989319788</v>
          </cell>
          <cell r="Z50">
            <v>989319788</v>
          </cell>
          <cell r="AA50">
            <v>989319788</v>
          </cell>
        </row>
        <row r="51">
          <cell r="L51" t="str">
            <v>A-01-01-03-001-002=10</v>
          </cell>
          <cell r="M51" t="str">
            <v>Nación</v>
          </cell>
          <cell r="N51" t="str">
            <v>10</v>
          </cell>
          <cell r="O51" t="str">
            <v>CSF</v>
          </cell>
          <cell r="P51" t="str">
            <v>INDEMNIZACIÓN POR VACACIONES</v>
          </cell>
          <cell r="Q51">
            <v>500000000</v>
          </cell>
          <cell r="R51">
            <v>0</v>
          </cell>
          <cell r="S51">
            <v>0</v>
          </cell>
          <cell r="T51">
            <v>500000000</v>
          </cell>
          <cell r="U51">
            <v>0</v>
          </cell>
          <cell r="V51">
            <v>500000000</v>
          </cell>
          <cell r="W51">
            <v>0</v>
          </cell>
          <cell r="X51">
            <v>111949249</v>
          </cell>
          <cell r="Y51">
            <v>111949249</v>
          </cell>
          <cell r="Z51">
            <v>111949249</v>
          </cell>
          <cell r="AA51">
            <v>111949249</v>
          </cell>
        </row>
        <row r="52">
          <cell r="L52" t="str">
            <v>A-01-01-03-001-003=10</v>
          </cell>
          <cell r="M52" t="str">
            <v>Nación</v>
          </cell>
          <cell r="N52" t="str">
            <v>10</v>
          </cell>
          <cell r="O52" t="str">
            <v>CSF</v>
          </cell>
          <cell r="P52" t="str">
            <v>BONIFICACIÓN ESPECIAL DE RECREACIÓN</v>
          </cell>
          <cell r="Q52">
            <v>320000000</v>
          </cell>
          <cell r="R52">
            <v>0</v>
          </cell>
          <cell r="S52">
            <v>0</v>
          </cell>
          <cell r="T52">
            <v>320000000</v>
          </cell>
          <cell r="U52">
            <v>0</v>
          </cell>
          <cell r="V52">
            <v>320000000</v>
          </cell>
          <cell r="W52">
            <v>0</v>
          </cell>
          <cell r="X52">
            <v>90779950</v>
          </cell>
          <cell r="Y52">
            <v>90779950</v>
          </cell>
          <cell r="Z52">
            <v>90779950</v>
          </cell>
          <cell r="AA52">
            <v>90779950</v>
          </cell>
        </row>
        <row r="53">
          <cell r="L53" t="str">
            <v>A-01-01-03-002=10</v>
          </cell>
          <cell r="M53" t="str">
            <v>Nación</v>
          </cell>
          <cell r="N53" t="str">
            <v>10</v>
          </cell>
          <cell r="O53" t="str">
            <v>CSF</v>
          </cell>
          <cell r="P53" t="str">
            <v>PRIMA TÉCNICA NO SALARIAL</v>
          </cell>
          <cell r="Q53">
            <v>2160000000</v>
          </cell>
          <cell r="R53">
            <v>0</v>
          </cell>
          <cell r="S53">
            <v>0</v>
          </cell>
          <cell r="T53">
            <v>2160000000</v>
          </cell>
          <cell r="U53">
            <v>0</v>
          </cell>
          <cell r="V53">
            <v>2160000000</v>
          </cell>
          <cell r="W53">
            <v>0</v>
          </cell>
          <cell r="X53">
            <v>1110141224</v>
          </cell>
          <cell r="Y53">
            <v>1110141224</v>
          </cell>
          <cell r="Z53">
            <v>1110141224</v>
          </cell>
          <cell r="AA53">
            <v>1110141224</v>
          </cell>
        </row>
        <row r="54">
          <cell r="L54" t="str">
            <v>A-01-01-03-005=10</v>
          </cell>
          <cell r="M54" t="str">
            <v>Nación</v>
          </cell>
          <cell r="N54" t="str">
            <v>10</v>
          </cell>
          <cell r="O54" t="str">
            <v>CSF</v>
          </cell>
          <cell r="P54" t="str">
            <v>PRIMA DE RIESGO</v>
          </cell>
          <cell r="Q54">
            <v>24000000</v>
          </cell>
          <cell r="R54">
            <v>0</v>
          </cell>
          <cell r="S54">
            <v>0</v>
          </cell>
          <cell r="T54">
            <v>24000000</v>
          </cell>
          <cell r="U54">
            <v>0</v>
          </cell>
          <cell r="V54">
            <v>24000000</v>
          </cell>
          <cell r="W54">
            <v>0</v>
          </cell>
          <cell r="X54">
            <v>2090706</v>
          </cell>
          <cell r="Y54">
            <v>2090706</v>
          </cell>
          <cell r="Z54">
            <v>2090706</v>
          </cell>
          <cell r="AA54">
            <v>2090706</v>
          </cell>
        </row>
        <row r="55">
          <cell r="L55" t="str">
            <v>A-01-01-03-013=10</v>
          </cell>
          <cell r="M55" t="str">
            <v>Nación</v>
          </cell>
          <cell r="N55" t="str">
            <v>10</v>
          </cell>
          <cell r="O55" t="str">
            <v>CSF</v>
          </cell>
          <cell r="P55" t="str">
            <v>ESTÍMULOS A LOS EMPLEADOS DEL ESTADO</v>
          </cell>
          <cell r="Q55">
            <v>30000000</v>
          </cell>
          <cell r="R55">
            <v>0</v>
          </cell>
          <cell r="S55">
            <v>0</v>
          </cell>
          <cell r="T55">
            <v>30000000</v>
          </cell>
          <cell r="U55">
            <v>0</v>
          </cell>
          <cell r="V55">
            <v>30000000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L56" t="str">
            <v>A-01-01-03-016=10</v>
          </cell>
          <cell r="M56" t="str">
            <v>Nación</v>
          </cell>
          <cell r="N56" t="str">
            <v>10</v>
          </cell>
          <cell r="O56" t="str">
            <v>CSF</v>
          </cell>
          <cell r="P56" t="str">
            <v>PRIMA DE COORDINACIÓN</v>
          </cell>
          <cell r="Q56">
            <v>770000000</v>
          </cell>
          <cell r="R56">
            <v>0</v>
          </cell>
          <cell r="S56">
            <v>0</v>
          </cell>
          <cell r="T56">
            <v>770000000</v>
          </cell>
          <cell r="U56">
            <v>0</v>
          </cell>
          <cell r="V56">
            <v>770000000</v>
          </cell>
          <cell r="W56">
            <v>0</v>
          </cell>
          <cell r="X56">
            <v>409233171</v>
          </cell>
          <cell r="Y56">
            <v>408913104</v>
          </cell>
          <cell r="Z56">
            <v>408913104</v>
          </cell>
          <cell r="AA56">
            <v>408913104</v>
          </cell>
        </row>
        <row r="57">
          <cell r="L57" t="str">
            <v>A-01-01-03-030=10</v>
          </cell>
          <cell r="M57" t="str">
            <v>Nación</v>
          </cell>
          <cell r="N57" t="str">
            <v>10</v>
          </cell>
          <cell r="O57" t="str">
            <v>CSF</v>
          </cell>
          <cell r="P57" t="str">
            <v>BONIFICACIÓN DE DIRECCIÓN</v>
          </cell>
          <cell r="Q57">
            <v>600000000</v>
          </cell>
          <cell r="R57">
            <v>0</v>
          </cell>
          <cell r="S57">
            <v>0</v>
          </cell>
          <cell r="T57">
            <v>600000000</v>
          </cell>
          <cell r="U57">
            <v>0</v>
          </cell>
          <cell r="V57">
            <v>600000000</v>
          </cell>
          <cell r="W57">
            <v>0</v>
          </cell>
          <cell r="X57">
            <v>298089875</v>
          </cell>
          <cell r="Y57">
            <v>298089875</v>
          </cell>
          <cell r="Z57">
            <v>298089875</v>
          </cell>
          <cell r="AA57">
            <v>298089875</v>
          </cell>
        </row>
        <row r="58">
          <cell r="L58" t="str">
            <v>A-02-02-01-001-005=10</v>
          </cell>
          <cell r="M58" t="str">
            <v>Nación</v>
          </cell>
          <cell r="N58" t="str">
            <v>10</v>
          </cell>
          <cell r="O58" t="str">
            <v>CSF</v>
          </cell>
          <cell r="P58" t="str">
            <v>PIEDRA, ARENA Y ARCILLA</v>
          </cell>
          <cell r="Q58">
            <v>51000000</v>
          </cell>
          <cell r="R58">
            <v>0</v>
          </cell>
          <cell r="S58">
            <v>16000000</v>
          </cell>
          <cell r="T58">
            <v>35000000</v>
          </cell>
          <cell r="U58">
            <v>0</v>
          </cell>
          <cell r="V58">
            <v>35000000</v>
          </cell>
          <cell r="W58">
            <v>0</v>
          </cell>
          <cell r="X58">
            <v>35000000</v>
          </cell>
          <cell r="Y58">
            <v>0</v>
          </cell>
          <cell r="Z58">
            <v>0</v>
          </cell>
          <cell r="AA58">
            <v>0</v>
          </cell>
        </row>
        <row r="59">
          <cell r="L59" t="str">
            <v>A-02-02-01-001-007=10</v>
          </cell>
          <cell r="M59" t="str">
            <v>Nación</v>
          </cell>
          <cell r="N59" t="str">
            <v>10</v>
          </cell>
          <cell r="O59" t="str">
            <v>CSF</v>
          </cell>
          <cell r="P59" t="str">
            <v>ELECTRICIDAD, GAS DE CIUDAD, VAPOR Y AGUA CALIENTE</v>
          </cell>
          <cell r="Q59">
            <v>18000000</v>
          </cell>
          <cell r="R59">
            <v>0</v>
          </cell>
          <cell r="S59">
            <v>4567529</v>
          </cell>
          <cell r="T59">
            <v>13432471</v>
          </cell>
          <cell r="U59">
            <v>0</v>
          </cell>
          <cell r="V59">
            <v>13432471</v>
          </cell>
          <cell r="W59">
            <v>0</v>
          </cell>
          <cell r="X59">
            <v>7432471</v>
          </cell>
          <cell r="Y59">
            <v>0</v>
          </cell>
          <cell r="Z59">
            <v>0</v>
          </cell>
          <cell r="AA59">
            <v>0</v>
          </cell>
        </row>
        <row r="60">
          <cell r="L60" t="str">
            <v>A-02-02-01-002-008=10</v>
          </cell>
          <cell r="M60" t="str">
            <v>Nación</v>
          </cell>
          <cell r="N60" t="str">
            <v>10</v>
          </cell>
          <cell r="O60" t="str">
            <v>CSF</v>
          </cell>
          <cell r="P60" t="str">
            <v>DOTACIÓN (PRENDAS DE VESTIR Y CALZADO)</v>
          </cell>
          <cell r="Q60">
            <v>140000000</v>
          </cell>
          <cell r="R60">
            <v>0</v>
          </cell>
          <cell r="S60">
            <v>0</v>
          </cell>
          <cell r="T60">
            <v>140000000</v>
          </cell>
          <cell r="U60">
            <v>0</v>
          </cell>
          <cell r="V60">
            <v>140000000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L61" t="str">
            <v>A-02-02-01-003-002=10</v>
          </cell>
          <cell r="M61" t="str">
            <v>Nación</v>
          </cell>
          <cell r="N61" t="str">
            <v>10</v>
          </cell>
          <cell r="O61" t="str">
            <v>CSF</v>
          </cell>
          <cell r="P61" t="str">
            <v>PASTA O PULPA, PAPEL Y PRODUCTOS DE PAPEL; IMPRESOS Y ARTÍCULOS RELACIONADOS</v>
          </cell>
          <cell r="Q61">
            <v>106000000</v>
          </cell>
          <cell r="R61">
            <v>0</v>
          </cell>
          <cell r="S61">
            <v>0</v>
          </cell>
          <cell r="T61">
            <v>106000000</v>
          </cell>
          <cell r="U61">
            <v>0</v>
          </cell>
          <cell r="V61">
            <v>106000000</v>
          </cell>
          <cell r="W61">
            <v>0</v>
          </cell>
          <cell r="X61">
            <v>3500000</v>
          </cell>
          <cell r="Y61">
            <v>500000</v>
          </cell>
          <cell r="Z61">
            <v>500000</v>
          </cell>
          <cell r="AA61">
            <v>500000</v>
          </cell>
        </row>
        <row r="62">
          <cell r="L62" t="str">
            <v>A-02-02-01-003-003=10</v>
          </cell>
          <cell r="M62" t="str">
            <v>Nación</v>
          </cell>
          <cell r="N62" t="str">
            <v>10</v>
          </cell>
          <cell r="O62" t="str">
            <v>CSF</v>
          </cell>
          <cell r="P62" t="str">
            <v>PRODUCTOS DE HORNOS DE COQUE; PRODUCTOS DE REFINACIÓN DE PETRÓLEO Y COMBUSTIBLE NUCLEAR</v>
          </cell>
          <cell r="Q62">
            <v>107264202</v>
          </cell>
          <cell r="R62">
            <v>0</v>
          </cell>
          <cell r="S62">
            <v>9200000</v>
          </cell>
          <cell r="T62">
            <v>98064202</v>
          </cell>
          <cell r="U62">
            <v>0</v>
          </cell>
          <cell r="V62">
            <v>98064202</v>
          </cell>
          <cell r="W62">
            <v>0</v>
          </cell>
          <cell r="X62">
            <v>98064202</v>
          </cell>
          <cell r="Y62">
            <v>18474676</v>
          </cell>
          <cell r="Z62">
            <v>18474676</v>
          </cell>
          <cell r="AA62">
            <v>18474676</v>
          </cell>
        </row>
        <row r="63">
          <cell r="L63" t="str">
            <v>A-02-02-01-003-005=10</v>
          </cell>
          <cell r="M63" t="str">
            <v>Nación</v>
          </cell>
          <cell r="N63" t="str">
            <v>10</v>
          </cell>
          <cell r="O63" t="str">
            <v>CSF</v>
          </cell>
          <cell r="P63" t="str">
            <v>OTROS PRODUCTOS QUÍMICOS; FIBRAS ARTIFICIALES (O FIBRAS INDUSTRIALES HECHAS POR EL HOMBRE)</v>
          </cell>
          <cell r="Q63">
            <v>6000000</v>
          </cell>
          <cell r="R63">
            <v>70000000</v>
          </cell>
          <cell r="S63">
            <v>0</v>
          </cell>
          <cell r="T63">
            <v>76000000</v>
          </cell>
          <cell r="U63">
            <v>0</v>
          </cell>
          <cell r="V63">
            <v>76000000</v>
          </cell>
          <cell r="W63">
            <v>0</v>
          </cell>
          <cell r="X63">
            <v>46907780</v>
          </cell>
          <cell r="Y63">
            <v>0</v>
          </cell>
          <cell r="Z63">
            <v>0</v>
          </cell>
          <cell r="AA63">
            <v>0</v>
          </cell>
        </row>
        <row r="64">
          <cell r="L64" t="str">
            <v>A-02-02-01-003-006=10</v>
          </cell>
          <cell r="M64" t="str">
            <v>Nación</v>
          </cell>
          <cell r="N64" t="str">
            <v>10</v>
          </cell>
          <cell r="O64" t="str">
            <v>CSF</v>
          </cell>
          <cell r="P64" t="str">
            <v>PRODUCTOS DE CAUCHO Y PLÁSTICO</v>
          </cell>
          <cell r="Q64">
            <v>18000000</v>
          </cell>
          <cell r="R64">
            <v>0</v>
          </cell>
          <cell r="S64">
            <v>2000000</v>
          </cell>
          <cell r="T64">
            <v>16000000</v>
          </cell>
          <cell r="U64">
            <v>0</v>
          </cell>
          <cell r="V64">
            <v>16000000</v>
          </cell>
          <cell r="W64">
            <v>0</v>
          </cell>
          <cell r="X64">
            <v>16000000</v>
          </cell>
          <cell r="Y64">
            <v>0</v>
          </cell>
          <cell r="Z64">
            <v>0</v>
          </cell>
          <cell r="AA64">
            <v>0</v>
          </cell>
        </row>
        <row r="65">
          <cell r="L65" t="str">
            <v>A-02-02-01-003-007=10</v>
          </cell>
          <cell r="M65" t="str">
            <v>Nación</v>
          </cell>
          <cell r="N65" t="str">
            <v>10</v>
          </cell>
          <cell r="O65" t="str">
            <v>CSF</v>
          </cell>
          <cell r="P65" t="str">
            <v>VIDRIO Y PRODUCTOS DE VIDRIO Y OTROS PRODUCTOS NO METÁLICOS N.C.P.</v>
          </cell>
          <cell r="Q65">
            <v>8000000</v>
          </cell>
          <cell r="R65">
            <v>0</v>
          </cell>
          <cell r="S65">
            <v>6000000</v>
          </cell>
          <cell r="T65">
            <v>2000000</v>
          </cell>
          <cell r="U65">
            <v>0</v>
          </cell>
          <cell r="V65">
            <v>2000000</v>
          </cell>
          <cell r="W65">
            <v>0</v>
          </cell>
          <cell r="X65">
            <v>1200000</v>
          </cell>
          <cell r="Y65">
            <v>0</v>
          </cell>
          <cell r="Z65">
            <v>0</v>
          </cell>
          <cell r="AA65">
            <v>0</v>
          </cell>
        </row>
        <row r="66">
          <cell r="L66" t="str">
            <v>A-02-02-01-003-008=10</v>
          </cell>
          <cell r="M66" t="str">
            <v>Nación</v>
          </cell>
          <cell r="N66" t="str">
            <v>10</v>
          </cell>
          <cell r="O66" t="str">
            <v>CSF</v>
          </cell>
          <cell r="P66" t="str">
            <v>OTROS BIENES TRANSPORTABLES N.C.P.</v>
          </cell>
          <cell r="Q66">
            <v>110000000</v>
          </cell>
          <cell r="R66">
            <v>0</v>
          </cell>
          <cell r="S66">
            <v>3000000</v>
          </cell>
          <cell r="T66">
            <v>107000000</v>
          </cell>
          <cell r="U66">
            <v>0</v>
          </cell>
          <cell r="V66">
            <v>106992969</v>
          </cell>
          <cell r="W66">
            <v>7031</v>
          </cell>
          <cell r="X66">
            <v>89806136.579999998</v>
          </cell>
          <cell r="Y66">
            <v>500000</v>
          </cell>
          <cell r="Z66">
            <v>500000</v>
          </cell>
          <cell r="AA66">
            <v>500000</v>
          </cell>
        </row>
        <row r="67">
          <cell r="L67" t="str">
            <v>A-02-02-01-004-002=10</v>
          </cell>
          <cell r="M67" t="str">
            <v>Nación</v>
          </cell>
          <cell r="N67" t="str">
            <v>10</v>
          </cell>
          <cell r="O67" t="str">
            <v>CSF</v>
          </cell>
          <cell r="P67" t="str">
            <v>PRODUCTOS METÁLICOS ELABORADOS (EXCEPTO MAQUINARIA Y EQUIPO)</v>
          </cell>
          <cell r="Q67">
            <v>37000000</v>
          </cell>
          <cell r="R67">
            <v>0</v>
          </cell>
          <cell r="S67">
            <v>7000000</v>
          </cell>
          <cell r="T67">
            <v>30000000</v>
          </cell>
          <cell r="U67">
            <v>0</v>
          </cell>
          <cell r="V67">
            <v>30000000</v>
          </cell>
          <cell r="W67">
            <v>0</v>
          </cell>
          <cell r="X67">
            <v>25000000</v>
          </cell>
          <cell r="Y67">
            <v>0</v>
          </cell>
          <cell r="Z67">
            <v>0</v>
          </cell>
          <cell r="AA67">
            <v>0</v>
          </cell>
        </row>
        <row r="68">
          <cell r="L68" t="str">
            <v>A-02-02-01-004-005=10</v>
          </cell>
          <cell r="M68" t="str">
            <v>Nación</v>
          </cell>
          <cell r="N68" t="str">
            <v>10</v>
          </cell>
          <cell r="O68" t="str">
            <v>CSF</v>
          </cell>
          <cell r="P68" t="str">
            <v>MAQUINARIA DE OFICINA, CONTABILIDAD E INFORMÁTICA</v>
          </cell>
          <cell r="Q68">
            <v>0</v>
          </cell>
          <cell r="R68">
            <v>82000000</v>
          </cell>
          <cell r="S68">
            <v>0</v>
          </cell>
          <cell r="T68">
            <v>82000000</v>
          </cell>
          <cell r="U68">
            <v>0</v>
          </cell>
          <cell r="V68">
            <v>0</v>
          </cell>
          <cell r="W68">
            <v>82000000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L69" t="str">
            <v>A-02-02-01-004-006=10</v>
          </cell>
          <cell r="M69" t="str">
            <v>Nación</v>
          </cell>
          <cell r="N69" t="str">
            <v>10</v>
          </cell>
          <cell r="O69" t="str">
            <v>CSF</v>
          </cell>
          <cell r="P69" t="str">
            <v>MAQUINARIA Y APARATOS ELÉCTRICOS</v>
          </cell>
          <cell r="Q69">
            <v>0</v>
          </cell>
          <cell r="R69">
            <v>30000000</v>
          </cell>
          <cell r="S69">
            <v>0</v>
          </cell>
          <cell r="T69">
            <v>30000000</v>
          </cell>
          <cell r="U69">
            <v>0</v>
          </cell>
          <cell r="V69">
            <v>30000000</v>
          </cell>
          <cell r="W69">
            <v>0</v>
          </cell>
          <cell r="X69">
            <v>30000000</v>
          </cell>
          <cell r="Y69">
            <v>0</v>
          </cell>
          <cell r="Z69">
            <v>0</v>
          </cell>
          <cell r="AA69">
            <v>0</v>
          </cell>
        </row>
        <row r="70">
          <cell r="L70" t="str">
            <v>A-02-02-01-004-007=10</v>
          </cell>
          <cell r="M70" t="str">
            <v>Nación</v>
          </cell>
          <cell r="N70" t="str">
            <v>10</v>
          </cell>
          <cell r="O70" t="str">
            <v>CSF</v>
          </cell>
          <cell r="P70" t="str">
            <v>EQUIPO Y APARATOS DE RADIO, TELEVISIÓN Y COMUNICACIONES</v>
          </cell>
          <cell r="Q70">
            <v>261000000</v>
          </cell>
          <cell r="R70">
            <v>11175890</v>
          </cell>
          <cell r="S70">
            <v>139823511</v>
          </cell>
          <cell r="T70">
            <v>132352379</v>
          </cell>
          <cell r="U70">
            <v>0</v>
          </cell>
          <cell r="V70">
            <v>82352379</v>
          </cell>
          <cell r="W70">
            <v>50000000</v>
          </cell>
          <cell r="X70">
            <v>41764434</v>
          </cell>
          <cell r="Y70">
            <v>41764434</v>
          </cell>
          <cell r="Z70">
            <v>41764434</v>
          </cell>
          <cell r="AA70">
            <v>41764434</v>
          </cell>
        </row>
        <row r="71">
          <cell r="L71" t="str">
            <v>A-02-02-01-004-008=10</v>
          </cell>
          <cell r="M71" t="str">
            <v>Nación</v>
          </cell>
          <cell r="N71" t="str">
            <v>10</v>
          </cell>
          <cell r="O71" t="str">
            <v>CSF</v>
          </cell>
          <cell r="P71" t="str">
            <v>APARATOS MÉDICOS, INSTRUMENTOS ÓPTICOS Y DE PRECISIÓN, RELOJES</v>
          </cell>
          <cell r="Q71">
            <v>0</v>
          </cell>
          <cell r="R71">
            <v>20000000</v>
          </cell>
          <cell r="S71">
            <v>0</v>
          </cell>
          <cell r="T71">
            <v>20000000</v>
          </cell>
          <cell r="U71">
            <v>0</v>
          </cell>
          <cell r="V71">
            <v>11562500</v>
          </cell>
          <cell r="W71">
            <v>8437500</v>
          </cell>
          <cell r="X71">
            <v>6660000</v>
          </cell>
          <cell r="Y71">
            <v>0</v>
          </cell>
          <cell r="Z71">
            <v>0</v>
          </cell>
          <cell r="AA71">
            <v>0</v>
          </cell>
        </row>
        <row r="72">
          <cell r="L72" t="str">
            <v>A-02-02-02-006-003=10</v>
          </cell>
          <cell r="M72" t="str">
            <v>Nación</v>
          </cell>
          <cell r="N72" t="str">
            <v>10</v>
          </cell>
          <cell r="O72" t="str">
            <v>CSF</v>
          </cell>
          <cell r="P72" t="str">
            <v>ALOJAMIENTO; SERVICIOS DE SUMINISTROS DE COMIDAS Y BEBIDAS</v>
          </cell>
          <cell r="Q72">
            <v>12000000</v>
          </cell>
          <cell r="R72">
            <v>0</v>
          </cell>
          <cell r="S72">
            <v>0</v>
          </cell>
          <cell r="T72">
            <v>12000000</v>
          </cell>
          <cell r="U72">
            <v>0</v>
          </cell>
          <cell r="V72">
            <v>12000000</v>
          </cell>
          <cell r="W72">
            <v>0</v>
          </cell>
          <cell r="X72">
            <v>2261895</v>
          </cell>
          <cell r="Y72">
            <v>2261895</v>
          </cell>
          <cell r="Z72">
            <v>2261895</v>
          </cell>
          <cell r="AA72">
            <v>2261895</v>
          </cell>
        </row>
        <row r="73">
          <cell r="L73" t="str">
            <v>A-02-02-02-006-004=10</v>
          </cell>
          <cell r="M73" t="str">
            <v>Nación</v>
          </cell>
          <cell r="N73" t="str">
            <v>10</v>
          </cell>
          <cell r="O73" t="str">
            <v>CSF</v>
          </cell>
          <cell r="P73" t="str">
            <v>SERVICIOS DE TRANSPORTE DE PASAJEROS</v>
          </cell>
          <cell r="Q73">
            <v>4851925294</v>
          </cell>
          <cell r="R73">
            <v>2400000</v>
          </cell>
          <cell r="S73">
            <v>196086315.88</v>
          </cell>
          <cell r="T73">
            <v>4658238978.1199999</v>
          </cell>
          <cell r="U73">
            <v>0</v>
          </cell>
          <cell r="V73">
            <v>4012532501</v>
          </cell>
          <cell r="W73">
            <v>645706477.12</v>
          </cell>
          <cell r="X73">
            <v>3427427035</v>
          </cell>
          <cell r="Y73">
            <v>1613868658</v>
          </cell>
          <cell r="Z73">
            <v>1613868658</v>
          </cell>
          <cell r="AA73">
            <v>1613868658</v>
          </cell>
        </row>
        <row r="74">
          <cell r="L74" t="str">
            <v>A-02-02-02-006-005=10</v>
          </cell>
          <cell r="M74" t="str">
            <v>Nación</v>
          </cell>
          <cell r="N74" t="str">
            <v>10</v>
          </cell>
          <cell r="O74" t="str">
            <v>CSF</v>
          </cell>
          <cell r="P74" t="str">
            <v>SERVICIOS DE TRANSPORTE DE CARGA</v>
          </cell>
          <cell r="Q74">
            <v>100000000</v>
          </cell>
          <cell r="R74">
            <v>7600000</v>
          </cell>
          <cell r="S74">
            <v>13000000</v>
          </cell>
          <cell r="T74">
            <v>94600000</v>
          </cell>
          <cell r="U74">
            <v>0</v>
          </cell>
          <cell r="V74">
            <v>94600000</v>
          </cell>
          <cell r="W74">
            <v>0</v>
          </cell>
          <cell r="X74">
            <v>91279990</v>
          </cell>
          <cell r="Y74">
            <v>4279990</v>
          </cell>
          <cell r="Z74">
            <v>4279990</v>
          </cell>
          <cell r="AA74">
            <v>4279990</v>
          </cell>
        </row>
        <row r="75">
          <cell r="L75" t="str">
            <v>A-02-02-02-006-006=10</v>
          </cell>
          <cell r="M75" t="str">
            <v>Nación</v>
          </cell>
          <cell r="N75" t="str">
            <v>10</v>
          </cell>
          <cell r="O75" t="str">
            <v>CSF</v>
          </cell>
          <cell r="P75" t="str">
            <v>SERVICIOS DE ALQUILER DE VEHÍCULOS DE TRANSPORTE CON OPERARIO</v>
          </cell>
          <cell r="Q75">
            <v>10000000</v>
          </cell>
          <cell r="R75">
            <v>0</v>
          </cell>
          <cell r="S75">
            <v>10000000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L76" t="str">
            <v>A-02-02-02-006-008=10</v>
          </cell>
          <cell r="M76" t="str">
            <v>Nación</v>
          </cell>
          <cell r="N76" t="str">
            <v>10</v>
          </cell>
          <cell r="O76" t="str">
            <v>CSF</v>
          </cell>
          <cell r="P76" t="str">
            <v>SERVICIOS POSTALES Y DE MENSAJERÍA</v>
          </cell>
          <cell r="Q76">
            <v>2053178180</v>
          </cell>
          <cell r="R76">
            <v>0</v>
          </cell>
          <cell r="S76">
            <v>30000000</v>
          </cell>
          <cell r="T76">
            <v>2023178180</v>
          </cell>
          <cell r="U76">
            <v>0</v>
          </cell>
          <cell r="V76">
            <v>1853178270</v>
          </cell>
          <cell r="W76">
            <v>169999910</v>
          </cell>
          <cell r="X76">
            <v>1848038030</v>
          </cell>
          <cell r="Y76">
            <v>785473097</v>
          </cell>
          <cell r="Z76">
            <v>785473097</v>
          </cell>
          <cell r="AA76">
            <v>785473097</v>
          </cell>
        </row>
        <row r="77">
          <cell r="L77" t="str">
            <v>A-02-02-02-006-009=10</v>
          </cell>
          <cell r="M77" t="str">
            <v>Nación</v>
          </cell>
          <cell r="N77" t="str">
            <v>10</v>
          </cell>
          <cell r="O77" t="str">
            <v>CSF</v>
          </cell>
          <cell r="P77" t="str">
            <v>SERVICIOS DE DISTRIBUCIÓN DE ELECTRICIDAD, GAS Y AGUA (POR CUENTA PROPIA)</v>
          </cell>
          <cell r="Q77">
            <v>730060000</v>
          </cell>
          <cell r="R77">
            <v>15000000</v>
          </cell>
          <cell r="S77">
            <v>0</v>
          </cell>
          <cell r="T77">
            <v>745060000</v>
          </cell>
          <cell r="U77">
            <v>0</v>
          </cell>
          <cell r="V77">
            <v>745060000</v>
          </cell>
          <cell r="W77">
            <v>0</v>
          </cell>
          <cell r="X77">
            <v>371596675.27999997</v>
          </cell>
          <cell r="Y77">
            <v>333639796.67000002</v>
          </cell>
          <cell r="Z77">
            <v>333639796.67000002</v>
          </cell>
          <cell r="AA77">
            <v>290726637.04000002</v>
          </cell>
        </row>
        <row r="78">
          <cell r="L78" t="str">
            <v>A-02-02-02-007-001=10</v>
          </cell>
          <cell r="M78" t="str">
            <v>Nación</v>
          </cell>
          <cell r="N78" t="str">
            <v>10</v>
          </cell>
          <cell r="O78" t="str">
            <v>CSF</v>
          </cell>
          <cell r="P78" t="str">
            <v>SERVICIOS FINANCIEROS Y SERVICIOS CONEXOS</v>
          </cell>
          <cell r="Q78">
            <v>25000000</v>
          </cell>
          <cell r="R78">
            <v>60000000</v>
          </cell>
          <cell r="S78">
            <v>1459150</v>
          </cell>
          <cell r="T78">
            <v>83540850</v>
          </cell>
          <cell r="U78">
            <v>0</v>
          </cell>
          <cell r="V78">
            <v>68540850</v>
          </cell>
          <cell r="W78">
            <v>15000000</v>
          </cell>
          <cell r="X78">
            <v>8409000</v>
          </cell>
          <cell r="Y78">
            <v>8409000</v>
          </cell>
          <cell r="Z78">
            <v>8409000</v>
          </cell>
          <cell r="AA78">
            <v>8409000</v>
          </cell>
        </row>
        <row r="79">
          <cell r="L79" t="str">
            <v>A-02-02-02-007-002=10</v>
          </cell>
          <cell r="M79" t="str">
            <v>Nación</v>
          </cell>
          <cell r="N79" t="str">
            <v>10</v>
          </cell>
          <cell r="O79" t="str">
            <v>CSF</v>
          </cell>
          <cell r="P79" t="str">
            <v>SERVICIOS INMOBILIARIOS</v>
          </cell>
          <cell r="Q79">
            <v>12745333207</v>
          </cell>
          <cell r="R79">
            <v>10000000</v>
          </cell>
          <cell r="S79">
            <v>1056762979</v>
          </cell>
          <cell r="T79">
            <v>11698570228</v>
          </cell>
          <cell r="U79">
            <v>0</v>
          </cell>
          <cell r="V79">
            <v>11557669718</v>
          </cell>
          <cell r="W79">
            <v>140900510</v>
          </cell>
          <cell r="X79">
            <v>11549330891</v>
          </cell>
          <cell r="Y79">
            <v>6992644759</v>
          </cell>
          <cell r="Z79">
            <v>6992644759</v>
          </cell>
          <cell r="AA79">
            <v>6992644759</v>
          </cell>
        </row>
        <row r="80">
          <cell r="L80" t="str">
            <v>A-02-02-02-008-002=10</v>
          </cell>
          <cell r="M80" t="str">
            <v>Nación</v>
          </cell>
          <cell r="N80" t="str">
            <v>10</v>
          </cell>
          <cell r="O80" t="str">
            <v>CSF</v>
          </cell>
          <cell r="P80" t="str">
            <v>SERVICIOS JURÍDICOS Y CONTABLES</v>
          </cell>
          <cell r="Q80">
            <v>172000000</v>
          </cell>
          <cell r="R80">
            <v>0</v>
          </cell>
          <cell r="S80">
            <v>0</v>
          </cell>
          <cell r="T80">
            <v>172000000</v>
          </cell>
          <cell r="U80">
            <v>0</v>
          </cell>
          <cell r="V80">
            <v>49418625</v>
          </cell>
          <cell r="W80">
            <v>122581375</v>
          </cell>
          <cell r="X80">
            <v>39956280</v>
          </cell>
          <cell r="Y80">
            <v>2259000</v>
          </cell>
          <cell r="Z80">
            <v>2259000</v>
          </cell>
          <cell r="AA80">
            <v>2259000</v>
          </cell>
        </row>
        <row r="81">
          <cell r="L81" t="str">
            <v>A-02-02-02-008-003=10</v>
          </cell>
          <cell r="M81" t="str">
            <v>Nación</v>
          </cell>
          <cell r="N81" t="str">
            <v>10</v>
          </cell>
          <cell r="O81" t="str">
            <v>CSF</v>
          </cell>
          <cell r="P81" t="str">
            <v>OTROS SERVICIOS PROFESIONALES, CIENTÍFICOS Y TÉCNICOS</v>
          </cell>
          <cell r="Q81">
            <v>9548931993</v>
          </cell>
          <cell r="R81">
            <v>8045908</v>
          </cell>
          <cell r="S81">
            <v>686833317.37</v>
          </cell>
          <cell r="T81">
            <v>8870144583.6299992</v>
          </cell>
          <cell r="U81">
            <v>0</v>
          </cell>
          <cell r="V81">
            <v>8261131946</v>
          </cell>
          <cell r="W81">
            <v>609012637.63</v>
          </cell>
          <cell r="X81">
            <v>7569249177</v>
          </cell>
          <cell r="Y81">
            <v>2843638483</v>
          </cell>
          <cell r="Z81">
            <v>2791470340</v>
          </cell>
          <cell r="AA81">
            <v>2791470340</v>
          </cell>
        </row>
        <row r="82">
          <cell r="L82" t="str">
            <v>A-02-02-02-008-004=10</v>
          </cell>
          <cell r="M82" t="str">
            <v>Nación</v>
          </cell>
          <cell r="N82" t="str">
            <v>10</v>
          </cell>
          <cell r="O82" t="str">
            <v>CSF</v>
          </cell>
          <cell r="P82" t="str">
            <v>SERVICIOS DE TELECOMUNICACIONES, TRANSMISIÓN Y SUMINISTRO DE INFORMACIÓN</v>
          </cell>
          <cell r="Q82">
            <v>2298000000</v>
          </cell>
          <cell r="R82">
            <v>511481971.37</v>
          </cell>
          <cell r="S82">
            <v>353866951.77999997</v>
          </cell>
          <cell r="T82">
            <v>2455615019.5900002</v>
          </cell>
          <cell r="U82">
            <v>0</v>
          </cell>
          <cell r="V82">
            <v>2455615008.8499999</v>
          </cell>
          <cell r="W82">
            <v>10.74</v>
          </cell>
          <cell r="X82">
            <v>1471477964.8499999</v>
          </cell>
          <cell r="Y82">
            <v>1076171898</v>
          </cell>
          <cell r="Z82">
            <v>1076171898</v>
          </cell>
          <cell r="AA82">
            <v>1075984523</v>
          </cell>
        </row>
        <row r="83">
          <cell r="L83" t="str">
            <v>A-02-02-02-008-005=10</v>
          </cell>
          <cell r="M83" t="str">
            <v>Nación</v>
          </cell>
          <cell r="N83" t="str">
            <v>10</v>
          </cell>
          <cell r="O83" t="str">
            <v>CSF</v>
          </cell>
          <cell r="P83" t="str">
            <v>SERVICIOS DE SOPORTE</v>
          </cell>
          <cell r="Q83">
            <v>3859335661</v>
          </cell>
          <cell r="R83">
            <v>1731708879.8800001</v>
          </cell>
          <cell r="S83">
            <v>11175890</v>
          </cell>
          <cell r="T83">
            <v>5579868650.8800001</v>
          </cell>
          <cell r="U83">
            <v>0</v>
          </cell>
          <cell r="V83">
            <v>5313090129.8100004</v>
          </cell>
          <cell r="W83">
            <v>266778521.06999999</v>
          </cell>
          <cell r="X83">
            <v>4669790099.2299995</v>
          </cell>
          <cell r="Y83">
            <v>1723325881</v>
          </cell>
          <cell r="Z83">
            <v>1723325881</v>
          </cell>
          <cell r="AA83">
            <v>1723325881</v>
          </cell>
        </row>
        <row r="84">
          <cell r="L84" t="str">
            <v>A-02-02-02-008-007=10</v>
          </cell>
          <cell r="M84" t="str">
            <v>Nación</v>
          </cell>
          <cell r="N84" t="str">
            <v>10</v>
          </cell>
          <cell r="O84" t="str">
            <v>CSF</v>
          </cell>
          <cell r="P84" t="str">
            <v>SERVICIOS DE MANTENIMIENTO, REPARACIÓN E INSTALACIÓN (EXCEPTO SERVICIOS DE CONSTRUCCIÓN)</v>
          </cell>
          <cell r="Q84">
            <v>1363025393</v>
          </cell>
          <cell r="R84">
            <v>376102517.77999997</v>
          </cell>
          <cell r="S84">
            <v>362587523</v>
          </cell>
          <cell r="T84">
            <v>1376540387.78</v>
          </cell>
          <cell r="U84">
            <v>0</v>
          </cell>
          <cell r="V84">
            <v>1034556509</v>
          </cell>
          <cell r="W84">
            <v>341983878.77999997</v>
          </cell>
          <cell r="X84">
            <v>727853172</v>
          </cell>
          <cell r="Y84">
            <v>570923469</v>
          </cell>
          <cell r="Z84">
            <v>570923469</v>
          </cell>
          <cell r="AA84">
            <v>570923469</v>
          </cell>
        </row>
        <row r="85">
          <cell r="L85" t="str">
            <v>A-02-02-02-008-009=10</v>
          </cell>
          <cell r="M85" t="str">
            <v>Nación</v>
          </cell>
          <cell r="N85" t="str">
            <v>10</v>
          </cell>
          <cell r="O85" t="str">
            <v>CSF</v>
          </cell>
          <cell r="P85" t="str">
            <v>OTROS SERVICIOS DE FABRICACIÓN; SERVICIOS DE EDICIÓN, IMPRESIÓN Y REPRODUCCIÓN; SERVICIOS DE RECUPERACIÓN DE MATERIALES</v>
          </cell>
          <cell r="Q85">
            <v>77000000</v>
          </cell>
          <cell r="R85">
            <v>0</v>
          </cell>
          <cell r="S85">
            <v>0</v>
          </cell>
          <cell r="T85">
            <v>77000000</v>
          </cell>
          <cell r="U85">
            <v>0</v>
          </cell>
          <cell r="V85">
            <v>47000000</v>
          </cell>
          <cell r="W85">
            <v>30000000</v>
          </cell>
          <cell r="X85">
            <v>45701196</v>
          </cell>
          <cell r="Y85">
            <v>8215896</v>
          </cell>
          <cell r="Z85">
            <v>8215896</v>
          </cell>
          <cell r="AA85">
            <v>8215896</v>
          </cell>
        </row>
        <row r="86">
          <cell r="L86" t="str">
            <v>A-02-02-02-009-002=10</v>
          </cell>
          <cell r="M86" t="str">
            <v>Nación</v>
          </cell>
          <cell r="N86" t="str">
            <v>10</v>
          </cell>
          <cell r="O86" t="str">
            <v>CSF</v>
          </cell>
          <cell r="P86" t="str">
            <v>SERVICIOS DE EDUCACIÓN</v>
          </cell>
          <cell r="Q86">
            <v>730000000</v>
          </cell>
          <cell r="R86">
            <v>0</v>
          </cell>
          <cell r="S86">
            <v>0</v>
          </cell>
          <cell r="T86">
            <v>730000000</v>
          </cell>
          <cell r="U86">
            <v>0</v>
          </cell>
          <cell r="V86">
            <v>680000000</v>
          </cell>
          <cell r="W86">
            <v>50000000</v>
          </cell>
          <cell r="X86">
            <v>680000000</v>
          </cell>
          <cell r="Y86">
            <v>0</v>
          </cell>
          <cell r="Z86">
            <v>0</v>
          </cell>
          <cell r="AA86">
            <v>0</v>
          </cell>
        </row>
        <row r="87">
          <cell r="L87" t="str">
            <v>A-02-02-02-009-003=10</v>
          </cell>
          <cell r="M87" t="str">
            <v>Nación</v>
          </cell>
          <cell r="N87" t="str">
            <v>10</v>
          </cell>
          <cell r="O87" t="str">
            <v>CSF</v>
          </cell>
          <cell r="P87" t="str">
            <v>SERVICIOS PARA EL CUIDADO DE LA SALUD HUMANA Y SERVICIOS SOCIALES</v>
          </cell>
          <cell r="Q87">
            <v>365636000</v>
          </cell>
          <cell r="R87">
            <v>0</v>
          </cell>
          <cell r="S87">
            <v>0</v>
          </cell>
          <cell r="T87">
            <v>365636000</v>
          </cell>
          <cell r="U87">
            <v>0</v>
          </cell>
          <cell r="V87">
            <v>202768875</v>
          </cell>
          <cell r="W87">
            <v>162867125</v>
          </cell>
          <cell r="X87">
            <v>185658154</v>
          </cell>
          <cell r="Y87">
            <v>22543156</v>
          </cell>
          <cell r="Z87">
            <v>22543156</v>
          </cell>
          <cell r="AA87">
            <v>22543156</v>
          </cell>
        </row>
        <row r="88">
          <cell r="L88" t="str">
            <v>A-02-02-02-009-004=10</v>
          </cell>
          <cell r="M88" t="str">
            <v>Nación</v>
          </cell>
          <cell r="N88" t="str">
            <v>10</v>
          </cell>
          <cell r="O88" t="str">
            <v>CSF</v>
          </cell>
          <cell r="P88" t="str">
            <v>SERVICIOS DE ALCANTARILLADO, RECOLECCIÓN, TRATAMIENTO Y DISPOSICIÓN DE DESECHOS Y OTROS SERVICIOS DE SANEAMIENTO AMBIENTAL</v>
          </cell>
          <cell r="Q88">
            <v>55000000</v>
          </cell>
          <cell r="R88">
            <v>0</v>
          </cell>
          <cell r="S88">
            <v>15000000</v>
          </cell>
          <cell r="T88">
            <v>40000000</v>
          </cell>
          <cell r="U88">
            <v>0</v>
          </cell>
          <cell r="V88">
            <v>40000000</v>
          </cell>
          <cell r="W88">
            <v>0</v>
          </cell>
          <cell r="X88">
            <v>15915458.210000001</v>
          </cell>
          <cell r="Y88">
            <v>15850988.82</v>
          </cell>
          <cell r="Z88">
            <v>15850988.82</v>
          </cell>
          <cell r="AA88">
            <v>15021250.24</v>
          </cell>
        </row>
        <row r="89">
          <cell r="L89" t="str">
            <v>A-02-02-02-009-006=10</v>
          </cell>
          <cell r="M89" t="str">
            <v>Nación</v>
          </cell>
          <cell r="N89" t="str">
            <v>10</v>
          </cell>
          <cell r="O89" t="str">
            <v>CSF</v>
          </cell>
          <cell r="P89" t="str">
            <v>SERVICIOS DE ESPARCIMIENTO, CULTURALES Y DEPORTIVOS</v>
          </cell>
          <cell r="Q89">
            <v>1160000000</v>
          </cell>
          <cell r="R89">
            <v>0</v>
          </cell>
          <cell r="S89">
            <v>0</v>
          </cell>
          <cell r="T89">
            <v>1160000000</v>
          </cell>
          <cell r="U89">
            <v>0</v>
          </cell>
          <cell r="V89">
            <v>1033293106</v>
          </cell>
          <cell r="W89">
            <v>126706894</v>
          </cell>
          <cell r="X89">
            <v>931580244</v>
          </cell>
          <cell r="Y89">
            <v>7484539</v>
          </cell>
          <cell r="Z89">
            <v>7484539</v>
          </cell>
          <cell r="AA89">
            <v>7484539</v>
          </cell>
        </row>
        <row r="90">
          <cell r="L90" t="str">
            <v>A-02-02-02-009-007=10</v>
          </cell>
          <cell r="M90" t="str">
            <v>Nación</v>
          </cell>
          <cell r="N90" t="str">
            <v>10</v>
          </cell>
          <cell r="O90" t="str">
            <v>CSF</v>
          </cell>
          <cell r="P90" t="str">
            <v>OTROS SERVICIOS</v>
          </cell>
          <cell r="Q90">
            <v>100000000</v>
          </cell>
          <cell r="R90">
            <v>0</v>
          </cell>
          <cell r="S90">
            <v>62152000</v>
          </cell>
          <cell r="T90">
            <v>37848000</v>
          </cell>
          <cell r="U90">
            <v>0</v>
          </cell>
          <cell r="V90">
            <v>37848000</v>
          </cell>
          <cell r="W90">
            <v>0</v>
          </cell>
          <cell r="X90">
            <v>27065500</v>
          </cell>
          <cell r="Y90">
            <v>65500</v>
          </cell>
          <cell r="Z90">
            <v>65500</v>
          </cell>
          <cell r="AA90">
            <v>65500</v>
          </cell>
        </row>
        <row r="91">
          <cell r="L91" t="str">
            <v>A-02-02-02-010=10</v>
          </cell>
          <cell r="M91" t="str">
            <v>Nación</v>
          </cell>
          <cell r="N91" t="str">
            <v>10</v>
          </cell>
          <cell r="O91" t="str">
            <v>CSF</v>
          </cell>
          <cell r="P91" t="str">
            <v>VIÁTICOS DE LOS FUNCIONARIOS EN COMISIÓN</v>
          </cell>
          <cell r="Q91">
            <v>1170310070</v>
          </cell>
          <cell r="R91">
            <v>0</v>
          </cell>
          <cell r="S91">
            <v>0</v>
          </cell>
          <cell r="T91">
            <v>1170310070</v>
          </cell>
          <cell r="U91">
            <v>0</v>
          </cell>
          <cell r="V91">
            <v>1170310070</v>
          </cell>
          <cell r="W91">
            <v>0</v>
          </cell>
          <cell r="X91">
            <v>294148725</v>
          </cell>
          <cell r="Y91">
            <v>270951811</v>
          </cell>
          <cell r="Z91">
            <v>270951811</v>
          </cell>
          <cell r="AA91">
            <v>270951811</v>
          </cell>
        </row>
        <row r="92">
          <cell r="L92" t="str">
            <v>A-03-04-02-012-001=10</v>
          </cell>
          <cell r="M92" t="str">
            <v>Nación</v>
          </cell>
          <cell r="N92" t="str">
            <v>10</v>
          </cell>
          <cell r="O92" t="str">
            <v>CSF</v>
          </cell>
          <cell r="P92" t="str">
            <v>INCAPACIDADES (NO DE PENSIONES)</v>
          </cell>
          <cell r="Q92">
            <v>402000000</v>
          </cell>
          <cell r="R92">
            <v>0</v>
          </cell>
          <cell r="S92">
            <v>0</v>
          </cell>
          <cell r="T92">
            <v>402000000</v>
          </cell>
          <cell r="U92">
            <v>0</v>
          </cell>
          <cell r="V92">
            <v>402000000</v>
          </cell>
          <cell r="W92">
            <v>0</v>
          </cell>
          <cell r="X92">
            <v>235559721</v>
          </cell>
          <cell r="Y92">
            <v>165642642</v>
          </cell>
          <cell r="Z92">
            <v>165642642</v>
          </cell>
          <cell r="AA92">
            <v>165642642</v>
          </cell>
        </row>
        <row r="93">
          <cell r="L93" t="str">
            <v>A-03-04-02-012-002=10</v>
          </cell>
          <cell r="M93" t="str">
            <v>Nación</v>
          </cell>
          <cell r="N93" t="str">
            <v>10</v>
          </cell>
          <cell r="O93" t="str">
            <v>CSF</v>
          </cell>
          <cell r="P93" t="str">
            <v>LICENCIAS DE MATERNIDAD Y PATERNIDAD (NO DE PENSIONES)</v>
          </cell>
          <cell r="Q93">
            <v>350000000</v>
          </cell>
          <cell r="R93">
            <v>0</v>
          </cell>
          <cell r="S93">
            <v>36000000</v>
          </cell>
          <cell r="T93">
            <v>314000000</v>
          </cell>
          <cell r="U93">
            <v>0</v>
          </cell>
          <cell r="V93">
            <v>314000000</v>
          </cell>
          <cell r="W93">
            <v>0</v>
          </cell>
          <cell r="X93">
            <v>121290647</v>
          </cell>
          <cell r="Y93">
            <v>90201327</v>
          </cell>
          <cell r="Z93">
            <v>90201327</v>
          </cell>
          <cell r="AA93">
            <v>90201327</v>
          </cell>
        </row>
        <row r="94">
          <cell r="L94" t="str">
            <v>A-08-01-02-001=10</v>
          </cell>
          <cell r="M94" t="str">
            <v>Nación</v>
          </cell>
          <cell r="N94" t="str">
            <v>10</v>
          </cell>
          <cell r="O94" t="str">
            <v>CSF</v>
          </cell>
          <cell r="P94" t="str">
            <v>IMPUESTO PREDIAL Y SOBRETASA AMBIENTAL</v>
          </cell>
          <cell r="Q94">
            <v>51000000</v>
          </cell>
          <cell r="R94">
            <v>0</v>
          </cell>
          <cell r="S94">
            <v>0</v>
          </cell>
          <cell r="T94">
            <v>51000000</v>
          </cell>
          <cell r="U94">
            <v>0</v>
          </cell>
          <cell r="V94">
            <v>51000000</v>
          </cell>
          <cell r="W94">
            <v>0</v>
          </cell>
          <cell r="X94">
            <v>49978748</v>
          </cell>
          <cell r="Y94">
            <v>49978748</v>
          </cell>
          <cell r="Z94">
            <v>49978748</v>
          </cell>
          <cell r="AA94">
            <v>49978748</v>
          </cell>
        </row>
        <row r="95">
          <cell r="L95" t="str">
            <v>A-08-01-02-004=10</v>
          </cell>
          <cell r="M95" t="str">
            <v>Nación</v>
          </cell>
          <cell r="N95" t="str">
            <v>10</v>
          </cell>
          <cell r="O95" t="str">
            <v>CSF</v>
          </cell>
          <cell r="P95" t="str">
            <v>IMPUESTO DE ALUMBRADO PÚBLICO</v>
          </cell>
          <cell r="Q95">
            <v>26000000</v>
          </cell>
          <cell r="R95">
            <v>0</v>
          </cell>
          <cell r="S95">
            <v>0</v>
          </cell>
          <cell r="T95">
            <v>26000000</v>
          </cell>
          <cell r="U95">
            <v>0</v>
          </cell>
          <cell r="V95">
            <v>26000000</v>
          </cell>
          <cell r="W95">
            <v>0</v>
          </cell>
          <cell r="X95">
            <v>19586609.100000001</v>
          </cell>
          <cell r="Y95">
            <v>19586609.100000001</v>
          </cell>
          <cell r="Z95">
            <v>19586609.100000001</v>
          </cell>
          <cell r="AA95">
            <v>19398435.100000001</v>
          </cell>
        </row>
        <row r="96">
          <cell r="L96" t="str">
            <v>A-08-01-02-006=10</v>
          </cell>
          <cell r="M96" t="str">
            <v>Nación</v>
          </cell>
          <cell r="N96" t="str">
            <v>10</v>
          </cell>
          <cell r="O96" t="str">
            <v>CSF</v>
          </cell>
          <cell r="P96" t="str">
            <v>IMPUESTO SOBRE VEHÍCULOS AUTOMOTORES</v>
          </cell>
          <cell r="Q96">
            <v>7000000</v>
          </cell>
          <cell r="R96">
            <v>0</v>
          </cell>
          <cell r="S96">
            <v>0</v>
          </cell>
          <cell r="T96">
            <v>7000000</v>
          </cell>
          <cell r="U96">
            <v>0</v>
          </cell>
          <cell r="V96">
            <v>7000000</v>
          </cell>
          <cell r="W96">
            <v>0</v>
          </cell>
          <cell r="X96">
            <v>6327100</v>
          </cell>
          <cell r="Y96">
            <v>6327100</v>
          </cell>
          <cell r="Z96">
            <v>6327100</v>
          </cell>
          <cell r="AA96">
            <v>6327100</v>
          </cell>
        </row>
        <row r="97">
          <cell r="L97" t="str">
            <v>C-4101-1500-5-0-4101073-02=11</v>
          </cell>
          <cell r="M97" t="str">
            <v>Nación</v>
          </cell>
          <cell r="N97" t="str">
            <v>11</v>
          </cell>
          <cell r="O97" t="str">
            <v>CSF</v>
          </cell>
          <cell r="P97" t="str">
            <v>ADQUISICIÓN DE BIENES Y SERVICIOS - SERVICIO DE APOYO PARA LA GENERACIÓN DE INGRESOS - IMPLEMENTACIÓN DE INTERVENCIÓN INTEGRAL APD CON ENFOQUE DIFERENCIAL ÉTNICO PARA INDIGENAS Y AFROS A NIVEL  NACIONAL</v>
          </cell>
          <cell r="Q97">
            <v>37511369742</v>
          </cell>
          <cell r="R97">
            <v>0</v>
          </cell>
          <cell r="S97">
            <v>0</v>
          </cell>
          <cell r="T97">
            <v>37511369742</v>
          </cell>
          <cell r="U97">
            <v>0</v>
          </cell>
          <cell r="V97">
            <v>37391369743</v>
          </cell>
          <cell r="W97">
            <v>119999999</v>
          </cell>
          <cell r="X97">
            <v>34742400000</v>
          </cell>
          <cell r="Y97">
            <v>0</v>
          </cell>
          <cell r="Z97">
            <v>0</v>
          </cell>
          <cell r="AA97">
            <v>0</v>
          </cell>
        </row>
        <row r="98">
          <cell r="L98" t="str">
            <v>C-4101-1500-5-0-4101074-02=11</v>
          </cell>
          <cell r="M98" t="str">
            <v>Nación</v>
          </cell>
          <cell r="N98" t="str">
            <v>11</v>
          </cell>
          <cell r="O98" t="str">
            <v>CSF</v>
          </cell>
          <cell r="P98" t="str">
            <v xml:space="preserve">ADQUISICIÓN DE BIENES Y SERVICIOS - SERVICIO DE ACOMPAÑAMIENTO COMUNITARIO A LOS HOGARES EN RIESGO DE DESPLAZAMIENTO, RETORNADOS O REUBICADOS - IMPLEMENTACIÓN DE INTERVENCIÓN INTEGRAL APD CON ENFOQUE DIFERENCIAL ÉTNICO PARA INDIGENAS Y AFROS A NIVEL </v>
          </cell>
          <cell r="Q98">
            <v>8799663116</v>
          </cell>
          <cell r="R98">
            <v>0</v>
          </cell>
          <cell r="S98">
            <v>0</v>
          </cell>
          <cell r="T98">
            <v>8799663116</v>
          </cell>
          <cell r="U98">
            <v>0</v>
          </cell>
          <cell r="V98">
            <v>8799663116</v>
          </cell>
          <cell r="W98">
            <v>0</v>
          </cell>
          <cell r="X98">
            <v>8799663116</v>
          </cell>
          <cell r="Y98">
            <v>2750971124</v>
          </cell>
          <cell r="Z98">
            <v>2750971124</v>
          </cell>
          <cell r="AA98">
            <v>2750971124</v>
          </cell>
        </row>
        <row r="99">
          <cell r="L99" t="str">
            <v>C-4101-1500-5-0-4101077-02=11</v>
          </cell>
          <cell r="M99" t="str">
            <v>Nación</v>
          </cell>
          <cell r="N99" t="str">
            <v>11</v>
          </cell>
          <cell r="O99" t="str">
            <v>CSF</v>
          </cell>
          <cell r="P99" t="str">
            <v>ADQUISICIÓN DE BIENES Y SERVICIOS - SERVICIO DE APOYO PARA LAS UNIDADES PRODUCTIVAS PARA EL AUTOCONSUMO DE HOGARES DESPLAZADOS O EN RIESGO DE DESPLAZAMIENTO, RETORNADOS O REUBICADOS - IMPLEMENTACIÓN DE INTERVENCIÓN INTEGRAL APD CON ENFOQUE DIFERENCIA</v>
          </cell>
          <cell r="Q99">
            <v>4325174580</v>
          </cell>
          <cell r="R99">
            <v>0</v>
          </cell>
          <cell r="S99">
            <v>0</v>
          </cell>
          <cell r="T99">
            <v>4325174580</v>
          </cell>
          <cell r="U99">
            <v>0</v>
          </cell>
          <cell r="V99">
            <v>4314990074</v>
          </cell>
          <cell r="W99">
            <v>10184506</v>
          </cell>
          <cell r="X99">
            <v>3022087127</v>
          </cell>
          <cell r="Y99">
            <v>1072765896</v>
          </cell>
          <cell r="Z99">
            <v>1043572896</v>
          </cell>
          <cell r="AA99">
            <v>1043572896</v>
          </cell>
        </row>
        <row r="100">
          <cell r="L100" t="str">
            <v>C-4101-1500-5-0-4101078-02=11</v>
          </cell>
          <cell r="M100" t="str">
            <v>Nación</v>
          </cell>
          <cell r="N100" t="str">
            <v>11</v>
          </cell>
          <cell r="O100" t="str">
            <v>CSF</v>
          </cell>
          <cell r="P100" t="str">
            <v>ADQUISICIÓN DE BIENES Y SERVICIOS - SERVICIO DE ASISTENCIA TÉCNICA PARA EL AUTOCONSUMO DE LOS HOGARES DESPLAZADOS O EN RIESGO DE DESPLAZAMIENTO, RETORNADOS O REUBICADOS - IMPLEMENTACIÓN DE INTERVENCIÓN INTEGRAL APD CON ENFOQUE DIFERENCIAL ÉTNICO PARA</v>
          </cell>
          <cell r="Q100">
            <v>7972098301</v>
          </cell>
          <cell r="R100">
            <v>0</v>
          </cell>
          <cell r="S100">
            <v>0</v>
          </cell>
          <cell r="T100">
            <v>7972098301</v>
          </cell>
          <cell r="U100">
            <v>0</v>
          </cell>
          <cell r="V100">
            <v>7972098300</v>
          </cell>
          <cell r="W100">
            <v>1</v>
          </cell>
          <cell r="X100">
            <v>7027400000</v>
          </cell>
          <cell r="Y100">
            <v>2384380353</v>
          </cell>
          <cell r="Z100">
            <v>2384380353</v>
          </cell>
          <cell r="AA100">
            <v>2384380353</v>
          </cell>
        </row>
        <row r="101">
          <cell r="L101" t="str">
            <v>C-4101-1500-5-0-4101080-02=11</v>
          </cell>
          <cell r="M101" t="str">
            <v>Nación</v>
          </cell>
          <cell r="N101" t="str">
            <v>11</v>
          </cell>
          <cell r="O101" t="str">
            <v>CSF</v>
          </cell>
          <cell r="P101" t="str">
            <v>ADQUISICIÓN DE BIENES Y SERVICIOS - SERVICIO DE ASISTENCIA TÉCNICA PARA LA GENERACIÓN DE INGRESOS - IMPLEMENTACIÓN DE INTERVENCIÓN INTEGRAL APD CON ENFOQUE DIFERENCIAL ÉTNICO PARA INDIGENAS Y AFROS A NIVEL  NACIONAL</v>
          </cell>
          <cell r="Q101">
            <v>5196200000</v>
          </cell>
          <cell r="R101">
            <v>0</v>
          </cell>
          <cell r="S101">
            <v>0</v>
          </cell>
          <cell r="T101">
            <v>5196200000</v>
          </cell>
          <cell r="U101">
            <v>0</v>
          </cell>
          <cell r="V101">
            <v>5196200000</v>
          </cell>
          <cell r="W101">
            <v>0</v>
          </cell>
          <cell r="X101">
            <v>5196200000</v>
          </cell>
          <cell r="Y101">
            <v>1763058484</v>
          </cell>
          <cell r="Z101">
            <v>1763058484</v>
          </cell>
          <cell r="AA101">
            <v>1763058484</v>
          </cell>
        </row>
        <row r="102">
          <cell r="L102" t="str">
            <v>C-4101-1500-5-0-4101081-02=11</v>
          </cell>
          <cell r="M102" t="str">
            <v>Nación</v>
          </cell>
          <cell r="N102" t="str">
            <v>11</v>
          </cell>
          <cell r="O102" t="str">
            <v>CSF</v>
          </cell>
          <cell r="P102" t="str">
            <v>ADQUISICIÓN DE BIENES Y SERVICIOS - SERVICIO DE APOYO AL FORTALECIMIENTO COMUNITARIO A LOS HOGARES EN RIESGO DE DESPLAZAMIENTO, RETORNADOS O REUBICADOS - IMPLEMENTACIÓN DE INTERVENCIÓN INTEGRAL APD CON ENFOQUE DIFERENCIAL ÉTNICO PARA INDIGENAS Y AFRO</v>
          </cell>
          <cell r="Q102">
            <v>2593569161</v>
          </cell>
          <cell r="R102">
            <v>0</v>
          </cell>
          <cell r="S102">
            <v>0</v>
          </cell>
          <cell r="T102">
            <v>2593569161</v>
          </cell>
          <cell r="U102">
            <v>0</v>
          </cell>
          <cell r="V102">
            <v>2593569161</v>
          </cell>
          <cell r="W102">
            <v>0</v>
          </cell>
          <cell r="X102">
            <v>2593569161</v>
          </cell>
          <cell r="Y102">
            <v>879991939</v>
          </cell>
          <cell r="Z102">
            <v>879991939</v>
          </cell>
          <cell r="AA102">
            <v>879991939</v>
          </cell>
        </row>
        <row r="103">
          <cell r="L103" t="str">
            <v>C-4101-1500-6-0-4101080-02=11</v>
          </cell>
          <cell r="M103" t="str">
            <v>Nación</v>
          </cell>
          <cell r="N103" t="str">
            <v>11</v>
          </cell>
          <cell r="O103" t="str">
            <v>CSF</v>
          </cell>
          <cell r="P103" t="str">
            <v>ADQUISICIÓN DE BIENES Y SERVICIOS - SERVICIO DE ASISTENCIA TÉCNICA PARA LA GENERACIÓN DE INGRESOS - IMPLEMENTACIÓN DE UN ESQUEMA ESPECIAL DE ACOMPAÑAMIENTO FAMILIAR DIRIGIDO A LA POBLACIÓN VICTIMA DE DESPLAZAMIENTO FORZADO RETORNADA O REUBICADA EN ZO</v>
          </cell>
          <cell r="Q103">
            <v>30467075662</v>
          </cell>
          <cell r="R103">
            <v>0</v>
          </cell>
          <cell r="S103">
            <v>0</v>
          </cell>
          <cell r="T103">
            <v>30467075662</v>
          </cell>
          <cell r="U103">
            <v>0</v>
          </cell>
          <cell r="V103">
            <v>30467075662</v>
          </cell>
          <cell r="W103">
            <v>0</v>
          </cell>
          <cell r="X103">
            <v>23398487248</v>
          </cell>
          <cell r="Y103">
            <v>0</v>
          </cell>
          <cell r="Z103">
            <v>0</v>
          </cell>
          <cell r="AA103">
            <v>0</v>
          </cell>
        </row>
        <row r="104">
          <cell r="L104" t="str">
            <v>C-4101-1500-6-0-4101081-02=11</v>
          </cell>
          <cell r="M104" t="str">
            <v>Nación</v>
          </cell>
          <cell r="N104" t="str">
            <v>11</v>
          </cell>
          <cell r="O104" t="str">
            <v>CSF</v>
          </cell>
          <cell r="P104" t="str">
            <v>ADQUISICIÓN DE BIENES Y SERVICIOS - SERVICIO DE APOYO AL FORTALECIMIENTO COMUNITARIO A LOS HOGARES EN RIESGO DE DESPLAZAMIENTO, RETORNADOS O REUBICADOS - IMPLEMENTACIÓN DE UN ESQUEMA ESPECIAL DE ACOMPAÑAMIENTO FAMILIAR DIRIGIDO A LA POBLACIÓN VICTIMA</v>
          </cell>
          <cell r="Q104">
            <v>4435143756</v>
          </cell>
          <cell r="R104">
            <v>0</v>
          </cell>
          <cell r="S104">
            <v>0</v>
          </cell>
          <cell r="T104">
            <v>4435143756</v>
          </cell>
          <cell r="U104">
            <v>0</v>
          </cell>
          <cell r="V104">
            <v>4435143756</v>
          </cell>
          <cell r="W104">
            <v>0</v>
          </cell>
          <cell r="X104">
            <v>4435143756</v>
          </cell>
          <cell r="Y104">
            <v>4435143756</v>
          </cell>
          <cell r="Z104">
            <v>4435143756</v>
          </cell>
          <cell r="AA104">
            <v>3630515350</v>
          </cell>
        </row>
        <row r="105">
          <cell r="L105" t="str">
            <v>C-4101-1500-6-0-4101078-02=11</v>
          </cell>
          <cell r="M105" t="str">
            <v>Nación</v>
          </cell>
          <cell r="N105" t="str">
            <v>11</v>
          </cell>
          <cell r="O105" t="str">
            <v>CSF</v>
          </cell>
          <cell r="P105" t="str">
            <v xml:space="preserve">ADQUISICIÓN DE BIENES Y SERVICIOS - SERVICIO DE ASISTENCIA TÉCNICA PARA EL AUTOCONSUMO DE LOS HOGARES DESPLAZADOS O EN RIESGO DE DESPLAZAMIENTO, RETORNADOS O REUBICADOS - IMPLEMENTACIÓN DE UN ESQUEMA ESPECIAL DE ACOMPAÑAMIENTO FAMILIAR DIRIGIDO A LA </v>
          </cell>
          <cell r="Q105">
            <v>16276997084</v>
          </cell>
          <cell r="R105">
            <v>0</v>
          </cell>
          <cell r="S105">
            <v>0</v>
          </cell>
          <cell r="T105">
            <v>16276997084</v>
          </cell>
          <cell r="U105">
            <v>0</v>
          </cell>
          <cell r="V105">
            <v>16238676026</v>
          </cell>
          <cell r="W105">
            <v>38321058</v>
          </cell>
          <cell r="X105">
            <v>15658747737</v>
          </cell>
          <cell r="Y105">
            <v>10145710120</v>
          </cell>
          <cell r="Z105">
            <v>10136848067</v>
          </cell>
          <cell r="AA105">
            <v>10136848067</v>
          </cell>
        </row>
        <row r="106">
          <cell r="L106" t="str">
            <v>C-4101-1500-6-0-4101077-02=11</v>
          </cell>
          <cell r="M106" t="str">
            <v>Nación</v>
          </cell>
          <cell r="N106" t="str">
            <v>11</v>
          </cell>
          <cell r="O106" t="str">
            <v>CSF</v>
          </cell>
          <cell r="P106" t="str">
            <v>ADQUISICIÓN DE BIENES Y SERVICIOS - SERVICIO DE APOYO PARA LAS UNIDADES PRODUCTIVAS PARA EL AUTOCONSUMO DE HOGARES DESPLAZADOS O EN RIESGO DE DESPLAZAMIENTO, RETORNADOS O REUBICADOS - IMPLEMENTACIÓN DE UN ESQUEMA ESPECIAL DE ACOMPAÑAMIENTO FAMILIAR D</v>
          </cell>
          <cell r="Q106">
            <v>17722088000</v>
          </cell>
          <cell r="R106">
            <v>0</v>
          </cell>
          <cell r="S106">
            <v>0</v>
          </cell>
          <cell r="T106">
            <v>17722088000</v>
          </cell>
          <cell r="U106">
            <v>0</v>
          </cell>
          <cell r="V106">
            <v>17722088000</v>
          </cell>
          <cell r="W106">
            <v>0</v>
          </cell>
          <cell r="X106">
            <v>17722088000</v>
          </cell>
          <cell r="Y106">
            <v>7419243348</v>
          </cell>
          <cell r="Z106">
            <v>7419243348</v>
          </cell>
          <cell r="AA106">
            <v>4899009976</v>
          </cell>
        </row>
        <row r="107">
          <cell r="L107" t="str">
            <v>C-4101-1500-6-0-4101073-02=11</v>
          </cell>
          <cell r="M107" t="str">
            <v>Nación</v>
          </cell>
          <cell r="N107" t="str">
            <v>11</v>
          </cell>
          <cell r="O107" t="str">
            <v>CSF</v>
          </cell>
          <cell r="P107" t="str">
            <v xml:space="preserve">ADQUISICIÓN DE BIENES Y SERVICIOS - SERVICIO DE APOYO PARA LA GENERACIÓN DE INGRESOS - IMPLEMENTACIÓN DE UN ESQUEMA ESPECIAL DE ACOMPAÑAMIENTO FAMILIAR DIRIGIDO A LA POBLACIÓN VICTIMA DE DESPLAZAMIENTO FORZADO RETORNADA O REUBICADA EN ZONAS RURALES, </v>
          </cell>
          <cell r="Q107">
            <v>4947405600</v>
          </cell>
          <cell r="R107">
            <v>0</v>
          </cell>
          <cell r="S107">
            <v>0</v>
          </cell>
          <cell r="T107">
            <v>4947405600</v>
          </cell>
          <cell r="U107">
            <v>0</v>
          </cell>
          <cell r="V107">
            <v>4947405600</v>
          </cell>
          <cell r="W107">
            <v>0</v>
          </cell>
          <cell r="X107">
            <v>1947405600</v>
          </cell>
          <cell r="Y107">
            <v>1947405600</v>
          </cell>
          <cell r="Z107">
            <v>1947405600</v>
          </cell>
          <cell r="AA107">
            <v>1594105244</v>
          </cell>
        </row>
        <row r="108">
          <cell r="L108" t="str">
            <v>C-4101-1500-6-0-4101074-02=11</v>
          </cell>
          <cell r="M108" t="str">
            <v>Nación</v>
          </cell>
          <cell r="N108" t="str">
            <v>11</v>
          </cell>
          <cell r="O108" t="str">
            <v>CSF</v>
          </cell>
          <cell r="P108" t="str">
            <v>ADQUISICIÓN DE BIENES Y SERVICIOS - SERVICIO DE ACOMPAÑAMIENTO COMUNITARIO A LOS HOGARES EN RIESGO DE DESPLAZAMIENTO, RETORNADOS O REUBICADOS - IMPLEMENTACIÓN DE UN ESQUEMA ESPECIAL DE ACOMPAÑAMIENTO FAMILIAR DIRIGIDO A LA POBLACIÓN VICTIMA DE DESPLA</v>
          </cell>
          <cell r="Q108">
            <v>27420887861</v>
          </cell>
          <cell r="R108">
            <v>0</v>
          </cell>
          <cell r="S108">
            <v>0</v>
          </cell>
          <cell r="T108">
            <v>27420887861</v>
          </cell>
          <cell r="U108">
            <v>0</v>
          </cell>
          <cell r="V108">
            <v>27360887861</v>
          </cell>
          <cell r="W108">
            <v>60000000</v>
          </cell>
          <cell r="X108">
            <v>27306887861</v>
          </cell>
          <cell r="Y108">
            <v>8774290265</v>
          </cell>
          <cell r="Z108">
            <v>8774290265</v>
          </cell>
          <cell r="AA108">
            <v>8774290265</v>
          </cell>
        </row>
        <row r="109">
          <cell r="L109" t="str">
            <v>C-4101-1500-6-0-4101081-03=11</v>
          </cell>
          <cell r="M109" t="str">
            <v>Nación</v>
          </cell>
          <cell r="N109" t="str">
            <v>11</v>
          </cell>
          <cell r="O109" t="str">
            <v>CSF</v>
          </cell>
          <cell r="P109" t="str">
            <v>TRANSFERENCIAS CORRIENTES - SERVICIO DE APOYO AL FORTALECIMIENTO COMUNITARIO A LOS HOGARES EN RIESGO DE DESPLAZAMIENTO, RETORNADOS O REUBICADOS - IMPLEMENTACIÓN DE UN ESQUEMA ESPECIAL DE ACOMPAÑAMIENTO FAMILIAR DIRIGIDO A LA POBLACIÓN VICTIMA DE DESP</v>
          </cell>
          <cell r="Q109">
            <v>16832160000</v>
          </cell>
          <cell r="R109">
            <v>0</v>
          </cell>
          <cell r="S109">
            <v>0</v>
          </cell>
          <cell r="T109">
            <v>16832160000</v>
          </cell>
          <cell r="U109">
            <v>0</v>
          </cell>
          <cell r="V109">
            <v>16832160000</v>
          </cell>
          <cell r="W109">
            <v>0</v>
          </cell>
          <cell r="X109">
            <v>16832160000</v>
          </cell>
          <cell r="Y109">
            <v>0</v>
          </cell>
          <cell r="Z109">
            <v>0</v>
          </cell>
          <cell r="AA109">
            <v>0</v>
          </cell>
        </row>
        <row r="110">
          <cell r="L110" t="str">
            <v>C-4103-1500-12-0-4103006-02=10</v>
          </cell>
          <cell r="M110" t="str">
            <v>Nación</v>
          </cell>
          <cell r="N110" t="str">
            <v>10</v>
          </cell>
          <cell r="O110" t="str">
            <v>CSF</v>
          </cell>
          <cell r="P110" t="str">
            <v>ADQUISICIÓN DE BIENES Y SERVICIOS - SERVICIO DE APOYO FINANCIERO PARA LA ENTREGA DE TRANSFERENCIAS MONETARIAS CONDICIONADAS - IMPLEMENTACIÓN DE TRANSFERENCIAS MONETARIAS CONDICIONADAS PARA POBLACIÓN VULNERABLE A NIVEL NACIONAL - FIP  NACIONAL</v>
          </cell>
          <cell r="Q110">
            <v>170514008840.17001</v>
          </cell>
          <cell r="R110">
            <v>0</v>
          </cell>
          <cell r="S110">
            <v>4660008249</v>
          </cell>
          <cell r="T110">
            <v>165854000591.17001</v>
          </cell>
          <cell r="U110">
            <v>0</v>
          </cell>
          <cell r="V110">
            <v>116512384889</v>
          </cell>
          <cell r="W110">
            <v>49341615702.169998</v>
          </cell>
          <cell r="X110">
            <v>112998260618.84</v>
          </cell>
          <cell r="Y110">
            <v>39739095535.959999</v>
          </cell>
          <cell r="Z110">
            <v>39679874522.959999</v>
          </cell>
          <cell r="AA110">
            <v>39679874522.959999</v>
          </cell>
        </row>
        <row r="111">
          <cell r="L111" t="str">
            <v>C-4103-1500-12-0-4103009-02=10</v>
          </cell>
          <cell r="M111" t="str">
            <v>Nación</v>
          </cell>
          <cell r="N111" t="str">
            <v>10</v>
          </cell>
          <cell r="O111" t="str">
            <v>CSF</v>
          </cell>
          <cell r="P111" t="str">
            <v xml:space="preserve">ADQUISICIÓN DE BIENES Y SERVICIOS - SERVICIO DE ASISTENCIA EN TEMAS DE DESARROLLO DE HABILIDADES NO COGNITIVAS PARA LA INCLUSIÓN PRODUCTIVA - IMPLEMENTACIÓN DE TRANSFERENCIAS MONETARIAS CONDICIONADAS PARA POBLACIÓN VULNERABLE A NIVEL NACIONAL - FIP  </v>
          </cell>
          <cell r="Q111">
            <v>5711307018</v>
          </cell>
          <cell r="R111">
            <v>0</v>
          </cell>
          <cell r="S111">
            <v>0</v>
          </cell>
          <cell r="T111">
            <v>5711307018</v>
          </cell>
          <cell r="U111">
            <v>0</v>
          </cell>
          <cell r="V111">
            <v>5111307018</v>
          </cell>
          <cell r="W111">
            <v>600000000</v>
          </cell>
          <cell r="X111">
            <v>5111307018</v>
          </cell>
          <cell r="Y111">
            <v>567923000</v>
          </cell>
          <cell r="Z111">
            <v>567923000</v>
          </cell>
          <cell r="AA111">
            <v>567923000</v>
          </cell>
        </row>
        <row r="112">
          <cell r="L112" t="str">
            <v>C-4103-1500-12-0-4103006-03=10</v>
          </cell>
          <cell r="M112" t="str">
            <v>Nación</v>
          </cell>
          <cell r="N112" t="str">
            <v>10</v>
          </cell>
          <cell r="O112" t="str">
            <v>CSF</v>
          </cell>
          <cell r="P112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12">
            <v>11682690576.83</v>
          </cell>
          <cell r="R112">
            <v>4660008249</v>
          </cell>
          <cell r="S112">
            <v>0</v>
          </cell>
          <cell r="T112">
            <v>16342698825.83</v>
          </cell>
          <cell r="U112">
            <v>0</v>
          </cell>
          <cell r="V112">
            <v>16342698825.83</v>
          </cell>
          <cell r="W112">
            <v>0</v>
          </cell>
          <cell r="X112">
            <v>16322267125.83</v>
          </cell>
          <cell r="Y112">
            <v>16322151175</v>
          </cell>
          <cell r="Z112">
            <v>16322151175</v>
          </cell>
          <cell r="AA112">
            <v>16320585575</v>
          </cell>
        </row>
        <row r="113">
          <cell r="L113" t="str">
            <v>C-4103-1500-12-0-4103006-03=11</v>
          </cell>
          <cell r="M113" t="str">
            <v>Nación</v>
          </cell>
          <cell r="N113" t="str">
            <v>11</v>
          </cell>
          <cell r="O113" t="str">
            <v>CSF</v>
          </cell>
          <cell r="P113" t="str">
            <v>TRANSFERENCIAS CORRIENTES - SERVICIO DE APOYO FINANCIERO PARA LA ENTREGA DE TRANSFERENCIAS MONETARIAS CONDICIONADAS - IMPLEMENTACIÓN DE TRANSFERENCIAS MONETARIAS CONDICIONADAS PARA POBLACIÓN VULNERABLE A NIVEL NACIONAL - FIP  NACIONAL</v>
          </cell>
          <cell r="Q113">
            <v>1691172057916</v>
          </cell>
          <cell r="R113">
            <v>0</v>
          </cell>
          <cell r="S113">
            <v>60000000000</v>
          </cell>
          <cell r="T113">
            <v>1631172057916</v>
          </cell>
          <cell r="U113">
            <v>0</v>
          </cell>
          <cell r="V113">
            <v>1631172057916</v>
          </cell>
          <cell r="W113">
            <v>0</v>
          </cell>
          <cell r="X113">
            <v>1631172057916</v>
          </cell>
          <cell r="Y113">
            <v>1369277288293</v>
          </cell>
          <cell r="Z113">
            <v>1369277288293</v>
          </cell>
          <cell r="AA113">
            <v>1369277288293</v>
          </cell>
        </row>
        <row r="114">
          <cell r="L114" t="str">
            <v>C-4103-1500-13-0-4103051-02=11</v>
          </cell>
          <cell r="M114" t="str">
            <v>Nación</v>
          </cell>
          <cell r="N114" t="str">
            <v>11</v>
          </cell>
          <cell r="O114" t="str">
            <v>CSF</v>
          </cell>
          <cell r="P114" t="str">
            <v>ADQUISICIÓN DE BIENES Y SERVICIOS - SERVICIO DE ASISTENCIA TÉCNICA PARA EL AUTOCONSUMO DE LOS HOGARES EN SITUACIÓN DE VULNERABILIDAD SOCIAL - IMPLEMENTACIÓN DE UNIDADES PRODUCTIVAS DE AUTOCONSUMO PARA POBLACIÓN POBRE Y VULNERABLE   NACIONAL</v>
          </cell>
          <cell r="Q114">
            <v>7218669145</v>
          </cell>
          <cell r="R114">
            <v>58501450</v>
          </cell>
          <cell r="S114">
            <v>0</v>
          </cell>
          <cell r="T114">
            <v>7277170595</v>
          </cell>
          <cell r="U114">
            <v>0</v>
          </cell>
          <cell r="V114">
            <v>7218669145</v>
          </cell>
          <cell r="W114">
            <v>58501450</v>
          </cell>
          <cell r="X114">
            <v>4406021511</v>
          </cell>
          <cell r="Y114">
            <v>784148399</v>
          </cell>
          <cell r="Z114">
            <v>784148399</v>
          </cell>
          <cell r="AA114">
            <v>784148399</v>
          </cell>
        </row>
        <row r="115">
          <cell r="L115" t="str">
            <v>C-4103-1500-13-0-4103053-02=11</v>
          </cell>
          <cell r="M115" t="str">
            <v>Nación</v>
          </cell>
          <cell r="N115" t="str">
            <v>11</v>
          </cell>
          <cell r="O115" t="str">
            <v>CSF</v>
          </cell>
          <cell r="P115" t="str">
            <v>ADQUISICIÓN DE BIENES Y SERVICIOS - SERVICIO DE ASISTENCIA TÉCNICA PARA EL MEJORAMIENTO DE HÁBITOS ALIMENTARIOS - IMPLEMENTACIÓN DE UNIDADES PRODUCTIVAS DE AUTOCONSUMO PARA POBLACIÓN POBRE Y VULNERABLE   NACIONAL</v>
          </cell>
          <cell r="Q115">
            <v>4348087590</v>
          </cell>
          <cell r="R115">
            <v>73595250</v>
          </cell>
          <cell r="S115">
            <v>0</v>
          </cell>
          <cell r="T115">
            <v>4421682840</v>
          </cell>
          <cell r="U115">
            <v>0</v>
          </cell>
          <cell r="V115">
            <v>4348087590</v>
          </cell>
          <cell r="W115">
            <v>73595250</v>
          </cell>
          <cell r="X115">
            <v>2653919568</v>
          </cell>
          <cell r="Y115">
            <v>392074199</v>
          </cell>
          <cell r="Z115">
            <v>392074199</v>
          </cell>
          <cell r="AA115">
            <v>392074199</v>
          </cell>
        </row>
        <row r="116">
          <cell r="L116" t="str">
            <v>C-4103-1500-13-0-4103054-02=11</v>
          </cell>
          <cell r="M116" t="str">
            <v>Nación</v>
          </cell>
          <cell r="N116" t="str">
            <v>11</v>
          </cell>
          <cell r="O116" t="str">
            <v>CSF</v>
          </cell>
          <cell r="P116" t="str">
            <v>ADQUISICIÓN DE BIENES Y SERVICIOS - SERVICIO DE MONITOREO Y SEGUIMIENTO A LAS INTERVENCIONES IMPLEMENTADAS PARA LA INCLUSIÓN SOCIAL Y PRODUCTIVA DE LA POBLACIÓN EN SITUACIÓN DE VULNERABILIDAD - IMPLEMENTACIÓN DE UNIDADES PRODUCTIVAS DE AUTOCONSUMO PA</v>
          </cell>
          <cell r="Q116">
            <v>2171371771</v>
          </cell>
          <cell r="R116">
            <v>0</v>
          </cell>
          <cell r="S116">
            <v>0</v>
          </cell>
          <cell r="T116">
            <v>2171371771</v>
          </cell>
          <cell r="U116">
            <v>0</v>
          </cell>
          <cell r="V116">
            <v>2080276776</v>
          </cell>
          <cell r="W116">
            <v>91094995</v>
          </cell>
          <cell r="X116">
            <v>846723383</v>
          </cell>
          <cell r="Y116">
            <v>300194012</v>
          </cell>
          <cell r="Z116">
            <v>270794012</v>
          </cell>
          <cell r="AA116">
            <v>270794012</v>
          </cell>
        </row>
        <row r="117">
          <cell r="L117" t="str">
            <v>C-4103-1500-13-0-4103055-02=11</v>
          </cell>
          <cell r="M117" t="str">
            <v>Nación</v>
          </cell>
          <cell r="N117" t="str">
            <v>11</v>
          </cell>
          <cell r="O117" t="str">
            <v>CSF</v>
          </cell>
          <cell r="P117" t="str">
            <v>ADQUISICIÓN DE BIENES Y SERVICIOS - SERVICIO DE APOYO PARA LAS UNIDADES PRODUCTIVAS PARA EL AUTOCONSUMO DE LOS HOGARES EN SITUACIÓN DE VULNERABILIDAD SOCIAL - IMPLEMENTACIÓN DE UNIDADES PRODUCTIVAS DE AUTOCONSUMO PARA POBLACIÓN POBRE Y VULNERABLE   N</v>
          </cell>
          <cell r="Q117">
            <v>12164900352</v>
          </cell>
          <cell r="R117">
            <v>1222086351</v>
          </cell>
          <cell r="S117">
            <v>0</v>
          </cell>
          <cell r="T117">
            <v>13386986703</v>
          </cell>
          <cell r="U117">
            <v>0</v>
          </cell>
          <cell r="V117">
            <v>12164900352</v>
          </cell>
          <cell r="W117">
            <v>1222086351</v>
          </cell>
          <cell r="X117">
            <v>7457426819</v>
          </cell>
          <cell r="Y117">
            <v>784148399</v>
          </cell>
          <cell r="Z117">
            <v>784148399</v>
          </cell>
          <cell r="AA117">
            <v>784148399</v>
          </cell>
        </row>
        <row r="118">
          <cell r="L118" t="str">
            <v>C-4103-1500-14-0-4103016-02=11</v>
          </cell>
          <cell r="M118" t="str">
            <v>Nación</v>
          </cell>
          <cell r="N118" t="str">
            <v>11</v>
          </cell>
          <cell r="O118" t="str">
            <v>CSF</v>
          </cell>
          <cell r="P118" t="str">
            <v>ADQUISICIÓN DE BIENES Y SERVICIOS - SERVICIO DE APOYO FINANCIERO PARA FINANCIACIÓN DE OBRAS DE INFRAESTRUCTURA SOCIAL - FORTALECIMIENTO PARA EL DESARROLLO DE INFRAESTRUCTURA SOCIAL Y HÁBITAT PARA LA INCLUSIÓN SOCIAL A NIVEL NACIONAL - FIP  NACIONAL</v>
          </cell>
          <cell r="Q118">
            <v>358903207165.07001</v>
          </cell>
          <cell r="R118">
            <v>48060329083.639999</v>
          </cell>
          <cell r="S118">
            <v>366968373082.07001</v>
          </cell>
          <cell r="T118">
            <v>39995163166.639999</v>
          </cell>
          <cell r="U118">
            <v>0</v>
          </cell>
          <cell r="V118">
            <v>39602926888.639999</v>
          </cell>
          <cell r="W118">
            <v>392236278</v>
          </cell>
          <cell r="X118">
            <v>36249682146</v>
          </cell>
          <cell r="Y118">
            <v>26630130.420000002</v>
          </cell>
          <cell r="Z118">
            <v>26630130.420000002</v>
          </cell>
          <cell r="AA118">
            <v>26630130.420000002</v>
          </cell>
        </row>
        <row r="119">
          <cell r="L119" t="str">
            <v>C-4103-1500-14-0-4103048-02=11</v>
          </cell>
          <cell r="M119" t="str">
            <v>Nación</v>
          </cell>
          <cell r="N119" t="str">
            <v>11</v>
          </cell>
          <cell r="O119" t="str">
            <v>CSF</v>
          </cell>
          <cell r="P119" t="str">
            <v>ADQUISICIÓN DE BIENES Y SERVICIOS - SERVICIO DE ASISTENCIA TÉCNICA EN PROYECTOS DE INFRAESTRUCTURA SOCIAL A ENTIDADES TERRITORIALES - FORTALECIMIENTO PARA EL DESARROLLO DE INFRAESTRUCTURA SOCIAL Y HÁBITAT PARA LA INCLUSIÓN SOCIAL A NIVEL NACIONAL - F</v>
          </cell>
          <cell r="Q119">
            <v>21666882589.209999</v>
          </cell>
          <cell r="R119">
            <v>700000000</v>
          </cell>
          <cell r="S119">
            <v>0</v>
          </cell>
          <cell r="T119">
            <v>22366882589.209999</v>
          </cell>
          <cell r="U119">
            <v>0</v>
          </cell>
          <cell r="V119">
            <v>20865867891.209999</v>
          </cell>
          <cell r="W119">
            <v>1501014698</v>
          </cell>
          <cell r="X119">
            <v>10676580832</v>
          </cell>
          <cell r="Y119">
            <v>3577726305</v>
          </cell>
          <cell r="Z119">
            <v>3334593196</v>
          </cell>
          <cell r="AA119">
            <v>3325731143</v>
          </cell>
        </row>
        <row r="120">
          <cell r="L120" t="str">
            <v>C-4103-1500-14-0-4103016-03=10</v>
          </cell>
          <cell r="M120" t="str">
            <v>Nación</v>
          </cell>
          <cell r="N120" t="str">
            <v>10</v>
          </cell>
          <cell r="O120" t="str">
            <v>CSF</v>
          </cell>
          <cell r="P120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20">
            <v>50000000000</v>
          </cell>
          <cell r="R120">
            <v>0</v>
          </cell>
          <cell r="S120">
            <v>50000000000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L121" t="str">
            <v>C-4103-1500-14-0-4103016-03=11</v>
          </cell>
          <cell r="M121" t="str">
            <v>Nación</v>
          </cell>
          <cell r="N121" t="str">
            <v>11</v>
          </cell>
          <cell r="O121" t="str">
            <v>CSF</v>
          </cell>
          <cell r="P121" t="str">
            <v>TRANSFERENCIAS CORRIENTES - SERVICIO DE APOYO FINANCIERO PARA FINANCIACIÓN DE OBRAS DE INFRAESTRUCTURA SOCIAL - FORTALECIMIENTO PARA EL DESARROLLO DE INFRAESTRUCTURA SOCIAL Y HÁBITAT PARA LA INCLUSIÓN SOCIAL A NIVEL NACIONAL - FIP  NACIONAL</v>
          </cell>
          <cell r="Q121">
            <v>796312137723.71997</v>
          </cell>
          <cell r="R121">
            <v>0</v>
          </cell>
          <cell r="S121">
            <v>331791956001.57001</v>
          </cell>
          <cell r="T121">
            <v>464520181722.15002</v>
          </cell>
          <cell r="U121">
            <v>0</v>
          </cell>
          <cell r="V121">
            <v>463234506403.85999</v>
          </cell>
          <cell r="W121">
            <v>1285675318.29</v>
          </cell>
          <cell r="X121">
            <v>461912790084.5</v>
          </cell>
          <cell r="Y121">
            <v>85617915221.550003</v>
          </cell>
          <cell r="Z121">
            <v>85617915221.550003</v>
          </cell>
          <cell r="AA121">
            <v>85617915221.550003</v>
          </cell>
        </row>
        <row r="122">
          <cell r="L122" t="str">
            <v>C-4103-1500-16-0-4103056-02=11</v>
          </cell>
          <cell r="M122" t="str">
            <v>Nación</v>
          </cell>
          <cell r="N122" t="str">
            <v>11</v>
          </cell>
          <cell r="O122" t="str">
            <v>CSF</v>
          </cell>
          <cell r="P122" t="str">
            <v>ADQUISICIÓN DE BIENES Y SERVICIOS -  SERVICIO DE ASISTENCIA TÉCNICA EN SEGURIDAD ALIMENTARIA Y NUTRICIONAL A ENTIDADES TERRITORIALES - FORTALECIMIENTO A ENTIDADES TERRITORIALES EN POLITICA DE SEGURIDAD ALIMENTARIA  NACIONAL</v>
          </cell>
          <cell r="Q122">
            <v>730000000</v>
          </cell>
          <cell r="R122">
            <v>0</v>
          </cell>
          <cell r="S122">
            <v>0</v>
          </cell>
          <cell r="T122">
            <v>730000000</v>
          </cell>
          <cell r="U122">
            <v>0</v>
          </cell>
          <cell r="V122">
            <v>730000000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L123" t="str">
            <v>C-4103-1500-16-0-4103060-02=11</v>
          </cell>
          <cell r="M123" t="str">
            <v>Nación</v>
          </cell>
          <cell r="N123" t="str">
            <v>11</v>
          </cell>
          <cell r="O123" t="str">
            <v>CSF</v>
          </cell>
          <cell r="P123" t="str">
            <v>ADQUISICIÓN DE BIENES Y SERVICIOS - DOCUMENTO DE LINEAMIENTOS TÉCNICOS - FORTALECIMIENTO A ENTIDADES TERRITORIALES EN POLITICA DE SEGURIDAD ALIMENTARIA  NACIONAL</v>
          </cell>
          <cell r="Q123">
            <v>270000000</v>
          </cell>
          <cell r="R123">
            <v>0</v>
          </cell>
          <cell r="S123">
            <v>0</v>
          </cell>
          <cell r="T123">
            <v>270000000</v>
          </cell>
          <cell r="U123">
            <v>0</v>
          </cell>
          <cell r="V123">
            <v>270000000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L124" t="str">
            <v>C-4103-1500-17-0-4103058-02=11</v>
          </cell>
          <cell r="M124" t="str">
            <v>Nación</v>
          </cell>
          <cell r="N124" t="str">
            <v>11</v>
          </cell>
          <cell r="O124" t="str">
            <v>CSF</v>
          </cell>
          <cell r="P124" t="str">
            <v>ADQUISICIÓN DE BIENES Y SERVICIOS - SERVICIO DE APOYO PARA EL FORTALECIMIENTO DE UNIDADES PRODUCTIVAS COLECTIVAS PARA LA GENERACIÓN DE INGRESOS - IMPLEMENTACIÓN DE HERRAMIENTAS PARA LA INCLUSIÓN PRODUCTIVA DE LA POBLACIÓN EN SITUACIÓN DE POBREZA EXTR</v>
          </cell>
          <cell r="Q124">
            <v>12632794125</v>
          </cell>
          <cell r="R124">
            <v>0</v>
          </cell>
          <cell r="S124">
            <v>9713476480</v>
          </cell>
          <cell r="T124">
            <v>2919317645</v>
          </cell>
          <cell r="U124">
            <v>0</v>
          </cell>
          <cell r="V124">
            <v>2919317645</v>
          </cell>
          <cell r="W124">
            <v>0</v>
          </cell>
          <cell r="X124">
            <v>2919317645</v>
          </cell>
          <cell r="Y124">
            <v>971988174</v>
          </cell>
          <cell r="Z124">
            <v>971988174</v>
          </cell>
          <cell r="AA124">
            <v>971988174</v>
          </cell>
        </row>
        <row r="125">
          <cell r="L125" t="str">
            <v>C-4103-1500-17-0-4103059-02=11</v>
          </cell>
          <cell r="M125" t="str">
            <v>Nación</v>
          </cell>
          <cell r="N125" t="str">
            <v>11</v>
          </cell>
          <cell r="O125" t="str">
            <v>CSF</v>
          </cell>
          <cell r="P125" t="str">
            <v>ADQUISICIÓN DE BIENES Y SERVICIOS - SERVICIO DE ASISTENCIA TÉCNICA PARA FORTALECIMIENTO DE UNIDADES PRODUCTIVAS COLECTIVAS PARA LA GENERACIÓN DE INGRESOS - IMPLEMENTACIÓN DE HERRAMIENTAS PARA LA INCLUSIÓN PRODUCTIVA DE LA POBLACIÓN EN SITUACIÓN DE PO</v>
          </cell>
          <cell r="Q125">
            <v>1307947412</v>
          </cell>
          <cell r="R125">
            <v>0</v>
          </cell>
          <cell r="S125">
            <v>0</v>
          </cell>
          <cell r="T125">
            <v>1307947412</v>
          </cell>
          <cell r="U125">
            <v>0</v>
          </cell>
          <cell r="V125">
            <v>975341297</v>
          </cell>
          <cell r="W125">
            <v>332606115</v>
          </cell>
          <cell r="X125">
            <v>975341297</v>
          </cell>
          <cell r="Y125">
            <v>975341297</v>
          </cell>
          <cell r="Z125">
            <v>975341297</v>
          </cell>
          <cell r="AA125">
            <v>975341297</v>
          </cell>
        </row>
        <row r="126">
          <cell r="L126" t="str">
            <v>C-4103-1500-17-0-4103005-02=11</v>
          </cell>
          <cell r="M126" t="str">
            <v>Nación</v>
          </cell>
          <cell r="N126" t="str">
            <v>11</v>
          </cell>
          <cell r="O126" t="str">
            <v>CSF</v>
          </cell>
          <cell r="P126" t="str">
            <v>ADQUISICIÓN DE BIENES Y SERVICIOS - SERVICIO DE ASISTENCIA TÉCNICA PARA EL EMPRENDIMIENTO  - IMPLEMENTACIÓN DE HERRAMIENTAS PARA LA INCLUSIÓN PRODUCTIVA DE LA POBLACIÓN EN SITUACIÓN DE POBREZA EXTREMA, VULNERABILIDAD Y VICTIMAS DEL DESPLAZAMIENTO FOR</v>
          </cell>
          <cell r="Q126">
            <v>24060301659</v>
          </cell>
          <cell r="R126">
            <v>176047300</v>
          </cell>
          <cell r="S126">
            <v>5805513391</v>
          </cell>
          <cell r="T126">
            <v>18430835568</v>
          </cell>
          <cell r="U126">
            <v>0</v>
          </cell>
          <cell r="V126">
            <v>17138449710</v>
          </cell>
          <cell r="W126">
            <v>1292385858</v>
          </cell>
          <cell r="X126">
            <v>15409852995</v>
          </cell>
          <cell r="Y126">
            <v>957360037</v>
          </cell>
          <cell r="Z126">
            <v>919535717</v>
          </cell>
          <cell r="AA126">
            <v>835324842</v>
          </cell>
        </row>
        <row r="127">
          <cell r="L127" t="str">
            <v>C-4103-1500-17-0-4103057-03=11</v>
          </cell>
          <cell r="M127" t="str">
            <v>Nación</v>
          </cell>
          <cell r="N127" t="str">
            <v>11</v>
          </cell>
          <cell r="O127" t="str">
            <v>CSF</v>
          </cell>
          <cell r="P127" t="str">
            <v xml:space="preserve">TRANSFERENCIAS CORRIENTES - SERVICIO DE APOYO A UNIDADES PRODUCTIVAS INDIVIDUALES PARA LA GENERACIÓN DE INGRESOS - IMPLEMENTACIÓN DE HERRAMIENTAS PARA LA INCLUSIÓN PRODUCTIVA DE LA POBLACIÓN EN SITUACIÓN DE POBREZA EXTREMA, VULNERABILIDAD Y VICTIMAS </v>
          </cell>
          <cell r="Q127">
            <v>45582352481</v>
          </cell>
          <cell r="R127">
            <v>473994000</v>
          </cell>
          <cell r="S127">
            <v>24481010129</v>
          </cell>
          <cell r="T127">
            <v>21575336352</v>
          </cell>
          <cell r="U127">
            <v>0</v>
          </cell>
          <cell r="V127">
            <v>21101342352</v>
          </cell>
          <cell r="W127">
            <v>473994000</v>
          </cell>
          <cell r="X127">
            <v>21101342352</v>
          </cell>
          <cell r="Y127">
            <v>757897877</v>
          </cell>
          <cell r="Z127">
            <v>757897877</v>
          </cell>
          <cell r="AA127">
            <v>0</v>
          </cell>
        </row>
        <row r="128">
          <cell r="L128" t="str">
            <v>C-4103-1500-18-0-4103050-02=11</v>
          </cell>
          <cell r="M128" t="str">
            <v>Nación</v>
          </cell>
          <cell r="N128" t="str">
            <v>11</v>
          </cell>
          <cell r="O128" t="str">
            <v>CSF</v>
          </cell>
          <cell r="P128" t="str">
            <v>ADQUISICIÓN DE BIENES Y SERVICIOS - SERVICIO DE ACOMPAÑAMIENTO FAMILIAR Y COMUNITARIO PARA LA SUPERACIÓN DE LA POBREZA - IMPLEMENTACIÓN DE LA ESTRATEGIA DE ACOMPAÑAMIENTO FAMILIAR Y COMUNITARIO PARA LA SUPERACIÓN DE LA POBREZA - FIP A NIVEL   NACIONA</v>
          </cell>
          <cell r="Q128">
            <v>70125561842</v>
          </cell>
          <cell r="R128">
            <v>0</v>
          </cell>
          <cell r="S128">
            <v>61004224351</v>
          </cell>
          <cell r="T128">
            <v>9121337491</v>
          </cell>
          <cell r="U128">
            <v>0</v>
          </cell>
          <cell r="V128">
            <v>5624380365.9200001</v>
          </cell>
          <cell r="W128">
            <v>3496957125.0799999</v>
          </cell>
          <cell r="X128">
            <v>4680097023.9200001</v>
          </cell>
          <cell r="Y128">
            <v>1302591841.3800001</v>
          </cell>
          <cell r="Z128">
            <v>1302591841.3800001</v>
          </cell>
          <cell r="AA128">
            <v>1302591841.3800001</v>
          </cell>
        </row>
        <row r="129">
          <cell r="L129" t="str">
            <v>C-4103-1500-19-0-4103052-02=11</v>
          </cell>
          <cell r="M129" t="str">
            <v>Nación</v>
          </cell>
          <cell r="N129" t="str">
            <v>11</v>
          </cell>
          <cell r="O129" t="str">
            <v>CSF</v>
          </cell>
          <cell r="P129" t="str">
            <v>ADQUISICIÓN DE BIENES Y SERVICIOS - SERVICIO DE GESTIÓN DE OFERTA SOCIAL PARA LA POBLACIÓN VULNERABLE - FORTALECIMIENTO DE LA GESTIÓN DE OFERTA PARA LA SUPERACIÓN DE LA POBREZA- FIP A NIVEL  NACIONAL</v>
          </cell>
          <cell r="Q129">
            <v>9835707936</v>
          </cell>
          <cell r="R129">
            <v>0</v>
          </cell>
          <cell r="S129">
            <v>0</v>
          </cell>
          <cell r="T129">
            <v>9835707936</v>
          </cell>
          <cell r="U129">
            <v>0</v>
          </cell>
          <cell r="V129">
            <v>9453039096</v>
          </cell>
          <cell r="W129">
            <v>382668840</v>
          </cell>
          <cell r="X129">
            <v>5726661130.0500002</v>
          </cell>
          <cell r="Y129">
            <v>855166742</v>
          </cell>
          <cell r="Z129">
            <v>811278487</v>
          </cell>
          <cell r="AA129">
            <v>811278487</v>
          </cell>
        </row>
        <row r="130">
          <cell r="L130" t="str">
            <v>C-4103-1500-19-0-4103060-02=11</v>
          </cell>
          <cell r="M130" t="str">
            <v>Nación</v>
          </cell>
          <cell r="N130" t="str">
            <v>11</v>
          </cell>
          <cell r="O130" t="str">
            <v>CSF</v>
          </cell>
          <cell r="P130" t="str">
            <v>ADQUISICIÓN DE BIENES Y SERVICIOS - DOCUMENTO DE LINEAMIENTOS TÉCNICOS - FORTALECIMIENTO DE LA GESTIÓN DE OFERTA PARA LA SUPERACIÓN DE LA POBREZA- FIP A NIVEL  NACIONAL</v>
          </cell>
          <cell r="Q130">
            <v>1226999999</v>
          </cell>
          <cell r="R130">
            <v>0</v>
          </cell>
          <cell r="S130">
            <v>1114769224</v>
          </cell>
          <cell r="T130">
            <v>112230775</v>
          </cell>
          <cell r="U130">
            <v>0</v>
          </cell>
          <cell r="V130">
            <v>0</v>
          </cell>
          <cell r="W130">
            <v>112230775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L131" t="str">
            <v>C-4103-1500-19-0-4103049-02=11</v>
          </cell>
          <cell r="M131" t="str">
            <v>Nación</v>
          </cell>
          <cell r="N131" t="str">
            <v>11</v>
          </cell>
          <cell r="O131" t="str">
            <v>CSF</v>
          </cell>
          <cell r="P131" t="str">
            <v>ADQUISICIÓN DE BIENES Y SERVICIOS - SERVICIO DE ASISTENCIA TÉCNICA A LAS ENTIDADES TERRITORIALES EN LA FORMULACIÓN DE SUS MARCOS DE LUCHA CONTRA LA POBREZA - FORTALECIMIENTO DE LA GESTIÓN DE OFERTA PARA LA SUPERACIÓN DE LA POBREZA- FIP A NIVEL  NACIO</v>
          </cell>
          <cell r="Q131">
            <v>218772000</v>
          </cell>
          <cell r="R131">
            <v>114769224</v>
          </cell>
          <cell r="S131">
            <v>0</v>
          </cell>
          <cell r="T131">
            <v>333541224</v>
          </cell>
          <cell r="U131">
            <v>0</v>
          </cell>
          <cell r="V131">
            <v>333541224</v>
          </cell>
          <cell r="W131">
            <v>0</v>
          </cell>
          <cell r="X131">
            <v>227159834</v>
          </cell>
          <cell r="Y131">
            <v>59993471</v>
          </cell>
          <cell r="Z131">
            <v>59993471</v>
          </cell>
          <cell r="AA131">
            <v>59993471</v>
          </cell>
        </row>
        <row r="132">
          <cell r="L132" t="str">
            <v>C-4103-1500-20-0-4103061-02=11</v>
          </cell>
          <cell r="M132" t="str">
            <v>Nación</v>
          </cell>
          <cell r="N132" t="str">
            <v>11</v>
          </cell>
          <cell r="O132" t="str">
            <v>CSF</v>
          </cell>
          <cell r="P132" t="str">
            <v>ADQUISICIÓN DE BIENES Y SERVICIOS - SERVICIO DE APOYO FINANCIERO PARA LA ENTREGA DE TRANSFERENCIAS MONETARIAS NO CONDICIONADAS - IMPLEMENTACION DE TRANSFERENCIAS MONETARIAS NO CONDICIONAS PARA DISMINUIR POBREZA MONETARIA EN LA POBLACION POBRE NACIONA</v>
          </cell>
          <cell r="Q132">
            <v>19919000000</v>
          </cell>
          <cell r="R132">
            <v>5960800000</v>
          </cell>
          <cell r="S132">
            <v>0</v>
          </cell>
          <cell r="T132">
            <v>25879800000</v>
          </cell>
          <cell r="U132">
            <v>0</v>
          </cell>
          <cell r="V132">
            <v>14515000000</v>
          </cell>
          <cell r="W132">
            <v>11364800000</v>
          </cell>
          <cell r="X132">
            <v>13563307916.809999</v>
          </cell>
          <cell r="Y132">
            <v>0</v>
          </cell>
          <cell r="Z132">
            <v>0</v>
          </cell>
          <cell r="AA132">
            <v>0</v>
          </cell>
        </row>
        <row r="133">
          <cell r="L133" t="str">
            <v>C-4103-1500-20-0-4103061-03=11</v>
          </cell>
          <cell r="M133" t="str">
            <v>Nación</v>
          </cell>
          <cell r="N133" t="str">
            <v>11</v>
          </cell>
          <cell r="O133" t="str">
            <v>CSF</v>
          </cell>
          <cell r="P133" t="str">
            <v>TRANSFERENCIAS CORRIENTES - SERVICIO DE APOYO FINANCIERO PARA LA ENTREGA DE TRANSFERENCIAS MONETARIAS NO CONDICIONADAS - IMPLEMENTACION DE TRANSFERENCIAS MONETARIAS NO CONDICIONAS PARA DISMINUIR POBREZA MONETARIA EN LA POBLACION POBRE NACIONAL NACION</v>
          </cell>
          <cell r="Q133">
            <v>260081000000</v>
          </cell>
          <cell r="R133">
            <v>0</v>
          </cell>
          <cell r="S133">
            <v>5960800000</v>
          </cell>
          <cell r="T133">
            <v>254120200000</v>
          </cell>
          <cell r="U133">
            <v>0</v>
          </cell>
          <cell r="V133">
            <v>254120200000</v>
          </cell>
          <cell r="W133">
            <v>0</v>
          </cell>
          <cell r="X133">
            <v>112443450000</v>
          </cell>
          <cell r="Y133">
            <v>104879100000</v>
          </cell>
          <cell r="Z133">
            <v>104879100000</v>
          </cell>
          <cell r="AA133">
            <v>104879100000</v>
          </cell>
        </row>
        <row r="134">
          <cell r="L134" t="str">
            <v>C-4199-1500-2-0-4199062-02=11</v>
          </cell>
          <cell r="M134" t="str">
            <v>Nación</v>
          </cell>
          <cell r="N134" t="str">
            <v>11</v>
          </cell>
          <cell r="O134" t="str">
            <v>CSF</v>
          </cell>
          <cell r="P134" t="str">
            <v>ADQUISICIÓN DE BIENES Y SERVICIOS - SERVICIOS TECNOLÓGICOS  - IMPLEMENTACIÓN Y AMPLIACIÓN DE LAS TECNOLOGÍAS DE INFORMACIÓN Y COMUNICACIONES EN DPS A NIVEL  NACIONAL</v>
          </cell>
          <cell r="Q134">
            <v>3226548466</v>
          </cell>
          <cell r="R134">
            <v>0</v>
          </cell>
          <cell r="S134">
            <v>0</v>
          </cell>
          <cell r="T134">
            <v>3226548466</v>
          </cell>
          <cell r="U134">
            <v>0</v>
          </cell>
          <cell r="V134">
            <v>2468074266.1300001</v>
          </cell>
          <cell r="W134">
            <v>758474199.87</v>
          </cell>
          <cell r="X134">
            <v>2018008934.1300001</v>
          </cell>
          <cell r="Y134">
            <v>2018008933.73</v>
          </cell>
          <cell r="Z134">
            <v>2018008933.73</v>
          </cell>
          <cell r="AA134">
            <v>2018008933.73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Emilio Imedio Villalobos" refreshedDate="45148.430720254626" createdVersion="8" refreshedVersion="8" minRefreshableVersion="3" recordCount="197" xr:uid="{36F4D6D1-699F-4F90-A8C2-51A089002137}">
  <cacheSource type="worksheet">
    <worksheetSource ref="B6:O203" sheet="VIG_2020-IVTrim"/>
  </cacheSource>
  <cacheFields count="15">
    <cacheField name="RUBRO" numFmtId="0">
      <sharedItems count="193">
        <s v="A"/>
        <s v="A-01"/>
        <s v="A-01-01"/>
        <s v="A-01-01-01"/>
        <s v="A-01-01-01-001"/>
        <s v="A-01-01-01-001-001"/>
        <s v="A-01-01-01-001-002"/>
        <s v="A-01-01-01-001-003"/>
        <s v="A-01-01-01-001-004"/>
        <s v="A-01-01-01-001-005"/>
        <s v="A-01-01-01-001-006"/>
        <s v="A-01-01-01-001-007"/>
        <s v="A-01-01-01-001-008"/>
        <s v="A-01-01-01-001-009"/>
        <s v="A-01-01-01-001-010"/>
        <s v="A-01-01-01-001-012"/>
        <s v="A-01-01-02"/>
        <s v="A-01-01-02-001"/>
        <s v="A-01-01-02-002"/>
        <s v="A-01-01-02-003"/>
        <s v="A-01-01-02-004"/>
        <s v="A-01-01-02-005"/>
        <s v="A-01-01-02-006"/>
        <s v="A-01-01-02-007"/>
        <s v="A-01-01-02-008"/>
        <s v="A-01-01-02-009"/>
        <s v="A-01-01-03"/>
        <s v="A-01-01-03-001"/>
        <s v="A-01-01-03-001-001"/>
        <s v="A-01-01-03-001-002"/>
        <s v="A-01-01-03-001-003"/>
        <s v="A-01-01-03-002"/>
        <s v="A-01-01-03-005"/>
        <s v="A-01-01-03-013"/>
        <s v="A-01-01-03-016"/>
        <s v="A-01-01-03-030"/>
        <s v="A-02"/>
        <s v="A-02-02"/>
        <s v="A-02-02-01"/>
        <s v="A-02-02-01-001"/>
        <s v="A-02-02-01-001-005"/>
        <s v="A-02-02-01-001-007"/>
        <s v="A-02-02-01-002"/>
        <s v="A-02-02-01-002-008"/>
        <s v="A-02-02-01-003"/>
        <s v="A-02-02-01-003-002"/>
        <s v="A-02-02-01-003-003"/>
        <s v="A-02-02-01-003-005"/>
        <s v="A-02-02-01-003-006"/>
        <s v="A-02-02-01-003-007"/>
        <s v="A-02-02-01-003-008"/>
        <s v="A-02-02-01-004"/>
        <s v="A-02-02-01-004-002"/>
        <s v="A-02-02-01-004-005"/>
        <s v="A-02-02-01-004-006"/>
        <s v="A-02-02-01-004-007"/>
        <s v="A-02-02-01-004-008"/>
        <s v="A-02-02-02"/>
        <s v="A-02-02-02-006"/>
        <s v="A-02-02-02-006-003"/>
        <s v="A-02-02-02-006-004"/>
        <s v="A-02-02-02-006-005"/>
        <s v="A-02-02-02-006-006"/>
        <s v="A-02-02-02-006-008"/>
        <s v="A-02-02-02-006-009"/>
        <s v="A-02-02-02-007"/>
        <s v="A-02-02-02-007-001"/>
        <s v="A-02-02-02-007-002"/>
        <s v="A-02-02-02-008"/>
        <s v="A-02-02-02-008-002"/>
        <s v="A-02-02-02-008-003"/>
        <s v="A-02-02-02-008-004"/>
        <s v="A-02-02-02-008-005"/>
        <s v="A-02-02-02-008-007"/>
        <s v="A-02-02-02-008-009"/>
        <s v="A-02-02-02-009"/>
        <s v="A-02-02-02-009-002"/>
        <s v="A-02-02-02-009-003"/>
        <s v="A-02-02-02-009-004"/>
        <s v="A-02-02-02-009-006"/>
        <s v="A-02-02-02-009-007"/>
        <s v="A-02-02-02-010"/>
        <s v="A-03"/>
        <s v="A-03-03"/>
        <s v="A-03-03-01"/>
        <s v="A-03-03-01-082"/>
        <s v="A-03-03-01-999"/>
        <s v="A-03-04"/>
        <s v="A-03-04-02"/>
        <s v="A-03-04-02-012"/>
        <s v="A-03-04-02-012-001"/>
        <s v="A-03-04-02-012-002"/>
        <s v="A-03-04-02-025"/>
        <s v="A-03-10"/>
        <s v="A-03-10-01"/>
        <s v="A-03-10-01-001"/>
        <s v="A-08"/>
        <s v="A-08-01"/>
        <s v="A-08-01-02"/>
        <s v="A-08-01-02-001"/>
        <s v="A-08-01-02-004"/>
        <s v="A-08-01-02-006"/>
        <s v="A-08-04"/>
        <s v="A-08-04-01"/>
        <s v="C_x000a_"/>
        <s v="C-4101"/>
        <s v="C-4101-1500"/>
        <s v="C-4101-1500-5"/>
        <s v="C-4101-1500-5-0-4101073"/>
        <s v="C-4101-1500-5-0-4101073-02"/>
        <s v="C-4101-1500-5-0-4101074"/>
        <s v="C-4101-1500-5-0-4101074-02"/>
        <s v="C-4101-1500-5-0-4101077"/>
        <s v="C-4101-1500-5-0-4101077-02"/>
        <s v="C-4101-1500-5-0-4101078"/>
        <s v="C-4101-1500-5-0-4101078-02"/>
        <s v="C-4101-1500-5-0-4101080"/>
        <s v="C-4101-1500-5-0-4101080-02"/>
        <s v="C-4101-1500-5-0-4101081"/>
        <s v="C-4101-1500-5-0-4101081-02"/>
        <s v="C-4101-1500-6"/>
        <s v="C-4101-1500-6-0-4101073"/>
        <s v="C-4101-1500-6-0-4101073-02"/>
        <s v="C-4101-1500-6-0-4101074"/>
        <s v="C-4101-1500-6-0-4101074-02"/>
        <s v="C-4101-1500-6-0-4101077"/>
        <s v="C-4101-1500-6-0-4101077-02"/>
        <s v="C-4101-1500-6-0-4101078"/>
        <s v="C-4101-1500-6-0-4101078-02"/>
        <s v="C-4101-1500-6-0-4101080"/>
        <s v="C-4101-1500-6-0-4101080-02"/>
        <s v="C-4101-1500-6-0-4101081"/>
        <s v="C-4101-1500-6-0-4101081-02"/>
        <s v="C-4101-1500-6-0-4101081-03"/>
        <s v="C-4103"/>
        <s v="C-4103-1500"/>
        <s v="C-4103-1500-12"/>
        <s v="C-4103-1500-12-0-4103006"/>
        <s v="C-4103-1500-12-0-4103006-02"/>
        <s v="C-4103-1500-12-0-4103006-03"/>
        <s v="C-4103-1500-12-0-4103009"/>
        <s v="C-4103-1500-12-0-4103009-02"/>
        <s v="C-4103-1500-13"/>
        <s v="C-4103-1500-13-0-4103051"/>
        <s v="C-4103-1500-13-0-4103051-02"/>
        <s v="C-4103-1500-13-0-4103053"/>
        <s v="C-4103-1500-13-0-4103053-02"/>
        <s v="C-4103-1500-13-0-4103054"/>
        <s v="C-4103-1500-13-0-4103054-02"/>
        <s v="C-4103-1500-13-0-4103055"/>
        <s v="C-4103-1500-13-0-4103055-02"/>
        <s v="C-4103-1500-14"/>
        <s v="C-4103-1500-14-0-4103016"/>
        <s v="C-4103-1500-14-0-4103016-02"/>
        <s v="C-4103-1500-14-0-4103016-03"/>
        <s v="C-4103-1500-14-0-4103048"/>
        <s v="C-4103-1500-14-0-4103048-02"/>
        <s v="C-4103-1500-16"/>
        <s v="C-4103-1500-16-0-4103056"/>
        <s v="C-4103-1500-16-0-4103056-02"/>
        <s v="C-4103-1500-16-0-4103060"/>
        <s v="C-4103-1500-16-0-4103060-02"/>
        <s v="C-4103-1500-17"/>
        <s v="C-4103-1500-17-0-4103005"/>
        <s v="C-4103-1500-17-0-4103005-02"/>
        <s v="C-4103-1500-17-0-4103057"/>
        <s v="C-4103-1500-17-0-4103057-03"/>
        <s v="C-4103-1500-17-0-4103058"/>
        <s v="C-4103-1500-17-0-4103058-02"/>
        <s v="C-4103-1500-17-0-4103059"/>
        <s v="C-4103-1500-17-0-4103059-02"/>
        <s v="C-4103-1500-18"/>
        <s v="C-4103-1500-18-0-4103050"/>
        <s v="C-4103-1500-18-0-4103050-02"/>
        <s v="C-4103-1500-19"/>
        <s v="C-4103-1500-19-0-4103049"/>
        <s v="C-4103-1500-19-0-4103049-02"/>
        <s v="C-4103-1500-19-0-4103052"/>
        <s v="C-4103-1500-19-0-4103052-02"/>
        <s v="C-4103-1500-19-0-4103060"/>
        <s v="C-4103-1500-19-0-4103060-02"/>
        <s v="C-4103-1500-20"/>
        <s v="C-4103-1500-20-0-4103061"/>
        <s v="C-4103-1500-20-0-4103061-02"/>
        <s v="C-4103-1500-20-0-4103061-03"/>
        <s v="C-4103-1500-23"/>
        <s v="C-4103-1500-23--"/>
        <s v="C-4103-1500-23---"/>
        <s v="C-4199"/>
        <s v="C-4199-1500"/>
        <s v="C-4199-1500-2"/>
        <s v="C-4199-1500-2-0-4199062"/>
        <s v="C-4199-1500-2-0-4199062-02"/>
      </sharedItems>
    </cacheField>
    <cacheField name="TIPO" numFmtId="0">
      <sharedItems count="2">
        <s v="A"/>
        <s v="C"/>
      </sharedItems>
    </cacheField>
    <cacheField name="CTA" numFmtId="0">
      <sharedItems containsBlank="1" containsMixedTypes="1" containsNumber="1" containsInteger="1" minValue="4101" maxValue="4199"/>
    </cacheField>
    <cacheField name="SUBC" numFmtId="0">
      <sharedItems containsBlank="1" containsMixedTypes="1" containsNumber="1" containsInteger="1" minValue="1500" maxValue="1500"/>
    </cacheField>
    <cacheField name="OBJG" numFmtId="0">
      <sharedItems containsBlank="1" containsMixedTypes="1" containsNumber="1" containsInteger="1" minValue="5" maxValue="23"/>
    </cacheField>
    <cacheField name="ORD" numFmtId="0">
      <sharedItems containsBlank="1"/>
    </cacheField>
    <cacheField name="SORD" numFmtId="0">
      <sharedItems containsBlank="1" containsMixedTypes="1" containsNumber="1" containsInteger="1" minValue="4103009" maxValue="4103061"/>
    </cacheField>
    <cacheField name="ITEM" numFmtId="0">
      <sharedItems containsBlank="1"/>
    </cacheField>
    <cacheField name="SITEM" numFmtId="0">
      <sharedItems containsNonDate="0" containsString="0" containsBlank="1"/>
    </cacheField>
    <cacheField name="REC." numFmtId="0">
      <sharedItems containsBlank="1" containsMixedTypes="1" containsNumber="1" containsInteger="1" minValue="10" maxValue="54"/>
    </cacheField>
    <cacheField name="SIT" numFmtId="0">
      <sharedItems containsBlank="1"/>
    </cacheField>
    <cacheField name="CONCEPTO" numFmtId="0">
      <sharedItems containsBlank="1" count="149">
        <s v="FUNCIONAMIENTO "/>
        <s v="GASTOS DE PERSONAL"/>
        <s v="PLANTA DE PERSONAL PERMANENTE"/>
        <s v="SALARIO"/>
        <s v="FACTORES SALARIALES COMUNES"/>
        <s v="SUELDO BÁSICO"/>
        <s v="GASTOS DE REPRESENTACIÓN"/>
        <s v="PRIMA TÉCNICA SALARIAL"/>
        <s v="SUBSIDIO DE ALIMENTACIÓN"/>
        <s v="AUXILIO DE TRANSPORTE"/>
        <s v="PRIMA DE SERVICIO"/>
        <s v="BONIFICACIÓN POR SERVICIOS PRESTADOS"/>
        <s v="HORAS EXTRAS, DOMINICALES, FESTIVOS Y RECARGOS"/>
        <s v="PRIMA DE NAVIDAD"/>
        <s v="PRIMA DE VACACIONES"/>
        <s v="AUXILIO DE CONECTIVIDAD DIGITAL "/>
        <s v="CONTRIBUCIONES INHERENTES A LA NÓMINA"/>
        <s v="PENSIONES"/>
        <s v="SALUD"/>
        <s v="APORTES DE CESANTÍAS"/>
        <s v="CAJAS DE COMPENSACIÓN FAMILIAR"/>
        <s v="APORTES GENERALES AL SISTEMA DE RIESGOS LABORALES"/>
        <s v="APORTES AL ICBF"/>
        <s v="APORTES AL SENA"/>
        <s v="APORTES A LA ESAP"/>
        <s v="APORTES A ESCUELAS INDUSTRIALES E INSTITUTOS TÉCNICOS"/>
        <s v="REMUNERACIONES NO CONSTITUTIVAS DE FACTOR SALARIAL"/>
        <s v="PRESTACIONES SOCIALES SEGÚN DEFINICIÓN LEGAL"/>
        <s v="SUELDO DE VACACIONES"/>
        <s v="INDEMNIZACIÓN POR VACACIONES"/>
        <s v="BONIFICACIÓN ESPECIAL DE RECREACIÓN"/>
        <s v="PRIMA TÉCNICA NO SALARIAL"/>
        <s v="PRIMA DE RIESGO"/>
        <s v="ESTÍMULOS A LOS EMPLEADOS DEL ESTADO"/>
        <s v="PRIMA DE COORDINACIÓN"/>
        <s v="BONIFICACIÓN DE DIRECCIÓN"/>
        <s v="ADQUISICIÓN DE BIENES  Y SERVICIOS"/>
        <s v="ADQUISICIONES DIFERENTES DE ACTIVOS"/>
        <s v="MATERIALES Y SUMINISTROS"/>
        <s v="MINERALES; ELECTRICIDAD, GAS Y AGUA"/>
        <s v="PIEDRA, ARENA Y ARCILLA"/>
        <s v="ELECTRICIDAD, GAS DE CIUDAD, VAPOR Y AGUA CALIENTE"/>
        <s v="PRODUCTOS ALIMENTICIOS, BEBIDAS Y TABACO; TEXTILES, PRENDAS DE VESTIR Y PRODUCTOS DE CUERO"/>
        <s v="DOTACIÓN (PRENDAS DE VESTIR Y CALZADO)"/>
        <s v="OTROS BIENES TRANSPORTABLES (EXCEPTO PRODUCTOS METÁLICOS, MAQUINARIA Y EQUIPO)"/>
        <s v="PASTA O PULPA, PAPEL Y PRODUCTOS DE PAPEL; IMPRESOS Y ARTÍCULOS RELACIONADOS"/>
        <s v="PRODUCTOS DE HORNOS DE COQUE; PRODUCTOS DE REFINACIÓN DE PETRÓLEO Y COMBUSTIBLE NUCLEAR"/>
        <s v="OTROS PRODUCTOS QUÍMICOS; FIBRAS ARTIFICIALES (O FIBRAS INDUSTRIALES HECHAS POR EL HOMBRE)"/>
        <s v="PRODUCTOS DE CAUCHO Y PLÁSTICO"/>
        <s v="VIDRIO Y PRODUCTOS DE VIDRIO Y OTROS PRODUCTOS NO METÁLICOS N.C.P."/>
        <s v="OTROS BIENES TRANSPORTABLES N.C.P."/>
        <s v="PRODUCTOS METÁLICOS Y PAQUETES DE SOFTWARE"/>
        <s v="PRODUCTOS METÁLICOS ELABORADOS (EXCEPTO MAQUINARIA Y EQUIPO)"/>
        <s v="MAQUINARIA DE OFICINA, CONTABILIDAD E INFORMÁTICA"/>
        <s v="MAQUINARIA Y APARATOS ELÉCTRICOS"/>
        <s v="EQUIPO Y APARATOS DE RADIO, TELEVISIÓN Y COMUNICACIONES"/>
        <s v="APARATOS MÉDICOS, INSTRUMENTOS ÓPTICOS Y DE PRECISIÓN, RELOJES"/>
        <s v="ADQUISICIÓN DE SERVICIOS"/>
        <s v="SERVICIOS DE ALOJAMIENTO; SERVICIOS DE SUMINISTRO DE COMIDAS Y BEBIDAS; SERVICIOS DE TRANSPORTE; Y SERVICIOS DE DISTRIBUCIÓN DE ELECTRICIDAD, GAS Y AGUA"/>
        <s v="ALOJAMIENTO; SERVICIOS DE SUMINISTROS DE COMIDAS Y BEBIDAS"/>
        <s v="SERVICIOS DE TRANSPORTE DE PASAJEROS"/>
        <s v="SERVICIOS DE TRANSPORTE DE CARGA"/>
        <s v="SERVICIOS DE ALQUILER DE VEHÍCULOS DE TRANSPORTE CON OPERARIO"/>
        <s v="SERVICIOS POSTALES Y DE MENSAJERÍA"/>
        <s v="SERVICIOS DE DISTRIBUCIÓN DE ELECTRICIDAD, GAS Y AGUA (POR CUENTA PROPIA)"/>
        <s v="SERVICIOS FINANCIEROS Y SERVICIOS CONEXOS, SERVICIOS INMOBILIARIOS Y SERVICIOS DE LEASING"/>
        <s v="SERVICIOS FINANCIEROS Y SERVICIOS CONEXOS"/>
        <s v="SERVICIOS INMOBILIARIOS"/>
        <s v="SERVICIOS PRESTADOS A LAS EMPRESAS Y SERVICIOS DE PRODUCCIÓN"/>
        <s v="SERVICIOS JURÍDICOS Y CONTABLES"/>
        <s v="OTROS SERVICIOS PROFESIONALES, CIENTÍFICOS Y TÉCNICOS"/>
        <s v="SERVICIOS DE TELECOMUNICACIONES, TRANSMISIÓN Y SUMINISTRO DE INFORMACIÓN"/>
        <s v="SERVICIOS DE SOPORTE"/>
        <s v="SERVICIOS DE MANTENIMIENTO, REPARACIÓN E INSTALACIÓN (EXCEPTO SERVICIOS DE CONSTRUCCIÓN)"/>
        <s v="OTROS SERVICIOS DE FABRICACIÓN; SERVICIOS DE EDICIÓN, IMPRESIÓN Y REPRODUCCIÓN; SERVICIOS DE RECUPERACIÓN DE MATERIALES"/>
        <s v="SERVICIOS PARA LA COMUNIDAD, SOCIALES Y PERSONALES"/>
        <s v="SERVICIOS DE EDUCACIÓN"/>
        <s v="SERVICIOS PARA EL CUIDADO DE LA SALUD HUMANA Y SERVICIOS SOCIALES"/>
        <s v="SERVICIOS DE ALCANTARILLADO, RECOLECCIÓN, TRATAMIENTO Y DISPOSICIÓN DE DESECHOS Y OTROS SERVICIOS DE SANEAMIENTO AMBIENTAL"/>
        <s v="SERVICIOS DE ESPARCIMIENTO, CULTURALES Y DEPORTIVOS"/>
        <s v="OTROS SERVICIOS"/>
        <s v="VIÁTICOS DE LOS FUNCIONARIOS EN COMISIÓN"/>
        <s v="TRANSFERENCIAS CORRIENTES"/>
        <s v="A ENTIDADES DEL GOBIERNO"/>
        <s v="A ORGANOS DEL PGN"/>
        <s v="FONDO DE MITIGACIÓN DE EMERGENCIAS - FOME (FeA, JeA)"/>
        <s v="FONDO DE MITIGACIÓN DE EMERGENCIAS - FOME (IS)"/>
        <s v="OTRAS TRANSFERENCIAS - DISTRIBUCIÓN PREVIO CONCEPTO DGPPN"/>
        <s v="PRESTACIONES SOCIALES"/>
        <s v="PRESTACIONES SOCIALES RELACIONADAS CON EL EMPLEO"/>
        <s v="INCAPACIDADES Y LICENCIAS DE MATERNIDAD (NO DE PENSIONES)"/>
        <s v="INCAPACIDADES (NO DE PENSIONES)"/>
        <s v="LICENCIAS DE MATERNIDAD Y PATERNIDAD (NO DE PENSIONES)"/>
        <s v="INDEMNIZACIONES (NO DE PENSIONES)"/>
        <s v="SENTENCIAS Y CONCILIACIONES"/>
        <s v="FALLOS NACIONALES"/>
        <s v="SENTENCIAS"/>
        <s v="GASTOS POR TRIBUTOS, MULTAS, SANCIONES E INTERESES DE MORA"/>
        <s v="IMPUESTOS"/>
        <s v="IMPUESTOS TERRITORIALES"/>
        <s v="IMPUESTO PREDIAL Y SOBRETASA AMBIENTAL"/>
        <s v="IMPUESTO DE ALUMBRADO PÚBLICO"/>
        <s v="IMPUESTO SOBRE VEHÍCULOS AUTOMOTORES"/>
        <s v="CONTRIBUCIONES"/>
        <s v="CUOTA DE FISCALIZACIÓN Y AUDITAJE"/>
        <s v="INVERSIÓN"/>
        <s v="ATENCIÓN, ASISTENCIA  Y REPARACIÓN INTEGRAL A LAS VÍCTIMAS"/>
        <s v="INTERSUBSECTORIAL DESARROLLO SOCIAL"/>
        <s v="IMPLEMENTACIÓN DE INTERVENCIÓN INTEGRAL APD CON ENFOQUE DIFERENCIAL ÉTNICO PARA INDIGENAS Y AFROS A NIVEL  NACIONAL"/>
        <s v="SERVICIO DE APOYO PARA LA GENERACIÓN DE INGRESOS"/>
        <s v="ADQUISICIÓN DE BIENES Y SERVICIOS"/>
        <s v="SERVICIO DE ACOMPAÑAMIENTO COMUNITARIO A LOS HOGARES EN RIESGO DE DESPLAZAMIENTO, RETORNADOS O REUBICADOS"/>
        <s v="SERVICIO DE APOYO PARA LAS UNIDADES PRODUCTIVAS PARA EL AUTOCONSUMO DE HOGARES DESPLAZADOS O EN RIESGO DE DESPLAZAMIENTO, RETORNADOS O REUBICADOS"/>
        <s v="SERVICIO DE ASISTENCIA TÉCNICA PARA EL AUTOCONSUMO DE LOS HOGARES DESPLAZADOS O EN RIESGO DE DESPLAZAMIENTO, RETORNADOS O REUBICADOS"/>
        <s v="SERVICIO DE ASISTENCIA TÉCNICA PARA LA GENERACIÓN DE INGRESOS"/>
        <s v="SERVICIO DE APOYO AL FORTALECIMIENTO COMUNITARIO A LOS HOGARES EN RIESGO DE DESPLAZAMIENTO, RETORNADOS O REUBICADOS"/>
        <s v="IMPLEMENTACIÓN DE UN ESQUEMA ESPECIAL DE ACOMPAÑAMIENTO FAMILIAR DIRIGIDO A LA POBLACIÓN VICTIMA DE DESPLAZAMIENTO FORZADO RETORNADA O REUBICADA EN ZONAS RURALES, A NIVEL  NACIONAL - FEST"/>
        <s v="INCLUSIÓN SOCIAL Y PRODUCTIVA PARA LA POBLACIÓN EN SITUACIÓN DE VULNERABILIDAD"/>
        <s v="IMPLEMENTACIÓN DE TRANSFERENCIAS MONETARIAS CONDICIONADAS PARA POBLACIÓN VULNERABLE A NIVEL NACIONAL - FIP  NACIONAL"/>
        <s v="SERVICIO DE APOYO FINANCIERO PARA LA ENTREGA DE TRANSFERENCIAS MONETARIAS CONDICIONADAS"/>
        <s v="SERVICIO DE ASISTENCIA EN TEMAS DE DESARROLLO DE HABILIDADES NO COGNITIVAS PARA LA INCLUSIÓN PRODUCTIVA"/>
        <s v="IMPLEMENTACIÓN DE UNIDADES PRODUCTIVAS DE AUTOCONSUMO PARA POBLACIÓN POBRE Y VULNERABLE   NACIONAL - RESA"/>
        <s v="SERVICIO DE ASISTENCIA TÉCNICA PARA EL AUTOCONSUMO DE LOS HOGARES EN SITUACIÓN DE VULNERABILIDAD SOCIAL"/>
        <s v="SERVICIO DE ASISTENCIA TÉCNICA PARA EL MEJORAMIENTO DE HÁBITOS ALIMENTARIOS"/>
        <s v="SERVICIO DE MONITOREO Y SEGUIMIENTO A LAS INTERVENCIONES IMPLEMENTADAS PARA LA INCLUSIÓN SOCIAL Y PRODUCTIVA DE LA POBLACIÓN EN SITUACIÓN DE VULNERABILIDAD"/>
        <s v="SERVICIO DE APOYO PARA LAS UNIDADES PRODUCTIVAS PARA EL AUTOCONSUMO DE LOS HOGARES EN SITUACIÓN DE VULNERABILIDAD SOCIAL"/>
        <s v="FORTALECIMIENTO PARA EL DESARROLLO DE INFRAESTRUCTURA SOCIAL Y HÁBITAT PARA LA INCLUSIÓN SOCIAL A NIVEL NACIONAL - FIP  NACIONAL"/>
        <s v="SERVICIO DE APOYO FINANCIERO PARA FINANCIACIÓN DE OBRAS DE INFRAESTRUCTURA SOCIAL"/>
        <s v="SERVICIO DE ASISTENCIA TÉCNICA EN PROYECTOS DE INFRAESTRUCTURA SOCIAL A ENTIDADES TERRITORIALES"/>
        <s v="FORTALECIMIENTO A ENTIDADES TERRITORIALES EN POLITICA DE SEGURIDAD ALIMENTARIA  NACIONAL"/>
        <s v="SERVICIO DE ASISTENCIA TÉCNICA EN SEGURIDAD ALIMENTARIA Y NUTRICIONAL A ENTIDADES TERRITORIALES"/>
        <s v="DOCUMENTO DE LINEAMIENTOS TÉCNICOS"/>
        <s v="IMPLEMENTACIÓN DE HERRAMIENTAS PARA LA INCLUSIÓN PRODUCTIVA DE LA POBLACIÓN EN SITUACIÓN DE POBREZA EXTREMA, VULNERABILIDAD Y VICTIMAS DEL DESPLAZAMIENTO FORZADO POR LA VIOLENCIA FIP A NIVEL  NACIONAL"/>
        <s v="SERVICIO DE ASISTENCIA TÉCNICA PARA EL EMPRENDIMIENTO "/>
        <s v="SERVICIO DE APOYO A UNIDADES PRODUCTIVAS INDIVIDUALES PARA LA GENERACIÓN DE INGRESOS"/>
        <s v="SERVICIO DE APOYO PARA EL FORTALECIMIENTO DE UNIDADES PRODUCTIVAS COLECTIVAS PARA LA GENERACIÓN DE INGRESOS"/>
        <s v="SERVICIO DE ASISTENCIA TÉCNICA PARA FORTALECIMIENTO DE UNIDADES PRODUCTIVAS COLECTIVAS PARA LA GENERACIÓN DE INGRESOS"/>
        <s v="IMPLEMENTACIÓN DE LA ESTRATEGIA DE ACOMPAÑAMIENTO FAMILIAR Y COMUNITARIO Y GESTIÓN DE LA OFERTA SOCIAL PARA LA SUPERACIÓN DE LA POBREZA - FIP A NIVEL  NACIONAL"/>
        <s v="SERVICIO DE ACOMPAÑAMIENTO FAMILIAR Y COMUNITARIO PARA LA SUPERACIÓN DE LA POBREZA"/>
        <s v="FORTALECIMIENTO DE LA GESTIÓN DE OFERTA PARA LA SUPERACIÓN DE LA POBREZA- FIP A NIVEL NACIONAL"/>
        <s v="SERVICIO DE ASISTENCIA TÉCNICA A LAS ENTIDADES TERRITORIALES EN LA FORMULACIÓN DE SUS MARCOS DE LUCHA CONTRA LA POBREZA"/>
        <s v="SERVICIO DE GESTIÓN DE OFERTA SOCIAL PARA LA POBLACIÓN VULNERABLE"/>
        <s v="IMPLEMENTACION DE TRANSFERENCIAS MONETARIAS NO CONDICIONAS PARA DISMINUIR POBREZA MONETARIA EN LA POBLACION POBRE NACIONAL NACIONAL"/>
        <s v="SERVICIO DE APOYO FINANCIERO PARA LA ENTREGA DE TRANSFERENCIAS MONETARIAS NO CONDICIONADAS"/>
        <s v="IMPLEMENTACIÓN DE SUBSIDIO ECONÓMICO PARA POBLACIÓN ADULTA MAYOR EN SITUACIÓN DE VULNERABILIDAD - NACIONAL"/>
        <m/>
        <s v="FORTALECIMIENTO DE LA GESTIÓN Y DIRECCIÓN DEL SECTOR INCLUSIÓN SOCIAL Y RECONCILIACIÓN"/>
        <s v="IMPLEMENTACIÓN Y AMPLIACIÓN DE LAS TECNOLOGÍAS DE INFORMACIÓN Y COMUNICACIONES EN DPS A NIVEL  NACIONAL"/>
        <s v="SERVICIOS TECNOLÓGICOS "/>
      </sharedItems>
    </cacheField>
    <cacheField name="APROPIACION_x000a_DEFINITIVA" numFmtId="4">
      <sharedItems containsSemiMixedTypes="0" containsString="0" containsNumber="1" minValue="0" maxValue="6176390033851"/>
    </cacheField>
    <cacheField name="ACUMULADO" numFmtId="4">
      <sharedItems containsString="0" containsBlank="1" containsNumber="1" minValue="0" maxValue="6117431010122.9902"/>
    </cacheField>
    <cacheField name="Campo1" numFmtId="0" formula="ACUMULADO/'APROPIACION_x000a_DEFINITIVA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Emilio Imedio Villalobos" refreshedDate="45148.43556539352" createdVersion="8" refreshedVersion="8" minRefreshableVersion="3" recordCount="237" xr:uid="{46321417-F6B8-4697-B425-6FF48EAEC281}">
  <cacheSource type="worksheet">
    <worksheetSource ref="B6:N243" sheet="VIG_2021-IVTrim"/>
  </cacheSource>
  <cacheFields count="14">
    <cacheField name="RUBRO" numFmtId="0">
      <sharedItems containsBlank="1" count="203">
        <s v="A"/>
        <s v="A-01"/>
        <s v="A-01-01"/>
        <s v="A-01-01-01"/>
        <s v="A-01-01-01-001"/>
        <s v="A-01-01-01-001-001"/>
        <s v="A-01-01-01-001-002"/>
        <s v="A-01-01-01-001-003"/>
        <s v="A-01-01-01-001-004"/>
        <s v="A-01-01-01-001-005"/>
        <s v="A-01-01-01-001-006"/>
        <s v="A-01-01-01-001-007"/>
        <s v="A-01-01-01-001-008"/>
        <s v="A-01-01-01-001-009"/>
        <s v="A-01-01-01-001-010"/>
        <s v="A-01-01-01-001-012"/>
        <s v="A-01-01-02"/>
        <s v="A-01-01-02-001"/>
        <s v="A-01-01-02-002"/>
        <s v="A-01-01-02-003"/>
        <s v="A-01-01-02-004"/>
        <s v="A-01-01-02-005"/>
        <s v="A-01-01-02-006"/>
        <s v="A-01-01-02-007"/>
        <s v="A-01-01-02-008"/>
        <s v="A-01-01-02-009"/>
        <s v="A-01-01-03"/>
        <s v="A-01-01-03-001"/>
        <s v="A-01-01-03-001-001"/>
        <s v="A-01-01-03-001-002"/>
        <s v="A-01-01-03-001-003"/>
        <s v="A-01-01-03-002"/>
        <s v="A-01-01-03-005"/>
        <s v="A-01-01-03-013"/>
        <s v="A-01-01-03-016"/>
        <s v="A-01-01-03-030"/>
        <s v="A-02"/>
        <s v="A-02-02"/>
        <s v="A-02-02-01"/>
        <s v="A-02-02-01-001"/>
        <s v="A-02-02-01-001-005"/>
        <s v="A-02-02-01-001-007"/>
        <s v="A-02-02-01-002"/>
        <s v="A-02-02-01-002-008"/>
        <s v="A-02-02-01-003"/>
        <s v="A-02-02-01-003-002"/>
        <s v="A-02-02-01-003-003"/>
        <s v="A-02-02-01-003-005"/>
        <s v="A-02-02-01-003-006"/>
        <s v="A-02-02-01-003-007"/>
        <s v="A-02-02-01-003-008"/>
        <s v="A-02-02-01-004"/>
        <s v="A-02-02-01-004-002"/>
        <s v="A-02-02-01-004-005"/>
        <s v="A-02-02-01-004-006"/>
        <s v="A-02-02-01-004-007"/>
        <m/>
        <s v="A-02-02-02"/>
        <s v="A-02-02-02-006"/>
        <s v="A-02-02-02-006-003"/>
        <s v="A-02-02-02-006-004"/>
        <s v="A-02-02-02-006-005"/>
        <s v="A-02-02-02-006-006"/>
        <s v="A-02-02-02-006-008"/>
        <s v="A-02-02-02-006-009"/>
        <s v="A-02-02-02-007"/>
        <s v="A-02-02-02-007-001"/>
        <s v="A-02-02-02-007-002"/>
        <s v="A-02-02-02-008"/>
        <s v="A-02-02-02-008-002"/>
        <s v="A-02-02-02-008-003"/>
        <s v="A-02-02-02-008-004"/>
        <s v="A-02-02-02-008-005"/>
        <s v="A-02-02-02-008-007"/>
        <s v="A-02-02-02-008-009"/>
        <s v="A-02-02-02-009"/>
        <s v="A-02-02-02-009-002"/>
        <s v="A-02-02-02-009-003"/>
        <s v="A-02-02-02-009-004"/>
        <s v="A-02-02-02-009-006"/>
        <s v="A-02-02-02-009-007"/>
        <s v="A-02-02-02-010"/>
        <s v="A-03"/>
        <s v="A-03-03"/>
        <s v="A-03-03-01"/>
        <s v="A-03-03-01-082"/>
        <s v="A-03-03-01-999"/>
        <s v="A-03-04"/>
        <s v="A-03-04-02"/>
        <s v="A-03-04-02-012"/>
        <s v="A-03-04-02-012-001"/>
        <s v="A-03-04-02-012-002"/>
        <s v="A-03-10"/>
        <s v="A-03-10-01"/>
        <s v="A-03-10-01-001"/>
        <s v="A-08"/>
        <s v="A-08-01"/>
        <s v="A-08-01-02"/>
        <s v="A-08-01-02-001"/>
        <s v="A-08-01-02-004"/>
        <s v="A-08-01-02-006"/>
        <s v="A-08-04"/>
        <s v="A-08-04-01"/>
        <s v="C"/>
        <s v="C-4101"/>
        <s v="C-4101-1500"/>
        <s v="C-4101-1500-6"/>
        <s v="C-4101-1500-6-0-4101073"/>
        <s v="C-4101-1500-6-0-4101073-02"/>
        <s v="C-4101-1500-6-0-4101074"/>
        <s v="C-4101-1500-6-0-4101074-02"/>
        <s v="C-4101-1500-6-0-4101077-"/>
        <s v="C-4101-1500-6-0-4101077-02"/>
        <s v="C-4101-1500-6-0-4101078-"/>
        <s v="C-4101-1500-6-0-4101078-02"/>
        <s v="C-4101-1500-6-0-4101080"/>
        <s v="C-4101-1500-6-0-4101080-02"/>
        <s v="C-4103"/>
        <s v="C-4103-1500"/>
        <s v="C-4103-1500-12"/>
        <s v="C-4103-1500-12-0-4103006"/>
        <s v="C-4103-1500-12-0-4103006-02"/>
        <s v="C-4103-1500-12-0-4103006-03"/>
        <s v="C-4103-1500-12-0-4103009"/>
        <s v="C-4103-1500-12-0-4103009-02"/>
        <s v="C-4103-1500-13"/>
        <s v="C-4103-1500-13-0-4103051"/>
        <s v="C-4103-1500-13-0-4103051-02"/>
        <s v="C-4103-1500-13-0-4103053"/>
        <s v="C-4103-1500-13-0-4103053-02"/>
        <s v="C-4103-1500-13-0-4103054"/>
        <s v="C-4103-1500-13-0-4103054-02"/>
        <s v="C-4103-1500-13-0-4103055"/>
        <s v="C-4103-1500-13-0-4103055-02"/>
        <s v="C-4103-1500-14"/>
        <s v="C-4103-1500-14-0-4103016"/>
        <s v="C-4103-1500-14-0-4103016-02"/>
        <s v="C-4103-1500-14-0-4103016-03"/>
        <s v="C-4103-1500-14-0-4103048"/>
        <s v="C-4103-1500-14-0-4103048-02"/>
        <s v="C-4103-1500-16"/>
        <s v="C-4103-1500-16-0-4103056"/>
        <s v="C-4103-1500-16-0-4103056-02"/>
        <s v="C-4103-1500-16-0-4103060"/>
        <s v="C-4103-1500-16-0-4103060-02"/>
        <s v="C-4103-1500-17"/>
        <s v="C-4103-1500-17-0-4103005"/>
        <s v="C-4103-1500-17-0-4103005-02"/>
        <s v="C-4103-1500-17-0-4103057"/>
        <s v="C-4103-1500-17-0-4103057-02"/>
        <s v="C-4103-1500-17-0-4103057-03"/>
        <s v="C-4103-1500-17-0-4103058"/>
        <s v="C-4103-1500-17-0-4103058-02"/>
        <s v="C-4103-1500-17-0-4103058-03"/>
        <s v="C-4103-1500-17-0-4103059"/>
        <s v="C-4103-1500-17-0-4103059-02"/>
        <s v="C-4103-1500-19"/>
        <s v="C-4103-1500-19-0-4103049"/>
        <s v="C-4103-1500-19-0-4103049-02"/>
        <s v="C-4103-1500-19-0-4103052"/>
        <s v="C-4103-1500-19-0-4103052-02"/>
        <s v="C-4103-1500-20"/>
        <s v="C-4103-1500-20-0-4103061"/>
        <s v="C-4103-1500-20-0-4103061-02"/>
        <s v="C-4103-1500-20-0-4103061-03"/>
        <s v="C-4103-1500-21"/>
        <s v="C-4103-1500-21-0-4103005"/>
        <s v="C-4103-1500-21-0-4103005-02"/>
        <s v="C-4103-1500-21-0-4103050"/>
        <s v="C-4103-1500-21-0-4103050-02"/>
        <s v="C-4103-1500-21-0-4103051"/>
        <s v="C-4103-1500-21-0-4103051-02"/>
        <s v="C-4103-1500-21-0-4103055"/>
        <s v="C-4103-1500-21-0-4103055-02"/>
        <s v="C-4103-1500-21-0-4103058"/>
        <s v="C-4103-1500-21-0-4103058-02"/>
        <s v="C-4103-1500-21-0-4103058-03"/>
        <s v="C-4103-1500-22"/>
        <s v="C-4103-1500-22-0-4103005"/>
        <s v="C-4103-1500-22-0-4103005-02"/>
        <s v="C-4103-1500-22-0-4103050"/>
        <s v="C-4103-1500-22-0-4103050-02"/>
        <s v="C-4103-1500-22-0-4103050-03"/>
        <s v="C-4103-1500-22-0-4103051"/>
        <s v="C-4103-1500-22-0-4103051-02"/>
        <s v="C-4103-1500-22-0-4103055"/>
        <s v="C-4103-1500-22-0-4103055-02"/>
        <s v="C-4103-1500-22-0-4103055-03"/>
        <s v="C-4103-1500-22-0-4103057"/>
        <s v="C-4103-1500-22-0-4103057-02"/>
        <s v="C-4103-1500-22-0-4103057-03"/>
        <s v="C-4103-1500-22-0-4103062"/>
        <s v="C-4103-1500-22-0-4103062-02"/>
        <s v="C-4103-1500-22-0-4103062-03"/>
        <s v="C-4103-1500-23"/>
        <s v="C-4103-1500-23-0-4103065"/>
        <s v="C-4103-1500-23-0-4103065-02"/>
        <s v="C-4103-1500-23-0-4103065-03"/>
        <s v="C-4199"/>
        <s v="C-4199-1500"/>
        <s v="C-4199-1500-2"/>
        <s v="C-4199-1500-2-0-4199062"/>
        <s v="C-4199-1500-2-0-4199062-02"/>
      </sharedItems>
    </cacheField>
    <cacheField name="TIPO" numFmtId="0">
      <sharedItems containsBlank="1"/>
    </cacheField>
    <cacheField name="CTA" numFmtId="0">
      <sharedItems containsBlank="1" containsMixedTypes="1" containsNumber="1" containsInteger="1" minValue="4101" maxValue="4199"/>
    </cacheField>
    <cacheField name="SUBC" numFmtId="0">
      <sharedItems containsBlank="1" containsMixedTypes="1" containsNumber="1" containsInteger="1" minValue="1500" maxValue="1500"/>
    </cacheField>
    <cacheField name="OBJG" numFmtId="0">
      <sharedItems containsBlank="1" containsMixedTypes="1" containsNumber="1" containsInteger="1" minValue="5" maxValue="23"/>
    </cacheField>
    <cacheField name="ORD" numFmtId="0">
      <sharedItems containsBlank="1"/>
    </cacheField>
    <cacheField name="SORD" numFmtId="0">
      <sharedItems containsBlank="1" containsMixedTypes="1" containsNumber="1" containsInteger="1" minValue="4103009" maxValue="4103065"/>
    </cacheField>
    <cacheField name="ITEM" numFmtId="0">
      <sharedItems containsBlank="1"/>
    </cacheField>
    <cacheField name="dadsa" numFmtId="0">
      <sharedItems containsBlank="1" containsMixedTypes="1" containsNumber="1" containsInteger="1" minValue="10" maxValue="54"/>
    </cacheField>
    <cacheField name="SIT" numFmtId="0">
      <sharedItems containsBlank="1"/>
    </cacheField>
    <cacheField name="CONCEPTO" numFmtId="0">
      <sharedItems containsBlank="1" count="163">
        <s v="FUNCIONAMIENTO "/>
        <s v="GASTOS DE PERSONAL"/>
        <s v="PLANTA DE PERSONAL PERMANENTE"/>
        <s v="SALARIO"/>
        <s v="FACTORES SALARIALES COMUNES"/>
        <s v="SUELDO BÁSICO"/>
        <s v="GASTOS DE REPRESENTACIÓN"/>
        <s v="PRIMA TÉCNICA SALARIAL"/>
        <s v="SUBSIDIO DE ALIMENTACIÓN"/>
        <s v="AUXILIO DE TRANSPORTE"/>
        <s v="PRIMA DE SERVICIO"/>
        <s v="BONIFICACIÓN POR SERVICIOS PRESTADOS"/>
        <s v="HORAS EXTRAS, DOMINICALES, FESTIVOS Y RECARGOS"/>
        <s v="PRIMA DE NAVIDAD"/>
        <s v="PRIMA DE VACACIONES"/>
        <s v="AUXILIO DE CONECTIVIDAD DIGITAL "/>
        <s v="CONTRIBUCIONES INHERENTES A LA NÓMINA"/>
        <s v="PENSIONES"/>
        <s v="SALUD"/>
        <s v="APORTES DE CESANTÍAS"/>
        <s v="CAJAS DE COMPENSACIÓN FAMILIAR"/>
        <s v="APORTES GENERALES AL SISTEMA DE RIESGOS LABORALES"/>
        <s v="APORTES AL ICBF"/>
        <s v="APORTES AL SENA"/>
        <s v="APORTES A LA ESAP"/>
        <s v="APORTES A ESCUELAS INDUSTRIALES E INSTITUTOS TÉCNICOS"/>
        <s v="REMUNERACIONES NO CONSTITUTIVAS DE FACTOR SALARIAL"/>
        <s v="PRESTACIONES SOCIALES SEGÚN DEFINICIÓN LEGAL"/>
        <s v="SUELDO DE VACACIONES"/>
        <s v="INDEMNIZACIÓN POR VACACIONES"/>
        <s v="BONIFICACIÓN ESPECIAL DE RECREACIÓN"/>
        <s v="PRIMA TÉCNICA NO SALARIAL"/>
        <s v="PRIMA DE RIESGO"/>
        <s v="ESTÍMULOS A LOS EMPLEADOS DEL ESTADO"/>
        <s v="PRIMA DE COORDINACIÓN"/>
        <s v="BONIFICACIÓN DE DIRECCIÓN"/>
        <s v="ADQUISICIÓN DE BIENES  Y SERVICIOS"/>
        <s v="ADQUISICIONES DIFERENTES DE ACTIVOS"/>
        <s v="MATERIALES Y SUMINISTROS"/>
        <s v="MINERALES; ELECTRICIDAD, GAS Y AGUA"/>
        <s v="PIEDRA, ARENA Y ARCILLA"/>
        <s v="ELECTRICIDAD, GAS DE CIUDAD, VAPOR Y AGUA CALIENTE"/>
        <s v="PRODUCTOS ALIMENTICIOS, BEBIDAS Y TABACO; TEXTILES, PRENDAS DE VESTIR Y PRODUCTOS DE CUERO"/>
        <s v="DOTACIÓN (PRENDAS DE VESTIR Y CALZADO)"/>
        <s v="OTROS BIENES TRANSPORTABLES (EXCEPTO PRODUCTOS METÁLICOS, MAQUINARIA Y EQUIPO)"/>
        <s v="PASTA O PULPA, PAPEL Y PRODUCTOS DE PAPEL; IMPRESOS Y ARTÍCULOS RELACIONADOS"/>
        <s v="PRODUCTOS DE HORNOS DE COQUE; PRODUCTOS DE REFINACIÓN DE PETRÓLEO Y COMBUSTIBLE NUCLEAR"/>
        <s v="OTROS PRODUCTOS QUÍMICOS; FIBRAS ARTIFICIALES (O FIBRAS INDUSTRIALES HECHAS POR EL HOMBRE)"/>
        <s v="PRODUCTOS DE CAUCHO Y PLÁSTICO"/>
        <s v="VIDRIO Y PRODUCTOS DE VIDRIO Y OTROS PRODUCTOS NO METÁLICOS N.C.P."/>
        <s v="OTROS BIENES TRANSPORTABLES N.C.P."/>
        <s v="PRODUCTOS METÁLICOS Y PAQUETES DE SOFTWARE"/>
        <s v="PRODUCTOS METÁLICOS ELABORADOS (EXCEPTO MAQUINARIA Y EQUIPO)"/>
        <s v="MAQUINARIA DE OFICINA, CONTABILIDAD E INFORMÁTICA"/>
        <s v="MAQUINARIA Y APARATOS ELÉCTRICOS"/>
        <s v="EQUIPO Y APARATOS DE RADIO, TELEVISIÓN Y COMUNICACIONES"/>
        <s v="APARATOS MÉDICOS, INSTRUMENTOS ÓPTICOS Y DE PRECISIÓN, RELOJES"/>
        <s v="ADQUISICIÓN DE SERVICIOS"/>
        <s v="SERVICIOS DE ALOJAMIENTO; SERVICIOS DE SUMINISTRO DE COMIDAS Y BEBIDAS; SERVICIOS DE TRANSPORTE; Y SERVICIOS DE DISTRIBUCIÓN DE ELECTRICIDAD, GAS Y AGUA"/>
        <s v="ALOJAMIENTO; SERVICIOS DE SUMINISTROS DE COMIDAS Y BEBIDAS"/>
        <s v="SERVICIOS DE TRANSPORTE DE PASAJEROS"/>
        <s v="SERVICIOS DE TRANSPORTE DE CARGA"/>
        <s v="SERVICIOS DE ALQUILER DE VEHÍCULOS DE TRANSPORTE CON OPERARIO"/>
        <s v="SERVICIOS POSTALES Y DE MENSAJERÍA"/>
        <s v="SERVICIOS DE DISTRIBUCIÓN DE ELECTRICIDAD, GAS Y AGUA (POR CUENTA PROPIA)"/>
        <s v="SERVICIOS FINANCIEROS Y SERVICIOS CONEXOS, SERVICIOS INMOBILIARIOS Y SERVICIOS DE LEASING"/>
        <s v="SERVICIOS FINANCIEROS Y SERVICIOS CONEXOS"/>
        <s v="SERVICIOS INMOBILIARIOS"/>
        <s v="SERVICIOS PRESTADOS A LAS EMPRESAS Y SERVICIOS DE PRODUCCIÓN"/>
        <s v="SERVICIOS JURÍDICOS Y CONTABLES"/>
        <s v="OTROS SERVICIOS PROFESIONALES, CIENTÍFICOS Y TÉCNICOS"/>
        <s v="SERVICIOS DE TELECOMUNICACIONES, TRANSMISIÓN Y SUMINISTRO DE INFORMACIÓN"/>
        <s v="SERVICIOS DE SOPORTE"/>
        <s v="SERVICIOS DE MANTENIMIENTO, REPARACIÓN E INSTALACIÓN (EXCEPTO SERVICIOS DE CONSTRUCCIÓN)"/>
        <s v="OTROS SERVICIOS DE FABRICACIÓN; SERVICIOS DE EDICIÓN, IMPRESIÓN Y REPRODUCCIÓN; SERVICIOS DE RECUPERACIÓN DE MATERIALES"/>
        <s v="SERVICIOS PARA LA COMUNIDAD, SOCIALES Y PERSONALES"/>
        <s v="SERVICIOS DE EDUCACIÓN"/>
        <s v="SERVICIOS PARA EL CUIDADO DE LA SALUD HUMANA Y SERVICIOS SOCIALES"/>
        <s v="SERVICIOS DE ALCANTARILLADO, RECOLECCIÓN, TRATAMIENTO Y DISPOSICIÓN DE DESECHOS Y OTROS SERVICIOS DE SANEAMIENTO AMBIENTAL"/>
        <s v="SERVICIOS DE ESPARCIMIENTO, CULTURALES Y DEPORTIVOS"/>
        <s v="OTROS SERVICIOS"/>
        <s v="VIÁTICOS DE LOS FUNCIONARIOS EN COMISIÓN"/>
        <s v="TRANSFERENCIAS CORRIENTES"/>
        <s v="A ENTIDADES DEL GOBIERNO"/>
        <s v="A ORGANOS DEL PGN"/>
        <s v="FONDO DE MITIGACIÓN DE EMERGENCIAS - FOME (FeA, JeA)"/>
        <s v="FONDO DE MITIGACIÓN DE EMERGENCIAS - FOME (IS)"/>
        <s v="FONDO DE MITIGACIÓN DE EMERGENCIAS - FOME (CM)"/>
        <s v="OTRAS TRANSFERENCIAS - DISTRIBUCIÓN PREVIO CONCEPTO DGPPN"/>
        <s v="PRESTACIONES SOCIALES"/>
        <s v="PRESTACIONES SOCIALES RELACIONADAS CON EL EMPLEO"/>
        <s v="INCAPACIDADES Y LICENCIAS DE MATERNIDAD (NO DE PENSIONES)"/>
        <s v="INCAPACIDADES (NO DE PENSIONES)"/>
        <s v="LICENCIAS DE MATERNIDAD Y PATERNIDAD (NO DE PENSIONES)"/>
        <s v="INDEMNIZACIONES (NO DE PENSIONES)"/>
        <s v="SENTENCIAS Y CONCILIACIONES"/>
        <s v="FALLOS NACIONALES"/>
        <s v="SENTENCIAS"/>
        <s v="GASTOS POR TRIBUTOS, MULTAS, SANCIONES E INTERESES DE MORA"/>
        <s v="IMPUESTOS"/>
        <s v="IMPUESTOS TERRITORIALES"/>
        <s v="IMPUESTO PREDIAL Y SOBRETASA AMBIENTAL"/>
        <s v="IMPUESTO DE ALUMBRADO PÚBLICO"/>
        <s v="IMPUESTO SOBRE VEHÍCULOS AUTOMOTORES"/>
        <s v="CONTRIBUCIONES"/>
        <s v="CUOTA DE FISCALIZACIÓN Y AUDITAJE"/>
        <s v="INVERSIÓN"/>
        <s v="ATENCIÓN, ASISTENCIA  Y REPARACIÓN INTEGRAL A LAS VÍCTIMAS"/>
        <s v="INTERSUBSECTORIAL DESARROLLO SOCIAL"/>
        <s v="IMPLEMENTACIÓN DE INTERVENCIÓN INTEGRAL APD CON ENFOQUE DIFERENCIAL ÉTNICO PARA INDIGENAS Y AFROS A NIVEL  NACIONAL"/>
        <s v="SERVICIO DE APOYO PARA LA GENERACIÓN DE INGRESOS"/>
        <s v="ADQUISICIÓN DE BIENES Y SERVICIOS"/>
        <s v="SERVICIO DE ACOMPAÑAMIENTO COMUNITARIO A LOS HOGARES EN RIESGO DE DESPLAZAMIENTO, RETORNADOS O REUBICADOS"/>
        <s v="SERVICIO DE APOYO PARA LAS UNIDADES PRODUCTIVAS PARA EL AUTOCONSUMO DE HOGARES DESPLAZADOS O EN RIESGO DE DESPLAZAMIENTO, RETORNADOS O REUBICADOS"/>
        <s v="SERVICIO DE ASISTENCIA TÉCNICA PARA EL AUTOCONSUMO DE LOS HOGARES DESPLAZADOS O EN RIESGO DE DESPLAZAMIENTO, RETORNADOS O REUBICADOS"/>
        <s v="SERVICIO DE ASISTENCIA TÉCNICA PARA LA GENERACIÓN DE INGRESOS"/>
        <s v="SERVICIO DE APOYO AL FORTALECIMIENTO COMUNITARIO A LOS HOGARES EN RIESGO DE DESPLAZAMIENTO, RETORNADOS O REUBICADOS"/>
        <s v="IMPLEMENTACIÓN DE UN ESQUEMA ESPECIAL DE ACOMPAÑAMIENTO FAMILIAR DIRIGIDO A LA POBLACIÓN VICTIMA DE DESPLAZAMIENTO FORZADO RETORNADA O REUBICADA EN ZONAS RURALES, A NIVEL  NACIONAL - FEST"/>
        <s v="INCLUSIÓN SOCIAL Y PRODUCTIVA PARA LA POBLACIÓN EN SITUACIÓN DE VULNERABILIDAD"/>
        <s v="IMPLEMENTACIÓN DE TRANSFERENCIAS MONETARIAS CONDICIONADAS PARA POBLACIÓN VULNERABLE A NIVEL NACIONAL - FIP  NACIONAL"/>
        <s v="SERVICIO DE APOYO FINANCIERO PARA LA ENTREGA DE TRANSFERENCIAS MONETARIAS CONDICIONADAS"/>
        <s v="SERVICIO DE ASISTENCIA EN TEMAS DE DESARROLLO DE HABILIDADES NO COGNITIVAS PARA LA INCLUSIÓN PRODUCTIVA"/>
        <s v="IMPLEMENTACIÓN DE UNIDADES PRODUCTIVAS DE AUTOCONSUMO PARA POBLACIÓN POBRE Y VULNERABLE   NACIONAL - RESA"/>
        <s v="SERVICIO DE ASISTENCIA TÉCNICA PARA EL AUTOCONSUMO DE LOS HOGARES EN SITUACIÓN DE VULNERABILIDAD SOCIAL"/>
        <s v="SERVICIO DE ASISTENCIA TÉCNICA PARA EL MEJORAMIENTO DE HÁBITOS ALIMENTARIOS"/>
        <s v="SERVICIO DE MONITOREO Y SEGUIMIENTO A LAS INTERVENCIONES IMPLEMENTADAS PARA LA INCLUSIÓN SOCIAL Y PRODUCTIVA DE LA POBLACIÓN EN SITUACIÓN DE VULNERABILIDAD"/>
        <s v="SERVICIO DE APOYO PARA LAS UNIDADES PRODUCTIVAS PARA EL AUTOCONSUMO DE LOS HOGARES EN SITUACIÓN DE VULNERABILIDAD SOCIAL"/>
        <s v="FORTALECIMIENTO PARA EL DESARROLLO DE INFRAESTRUCTURA SOCIAL Y HÁBITAT PARA LA INCLUSIÓN SOCIAL A NIVEL NACIONAL - FIP  NACIONAL"/>
        <m/>
        <s v="SERVICIO DE APOYO FINANCIERO PARA FINANCIACIÓN DE OBRAS DE INFRAESTRUCTURA SOCIAL"/>
        <s v="SERVICIO DE ASISTENCIA TÉCNICA EN PROYECTOS DE INFRAESTRUCTURA SOCIAL A ENTIDADES TERRITORIALES"/>
        <s v="FORTALECIMIENTO A ENTIDADES TERRITORIALES EN POLITICA DE SEGURIDAD ALIMENTARIA  NACIONAL"/>
        <s v="SERVICIO DE ASISTENCIA TÉCNICA EN SEGURIDAD ALIMENTARIA Y NUTRICIONAL A ENTIDADES TERRITORIALES"/>
        <s v="DOCUMENTO DE LINEAMIENTOS TÉCNICOS"/>
        <s v="IMPLEMENTACIÓN DE HERRAMIENTAS PARA LA INCLUSIÓN PRODUCTIVA DE LA POBLACIÓN EN SITUACIÓN DE POBREZA EXTREMA, VULNERABILIDAD Y VICTIMAS DEL DESPLAZAMIENTO FORZADO POR LA VIOLENCIA FIP A NIVEL  NACIONAL"/>
        <s v="SERVICIO DE ASISTENCIA TÉCNICA PARA EL EMPRENDIMIENTO "/>
        <s v="SERVICIO DE APOYO A UNIDADES PRODUCTIVAS INDIVIDUALES PARA LA GENERACIÓN DE INGRESOS"/>
        <s v="SERVICIO DE APOYO PARA EL FORTALECIMIENTO DE UNIDADES PRODUCTIVAS COLECTIVAS PARA LA GENERACIÓN DE INGRESOS"/>
        <s v="SERVICIO DE ASISTENCIA TÉCNICA PARA FORTALECIMIENTO DE UNIDADES PRODUCTIVAS COLECTIVAS PARA LA GENERACIÓN DE INGRESOS"/>
        <s v="IMPLEMENTACIÓN DE LA ESTRATEGIA DE ACOMPAÑAMIENTO FAMILIAR Y COMUNITARIO Y GESTIÓN DE LA OFERTA SOCIAL PARA LA SUPERACIÓN DE LA POBREZA - FIP A NIVEL  NACIONAL"/>
        <s v="SERVICIO DE ACOMPAÑAMIENTO FAMILIAR Y COMUNITARIO PARA LA SUPERACIÓN DE LA POBREZA"/>
        <s v="FORTALECIMIENTO DE LA GESTIÓN DE OFERTA PARA LA SUPERACIÓN DE LA POBREZA- FIP A NIVEL NACIONAL"/>
        <s v="SERVICIO DE ASISTENCIA TÉCNICA A LAS ENTIDADES TERRITORIALES EN LA FORMULACIÓN DE SUS MARCOS DE LUCHA CONTRA LA POBREZA"/>
        <s v="SERVICIO DE GESTIÓN DE OFERTA SOCIAL PARA LA POBLACIÓN VULNERABLE"/>
        <s v="IMPLEMENTACION DE TRANSFERENCIAS MONETARIAS NO CONDICIONAS PARA DISMINUIR POBREZA MONETARIA EN LA POBLACION POBRE NACIONAL NACIONAL"/>
        <s v="SERVICIO DE APOYO FINANCIERO PARA LA ENTREGA DE TRANSFERENCIAS MONETARIAS NO CONDICIONADAS"/>
        <s v="IMPLEMENTACIÓN DE INTERVENCIÓN INTEGRAL A POBLACIÓN CON ENFOQUE DIFERENCIAL ÉTNICO, A NIVEL NACIONAL"/>
        <s v="SERVICIO DE ASISTENCIA TÉCNICA PARA EL EMPRENDIMIENTO - IMPLEMENTACIÓN DE INTERVENCIÓN INTEGRAL A POBLACIÓN CON ENFOQUE DIFERENCIAL ÉTNICO, A NIVEL NACIONAL"/>
        <s v="SERVICIO DE ACOMPAÑAMIENTO FAMILIAR Y COMUNITARIO PARA LA SUPERACIÓN DE LA POBREZA - IMPLEMENTACIÓN DE INTERVENCIÓN INTEGRAL A POBLACIÓN CON ENFOQUE DIFERENCIAL ÉTNICO, A NIVEL NACIONAL"/>
        <s v="SERVICIO DE ASISTENCIA TÉCNICA PARA EL AUTOCONSUMO DE LOS HOGARES EN SITUACIÓN DE VULNERABILIDAD SOCIAL - IMPLEMENTACIÓN DE INTERVENCIÓN INTEGRAL A POBLACIÓN CON "/>
        <s v="SERVICIO DE APOYO PARA LAS UNIDADES PRODUCTIVAS PARA EL AUTOCONSUMO DE LOS HOGARES EN SITUACIÓN DE VULNERABILIDAD SOCIAL - IMPLEMENTACIÓN DE INTERVENCIÓN INTEGRAL A POBLACIÓN CON ENFOQUE DIFERENCIAL ÉTNICO, A NIVEL NACIONAL"/>
        <s v="SERVICIO DE APOYO PARA EL FORTALECIMIENTO DE UNIDADES PRODUCTIVAS COLECTIVAS PARA LA GENERACIÓN DE INGRESOS - IMPLEMENTACIÓN DE INTERVENCIÓN INTEGRAL A POBLACIÓN CON ENFOQUE DIFERENCIAL ÉTNICO, A NIVEL NACIONAL"/>
        <s v="IMPLEMENTACIÓN DE UNA INTERVENCIÓN INTEGRAL DIRIGIDA A LOS HOGARES RURALES VICTIMAS DE DESPLAZAMIENTO FORZADO EN CONDICIONES DE VULNERABILIDAD, A NIVEL NACIONAL"/>
        <s v="SERVICIO DE ASISTENCIA TÉCNICA PARA EL EMPRENDIMIENTO  - IMPLEMENTACION DE UNA INTERVENCION INTEGRAL DIRIGIDA A LOS HOGARES RURALES VICTIMAS DE DESPLAZAMIENTO FORZADO EN CONDICIONES DE VULNERABILIDAD, A NIVEL  NACIONAL"/>
        <s v="SERVICIO DE ACOMPAÑAMIENTO FAMILIAR Y COMUNITARIO PARA LA SUPERACIÓN DE LA POBREZA - IMPLEMENTACION DE UNA INTERVENCION INTEGRAL DIRIGIDA A LOS HOGARES RURALES VICTIMAS DE DESPLAZAMIENTO FORZADO EN CONDICIONES DE VULNERABILIDAD"/>
        <s v="SERVICIO DE ASISTENCIA TÉCNICA PARA EL AUTOCONSUMO DE LOS HOGARES EN SITUACIÓN DE VULNERABILIDAD SOCIAL - IMPLEMENTACION DE UNA INTERVENCION INTEGRAL DIRIGIDA A LOS HOGARES RURALES VICTIMAS DE DESPLAZAMIENTO FORZADO"/>
        <s v="SERVICIO DE APOYO PARA LAS UNIDADES PRODUCTIVAS PARA EL AUTOCONSUMO DE LOS HOGARES EN SITUACIÓN DE VULNERABILIDAD SOCIAL - IMPLEMENTACION DE UNA INTERVENCION INTEGRAL DIRIGIDA A LOS HOGARES RURALES VICTIMAS DE DESPLAZAMIENTO"/>
        <s v=" SERVICIO DE APOYO A UNIDADES PRODUCTIVAS INDIVIDUALES PARA LA GENERACIÓN DE INGRESOS - IMPLEMENTACION DE UNA INTERVENCION INTEGRAL DIRIGIDA A LOS HOGARES RURALES VICTIMAS DE DESPLAZAMIENTO FORZADO EN CONDICIONES DE VULNERABLE"/>
        <s v="SERVICIO DE APOYO PARA EL MEJORAMIENTO DE CONDICIONES FÍSICAS O DOTACIÓN DE VIVIENDA DE HOGARES  VULNERABLES RURALES - IMPLEMENTACION DE UNA INTERVENCION INTEGRAL DIRIGIDA A LOS HOGARES RURALES VICTIMAS DE DESPLAZAMIENTO "/>
        <s v="IMPLEMENTACIÓN DE SUBSIDIO ECONÓMICO PARA POBLACIÓN ADULTA MAYOR EN SITUACIÓN DE VULNERABILIDAD - NACIONAL"/>
        <s v="FORTALECIMIENTO DE LA GESTIÓN Y DIRECCIÓN DEL SECTOR INCLUSIÓN SOCIAL Y RECONCILIACIÓN"/>
        <s v="IMPLEMENTACIÓN Y AMPLIACIÓN DE LAS TECNOLOGÍAS DE INFORMACIÓN Y COMUNICACIONES EN DPS A NIVEL  NACIONAL"/>
        <s v="SERVICIOS TECNOLÓGICOS "/>
      </sharedItems>
    </cacheField>
    <cacheField name="APROPIACION_x000a_DEFINITIVA" numFmtId="0">
      <sharedItems containsSemiMixedTypes="0" containsString="0" containsNumber="1" minValue="0" maxValue="8009652162782"/>
    </cacheField>
    <cacheField name="ACUMULADO" numFmtId="0">
      <sharedItems containsString="0" containsBlank="1" containsNumber="1" minValue="0" maxValue="7874569863975.9404"/>
    </cacheField>
    <cacheField name="Campo1" numFmtId="0" formula="ACUMULADO/'APROPIACION_x000a_DEFINITIVA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Emilio Imedio Villalobos" refreshedDate="45148.469453935184" createdVersion="8" refreshedVersion="8" minRefreshableVersion="3" recordCount="235" xr:uid="{4A825CAB-2AF0-4D98-B525-E4B783CE7651}">
  <cacheSource type="worksheet">
    <worksheetSource ref="B6:N241" sheet="VIG_2022-IVTrim"/>
  </cacheSource>
  <cacheFields count="14">
    <cacheField name="RUBRO" numFmtId="0">
      <sharedItems containsBlank="1" count="218">
        <s v="A"/>
        <s v="A-01"/>
        <s v="A-01-01"/>
        <s v="A-01-01-01"/>
        <s v="A-01-01-01-001"/>
        <s v="A-01-01-01-001-001"/>
        <s v="A-01-01-01-001-002"/>
        <s v="A-01-01-01-001-003"/>
        <s v="A-01-01-01-001-004"/>
        <s v="A-01-01-01-001-005"/>
        <s v="A-01-01-01-001-006"/>
        <s v="A-01-01-01-001-007"/>
        <s v="A-01-01-01-001-008"/>
        <s v="A-01-01-01-001-009"/>
        <s v="A-01-01-01-001-010"/>
        <s v="A-01-01-01-001-012"/>
        <s v="A-01-01-02"/>
        <s v="A-01-01-02-001"/>
        <s v="A-01-01-02-002"/>
        <s v="A-01-01-02-003"/>
        <s v="A-01-01-02-004"/>
        <s v="A-01-01-02-005"/>
        <s v="A-01-01-02-006"/>
        <s v="A-01-01-02-007"/>
        <s v="A-01-01-02-008"/>
        <s v="A-01-01-02-009"/>
        <s v="A-01-01-03"/>
        <s v="A-01-01-03-001"/>
        <s v="A-01-01-03-001-001"/>
        <s v="A-01-01-03-001-002"/>
        <s v="A-01-01-03-001-003"/>
        <s v="A-01-01-03-002"/>
        <s v="A-01-01-03-005"/>
        <s v="A-01-01-03-007"/>
        <s v="A-01-01-03-013"/>
        <s v="A-01-01-03-016"/>
        <s v="A-01-01-03-030"/>
        <s v="A-02"/>
        <s v="A-02-01"/>
        <s v="A-02-01-01"/>
        <s v="A-02-01-01-004"/>
        <s v="A-02-01-01-004-006"/>
        <s v="A-02-01-01-004-007"/>
        <s v="A-02-02"/>
        <s v="A-02-02-01"/>
        <s v="A-02-02-01-001"/>
        <s v="A-02-02-01-001-005"/>
        <s v="A-02-02-01-001-007"/>
        <s v="A-02-02-01-002"/>
        <s v="A-02-02-01-002-008"/>
        <s v="A-02-02-01-003"/>
        <s v="A-02-02-01-003-002"/>
        <s v="A-02-02-01-003-003"/>
        <s v="A-02-02-01-003-005"/>
        <s v="A-02-02-01-003-006"/>
        <s v="A-02-02-01-003-007"/>
        <s v="A-02-02-01-003-008"/>
        <s v="A-02-02-01-004"/>
        <s v="A-02-02-01-004-002"/>
        <s v="A-02-02-01-004-005"/>
        <s v="A-02-02-01-004-006"/>
        <s v="A-02-02-01-004-007"/>
        <s v="A-02-02-02"/>
        <s v="A-02-02-02-006"/>
        <s v="A-02-02-02-006-003"/>
        <s v="A-02-02-02-006-004"/>
        <s v="A-02-02-02-006-005"/>
        <s v="A-02-02-02-006-008"/>
        <s v="A-02-02-02-006-009"/>
        <s v="A-02-02-02-007"/>
        <s v="A-02-02-02-007-001"/>
        <s v="A-02-02-02-007-002"/>
        <s v="A-02-02-02-008"/>
        <s v="A-02-02-02-008-002"/>
        <s v="A-02-02-02-008-003"/>
        <s v="A-02-02-02-008-004"/>
        <s v="A-02-02-02-008-005"/>
        <s v="A-02-02-02-008-007"/>
        <s v="A-02-02-02-008-009"/>
        <s v="A-02-02-02-009"/>
        <s v="A-02-02-02-009-002"/>
        <s v="A-02-02-02-009-003"/>
        <s v="A-02-02-02-009-004"/>
        <s v="A-02-02-02-009-006"/>
        <s v="A-02-02-02-009-007"/>
        <s v="A-02-02-02-010"/>
        <s v="A-03"/>
        <s v="A-03-03"/>
        <s v="A-03-03-01"/>
        <s v="A-03-03-01-082"/>
        <s v="A-03-03-01-999"/>
        <s v="A-03-04"/>
        <s v="A-03-04-02"/>
        <s v="A-03-04-02-012"/>
        <s v="A-03-04-02-012-001"/>
        <s v="A-03-04-02-012-002"/>
        <m/>
        <s v="A-03-10"/>
        <s v="A-03-10-01"/>
        <s v="A-03-10-01-001"/>
        <s v="A-03-10-01-002"/>
        <s v="A-08"/>
        <s v="A-08-01"/>
        <s v="A-08-01-02"/>
        <s v="A-08-01-02-001"/>
        <s v="A-08-01-02-004"/>
        <s v="A-08-01-02-006"/>
        <s v="A-08-04"/>
        <s v="A-08-04-01"/>
        <s v="A-08-05"/>
        <s v="A-08-05-01"/>
        <s v="A-08-05-02"/>
        <s v="B"/>
        <s v="B-10"/>
        <s v="B-10-04"/>
        <s v="B-10-04-01"/>
        <s v="C"/>
        <s v="C-4101"/>
        <s v="C-4101-1500"/>
        <s v="C-4101-1500-6"/>
        <s v="C-4101-1500-6-0-4101073"/>
        <s v="C-4101-1500-6-0-4101073-02"/>
        <s v="C-4101-1500-6-0-4101074"/>
        <s v="C-4101-1500-6-0-4101074-02"/>
        <s v="C-4101-1500-6-0-4101077-"/>
        <s v="C-4101-1500-6-0-4101077-02"/>
        <s v="C-4101-1500-6-0-4101078-"/>
        <s v="C-4101-1500-6-0-4101078-02"/>
        <s v="C-4101-1500-6-0-4101080"/>
        <s v="C-4101-1500-6-0-4101080-02"/>
        <s v="C-4103"/>
        <s v="C-4103-1500"/>
        <s v="C-4103-1500-12"/>
        <s v="C-4103-1500-12-0-4103006"/>
        <s v="C-4103-1500-12-0-4103006-02"/>
        <s v="C-4103-1500-12-0-4103006-03"/>
        <s v="C-4103-1500-12-0-4103009"/>
        <s v="C-4103-1500-12-0-4103009-02"/>
        <s v="C-4103-1500-12-0-4103047"/>
        <s v="C-4103-1500-12-0-4103047-02"/>
        <s v="C-4103-1500-13"/>
        <s v="C-4103-1500-13-0-4103051"/>
        <s v="C-4103-1500-13-0-4103051-02"/>
        <s v="C-4103-1500-13-0-4103053"/>
        <s v="C-4103-1500-13-0-4103053-02"/>
        <s v="C-4103-1500-13-0-4103054"/>
        <s v="C-4103-1500-13-0-4103054-02"/>
        <s v="C-4103-1500-13-0-4103055"/>
        <s v="C-4103-1500-13-0-4103055-02"/>
        <s v="C-4103-1500-14"/>
        <s v="C-4103-1500-14-0-4103016"/>
        <s v="C-4103-1500-14-0-4103016-02"/>
        <s v="C-4103-1500-14-0-4103016-03"/>
        <s v="C-4103-1500-14-0-4103048"/>
        <s v="C-4103-1500-14-0-4103048-02"/>
        <s v="C-4103-1500-16"/>
        <s v="C-4103-1500-16-0-4103056"/>
        <s v="C-4103-1500-16-0-4103056-02"/>
        <s v="C-4103-1500-16-0-4103060"/>
        <s v="C-4103-1500-16-0-4103060-02"/>
        <s v="C-4103-1500-17"/>
        <s v="C-4103-1500-17-0-4103005"/>
        <s v="C-4103-1500-17-0-4103005-02"/>
        <s v="C-4103-1500-17-0-4103057"/>
        <s v="C-4103-1500-17-0-4103057-02"/>
        <s v="C-4103-1500-17-0-4103058"/>
        <s v="C-4103-1500-17-0-4103058-02"/>
        <s v="C-4103-1500-17-0-4103058-03"/>
        <s v="C-4103-1500-17-0-4103059"/>
        <s v="C-4103-1500-17-0-4103059-02"/>
        <s v="C-4103-1500-19"/>
        <s v="C-4103-1500-19-0-4103049"/>
        <s v="C-4103-1500-19-0-4103049-02"/>
        <s v="C-4103-1500-19-0-4103052"/>
        <s v="C-4103-1500-19-0-4103052-02"/>
        <s v="C-4103-1500-20"/>
        <s v="C-4103-1500-20-0-4103061"/>
        <s v="C-4103-1500-20-0-4103061-02"/>
        <s v="C-4103-1500-20-0-4103061-03"/>
        <s v="C-4103-1500-21"/>
        <s v="C-4103-1500-21-0-4103005"/>
        <s v="C-4103-1500-21-0-4103005-02"/>
        <s v="C-4103-1500-21-0-4103050"/>
        <s v="C-4103-1500-21-0-4103050-02"/>
        <s v="C-4103-1500-21-0-4103051"/>
        <s v="C-4103-1500-21-0-4103051-02"/>
        <s v="C-4103-1500-21-0-4103055"/>
        <s v="C-4103-1500-21-0-4103055-02"/>
        <s v="C-4103-1500-21-0-4103058"/>
        <s v="C-4103-1500-21-0-4103058-02"/>
        <s v="C-4103-1500-22"/>
        <s v="C-4103-1500-22-0-4103005"/>
        <s v="C-4103-1500-22-0-4103005-02"/>
        <s v="C-4103-1500-22-0-4103050"/>
        <s v="C-4103-1500-22-0-4103050-02"/>
        <s v="C-4103-1500-22-0-4103051"/>
        <s v="C-4103-1500-22-0-4103051-02"/>
        <s v="C-4103-1500-22-0-4103055"/>
        <s v="C-4103-1500-22-0-4103055-02"/>
        <s v="C-4103-1500-22-0-4103057"/>
        <s v="C-4103-1500-22-0-4103057-02"/>
        <s v="C-4103-1500-22-0-4103057-03"/>
        <s v="C-4103-1500-22-0-4103062"/>
        <s v="C-4103-1500-22-0-4103062-02"/>
        <s v="C-4103-1500-22-0-4103062-03"/>
        <s v="C-4103-1500-23"/>
        <s v="C-4103-1500-23-0-4103065"/>
        <s v="C-4103-1500-23-0-4103065-02"/>
        <s v="C-4103-1500-23-0-4103065-03"/>
        <s v="C-4103-1500-24"/>
        <s v="C-4103-1500-24-0-4103061"/>
        <s v="C-4103-1500-24-0-4103061-02"/>
        <s v="C-4103-1500-24-0-4103061-03"/>
        <s v="C-4199"/>
        <s v="C-4199-1500"/>
        <s v="C-4199-1500-2"/>
        <s v="C-4199-1500-2-0-4199062"/>
        <s v="C-4199-1500-2-0-4199062-02"/>
      </sharedItems>
    </cacheField>
    <cacheField name="TIPO" numFmtId="0">
      <sharedItems containsBlank="1"/>
    </cacheField>
    <cacheField name="CTA" numFmtId="0">
      <sharedItems containsBlank="1" containsMixedTypes="1" containsNumber="1" containsInteger="1" minValue="10" maxValue="4199"/>
    </cacheField>
    <cacheField name="SUBC" numFmtId="0">
      <sharedItems containsBlank="1" containsMixedTypes="1" containsNumber="1" containsInteger="1" minValue="1500" maxValue="1500"/>
    </cacheField>
    <cacheField name="OBJG" numFmtId="0">
      <sharedItems containsBlank="1" containsMixedTypes="1" containsNumber="1" containsInteger="1" minValue="19" maxValue="24"/>
    </cacheField>
    <cacheField name="ORD" numFmtId="0">
      <sharedItems containsBlank="1"/>
    </cacheField>
    <cacheField name="SORD" numFmtId="0">
      <sharedItems containsBlank="1" containsMixedTypes="1" containsNumber="1" containsInteger="1" minValue="4103009" maxValue="4103065"/>
    </cacheField>
    <cacheField name="ITEM" numFmtId="0">
      <sharedItems containsBlank="1"/>
    </cacheField>
    <cacheField name="REC." numFmtId="0">
      <sharedItems containsBlank="1" containsMixedTypes="1" containsNumber="1" containsInteger="1" minValue="10" maxValue="54"/>
    </cacheField>
    <cacheField name="SIT" numFmtId="0">
      <sharedItems containsBlank="1"/>
    </cacheField>
    <cacheField name="CONCEPTO" numFmtId="0">
      <sharedItems containsBlank="1" count="170">
        <s v="FUNCIONAMIENTO "/>
        <s v="GASTOS DE PERSONAL"/>
        <s v="PLANTA DE PERSONAL PERMANENTE"/>
        <s v="SALARIO"/>
        <s v="FACTORES SALARIALES COMUNES"/>
        <s v="SUELDO BÁSICO"/>
        <s v="GASTOS DE REPRESENTACIÓN"/>
        <s v="PRIMA TÉCNICA SALARIAL"/>
        <s v="SUBSIDIO DE ALIMENTACIÓN"/>
        <s v="AUXILIO DE TRANSPORTE"/>
        <s v="PRIMA DE SERVICIO"/>
        <s v="BONIFICACIÓN POR SERVICIOS PRESTADOS"/>
        <s v="HORAS EXTRAS, DOMINICALES, FESTIVOS Y RECARGOS"/>
        <s v="PRIMA DE NAVIDAD"/>
        <s v="PRIMA DE VACACIONES"/>
        <s v="AUXILIO DE CONECTIVIDAD DIGITAL "/>
        <s v="CONTRIBUCIONES INHERENTES A LA NÓMINA"/>
        <s v="PENSIONES"/>
        <s v="SALUD"/>
        <s v="APORTES DE CESANTÍAS"/>
        <s v="CAJAS DE COMPENSACIÓN FAMILIAR"/>
        <s v="APORTES GENERALES AL SISTEMA DE RIESGOS LABORALES"/>
        <s v="APORTES AL ICBF"/>
        <s v="APORTES AL SENA"/>
        <s v="APORTES A LA ESAP"/>
        <s v="APORTES A ESCUELAS INDUSTRIALES E INSTITUTOS TÉCNICOS"/>
        <s v="REMUNERACIONES NO CONSTITUTIVAS DE FACTOR SALARIAL"/>
        <s v="PRESTACIONES SOCIALES SEGÚN DEFINICIÓN LEGAL"/>
        <s v="SUELDO DE VACACIONES"/>
        <s v="INDEMNIZACIÓN POR VACACIONES"/>
        <s v="BONIFICACIÓN ESPECIAL DE RECREACIÓN"/>
        <s v="PRIMA TÉCNICA NO SALARIAL"/>
        <s v="PRIMA DE RIESGO"/>
        <s v="PRIMA DE DIRECCIÓN"/>
        <s v="ESTÍMULOS A LOS EMPLEADOS DEL ESTADO"/>
        <s v="PRIMA DE COORDINACIÓN"/>
        <s v="BONIFICACIÓN DE DIRECCIÓN"/>
        <s v="ADQUISICIÓN DE BIENES  Y SERVICIOS"/>
        <s v="ADQUISICIONES "/>
        <s v="ACTIVOS FIJOS"/>
        <s v="MAQUINARIA Y EQUIPO"/>
        <s v="MAQUINARIA Y APARATOS ELÉCTRICOS"/>
        <s v="EQUIPO Y APARATOS DE RADIO, TELEVISIÓN Y COMUNICACIONES"/>
        <s v="ADQUISICIONES DIFERENTES DE ACTIVOS"/>
        <s v="MATERIALES Y SUMINISTROS"/>
        <s v="MINERALES; ELECTRICIDAD, GAS Y AGUA"/>
        <s v="PIEDRA, ARENA Y ARCILLA"/>
        <s v="ELECTRICIDAD, GAS DE CIUDAD, VAPOR Y AGUA CALIENTE"/>
        <s v="PRODUCTOS ALIMENTICIOS, BEBIDAS Y TABACO; TEXTILES, PRENDAS DE VESTIR Y PRODUCTOS DE CUERO"/>
        <s v="DOTACIÓN (PRENDAS DE VESTIR Y CALZADO)"/>
        <s v="OTROS BIENES TRANSPORTABLES (EXCEPTO PRODUCTOS METÁLICOS, MAQUINARIA Y EQUIPO)"/>
        <s v="PASTA O PULPA, PAPEL Y PRODUCTOS DE PAPEL; IMPRESOS Y ARTÍCULOS RELACIONADOS"/>
        <s v="PRODUCTOS DE HORNOS DE COQUE; PRODUCTOS DE REFINACIÓN DE PETRÓLEO Y COMBUSTIBLE NUCLEAR"/>
        <s v="OTROS PRODUCTOS QUÍMICOS; FIBRAS ARTIFICIALES (O FIBRAS INDUSTRIALES HECHAS POR EL HOMBRE)"/>
        <s v="PRODUCTOS DE CAUCHO Y PLÁSTICO"/>
        <s v="VIDRIO Y PRODUCTOS DE VIDRIO Y OTROS PRODUCTOS NO METÁLICOS N.C.P."/>
        <s v="OTROS BIENES TRANSPORTABLES N.C.P."/>
        <s v="PRODUCTOS METÁLICOS Y PAQUETES DE SOFTWARE"/>
        <s v="PRODUCTOS METÁLICOS ELABORADOS (EXCEPTO MAQUINARIA Y EQUIPO)"/>
        <s v="MAQUINARIA DE OFICINA, CONTABILIDAD E INFORMÁTICA"/>
        <s v="ADQUISICIÓN DE SERVICIOS"/>
        <s v="SERVICIOS DE ALOJAMIENTO; SERVICIOS DE SUMINISTRO DE COMIDAS Y BEBIDAS; SERVICIOS DE TRANSPORTE; Y SERVICIOS DE DISTRIBUCIÓN DE ELECTRICIDAD, GAS Y AGUA"/>
        <s v="ALOJAMIENTO; SERVICIOS DE SUMINISTROS DE COMIDAS Y BEBIDAS"/>
        <s v="SERVICIOS DE TRANSPORTE DE PASAJEROS"/>
        <s v="SERVICIOS DE TRANSPORTE DE CARGA"/>
        <s v="SERVICIOS POSTALES Y DE MENSAJERÍA"/>
        <s v="SERVICIOS DE DISTRIBUCIÓN DE ELECTRICIDAD, GAS Y AGUA (POR CUENTA PROPIA)"/>
        <s v="SERVICIOS FINANCIEROS Y SERVICIOS CONEXOS, SERVICIOS INMOBILIARIOS Y SERVICIOS DE LEASING"/>
        <s v="SERVICIOS FINANCIEROS Y SERVICIOS CONEXOS"/>
        <s v="SERVICIOS INMOBILIARIOS"/>
        <s v="SERVICIOS PRESTADOS A LAS EMPRESAS Y SERVICIOS DE PRODUCCIÓN"/>
        <s v="SERVICIOS JURÍDICOS Y CONTABLES"/>
        <s v="OTROS SERVICIOS PROFESIONALES, CIENTÍFICOS Y TÉCNICOS"/>
        <s v="SERVICIOS DE TELECOMUNICACIONES, TRANSMISIÓN Y SUMINISTRO DE INFORMACIÓN"/>
        <s v="SERVICIOS DE SOPORTE"/>
        <s v="SERVICIOS DE MANTENIMIENTO, REPARACIÓN E INSTALACIÓN (EXCEPTO SERVICIOS DE CONSTRUCCIÓN)"/>
        <s v="OTROS SERVICIOS DE FABRICACIÓN; SERVICIOS DE EDICIÓN, IMPRESIÓN Y REPRODUCCIÓN; SERVICIOS DE RECUPERACIÓN DE MATERIALES"/>
        <s v="SERVICIOS PARA LA COMUNIDAD, SOCIALES Y PERSONALES"/>
        <s v="SERVICIOS DE EDUCACIÓN"/>
        <s v="SERVICIOS PARA EL CUIDADO DE LA SALUD HUMANA Y SERVICIOS SOCIALES"/>
        <s v="SERVICIOS DE ALCANTARILLADO, RECOLECCIÓN, TRATAMIENTO Y DISPOSICIÓN DE DESECHOS Y OTROS SERVICIOS DE SANEAMIENTO AMBIENTAL"/>
        <s v="SERVICIOS DE ESPARCIMIENTO, CULTURALES Y DEPORTIVOS"/>
        <s v="OTROS SERVICIOS"/>
        <s v="VIÁTICOS DE LOS FUNCIONARIOS EN COMISIÓN"/>
        <s v="TRANSFERENCIAS CORRIENTES"/>
        <s v="A ENTIDADES DEL GOBIERNO"/>
        <s v="A ORGANOS DEL PGN"/>
        <s v="FONDO DE MITIGACIÓN DE EMERGENCIAS - FOME (FeA, JeA)"/>
        <s v="FONDO DE MITIGACIÓN DE EMERGENCIAS - FOME (IS)"/>
        <s v="FONDO DE MITIGACIÓN DE EMERGENCIAS - FOME (CM)"/>
        <s v="OTRAS TRANSFERENCIAS - DISTRIBUCIÓN PREVIO CONCEPTO DGPPN"/>
        <s v="PRESTACIONES SOCIALES"/>
        <s v="PRESTACIONES SOCIALES RELACIONADAS CON EL EMPLEO"/>
        <s v="INCAPACIDADES Y LICENCIAS DE MATERNIDAD (NO DE PENSIONES)"/>
        <s v="INCAPACIDADES (NO DE PENSIONES)"/>
        <s v="LICENCIAS DE MATERNIDAD Y PATERNIDAD (NO DE PENSIONES)"/>
        <m/>
        <s v="SENTENCIAS Y CONCILIACIONES"/>
        <s v="FALLOS NACIONALES"/>
        <s v="SENTENCIAS"/>
        <s v="CONCILIACIONES"/>
        <s v="GASTOS POR TRIBUTOS, MULTAS, SANCIONES E INTERESES DE MORA"/>
        <s v="IMPUESTOS"/>
        <s v="IMPUESTOS TERRITORIALES"/>
        <s v="IMPUESTO PREDIAL Y SOBRETASA AMBIENTAL"/>
        <s v="IMPUESTO DE ALUMBRADO PÚBLICO"/>
        <s v="IMPUESTO SOBRE VEHÍCULOS AUTOMOTORES"/>
        <s v="CONTRIBUCIONES"/>
        <s v="CUOTA DE FISCALIZACIÓN Y AUDITAJE"/>
        <s v="MULTAS, SANCIONES E INTERESES DE MORA"/>
        <s v="SANCIONES ADMINISTRATIVAS"/>
        <s v="IMPUESTOS, CONTRIBUCIONES Y TASAS"/>
        <s v="SERVICIO DE LA DEUDA"/>
        <s v="SERVICIO DE LA DEUDA PÚBLICA INTERNA"/>
        <s v="FONDO DE CONTINGENCIAS"/>
        <s v="APORTES AL FONDO DE CONTINGENCIAS"/>
        <s v="INVERSIÓN"/>
        <s v="ATENCIÓN, ASISTENCIA  Y REPARACIÓN INTEGRAL A LAS VÍCTIMAS"/>
        <s v="INTERSUBSECTORIAL DESARROLLO SOCIAL"/>
        <s v="IMPLEMENTACIÓN DE UN ESQUEMA ESPECIAL DE ACOMPAÑAMIENTO FAMILIAR DIRIGIDO A LA POBLACIÓN VICTIMA DE DESPLAZAMIENTO FORZADO RETORNADA O REUBICADA EN ZONAS RURALES, A NIVEL  NACIONAL - FEST"/>
        <s v="SERVICIO DE APOYO PARA LA GENERACIÓN DE INGRESOS"/>
        <s v="ADQUISICIÓN DE BIENES Y SERVICIOS"/>
        <s v="SERVICIO DE ACOMPAÑAMIENTO COMUNITARIO A LOS HOGARES EN RIESGO DE DESPLAZAMIENTO, RETORNADOS O REUBICADOS"/>
        <s v="SERVICIO DE APOYO PARA LAS UNIDADES PRODUCTIVAS PARA EL AUTOCONSUMO DE HOGARES DESPLAZADOS O EN RIESGO DE DESPLAZAMIENTO, RETORNADOS O REUBICADOS"/>
        <s v="SERVICIO DE ASISTENCIA TÉCNICA PARA EL AUTOCONSUMO DE LOS HOGARES DESPLAZADOS O EN RIESGO DE DESPLAZAMIENTO, RETORNADOS O REUBICADOS"/>
        <s v="SERVICIO DE ASISTENCIA TÉCNICA PARA LA GENERACIÓN DE INGRESOS"/>
        <s v="SERVICIO DE APOYO AL FORTALECIMIENTO COMUNITARIO A LOS HOGARES EN RIESGO DE DESPLAZAMIENTO, RETORNADOS O REUBICADOS"/>
        <s v="INCLUSIÓN SOCIAL Y PRODUCTIVA PARA LA POBLACIÓN EN SITUACIÓN DE VULNERABILIDAD"/>
        <s v="IMPLEMENTACIÓN DE TRANSFERENCIAS MONETARIAS CONDICIONADAS PARA POBLACIÓN VULNERABLE A NIVEL NACIONAL - FIP  NACIONAL"/>
        <s v="SERVICIO DE APOYO FINANCIERO PARA LA ENTREGA DE TRANSFERENCIAS MONETARIAS CONDICIONADAS"/>
        <s v="SERVICIO DE ASISTENCIA EN TEMAS DE DESARROLLO DE HABILIDADES NO COGNITIVAS PARA LA INCLUSIÓN PRODUCTIVA"/>
        <s v="IMPLEMENTACIÓN DE UNIDADES PRODUCTIVAS DE AUTOCONSUMO PARA POBLACIÓN POBRE Y VULNERABLE   NACIONAL - RESA"/>
        <s v="SERVICIO DE ASISTENCIA TÉCNICA PARA EL AUTOCONSUMO DE LOS HOGARES EN SITUACIÓN DE VULNERABILIDAD SOCIAL"/>
        <s v="SERVICIO DE ASISTENCIA TÉCNICA PARA EL MEJORAMIENTO DE HÁBITOS ALIMENTARIOS"/>
        <s v="SERVICIO DE MONITOREO Y SEGUIMIENTO A LAS INTERVENCIONES IMPLEMENTADAS PARA LA INCLUSIÓN SOCIAL Y PRODUCTIVA DE LA POBLACIÓN EN SITUACIÓN DE VULNERABILIDAD"/>
        <s v="SERVICIO DE APOYO PARA LAS UNIDADES PRODUCTIVAS PARA EL AUTOCONSUMO DE LOS HOGARES EN SITUACIÓN DE VULNERABILIDAD SOCIAL"/>
        <s v="FORTALECIMIENTO PARA EL DESARROLLO DE INFRAESTRUCTURA SOCIAL Y HÁBITAT PARA LA INCLUSIÓN SOCIAL A NIVEL NACIONAL - FIP  NACIONAL"/>
        <s v="SERVICIO DE APOYO FINANCIERO PARA FINANCIACIÓN DE OBRAS DE INFRAESTRUCTURA SOCIAL"/>
        <s v="SERVICIO DE ASISTENCIA TÉCNICA EN PROYECTOS DE INFRAESTRUCTURA SOCIAL A ENTIDADES TERRITORIALES"/>
        <s v="FORTALECIMIENTO A ENTIDADES TERRITORIALES EN POLITICA DE SEGURIDAD ALIMENTARIA NACIONAL"/>
        <s v="SERVICIO DE ASISTENCIA TÉCNICA EN SEGURIDAD ALIMENTARIA Y NUTRICIONAL A ENTIDADES TERRITORIALES"/>
        <s v="DOCUMENTO DE LINEAMIENTOS TÉCNICOS"/>
        <s v="IMPLEMENTACIÓN DE HERRAMIENTAS PARA LA INCLUSIÓN PRODUCTIVA DE LA POBLACIÓN EN SITUACIÓN DE POBREZA EXTREMA, VULNERABILIDAD Y VICTIMAS DEL DESPLAZAMIENTO FORZADO POR LA VIOLENCIA FIP A NIVEL  NACIONAL"/>
        <s v="SERVICIO DE ASISTENCIA TÉCNICA PARA EL EMPRENDIMIENTO "/>
        <s v="SERVICIO DE APOYO A UNIDADES PRODUCTIVAS INDIVIDUALES PARA LA GENERACIÓN DE INGRESOS"/>
        <s v="SERVICIO DE APOYO PARA EL FORTALECIMIENTO DE UNIDADES PRODUCTIVAS COLECTIVAS PARA LA GENERACIÓN DE INGRESOS"/>
        <s v="SERVICIO DE ASISTENCIA TÉCNICA PARA FORTALECIMIENTO DE UNIDADES PRODUCTIVAS COLECTIVAS PARA LA GENERACIÓN DE INGRESOS"/>
        <s v="FORTALECIMIENTO DE LA GESTIÓN DE OFERTA PARA LA SUPERACIÓN DE LA POBREZA- FIP A NIVEL NACIONAL"/>
        <s v="SERVICIO DE ASISTENCIA TÉCNICA A LAS ENTIDADES TERRITORIALES EN LA FORMULACIÓN DE SUS MARCOS DE LUCHA CONTRA LA POBREZA"/>
        <s v="SERVICIO DE GESTIÓN DE OFERTA SOCIAL PARA LA POBLACIÓN VULNERABLE"/>
        <s v="IMPLEMENTACION DE TRANSFERENCIAS MONETARIAS NO CONDICIONAS PARA DISMINUIR POBREZA MONETARIA EN LA POBLACION POBRE NACIONAL NACIONAL"/>
        <s v="SERVICIO DE APOYO FINANCIERO PARA LA ENTREGA DE TRANSFERENCIAS MONETARIAS NO CONDICIONADAS"/>
        <s v="IMPLEMENTACIÓN DE INTERVENCIÓN INTEGRAL A POBLACIÓN CON ENFOQUE DIFERENCIAL ÉTNICO, A NIVEL NACIONAL"/>
        <s v="SERVICIO DE ASISTENCIA TÉCNICA PARA EL EMPRENDIMIENTO - IMPLEMENTACIÓN DE INTERVENCIÓN INTEGRAL A POBLACIÓN CON ENFOQUE DIFERENCIAL ÉTNICO, A NIVEL NACIONAL"/>
        <s v="SERVICIO DE ACOMPAÑAMIENTO FAMILIAR Y COMUNITARIO PARA LA SUPERACIÓN DE LA POBREZA - IMPLEMENTACIÓN DE INTERVENCIÓN INTEGRAL A POBLACIÓN CON ENFOQUE DIFERENCIAL ÉTNICO, A NIVEL NACIONAL"/>
        <s v="SERVICIO DE ASISTENCIA TÉCNICA PARA EL AUTOCONSUMO DE LOS HOGARES EN SITUACIÓN DE VULNERABILIDAD SOCIAL - IMPLEMENTACIÓN DE INTERVENCIÓN INTEGRAL A POBLACIÓN CON "/>
        <s v="SERVICIO DE APOYO PARA LAS UNIDADES PRODUCTIVAS PARA EL AUTOCONSUMO DE LOS HOGARES EN SITUACIÓN DE VULNERABILIDAD SOCIAL - IMPLEMENTACIÓN DE INTERVENCIÓN INTEGRAL A POBLACIÓN CON ENFOQUE DIFERENCIAL ÉTNICO, A NIVEL NACIONAL"/>
        <s v="SERVICIO DE APOYO PARA EL FORTALECIMIENTO DE UNIDADES PRODUCTIVAS COLECTIVAS PARA LA GENERACIÓN DE INGRESOS - IMPLEMENTACIÓN DE INTERVENCIÓN INTEGRAL A POBLACIÓN CON ENFOQUE DIFERENCIAL ÉTNICO, A NIVEL NACIONAL"/>
        <s v="IMPLEMENTACIÓN DE UNA INTERVENCIÓN INTEGRAL DIRIGIDA A LOS HOGARES RURALES VICTIMAS DE DESPLAZAMIENTO FORZADO EN CONDICIONES DE VULNERABILIDAD, A NIVEL NACIONAL"/>
        <s v="SERVICIO DE ASISTENCIA TÉCNICA PARA EL EMPRENDIMIENTO  - IMPLEMENTACION DE UNA INTERVENCION INTEGRAL DIRIGIDA A LOS HOGARES RURALES VICTIMAS DE DESPLAZAMIENTO FORZADO EN CONDICIONES DE VULNERABILIDAD, A NIVEL  NACIONAL"/>
        <s v="SERVICIO DE ACOMPAÑAMIENTO FAMILIAR Y COMUNITARIO PARA LA SUPERACIÓN DE LA POBREZA - IMPLEMENTACION DE UNA INTERVENCION INTEGRAL DIRIGIDA A LOS HOGARES RURALES VICTIMAS DE DESPLAZAMIENTO FORZADO EN CONDICIONES DE VULNERABILIDAD"/>
        <s v="SERVICIO DE ASISTENCIA TÉCNICA PARA EL AUTOCONSUMO DE LOS HOGARES EN SITUACIÓN DE VULNERABILIDAD SOCIAL - IMPLEMENTACION DE UNA INTERVENCION INTEGRAL DIRIGIDA A LOS HOGARES RURALES VICTIMAS DE DESPLAZAMIENTO FORZADO"/>
        <s v="SERVICIO DE APOYO PARA LAS UNIDADES PRODUCTIVAS PARA EL AUTOCONSUMO DE LOS HOGARES EN SITUACIÓN DE VULNERABILIDAD SOCIAL - IMPLEMENTACION DE UNA INTERVENCION INTEGRAL DIRIGIDA A LOS HOGARES RURALES VICTIMAS DE DESPLAZAMIENTO"/>
        <s v=" SERVICIO DE APOYO A UNIDADES PRODUCTIVAS INDIVIDUALES PARA LA GENERACIÓN DE INGRESOS - IMPLEMENTACION DE UNA INTERVENCION INTEGRAL DIRIGIDA A LOS HOGARES RURALES VICTIMAS DE DESPLAZAMIENTO FORZADO EN CONDICIONES DE VULNERABLE"/>
        <s v="SERVICIO DE APOYO PARA EL MEJORAMIENTO DE CONDICIONES FÍSICAS O DOTACIÓN DE VIVIENDA DE HOGARES  VULNERABLES RURALES - IMPLEMENTACION DE UNA INTERVENCION INTEGRAL DIRIGIDA A LOS HOGARES RURALES VICTIMAS DE DESPLAZAMIENTO "/>
        <s v="IMPLEMENTACIÓN DE SUBSIDIO ECONÓMICO PARA POBLACIÓN ADULTA MAYOR EN SITUACIÓN DE VULNERABILIDAD - NACIONAL"/>
        <s v="IMPLEMENTACION DE TRANSFERENCIAS MONETARIAS NO CONDICIONADAS PARA ATENCION DE EMERGENCIA FIP- NACIONAL"/>
        <s v="FORTALECIMIENTO DE LA GESTIÓN Y DIRECCIÓN DEL SECTOR INCLUSIÓN SOCIAL Y RECONCILIACIÓN"/>
        <s v="IMPLEMENTACIÓN Y AMPLIACIÓN DE LAS TECNOLOGÍAS DE INFORMACIÓN Y COMUNICACIONES EN DPS A NIVEL  NACIONAL"/>
        <s v="SERVICIOS TECNOLÓGICOS "/>
      </sharedItems>
    </cacheField>
    <cacheField name="APROPIACION_x000a_DEFINITIVA" numFmtId="0">
      <sharedItems containsString="0" containsBlank="1" containsNumber="1" minValue="0" maxValue="13053258103989"/>
    </cacheField>
    <cacheField name="ACUMULADO" numFmtId="0">
      <sharedItems containsString="0" containsBlank="1" containsNumber="1" minValue="0" maxValue="12951454518916.129"/>
    </cacheField>
    <cacheField name="Campo1" numFmtId="0" formula="ACUMULADO/'APROPIACION_x000a_DEFINITIVA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Emilio Imedio Villalobos" refreshedDate="45148.489989930553" createdVersion="8" refreshedVersion="8" minRefreshableVersion="3" recordCount="208" xr:uid="{87FEA8FF-37D3-410A-8C2D-F78DF4DFB800}">
  <cacheSource type="worksheet">
    <worksheetSource ref="B6:W214" sheet="Ejec_VIG_2023 (Julio)"/>
  </cacheSource>
  <cacheFields count="24">
    <cacheField name="RUBRO" numFmtId="0">
      <sharedItems count="204">
        <s v="A"/>
        <s v="A-01"/>
        <s v="A-01-01"/>
        <s v="A-01-01-01"/>
        <s v="A-01-01-01-001"/>
        <s v="A-01-01-01-001-001"/>
        <s v="A-01-01-01-001-002"/>
        <s v="A-01-01-01-001-003"/>
        <s v="A-01-01-01-001-004"/>
        <s v="A-01-01-01-001-005"/>
        <s v="A-01-01-01-001-006"/>
        <s v="A-01-01-01-001-007"/>
        <s v="A-01-01-01-001-008"/>
        <s v="A-01-01-01-001-009"/>
        <s v="A-01-01-01-001-010"/>
        <s v="A-01-01-02"/>
        <s v="A-01-01-02-001"/>
        <s v="A-01-01-02-002"/>
        <s v="A-01-01-02-003"/>
        <s v="A-01-01-02-004"/>
        <s v="A-01-01-02-005"/>
        <s v="A-01-01-02-006"/>
        <s v="A-01-01-02-007"/>
        <s v="A-01-01-02-008"/>
        <s v="A-01-01-02-009"/>
        <s v="A-01-01-03"/>
        <s v="A-01-01-03-001"/>
        <s v="A-01-01-03-001-001"/>
        <s v="A-01-01-03-001-002"/>
        <s v="A-01-01-03-001-003"/>
        <s v="A-01-01-03-002"/>
        <s v="A-01-01-03-005"/>
        <s v="A-01-01-03-007"/>
        <s v="A-01-01-03-013"/>
        <s v="A-01-01-03-016"/>
        <s v="A-01-01-03-030"/>
        <s v="A-02"/>
        <s v="A-02-01"/>
        <s v="A-02-01-01"/>
        <s v="A-02-01-01-004"/>
        <s v="A-02-01-01-004-006"/>
        <s v="A-02-01-01-004-007"/>
        <s v="A-02-02"/>
        <s v="A-02-02-01"/>
        <s v="A-02-02-01-001"/>
        <s v="A-02-02-01-001-005"/>
        <s v="A-02-02-01-001-007"/>
        <s v="A-02-02-01-002"/>
        <s v="A-02-02-01-002-003"/>
        <s v="A-02-02-01-002-008"/>
        <s v="A-02-02-01-003"/>
        <s v="A-02-02-01-003-002"/>
        <s v="A-02-02-01-003-003"/>
        <s v="A-02-02-01-003-005"/>
        <s v="A-02-02-01-003-006"/>
        <s v="A-02-02-01-003-008"/>
        <s v="A-02-02-01-004"/>
        <s v="A-02-02-01-004-002"/>
        <s v="A-02-02-01-004-005"/>
        <s v="A-02-02-01-004-006"/>
        <s v="A-02-02-01-004-007"/>
        <s v="A-02-02-02"/>
        <s v="A-02-02-02-006"/>
        <s v="A-02-02-02-006-003"/>
        <s v="A-02-02-02-006-004"/>
        <s v="A-02-02-02-006-005"/>
        <s v="A-02-02-02-006-008"/>
        <s v="A-02-02-02-006-009"/>
        <s v="A-02-02-02-007"/>
        <s v="A-02-02-02-007-001"/>
        <s v="A-02-02-02-007-002"/>
        <s v="A-02-02-02-008"/>
        <s v="A-02-02-02-008-002"/>
        <s v="A-02-02-02-008-003"/>
        <s v="A-02-02-02-008-004"/>
        <s v="A-02-02-02-008-005"/>
        <s v="A-02-02-02-008-007"/>
        <s v="A-02-02-02-008-009"/>
        <s v="A-02-02-02-009"/>
        <s v="A-02-02-02-009-002"/>
        <s v="A-02-02-02-009-003"/>
        <s v="A-02-02-02-009-004"/>
        <s v="A-02-02-02-009-006"/>
        <s v="A-02-02-02-009-007"/>
        <s v="A-02-02-02-010"/>
        <s v="A-03"/>
        <s v="A-03-03"/>
        <s v="A-03-03-01"/>
        <s v="A-03-03-01-999"/>
        <s v="A-03-04"/>
        <s v="A-03-04-02"/>
        <s v="A-03-04-02-012"/>
        <s v="A-03-04-02-012-001"/>
        <s v="A-03-04-02-012-002"/>
        <s v="A-03-10"/>
        <s v="A-03-10-01"/>
        <s v="A-03-10-01-001"/>
        <s v="A-03-10-01-002"/>
        <s v="A-08"/>
        <s v="A-08-01"/>
        <s v="A-08-01-02"/>
        <s v="A-08-01-02-001"/>
        <s v="A-08-01-02-004"/>
        <s v="A-08-01-02-006"/>
        <s v="A-08-04"/>
        <s v="A-08-04-01"/>
        <s v="A-08-05"/>
        <s v="A-08-05-01-003"/>
        <s v="A-08-05-02-001"/>
        <s v="B"/>
        <s v="B-10"/>
        <s v="B-10-04"/>
        <s v="B-10-04-01"/>
        <s v="C"/>
        <s v="C-4103"/>
        <s v="C-4103-1500"/>
        <s v="C-4103-1500-12"/>
        <s v="C-4103-1500-12-0-4103006"/>
        <s v="C-4103-1500-12-0-4103006-02"/>
        <s v="C-4103-1500-12-0-4103006-03"/>
        <s v="C-4103-1500-12-0-4103009"/>
        <s v="C-4103-1500-12-0-4103009-02"/>
        <s v="C-4103-1500-12-0-4103047"/>
        <s v="C-4103-1500-12-0-4103047-02"/>
        <s v="C-4103-1500-13"/>
        <s v="C-4103-1500-13-0-4103051"/>
        <s v="C-4103-1500-13-0-4103051-02"/>
        <s v="C-4103-1500-13-0-4103053"/>
        <s v="C-4103-1500-13-0-4103053-02"/>
        <s v="C-4103-1500-13-0-4103054"/>
        <s v="C-4103-1500-13-0-4103054-02"/>
        <s v="C-4103-1500-13-0-4103055"/>
        <s v="C-4103-1500-13-0-4103055-02"/>
        <s v="C-4103-1500-14"/>
        <s v="C-4103-1500-14-0-4103016"/>
        <s v="C-4103-1500-14-0-4103016-02"/>
        <s v="C-4103-1500-14-0-4103016-03"/>
        <s v="C-4103-1500-14-0-4103048"/>
        <s v="C-4103-1500-14-0-4103048-02"/>
        <s v="C-4103-1500-16"/>
        <s v="C-4103-1500-16-0-4103056"/>
        <s v="C-4103-1500-16-0-4103056-02"/>
        <s v="C-4103-1500-16-0-4103060"/>
        <s v="C-4103-1500-16-0-4103060-02"/>
        <s v="C-4103-1500-17"/>
        <s v="C-4103-1500-17-0-4103005"/>
        <s v="C-4103-1500-17-0-4103005-02"/>
        <s v="C-4103-1500-17-0-4103057"/>
        <s v="C-4103-1500-17-0-4103057-02"/>
        <s v="C-4103-1500-18"/>
        <s v="C-4103-1500-18-0-4103050"/>
        <s v="C-4103-1500-18-0-4103050-02"/>
        <s v="C-4103-1500-19"/>
        <s v="C-4103-1500-19-0-4103049"/>
        <s v="C-4103-1500-19-0-4103049-02"/>
        <s v="C-4103-1500-19-0-4103052"/>
        <s v="C-4103-1500-19-0-4103052-02"/>
        <s v="C-4103-1500-19-0-4103060"/>
        <s v="C-4103-1500-19-0-4103060-02"/>
        <s v="C-4103-1500-20"/>
        <s v="C-4103-1500-20-0-4103061"/>
        <s v="C-4103-1500-20-0-4103061-03"/>
        <s v="C-4103-1500-20-0-4103061-02"/>
        <s v="C-4103-1500-21"/>
        <s v="C-4103-1500-21-0-4103005"/>
        <s v="C-4103-1500-21-0-4103005-02"/>
        <s v="C-4103-1500-21-0-4103050"/>
        <s v="C-4103-1500-21-0-4103050-02"/>
        <s v="C-4103-1500-21-0-4103051"/>
        <s v="C-4103-1500-21-0-4103051-02"/>
        <s v="C-4103-1500-21-0-4103055"/>
        <s v="C-4103-1500-21-0-4103055-02"/>
        <s v="C-4103-1500-21-0-4103058"/>
        <s v="C-4103-1500-21-0-4103058-02"/>
        <s v="C-4103-1500-22"/>
        <s v="C-4103-1500-22-0-4103005"/>
        <s v="C-4103-1500-22-0-4103005-02"/>
        <s v="C-4103-1500-22-0-4103050"/>
        <s v="C-4103-1500-22-0-4103050-02"/>
        <s v="C-4103-1500-22-0-4103051"/>
        <s v="C-4103-1500-22-0-4103051-02"/>
        <s v="C-4103-1500-22-0-4103055"/>
        <s v="C-4103-1500-22-0-4103055-02"/>
        <s v="C-4103-1500-22-0-4103057"/>
        <s v="C-4103-1500-22-0-4103057-02"/>
        <s v="C-4103-1500-22-0-4103057-03"/>
        <s v="C-4103-1500-22-0-4103062"/>
        <s v="C-4103-1500-22-0-4103062-02"/>
        <s v="C-4103-1500-22-0-4103062-03"/>
        <s v="C-4103-1500-23"/>
        <s v="C-4103-1500-23-0-4103065"/>
        <s v="C-4103-1500-23-0-4103065-02"/>
        <s v="C-4103-1500-23-0-4103065-03"/>
        <s v="C-4103-1500-25"/>
        <s v="C-4103-1500-25-0-4103050"/>
        <s v="C-4103-1500-25-0-4103050-02"/>
        <s v="C-4103-1500-25-0-4103057"/>
        <s v="C-4103-1500-25-0-4103057-02"/>
        <s v="C-4103-1500-25-0-4103057-03"/>
        <s v="C-4199"/>
        <s v="C-4199-1500"/>
        <s v="C-4199-1500-2"/>
        <s v="C-4199-1500-2-0-4199062"/>
        <s v="C-4199-1500-2-0-4199062-02"/>
      </sharedItems>
    </cacheField>
    <cacheField name="TIPO" numFmtId="0">
      <sharedItems/>
    </cacheField>
    <cacheField name="CTA" numFmtId="0">
      <sharedItems containsBlank="1" containsMixedTypes="1" containsNumber="1" containsInteger="1" minValue="10" maxValue="4199"/>
    </cacheField>
    <cacheField name="SUBC" numFmtId="0">
      <sharedItems containsBlank="1" containsMixedTypes="1" containsNumber="1" containsInteger="1" minValue="1500" maxValue="1500"/>
    </cacheField>
    <cacheField name="OBJG" numFmtId="0">
      <sharedItems containsBlank="1" containsMixedTypes="1" containsNumber="1" containsInteger="1" minValue="18" maxValue="25"/>
    </cacheField>
    <cacheField name="ORD" numFmtId="0">
      <sharedItems containsBlank="1"/>
    </cacheField>
    <cacheField name="SORD" numFmtId="0">
      <sharedItems containsBlank="1" containsMixedTypes="1" containsNumber="1" containsInteger="1" minValue="4103009" maxValue="4103065"/>
    </cacheField>
    <cacheField name="ITEM" numFmtId="0">
      <sharedItems containsBlank="1"/>
    </cacheField>
    <cacheField name="REC." numFmtId="0">
      <sharedItems containsBlank="1" containsMixedTypes="1" containsNumber="1" containsInteger="1" minValue="10" maxValue="16"/>
    </cacheField>
    <cacheField name="SIT" numFmtId="0">
      <sharedItems containsBlank="1"/>
    </cacheField>
    <cacheField name="CONCEPTO" numFmtId="0">
      <sharedItems count="149">
        <s v="FUNCIONAMIENTO "/>
        <s v="GASTOS DE PERSONAL"/>
        <s v="PLANTA DE PERSONAL PERMANENTE"/>
        <s v="SALARIO"/>
        <s v="FACTORES SALARIALES COMUNES"/>
        <s v="SUELDO BÁSICO"/>
        <s v="GASTOS DE REPRESENTACIÓN"/>
        <s v="PRIMA TÉCNICA SALARIAL"/>
        <s v="SUBSIDIO DE ALIMENTACIÓN"/>
        <s v="AUXILIO DE TRANSPORTE"/>
        <s v="PRIMA DE SERVICIO"/>
        <s v="BONIFICACIÓN POR SERVICIOS PRESTADOS"/>
        <s v="HORAS EXTRAS, DOMINICALES, FESTIVOS Y RECARGOS"/>
        <s v="PRIMA DE NAVIDAD"/>
        <s v="PRIMA DE VACACIONES"/>
        <s v="CONTRIBUCIONES INHERENTES A LA NÓMINA"/>
        <s v="APORTES A LA SEGURIDAD SOCIAL EN PENSIONES"/>
        <s v="APORTES A LA SEGURIDAD SOCIAL EN SALUD"/>
        <s v="AUXILIO DE CESANTÍAS "/>
        <s v="APORTES A CAJAS DE COMPENSACIÓN FAMILIAR"/>
        <s v="APORTES GENERALES AL SISTEMA DE RIESGOS LABORALES"/>
        <s v="APORTES AL ICBF"/>
        <s v="APORTES AL SENA"/>
        <s v="APORTES A LA ESAP"/>
        <s v="APORTES A ESCUELAS INDUSTRIALES E INSTITUTOS TÉCNICOS"/>
        <s v="REMUNERACIONES NO CONSTITUTIVAS DE FACTOR SALARIAL"/>
        <s v="PRESTACIONES SOCIALES SEGÚN DEFINICIÓN LEGAL"/>
        <s v="VACACIONES"/>
        <s v="INDEMNIZACIÓN POR VACACIONES"/>
        <s v="BONIFICACIÓN ESPECIAL DE RECREACIÓN"/>
        <s v="PRIMA TÉCNICA NO SALARIAL"/>
        <s v="PRIMA DE RIESGO"/>
        <s v="PRIMA DE DIRECCIÓN"/>
        <s v="ESTÍMULOS A LOS EMPLEADOS DEL ESTADO"/>
        <s v="PRIMA DE COORDINACIÓN"/>
        <s v="BONIFICACIÓN DE DIRECCIÓN"/>
        <s v="ADQUISICIÓN DE BIENES Y SERVICIOS"/>
        <s v="ADQUISICIÓN DE ACTIVOS NO FINANCIEROS"/>
        <s v="ACTIVOS FIJOS"/>
        <s v="MAQUINARIA Y EQUIPO"/>
        <s v="MAQUINARIA Y APARATOS ELÉCTRICOS"/>
        <s v="EQUIPO Y APARATOS DE RADIO, TELEVISIÓN Y COMUNICACIONES"/>
        <s v="ADQUISICIONES DIFERENTES DE ACTIVOS"/>
        <s v="MATERIALES Y SUMINISTROS"/>
        <s v="MINERALES; ELECTRICIDAD, GAS Y AGUA"/>
        <s v="PIEDRA, ARENA Y ARCILLA"/>
        <s v="ELECTRICIDAD, GAS DE CIUDAD, VAPOR Y AGUA CALIENTE"/>
        <s v="PRODUCTOS ALIMENTICIOS, BEBIDAS Y TABACO; TEXTILES, PRENDAS DE VESTIR Y PRODUCTOS DE CUERO"/>
        <s v="PRODUCTOS DE MOLINERÍA, ALMIDONES Y PRODUCTOS DERIVADOS DEL ALMIDÓN; OTROS PRODUCTOS ALIMENTICIOS"/>
        <s v="DOTACIÓN (PRENDAS DE VESTIR Y CALZADO)"/>
        <s v="OTROS BIENES TRANSPORTABLES (EXCEPTO PRODUCTOS METÁLICOS, MAQUINARIA Y EQUIPO)"/>
        <s v="PASTA O PULPA, PAPEL Y PRODUCTOS DE PAPEL; IMPRESOS Y ARTÍCULOS RELACIONADOS"/>
        <s v="PRODUCTOS DE HORNOS DE COQUE; PRODUCTOS DE REFINACIÓN DE PETRÓLEO Y COMBUSTIBLE NUCLEAR"/>
        <s v="OTROS PRODUCTOS QUÍMICOS; FIBRAS ARTIFICIALES (O FIBRAS INDUSTRIALES HECHAS POR EL HOMBRE)"/>
        <s v="PRODUCTOS DE CAUCHO Y PLÁSTICO"/>
        <s v="OTROS BIENES TRANSPORTABLES N.C.P."/>
        <s v="PRODUCTOS METÁLICOS Y PAQUETES DE SOFTWARE"/>
        <s v="PRODUCTOS METÁLICOS ELABORADOS (EXCEPTO MAQUINARIA Y EQUIPO)"/>
        <s v="MAQUINARIA DE OFICINA, CONTABILIDAD E INFORMÁTICA"/>
        <s v="ADQUISICIÓN DE SERVICIOS"/>
        <s v="SERVICIOS DE ALOJAMIENTO; SERVICIOS DE SUMINISTRO DE COMIDAS Y BEBIDAS; SERVICIOS DE TRANSPORTE; Y SERVICIOS DE DISTRIBUCIÓN DE ELECTRICIDAD, GAS Y AGUA"/>
        <s v="ALOJAMIENTO; SERVICIOS DE SUMINISTROS DE COMIDAS Y BEBIDAS"/>
        <s v="SERVICIOS DE TRANSPORTE DE PASAJEROS"/>
        <s v="SERVICIOS DE TRANSPORTE DE CARGA"/>
        <s v="SERVICIOS POSTALES Y DE MENSAJERÍA"/>
        <s v="SERVICIOS DE DISTRIBUCIÓN DE ELECTRICIDAD, GAS Y AGUA (POR CUENTA PROPIA)"/>
        <s v="SERVICIOS FINANCIEROS Y SERVICIOS CONEXOS, SERVICIOS INMOBILIARIOS Y SERVICIOS DE LEASING"/>
        <s v="SERVICIOS FINANCIEROS Y SERVICIOS CONEXOS"/>
        <s v="SERVICIOS INMOBILIARIOS"/>
        <s v="SERVICIOS PRESTADOS A LAS EMPRESAS Y SERVICIOS DE PRODUCCIÓN"/>
        <s v="SERVICIOS JURÍDICOS Y CONTABLES"/>
        <s v="OTROS SERVICIOS PROFESIONALES, CIENTÍFICOS Y TÉCNICOS"/>
        <s v="SERVICIOS DE TELECOMUNICACIONES, TRANSMISIÓN Y SUMINISTRO DE INFORMACIÓN"/>
        <s v="SERVICIOS DE SOPORTE"/>
        <s v="SERVICIOS DE MANTENIMIENTO, REPARACIÓN E INSTALACIÓN (EXCEPTO SERVICIOS DE CONSTRUCCIÓN)"/>
        <s v="OTROS SERVICIOS DE FABRICACIÓN; SERVICIOS DE EDICIÓN, IMPRESIÓN Y REPRODUCCIÓN; SERVICIOS DE RECUPERACIÓN DE MATERIALES"/>
        <s v="SERVICIOS PARA LA COMUNIDAD, SOCIALES Y PERSONALES"/>
        <s v="SERVICIOS DE EDUCACIÓN"/>
        <s v="SERVICIOS PARA EL CUIDADO DE LA SALUD HUMANA Y SERVICIOS SOCIALES"/>
        <s v="SERVICIOS DE ALCANTARILLADO, RECOLECCIÓN, TRATAMIENTO Y DISPOSICIÓN DE DESECHOS Y OTROS SERVICIOS DE SANEAMIENTO AMBIENTAL"/>
        <s v="SERVICIOS DE ESPARCIMIENTO, CULTURALES Y DEPORTIVOS"/>
        <s v="OTROS SERVICIOS"/>
        <s v="VIÁTICOS DE LOS FUNCIONARIOS EN COMISIÓN"/>
        <s v="TRANSFERENCIAS CORRIENTES"/>
        <s v="A ENTIDADES DEL GOBIERNO"/>
        <s v="A ORGANOS DEL PGN"/>
        <s v="OTRAS TRANSFERENCIAS - DISTRIBUCIÓN PREVIO CONCEPTO DGPPN"/>
        <s v="PRESTACIONES PARA CUBRIR RIESGOS SOCIALES"/>
        <s v="PRESTACIONES SOCIALES RELACIONADAS CON EL EMPLEO"/>
        <s v="INCAPACIDADES Y LICENCIAS DE MATERNIDAD Y PATERNIDAD (NO DE PENSIONES)"/>
        <s v="INCAPACIDADES (NO DE PENSIONES)"/>
        <s v="LICENCIAS DE MATERNIDAD Y PATERNIDAD (NO DE PENSIONES)"/>
        <s v="SENTENCIAS Y CONCILIACIONES"/>
        <s v="FALLOS NACIONALES"/>
        <s v="SENTENCIAS"/>
        <s v="CONCILIACIONES"/>
        <s v="GASTOS POR TRIBUTOS, MULTAS, SANCIONES E INTERESES DE MORA"/>
        <s v="IMPUESTOS"/>
        <s v="IMPUESTOS TERRITORIALES"/>
        <s v="IMPUESTO PREDIAL Y SOBRETASA AMBIENTAL"/>
        <s v="IMPUESTO DE ALUMBRADO PÚBLICO"/>
        <s v="IMPUESTO SOBRE VEHÍCULOS AUTOMOTORES"/>
        <s v="CONTRIBUCIONES"/>
        <s v="CUOTA DE FISCALIZACIÓN Y AUDITAJE"/>
        <s v="MULTAS, SANCIONES E INTERESES DE MORA"/>
        <s v="SANCIONES ADMINISTRATIVAS"/>
        <s v="IMPUESTOS, CONTRIBUCIONES Y TASAS"/>
        <s v="SERVICIO DE LA DEUDA PÚBLICA"/>
        <s v="SERVICIO DE LA DEUDA PÚBLICA INTERNA"/>
        <s v="FONDO DE CONTINGENCIAS"/>
        <s v="APORTES AL FONDO DE CONTINGENCIAS"/>
        <s v="INVERSIÓN"/>
        <s v="INCLUSIÓN SOCIAL Y PRODUCTIVA PARA LA POBLACIÓN EN SITUACIÓN DE VULNERABILIDAD"/>
        <s v="INTERSUBSECTORIAL DESARROLLO SOCIAL"/>
        <s v="IMPLEMENTACIÓN DE TRANSFERENCIAS MONETARIAS CONDICIONADAS PARA POBLACIÓN VULNERABLE A NIVEL NACIONAL-FIP NACIONAL"/>
        <s v="SERVICIO DE APOYO FINANCIERO PARA LA ENTREGA DE TRANSFERENCIAS MONETARIAS CONDICIONADAS"/>
        <s v="SERVICIO DE ASISTENCIA EN TEMAS DE DESARROLLO DE HABILIDADES NO COGNITIVAS PARA LA INCLUSIÓN PRODUCTIVA"/>
        <s v="SERVICIO DE ASISTENCIA TÉCNICA EN EL COMPONENTE DE BIENESTAR COMUNITARIO"/>
        <s v="IMPLEMENTACIÓN DE UNIDADES PRODUCTIVAS DE AUTOCONSUMO PARA POBLACIÓN POBRE Y VULNERABLE NACIONAL-RESA"/>
        <s v="SERVICIO DE ASISTENCIA TÉCNICA PARA EL AUTOCONSUMO DE LOS HOGARES EN SITUACIÓN DE VULNERABILIDAD SOCIAL"/>
        <s v="SERVICIO DE ASISTENCIA TÉCNICA PARA EL MEJORAMIENTO DE HÁBITOS ALIMENTARIOS"/>
        <s v="SERVICIO DE MONITOREO Y SEGUIMIENTO A LAS INTERVENCIONES IMPLEMENTADAS PARA LA INCLUSIÓN SOCIAL Y PRODUCTIVA DE LA POBLACIÓN EN SITUACIÓN DE VULNERABILIDAD"/>
        <s v="SERVICIO DE APOYO PARA LAS UNIDADES PRODUCTIVAS PARA EL AUTOCONSUMO DE LOS HOGARES EN SITUACIÓN DE VULNERABILIDAD SOCIAL"/>
        <s v="FORTALECIMIENTO PARA EL DESARROLLO DE INFRAESTRUCTURA SOCIAL Y HÁBITAT PARA LA INCLUSIÓN SOCIAL A NIVEL NACIONAL-FIP NACIONAL"/>
        <s v="SERVICIO DE APOYO FINANCIERO PARA FINANCIACIÓN DE OBRAS DE INFRAESTRUCTURA SOCIAL"/>
        <s v="SERVICIO DE ASISTENCIA TÉCNICA EN PROYECTOS DE INFRAESTRUCTURA SOCIAL A ENTIDADES TERRITORIALES"/>
        <s v="FORTALECIMIENTO A ENTIDADES TERRITORIALES EN POLITICA DE SEGURIDAD ALIMENTARIA NACIONAL"/>
        <s v="SERVICIO DE ASISTENCIA TÉCNICA EN SEGURIDAD ALIMENTARIA Y NUTRICIONAL A ENTIDADES TERRITORIALES"/>
        <s v="DOCUMENTO DE LINEAMIENTOS TÉCNICOS"/>
        <s v="IMPLEMENTACIÓN DE HERRAMIENTAS PARA LA INCLUSIÓN PRODUCTIVA DE LA POBLACIÓN EN SITUACIÓN DE POBREZA EXTREMA, VULNERABILIDAD Y VICTIMAS DEL DESPLAZAMIENTO FORZADO POR LA VIOLENCIA FIP A NIVEL  NACIONAL"/>
        <s v="SERVICIO DE ASISTENCIA TÉCNICA PARA EL EMPRENDIMIENTO"/>
        <s v="SERVICIO DE APOYO A UNIDADES PRODUCTIVAS INDIVIDUALES PARA LA GENERACIÓN DE INGRESOS"/>
        <s v="IMPLEMENTACIÓN DE LA ESTRATEGIA DE ACOMPAÑAMIENTO FAMILIAR Y COMUNITARIO PARA LA SUPERACIÓN DE LA POBREZA - FIP A NIVEL   NACIONAL"/>
        <s v="SERVICIO DE ACOMPAÑAMIENTO FAMILIAR Y COMUNITARIO PARA LA SUPERACIÓN DE LA POBREZA"/>
        <s v="FORTALECIMIENTO DE LA GESTIÓN DE OFERTA PARA LA SUPERACIÓN DE LA POBREZA- FIP A NIVEL  NACIONAL"/>
        <s v="SERVICIO DE ASISTENCIA TÉCNICA A LAS ENTIDADES TERRITORIALES EN LA FORMULACIÓN DE SUS MARCOS DE LUCHA CONTRA LA POBREZA"/>
        <s v="SERVICIO DE GESTIÓN DE OFERTA SOCIAL PARA LA POBLACIÓN VULNERABLE"/>
        <s v="IMPLEMENTACION DE TRANSFERENCIAS MONETARIAS NO CONDICIONAS PARA DISMINUIR POBREZA MONETARIA EN LA POBLACION POBRE NACIONAL NACIONAL"/>
        <s v="SERVICIO DE APOYO FINANCIERO PARA LA ENTREGA DE TRANSFERENCIAS MONETARIAS NO CONDICIONADAS"/>
        <s v="IMPLEMENTACIÓN DE INTERVENCIÓN INTEGRAL A POBLACIÓN CON ENFOQUE DIFERENCIAL ÉTNICO, A NIVEL NACIONAL"/>
        <s v="SERVICIO DE APOYO PARA EL FORTALECIMIENTO DE UNIDADES PRODUCTIVAS COLECTIVAS PARA LA GENERACIÓN DE INGRESOS"/>
        <s v="IMPLEMENTACIÓN DE UNA INTERVENCIÓN INTEGRAL DIRIGIDA A LOS HOGARES RURALES VICTIMAS DE DESPLAZAMIENTO FORZADO EN CONDICIONES DE VULNERABILIDAD, A NIVEL NACIONAL"/>
        <s v="SERVICIO DE APOYO PARA EL MEJORAMIENTO DE CONDICIONES FÍSICAS O DOTACIÓN DE VIVIENDA DE HOGARES  VULNERABLES RURALES"/>
        <s v="IMPLEMENTACIÓN DE SUBSIDIO ECONÓMICO PARA POBLACIÓN ADULTA MAYOR EN SITUACIÓN DE VULNERABILIDAD - NACIONAL"/>
        <s v="SERVICIO DE APOYO FINANCIERO PARA EL ADULTO MAYOR"/>
        <s v="IMPLEMENTACION  DE UNA HERRAMIENTA DE GENERACION DE INGRESOS PARA POBLACION VULNERABLE A NIVEL NACIONAL NACIONAL  NACIONAL"/>
        <s v="FORTALECIMIENTO DE LA GESTIÓN Y DIRECCIÓN DEL SECTOR INCLUSIÓN SOCIAL Y RECONCILIACIÓN"/>
        <s v="IMPLEMENTACIÓN Y AMPLIACIÓN DE LAS TECNOLOGÍAS DE INFORMACIÓN Y COMUNICACIONES EN DPS A NIVEL NACIONAL"/>
        <s v="SERVICIOS TECNOLÓGICOS"/>
      </sharedItems>
    </cacheField>
    <cacheField name="APROPIACION_x000a_INICIAL" numFmtId="43">
      <sharedItems containsString="0" containsBlank="1" containsNumber="1" containsInteger="1" minValue="0" maxValue="6468380211524"/>
    </cacheField>
    <cacheField name="Adiciones" numFmtId="43">
      <sharedItems containsString="0" containsBlank="1" containsNumber="1" containsInteger="1" minValue="0" maxValue="0"/>
    </cacheField>
    <cacheField name="Reducciones" numFmtId="43">
      <sharedItems containsString="0" containsBlank="1" containsNumber="1" containsInteger="1" minValue="0" maxValue="0"/>
    </cacheField>
    <cacheField name="Créditos" numFmtId="43">
      <sharedItems containsString="0" containsBlank="1" containsNumber="1" minValue="0" maxValue="138059390490.39999"/>
    </cacheField>
    <cacheField name="Contracreditos" numFmtId="43">
      <sharedItems containsString="0" containsBlank="1" containsNumber="1" minValue="0" maxValue="138059390490.39999"/>
    </cacheField>
    <cacheField name="APROPIACIÓN BLOQUEADA" numFmtId="43">
      <sharedItems containsString="0" containsBlank="1" containsNumber="1" containsInteger="1" minValue="0" maxValue="5880000000"/>
    </cacheField>
    <cacheField name="APROPIACION_x000a_DEFINITIVA" numFmtId="43">
      <sharedItems containsSemiMixedTypes="0" containsString="0" containsNumber="1" minValue="0" maxValue="6468380211524"/>
    </cacheField>
    <cacheField name="ACUMULADO" numFmtId="43">
      <sharedItems containsSemiMixedTypes="0" containsString="0" containsNumber="1" minValue="0" maxValue="3231021676292.8394"/>
    </cacheField>
    <cacheField name="SALDO APROPIACION POR COMPROMETER" numFmtId="43">
      <sharedItems containsSemiMixedTypes="0" containsString="0" containsNumber="1" minValue="0" maxValue="3237358535231.1597"/>
    </cacheField>
    <cacheField name="% EJEC  RP" numFmtId="0">
      <sharedItems containsSemiMixedTypes="0" containsString="0" containsNumber="1" minValue="0" maxValue="1"/>
    </cacheField>
    <cacheField name="ACUMULADO2" numFmtId="43">
      <sharedItems containsSemiMixedTypes="0" containsString="0" containsNumber="1" minValue="0" maxValue="2821438551228.2603"/>
    </cacheField>
    <cacheField name="Campo1" numFmtId="0" formula="ACUMULADO/'APROPIACION_x000a_DEFINITIVA'" databaseField="0"/>
    <cacheField name="Campo2" numFmtId="0" formula="ACUMULADO2/'APROPIACION_x000a_DEFINITIVA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x v="0"/>
    <m/>
    <m/>
    <m/>
    <m/>
    <m/>
    <m/>
    <m/>
    <m/>
    <m/>
    <x v="0"/>
    <n v="6176390033851"/>
    <n v="6117431010122.9902"/>
  </r>
  <r>
    <x v="1"/>
    <x v="0"/>
    <s v="01"/>
    <m/>
    <m/>
    <m/>
    <m/>
    <m/>
    <m/>
    <m/>
    <m/>
    <x v="1"/>
    <n v="99738000000"/>
    <n v="98468482663"/>
  </r>
  <r>
    <x v="2"/>
    <x v="0"/>
    <s v="01"/>
    <s v="01"/>
    <m/>
    <m/>
    <m/>
    <m/>
    <m/>
    <m/>
    <m/>
    <x v="2"/>
    <n v="99738000000"/>
    <n v="98468482663"/>
  </r>
  <r>
    <x v="3"/>
    <x v="0"/>
    <s v="01"/>
    <s v="01"/>
    <s v="01"/>
    <m/>
    <m/>
    <m/>
    <m/>
    <s v="10"/>
    <s v="CSF"/>
    <x v="3"/>
    <n v="68019000000"/>
    <n v="67321185111"/>
  </r>
  <r>
    <x v="4"/>
    <x v="0"/>
    <s v="01"/>
    <s v="01"/>
    <s v="01"/>
    <s v="001"/>
    <m/>
    <m/>
    <m/>
    <s v="10"/>
    <s v="CSF"/>
    <x v="4"/>
    <n v="68019000000"/>
    <n v="67321185111"/>
  </r>
  <r>
    <x v="5"/>
    <x v="0"/>
    <s v="01"/>
    <s v="01"/>
    <s v="01"/>
    <s v="001"/>
    <s v="001"/>
    <m/>
    <m/>
    <s v="10"/>
    <s v="CSF"/>
    <x v="5"/>
    <n v="54858000000"/>
    <n v="54578292208"/>
  </r>
  <r>
    <x v="6"/>
    <x v="0"/>
    <s v="01"/>
    <s v="01"/>
    <s v="01"/>
    <s v="001"/>
    <s v="002"/>
    <m/>
    <m/>
    <s v="10"/>
    <s v="CSF"/>
    <x v="6"/>
    <n v="263000000"/>
    <n v="249645489"/>
  </r>
  <r>
    <x v="7"/>
    <x v="0"/>
    <s v="01"/>
    <s v="01"/>
    <s v="01"/>
    <s v="001"/>
    <s v="003"/>
    <m/>
    <m/>
    <s v="10"/>
    <s v="CSF"/>
    <x v="7"/>
    <n v="550000000"/>
    <n v="544301726"/>
  </r>
  <r>
    <x v="8"/>
    <x v="0"/>
    <s v="01"/>
    <s v="01"/>
    <s v="01"/>
    <s v="001"/>
    <s v="004"/>
    <m/>
    <m/>
    <s v="10"/>
    <s v="CSF"/>
    <x v="8"/>
    <n v="100000000"/>
    <n v="90718097"/>
  </r>
  <r>
    <x v="9"/>
    <x v="0"/>
    <s v="01"/>
    <s v="01"/>
    <s v="01"/>
    <s v="001"/>
    <s v="005"/>
    <m/>
    <m/>
    <s v="10"/>
    <s v="CSF"/>
    <x v="9"/>
    <n v="98000000"/>
    <n v="67897335"/>
  </r>
  <r>
    <x v="10"/>
    <x v="0"/>
    <s v="01"/>
    <s v="01"/>
    <s v="01"/>
    <s v="001"/>
    <s v="006"/>
    <m/>
    <m/>
    <s v="10"/>
    <s v="CSF"/>
    <x v="10"/>
    <n v="2585622935"/>
    <n v="2557145255"/>
  </r>
  <r>
    <x v="11"/>
    <x v="0"/>
    <s v="01"/>
    <s v="01"/>
    <s v="01"/>
    <s v="001"/>
    <s v="007"/>
    <m/>
    <m/>
    <s v="10"/>
    <s v="CSF"/>
    <x v="11"/>
    <n v="1800000000"/>
    <n v="1762109475"/>
  </r>
  <r>
    <x v="12"/>
    <x v="0"/>
    <s v="01"/>
    <s v="01"/>
    <s v="01"/>
    <s v="001"/>
    <s v="008"/>
    <m/>
    <m/>
    <s v="10"/>
    <s v="CSF"/>
    <x v="12"/>
    <n v="250000000"/>
    <n v="84750968"/>
  </r>
  <r>
    <x v="13"/>
    <x v="0"/>
    <s v="01"/>
    <s v="01"/>
    <s v="01"/>
    <s v="001"/>
    <s v="009"/>
    <m/>
    <m/>
    <s v="10"/>
    <s v="CSF"/>
    <x v="13"/>
    <n v="5537224465"/>
    <n v="5420695487"/>
  </r>
  <r>
    <x v="14"/>
    <x v="0"/>
    <s v="01"/>
    <s v="01"/>
    <s v="01"/>
    <s v="001"/>
    <s v="010"/>
    <m/>
    <m/>
    <s v="10"/>
    <s v="CSF"/>
    <x v="14"/>
    <n v="1932152600"/>
    <n v="1930058737"/>
  </r>
  <r>
    <x v="15"/>
    <x v="0"/>
    <s v="01"/>
    <s v="01"/>
    <s v="01"/>
    <s v="001"/>
    <s v="012"/>
    <m/>
    <m/>
    <s v="10"/>
    <s v="CSF"/>
    <x v="15"/>
    <n v="45000000"/>
    <n v="35570334"/>
  </r>
  <r>
    <x v="16"/>
    <x v="0"/>
    <s v="01"/>
    <s v="01"/>
    <s v="02"/>
    <m/>
    <m/>
    <m/>
    <m/>
    <s v="10"/>
    <s v="CSF"/>
    <x v="16"/>
    <n v="24735000000"/>
    <n v="24255128677"/>
  </r>
  <r>
    <x v="17"/>
    <x v="0"/>
    <s v="01"/>
    <s v="01"/>
    <s v="02"/>
    <s v="001"/>
    <m/>
    <m/>
    <m/>
    <s v="10"/>
    <s v="CSF"/>
    <x v="17"/>
    <n v="7100000000"/>
    <n v="7058853658"/>
  </r>
  <r>
    <x v="18"/>
    <x v="0"/>
    <s v="01"/>
    <s v="01"/>
    <s v="02"/>
    <s v="002"/>
    <m/>
    <m/>
    <m/>
    <s v="10"/>
    <s v="CSF"/>
    <x v="18"/>
    <n v="5520000000"/>
    <n v="5151022658"/>
  </r>
  <r>
    <x v="19"/>
    <x v="0"/>
    <s v="01"/>
    <s v="01"/>
    <s v="02"/>
    <s v="003"/>
    <m/>
    <m/>
    <m/>
    <s v="10"/>
    <s v="CSF"/>
    <x v="19"/>
    <n v="5845000000"/>
    <n v="5842796361"/>
  </r>
  <r>
    <x v="20"/>
    <x v="0"/>
    <s v="01"/>
    <s v="01"/>
    <s v="02"/>
    <s v="004"/>
    <m/>
    <m/>
    <m/>
    <s v="10"/>
    <s v="CSF"/>
    <x v="20"/>
    <n v="2520000000"/>
    <n v="2508546200"/>
  </r>
  <r>
    <x v="21"/>
    <x v="0"/>
    <s v="01"/>
    <s v="01"/>
    <s v="02"/>
    <s v="005"/>
    <m/>
    <m/>
    <m/>
    <s v="10"/>
    <s v="CSF"/>
    <x v="21"/>
    <n v="570000000"/>
    <n v="556154500"/>
  </r>
  <r>
    <x v="22"/>
    <x v="0"/>
    <s v="01"/>
    <s v="01"/>
    <s v="02"/>
    <s v="006"/>
    <m/>
    <m/>
    <m/>
    <s v="10"/>
    <s v="CSF"/>
    <x v="22"/>
    <n v="1890000000"/>
    <n v="1881671800"/>
  </r>
  <r>
    <x v="23"/>
    <x v="0"/>
    <s v="01"/>
    <s v="01"/>
    <s v="02"/>
    <s v="007"/>
    <m/>
    <m/>
    <m/>
    <s v="10"/>
    <s v="CSF"/>
    <x v="23"/>
    <n v="320000000"/>
    <n v="314180300"/>
  </r>
  <r>
    <x v="24"/>
    <x v="0"/>
    <s v="01"/>
    <s v="01"/>
    <s v="02"/>
    <s v="008"/>
    <m/>
    <m/>
    <m/>
    <s v="10"/>
    <s v="CSF"/>
    <x v="24"/>
    <n v="320000000"/>
    <n v="314180300"/>
  </r>
  <r>
    <x v="25"/>
    <x v="0"/>
    <s v="01"/>
    <s v="01"/>
    <s v="02"/>
    <s v="009"/>
    <m/>
    <m/>
    <m/>
    <s v="10"/>
    <s v="CSF"/>
    <x v="25"/>
    <n v="650000000"/>
    <n v="627722900"/>
  </r>
  <r>
    <x v="26"/>
    <x v="0"/>
    <s v="01"/>
    <s v="01"/>
    <s v="03"/>
    <m/>
    <m/>
    <m/>
    <m/>
    <s v="10"/>
    <s v="CSF"/>
    <x v="26"/>
    <n v="6984000000"/>
    <n v="6892168875"/>
  </r>
  <r>
    <x v="27"/>
    <x v="0"/>
    <s v="01"/>
    <s v="01"/>
    <s v="03"/>
    <s v="001"/>
    <m/>
    <m/>
    <m/>
    <s v="10"/>
    <s v="CSF"/>
    <x v="27"/>
    <n v="3190236718"/>
    <n v="3123433113"/>
  </r>
  <r>
    <x v="28"/>
    <x v="0"/>
    <s v="01"/>
    <s v="01"/>
    <s v="03"/>
    <s v="001"/>
    <s v="001"/>
    <m/>
    <m/>
    <s v="10"/>
    <s v="CSF"/>
    <x v="28"/>
    <n v="2640236718"/>
    <n v="2578829230"/>
  </r>
  <r>
    <x v="29"/>
    <x v="0"/>
    <s v="01"/>
    <s v="01"/>
    <s v="03"/>
    <s v="001"/>
    <s v="002"/>
    <m/>
    <m/>
    <s v="10"/>
    <s v="CSF"/>
    <x v="29"/>
    <n v="315000000"/>
    <n v="309658932"/>
  </r>
  <r>
    <x v="30"/>
    <x v="0"/>
    <s v="01"/>
    <s v="01"/>
    <s v="03"/>
    <s v="001"/>
    <s v="003"/>
    <m/>
    <m/>
    <s v="10"/>
    <s v="CSF"/>
    <x v="30"/>
    <n v="235000000"/>
    <n v="234944951"/>
  </r>
  <r>
    <x v="31"/>
    <x v="0"/>
    <s v="01"/>
    <s v="01"/>
    <s v="03"/>
    <s v="002"/>
    <m/>
    <m/>
    <m/>
    <s v="10"/>
    <s v="CSF"/>
    <x v="31"/>
    <n v="2339263282"/>
    <n v="2332797927"/>
  </r>
  <r>
    <x v="32"/>
    <x v="0"/>
    <s v="01"/>
    <s v="01"/>
    <s v="03"/>
    <s v="005"/>
    <m/>
    <m/>
    <m/>
    <s v="10"/>
    <s v="CSF"/>
    <x v="32"/>
    <n v="4500000"/>
    <n v="4181412"/>
  </r>
  <r>
    <x v="33"/>
    <x v="0"/>
    <s v="01"/>
    <s v="01"/>
    <s v="03"/>
    <s v="013"/>
    <m/>
    <m/>
    <m/>
    <s v="10"/>
    <s v="CSF"/>
    <x v="33"/>
    <n v="30000000"/>
    <n v="29999994"/>
  </r>
  <r>
    <x v="34"/>
    <x v="0"/>
    <s v="01"/>
    <s v="01"/>
    <s v="03"/>
    <s v="016"/>
    <m/>
    <m/>
    <m/>
    <s v="10"/>
    <s v="CSF"/>
    <x v="34"/>
    <n v="835000000"/>
    <n v="826040682"/>
  </r>
  <r>
    <x v="35"/>
    <x v="0"/>
    <s v="01"/>
    <s v="01"/>
    <s v="03"/>
    <s v="030"/>
    <m/>
    <m/>
    <m/>
    <s v="10"/>
    <s v="CSF"/>
    <x v="35"/>
    <n v="585000000"/>
    <n v="575715747"/>
  </r>
  <r>
    <x v="36"/>
    <x v="0"/>
    <s v="02"/>
    <m/>
    <m/>
    <m/>
    <m/>
    <m/>
    <m/>
    <m/>
    <m/>
    <x v="36"/>
    <n v="42360592537.999992"/>
    <n v="39471747226.709999"/>
  </r>
  <r>
    <x v="37"/>
    <x v="0"/>
    <s v="02"/>
    <s v="02"/>
    <m/>
    <m/>
    <m/>
    <m/>
    <m/>
    <m/>
    <m/>
    <x v="37"/>
    <n v="42360592537.999992"/>
    <n v="39471747226.709999"/>
  </r>
  <r>
    <x v="38"/>
    <x v="0"/>
    <s v="02"/>
    <s v="02"/>
    <s v="01"/>
    <m/>
    <m/>
    <m/>
    <m/>
    <s v="10"/>
    <s v="CSF"/>
    <x v="38"/>
    <n v="1107415539.74"/>
    <n v="883234964.6500001"/>
  </r>
  <r>
    <x v="39"/>
    <x v="0"/>
    <s v="02"/>
    <s v="02"/>
    <s v="01"/>
    <s v="001"/>
    <m/>
    <m/>
    <m/>
    <s v="10"/>
    <s v="CSF"/>
    <x v="39"/>
    <n v="57432471"/>
    <n v="57426930.479999997"/>
  </r>
  <r>
    <x v="40"/>
    <x v="0"/>
    <s v="02"/>
    <s v="02"/>
    <s v="01"/>
    <s v="001"/>
    <s v="005"/>
    <m/>
    <m/>
    <n v="10"/>
    <s v="CSF"/>
    <x v="40"/>
    <n v="50000000"/>
    <n v="49994460.479999997"/>
  </r>
  <r>
    <x v="41"/>
    <x v="0"/>
    <s v="02"/>
    <s v="02"/>
    <s v="01"/>
    <s v="001"/>
    <s v="007"/>
    <m/>
    <m/>
    <n v="10"/>
    <s v="CSF"/>
    <x v="41"/>
    <n v="7432471"/>
    <n v="7432470"/>
  </r>
  <r>
    <x v="42"/>
    <x v="0"/>
    <s v="02"/>
    <s v="02"/>
    <s v="01"/>
    <s v="002"/>
    <m/>
    <m/>
    <m/>
    <s v="10"/>
    <s v="CSF"/>
    <x v="42"/>
    <n v="90650000"/>
    <n v="70647184.780000001"/>
  </r>
  <r>
    <x v="43"/>
    <x v="0"/>
    <s v="02"/>
    <s v="02"/>
    <s v="01"/>
    <s v="002"/>
    <s v="008"/>
    <m/>
    <m/>
    <n v="10"/>
    <s v="CSF"/>
    <x v="43"/>
    <n v="90650000"/>
    <n v="70647184.780000001"/>
  </r>
  <r>
    <x v="44"/>
    <x v="0"/>
    <s v="02"/>
    <s v="02"/>
    <s v="01"/>
    <s v="003"/>
    <m/>
    <m/>
    <m/>
    <s v="10"/>
    <s v="CSF"/>
    <x v="44"/>
    <n v="689829611"/>
    <n v="494606532.84000003"/>
  </r>
  <r>
    <x v="45"/>
    <x v="0"/>
    <s v="02"/>
    <s v="02"/>
    <s v="01"/>
    <s v="003"/>
    <s v="002"/>
    <m/>
    <m/>
    <n v="10"/>
    <s v="CSF"/>
    <x v="45"/>
    <n v="212959272"/>
    <n v="200021322.81999999"/>
  </r>
  <r>
    <x v="46"/>
    <x v="0"/>
    <s v="02"/>
    <s v="02"/>
    <s v="01"/>
    <s v="003"/>
    <s v="003"/>
    <m/>
    <m/>
    <n v="10"/>
    <s v="CSF"/>
    <x v="46"/>
    <n v="98064202"/>
    <n v="40652028"/>
  </r>
  <r>
    <x v="47"/>
    <x v="0"/>
    <s v="02"/>
    <s v="02"/>
    <s v="01"/>
    <s v="003"/>
    <s v="005"/>
    <m/>
    <m/>
    <n v="10"/>
    <s v="CSF"/>
    <x v="47"/>
    <n v="262000000"/>
    <n v="140553327"/>
  </r>
  <r>
    <x v="48"/>
    <x v="0"/>
    <s v="02"/>
    <s v="02"/>
    <s v="01"/>
    <s v="003"/>
    <s v="006"/>
    <m/>
    <m/>
    <n v="10"/>
    <s v="CSF"/>
    <x v="48"/>
    <n v="16000000"/>
    <n v="15995372.800000001"/>
  </r>
  <r>
    <x v="49"/>
    <x v="0"/>
    <s v="02"/>
    <s v="02"/>
    <s v="01"/>
    <s v="003"/>
    <s v="007"/>
    <m/>
    <m/>
    <n v="10"/>
    <s v="CSF"/>
    <x v="49"/>
    <n v="1200000"/>
    <n v="1200000"/>
  </r>
  <r>
    <x v="50"/>
    <x v="0"/>
    <s v="02"/>
    <s v="02"/>
    <s v="01"/>
    <s v="003"/>
    <s v="008"/>
    <m/>
    <m/>
    <n v="10"/>
    <s v="CSF"/>
    <x v="50"/>
    <n v="99606137"/>
    <n v="96184482.219999999"/>
  </r>
  <r>
    <x v="51"/>
    <x v="0"/>
    <s v="02"/>
    <s v="02"/>
    <s v="01"/>
    <s v="004"/>
    <m/>
    <m/>
    <m/>
    <s v="10"/>
    <s v="CSF"/>
    <x v="51"/>
    <n v="269503457.74000001"/>
    <n v="260554316.55000001"/>
  </r>
  <r>
    <x v="52"/>
    <x v="0"/>
    <s v="02"/>
    <s v="02"/>
    <s v="01"/>
    <s v="004"/>
    <s v="002"/>
    <m/>
    <m/>
    <n v="10"/>
    <s v="CSF"/>
    <x v="52"/>
    <n v="25000000"/>
    <n v="21362321"/>
  </r>
  <r>
    <x v="53"/>
    <x v="0"/>
    <s v="02"/>
    <s v="02"/>
    <s v="01"/>
    <s v="004"/>
    <s v="005"/>
    <m/>
    <m/>
    <n v="10"/>
    <s v="CSF"/>
    <x v="53"/>
    <n v="50000000"/>
    <n v="49997499"/>
  </r>
  <r>
    <x v="54"/>
    <x v="0"/>
    <s v="02"/>
    <s v="02"/>
    <s v="01"/>
    <s v="004"/>
    <s v="006"/>
    <m/>
    <m/>
    <n v="10"/>
    <s v="CSF"/>
    <x v="54"/>
    <n v="30000000"/>
    <n v="29999996.550000001"/>
  </r>
  <r>
    <x v="55"/>
    <x v="0"/>
    <s v="02"/>
    <s v="02"/>
    <s v="01"/>
    <s v="004"/>
    <s v="007"/>
    <m/>
    <m/>
    <n v="10"/>
    <s v="CSF"/>
    <x v="55"/>
    <n v="157093457.74000001"/>
    <n v="152534500"/>
  </r>
  <r>
    <x v="56"/>
    <x v="0"/>
    <s v="02"/>
    <s v="02"/>
    <s v="01"/>
    <s v="004"/>
    <s v="008"/>
    <m/>
    <m/>
    <n v="10"/>
    <s v="CSF"/>
    <x v="56"/>
    <n v="7410000"/>
    <n v="6660000"/>
  </r>
  <r>
    <x v="57"/>
    <x v="0"/>
    <s v="02"/>
    <s v="02"/>
    <s v="02"/>
    <m/>
    <m/>
    <m/>
    <m/>
    <s v="10"/>
    <s v="CSF"/>
    <x v="57"/>
    <n v="41253176998.259995"/>
    <n v="38588512262.059998"/>
  </r>
  <r>
    <x v="58"/>
    <x v="0"/>
    <s v="02"/>
    <s v="02"/>
    <s v="02"/>
    <s v="006"/>
    <m/>
    <m/>
    <m/>
    <s v="10"/>
    <s v="CSF"/>
    <x v="58"/>
    <n v="6503508162.1199999"/>
    <n v="6085555892.1000004"/>
  </r>
  <r>
    <x v="59"/>
    <x v="0"/>
    <s v="02"/>
    <s v="02"/>
    <s v="02"/>
    <s v="006"/>
    <s v="003"/>
    <m/>
    <m/>
    <n v="10"/>
    <s v="CSF"/>
    <x v="59"/>
    <n v="12000000"/>
    <n v="654895"/>
  </r>
  <r>
    <x v="60"/>
    <x v="0"/>
    <s v="02"/>
    <s v="02"/>
    <s v="02"/>
    <s v="006"/>
    <s v="004"/>
    <m/>
    <m/>
    <n v="10"/>
    <s v="CSF"/>
    <x v="60"/>
    <n v="3314264713.1199999"/>
    <n v="3140522303"/>
  </r>
  <r>
    <x v="61"/>
    <x v="0"/>
    <s v="02"/>
    <s v="02"/>
    <s v="02"/>
    <s v="006"/>
    <s v="005"/>
    <m/>
    <m/>
    <n v="10"/>
    <s v="CSF"/>
    <x v="61"/>
    <n v="99600000"/>
    <n v="99579990"/>
  </r>
  <r>
    <x v="62"/>
    <x v="0"/>
    <s v="02"/>
    <s v="02"/>
    <s v="02"/>
    <s v="006"/>
    <s v="006"/>
    <m/>
    <m/>
    <n v="10"/>
    <s v="CSF"/>
    <x v="62"/>
    <n v="0"/>
    <n v="0"/>
  </r>
  <r>
    <x v="63"/>
    <x v="0"/>
    <s v="02"/>
    <s v="02"/>
    <s v="02"/>
    <s v="006"/>
    <s v="008"/>
    <m/>
    <m/>
    <n v="10"/>
    <s v="CSF"/>
    <x v="63"/>
    <n v="1993367571"/>
    <n v="1986614186"/>
  </r>
  <r>
    <x v="64"/>
    <x v="0"/>
    <s v="02"/>
    <s v="02"/>
    <s v="02"/>
    <s v="006"/>
    <s v="009"/>
    <m/>
    <m/>
    <n v="10"/>
    <s v="CSF"/>
    <x v="64"/>
    <n v="1084275878"/>
    <n v="858184518.10000002"/>
  </r>
  <r>
    <x v="65"/>
    <x v="0"/>
    <s v="02"/>
    <s v="02"/>
    <s v="02"/>
    <s v="007"/>
    <m/>
    <m/>
    <m/>
    <s v="10"/>
    <s v="CSF"/>
    <x v="65"/>
    <n v="14098753391.290001"/>
    <n v="14078532824"/>
  </r>
  <r>
    <x v="66"/>
    <x v="0"/>
    <s v="02"/>
    <s v="02"/>
    <s v="02"/>
    <s v="007"/>
    <s v="001"/>
    <m/>
    <m/>
    <n v="10"/>
    <s v="CSF"/>
    <x v="66"/>
    <n v="60934308"/>
    <n v="45802458"/>
  </r>
  <r>
    <x v="67"/>
    <x v="0"/>
    <s v="02"/>
    <s v="02"/>
    <s v="02"/>
    <s v="007"/>
    <s v="002"/>
    <m/>
    <m/>
    <n v="10"/>
    <s v="CSF"/>
    <x v="67"/>
    <n v="14037819083.290001"/>
    <n v="14032730366"/>
  </r>
  <r>
    <x v="68"/>
    <x v="0"/>
    <s v="02"/>
    <s v="02"/>
    <s v="02"/>
    <s v="008"/>
    <m/>
    <m/>
    <m/>
    <s v="10"/>
    <s v="CSF"/>
    <x v="68"/>
    <n v="17909810621.849998"/>
    <n v="16730647973.99"/>
  </r>
  <r>
    <x v="69"/>
    <x v="0"/>
    <s v="02"/>
    <s v="02"/>
    <s v="02"/>
    <s v="008"/>
    <s v="002"/>
    <m/>
    <m/>
    <n v="10"/>
    <s v="CSF"/>
    <x v="69"/>
    <n v="34783517"/>
    <n v="28354180"/>
  </r>
  <r>
    <x v="70"/>
    <x v="0"/>
    <s v="02"/>
    <s v="02"/>
    <s v="02"/>
    <s v="008"/>
    <s v="003"/>
    <m/>
    <m/>
    <n v="10"/>
    <s v="CSF"/>
    <x v="70"/>
    <n v="7706759037"/>
    <n v="7696401297"/>
  </r>
  <r>
    <x v="71"/>
    <x v="0"/>
    <s v="02"/>
    <s v="02"/>
    <s v="02"/>
    <s v="008"/>
    <s v="004"/>
    <m/>
    <m/>
    <n v="10"/>
    <s v="CSF"/>
    <x v="71"/>
    <n v="3856493283.8499999"/>
    <n v="3103828264.1199999"/>
  </r>
  <r>
    <x v="72"/>
    <x v="0"/>
    <s v="02"/>
    <s v="02"/>
    <s v="02"/>
    <s v="008"/>
    <s v="005"/>
    <m/>
    <m/>
    <n v="10"/>
    <s v="CSF"/>
    <x v="72"/>
    <n v="5147772215"/>
    <n v="4823281132.3100004"/>
  </r>
  <r>
    <x v="73"/>
    <x v="0"/>
    <s v="02"/>
    <s v="02"/>
    <s v="02"/>
    <s v="008"/>
    <s v="007"/>
    <m/>
    <m/>
    <n v="10"/>
    <s v="CSF"/>
    <x v="73"/>
    <n v="1029652569"/>
    <n v="990365808.55999994"/>
  </r>
  <r>
    <x v="74"/>
    <x v="0"/>
    <s v="02"/>
    <s v="02"/>
    <s v="02"/>
    <s v="008"/>
    <s v="009"/>
    <m/>
    <m/>
    <n v="10"/>
    <s v="CSF"/>
    <x v="74"/>
    <n v="134350000"/>
    <n v="88417292"/>
  </r>
  <r>
    <x v="75"/>
    <x v="0"/>
    <s v="02"/>
    <s v="02"/>
    <s v="02"/>
    <s v="009"/>
    <m/>
    <m/>
    <m/>
    <s v="10"/>
    <s v="CSF"/>
    <x v="75"/>
    <n v="2183303224"/>
    <n v="1199453875.97"/>
  </r>
  <r>
    <x v="76"/>
    <x v="0"/>
    <s v="02"/>
    <s v="02"/>
    <s v="02"/>
    <s v="009"/>
    <s v="002"/>
    <m/>
    <m/>
    <n v="10"/>
    <s v="CSF"/>
    <x v="76"/>
    <n v="680000000"/>
    <n v="337930126"/>
  </r>
  <r>
    <x v="77"/>
    <x v="0"/>
    <s v="02"/>
    <s v="02"/>
    <s v="02"/>
    <s v="009"/>
    <s v="003"/>
    <m/>
    <m/>
    <n v="10"/>
    <s v="CSF"/>
    <x v="77"/>
    <n v="385517946"/>
    <n v="207846421"/>
  </r>
  <r>
    <x v="78"/>
    <x v="0"/>
    <s v="02"/>
    <s v="02"/>
    <s v="02"/>
    <s v="009"/>
    <s v="004"/>
    <m/>
    <m/>
    <n v="10"/>
    <s v="CSF"/>
    <x v="78"/>
    <n v="89350000"/>
    <n v="79242050.969999999"/>
  </r>
  <r>
    <x v="79"/>
    <x v="0"/>
    <s v="02"/>
    <s v="02"/>
    <s v="02"/>
    <s v="009"/>
    <s v="006"/>
    <m/>
    <m/>
    <n v="10"/>
    <s v="CSF"/>
    <x v="79"/>
    <n v="1001369778"/>
    <n v="547369778"/>
  </r>
  <r>
    <x v="80"/>
    <x v="0"/>
    <s v="02"/>
    <s v="02"/>
    <s v="02"/>
    <s v="009"/>
    <s v="007"/>
    <m/>
    <m/>
    <n v="10"/>
    <s v="CSF"/>
    <x v="80"/>
    <n v="27065500"/>
    <n v="27065500"/>
  </r>
  <r>
    <x v="81"/>
    <x v="0"/>
    <s v="02"/>
    <s v="02"/>
    <s v="02"/>
    <s v="010"/>
    <m/>
    <m/>
    <m/>
    <s v="10"/>
    <s v="CSF"/>
    <x v="81"/>
    <n v="557801599"/>
    <n v="494321696"/>
  </r>
  <r>
    <x v="82"/>
    <x v="0"/>
    <s v="03"/>
    <m/>
    <m/>
    <m/>
    <m/>
    <m/>
    <m/>
    <m/>
    <m/>
    <x v="82"/>
    <n v="6027094354513"/>
    <n v="5972312407670.5"/>
  </r>
  <r>
    <x v="83"/>
    <x v="0"/>
    <s v="03"/>
    <s v="03"/>
    <m/>
    <m/>
    <m/>
    <m/>
    <m/>
    <m/>
    <m/>
    <x v="83"/>
    <n v="6023745354513"/>
    <n v="5971458265138"/>
  </r>
  <r>
    <x v="84"/>
    <x v="0"/>
    <s v="03"/>
    <s v="03"/>
    <s v="01"/>
    <m/>
    <m/>
    <m/>
    <m/>
    <m/>
    <m/>
    <x v="84"/>
    <n v="6023745354513"/>
    <n v="5971458265138"/>
  </r>
  <r>
    <x v="85"/>
    <x v="0"/>
    <s v="03"/>
    <s v="03"/>
    <s v="01"/>
    <s v="082"/>
    <m/>
    <m/>
    <m/>
    <n v="54"/>
    <s v="CSF"/>
    <x v="85"/>
    <n v="2769805560913"/>
    <n v="2769074728365"/>
  </r>
  <r>
    <x v="85"/>
    <x v="0"/>
    <s v="03"/>
    <s v="03"/>
    <s v="01"/>
    <s v="082"/>
    <m/>
    <m/>
    <m/>
    <n v="54"/>
    <s v="CSF"/>
    <x v="86"/>
    <n v="3253939793600"/>
    <n v="3202383536773"/>
  </r>
  <r>
    <x v="86"/>
    <x v="0"/>
    <s v="03"/>
    <s v="03"/>
    <s v="01"/>
    <s v="999"/>
    <m/>
    <m/>
    <m/>
    <s v="10"/>
    <s v="CSF"/>
    <x v="87"/>
    <n v="0"/>
    <n v="0"/>
  </r>
  <r>
    <x v="87"/>
    <x v="0"/>
    <s v="03"/>
    <s v="04"/>
    <m/>
    <m/>
    <m/>
    <m/>
    <m/>
    <m/>
    <m/>
    <x v="88"/>
    <n v="752000000"/>
    <n v="292399630"/>
  </r>
  <r>
    <x v="88"/>
    <x v="0"/>
    <s v="03"/>
    <s v="04"/>
    <s v="02"/>
    <m/>
    <m/>
    <m/>
    <m/>
    <s v="10"/>
    <s v="CSF"/>
    <x v="89"/>
    <n v="752000000"/>
    <n v="292399630"/>
  </r>
  <r>
    <x v="89"/>
    <x v="0"/>
    <s v="03"/>
    <s v="04"/>
    <s v="02"/>
    <s v="012"/>
    <m/>
    <m/>
    <m/>
    <s v="10"/>
    <s v="CSF"/>
    <x v="90"/>
    <n v="752000000"/>
    <n v="292399630"/>
  </r>
  <r>
    <x v="90"/>
    <x v="0"/>
    <s v="03"/>
    <s v="04"/>
    <s v="02"/>
    <s v="012"/>
    <s v="001"/>
    <m/>
    <m/>
    <s v="10"/>
    <s v="CSF"/>
    <x v="91"/>
    <n v="402000000"/>
    <n v="207314596"/>
  </r>
  <r>
    <x v="91"/>
    <x v="0"/>
    <s v="03"/>
    <s v="04"/>
    <s v="02"/>
    <s v="012"/>
    <s v="002"/>
    <m/>
    <m/>
    <s v="10"/>
    <s v="CSF"/>
    <x v="92"/>
    <n v="314000000"/>
    <n v="49094160"/>
  </r>
  <r>
    <x v="92"/>
    <x v="0"/>
    <s v="03"/>
    <s v="04"/>
    <s v="02"/>
    <s v="025"/>
    <m/>
    <m/>
    <m/>
    <s v="10"/>
    <s v="CSF"/>
    <x v="93"/>
    <n v="36000000"/>
    <n v="35990874"/>
  </r>
  <r>
    <x v="93"/>
    <x v="0"/>
    <s v="03"/>
    <s v="10"/>
    <m/>
    <m/>
    <m/>
    <m/>
    <m/>
    <m/>
    <m/>
    <x v="94"/>
    <n v="2597000000"/>
    <n v="561742902.5"/>
  </r>
  <r>
    <x v="94"/>
    <x v="0"/>
    <s v="03"/>
    <s v="10"/>
    <s v="01"/>
    <m/>
    <m/>
    <m/>
    <m/>
    <s v="11"/>
    <s v="CSF"/>
    <x v="95"/>
    <n v="2597000000"/>
    <n v="561742902.5"/>
  </r>
  <r>
    <x v="95"/>
    <x v="0"/>
    <s v="03"/>
    <s v="10"/>
    <s v="01"/>
    <s v="001"/>
    <m/>
    <m/>
    <m/>
    <n v="10"/>
    <s v="CSF"/>
    <x v="96"/>
    <n v="2597000000"/>
    <n v="561742902.5"/>
  </r>
  <r>
    <x v="96"/>
    <x v="0"/>
    <s v="08"/>
    <m/>
    <m/>
    <m/>
    <m/>
    <m/>
    <m/>
    <m/>
    <m/>
    <x v="97"/>
    <n v="7197086800"/>
    <n v="7178372562.7799997"/>
  </r>
  <r>
    <x v="97"/>
    <x v="0"/>
    <s v="08"/>
    <s v="01"/>
    <m/>
    <m/>
    <m/>
    <m/>
    <m/>
    <m/>
    <m/>
    <x v="98"/>
    <n v="135000000"/>
    <n v="116285763.71000001"/>
  </r>
  <r>
    <x v="98"/>
    <x v="0"/>
    <s v="08"/>
    <s v="01"/>
    <s v="02"/>
    <m/>
    <m/>
    <m/>
    <m/>
    <s v="10"/>
    <s v="CSF"/>
    <x v="99"/>
    <n v="135000000"/>
    <n v="116285763.71000001"/>
  </r>
  <r>
    <x v="99"/>
    <x v="0"/>
    <s v="08"/>
    <s v="01"/>
    <s v="02"/>
    <s v="001"/>
    <m/>
    <m/>
    <m/>
    <s v="10"/>
    <s v="CSF"/>
    <x v="100"/>
    <n v="49978748"/>
    <n v="49978748"/>
  </r>
  <r>
    <x v="100"/>
    <x v="0"/>
    <s v="08"/>
    <s v="01"/>
    <s v="02"/>
    <s v="004"/>
    <m/>
    <m/>
    <m/>
    <s v="10"/>
    <s v="CSF"/>
    <x v="101"/>
    <n v="52000000"/>
    <n v="33743915.710000001"/>
  </r>
  <r>
    <x v="101"/>
    <x v="0"/>
    <s v="08"/>
    <s v="01"/>
    <s v="02"/>
    <s v="006"/>
    <m/>
    <m/>
    <m/>
    <s v="10"/>
    <s v="CSF"/>
    <x v="102"/>
    <n v="33021252"/>
    <n v="32563100"/>
  </r>
  <r>
    <x v="102"/>
    <x v="0"/>
    <s v="08"/>
    <s v="04"/>
    <m/>
    <m/>
    <m/>
    <m/>
    <m/>
    <m/>
    <m/>
    <x v="103"/>
    <n v="7062086800"/>
    <n v="7062086799.0699997"/>
  </r>
  <r>
    <x v="103"/>
    <x v="0"/>
    <s v="08"/>
    <s v="04"/>
    <s v="01"/>
    <m/>
    <m/>
    <m/>
    <m/>
    <n v="10"/>
    <s v="SSF"/>
    <x v="104"/>
    <n v="1322086800"/>
    <n v="1322086800"/>
  </r>
  <r>
    <x v="103"/>
    <x v="0"/>
    <s v="08"/>
    <s v="04"/>
    <s v="01"/>
    <m/>
    <m/>
    <m/>
    <m/>
    <s v="11"/>
    <s v="SSF"/>
    <x v="104"/>
    <n v="5740000000"/>
    <n v="5739999999.0699997"/>
  </r>
  <r>
    <x v="104"/>
    <x v="1"/>
    <m/>
    <m/>
    <m/>
    <m/>
    <m/>
    <m/>
    <m/>
    <m/>
    <m/>
    <x v="105"/>
    <n v="3066415372316"/>
    <n v="3042858939664.3203"/>
  </r>
  <r>
    <x v="105"/>
    <x v="1"/>
    <n v="4101"/>
    <m/>
    <m/>
    <m/>
    <m/>
    <m/>
    <m/>
    <m/>
    <m/>
    <x v="106"/>
    <n v="184499832863"/>
    <n v="184282827226"/>
  </r>
  <r>
    <x v="106"/>
    <x v="1"/>
    <n v="4101"/>
    <n v="1500"/>
    <m/>
    <m/>
    <m/>
    <m/>
    <m/>
    <m/>
    <m/>
    <x v="107"/>
    <n v="184499832863"/>
    <n v="184282827226"/>
  </r>
  <r>
    <x v="107"/>
    <x v="1"/>
    <s v="4101"/>
    <s v="1500"/>
    <s v="5"/>
    <m/>
    <m/>
    <m/>
    <m/>
    <m/>
    <m/>
    <x v="108"/>
    <n v="61470787771"/>
    <n v="61389314251"/>
  </r>
  <r>
    <x v="108"/>
    <x v="1"/>
    <s v="4101"/>
    <s v="1500"/>
    <s v="5"/>
    <s v="0"/>
    <s v="4101073"/>
    <m/>
    <m/>
    <n v="11"/>
    <s v="CSF"/>
    <x v="109"/>
    <n v="34759400000"/>
    <n v="34759400000"/>
  </r>
  <r>
    <x v="109"/>
    <x v="1"/>
    <s v="4101"/>
    <s v="1500"/>
    <s v="5"/>
    <s v="0"/>
    <s v="4101073"/>
    <s v="02"/>
    <m/>
    <n v="11"/>
    <s v="CSF"/>
    <x v="110"/>
    <n v="34759400000"/>
    <n v="34759400000"/>
  </r>
  <r>
    <x v="110"/>
    <x v="1"/>
    <s v="4101"/>
    <s v="1500"/>
    <s v="5"/>
    <s v="0"/>
    <s v="4101074"/>
    <m/>
    <m/>
    <n v="11"/>
    <s v="CSF"/>
    <x v="111"/>
    <n v="8799663116"/>
    <n v="8799663116"/>
  </r>
  <r>
    <x v="111"/>
    <x v="1"/>
    <s v="4101"/>
    <s v="1500"/>
    <n v="5"/>
    <s v="0"/>
    <s v="4101074"/>
    <s v="02"/>
    <m/>
    <n v="11"/>
    <s v="CSF"/>
    <x v="110"/>
    <n v="8799663116"/>
    <n v="8799663116"/>
  </r>
  <r>
    <x v="112"/>
    <x v="1"/>
    <s v="4101"/>
    <s v="1500"/>
    <s v="5"/>
    <s v="0"/>
    <s v="4101077"/>
    <m/>
    <m/>
    <n v="11"/>
    <s v="CSF"/>
    <x v="112"/>
    <n v="3094555494"/>
    <n v="3013081974"/>
  </r>
  <r>
    <x v="113"/>
    <x v="1"/>
    <s v="4101"/>
    <s v="1500"/>
    <s v="5"/>
    <s v="0"/>
    <s v="4101077"/>
    <s v="02"/>
    <m/>
    <n v="11"/>
    <s v="CSF"/>
    <x v="110"/>
    <n v="3094555494"/>
    <n v="3013081974"/>
  </r>
  <r>
    <x v="114"/>
    <x v="1"/>
    <s v="4101"/>
    <s v="1500"/>
    <s v="5"/>
    <s v="0"/>
    <s v="4101078"/>
    <m/>
    <m/>
    <n v="11"/>
    <s v="CSF"/>
    <x v="113"/>
    <n v="7027400000"/>
    <n v="7027400000"/>
  </r>
  <r>
    <x v="115"/>
    <x v="1"/>
    <s v="4101"/>
    <s v="1500"/>
    <s v="5"/>
    <s v="0"/>
    <s v="4101078"/>
    <s v="02"/>
    <m/>
    <n v="11"/>
    <s v="CSF"/>
    <x v="110"/>
    <n v="7027400000"/>
    <n v="7027400000"/>
  </r>
  <r>
    <x v="116"/>
    <x v="1"/>
    <s v="4101"/>
    <s v="1500"/>
    <s v="5"/>
    <s v="0"/>
    <s v="4101080"/>
    <m/>
    <m/>
    <n v="11"/>
    <s v="CSF"/>
    <x v="114"/>
    <n v="5196200000"/>
    <n v="5196200000"/>
  </r>
  <r>
    <x v="117"/>
    <x v="1"/>
    <s v="4101"/>
    <s v="1500"/>
    <n v="5"/>
    <s v="0"/>
    <s v="4101080"/>
    <s v="02"/>
    <m/>
    <n v="11"/>
    <s v="CSF"/>
    <x v="110"/>
    <n v="5196200000"/>
    <n v="5196200000"/>
  </r>
  <r>
    <x v="118"/>
    <x v="1"/>
    <s v="4101"/>
    <s v="1500"/>
    <s v="5"/>
    <s v="0"/>
    <s v="4101081"/>
    <m/>
    <m/>
    <n v="11"/>
    <s v="CSF"/>
    <x v="115"/>
    <n v="2593569161"/>
    <n v="2593569161"/>
  </r>
  <r>
    <x v="119"/>
    <x v="1"/>
    <s v="4101"/>
    <s v="1500"/>
    <s v="5"/>
    <s v="0"/>
    <s v="4101081"/>
    <s v="02"/>
    <m/>
    <n v="11"/>
    <s v="CSF"/>
    <x v="110"/>
    <n v="2593569161"/>
    <n v="2593569161"/>
  </r>
  <r>
    <x v="120"/>
    <x v="1"/>
    <s v="4101"/>
    <s v="1500"/>
    <s v="6"/>
    <m/>
    <m/>
    <m/>
    <m/>
    <m/>
    <m/>
    <x v="116"/>
    <n v="123029045092"/>
    <n v="122893512975"/>
  </r>
  <r>
    <x v="121"/>
    <x v="1"/>
    <s v="4101"/>
    <s v="1500"/>
    <s v="6"/>
    <s v="0"/>
    <s v="4101073"/>
    <m/>
    <m/>
    <s v="11"/>
    <s v="CSF"/>
    <x v="109"/>
    <n v="20350449949"/>
    <n v="20262720109"/>
  </r>
  <r>
    <x v="122"/>
    <x v="1"/>
    <s v="4101"/>
    <s v="1500"/>
    <s v="6"/>
    <s v="0"/>
    <s v="4101073"/>
    <s v="02"/>
    <m/>
    <s v="11"/>
    <s v="CSF"/>
    <x v="110"/>
    <n v="20350449949"/>
    <n v="20262720109"/>
  </r>
  <r>
    <x v="123"/>
    <x v="1"/>
    <s v="4101"/>
    <s v="1500"/>
    <s v="6"/>
    <s v="0"/>
    <s v="4101074"/>
    <m/>
    <m/>
    <s v="11"/>
    <s v="CSF"/>
    <x v="111"/>
    <n v="27327887861"/>
    <n v="27327887861"/>
  </r>
  <r>
    <x v="124"/>
    <x v="1"/>
    <s v="4101"/>
    <s v="1500"/>
    <s v="6"/>
    <s v="0"/>
    <s v="4101074"/>
    <s v="02"/>
    <m/>
    <s v="11"/>
    <s v="CSF"/>
    <x v="110"/>
    <n v="27327887861"/>
    <n v="27327887861"/>
  </r>
  <r>
    <x v="125"/>
    <x v="1"/>
    <s v="4101"/>
    <s v="1500"/>
    <s v="6"/>
    <s v="0"/>
    <s v="4101077"/>
    <m/>
    <m/>
    <s v="11"/>
    <s v="CSF"/>
    <x v="112"/>
    <n v="17722088000"/>
    <n v="17722088000"/>
  </r>
  <r>
    <x v="126"/>
    <x v="1"/>
    <s v="4101"/>
    <s v="1500"/>
    <s v="6"/>
    <s v="0"/>
    <s v="4101077"/>
    <s v="02"/>
    <m/>
    <s v="11"/>
    <s v="CSF"/>
    <x v="110"/>
    <n v="17722088000"/>
    <n v="17722088000"/>
  </r>
  <r>
    <x v="127"/>
    <x v="1"/>
    <s v="4101"/>
    <s v="1500"/>
    <s v="6"/>
    <s v="0"/>
    <s v="4101078"/>
    <m/>
    <m/>
    <s v="11"/>
    <s v="CSF"/>
    <x v="113"/>
    <n v="16142813942"/>
    <n v="16098088473"/>
  </r>
  <r>
    <x v="128"/>
    <x v="1"/>
    <s v="4101"/>
    <s v="1500"/>
    <s v="6"/>
    <s v="0"/>
    <s v="4101078"/>
    <s v="02"/>
    <m/>
    <s v="11"/>
    <s v="CSF"/>
    <x v="110"/>
    <n v="16142813942"/>
    <n v="16098088473"/>
  </r>
  <r>
    <x v="129"/>
    <x v="1"/>
    <s v="4101"/>
    <s v="1500"/>
    <s v="6"/>
    <s v="0"/>
    <s v="4101080"/>
    <m/>
    <m/>
    <s v="11"/>
    <s v="CSF"/>
    <x v="114"/>
    <n v="25416707146"/>
    <n v="25413630338"/>
  </r>
  <r>
    <x v="130"/>
    <x v="1"/>
    <s v="4101"/>
    <s v="1500"/>
    <s v="6"/>
    <s v="0"/>
    <s v="4101080"/>
    <s v="02"/>
    <m/>
    <s v="11"/>
    <s v="CSF"/>
    <x v="110"/>
    <n v="25416707146"/>
    <n v="25413630338"/>
  </r>
  <r>
    <x v="131"/>
    <x v="1"/>
    <s v="4101"/>
    <s v="1500"/>
    <s v="6"/>
    <s v="0"/>
    <s v="4101081"/>
    <m/>
    <m/>
    <s v="11"/>
    <s v="CSF"/>
    <x v="115"/>
    <n v="16069098194"/>
    <n v="16069098194"/>
  </r>
  <r>
    <x v="132"/>
    <x v="1"/>
    <s v="4101"/>
    <s v="1500"/>
    <s v="6"/>
    <s v="0"/>
    <s v="4101081"/>
    <s v="02"/>
    <m/>
    <s v="11"/>
    <s v="CSF"/>
    <x v="110"/>
    <n v="4435143756"/>
    <n v="4435143756"/>
  </r>
  <r>
    <x v="133"/>
    <x v="1"/>
    <s v="4101"/>
    <s v="1500"/>
    <s v="6"/>
    <s v="0"/>
    <s v="4101081"/>
    <s v="03"/>
    <m/>
    <s v="11"/>
    <s v="CSF"/>
    <x v="82"/>
    <n v="11633954438"/>
    <n v="11633954438"/>
  </r>
  <r>
    <x v="134"/>
    <x v="1"/>
    <n v="4103"/>
    <m/>
    <m/>
    <m/>
    <m/>
    <m/>
    <m/>
    <m/>
    <m/>
    <x v="117"/>
    <n v="2878688990987"/>
    <n v="2855376339972.7202"/>
  </r>
  <r>
    <x v="135"/>
    <x v="1"/>
    <n v="4103"/>
    <n v="1500"/>
    <m/>
    <m/>
    <m/>
    <m/>
    <m/>
    <m/>
    <m/>
    <x v="107"/>
    <n v="2878688990987"/>
    <n v="2855376339972.7202"/>
  </r>
  <r>
    <x v="136"/>
    <x v="1"/>
    <s v="4103"/>
    <s v="1500"/>
    <s v="12"/>
    <m/>
    <m/>
    <m/>
    <m/>
    <m/>
    <m/>
    <x v="118"/>
    <n v="2212751517460"/>
    <n v="2207724506514.52"/>
  </r>
  <r>
    <x v="137"/>
    <x v="1"/>
    <s v="4103"/>
    <s v="1500"/>
    <s v="12"/>
    <s v="0"/>
    <s v="4103006"/>
    <m/>
    <m/>
    <m/>
    <m/>
    <x v="119"/>
    <n v="2207640210442"/>
    <n v="2202613199496.52"/>
  </r>
  <r>
    <x v="138"/>
    <x v="1"/>
    <s v="4103"/>
    <s v="1500"/>
    <s v="12"/>
    <s v="0"/>
    <s v="4103006"/>
    <s v="02"/>
    <m/>
    <n v="10"/>
    <s v="CSF"/>
    <x v="110"/>
    <n v="83368265224.460022"/>
    <n v="78364853796.690002"/>
  </r>
  <r>
    <x v="139"/>
    <x v="1"/>
    <s v="4103"/>
    <s v="1500"/>
    <s v="12"/>
    <s v="0"/>
    <s v="4103006"/>
    <s v="03"/>
    <m/>
    <n v="10"/>
    <s v="CSF"/>
    <x v="82"/>
    <n v="149428434192.53998"/>
    <n v="149420605041.82999"/>
  </r>
  <r>
    <x v="139"/>
    <x v="1"/>
    <s v="4103"/>
    <s v="1500"/>
    <s v="12"/>
    <s v="0"/>
    <s v="4103006"/>
    <s v="03"/>
    <m/>
    <s v="11"/>
    <s v="CSF"/>
    <x v="82"/>
    <n v="1974843511025"/>
    <n v="1974827740658"/>
  </r>
  <r>
    <x v="140"/>
    <x v="1"/>
    <s v="4103"/>
    <s v="1500"/>
    <s v="12"/>
    <s v="0"/>
    <n v="4103009"/>
    <m/>
    <m/>
    <n v="10"/>
    <s v="CSF"/>
    <x v="120"/>
    <n v="5111307018"/>
    <n v="5111307018"/>
  </r>
  <r>
    <x v="141"/>
    <x v="1"/>
    <s v="4103"/>
    <s v="1500"/>
    <s v="12"/>
    <s v="0"/>
    <n v="4103009"/>
    <s v="02"/>
    <m/>
    <n v="10"/>
    <s v="CSF"/>
    <x v="110"/>
    <n v="5111307018"/>
    <n v="5111307018"/>
  </r>
  <r>
    <x v="142"/>
    <x v="1"/>
    <s v="4103"/>
    <s v="1500"/>
    <s v="13"/>
    <m/>
    <m/>
    <m/>
    <m/>
    <m/>
    <m/>
    <x v="121"/>
    <n v="27257211909"/>
    <n v="27226168568"/>
  </r>
  <r>
    <x v="143"/>
    <x v="1"/>
    <s v="4103"/>
    <s v="1500"/>
    <s v="13"/>
    <s v="0"/>
    <s v="4103051"/>
    <m/>
    <m/>
    <n v="11"/>
    <s v="CSF"/>
    <x v="122"/>
    <n v="7277170595"/>
    <n v="7275903860"/>
  </r>
  <r>
    <x v="144"/>
    <x v="1"/>
    <s v="4103"/>
    <s v="1500"/>
    <s v="13"/>
    <s v="0"/>
    <s v="4103051"/>
    <s v="02"/>
    <m/>
    <n v="11"/>
    <s v="CSF"/>
    <x v="110"/>
    <n v="7277170595"/>
    <n v="7275903860"/>
  </r>
  <r>
    <x v="145"/>
    <x v="1"/>
    <s v="4103"/>
    <s v="1500"/>
    <s v="13"/>
    <s v="0"/>
    <s v="4103053"/>
    <m/>
    <m/>
    <n v="11"/>
    <s v="CSF"/>
    <x v="123"/>
    <n v="4421682840"/>
    <n v="4421682840"/>
  </r>
  <r>
    <x v="146"/>
    <x v="1"/>
    <s v="4103"/>
    <s v="1500"/>
    <s v="13"/>
    <s v="0"/>
    <s v="4103053"/>
    <s v="02"/>
    <m/>
    <n v="11"/>
    <s v="CSF"/>
    <x v="110"/>
    <n v="4421682840"/>
    <n v="4421682840"/>
  </r>
  <r>
    <x v="147"/>
    <x v="1"/>
    <s v="4103"/>
    <s v="1500"/>
    <s v="13"/>
    <s v="0"/>
    <s v="4103054"/>
    <m/>
    <m/>
    <n v="11"/>
    <s v="CSF"/>
    <x v="124"/>
    <n v="2171371771"/>
    <n v="2141595165"/>
  </r>
  <r>
    <x v="148"/>
    <x v="1"/>
    <s v="4103"/>
    <s v="1500"/>
    <s v="13"/>
    <s v="0"/>
    <s v="4103054"/>
    <s v="02"/>
    <m/>
    <n v="11"/>
    <s v="CSF"/>
    <x v="110"/>
    <n v="2171371771"/>
    <n v="2141595165"/>
  </r>
  <r>
    <x v="149"/>
    <x v="1"/>
    <s v="4103"/>
    <s v="1500"/>
    <s v="13"/>
    <s v="0"/>
    <s v="4103055"/>
    <m/>
    <m/>
    <n v="11"/>
    <s v="CSF"/>
    <x v="125"/>
    <n v="13386986703"/>
    <n v="13386986703"/>
  </r>
  <r>
    <x v="150"/>
    <x v="1"/>
    <s v="4103"/>
    <s v="1500"/>
    <s v="13"/>
    <s v="0"/>
    <s v="4103055"/>
    <s v="02"/>
    <m/>
    <n v="11"/>
    <s v="CSF"/>
    <x v="110"/>
    <n v="13386986703"/>
    <n v="13386986703"/>
  </r>
  <r>
    <x v="151"/>
    <x v="1"/>
    <s v="4103"/>
    <s v="1500"/>
    <s v="14"/>
    <m/>
    <m/>
    <m/>
    <m/>
    <m/>
    <m/>
    <x v="126"/>
    <n v="300237981384"/>
    <n v="290253220820.78998"/>
  </r>
  <r>
    <x v="152"/>
    <x v="1"/>
    <s v="4103"/>
    <s v="1500"/>
    <s v="14"/>
    <s v="0"/>
    <s v="4103016"/>
    <m/>
    <m/>
    <m/>
    <m/>
    <x v="127"/>
    <n v="287596400551.78998"/>
    <n v="278879057624.78998"/>
  </r>
  <r>
    <x v="153"/>
    <x v="1"/>
    <s v="4103"/>
    <s v="1500"/>
    <s v="14"/>
    <s v="0"/>
    <s v="4103016"/>
    <s v="02"/>
    <m/>
    <n v="11"/>
    <s v="CSF"/>
    <x v="110"/>
    <n v="14374616956.139954"/>
    <n v="13503315102.290001"/>
  </r>
  <r>
    <x v="154"/>
    <x v="1"/>
    <s v="4103"/>
    <s v="1500"/>
    <s v="14"/>
    <s v="0"/>
    <s v="4103016"/>
    <s v="03"/>
    <m/>
    <s v="10"/>
    <s v="CSF"/>
    <x v="82"/>
    <n v="0"/>
    <n v="0"/>
  </r>
  <r>
    <x v="154"/>
    <x v="1"/>
    <s v="4103"/>
    <s v="1500"/>
    <s v="14"/>
    <s v="0"/>
    <s v="4103016"/>
    <s v="03"/>
    <m/>
    <n v="11"/>
    <s v="CSF"/>
    <x v="82"/>
    <n v="273221783595.65002"/>
    <n v="265375742522.5"/>
  </r>
  <r>
    <x v="155"/>
    <x v="1"/>
    <s v="4103"/>
    <s v="1500"/>
    <s v="14"/>
    <s v="0"/>
    <s v="4103048"/>
    <m/>
    <m/>
    <n v="11"/>
    <s v="CSF"/>
    <x v="128"/>
    <n v="12641580832.209999"/>
    <n v="11374163196"/>
  </r>
  <r>
    <x v="156"/>
    <x v="1"/>
    <s v="4103"/>
    <s v="1500"/>
    <s v="14"/>
    <s v="0"/>
    <s v="4103048"/>
    <s v="02"/>
    <m/>
    <n v="11"/>
    <s v="CSF"/>
    <x v="110"/>
    <n v="12641580832.209999"/>
    <n v="11374163196"/>
  </r>
  <r>
    <x v="157"/>
    <x v="1"/>
    <s v="4103"/>
    <s v="1500"/>
    <s v="16"/>
    <m/>
    <m/>
    <m/>
    <m/>
    <m/>
    <m/>
    <x v="129"/>
    <n v="1000000000"/>
    <n v="1000000000"/>
  </r>
  <r>
    <x v="158"/>
    <x v="1"/>
    <s v="4103"/>
    <s v="1500"/>
    <s v="16"/>
    <s v="0"/>
    <s v="4103056"/>
    <m/>
    <m/>
    <s v="11"/>
    <s v="CSF"/>
    <x v="130"/>
    <n v="730000000"/>
    <n v="730000000"/>
  </r>
  <r>
    <x v="159"/>
    <x v="1"/>
    <s v="4103"/>
    <s v="1500"/>
    <s v="16"/>
    <s v="0"/>
    <s v="4103056"/>
    <s v="02"/>
    <m/>
    <s v="11"/>
    <s v="CSF"/>
    <x v="110"/>
    <n v="730000000"/>
    <n v="730000000"/>
  </r>
  <r>
    <x v="160"/>
    <x v="1"/>
    <s v="4103"/>
    <s v="1500"/>
    <s v="16"/>
    <s v="0"/>
    <s v="4103060"/>
    <m/>
    <m/>
    <s v="11"/>
    <s v="CSF"/>
    <x v="131"/>
    <n v="270000000"/>
    <n v="270000000"/>
  </r>
  <r>
    <x v="161"/>
    <x v="1"/>
    <s v="4103"/>
    <s v="1500"/>
    <s v="16"/>
    <s v="0"/>
    <s v="4103060"/>
    <s v="02"/>
    <m/>
    <s v="11"/>
    <s v="CSF"/>
    <x v="110"/>
    <n v="270000000"/>
    <n v="270000000"/>
  </r>
  <r>
    <x v="162"/>
    <x v="1"/>
    <s v="4103"/>
    <s v="1500"/>
    <s v="17"/>
    <m/>
    <m/>
    <m/>
    <m/>
    <m/>
    <m/>
    <x v="132"/>
    <n v="46109552424"/>
    <n v="45834968067"/>
  </r>
  <r>
    <x v="163"/>
    <x v="1"/>
    <s v="4103"/>
    <s v="1500"/>
    <s v="17"/>
    <s v="0"/>
    <s v="4103005"/>
    <m/>
    <m/>
    <n v="11"/>
    <s v="CSF"/>
    <x v="133"/>
    <n v="18763441683"/>
    <n v="18671608180"/>
  </r>
  <r>
    <x v="164"/>
    <x v="1"/>
    <s v="4103"/>
    <s v="1500"/>
    <s v="17"/>
    <s v="0"/>
    <s v="4103005"/>
    <s v="02"/>
    <m/>
    <n v="11"/>
    <s v="CSF"/>
    <x v="110"/>
    <n v="18763441683"/>
    <n v="18671608180"/>
  </r>
  <r>
    <x v="165"/>
    <x v="1"/>
    <s v="4103"/>
    <s v="1500"/>
    <s v="17"/>
    <s v="0"/>
    <s v="4103057"/>
    <m/>
    <m/>
    <n v="11"/>
    <s v="CSF"/>
    <x v="134"/>
    <n v="23451451799"/>
    <n v="23268700945"/>
  </r>
  <r>
    <x v="166"/>
    <x v="1"/>
    <s v="4103"/>
    <s v="1500"/>
    <s v="17"/>
    <s v="0"/>
    <s v="4103057"/>
    <s v="03"/>
    <m/>
    <n v="11"/>
    <s v="CSF"/>
    <x v="82"/>
    <n v="23451451799"/>
    <n v="23268700945"/>
  </r>
  <r>
    <x v="167"/>
    <x v="1"/>
    <s v="4103"/>
    <s v="1500"/>
    <s v="17"/>
    <s v="0"/>
    <s v="4103058"/>
    <m/>
    <m/>
    <n v="11"/>
    <s v="CSF"/>
    <x v="135"/>
    <n v="2919317645"/>
    <n v="2919317645"/>
  </r>
  <r>
    <x v="168"/>
    <x v="1"/>
    <s v="4103"/>
    <s v="1500"/>
    <s v="17"/>
    <s v="0"/>
    <s v="4103058"/>
    <s v="02"/>
    <m/>
    <n v="11"/>
    <s v="CSF"/>
    <x v="110"/>
    <n v="2919317645"/>
    <n v="2919317645"/>
  </r>
  <r>
    <x v="169"/>
    <x v="1"/>
    <s v="4103"/>
    <s v="1500"/>
    <s v="17"/>
    <s v="0"/>
    <s v="4103059"/>
    <m/>
    <m/>
    <n v="11"/>
    <s v="CSF"/>
    <x v="136"/>
    <n v="975341297"/>
    <n v="975341297"/>
  </r>
  <r>
    <x v="170"/>
    <x v="1"/>
    <s v="4103"/>
    <s v="1500"/>
    <s v="17"/>
    <s v="0"/>
    <s v="4103059"/>
    <s v="02"/>
    <m/>
    <n v="11"/>
    <s v="CSF"/>
    <x v="110"/>
    <n v="975341297"/>
    <n v="975341297"/>
  </r>
  <r>
    <x v="171"/>
    <x v="1"/>
    <s v="4103"/>
    <s v="1500"/>
    <n v="18"/>
    <m/>
    <m/>
    <m/>
    <m/>
    <m/>
    <m/>
    <x v="137"/>
    <n v="7730254730"/>
    <n v="7242206992.4099998"/>
  </r>
  <r>
    <x v="172"/>
    <x v="1"/>
    <s v="4103"/>
    <s v="1500"/>
    <n v="18"/>
    <s v="0"/>
    <n v="4103050"/>
    <m/>
    <m/>
    <n v="11"/>
    <s v="CSF"/>
    <x v="138"/>
    <n v="7730254730"/>
    <n v="7242206992.4099998"/>
  </r>
  <r>
    <x v="173"/>
    <x v="1"/>
    <s v="4103"/>
    <s v="1500"/>
    <n v="18"/>
    <s v="0"/>
    <n v="4103050"/>
    <s v="02"/>
    <m/>
    <n v="11"/>
    <s v="CSF"/>
    <x v="110"/>
    <n v="7730254730"/>
    <n v="7242206992.4099998"/>
  </r>
  <r>
    <x v="174"/>
    <x v="1"/>
    <s v="4103"/>
    <s v="1500"/>
    <n v="19"/>
    <m/>
    <m/>
    <m/>
    <m/>
    <m/>
    <m/>
    <x v="139"/>
    <n v="9421340803"/>
    <n v="9387420694"/>
  </r>
  <r>
    <x v="175"/>
    <x v="1"/>
    <s v="4103"/>
    <s v="1500"/>
    <n v="19"/>
    <s v="0"/>
    <n v="4103049"/>
    <m/>
    <m/>
    <n v="11"/>
    <s v="CSF"/>
    <x v="140"/>
    <n v="227159834"/>
    <n v="223329434"/>
  </r>
  <r>
    <x v="176"/>
    <x v="1"/>
    <s v="4103"/>
    <s v="1500"/>
    <n v="19"/>
    <s v="0"/>
    <n v="4103049"/>
    <s v="02"/>
    <m/>
    <n v="11"/>
    <s v="CSF"/>
    <x v="110"/>
    <n v="227159834"/>
    <n v="223329434"/>
  </r>
  <r>
    <x v="177"/>
    <x v="1"/>
    <s v="4103"/>
    <s v="1500"/>
    <n v="19"/>
    <s v="0"/>
    <n v="4103052"/>
    <m/>
    <m/>
    <n v="11"/>
    <s v="CSF"/>
    <x v="141"/>
    <n v="9194180969"/>
    <n v="9164091260"/>
  </r>
  <r>
    <x v="178"/>
    <x v="1"/>
    <s v="4103"/>
    <s v="1500"/>
    <n v="19"/>
    <s v="0"/>
    <n v="4103052"/>
    <s v="02"/>
    <m/>
    <n v="11"/>
    <s v="CSF"/>
    <x v="110"/>
    <n v="9194180969"/>
    <n v="9164091260"/>
  </r>
  <r>
    <x v="179"/>
    <x v="1"/>
    <s v="4103"/>
    <s v="1500"/>
    <n v="19"/>
    <s v="0"/>
    <n v="4103060"/>
    <m/>
    <m/>
    <n v="11"/>
    <s v="CSF"/>
    <x v="131"/>
    <n v="0"/>
    <n v="0"/>
  </r>
  <r>
    <x v="180"/>
    <x v="1"/>
    <s v="4103"/>
    <s v="1500"/>
    <n v="19"/>
    <s v="0"/>
    <n v="4103060"/>
    <s v="02"/>
    <m/>
    <n v="11"/>
    <s v="CSF"/>
    <x v="110"/>
    <n v="0"/>
    <n v="0"/>
  </r>
  <r>
    <x v="181"/>
    <x v="1"/>
    <s v="4103"/>
    <s v="1500"/>
    <n v="20"/>
    <m/>
    <m/>
    <m/>
    <m/>
    <m/>
    <m/>
    <x v="142"/>
    <n v="274181132277"/>
    <n v="266707848316"/>
  </r>
  <r>
    <x v="182"/>
    <x v="1"/>
    <s v="4103"/>
    <s v="1500"/>
    <n v="20"/>
    <s v="0"/>
    <n v="4103061"/>
    <m/>
    <m/>
    <n v="11"/>
    <s v="CSF"/>
    <x v="143"/>
    <n v="274181132277"/>
    <n v="266707848316"/>
  </r>
  <r>
    <x v="183"/>
    <x v="1"/>
    <s v="4103"/>
    <s v="1500"/>
    <n v="20"/>
    <s v="0"/>
    <n v="4103061"/>
    <s v="02"/>
    <m/>
    <n v="11"/>
    <s v="CSF"/>
    <x v="110"/>
    <n v="14059907277"/>
    <n v="9758448316"/>
  </r>
  <r>
    <x v="184"/>
    <x v="1"/>
    <s v="4103"/>
    <s v="1500"/>
    <n v="20"/>
    <s v="0"/>
    <n v="4103061"/>
    <s v="03"/>
    <m/>
    <n v="11"/>
    <s v="CSF"/>
    <x v="82"/>
    <n v="260121225000"/>
    <n v="256949400000"/>
  </r>
  <r>
    <x v="185"/>
    <x v="1"/>
    <s v="4103"/>
    <s v="1500"/>
    <n v="23"/>
    <m/>
    <m/>
    <m/>
    <m/>
    <m/>
    <m/>
    <x v="144"/>
    <n v="0"/>
    <n v="0"/>
  </r>
  <r>
    <x v="186"/>
    <x v="1"/>
    <s v="4103"/>
    <s v="1500"/>
    <n v="23"/>
    <m/>
    <m/>
    <m/>
    <m/>
    <n v="11"/>
    <s v="CSF"/>
    <x v="144"/>
    <n v="0"/>
    <n v="0"/>
  </r>
  <r>
    <x v="187"/>
    <x v="1"/>
    <s v="4103"/>
    <s v="1500"/>
    <n v="23"/>
    <m/>
    <m/>
    <m/>
    <m/>
    <n v="11"/>
    <s v="CSF"/>
    <x v="145"/>
    <n v="0"/>
    <m/>
  </r>
  <r>
    <x v="188"/>
    <x v="1"/>
    <n v="4199"/>
    <m/>
    <m/>
    <m/>
    <m/>
    <m/>
    <m/>
    <m/>
    <m/>
    <x v="146"/>
    <n v="3226548466"/>
    <n v="3199772465.5999999"/>
  </r>
  <r>
    <x v="189"/>
    <x v="1"/>
    <n v="4199"/>
    <n v="1500"/>
    <m/>
    <m/>
    <m/>
    <m/>
    <m/>
    <m/>
    <m/>
    <x v="107"/>
    <n v="3226548466"/>
    <n v="3199772465.5999999"/>
  </r>
  <r>
    <x v="190"/>
    <x v="1"/>
    <s v="4199"/>
    <s v="1500"/>
    <s v="2"/>
    <m/>
    <m/>
    <m/>
    <m/>
    <m/>
    <m/>
    <x v="147"/>
    <n v="3226548466"/>
    <n v="3199772465.5999999"/>
  </r>
  <r>
    <x v="191"/>
    <x v="1"/>
    <s v="4199"/>
    <s v="1500"/>
    <s v="2"/>
    <s v="0"/>
    <s v="4199062"/>
    <m/>
    <m/>
    <n v="11"/>
    <s v="CSF"/>
    <x v="148"/>
    <n v="3226548466"/>
    <n v="3199772465.5999999"/>
  </r>
  <r>
    <x v="192"/>
    <x v="1"/>
    <s v="4199"/>
    <s v="1500"/>
    <s v="2"/>
    <s v="0"/>
    <s v="4199062"/>
    <s v="02"/>
    <m/>
    <n v="11"/>
    <s v="CSF"/>
    <x v="110"/>
    <n v="3226548466"/>
    <n v="3199772465.5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">
  <r>
    <x v="0"/>
    <s v="A"/>
    <m/>
    <m/>
    <m/>
    <m/>
    <m/>
    <m/>
    <m/>
    <m/>
    <x v="0"/>
    <n v="8009652162782"/>
    <n v="7874569863975.9404"/>
  </r>
  <r>
    <x v="1"/>
    <s v="A"/>
    <s v="01"/>
    <m/>
    <m/>
    <m/>
    <m/>
    <m/>
    <m/>
    <m/>
    <x v="1"/>
    <n v="105148000000"/>
    <n v="101860328978"/>
  </r>
  <r>
    <x v="2"/>
    <s v="A"/>
    <s v="01"/>
    <s v="01"/>
    <m/>
    <m/>
    <m/>
    <m/>
    <m/>
    <m/>
    <x v="2"/>
    <n v="105148000000"/>
    <n v="101860328978"/>
  </r>
  <r>
    <x v="3"/>
    <s v="A"/>
    <s v="01"/>
    <s v="01"/>
    <s v="01"/>
    <m/>
    <m/>
    <m/>
    <s v="10"/>
    <s v="CSF"/>
    <x v="3"/>
    <n v="68837000000"/>
    <n v="68411268047"/>
  </r>
  <r>
    <x v="4"/>
    <s v="A"/>
    <s v="01"/>
    <s v="01"/>
    <s v="01"/>
    <s v="001"/>
    <m/>
    <m/>
    <s v="10"/>
    <s v="CSF"/>
    <x v="4"/>
    <n v="68837000000"/>
    <n v="68411268047"/>
  </r>
  <r>
    <x v="5"/>
    <s v="A"/>
    <s v="01"/>
    <s v="01"/>
    <s v="01"/>
    <s v="001"/>
    <s v="001"/>
    <m/>
    <s v="10"/>
    <s v="CSF"/>
    <x v="5"/>
    <n v="55140000000"/>
    <n v="54822861578"/>
  </r>
  <r>
    <x v="6"/>
    <s v="A"/>
    <s v="01"/>
    <s v="01"/>
    <s v="01"/>
    <s v="001"/>
    <s v="002"/>
    <m/>
    <s v="10"/>
    <s v="CSF"/>
    <x v="6"/>
    <n v="241000000"/>
    <n v="235922977"/>
  </r>
  <r>
    <x v="7"/>
    <s v="A"/>
    <s v="01"/>
    <s v="01"/>
    <s v="01"/>
    <s v="001"/>
    <s v="003"/>
    <m/>
    <s v="10"/>
    <s v="CSF"/>
    <x v="7"/>
    <n v="530000000"/>
    <n v="521723405"/>
  </r>
  <r>
    <x v="8"/>
    <s v="A"/>
    <s v="01"/>
    <s v="01"/>
    <s v="01"/>
    <s v="001"/>
    <s v="004"/>
    <m/>
    <s v="10"/>
    <s v="CSF"/>
    <x v="8"/>
    <n v="96000000"/>
    <n v="92040683"/>
  </r>
  <r>
    <x v="9"/>
    <s v="A"/>
    <s v="01"/>
    <s v="01"/>
    <s v="01"/>
    <s v="001"/>
    <s v="005"/>
    <m/>
    <s v="10"/>
    <s v="CSF"/>
    <x v="9"/>
    <n v="105000000"/>
    <n v="103086517"/>
  </r>
  <r>
    <x v="10"/>
    <s v="A"/>
    <s v="01"/>
    <s v="01"/>
    <s v="01"/>
    <s v="001"/>
    <s v="006"/>
    <m/>
    <s v="10"/>
    <s v="CSF"/>
    <x v="10"/>
    <n v="2568300000"/>
    <n v="2565529747"/>
  </r>
  <r>
    <x v="11"/>
    <s v="A"/>
    <s v="01"/>
    <s v="01"/>
    <s v="01"/>
    <s v="001"/>
    <s v="007"/>
    <m/>
    <s v="10"/>
    <s v="CSF"/>
    <x v="11"/>
    <n v="1782500000"/>
    <n v="1777388466"/>
  </r>
  <r>
    <x v="12"/>
    <s v="A"/>
    <s v="01"/>
    <s v="01"/>
    <s v="01"/>
    <s v="001"/>
    <s v="008"/>
    <m/>
    <s v="10"/>
    <s v="CSF"/>
    <x v="12"/>
    <n v="150000000"/>
    <n v="110562834"/>
  </r>
  <r>
    <x v="13"/>
    <s v="A"/>
    <s v="01"/>
    <s v="01"/>
    <s v="01"/>
    <s v="001"/>
    <s v="009"/>
    <m/>
    <s v="10"/>
    <s v="CSF"/>
    <x v="13"/>
    <n v="5555500000"/>
    <n v="5536168764"/>
  </r>
  <r>
    <x v="14"/>
    <s v="A"/>
    <s v="01"/>
    <s v="01"/>
    <s v="01"/>
    <s v="001"/>
    <s v="010"/>
    <m/>
    <s v="10"/>
    <s v="CSF"/>
    <x v="14"/>
    <n v="2636700000"/>
    <n v="2616491766"/>
  </r>
  <r>
    <x v="15"/>
    <s v="A"/>
    <s v="01"/>
    <s v="01"/>
    <s v="01"/>
    <s v="001"/>
    <s v="012"/>
    <m/>
    <s v="10"/>
    <s v="CSF"/>
    <x v="15"/>
    <n v="32000000"/>
    <n v="29491310"/>
  </r>
  <r>
    <x v="16"/>
    <s v="A"/>
    <s v="01"/>
    <s v="01"/>
    <s v="02"/>
    <m/>
    <m/>
    <m/>
    <s v="10"/>
    <s v="CSF"/>
    <x v="16"/>
    <n v="27958000000"/>
    <n v="25281701783"/>
  </r>
  <r>
    <x v="17"/>
    <s v="A"/>
    <s v="01"/>
    <s v="01"/>
    <s v="02"/>
    <s v="001"/>
    <m/>
    <m/>
    <s v="10"/>
    <s v="CSF"/>
    <x v="17"/>
    <n v="7690200000"/>
    <n v="7515821132"/>
  </r>
  <r>
    <x v="18"/>
    <s v="A"/>
    <s v="01"/>
    <s v="01"/>
    <s v="02"/>
    <s v="002"/>
    <m/>
    <m/>
    <s v="10"/>
    <s v="CSF"/>
    <x v="18"/>
    <n v="5447200000"/>
    <n v="5226501653"/>
  </r>
  <r>
    <x v="19"/>
    <s v="A"/>
    <s v="01"/>
    <s v="01"/>
    <s v="02"/>
    <s v="003"/>
    <m/>
    <m/>
    <s v="10"/>
    <s v="CSF"/>
    <x v="19"/>
    <n v="8075400000"/>
    <n v="5973021598"/>
  </r>
  <r>
    <x v="20"/>
    <s v="A"/>
    <s v="01"/>
    <s v="01"/>
    <s v="02"/>
    <s v="004"/>
    <m/>
    <m/>
    <s v="10"/>
    <s v="CSF"/>
    <x v="20"/>
    <n v="2732300000"/>
    <n v="2673679100"/>
  </r>
  <r>
    <x v="21"/>
    <s v="A"/>
    <s v="01"/>
    <s v="01"/>
    <s v="02"/>
    <s v="005"/>
    <m/>
    <m/>
    <s v="10"/>
    <s v="CSF"/>
    <x v="21"/>
    <n v="560000000"/>
    <n v="549000900"/>
  </r>
  <r>
    <x v="22"/>
    <s v="A"/>
    <s v="01"/>
    <s v="01"/>
    <s v="02"/>
    <s v="006"/>
    <m/>
    <m/>
    <s v="10"/>
    <s v="CSF"/>
    <x v="22"/>
    <n v="2071700000"/>
    <n v="2005430400"/>
  </r>
  <r>
    <x v="23"/>
    <s v="A"/>
    <s v="01"/>
    <s v="01"/>
    <s v="02"/>
    <s v="007"/>
    <m/>
    <m/>
    <s v="10"/>
    <s v="CSF"/>
    <x v="23"/>
    <n v="345300000"/>
    <n v="334683900"/>
  </r>
  <r>
    <x v="24"/>
    <s v="A"/>
    <s v="01"/>
    <s v="01"/>
    <s v="02"/>
    <s v="008"/>
    <m/>
    <m/>
    <s v="10"/>
    <s v="CSF"/>
    <x v="24"/>
    <n v="345300000"/>
    <n v="334683900"/>
  </r>
  <r>
    <x v="25"/>
    <s v="A"/>
    <s v="01"/>
    <s v="01"/>
    <s v="02"/>
    <s v="009"/>
    <m/>
    <m/>
    <s v="10"/>
    <s v="CSF"/>
    <x v="25"/>
    <n v="690600000"/>
    <n v="668879200"/>
  </r>
  <r>
    <x v="26"/>
    <s v="A"/>
    <s v="01"/>
    <s v="01"/>
    <s v="03"/>
    <m/>
    <m/>
    <m/>
    <s v="10"/>
    <s v="CSF"/>
    <x v="26"/>
    <n v="8353000000"/>
    <n v="8167359148"/>
  </r>
  <r>
    <x v="27"/>
    <s v="A"/>
    <s v="01"/>
    <s v="01"/>
    <s v="03"/>
    <s v="001"/>
    <m/>
    <m/>
    <s v="10"/>
    <s v="CSF"/>
    <x v="27"/>
    <n v="4216000000"/>
    <n v="4103310312"/>
  </r>
  <r>
    <x v="28"/>
    <s v="A"/>
    <s v="01"/>
    <s v="01"/>
    <s v="03"/>
    <s v="001"/>
    <s v="001"/>
    <m/>
    <s v="10"/>
    <s v="CSF"/>
    <x v="28"/>
    <n v="3456000000"/>
    <n v="3389282210"/>
  </r>
  <r>
    <x v="29"/>
    <s v="A"/>
    <s v="01"/>
    <s v="01"/>
    <s v="03"/>
    <s v="001"/>
    <s v="002"/>
    <m/>
    <s v="10"/>
    <s v="CSF"/>
    <x v="29"/>
    <n v="415000000"/>
    <n v="393919682"/>
  </r>
  <r>
    <x v="30"/>
    <s v="A"/>
    <s v="01"/>
    <s v="01"/>
    <s v="03"/>
    <s v="001"/>
    <s v="003"/>
    <m/>
    <s v="10"/>
    <s v="CSF"/>
    <x v="30"/>
    <n v="345000000"/>
    <n v="320108420"/>
  </r>
  <r>
    <x v="31"/>
    <s v="A"/>
    <s v="01"/>
    <s v="01"/>
    <s v="03"/>
    <s v="002"/>
    <m/>
    <m/>
    <s v="10"/>
    <s v="CSF"/>
    <x v="31"/>
    <n v="2590000000"/>
    <n v="2578575491"/>
  </r>
  <r>
    <x v="32"/>
    <s v="A"/>
    <s v="01"/>
    <s v="01"/>
    <s v="03"/>
    <s v="005"/>
    <m/>
    <m/>
    <s v="10"/>
    <s v="CSF"/>
    <x v="32"/>
    <n v="12000000"/>
    <n v="4016429"/>
  </r>
  <r>
    <x v="33"/>
    <s v="A"/>
    <s v="01"/>
    <s v="01"/>
    <s v="03"/>
    <s v="013"/>
    <m/>
    <m/>
    <s v="10"/>
    <s v="CSF"/>
    <x v="33"/>
    <n v="30000000"/>
    <n v="30000000"/>
  </r>
  <r>
    <x v="34"/>
    <s v="A"/>
    <s v="01"/>
    <s v="01"/>
    <s v="03"/>
    <s v="016"/>
    <m/>
    <m/>
    <s v="10"/>
    <s v="CSF"/>
    <x v="34"/>
    <n v="870000000"/>
    <n v="860714977"/>
  </r>
  <r>
    <x v="35"/>
    <s v="A"/>
    <s v="01"/>
    <s v="01"/>
    <s v="03"/>
    <s v="030"/>
    <m/>
    <m/>
    <s v="10"/>
    <s v="CSF"/>
    <x v="35"/>
    <n v="635000000"/>
    <n v="590741939"/>
  </r>
  <r>
    <x v="36"/>
    <s v="A"/>
    <s v="02"/>
    <m/>
    <m/>
    <m/>
    <m/>
    <m/>
    <m/>
    <m/>
    <x v="36"/>
    <n v="42288999999.999992"/>
    <n v="41563525276.699997"/>
  </r>
  <r>
    <x v="37"/>
    <s v="A"/>
    <s v="02"/>
    <s v="02"/>
    <m/>
    <m/>
    <m/>
    <m/>
    <m/>
    <m/>
    <x v="37"/>
    <n v="42288999999.999992"/>
    <n v="41563525276.699997"/>
  </r>
  <r>
    <x v="38"/>
    <s v="A"/>
    <s v="02"/>
    <s v="02"/>
    <s v="01"/>
    <m/>
    <m/>
    <m/>
    <s v="10"/>
    <s v="CSF"/>
    <x v="38"/>
    <n v="552783149.13"/>
    <n v="445580800.40000004"/>
  </r>
  <r>
    <x v="39"/>
    <s v="A"/>
    <s v="02"/>
    <s v="02"/>
    <s v="01"/>
    <s v="001"/>
    <m/>
    <m/>
    <s v="10"/>
    <s v="CSF"/>
    <x v="39"/>
    <n v="22000000"/>
    <n v="10999999.050000001"/>
  </r>
  <r>
    <x v="40"/>
    <s v="A"/>
    <s v="02"/>
    <s v="02"/>
    <s v="01"/>
    <s v="001"/>
    <s v="005"/>
    <m/>
    <n v="10"/>
    <s v="CSF"/>
    <x v="40"/>
    <n v="11000000"/>
    <n v="10999999.050000001"/>
  </r>
  <r>
    <x v="41"/>
    <s v="A"/>
    <s v="02"/>
    <s v="02"/>
    <s v="01"/>
    <s v="001"/>
    <s v="007"/>
    <m/>
    <n v="10"/>
    <s v="CSF"/>
    <x v="41"/>
    <n v="11000000"/>
    <n v="0"/>
  </r>
  <r>
    <x v="42"/>
    <s v="A"/>
    <s v="02"/>
    <s v="02"/>
    <s v="01"/>
    <s v="002"/>
    <m/>
    <m/>
    <s v="10"/>
    <s v="CSF"/>
    <x v="42"/>
    <n v="68748515"/>
    <n v="68637080.620000005"/>
  </r>
  <r>
    <x v="43"/>
    <s v="A"/>
    <s v="02"/>
    <s v="02"/>
    <s v="01"/>
    <s v="002"/>
    <s v="008"/>
    <m/>
    <n v="10"/>
    <s v="CSF"/>
    <x v="43"/>
    <n v="68748515"/>
    <n v="68637080.620000005"/>
  </r>
  <r>
    <x v="44"/>
    <s v="A"/>
    <s v="02"/>
    <s v="02"/>
    <s v="01"/>
    <s v="003"/>
    <m/>
    <m/>
    <s v="10"/>
    <s v="CSF"/>
    <x v="44"/>
    <n v="334012249.13"/>
    <n v="257963186.99000001"/>
  </r>
  <r>
    <x v="45"/>
    <s v="A"/>
    <s v="02"/>
    <s v="02"/>
    <s v="01"/>
    <s v="003"/>
    <s v="002"/>
    <m/>
    <n v="10"/>
    <s v="CSF"/>
    <x v="45"/>
    <n v="125013212"/>
    <n v="123466003.31"/>
  </r>
  <r>
    <x v="46"/>
    <s v="A"/>
    <s v="02"/>
    <s v="02"/>
    <s v="01"/>
    <s v="003"/>
    <s v="003"/>
    <m/>
    <n v="10"/>
    <s v="CSF"/>
    <x v="46"/>
    <n v="57510582"/>
    <n v="57508729.979999997"/>
  </r>
  <r>
    <x v="47"/>
    <s v="A"/>
    <s v="02"/>
    <s v="02"/>
    <s v="01"/>
    <s v="003"/>
    <s v="005"/>
    <m/>
    <n v="10"/>
    <s v="CSF"/>
    <x v="47"/>
    <n v="66000000.129999995"/>
    <n v="5999999.9699999997"/>
  </r>
  <r>
    <x v="48"/>
    <s v="A"/>
    <s v="02"/>
    <s v="02"/>
    <s v="01"/>
    <s v="003"/>
    <s v="006"/>
    <m/>
    <n v="10"/>
    <s v="CSF"/>
    <x v="48"/>
    <n v="20000000"/>
    <n v="19999999.109999999"/>
  </r>
  <r>
    <x v="49"/>
    <s v="A"/>
    <s v="02"/>
    <s v="02"/>
    <s v="01"/>
    <s v="003"/>
    <s v="007"/>
    <m/>
    <n v="10"/>
    <s v="CSF"/>
    <x v="49"/>
    <n v="0"/>
    <n v="0"/>
  </r>
  <r>
    <x v="50"/>
    <s v="A"/>
    <s v="02"/>
    <s v="02"/>
    <s v="01"/>
    <s v="003"/>
    <s v="008"/>
    <m/>
    <n v="10"/>
    <s v="CSF"/>
    <x v="50"/>
    <n v="65488455"/>
    <n v="50988454.619999997"/>
  </r>
  <r>
    <x v="51"/>
    <s v="A"/>
    <s v="02"/>
    <s v="02"/>
    <s v="01"/>
    <s v="004"/>
    <m/>
    <m/>
    <s v="10"/>
    <s v="CSF"/>
    <x v="51"/>
    <n v="128022385"/>
    <n v="107980533.73999999"/>
  </r>
  <r>
    <x v="52"/>
    <s v="A"/>
    <s v="02"/>
    <s v="02"/>
    <s v="01"/>
    <s v="004"/>
    <s v="002"/>
    <m/>
    <n v="10"/>
    <s v="CSF"/>
    <x v="52"/>
    <n v="23000000"/>
    <n v="19999823.739999998"/>
  </r>
  <r>
    <x v="53"/>
    <s v="A"/>
    <s v="02"/>
    <s v="02"/>
    <s v="01"/>
    <s v="004"/>
    <s v="005"/>
    <m/>
    <n v="10"/>
    <s v="CSF"/>
    <x v="53"/>
    <n v="0"/>
    <n v="0"/>
  </r>
  <r>
    <x v="54"/>
    <s v="A"/>
    <s v="02"/>
    <s v="02"/>
    <s v="01"/>
    <s v="004"/>
    <s v="006"/>
    <m/>
    <n v="10"/>
    <s v="CSF"/>
    <x v="54"/>
    <n v="25041675"/>
    <n v="8000000"/>
  </r>
  <r>
    <x v="55"/>
    <s v="A"/>
    <s v="02"/>
    <s v="02"/>
    <s v="01"/>
    <s v="004"/>
    <s v="007"/>
    <m/>
    <n v="10"/>
    <s v="CSF"/>
    <x v="55"/>
    <n v="79980710"/>
    <n v="79980710"/>
  </r>
  <r>
    <x v="56"/>
    <s v="A"/>
    <s v="02"/>
    <s v="02"/>
    <s v="01"/>
    <s v="004"/>
    <s v="008"/>
    <m/>
    <n v="10"/>
    <s v="CSF"/>
    <x v="56"/>
    <n v="0"/>
    <n v="0"/>
  </r>
  <r>
    <x v="57"/>
    <s v="A"/>
    <s v="02"/>
    <s v="02"/>
    <s v="02"/>
    <m/>
    <m/>
    <m/>
    <s v="10"/>
    <s v="CSF"/>
    <x v="57"/>
    <n v="41736216850.869995"/>
    <n v="41117944476.299995"/>
  </r>
  <r>
    <x v="58"/>
    <s v="A"/>
    <s v="02"/>
    <s v="02"/>
    <s v="02"/>
    <s v="006"/>
    <m/>
    <m/>
    <s v="10"/>
    <s v="CSF"/>
    <x v="58"/>
    <n v="4025793792"/>
    <n v="3912623741.0999999"/>
  </r>
  <r>
    <x v="59"/>
    <s v="A"/>
    <s v="02"/>
    <s v="02"/>
    <s v="02"/>
    <s v="006"/>
    <s v="003"/>
    <m/>
    <n v="10"/>
    <s v="CSF"/>
    <x v="59"/>
    <n v="60471053"/>
    <n v="40311880"/>
  </r>
  <r>
    <x v="60"/>
    <s v="A"/>
    <s v="02"/>
    <s v="02"/>
    <s v="02"/>
    <s v="006"/>
    <s v="004"/>
    <m/>
    <n v="10"/>
    <s v="CSF"/>
    <x v="60"/>
    <n v="1538596445"/>
    <n v="1469675773"/>
  </r>
  <r>
    <x v="61"/>
    <s v="A"/>
    <s v="02"/>
    <s v="02"/>
    <s v="02"/>
    <s v="006"/>
    <s v="005"/>
    <m/>
    <n v="10"/>
    <s v="CSF"/>
    <x v="61"/>
    <n v="62000000"/>
    <n v="49867904"/>
  </r>
  <r>
    <x v="62"/>
    <s v="A"/>
    <s v="02"/>
    <s v="02"/>
    <s v="02"/>
    <s v="006"/>
    <s v="006"/>
    <m/>
    <n v="10"/>
    <s v="CSF"/>
    <x v="62"/>
    <n v="0"/>
    <n v="0"/>
  </r>
  <r>
    <x v="63"/>
    <s v="A"/>
    <s v="02"/>
    <s v="02"/>
    <s v="02"/>
    <s v="006"/>
    <s v="008"/>
    <m/>
    <n v="10"/>
    <s v="CSF"/>
    <x v="63"/>
    <n v="1498418312"/>
    <n v="1491537962"/>
  </r>
  <r>
    <x v="64"/>
    <s v="A"/>
    <s v="02"/>
    <s v="02"/>
    <s v="02"/>
    <s v="006"/>
    <s v="009"/>
    <m/>
    <n v="10"/>
    <s v="CSF"/>
    <x v="64"/>
    <n v="866307982"/>
    <n v="861230222.10000002"/>
  </r>
  <r>
    <x v="65"/>
    <s v="A"/>
    <s v="02"/>
    <s v="02"/>
    <s v="02"/>
    <s v="007"/>
    <m/>
    <m/>
    <s v="10"/>
    <s v="CSF"/>
    <x v="65"/>
    <n v="15483930581"/>
    <n v="15449374736.040001"/>
  </r>
  <r>
    <x v="66"/>
    <s v="A"/>
    <s v="02"/>
    <s v="02"/>
    <s v="02"/>
    <s v="007"/>
    <s v="001"/>
    <m/>
    <n v="10"/>
    <s v="CSF"/>
    <x v="66"/>
    <n v="923775914"/>
    <n v="912075140.03999996"/>
  </r>
  <r>
    <x v="67"/>
    <s v="A"/>
    <s v="02"/>
    <s v="02"/>
    <s v="02"/>
    <s v="007"/>
    <s v="002"/>
    <m/>
    <n v="10"/>
    <s v="CSF"/>
    <x v="67"/>
    <n v="14560154667"/>
    <n v="14537299596"/>
  </r>
  <r>
    <x v="68"/>
    <s v="A"/>
    <s v="02"/>
    <s v="02"/>
    <s v="02"/>
    <s v="008"/>
    <m/>
    <m/>
    <s v="10"/>
    <s v="CSF"/>
    <x v="68"/>
    <n v="19398649003.869999"/>
    <n v="19096914813.649998"/>
  </r>
  <r>
    <x v="69"/>
    <s v="A"/>
    <s v="02"/>
    <s v="02"/>
    <s v="02"/>
    <s v="008"/>
    <s v="002"/>
    <m/>
    <n v="10"/>
    <s v="CSF"/>
    <x v="69"/>
    <n v="24625950"/>
    <n v="23816589"/>
  </r>
  <r>
    <x v="70"/>
    <s v="A"/>
    <s v="02"/>
    <s v="02"/>
    <s v="02"/>
    <s v="008"/>
    <s v="003"/>
    <m/>
    <n v="10"/>
    <s v="CSF"/>
    <x v="70"/>
    <n v="9893648221"/>
    <n v="9893336351"/>
  </r>
  <r>
    <x v="71"/>
    <s v="A"/>
    <s v="02"/>
    <s v="02"/>
    <s v="02"/>
    <s v="008"/>
    <s v="004"/>
    <m/>
    <n v="10"/>
    <s v="CSF"/>
    <x v="71"/>
    <n v="2205961885.8699999"/>
    <n v="2169566776.6900001"/>
  </r>
  <r>
    <x v="72"/>
    <s v="A"/>
    <s v="02"/>
    <s v="02"/>
    <s v="02"/>
    <s v="008"/>
    <s v="005"/>
    <m/>
    <n v="10"/>
    <s v="CSF"/>
    <x v="72"/>
    <n v="6586613354"/>
    <n v="6358016979.54"/>
  </r>
  <r>
    <x v="73"/>
    <s v="A"/>
    <s v="02"/>
    <s v="02"/>
    <s v="02"/>
    <s v="008"/>
    <s v="007"/>
    <m/>
    <n v="10"/>
    <s v="CSF"/>
    <x v="73"/>
    <n v="564799593"/>
    <n v="530324933.42000002"/>
  </r>
  <r>
    <x v="74"/>
    <s v="A"/>
    <s v="02"/>
    <s v="02"/>
    <s v="02"/>
    <s v="008"/>
    <s v="009"/>
    <m/>
    <n v="10"/>
    <s v="CSF"/>
    <x v="74"/>
    <n v="123000000"/>
    <n v="121853184"/>
  </r>
  <r>
    <x v="75"/>
    <s v="A"/>
    <s v="02"/>
    <s v="02"/>
    <s v="02"/>
    <s v="009"/>
    <m/>
    <m/>
    <s v="10"/>
    <s v="CSF"/>
    <x v="75"/>
    <n v="1900215638"/>
    <n v="1870548465.51"/>
  </r>
  <r>
    <x v="76"/>
    <s v="A"/>
    <s v="02"/>
    <s v="02"/>
    <s v="02"/>
    <s v="009"/>
    <s v="002"/>
    <m/>
    <n v="10"/>
    <s v="CSF"/>
    <x v="76"/>
    <n v="753463026"/>
    <n v="753463026"/>
  </r>
  <r>
    <x v="77"/>
    <s v="A"/>
    <s v="02"/>
    <s v="02"/>
    <s v="02"/>
    <s v="009"/>
    <s v="003"/>
    <m/>
    <n v="10"/>
    <s v="CSF"/>
    <x v="77"/>
    <n v="216802199"/>
    <n v="187797484"/>
  </r>
  <r>
    <x v="78"/>
    <s v="A"/>
    <s v="02"/>
    <s v="02"/>
    <s v="02"/>
    <s v="009"/>
    <s v="004"/>
    <m/>
    <n v="10"/>
    <s v="CSF"/>
    <x v="78"/>
    <n v="89000000"/>
    <n v="88337545.620000005"/>
  </r>
  <r>
    <x v="79"/>
    <s v="A"/>
    <s v="02"/>
    <s v="02"/>
    <s v="02"/>
    <s v="009"/>
    <s v="006"/>
    <m/>
    <n v="10"/>
    <s v="CSF"/>
    <x v="79"/>
    <n v="825515972"/>
    <n v="825515968.88999999"/>
  </r>
  <r>
    <x v="80"/>
    <s v="A"/>
    <s v="02"/>
    <s v="02"/>
    <s v="02"/>
    <s v="009"/>
    <s v="007"/>
    <m/>
    <n v="10"/>
    <s v="CSF"/>
    <x v="80"/>
    <n v="15434441"/>
    <n v="15434441"/>
  </r>
  <r>
    <x v="81"/>
    <s v="A"/>
    <s v="02"/>
    <s v="02"/>
    <s v="02"/>
    <s v="010"/>
    <m/>
    <m/>
    <s v="10"/>
    <s v="CSF"/>
    <x v="81"/>
    <n v="927627836"/>
    <n v="788482720"/>
  </r>
  <r>
    <x v="82"/>
    <s v="A"/>
    <s v="03"/>
    <m/>
    <m/>
    <m/>
    <m/>
    <m/>
    <m/>
    <m/>
    <x v="82"/>
    <n v="7847345693840"/>
    <n v="7716318513284.4102"/>
  </r>
  <r>
    <x v="83"/>
    <s v="A"/>
    <s v="03"/>
    <s v="03"/>
    <m/>
    <m/>
    <m/>
    <m/>
    <m/>
    <m/>
    <x v="83"/>
    <n v="7844136693840"/>
    <n v="7714132826738.4102"/>
  </r>
  <r>
    <x v="84"/>
    <s v="A"/>
    <s v="03"/>
    <s v="03"/>
    <s v="01"/>
    <m/>
    <m/>
    <m/>
    <m/>
    <m/>
    <x v="84"/>
    <n v="7844136693840"/>
    <n v="7714132826738.4102"/>
  </r>
  <r>
    <x v="85"/>
    <s v="A"/>
    <s v="03"/>
    <s v="03"/>
    <s v="01"/>
    <s v="082"/>
    <m/>
    <m/>
    <n v="54"/>
    <s v="CSF"/>
    <x v="85"/>
    <n v="14432339552"/>
    <n v="11633514830"/>
  </r>
  <r>
    <x v="85"/>
    <s v="A"/>
    <s v="03"/>
    <s v="03"/>
    <s v="01"/>
    <s v="082"/>
    <m/>
    <m/>
    <n v="54"/>
    <s v="CSF"/>
    <x v="86"/>
    <n v="7011989314288"/>
    <n v="6884784271908.4102"/>
  </r>
  <r>
    <x v="85"/>
    <s v="A"/>
    <s v="03"/>
    <s v="03"/>
    <s v="01"/>
    <s v="082"/>
    <m/>
    <m/>
    <n v="54"/>
    <s v="CSF"/>
    <x v="87"/>
    <n v="817715040000"/>
    <n v="817715040000"/>
  </r>
  <r>
    <x v="86"/>
    <s v="A"/>
    <s v="03"/>
    <s v="03"/>
    <s v="01"/>
    <s v="999"/>
    <m/>
    <m/>
    <s v="10"/>
    <s v="CSF"/>
    <x v="88"/>
    <n v="0"/>
    <m/>
  </r>
  <r>
    <x v="86"/>
    <s v="A"/>
    <s v="03"/>
    <s v="03"/>
    <s v="01"/>
    <s v="999"/>
    <m/>
    <m/>
    <n v="11"/>
    <s v="CSF"/>
    <x v="88"/>
    <n v="0"/>
    <m/>
  </r>
  <r>
    <x v="87"/>
    <s v="A"/>
    <s v="03"/>
    <s v="04"/>
    <m/>
    <m/>
    <m/>
    <m/>
    <m/>
    <m/>
    <x v="89"/>
    <n v="534000000"/>
    <n v="132162670"/>
  </r>
  <r>
    <x v="88"/>
    <s v="A"/>
    <s v="03"/>
    <s v="04"/>
    <s v="02"/>
    <m/>
    <m/>
    <m/>
    <s v="10"/>
    <s v="CSF"/>
    <x v="90"/>
    <n v="534000000"/>
    <n v="132162670"/>
  </r>
  <r>
    <x v="89"/>
    <s v="A"/>
    <s v="03"/>
    <s v="04"/>
    <s v="02"/>
    <s v="012"/>
    <m/>
    <m/>
    <s v="10"/>
    <s v="CSF"/>
    <x v="91"/>
    <n v="534000000"/>
    <n v="132162670"/>
  </r>
  <r>
    <x v="90"/>
    <s v="A"/>
    <s v="03"/>
    <s v="04"/>
    <s v="02"/>
    <s v="012"/>
    <s v="001"/>
    <m/>
    <s v="10"/>
    <s v="CSF"/>
    <x v="92"/>
    <n v="242000000"/>
    <n v="94804938"/>
  </r>
  <r>
    <x v="91"/>
    <s v="A"/>
    <s v="03"/>
    <s v="04"/>
    <s v="02"/>
    <s v="012"/>
    <s v="002"/>
    <m/>
    <s v="10"/>
    <s v="CSF"/>
    <x v="93"/>
    <n v="292000000"/>
    <n v="37357732"/>
  </r>
  <r>
    <x v="56"/>
    <s v="A"/>
    <s v="03"/>
    <s v="04"/>
    <s v="02"/>
    <s v="025"/>
    <m/>
    <m/>
    <s v="10"/>
    <s v="CSF"/>
    <x v="94"/>
    <n v="0"/>
    <n v="0"/>
  </r>
  <r>
    <x v="92"/>
    <s v="A"/>
    <s v="03"/>
    <s v="10"/>
    <m/>
    <m/>
    <m/>
    <m/>
    <m/>
    <m/>
    <x v="95"/>
    <n v="2675000000"/>
    <n v="2053523876"/>
  </r>
  <r>
    <x v="93"/>
    <s v="A"/>
    <s v="03"/>
    <s v="10"/>
    <s v="01"/>
    <m/>
    <m/>
    <m/>
    <s v="11"/>
    <s v="CSF"/>
    <x v="96"/>
    <n v="2675000000"/>
    <n v="2053523876"/>
  </r>
  <r>
    <x v="94"/>
    <s v="A"/>
    <s v="03"/>
    <s v="10"/>
    <s v="01"/>
    <s v="001"/>
    <m/>
    <m/>
    <n v="10"/>
    <s v="CSF"/>
    <x v="97"/>
    <n v="2675000000"/>
    <n v="2053523876"/>
  </r>
  <r>
    <x v="95"/>
    <s v="A"/>
    <s v="08"/>
    <m/>
    <m/>
    <m/>
    <m/>
    <m/>
    <m/>
    <m/>
    <x v="98"/>
    <n v="14869468942"/>
    <n v="14827496436.83"/>
  </r>
  <r>
    <x v="96"/>
    <s v="A"/>
    <s v="08"/>
    <s v="01"/>
    <m/>
    <m/>
    <m/>
    <m/>
    <m/>
    <m/>
    <x v="99"/>
    <n v="134000000"/>
    <n v="92027494.829999998"/>
  </r>
  <r>
    <x v="97"/>
    <s v="A"/>
    <s v="08"/>
    <s v="01"/>
    <s v="02"/>
    <m/>
    <m/>
    <m/>
    <s v="10"/>
    <s v="CSF"/>
    <x v="100"/>
    <n v="134000000"/>
    <n v="92027494.829999998"/>
  </r>
  <r>
    <x v="98"/>
    <s v="A"/>
    <s v="08"/>
    <s v="01"/>
    <s v="02"/>
    <s v="001"/>
    <m/>
    <m/>
    <s v="10"/>
    <s v="CSF"/>
    <x v="101"/>
    <n v="60000000"/>
    <n v="50544836"/>
  </r>
  <r>
    <x v="99"/>
    <s v="A"/>
    <s v="08"/>
    <s v="01"/>
    <s v="02"/>
    <s v="004"/>
    <m/>
    <m/>
    <s v="10"/>
    <s v="CSF"/>
    <x v="102"/>
    <n v="59000000"/>
    <n v="34537628.829999998"/>
  </r>
  <r>
    <x v="100"/>
    <s v="A"/>
    <s v="08"/>
    <s v="01"/>
    <s v="02"/>
    <s v="006"/>
    <m/>
    <m/>
    <s v="10"/>
    <s v="CSF"/>
    <x v="103"/>
    <n v="15000000"/>
    <n v="6945030"/>
  </r>
  <r>
    <x v="101"/>
    <s v="A"/>
    <s v="08"/>
    <s v="04"/>
    <m/>
    <m/>
    <m/>
    <m/>
    <m/>
    <m/>
    <x v="104"/>
    <n v="14735468942"/>
    <n v="14735468942"/>
  </r>
  <r>
    <x v="56"/>
    <s v="A"/>
    <s v="08"/>
    <s v="04"/>
    <s v="01"/>
    <m/>
    <m/>
    <m/>
    <n v="10"/>
    <s v="SSF"/>
    <x v="105"/>
    <n v="0"/>
    <n v="0"/>
  </r>
  <r>
    <x v="102"/>
    <s v="A"/>
    <s v="08"/>
    <s v="04"/>
    <s v="01"/>
    <m/>
    <m/>
    <m/>
    <s v="11"/>
    <s v="CSF"/>
    <x v="105"/>
    <n v="0"/>
    <m/>
  </r>
  <r>
    <x v="102"/>
    <s v="A"/>
    <s v="08"/>
    <s v="04"/>
    <s v="01"/>
    <m/>
    <m/>
    <m/>
    <s v="11"/>
    <s v="SSF"/>
    <x v="105"/>
    <n v="14735468942"/>
    <n v="14735468942"/>
  </r>
  <r>
    <x v="103"/>
    <s v="C"/>
    <m/>
    <m/>
    <m/>
    <m/>
    <m/>
    <m/>
    <m/>
    <m/>
    <x v="106"/>
    <n v="6360508633098"/>
    <n v="6148348446766.3604"/>
  </r>
  <r>
    <x v="104"/>
    <s v="C"/>
    <n v="4101"/>
    <m/>
    <m/>
    <m/>
    <m/>
    <m/>
    <m/>
    <m/>
    <x v="107"/>
    <n v="10248574078"/>
    <n v="10248574078"/>
  </r>
  <r>
    <x v="105"/>
    <s v="C"/>
    <n v="4101"/>
    <n v="1500"/>
    <m/>
    <m/>
    <m/>
    <m/>
    <m/>
    <m/>
    <x v="108"/>
    <n v="10248574078"/>
    <n v="10248574078"/>
  </r>
  <r>
    <x v="56"/>
    <s v="C"/>
    <s v="4101"/>
    <s v="1500"/>
    <s v="5"/>
    <m/>
    <m/>
    <m/>
    <m/>
    <m/>
    <x v="109"/>
    <n v="0"/>
    <n v="0"/>
  </r>
  <r>
    <x v="56"/>
    <s v="C"/>
    <s v="4101"/>
    <s v="1500"/>
    <s v="5"/>
    <s v="0"/>
    <s v="4101073"/>
    <m/>
    <n v="11"/>
    <s v="CSF"/>
    <x v="110"/>
    <n v="0"/>
    <n v="0"/>
  </r>
  <r>
    <x v="56"/>
    <s v="C"/>
    <s v="4101"/>
    <s v="1500"/>
    <s v="5"/>
    <s v="0"/>
    <s v="4101073"/>
    <s v="02"/>
    <n v="11"/>
    <s v="CSF"/>
    <x v="111"/>
    <n v="0"/>
    <m/>
  </r>
  <r>
    <x v="56"/>
    <s v="C"/>
    <s v="4101"/>
    <s v="1500"/>
    <s v="5"/>
    <s v="0"/>
    <s v="4101074"/>
    <m/>
    <n v="11"/>
    <s v="CSF"/>
    <x v="112"/>
    <n v="0"/>
    <n v="0"/>
  </r>
  <r>
    <x v="56"/>
    <s v="C"/>
    <s v="4101"/>
    <s v="1500"/>
    <n v="5"/>
    <s v="0"/>
    <s v="4101074"/>
    <s v="02"/>
    <n v="11"/>
    <s v="CSF"/>
    <x v="111"/>
    <n v="0"/>
    <m/>
  </r>
  <r>
    <x v="56"/>
    <s v="C"/>
    <s v="4101"/>
    <s v="1500"/>
    <s v="5"/>
    <s v="0"/>
    <s v="4101077"/>
    <m/>
    <n v="11"/>
    <s v="CSF"/>
    <x v="113"/>
    <n v="0"/>
    <n v="0"/>
  </r>
  <r>
    <x v="56"/>
    <s v="C"/>
    <s v="4101"/>
    <s v="1500"/>
    <s v="5"/>
    <s v="0"/>
    <s v="4101077"/>
    <s v="02"/>
    <n v="11"/>
    <s v="CSF"/>
    <x v="111"/>
    <n v="0"/>
    <m/>
  </r>
  <r>
    <x v="56"/>
    <s v="C"/>
    <s v="4101"/>
    <s v="1500"/>
    <s v="5"/>
    <s v="0"/>
    <s v="4101078"/>
    <m/>
    <n v="11"/>
    <s v="CSF"/>
    <x v="114"/>
    <n v="0"/>
    <n v="0"/>
  </r>
  <r>
    <x v="56"/>
    <s v="C"/>
    <s v="4101"/>
    <s v="1500"/>
    <s v="5"/>
    <s v="0"/>
    <s v="4101078"/>
    <s v="02"/>
    <n v="11"/>
    <s v="CSF"/>
    <x v="111"/>
    <n v="0"/>
    <m/>
  </r>
  <r>
    <x v="56"/>
    <s v="C"/>
    <s v="4101"/>
    <s v="1500"/>
    <s v="5"/>
    <s v="0"/>
    <s v="4101080"/>
    <m/>
    <n v="11"/>
    <s v="CSF"/>
    <x v="115"/>
    <n v="0"/>
    <n v="0"/>
  </r>
  <r>
    <x v="56"/>
    <s v="C"/>
    <s v="4101"/>
    <s v="1500"/>
    <n v="5"/>
    <s v="0"/>
    <s v="4101080"/>
    <s v="02"/>
    <n v="11"/>
    <s v="CSF"/>
    <x v="111"/>
    <n v="0"/>
    <m/>
  </r>
  <r>
    <x v="56"/>
    <s v="C"/>
    <s v="4101"/>
    <s v="1500"/>
    <s v="5"/>
    <s v="0"/>
    <s v="4101081"/>
    <m/>
    <n v="11"/>
    <s v="CSF"/>
    <x v="116"/>
    <n v="0"/>
    <n v="0"/>
  </r>
  <r>
    <x v="56"/>
    <s v="C"/>
    <s v="4101"/>
    <s v="1500"/>
    <s v="5"/>
    <s v="0"/>
    <s v="4101081"/>
    <s v="02"/>
    <n v="11"/>
    <s v="CSF"/>
    <x v="111"/>
    <n v="0"/>
    <m/>
  </r>
  <r>
    <x v="106"/>
    <s v="C"/>
    <s v="4101"/>
    <s v="1500"/>
    <s v="6"/>
    <m/>
    <m/>
    <m/>
    <m/>
    <m/>
    <x v="117"/>
    <n v="10248574078"/>
    <n v="10248574078"/>
  </r>
  <r>
    <x v="107"/>
    <s v="C"/>
    <s v="4101"/>
    <s v="1500"/>
    <s v="6"/>
    <s v="0"/>
    <s v="4101073"/>
    <m/>
    <s v="11"/>
    <s v="CSF"/>
    <x v="110"/>
    <n v="1189683575"/>
    <n v="1189683575"/>
  </r>
  <r>
    <x v="108"/>
    <s v="C"/>
    <s v="4101"/>
    <s v="1500"/>
    <s v="6"/>
    <s v="0"/>
    <s v="4101073"/>
    <s v="02"/>
    <s v="11"/>
    <s v="CSF"/>
    <x v="111"/>
    <n v="1189683575"/>
    <n v="1189683575"/>
  </r>
  <r>
    <x v="109"/>
    <s v="C"/>
    <s v="4101"/>
    <s v="1500"/>
    <s v="6"/>
    <s v="0"/>
    <s v="4101074"/>
    <m/>
    <s v="11"/>
    <s v="CSF"/>
    <x v="112"/>
    <n v="115014864"/>
    <n v="115014864"/>
  </r>
  <r>
    <x v="110"/>
    <s v="C"/>
    <s v="4101"/>
    <s v="1500"/>
    <s v="6"/>
    <s v="0"/>
    <s v="4101074"/>
    <s v="02"/>
    <s v="11"/>
    <s v="CSF"/>
    <x v="111"/>
    <n v="115014864"/>
    <n v="115014864"/>
  </r>
  <r>
    <x v="111"/>
    <s v="C"/>
    <s v="4101"/>
    <s v="1500"/>
    <s v="6"/>
    <s v="0"/>
    <s v="4101077"/>
    <m/>
    <s v="11"/>
    <s v="CSF"/>
    <x v="113"/>
    <n v="0"/>
    <n v="0"/>
  </r>
  <r>
    <x v="112"/>
    <s v="C"/>
    <s v="4101"/>
    <s v="1500"/>
    <s v="6"/>
    <s v="0"/>
    <s v="4101077"/>
    <s v="02"/>
    <s v="11"/>
    <s v="CSF"/>
    <x v="111"/>
    <n v="0"/>
    <m/>
  </r>
  <r>
    <x v="113"/>
    <s v="C"/>
    <s v="4101"/>
    <s v="1500"/>
    <s v="6"/>
    <s v="0"/>
    <s v="4101078"/>
    <m/>
    <s v="11"/>
    <s v="CSF"/>
    <x v="114"/>
    <n v="0"/>
    <n v="0"/>
  </r>
  <r>
    <x v="114"/>
    <s v="C"/>
    <s v="4101"/>
    <s v="1500"/>
    <s v="6"/>
    <s v="0"/>
    <s v="4101078"/>
    <s v="02"/>
    <s v="11"/>
    <s v="CSF"/>
    <x v="111"/>
    <n v="0"/>
    <n v="0"/>
  </r>
  <r>
    <x v="115"/>
    <s v="C"/>
    <s v="4101"/>
    <s v="1500"/>
    <s v="6"/>
    <s v="0"/>
    <s v="4101080"/>
    <m/>
    <s v="11"/>
    <s v="CSF"/>
    <x v="115"/>
    <n v="8943875639"/>
    <n v="8943875639"/>
  </r>
  <r>
    <x v="116"/>
    <s v="C"/>
    <s v="4101"/>
    <s v="1500"/>
    <s v="6"/>
    <s v="0"/>
    <s v="4101080"/>
    <s v="02"/>
    <s v="11"/>
    <s v="CSF"/>
    <x v="111"/>
    <n v="8943875639"/>
    <n v="8943875639"/>
  </r>
  <r>
    <x v="56"/>
    <s v="C"/>
    <s v="4101"/>
    <s v="1500"/>
    <s v="6"/>
    <s v="0"/>
    <s v="4101081"/>
    <m/>
    <s v="11"/>
    <s v="CSF"/>
    <x v="116"/>
    <n v="0"/>
    <n v="0"/>
  </r>
  <r>
    <x v="56"/>
    <s v="C"/>
    <s v="4101"/>
    <s v="1500"/>
    <s v="6"/>
    <s v="0"/>
    <s v="4101081"/>
    <s v="02"/>
    <s v="11"/>
    <s v="CSF"/>
    <x v="111"/>
    <n v="0"/>
    <n v="0"/>
  </r>
  <r>
    <x v="56"/>
    <s v="C"/>
    <s v="4101"/>
    <s v="1500"/>
    <s v="6"/>
    <s v="0"/>
    <s v="4101081"/>
    <s v="03"/>
    <s v="11"/>
    <s v="CSF"/>
    <x v="82"/>
    <n v="0"/>
    <n v="0"/>
  </r>
  <r>
    <x v="117"/>
    <s v="C"/>
    <n v="4103"/>
    <m/>
    <m/>
    <m/>
    <m/>
    <m/>
    <m/>
    <m/>
    <x v="118"/>
    <n v="6347033510554"/>
    <n v="6134873709535.3506"/>
  </r>
  <r>
    <x v="118"/>
    <s v="C"/>
    <n v="4103"/>
    <n v="1500"/>
    <m/>
    <m/>
    <m/>
    <m/>
    <m/>
    <m/>
    <x v="108"/>
    <n v="6347033510554"/>
    <n v="6134873709535.3506"/>
  </r>
  <r>
    <x v="119"/>
    <s v="C"/>
    <s v="4103"/>
    <s v="1500"/>
    <s v="12"/>
    <m/>
    <m/>
    <m/>
    <m/>
    <m/>
    <x v="119"/>
    <n v="2503485210000"/>
    <n v="2480696842244.54"/>
  </r>
  <r>
    <x v="120"/>
    <s v="C"/>
    <s v="4103"/>
    <s v="1500"/>
    <s v="12"/>
    <s v="0"/>
    <s v="4103006"/>
    <m/>
    <m/>
    <m/>
    <x v="120"/>
    <n v="2498350178049"/>
    <n v="2475561810293.54"/>
  </r>
  <r>
    <x v="121"/>
    <s v="C"/>
    <s v="4103"/>
    <s v="1500"/>
    <s v="12"/>
    <s v="0"/>
    <s v="4103006"/>
    <s v="02"/>
    <n v="10"/>
    <s v="CSF"/>
    <x v="111"/>
    <n v="0"/>
    <n v="0"/>
  </r>
  <r>
    <x v="121"/>
    <s v="C"/>
    <s v="4103"/>
    <s v="1500"/>
    <s v="12"/>
    <s v="0"/>
    <s v="4103006"/>
    <s v="02"/>
    <n v="11"/>
    <s v="CSF"/>
    <x v="111"/>
    <n v="98339359628.299988"/>
    <n v="94021297445.539993"/>
  </r>
  <r>
    <x v="122"/>
    <s v="C"/>
    <s v="4103"/>
    <s v="1500"/>
    <s v="12"/>
    <s v="0"/>
    <s v="4103006"/>
    <s v="03"/>
    <n v="10"/>
    <s v="CSF"/>
    <x v="82"/>
    <n v="0"/>
    <n v="0"/>
  </r>
  <r>
    <x v="122"/>
    <s v="C"/>
    <s v="4103"/>
    <s v="1500"/>
    <s v="12"/>
    <s v="0"/>
    <s v="4103006"/>
    <s v="03"/>
    <s v="11"/>
    <s v="CSF"/>
    <x v="82"/>
    <n v="2400010818420.7002"/>
    <n v="2381540512848"/>
  </r>
  <r>
    <x v="123"/>
    <s v="C"/>
    <s v="4103"/>
    <s v="1500"/>
    <s v="12"/>
    <s v="0"/>
    <n v="4103009"/>
    <m/>
    <n v="10"/>
    <s v="CSF"/>
    <x v="121"/>
    <n v="5135031951"/>
    <n v="5135031951"/>
  </r>
  <r>
    <x v="124"/>
    <s v="C"/>
    <s v="4103"/>
    <s v="1500"/>
    <s v="12"/>
    <s v="0"/>
    <n v="4103009"/>
    <s v="02"/>
    <n v="10"/>
    <s v="CSF"/>
    <x v="111"/>
    <n v="0"/>
    <n v="0"/>
  </r>
  <r>
    <x v="124"/>
    <s v="C"/>
    <s v="4103"/>
    <s v="1500"/>
    <s v="12"/>
    <s v="0"/>
    <n v="4103009"/>
    <s v="02"/>
    <n v="11"/>
    <s v="CSF"/>
    <x v="111"/>
    <n v="5135031951"/>
    <n v="5135031951"/>
  </r>
  <r>
    <x v="125"/>
    <s v="C"/>
    <s v="4103"/>
    <s v="1500"/>
    <s v="13"/>
    <m/>
    <m/>
    <m/>
    <m/>
    <m/>
    <x v="122"/>
    <n v="27000000000"/>
    <n v="26899411841"/>
  </r>
  <r>
    <x v="126"/>
    <s v="C"/>
    <s v="4103"/>
    <s v="1500"/>
    <s v="13"/>
    <s v="0"/>
    <s v="4103051"/>
    <m/>
    <n v="11"/>
    <s v="CSF"/>
    <x v="123"/>
    <n v="2847234333"/>
    <n v="2847234333"/>
  </r>
  <r>
    <x v="127"/>
    <s v="C"/>
    <s v="4103"/>
    <s v="1500"/>
    <s v="13"/>
    <s v="0"/>
    <s v="4103051"/>
    <s v="02"/>
    <n v="11"/>
    <s v="CSF"/>
    <x v="111"/>
    <n v="2847234333"/>
    <n v="2847234333"/>
  </r>
  <r>
    <x v="128"/>
    <s v="C"/>
    <s v="4103"/>
    <s v="1500"/>
    <s v="13"/>
    <s v="0"/>
    <s v="4103053"/>
    <m/>
    <n v="11"/>
    <s v="CSF"/>
    <x v="124"/>
    <n v="2304259288"/>
    <n v="2304259288"/>
  </r>
  <r>
    <x v="129"/>
    <s v="C"/>
    <s v="4103"/>
    <s v="1500"/>
    <s v="13"/>
    <s v="0"/>
    <s v="4103053"/>
    <s v="02"/>
    <n v="11"/>
    <s v="CSF"/>
    <x v="111"/>
    <n v="2304259288"/>
    <n v="2304259288"/>
  </r>
  <r>
    <x v="130"/>
    <s v="C"/>
    <s v="4103"/>
    <s v="1500"/>
    <s v="13"/>
    <s v="0"/>
    <s v="4103054"/>
    <m/>
    <n v="11"/>
    <s v="CSF"/>
    <x v="125"/>
    <n v="2719410079"/>
    <n v="2620669269"/>
  </r>
  <r>
    <x v="131"/>
    <s v="C"/>
    <s v="4103"/>
    <s v="1500"/>
    <s v="13"/>
    <s v="0"/>
    <s v="4103054"/>
    <s v="02"/>
    <n v="11"/>
    <s v="CSF"/>
    <x v="111"/>
    <n v="2719410079"/>
    <n v="2620669269"/>
  </r>
  <r>
    <x v="132"/>
    <s v="C"/>
    <s v="4103"/>
    <s v="1500"/>
    <s v="13"/>
    <s v="0"/>
    <s v="4103055"/>
    <m/>
    <n v="11"/>
    <s v="CSF"/>
    <x v="126"/>
    <n v="19129096300"/>
    <n v="19127248951"/>
  </r>
  <r>
    <x v="133"/>
    <s v="C"/>
    <s v="4103"/>
    <s v="1500"/>
    <s v="13"/>
    <s v="0"/>
    <s v="4103055"/>
    <s v="02"/>
    <n v="11"/>
    <s v="CSF"/>
    <x v="111"/>
    <n v="19129096300"/>
    <n v="19127248951"/>
  </r>
  <r>
    <x v="134"/>
    <s v="C"/>
    <s v="4103"/>
    <s v="1500"/>
    <s v="14"/>
    <m/>
    <m/>
    <m/>
    <m/>
    <m/>
    <x v="127"/>
    <n v="902681224817"/>
    <n v="879031426217.26001"/>
  </r>
  <r>
    <x v="56"/>
    <m/>
    <m/>
    <m/>
    <m/>
    <m/>
    <m/>
    <m/>
    <m/>
    <m/>
    <x v="128"/>
    <n v="0"/>
    <m/>
  </r>
  <r>
    <x v="135"/>
    <s v="C"/>
    <s v="4103"/>
    <s v="1500"/>
    <s v="14"/>
    <s v="0"/>
    <s v="4103016"/>
    <m/>
    <m/>
    <m/>
    <x v="129"/>
    <n v="879038768752.47998"/>
    <n v="855723605794.64001"/>
  </r>
  <r>
    <x v="136"/>
    <s v="C"/>
    <s v="4103"/>
    <s v="1500"/>
    <s v="14"/>
    <s v="0"/>
    <s v="4103016"/>
    <s v="02"/>
    <n v="11"/>
    <s v="CSF"/>
    <x v="111"/>
    <n v="68978581412.999985"/>
    <n v="68366071947.160004"/>
  </r>
  <r>
    <x v="137"/>
    <s v="C"/>
    <s v="4103"/>
    <s v="1500"/>
    <s v="14"/>
    <s v="0"/>
    <s v="4103016"/>
    <s v="03"/>
    <s v="10"/>
    <s v="CSF"/>
    <x v="82"/>
    <n v="0"/>
    <m/>
  </r>
  <r>
    <x v="137"/>
    <s v="C"/>
    <s v="4103"/>
    <s v="1500"/>
    <s v="14"/>
    <s v="0"/>
    <s v="4103016"/>
    <s v="03"/>
    <n v="11"/>
    <s v="CSF"/>
    <x v="82"/>
    <n v="810060187339.47998"/>
    <n v="787357533847.47998"/>
  </r>
  <r>
    <x v="138"/>
    <s v="C"/>
    <s v="4103"/>
    <s v="1500"/>
    <s v="14"/>
    <s v="0"/>
    <s v="4103048"/>
    <m/>
    <n v="11"/>
    <s v="CSF"/>
    <x v="130"/>
    <n v="23642456064.52"/>
    <n v="23307820422.619999"/>
  </r>
  <r>
    <x v="139"/>
    <s v="C"/>
    <s v="4103"/>
    <s v="1500"/>
    <s v="14"/>
    <s v="0"/>
    <s v="4103048"/>
    <s v="02"/>
    <n v="11"/>
    <s v="CSF"/>
    <x v="111"/>
    <n v="23642456064.52"/>
    <n v="23307820422.619999"/>
  </r>
  <r>
    <x v="140"/>
    <s v="C"/>
    <s v="4103"/>
    <s v="1500"/>
    <s v="16"/>
    <m/>
    <m/>
    <m/>
    <m/>
    <m/>
    <x v="131"/>
    <n v="500000000"/>
    <n v="500000000"/>
  </r>
  <r>
    <x v="141"/>
    <s v="C"/>
    <s v="4103"/>
    <s v="1500"/>
    <s v="16"/>
    <s v="0"/>
    <s v="4103056"/>
    <m/>
    <s v="11"/>
    <s v="CSF"/>
    <x v="132"/>
    <n v="95000000"/>
    <n v="95000000"/>
  </r>
  <r>
    <x v="142"/>
    <s v="C"/>
    <s v="4103"/>
    <s v="1500"/>
    <s v="16"/>
    <s v="0"/>
    <s v="4103056"/>
    <s v="02"/>
    <s v="11"/>
    <s v="CSF"/>
    <x v="111"/>
    <n v="95000000"/>
    <n v="95000000"/>
  </r>
  <r>
    <x v="143"/>
    <s v="C"/>
    <s v="4103"/>
    <s v="1500"/>
    <s v="16"/>
    <s v="0"/>
    <s v="4103060"/>
    <m/>
    <s v="11"/>
    <s v="CSF"/>
    <x v="133"/>
    <n v="405000000"/>
    <n v="405000000"/>
  </r>
  <r>
    <x v="144"/>
    <s v="C"/>
    <s v="4103"/>
    <s v="1500"/>
    <s v="16"/>
    <s v="0"/>
    <s v="4103060"/>
    <s v="02"/>
    <s v="11"/>
    <s v="CSF"/>
    <x v="111"/>
    <n v="405000000"/>
    <n v="405000000"/>
  </r>
  <r>
    <x v="145"/>
    <s v="C"/>
    <s v="4103"/>
    <s v="1500"/>
    <s v="17"/>
    <m/>
    <m/>
    <m/>
    <m/>
    <m/>
    <x v="134"/>
    <n v="8981138916"/>
    <n v="8920720035"/>
  </r>
  <r>
    <x v="146"/>
    <s v="C"/>
    <s v="4103"/>
    <s v="1500"/>
    <s v="17"/>
    <s v="0"/>
    <s v="4103005"/>
    <m/>
    <n v="11"/>
    <s v="CSF"/>
    <x v="135"/>
    <n v="1247691187"/>
    <n v="1239287616"/>
  </r>
  <r>
    <x v="147"/>
    <s v="C"/>
    <s v="4103"/>
    <s v="1500"/>
    <s v="17"/>
    <s v="0"/>
    <s v="4103005"/>
    <s v="02"/>
    <n v="11"/>
    <s v="CSF"/>
    <x v="111"/>
    <n v="1247691187"/>
    <n v="1239287616"/>
  </r>
  <r>
    <x v="148"/>
    <s v="C"/>
    <s v="4103"/>
    <s v="1500"/>
    <s v="17"/>
    <s v="0"/>
    <s v="4103057"/>
    <m/>
    <n v="11"/>
    <s v="CSF"/>
    <x v="136"/>
    <n v="5693924313"/>
    <n v="5641909003"/>
  </r>
  <r>
    <x v="149"/>
    <s v="C"/>
    <s v="4103"/>
    <s v="1500"/>
    <s v="17"/>
    <s v="0"/>
    <s v="4103057"/>
    <s v="02"/>
    <n v="11"/>
    <s v="CSF"/>
    <x v="111"/>
    <n v="756091390"/>
    <n v="751494961"/>
  </r>
  <r>
    <x v="150"/>
    <s v="C"/>
    <s v="4103"/>
    <s v="1500"/>
    <s v="17"/>
    <s v="0"/>
    <s v="4103057"/>
    <s v="03"/>
    <n v="11"/>
    <s v="CSF"/>
    <x v="82"/>
    <n v="4937832923"/>
    <n v="4890414042"/>
  </r>
  <r>
    <x v="151"/>
    <s v="C"/>
    <s v="4103"/>
    <s v="1500"/>
    <s v="17"/>
    <s v="0"/>
    <s v="4103058"/>
    <m/>
    <n v="11"/>
    <s v="CSF"/>
    <x v="137"/>
    <n v="1818499224"/>
    <n v="1818499224"/>
  </r>
  <r>
    <x v="152"/>
    <s v="C"/>
    <s v="4103"/>
    <s v="1500"/>
    <s v="17"/>
    <s v="0"/>
    <s v="4103058"/>
    <s v="02"/>
    <n v="11"/>
    <s v="CSF"/>
    <x v="111"/>
    <n v="259599224"/>
    <n v="259599224"/>
  </r>
  <r>
    <x v="153"/>
    <s v="C"/>
    <s v="4103"/>
    <s v="1500"/>
    <s v="17"/>
    <s v="0"/>
    <s v="4103058"/>
    <s v="03"/>
    <n v="11"/>
    <s v="CSF"/>
    <x v="82"/>
    <n v="1558900000"/>
    <n v="1558900000"/>
  </r>
  <r>
    <x v="154"/>
    <s v="C"/>
    <s v="4103"/>
    <s v="1500"/>
    <s v="17"/>
    <s v="0"/>
    <s v="4103059"/>
    <m/>
    <n v="11"/>
    <s v="CSF"/>
    <x v="138"/>
    <n v="221024192"/>
    <n v="221024192"/>
  </r>
  <r>
    <x v="155"/>
    <s v="C"/>
    <s v="4103"/>
    <s v="1500"/>
    <s v="17"/>
    <s v="0"/>
    <s v="4103059"/>
    <s v="02"/>
    <n v="11"/>
    <s v="CSF"/>
    <x v="111"/>
    <n v="221024192"/>
    <n v="221024192"/>
  </r>
  <r>
    <x v="56"/>
    <s v="C"/>
    <s v="4103"/>
    <s v="1500"/>
    <n v="18"/>
    <m/>
    <m/>
    <m/>
    <m/>
    <m/>
    <x v="139"/>
    <n v="0"/>
    <n v="0"/>
  </r>
  <r>
    <x v="56"/>
    <s v="C"/>
    <s v="4103"/>
    <s v="1500"/>
    <n v="18"/>
    <s v="0"/>
    <n v="4103050"/>
    <m/>
    <n v="11"/>
    <s v="CSF"/>
    <x v="140"/>
    <n v="0"/>
    <n v="0"/>
  </r>
  <r>
    <x v="56"/>
    <s v="C"/>
    <s v="4103"/>
    <s v="1500"/>
    <n v="18"/>
    <s v="0"/>
    <n v="4103050"/>
    <s v="02"/>
    <n v="11"/>
    <s v="CSF"/>
    <x v="111"/>
    <n v="0"/>
    <m/>
  </r>
  <r>
    <x v="156"/>
    <s v="C"/>
    <s v="4103"/>
    <s v="1500"/>
    <n v="19"/>
    <m/>
    <m/>
    <m/>
    <m/>
    <m/>
    <x v="141"/>
    <n v="14493806741"/>
    <n v="14252037933.77"/>
  </r>
  <r>
    <x v="157"/>
    <s v="C"/>
    <s v="4103"/>
    <s v="1500"/>
    <n v="19"/>
    <s v="0"/>
    <n v="4103049"/>
    <m/>
    <n v="11"/>
    <s v="CSF"/>
    <x v="142"/>
    <n v="297454258"/>
    <n v="273593730"/>
  </r>
  <r>
    <x v="158"/>
    <s v="C"/>
    <s v="4103"/>
    <s v="1500"/>
    <n v="19"/>
    <s v="0"/>
    <n v="4103049"/>
    <s v="02"/>
    <n v="11"/>
    <s v="CSF"/>
    <x v="111"/>
    <n v="297454258"/>
    <n v="273593730"/>
  </r>
  <r>
    <x v="159"/>
    <s v="C"/>
    <s v="4103"/>
    <s v="1500"/>
    <n v="19"/>
    <s v="0"/>
    <n v="4103052"/>
    <m/>
    <n v="11"/>
    <s v="CSF"/>
    <x v="143"/>
    <n v="14196352483"/>
    <n v="13978444203.77"/>
  </r>
  <r>
    <x v="160"/>
    <s v="C"/>
    <s v="4103"/>
    <s v="1500"/>
    <n v="19"/>
    <s v="0"/>
    <n v="4103052"/>
    <s v="02"/>
    <n v="11"/>
    <s v="CSF"/>
    <x v="111"/>
    <n v="14196352483"/>
    <n v="13978444203.77"/>
  </r>
  <r>
    <x v="56"/>
    <s v="C"/>
    <s v="4103"/>
    <s v="1500"/>
    <n v="19"/>
    <s v="0"/>
    <n v="4103060"/>
    <m/>
    <n v="11"/>
    <s v="CSF"/>
    <x v="133"/>
    <n v="0"/>
    <n v="0"/>
  </r>
  <r>
    <x v="56"/>
    <s v="C"/>
    <s v="4103"/>
    <s v="1500"/>
    <n v="19"/>
    <s v="0"/>
    <n v="4103060"/>
    <s v="02"/>
    <n v="11"/>
    <s v="CSF"/>
    <x v="111"/>
    <n v="0"/>
    <n v="0"/>
  </r>
  <r>
    <x v="161"/>
    <s v="C"/>
    <s v="4103"/>
    <s v="1500"/>
    <n v="20"/>
    <m/>
    <m/>
    <m/>
    <m/>
    <m/>
    <x v="144"/>
    <n v="958240000000"/>
    <n v="943425405379.22998"/>
  </r>
  <r>
    <x v="162"/>
    <s v="C"/>
    <s v="4103"/>
    <s v="1500"/>
    <n v="20"/>
    <s v="0"/>
    <n v="4103061"/>
    <m/>
    <n v="11"/>
    <s v="CSF"/>
    <x v="145"/>
    <n v="958240000000"/>
    <n v="943425405379.22998"/>
  </r>
  <r>
    <x v="163"/>
    <s v="C"/>
    <s v="4103"/>
    <s v="1500"/>
    <n v="20"/>
    <s v="0"/>
    <n v="4103061"/>
    <s v="02"/>
    <n v="11"/>
    <s v="CSF"/>
    <x v="111"/>
    <n v="50518387000"/>
    <n v="35703792379.230003"/>
  </r>
  <r>
    <x v="164"/>
    <s v="C"/>
    <s v="4103"/>
    <s v="1500"/>
    <n v="20"/>
    <s v="0"/>
    <n v="4103061"/>
    <s v="03"/>
    <n v="11"/>
    <s v="CSF"/>
    <x v="82"/>
    <n v="907721613000"/>
    <n v="907721613000"/>
  </r>
  <r>
    <x v="165"/>
    <s v="C"/>
    <n v="4103"/>
    <s v="1500"/>
    <n v="21"/>
    <m/>
    <m/>
    <m/>
    <m/>
    <m/>
    <x v="146"/>
    <n v="25000000000"/>
    <n v="24965995697.889999"/>
  </r>
  <r>
    <x v="166"/>
    <s v="C"/>
    <n v="4103"/>
    <s v="1500"/>
    <n v="21"/>
    <s v="0"/>
    <s v="4103005"/>
    <m/>
    <s v="11"/>
    <s v="CSF"/>
    <x v="147"/>
    <n v="2475590106"/>
    <n v="2475590106"/>
  </r>
  <r>
    <x v="167"/>
    <s v="C"/>
    <n v="4103"/>
    <s v="1500"/>
    <n v="21"/>
    <s v="0"/>
    <s v="4103005"/>
    <s v="02"/>
    <s v="11"/>
    <s v="CSF"/>
    <x v="111"/>
    <n v="2475590106"/>
    <n v="2475590106"/>
  </r>
  <r>
    <x v="168"/>
    <s v="C"/>
    <n v="4103"/>
    <s v="1500"/>
    <n v="21"/>
    <s v="0"/>
    <s v="4103050"/>
    <m/>
    <s v="11"/>
    <s v="CSF"/>
    <x v="148"/>
    <n v="1113709158"/>
    <n v="1113709158"/>
  </r>
  <r>
    <x v="169"/>
    <s v="C"/>
    <n v="4103"/>
    <s v="1500"/>
    <n v="21"/>
    <s v="0"/>
    <s v="4103050"/>
    <s v="02"/>
    <s v="11"/>
    <s v="CSF"/>
    <x v="111"/>
    <n v="1113709158"/>
    <n v="1113709158"/>
  </r>
  <r>
    <x v="170"/>
    <s v="C"/>
    <n v="4103"/>
    <s v="1500"/>
    <n v="21"/>
    <s v="0"/>
    <s v="4103051"/>
    <m/>
    <s v="11"/>
    <s v="CSF"/>
    <x v="149"/>
    <n v="1536754755"/>
    <n v="1536754755"/>
  </r>
  <r>
    <x v="171"/>
    <s v="C"/>
    <n v="4103"/>
    <s v="1500"/>
    <n v="21"/>
    <s v="0"/>
    <s v="4103051"/>
    <s v="02"/>
    <s v="11"/>
    <s v="CSF"/>
    <x v="111"/>
    <n v="1536754755"/>
    <n v="1536754755"/>
  </r>
  <r>
    <x v="172"/>
    <s v="C"/>
    <n v="4103"/>
    <s v="1500"/>
    <n v="21"/>
    <s v="0"/>
    <s v="4103055"/>
    <m/>
    <s v="11"/>
    <s v="CSF"/>
    <x v="150"/>
    <n v="4563284631"/>
    <n v="4563284630"/>
  </r>
  <r>
    <x v="173"/>
    <s v="C"/>
    <n v="4103"/>
    <s v="1500"/>
    <n v="21"/>
    <s v="0"/>
    <s v="4103055"/>
    <s v="02"/>
    <s v="11"/>
    <s v="CSF"/>
    <x v="111"/>
    <n v="4563284631"/>
    <n v="4563284630"/>
  </r>
  <r>
    <x v="174"/>
    <s v="C"/>
    <n v="4103"/>
    <s v="1500"/>
    <n v="21"/>
    <s v="0"/>
    <s v="4103058"/>
    <m/>
    <s v="11"/>
    <s v="CSF"/>
    <x v="151"/>
    <n v="15310661350"/>
    <n v="15276657048.889999"/>
  </r>
  <r>
    <x v="175"/>
    <s v="C"/>
    <n v="4103"/>
    <s v="1500"/>
    <n v="21"/>
    <s v="0"/>
    <s v="4103058"/>
    <s v="02"/>
    <s v="11"/>
    <s v="CSF"/>
    <x v="111"/>
    <n v="15310661350"/>
    <n v="15276657048.889999"/>
  </r>
  <r>
    <x v="176"/>
    <s v="C"/>
    <n v="4103"/>
    <s v="1500"/>
    <n v="21"/>
    <s v="0"/>
    <s v="4103058"/>
    <s v="03"/>
    <s v="11"/>
    <s v="CSF"/>
    <x v="82"/>
    <n v="0"/>
    <n v="0"/>
  </r>
  <r>
    <x v="177"/>
    <s v="C"/>
    <n v="4103"/>
    <s v="1500"/>
    <n v="22"/>
    <m/>
    <m/>
    <m/>
    <m/>
    <m/>
    <x v="152"/>
    <n v="137284000000"/>
    <n v="136828216462.57001"/>
  </r>
  <r>
    <x v="178"/>
    <s v="C"/>
    <n v="4103"/>
    <s v="1500"/>
    <n v="22"/>
    <s v="0"/>
    <s v="4103005"/>
    <m/>
    <s v="11"/>
    <s v="CSF"/>
    <x v="153"/>
    <n v="9031396541"/>
    <n v="9031396511"/>
  </r>
  <r>
    <x v="179"/>
    <s v="C"/>
    <n v="4103"/>
    <s v="1500"/>
    <n v="22"/>
    <s v="0"/>
    <s v="4103005"/>
    <s v="02"/>
    <s v="11"/>
    <s v="CSF"/>
    <x v="111"/>
    <n v="9031396541"/>
    <n v="9031396511"/>
  </r>
  <r>
    <x v="180"/>
    <s v="C"/>
    <n v="4103"/>
    <s v="1500"/>
    <n v="22"/>
    <s v="0"/>
    <s v="4103050"/>
    <m/>
    <s v="11"/>
    <s v="CSF"/>
    <x v="154"/>
    <n v="6288213549"/>
    <n v="6009094079.5699997"/>
  </r>
  <r>
    <x v="181"/>
    <s v="C"/>
    <n v="4103"/>
    <s v="1500"/>
    <n v="22"/>
    <s v="0"/>
    <s v="4103050"/>
    <s v="02"/>
    <s v="11"/>
    <s v="CSF"/>
    <x v="111"/>
    <n v="6288213549"/>
    <n v="6009094079.5699997"/>
  </r>
  <r>
    <x v="182"/>
    <s v="C"/>
    <n v="4103"/>
    <s v="1500"/>
    <n v="22"/>
    <s v="0"/>
    <s v="4103050"/>
    <s v="03"/>
    <s v="11"/>
    <s v="CSF"/>
    <x v="82"/>
    <n v="0"/>
    <n v="0"/>
  </r>
  <r>
    <x v="183"/>
    <s v="C"/>
    <n v="4103"/>
    <s v="1500"/>
    <n v="22"/>
    <s v="0"/>
    <n v="4103051"/>
    <m/>
    <s v="11"/>
    <s v="CSF"/>
    <x v="155"/>
    <n v="3268617345"/>
    <n v="3268617345"/>
  </r>
  <r>
    <x v="184"/>
    <s v="C"/>
    <n v="4103"/>
    <s v="1500"/>
    <n v="22"/>
    <s v="0"/>
    <n v="4103051"/>
    <s v="02"/>
    <s v="11"/>
    <s v="CSF"/>
    <x v="111"/>
    <n v="3268617345"/>
    <n v="3268617345"/>
  </r>
  <r>
    <x v="185"/>
    <s v="C"/>
    <n v="4103"/>
    <s v="1500"/>
    <n v="22"/>
    <s v="0"/>
    <n v="4103055"/>
    <m/>
    <s v="11"/>
    <s v="CSF"/>
    <x v="156"/>
    <n v="17030714381"/>
    <n v="17030714381"/>
  </r>
  <r>
    <x v="186"/>
    <s v="C"/>
    <n v="4103"/>
    <s v="1500"/>
    <n v="22"/>
    <s v="0"/>
    <s v="4103055"/>
    <s v="02"/>
    <s v="11"/>
    <s v="CSF"/>
    <x v="111"/>
    <n v="515114381"/>
    <n v="515114381"/>
  </r>
  <r>
    <x v="187"/>
    <s v="C"/>
    <n v="4103"/>
    <s v="1500"/>
    <n v="22"/>
    <s v="0"/>
    <s v="4103055"/>
    <s v="03"/>
    <s v="11"/>
    <s v="CSF"/>
    <x v="82"/>
    <n v="16515600000"/>
    <n v="16515600000"/>
  </r>
  <r>
    <x v="188"/>
    <s v="C"/>
    <n v="4103"/>
    <s v="1500"/>
    <n v="22"/>
    <s v="0"/>
    <n v="4103057"/>
    <m/>
    <s v="11"/>
    <s v="CSF"/>
    <x v="157"/>
    <n v="98063436538"/>
    <n v="97886772500"/>
  </r>
  <r>
    <x v="189"/>
    <s v="C"/>
    <n v="4103"/>
    <s v="1500"/>
    <n v="22"/>
    <s v="0"/>
    <s v="4103057"/>
    <s v="02"/>
    <s v="11"/>
    <s v="CSF"/>
    <x v="111"/>
    <n v="6763610538"/>
    <n v="6586946500"/>
  </r>
  <r>
    <x v="190"/>
    <s v="C"/>
    <n v="4103"/>
    <s v="1500"/>
    <n v="22"/>
    <s v="0"/>
    <s v="4103057"/>
    <s v="03"/>
    <s v="11"/>
    <s v="CSF"/>
    <x v="82"/>
    <n v="91299826000"/>
    <n v="91299826000"/>
  </r>
  <r>
    <x v="191"/>
    <s v="C"/>
    <n v="4103"/>
    <s v="1500"/>
    <n v="22"/>
    <s v="0"/>
    <n v="4103062"/>
    <m/>
    <s v="11"/>
    <s v="CSF"/>
    <x v="158"/>
    <n v="3601621646"/>
    <n v="3601621646"/>
  </r>
  <r>
    <x v="192"/>
    <s v="C"/>
    <n v="4103"/>
    <s v="1500"/>
    <n v="22"/>
    <s v="0"/>
    <s v="4103062"/>
    <s v="02"/>
    <s v="11"/>
    <s v="CSF"/>
    <x v="111"/>
    <n v="3601621646"/>
    <n v="3601621646"/>
  </r>
  <r>
    <x v="193"/>
    <s v="C"/>
    <n v="4103"/>
    <s v="1500"/>
    <n v="22"/>
    <s v="0"/>
    <s v="4103062"/>
    <s v="03"/>
    <s v="11"/>
    <s v="CSF"/>
    <x v="82"/>
    <n v="0"/>
    <n v="0"/>
  </r>
  <r>
    <x v="194"/>
    <s v="C"/>
    <s v="4103"/>
    <s v="1500"/>
    <n v="23"/>
    <m/>
    <m/>
    <m/>
    <m/>
    <m/>
    <x v="159"/>
    <n v="1769368130080"/>
    <n v="1619353653724.0901"/>
  </r>
  <r>
    <x v="195"/>
    <s v="C"/>
    <s v="4103"/>
    <s v="1500"/>
    <n v="23"/>
    <s v="0"/>
    <n v="4103065"/>
    <m/>
    <n v="11"/>
    <s v="CSF"/>
    <x v="159"/>
    <n v="1769368130080"/>
    <n v="1619353653724.0901"/>
  </r>
  <r>
    <x v="196"/>
    <s v="C"/>
    <s v="4103"/>
    <s v="1500"/>
    <n v="23"/>
    <s v="0"/>
    <n v="4103065"/>
    <s v="02"/>
    <n v="11"/>
    <s v="CSF"/>
    <x v="111"/>
    <n v="13747392441.09"/>
    <n v="13710507091.73"/>
  </r>
  <r>
    <x v="196"/>
    <s v="C"/>
    <s v="4103"/>
    <s v="1500"/>
    <n v="23"/>
    <s v="0"/>
    <n v="4103065"/>
    <s v="02"/>
    <n v="16"/>
    <s v="SSF"/>
    <x v="111"/>
    <n v="68256379176"/>
    <n v="66393396632.860001"/>
  </r>
  <r>
    <x v="197"/>
    <s v="C"/>
    <s v="4103"/>
    <s v="1500"/>
    <n v="23"/>
    <s v="0"/>
    <n v="4103065"/>
    <s v="03"/>
    <n v="11"/>
    <s v="CSF"/>
    <x v="82"/>
    <n v="374252607558.90997"/>
    <n v="374252607558.90997"/>
  </r>
  <r>
    <x v="197"/>
    <s v="C"/>
    <s v="4103"/>
    <s v="1500"/>
    <n v="23"/>
    <s v="0"/>
    <n v="4103065"/>
    <s v="03"/>
    <n v="16"/>
    <s v="SSF"/>
    <x v="82"/>
    <n v="1313111750904"/>
    <n v="1164997142440.5901"/>
  </r>
  <r>
    <x v="198"/>
    <s v="C"/>
    <n v="4199"/>
    <m/>
    <m/>
    <m/>
    <m/>
    <m/>
    <m/>
    <m/>
    <x v="160"/>
    <n v="3226548466"/>
    <n v="3226163153.0100002"/>
  </r>
  <r>
    <x v="199"/>
    <s v="C"/>
    <n v="4199"/>
    <n v="1500"/>
    <m/>
    <m/>
    <m/>
    <m/>
    <m/>
    <m/>
    <x v="108"/>
    <n v="3226548466"/>
    <n v="3226163153.0100002"/>
  </r>
  <r>
    <x v="200"/>
    <s v="C"/>
    <s v="4199"/>
    <s v="1500"/>
    <s v="2"/>
    <m/>
    <m/>
    <m/>
    <m/>
    <m/>
    <x v="161"/>
    <n v="3226548466"/>
    <n v="3226163153.0100002"/>
  </r>
  <r>
    <x v="201"/>
    <s v="C"/>
    <s v="4199"/>
    <s v="1500"/>
    <s v="2"/>
    <s v="0"/>
    <s v="4199062"/>
    <m/>
    <n v="11"/>
    <s v="CSF"/>
    <x v="162"/>
    <n v="3226548466"/>
    <n v="3226163153.0100002"/>
  </r>
  <r>
    <x v="202"/>
    <s v="C"/>
    <s v="4199"/>
    <s v="1500"/>
    <s v="2"/>
    <s v="0"/>
    <s v="4199062"/>
    <s v="02"/>
    <n v="11"/>
    <s v="CSF"/>
    <x v="111"/>
    <n v="3226548466"/>
    <n v="3226163153.010000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">
  <r>
    <x v="0"/>
    <s v="A"/>
    <m/>
    <m/>
    <m/>
    <m/>
    <m/>
    <m/>
    <m/>
    <m/>
    <x v="0"/>
    <n v="190558270445"/>
    <n v="176554589344.47"/>
  </r>
  <r>
    <x v="1"/>
    <s v="A"/>
    <s v="01"/>
    <m/>
    <m/>
    <m/>
    <m/>
    <m/>
    <m/>
    <m/>
    <x v="1"/>
    <n v="118340000000"/>
    <n v="107501890081.39999"/>
  </r>
  <r>
    <x v="2"/>
    <s v="A"/>
    <s v="01"/>
    <s v="01"/>
    <m/>
    <m/>
    <m/>
    <m/>
    <m/>
    <m/>
    <x v="2"/>
    <n v="118340000000"/>
    <n v="107501890081.39999"/>
  </r>
  <r>
    <x v="3"/>
    <s v="A"/>
    <s v="01"/>
    <s v="01"/>
    <s v="01"/>
    <m/>
    <m/>
    <m/>
    <s v="10"/>
    <s v="CSF"/>
    <x v="3"/>
    <n v="78484000000"/>
    <n v="71984651420"/>
  </r>
  <r>
    <x v="4"/>
    <s v="A"/>
    <s v="01"/>
    <s v="01"/>
    <s v="01"/>
    <s v="001"/>
    <m/>
    <m/>
    <s v="10"/>
    <s v="CSF"/>
    <x v="4"/>
    <n v="78484000000"/>
    <n v="71984651420"/>
  </r>
  <r>
    <x v="5"/>
    <s v="A"/>
    <s v="01"/>
    <s v="01"/>
    <s v="01"/>
    <s v="001"/>
    <s v="001"/>
    <m/>
    <s v="10"/>
    <s v="CSF"/>
    <x v="5"/>
    <n v="59815000000"/>
    <n v="57225396393"/>
  </r>
  <r>
    <x v="6"/>
    <s v="A"/>
    <s v="01"/>
    <s v="01"/>
    <s v="01"/>
    <s v="001"/>
    <s v="002"/>
    <m/>
    <s v="10"/>
    <s v="CSF"/>
    <x v="6"/>
    <n v="298000000"/>
    <n v="258651257"/>
  </r>
  <r>
    <x v="7"/>
    <s v="A"/>
    <s v="01"/>
    <s v="01"/>
    <s v="01"/>
    <s v="001"/>
    <s v="003"/>
    <m/>
    <s v="10"/>
    <s v="CSF"/>
    <x v="7"/>
    <n v="540000000"/>
    <n v="461111365"/>
  </r>
  <r>
    <x v="8"/>
    <s v="A"/>
    <s v="01"/>
    <s v="01"/>
    <s v="01"/>
    <s v="001"/>
    <s v="004"/>
    <m/>
    <s v="10"/>
    <s v="CSF"/>
    <x v="8"/>
    <n v="96000000"/>
    <n v="88284130"/>
  </r>
  <r>
    <x v="9"/>
    <s v="A"/>
    <s v="01"/>
    <s v="01"/>
    <s v="01"/>
    <s v="001"/>
    <s v="005"/>
    <m/>
    <s v="10"/>
    <s v="CSF"/>
    <x v="9"/>
    <n v="150000000"/>
    <n v="121706025"/>
  </r>
  <r>
    <x v="10"/>
    <s v="A"/>
    <s v="01"/>
    <s v="01"/>
    <s v="01"/>
    <s v="001"/>
    <s v="006"/>
    <m/>
    <s v="10"/>
    <s v="CSF"/>
    <x v="10"/>
    <n v="3050000000"/>
    <n v="2812999479"/>
  </r>
  <r>
    <x v="11"/>
    <s v="A"/>
    <s v="01"/>
    <s v="01"/>
    <s v="01"/>
    <s v="001"/>
    <s v="007"/>
    <m/>
    <s v="10"/>
    <s v="CSF"/>
    <x v="11"/>
    <n v="1930000000"/>
    <n v="1908187839"/>
  </r>
  <r>
    <x v="12"/>
    <s v="A"/>
    <s v="01"/>
    <s v="01"/>
    <s v="01"/>
    <s v="001"/>
    <s v="008"/>
    <m/>
    <s v="10"/>
    <s v="CSF"/>
    <x v="12"/>
    <n v="170000000"/>
    <n v="162640217"/>
  </r>
  <r>
    <x v="13"/>
    <s v="A"/>
    <s v="01"/>
    <s v="01"/>
    <s v="01"/>
    <s v="001"/>
    <s v="009"/>
    <m/>
    <s v="10"/>
    <s v="CSF"/>
    <x v="13"/>
    <n v="9100000000"/>
    <n v="5875075922"/>
  </r>
  <r>
    <x v="14"/>
    <s v="A"/>
    <s v="01"/>
    <s v="01"/>
    <s v="01"/>
    <s v="001"/>
    <s v="010"/>
    <m/>
    <s v="10"/>
    <s v="CSF"/>
    <x v="14"/>
    <n v="3300000000"/>
    <n v="3063595814"/>
  </r>
  <r>
    <x v="15"/>
    <s v="A"/>
    <s v="01"/>
    <s v="01"/>
    <s v="01"/>
    <s v="001"/>
    <s v="012"/>
    <m/>
    <s v="10"/>
    <s v="CSF"/>
    <x v="15"/>
    <n v="35000000"/>
    <n v="7002979"/>
  </r>
  <r>
    <x v="16"/>
    <s v="A"/>
    <s v="01"/>
    <s v="01"/>
    <s v="02"/>
    <m/>
    <m/>
    <m/>
    <s v="10"/>
    <s v="CSF"/>
    <x v="16"/>
    <n v="29242000000"/>
    <n v="26520048626"/>
  </r>
  <r>
    <x v="17"/>
    <s v="A"/>
    <s v="01"/>
    <s v="01"/>
    <s v="02"/>
    <s v="001"/>
    <m/>
    <m/>
    <s v="10"/>
    <s v="CSF"/>
    <x v="17"/>
    <n v="8197400000"/>
    <n v="7712700500"/>
  </r>
  <r>
    <x v="18"/>
    <s v="A"/>
    <s v="01"/>
    <s v="01"/>
    <s v="02"/>
    <s v="002"/>
    <m/>
    <m/>
    <s v="10"/>
    <s v="CSF"/>
    <x v="18"/>
    <n v="6302400000"/>
    <n v="5490306954"/>
  </r>
  <r>
    <x v="19"/>
    <s v="A"/>
    <s v="01"/>
    <s v="01"/>
    <s v="02"/>
    <s v="003"/>
    <m/>
    <m/>
    <s v="10"/>
    <s v="CSF"/>
    <x v="19"/>
    <n v="6809700000"/>
    <n v="6342320672"/>
  </r>
  <r>
    <x v="20"/>
    <s v="A"/>
    <s v="01"/>
    <s v="01"/>
    <s v="02"/>
    <s v="004"/>
    <m/>
    <m/>
    <s v="10"/>
    <s v="CSF"/>
    <x v="20"/>
    <n v="3187700000"/>
    <n v="2829976100"/>
  </r>
  <r>
    <x v="21"/>
    <s v="A"/>
    <s v="01"/>
    <s v="01"/>
    <s v="02"/>
    <s v="005"/>
    <m/>
    <m/>
    <s v="10"/>
    <s v="CSF"/>
    <x v="21"/>
    <n v="720000000"/>
    <n v="605708900"/>
  </r>
  <r>
    <x v="22"/>
    <s v="A"/>
    <s v="01"/>
    <s v="01"/>
    <s v="02"/>
    <s v="006"/>
    <m/>
    <m/>
    <s v="10"/>
    <s v="CSF"/>
    <x v="22"/>
    <n v="2414800000"/>
    <n v="2122574300"/>
  </r>
  <r>
    <x v="23"/>
    <s v="A"/>
    <s v="01"/>
    <s v="01"/>
    <s v="02"/>
    <s v="007"/>
    <m/>
    <m/>
    <s v="10"/>
    <s v="CSF"/>
    <x v="23"/>
    <n v="402500000"/>
    <n v="354246100"/>
  </r>
  <r>
    <x v="24"/>
    <s v="A"/>
    <s v="01"/>
    <s v="01"/>
    <s v="02"/>
    <s v="008"/>
    <m/>
    <m/>
    <s v="10"/>
    <s v="CSF"/>
    <x v="24"/>
    <n v="402500000"/>
    <n v="354246100"/>
  </r>
  <r>
    <x v="25"/>
    <s v="A"/>
    <s v="01"/>
    <s v="01"/>
    <s v="02"/>
    <s v="009"/>
    <m/>
    <m/>
    <s v="10"/>
    <s v="CSF"/>
    <x v="25"/>
    <n v="805000000"/>
    <n v="707969000"/>
  </r>
  <r>
    <x v="26"/>
    <s v="A"/>
    <s v="01"/>
    <s v="01"/>
    <s v="03"/>
    <m/>
    <m/>
    <m/>
    <s v="10"/>
    <s v="CSF"/>
    <x v="26"/>
    <n v="10614000000"/>
    <n v="8997190035.3999996"/>
  </r>
  <r>
    <x v="27"/>
    <s v="A"/>
    <s v="01"/>
    <s v="01"/>
    <s v="03"/>
    <s v="001"/>
    <m/>
    <m/>
    <s v="10"/>
    <s v="CSF"/>
    <x v="27"/>
    <n v="5848304102"/>
    <n v="4896660254"/>
  </r>
  <r>
    <x v="28"/>
    <s v="A"/>
    <s v="01"/>
    <s v="01"/>
    <s v="03"/>
    <s v="001"/>
    <s v="001"/>
    <m/>
    <s v="10"/>
    <s v="CSF"/>
    <x v="28"/>
    <n v="4418792279"/>
    <n v="3670257765"/>
  </r>
  <r>
    <x v="29"/>
    <s v="A"/>
    <s v="01"/>
    <s v="01"/>
    <s v="03"/>
    <s v="001"/>
    <s v="002"/>
    <m/>
    <s v="10"/>
    <s v="CSF"/>
    <x v="29"/>
    <n v="1002484081"/>
    <n v="852784350"/>
  </r>
  <r>
    <x v="30"/>
    <s v="A"/>
    <s v="01"/>
    <s v="01"/>
    <s v="03"/>
    <s v="001"/>
    <s v="003"/>
    <m/>
    <s v="10"/>
    <s v="CSF"/>
    <x v="30"/>
    <n v="427027742"/>
    <n v="373618139"/>
  </r>
  <r>
    <x v="31"/>
    <s v="A"/>
    <s v="01"/>
    <s v="01"/>
    <s v="03"/>
    <s v="002"/>
    <m/>
    <m/>
    <s v="10"/>
    <s v="CSF"/>
    <x v="31"/>
    <n v="2953230851"/>
    <n v="2603449377.4000001"/>
  </r>
  <r>
    <x v="32"/>
    <s v="A"/>
    <s v="01"/>
    <s v="01"/>
    <s v="03"/>
    <s v="005"/>
    <m/>
    <m/>
    <s v="10"/>
    <s v="CSF"/>
    <x v="32"/>
    <n v="4350544"/>
    <n v="4349560"/>
  </r>
  <r>
    <x v="33"/>
    <s v="A"/>
    <s v="01"/>
    <s v="01"/>
    <s v="03"/>
    <s v="007"/>
    <m/>
    <m/>
    <s v="10"/>
    <s v="CSF"/>
    <x v="33"/>
    <n v="1015058"/>
    <n v="1015058"/>
  </r>
  <r>
    <x v="34"/>
    <s v="A"/>
    <s v="01"/>
    <s v="01"/>
    <s v="03"/>
    <s v="013"/>
    <m/>
    <m/>
    <s v="10"/>
    <s v="CSF"/>
    <x v="34"/>
    <n v="30000000"/>
    <n v="30000000"/>
  </r>
  <r>
    <x v="35"/>
    <s v="A"/>
    <s v="01"/>
    <s v="01"/>
    <s v="03"/>
    <s v="016"/>
    <m/>
    <m/>
    <s v="10"/>
    <s v="CSF"/>
    <x v="35"/>
    <n v="1010200000"/>
    <n v="954108551"/>
  </r>
  <r>
    <x v="36"/>
    <s v="A"/>
    <s v="01"/>
    <s v="01"/>
    <s v="03"/>
    <s v="030"/>
    <m/>
    <m/>
    <s v="10"/>
    <s v="CSF"/>
    <x v="36"/>
    <n v="766899445"/>
    <n v="507607235"/>
  </r>
  <r>
    <x v="37"/>
    <s v="A"/>
    <s v="02"/>
    <m/>
    <m/>
    <m/>
    <m/>
    <m/>
    <m/>
    <m/>
    <x v="37"/>
    <n v="40529785402"/>
    <n v="37882731986.839989"/>
  </r>
  <r>
    <x v="38"/>
    <s v="A"/>
    <s v="02"/>
    <s v="01"/>
    <m/>
    <m/>
    <m/>
    <m/>
    <m/>
    <m/>
    <x v="38"/>
    <n v="190000000"/>
    <n v="0"/>
  </r>
  <r>
    <x v="39"/>
    <s v="A"/>
    <s v="02"/>
    <s v="01"/>
    <s v="01"/>
    <m/>
    <m/>
    <m/>
    <s v="10"/>
    <s v="CSF"/>
    <x v="39"/>
    <n v="190000000"/>
    <n v="0"/>
  </r>
  <r>
    <x v="40"/>
    <s v="A"/>
    <s v="02"/>
    <s v="01"/>
    <s v="01"/>
    <s v="004"/>
    <m/>
    <m/>
    <s v="10"/>
    <s v="CSF"/>
    <x v="40"/>
    <n v="190000000"/>
    <n v="0"/>
  </r>
  <r>
    <x v="41"/>
    <s v="A"/>
    <s v="02"/>
    <s v="01"/>
    <s v="01"/>
    <s v="004"/>
    <s v="006"/>
    <m/>
    <n v="10"/>
    <s v="CSF"/>
    <x v="41"/>
    <n v="100000000"/>
    <n v="0"/>
  </r>
  <r>
    <x v="42"/>
    <s v="A"/>
    <s v="02"/>
    <s v="01"/>
    <s v="01"/>
    <s v="004"/>
    <s v="007"/>
    <m/>
    <n v="10"/>
    <s v="CSF"/>
    <x v="42"/>
    <n v="90000000"/>
    <n v="0"/>
  </r>
  <r>
    <x v="43"/>
    <s v="A"/>
    <s v="02"/>
    <s v="02"/>
    <m/>
    <m/>
    <m/>
    <m/>
    <m/>
    <m/>
    <x v="43"/>
    <n v="40339785402"/>
    <n v="37882731986.839989"/>
  </r>
  <r>
    <x v="44"/>
    <s v="A"/>
    <s v="02"/>
    <s v="02"/>
    <s v="01"/>
    <m/>
    <m/>
    <m/>
    <s v="10"/>
    <s v="CSF"/>
    <x v="44"/>
    <n v="1153889375.3899999"/>
    <n v="931772495.88000011"/>
  </r>
  <r>
    <x v="45"/>
    <s v="A"/>
    <s v="02"/>
    <s v="02"/>
    <s v="01"/>
    <s v="001"/>
    <m/>
    <m/>
    <s v="10"/>
    <s v="CSF"/>
    <x v="45"/>
    <n v="26000000"/>
    <n v="16670404"/>
  </r>
  <r>
    <x v="46"/>
    <s v="A"/>
    <s v="02"/>
    <s v="02"/>
    <s v="01"/>
    <s v="001"/>
    <s v="005"/>
    <m/>
    <n v="10"/>
    <s v="CSF"/>
    <x v="46"/>
    <n v="13000000"/>
    <n v="8470404"/>
  </r>
  <r>
    <x v="47"/>
    <s v="A"/>
    <s v="02"/>
    <s v="02"/>
    <s v="01"/>
    <s v="001"/>
    <s v="007"/>
    <m/>
    <n v="10"/>
    <s v="CSF"/>
    <x v="47"/>
    <n v="13000000"/>
    <n v="8200000"/>
  </r>
  <r>
    <x v="48"/>
    <s v="A"/>
    <s v="02"/>
    <s v="02"/>
    <s v="01"/>
    <s v="002"/>
    <m/>
    <m/>
    <s v="10"/>
    <s v="CSF"/>
    <x v="48"/>
    <n v="130000000"/>
    <n v="92480000"/>
  </r>
  <r>
    <x v="49"/>
    <s v="A"/>
    <s v="02"/>
    <s v="02"/>
    <s v="01"/>
    <s v="002"/>
    <s v="008"/>
    <m/>
    <n v="10"/>
    <s v="CSF"/>
    <x v="49"/>
    <n v="130000000"/>
    <n v="92480000"/>
  </r>
  <r>
    <x v="50"/>
    <s v="A"/>
    <s v="02"/>
    <s v="02"/>
    <s v="01"/>
    <s v="003"/>
    <m/>
    <m/>
    <s v="10"/>
    <s v="CSF"/>
    <x v="50"/>
    <n v="494578625"/>
    <n v="475458310.94999999"/>
  </r>
  <r>
    <x v="51"/>
    <s v="A"/>
    <s v="02"/>
    <s v="02"/>
    <s v="01"/>
    <s v="003"/>
    <s v="002"/>
    <m/>
    <n v="10"/>
    <s v="CSF"/>
    <x v="51"/>
    <n v="313731067"/>
    <n v="310151301.30000001"/>
  </r>
  <r>
    <x v="52"/>
    <s v="A"/>
    <s v="02"/>
    <s v="02"/>
    <s v="01"/>
    <s v="003"/>
    <s v="003"/>
    <m/>
    <n v="10"/>
    <s v="CSF"/>
    <x v="52"/>
    <n v="76250108"/>
    <n v="71717809"/>
  </r>
  <r>
    <x v="53"/>
    <s v="A"/>
    <s v="02"/>
    <s v="02"/>
    <s v="01"/>
    <s v="003"/>
    <s v="005"/>
    <m/>
    <n v="10"/>
    <s v="CSF"/>
    <x v="53"/>
    <n v="7000000"/>
    <n v="6910949"/>
  </r>
  <r>
    <x v="54"/>
    <s v="A"/>
    <s v="02"/>
    <s v="02"/>
    <s v="01"/>
    <s v="003"/>
    <s v="006"/>
    <m/>
    <n v="10"/>
    <s v="CSF"/>
    <x v="54"/>
    <n v="23000000"/>
    <n v="22324802"/>
  </r>
  <r>
    <x v="55"/>
    <s v="A"/>
    <s v="02"/>
    <s v="02"/>
    <s v="01"/>
    <s v="003"/>
    <s v="007"/>
    <m/>
    <n v="10"/>
    <s v="CSF"/>
    <x v="55"/>
    <n v="11432000"/>
    <n v="9757000"/>
  </r>
  <r>
    <x v="56"/>
    <s v="A"/>
    <s v="02"/>
    <s v="02"/>
    <s v="01"/>
    <s v="003"/>
    <s v="008"/>
    <m/>
    <n v="10"/>
    <s v="CSF"/>
    <x v="56"/>
    <n v="63165450"/>
    <n v="54596449.649999999"/>
  </r>
  <r>
    <x v="57"/>
    <s v="A"/>
    <s v="02"/>
    <s v="02"/>
    <s v="01"/>
    <s v="004"/>
    <m/>
    <m/>
    <s v="10"/>
    <s v="CSF"/>
    <x v="57"/>
    <n v="503310750.38999999"/>
    <n v="347163780.93000001"/>
  </r>
  <r>
    <x v="58"/>
    <s v="A"/>
    <s v="02"/>
    <s v="02"/>
    <s v="01"/>
    <s v="004"/>
    <s v="002"/>
    <m/>
    <n v="10"/>
    <s v="CSF"/>
    <x v="58"/>
    <n v="28000000"/>
    <n v="26300546"/>
  </r>
  <r>
    <x v="59"/>
    <s v="A"/>
    <s v="02"/>
    <s v="02"/>
    <s v="01"/>
    <s v="004"/>
    <s v="005"/>
    <m/>
    <n v="10"/>
    <s v="CSF"/>
    <x v="59"/>
    <n v="230000000"/>
    <n v="161809504.93000001"/>
  </r>
  <r>
    <x v="60"/>
    <s v="A"/>
    <s v="02"/>
    <s v="02"/>
    <s v="01"/>
    <s v="004"/>
    <s v="006"/>
    <m/>
    <n v="10"/>
    <s v="CSF"/>
    <x v="41"/>
    <n v="78000000"/>
    <n v="31571080"/>
  </r>
  <r>
    <x v="61"/>
    <s v="A"/>
    <s v="02"/>
    <s v="02"/>
    <s v="01"/>
    <s v="004"/>
    <s v="007"/>
    <m/>
    <n v="10"/>
    <s v="CSF"/>
    <x v="42"/>
    <n v="167310750.38999999"/>
    <n v="127482650"/>
  </r>
  <r>
    <x v="62"/>
    <s v="A"/>
    <s v="02"/>
    <s v="02"/>
    <s v="02"/>
    <m/>
    <m/>
    <m/>
    <s v="10"/>
    <s v="CSF"/>
    <x v="60"/>
    <n v="39185896026.610001"/>
    <n v="36950959490.959991"/>
  </r>
  <r>
    <x v="63"/>
    <s v="A"/>
    <s v="02"/>
    <s v="02"/>
    <s v="02"/>
    <s v="006"/>
    <m/>
    <m/>
    <s v="10"/>
    <s v="CSF"/>
    <x v="61"/>
    <n v="7380953772"/>
    <n v="7291229428.4099998"/>
  </r>
  <r>
    <x v="64"/>
    <s v="A"/>
    <s v="02"/>
    <s v="02"/>
    <s v="02"/>
    <s v="006"/>
    <s v="003"/>
    <m/>
    <n v="10"/>
    <s v="CSF"/>
    <x v="62"/>
    <n v="158730980"/>
    <n v="138486794"/>
  </r>
  <r>
    <x v="65"/>
    <s v="A"/>
    <s v="02"/>
    <s v="02"/>
    <s v="02"/>
    <s v="006"/>
    <s v="004"/>
    <m/>
    <n v="10"/>
    <s v="CSF"/>
    <x v="63"/>
    <n v="3434836920"/>
    <n v="3395190596"/>
  </r>
  <r>
    <x v="66"/>
    <s v="A"/>
    <s v="02"/>
    <s v="02"/>
    <s v="02"/>
    <s v="006"/>
    <s v="005"/>
    <m/>
    <n v="10"/>
    <s v="CSF"/>
    <x v="64"/>
    <n v="117385872"/>
    <n v="110509587"/>
  </r>
  <r>
    <x v="67"/>
    <s v="A"/>
    <s v="02"/>
    <s v="02"/>
    <s v="02"/>
    <s v="006"/>
    <s v="008"/>
    <m/>
    <n v="10"/>
    <s v="CSF"/>
    <x v="65"/>
    <n v="2384500000"/>
    <n v="2381132742"/>
  </r>
  <r>
    <x v="68"/>
    <s v="A"/>
    <s v="02"/>
    <s v="02"/>
    <s v="02"/>
    <s v="006"/>
    <s v="009"/>
    <m/>
    <n v="10"/>
    <s v="CSF"/>
    <x v="66"/>
    <n v="1285500000"/>
    <n v="1265909709.4100001"/>
  </r>
  <r>
    <x v="69"/>
    <s v="A"/>
    <s v="02"/>
    <s v="02"/>
    <s v="02"/>
    <s v="007"/>
    <m/>
    <m/>
    <s v="10"/>
    <s v="CSF"/>
    <x v="67"/>
    <n v="15347567363.48"/>
    <n v="14617339063.469999"/>
  </r>
  <r>
    <x v="70"/>
    <s v="A"/>
    <s v="02"/>
    <s v="02"/>
    <s v="02"/>
    <s v="007"/>
    <s v="001"/>
    <m/>
    <n v="10"/>
    <s v="CSF"/>
    <x v="68"/>
    <n v="59453757"/>
    <n v="58856742"/>
  </r>
  <r>
    <x v="71"/>
    <s v="A"/>
    <s v="02"/>
    <s v="02"/>
    <s v="02"/>
    <s v="007"/>
    <s v="002"/>
    <m/>
    <n v="10"/>
    <s v="CSF"/>
    <x v="69"/>
    <n v="15288113606.48"/>
    <n v="14558482321.469999"/>
  </r>
  <r>
    <x v="72"/>
    <s v="A"/>
    <s v="02"/>
    <s v="02"/>
    <s v="02"/>
    <s v="008"/>
    <m/>
    <m/>
    <s v="10"/>
    <s v="CSF"/>
    <x v="70"/>
    <n v="14235090900.130001"/>
    <n v="13127338567.379999"/>
  </r>
  <r>
    <x v="73"/>
    <s v="A"/>
    <s v="02"/>
    <s v="02"/>
    <s v="02"/>
    <s v="008"/>
    <s v="002"/>
    <m/>
    <n v="10"/>
    <s v="CSF"/>
    <x v="71"/>
    <n v="39142800"/>
    <n v="22479424"/>
  </r>
  <r>
    <x v="74"/>
    <s v="A"/>
    <s v="02"/>
    <s v="02"/>
    <s v="02"/>
    <s v="008"/>
    <s v="003"/>
    <m/>
    <n v="10"/>
    <s v="CSF"/>
    <x v="72"/>
    <n v="3584583046"/>
    <n v="3248025289.5"/>
  </r>
  <r>
    <x v="75"/>
    <s v="A"/>
    <s v="02"/>
    <s v="02"/>
    <s v="02"/>
    <s v="008"/>
    <s v="004"/>
    <m/>
    <n v="10"/>
    <s v="CSF"/>
    <x v="73"/>
    <n v="2213583585.75"/>
    <n v="2147395659.22"/>
  </r>
  <r>
    <x v="76"/>
    <s v="A"/>
    <s v="02"/>
    <s v="02"/>
    <s v="02"/>
    <s v="008"/>
    <s v="005"/>
    <m/>
    <n v="10"/>
    <s v="CSF"/>
    <x v="74"/>
    <n v="7164157691.7700005"/>
    <n v="6741640528.9399996"/>
  </r>
  <r>
    <x v="77"/>
    <s v="A"/>
    <s v="02"/>
    <s v="02"/>
    <s v="02"/>
    <s v="008"/>
    <s v="007"/>
    <m/>
    <n v="10"/>
    <s v="CSF"/>
    <x v="75"/>
    <n v="865623776.61000013"/>
    <n v="776220665.72000003"/>
  </r>
  <r>
    <x v="78"/>
    <s v="A"/>
    <s v="02"/>
    <s v="02"/>
    <s v="02"/>
    <s v="008"/>
    <s v="009"/>
    <m/>
    <n v="10"/>
    <s v="CSF"/>
    <x v="76"/>
    <n v="368000000"/>
    <n v="191577000"/>
  </r>
  <r>
    <x v="79"/>
    <s v="A"/>
    <s v="02"/>
    <s v="02"/>
    <s v="02"/>
    <s v="009"/>
    <m/>
    <m/>
    <s v="10"/>
    <s v="CSF"/>
    <x v="77"/>
    <n v="1250283991"/>
    <n v="1027725877.7"/>
  </r>
  <r>
    <x v="80"/>
    <s v="A"/>
    <s v="02"/>
    <s v="02"/>
    <s v="02"/>
    <s v="009"/>
    <s v="002"/>
    <m/>
    <n v="10"/>
    <s v="CSF"/>
    <x v="78"/>
    <n v="500000000"/>
    <n v="500000000"/>
  </r>
  <r>
    <x v="81"/>
    <s v="A"/>
    <s v="02"/>
    <s v="02"/>
    <s v="02"/>
    <s v="009"/>
    <s v="003"/>
    <m/>
    <n v="10"/>
    <s v="CSF"/>
    <x v="79"/>
    <n v="222021366"/>
    <n v="198100152"/>
  </r>
  <r>
    <x v="82"/>
    <s v="A"/>
    <s v="02"/>
    <s v="02"/>
    <s v="02"/>
    <s v="009"/>
    <s v="004"/>
    <m/>
    <n v="10"/>
    <s v="CSF"/>
    <x v="80"/>
    <n v="66000000"/>
    <n v="64662764.700000003"/>
  </r>
  <r>
    <x v="83"/>
    <s v="A"/>
    <s v="02"/>
    <s v="02"/>
    <s v="02"/>
    <s v="009"/>
    <s v="006"/>
    <m/>
    <n v="10"/>
    <s v="CSF"/>
    <x v="81"/>
    <n v="440829255"/>
    <n v="250388269"/>
  </r>
  <r>
    <x v="84"/>
    <s v="A"/>
    <s v="02"/>
    <s v="02"/>
    <s v="02"/>
    <s v="009"/>
    <s v="007"/>
    <m/>
    <n v="10"/>
    <s v="CSF"/>
    <x v="82"/>
    <n v="21433370"/>
    <n v="14574692"/>
  </r>
  <r>
    <x v="85"/>
    <s v="A"/>
    <s v="02"/>
    <s v="02"/>
    <s v="02"/>
    <s v="010"/>
    <m/>
    <m/>
    <s v="10"/>
    <s v="CSF"/>
    <x v="83"/>
    <n v="972000000"/>
    <n v="887326554"/>
  </r>
  <r>
    <x v="86"/>
    <s v="A"/>
    <s v="03"/>
    <m/>
    <m/>
    <m/>
    <m/>
    <m/>
    <m/>
    <m/>
    <x v="84"/>
    <n v="3958214598"/>
    <n v="3459301546.73"/>
  </r>
  <r>
    <x v="87"/>
    <s v="A"/>
    <s v="03"/>
    <s v="03"/>
    <m/>
    <m/>
    <m/>
    <m/>
    <m/>
    <m/>
    <x v="85"/>
    <n v="0"/>
    <n v="0"/>
  </r>
  <r>
    <x v="88"/>
    <s v="A"/>
    <s v="03"/>
    <s v="03"/>
    <s v="01"/>
    <m/>
    <m/>
    <m/>
    <m/>
    <m/>
    <x v="86"/>
    <n v="0"/>
    <n v="0"/>
  </r>
  <r>
    <x v="89"/>
    <s v="A"/>
    <s v="03"/>
    <s v="03"/>
    <s v="01"/>
    <s v="082"/>
    <m/>
    <m/>
    <n v="54"/>
    <s v="CSF"/>
    <x v="87"/>
    <n v="0"/>
    <m/>
  </r>
  <r>
    <x v="89"/>
    <s v="A"/>
    <s v="03"/>
    <s v="03"/>
    <s v="01"/>
    <s v="082"/>
    <m/>
    <m/>
    <n v="54"/>
    <s v="CSF"/>
    <x v="88"/>
    <n v="0"/>
    <m/>
  </r>
  <r>
    <x v="89"/>
    <s v="A"/>
    <s v="03"/>
    <s v="03"/>
    <s v="01"/>
    <s v="082"/>
    <m/>
    <m/>
    <n v="54"/>
    <s v="CSF"/>
    <x v="89"/>
    <n v="0"/>
    <m/>
  </r>
  <r>
    <x v="90"/>
    <s v="A"/>
    <s v="03"/>
    <s v="03"/>
    <s v="01"/>
    <s v="999"/>
    <m/>
    <m/>
    <s v="10"/>
    <s v="CSF"/>
    <x v="90"/>
    <n v="0"/>
    <n v="0"/>
  </r>
  <r>
    <x v="90"/>
    <s v="A"/>
    <s v="03"/>
    <s v="03"/>
    <s v="01"/>
    <s v="999"/>
    <m/>
    <m/>
    <n v="11"/>
    <s v="CSF"/>
    <x v="90"/>
    <n v="0"/>
    <m/>
  </r>
  <r>
    <x v="91"/>
    <s v="A"/>
    <s v="03"/>
    <s v="04"/>
    <m/>
    <m/>
    <m/>
    <m/>
    <m/>
    <m/>
    <x v="91"/>
    <n v="719000000"/>
    <n v="251561202"/>
  </r>
  <r>
    <x v="92"/>
    <s v="A"/>
    <s v="03"/>
    <s v="04"/>
    <s v="02"/>
    <m/>
    <m/>
    <m/>
    <s v="10"/>
    <s v="CSF"/>
    <x v="92"/>
    <n v="719000000"/>
    <n v="251561202"/>
  </r>
  <r>
    <x v="93"/>
    <s v="A"/>
    <s v="03"/>
    <s v="04"/>
    <s v="02"/>
    <s v="012"/>
    <m/>
    <m/>
    <s v="10"/>
    <s v="CSF"/>
    <x v="93"/>
    <n v="719000000"/>
    <n v="251561202"/>
  </r>
  <r>
    <x v="94"/>
    <s v="A"/>
    <s v="03"/>
    <s v="04"/>
    <s v="02"/>
    <s v="012"/>
    <s v="001"/>
    <m/>
    <s v="10"/>
    <s v="CSF"/>
    <x v="94"/>
    <n v="381200000"/>
    <n v="228950880"/>
  </r>
  <r>
    <x v="95"/>
    <s v="A"/>
    <s v="03"/>
    <s v="04"/>
    <s v="02"/>
    <s v="012"/>
    <s v="002"/>
    <m/>
    <s v="10"/>
    <s v="CSF"/>
    <x v="95"/>
    <n v="337800000"/>
    <n v="22610322"/>
  </r>
  <r>
    <x v="96"/>
    <s v="A"/>
    <s v="03"/>
    <s v="04"/>
    <s v="02"/>
    <s v="025"/>
    <m/>
    <m/>
    <s v="10"/>
    <s v="CSF"/>
    <x v="96"/>
    <n v="0"/>
    <n v="0"/>
  </r>
  <r>
    <x v="97"/>
    <s v="A"/>
    <s v="03"/>
    <s v="10"/>
    <m/>
    <m/>
    <m/>
    <m/>
    <m/>
    <m/>
    <x v="97"/>
    <n v="3239214598"/>
    <n v="3207740344.73"/>
  </r>
  <r>
    <x v="98"/>
    <s v="A"/>
    <s v="03"/>
    <s v="10"/>
    <s v="01"/>
    <m/>
    <m/>
    <m/>
    <s v="11"/>
    <s v="CSF"/>
    <x v="98"/>
    <n v="3239214598"/>
    <n v="3207740344.73"/>
  </r>
  <r>
    <x v="99"/>
    <s v="A"/>
    <s v="03"/>
    <s v="10"/>
    <s v="01"/>
    <s v="001"/>
    <m/>
    <m/>
    <n v="10"/>
    <s v="CSF"/>
    <x v="99"/>
    <n v="3219802005"/>
    <n v="3188327751.73"/>
  </r>
  <r>
    <x v="100"/>
    <s v="A"/>
    <s v="03"/>
    <s v="10"/>
    <s v="01"/>
    <s v="002"/>
    <m/>
    <m/>
    <n v="10"/>
    <s v="CSF"/>
    <x v="100"/>
    <n v="19412593"/>
    <n v="19412593"/>
  </r>
  <r>
    <x v="101"/>
    <s v="A"/>
    <s v="08"/>
    <m/>
    <m/>
    <m/>
    <m/>
    <m/>
    <m/>
    <m/>
    <x v="101"/>
    <n v="27730270445"/>
    <n v="27710665729.5"/>
  </r>
  <r>
    <x v="102"/>
    <s v="A"/>
    <s v="08"/>
    <s v="01"/>
    <m/>
    <m/>
    <m/>
    <m/>
    <m/>
    <m/>
    <x v="102"/>
    <n v="116900000"/>
    <n v="101532684.5"/>
  </r>
  <r>
    <x v="103"/>
    <s v="A"/>
    <s v="08"/>
    <s v="01"/>
    <s v="02"/>
    <m/>
    <m/>
    <m/>
    <s v="10"/>
    <s v="CSF"/>
    <x v="103"/>
    <n v="116900000"/>
    <n v="101532684.5"/>
  </r>
  <r>
    <x v="104"/>
    <s v="A"/>
    <s v="08"/>
    <s v="01"/>
    <s v="02"/>
    <s v="001"/>
    <m/>
    <m/>
    <s v="10"/>
    <s v="CSF"/>
    <x v="104"/>
    <n v="53800000"/>
    <n v="46149614"/>
  </r>
  <r>
    <x v="105"/>
    <s v="A"/>
    <s v="08"/>
    <s v="01"/>
    <s v="02"/>
    <s v="004"/>
    <m/>
    <m/>
    <s v="10"/>
    <s v="CSF"/>
    <x v="105"/>
    <n v="50000000"/>
    <n v="46604920.5"/>
  </r>
  <r>
    <x v="106"/>
    <s v="A"/>
    <s v="08"/>
    <s v="01"/>
    <s v="02"/>
    <s v="006"/>
    <m/>
    <m/>
    <s v="10"/>
    <s v="CSF"/>
    <x v="106"/>
    <n v="13100000"/>
    <n v="8778150"/>
  </r>
  <r>
    <x v="107"/>
    <s v="A"/>
    <s v="08"/>
    <s v="04"/>
    <m/>
    <m/>
    <m/>
    <m/>
    <m/>
    <m/>
    <x v="107"/>
    <n v="27592370445"/>
    <n v="27592370445"/>
  </r>
  <r>
    <x v="108"/>
    <s v="A"/>
    <s v="08"/>
    <s v="04"/>
    <s v="01"/>
    <m/>
    <m/>
    <m/>
    <n v="10"/>
    <s v="SSF"/>
    <x v="108"/>
    <n v="10624370445"/>
    <n v="10624370445"/>
  </r>
  <r>
    <x v="108"/>
    <s v="A"/>
    <s v="08"/>
    <s v="04"/>
    <s v="01"/>
    <m/>
    <m/>
    <m/>
    <s v="11"/>
    <s v="SSF"/>
    <x v="108"/>
    <n v="16968000000"/>
    <n v="16968000000"/>
  </r>
  <r>
    <x v="109"/>
    <s v="A"/>
    <s v="08"/>
    <s v="05"/>
    <m/>
    <m/>
    <m/>
    <m/>
    <m/>
    <m/>
    <x v="109"/>
    <n v="21000000"/>
    <n v="16762600"/>
  </r>
  <r>
    <x v="110"/>
    <s v="A"/>
    <s v="08"/>
    <s v="05"/>
    <s v="01"/>
    <s v="003"/>
    <m/>
    <m/>
    <s v="10"/>
    <s v="CSF"/>
    <x v="110"/>
    <n v="4000000"/>
    <n v="3998600"/>
  </r>
  <r>
    <x v="111"/>
    <s v="A"/>
    <s v="08"/>
    <s v="05"/>
    <s v="02"/>
    <s v="001"/>
    <m/>
    <m/>
    <s v="10"/>
    <s v="CSF"/>
    <x v="111"/>
    <n v="17000000"/>
    <n v="12764000"/>
  </r>
  <r>
    <x v="112"/>
    <s v="B"/>
    <m/>
    <m/>
    <m/>
    <m/>
    <m/>
    <m/>
    <m/>
    <m/>
    <x v="112"/>
    <n v="381865302"/>
    <n v="381865302"/>
  </r>
  <r>
    <x v="113"/>
    <s v="B"/>
    <n v="10"/>
    <m/>
    <m/>
    <m/>
    <m/>
    <m/>
    <m/>
    <m/>
    <x v="113"/>
    <n v="381865302"/>
    <n v="381865302"/>
  </r>
  <r>
    <x v="114"/>
    <s v="B"/>
    <n v="10"/>
    <s v="04"/>
    <m/>
    <m/>
    <m/>
    <m/>
    <m/>
    <m/>
    <x v="114"/>
    <n v="381865302"/>
    <n v="381865302"/>
  </r>
  <r>
    <x v="115"/>
    <s v="B"/>
    <n v="10"/>
    <s v="04"/>
    <s v="01"/>
    <m/>
    <m/>
    <m/>
    <s v="11"/>
    <s v="CSF"/>
    <x v="115"/>
    <n v="381865302"/>
    <n v="381865302"/>
  </r>
  <r>
    <x v="116"/>
    <s v="C"/>
    <m/>
    <m/>
    <m/>
    <m/>
    <m/>
    <m/>
    <m/>
    <m/>
    <x v="116"/>
    <n v="13053258103989"/>
    <n v="12951454518916.129"/>
  </r>
  <r>
    <x v="117"/>
    <s v="C"/>
    <n v="4101"/>
    <m/>
    <m/>
    <m/>
    <m/>
    <m/>
    <m/>
    <m/>
    <x v="117"/>
    <n v="0"/>
    <n v="0"/>
  </r>
  <r>
    <x v="118"/>
    <s v="C"/>
    <n v="4101"/>
    <n v="1500"/>
    <m/>
    <m/>
    <m/>
    <m/>
    <m/>
    <m/>
    <x v="118"/>
    <m/>
    <m/>
  </r>
  <r>
    <x v="119"/>
    <s v="C"/>
    <s v="4101"/>
    <s v="1500"/>
    <s v="6"/>
    <m/>
    <m/>
    <m/>
    <m/>
    <m/>
    <x v="119"/>
    <n v="0"/>
    <n v="0"/>
  </r>
  <r>
    <x v="120"/>
    <s v="C"/>
    <s v="4101"/>
    <s v="1500"/>
    <s v="6"/>
    <s v="0"/>
    <s v="4101073"/>
    <m/>
    <s v="11"/>
    <s v="CSF"/>
    <x v="120"/>
    <n v="0"/>
    <n v="0"/>
  </r>
  <r>
    <x v="121"/>
    <s v="C"/>
    <s v="4101"/>
    <s v="1500"/>
    <s v="6"/>
    <s v="0"/>
    <s v="4101073"/>
    <s v="02"/>
    <s v="11"/>
    <s v="CSF"/>
    <x v="121"/>
    <n v="0"/>
    <m/>
  </r>
  <r>
    <x v="122"/>
    <s v="C"/>
    <s v="4101"/>
    <s v="1500"/>
    <s v="6"/>
    <s v="0"/>
    <s v="4101074"/>
    <m/>
    <s v="11"/>
    <s v="CSF"/>
    <x v="122"/>
    <n v="0"/>
    <n v="0"/>
  </r>
  <r>
    <x v="123"/>
    <s v="C"/>
    <s v="4101"/>
    <s v="1500"/>
    <s v="6"/>
    <s v="0"/>
    <s v="4101074"/>
    <s v="02"/>
    <s v="11"/>
    <s v="CSF"/>
    <x v="121"/>
    <n v="0"/>
    <m/>
  </r>
  <r>
    <x v="124"/>
    <s v="C"/>
    <s v="4101"/>
    <s v="1500"/>
    <s v="6"/>
    <s v="0"/>
    <s v="4101077"/>
    <m/>
    <s v="11"/>
    <s v="CSF"/>
    <x v="123"/>
    <n v="0"/>
    <n v="0"/>
  </r>
  <r>
    <x v="125"/>
    <s v="C"/>
    <s v="4101"/>
    <s v="1500"/>
    <s v="6"/>
    <s v="0"/>
    <s v="4101077"/>
    <s v="02"/>
    <s v="11"/>
    <s v="CSF"/>
    <x v="121"/>
    <n v="0"/>
    <m/>
  </r>
  <r>
    <x v="126"/>
    <s v="C"/>
    <s v="4101"/>
    <s v="1500"/>
    <s v="6"/>
    <s v="0"/>
    <s v="4101078"/>
    <m/>
    <s v="11"/>
    <s v="CSF"/>
    <x v="124"/>
    <n v="0"/>
    <n v="0"/>
  </r>
  <r>
    <x v="127"/>
    <s v="C"/>
    <s v="4101"/>
    <s v="1500"/>
    <s v="6"/>
    <s v="0"/>
    <s v="4101078"/>
    <s v="02"/>
    <s v="11"/>
    <s v="CSF"/>
    <x v="121"/>
    <n v="0"/>
    <n v="0"/>
  </r>
  <r>
    <x v="128"/>
    <s v="C"/>
    <s v="4101"/>
    <s v="1500"/>
    <s v="6"/>
    <s v="0"/>
    <s v="4101080"/>
    <m/>
    <s v="11"/>
    <s v="CSF"/>
    <x v="125"/>
    <n v="0"/>
    <n v="0"/>
  </r>
  <r>
    <x v="129"/>
    <s v="C"/>
    <s v="4101"/>
    <s v="1500"/>
    <s v="6"/>
    <s v="0"/>
    <s v="4101080"/>
    <s v="02"/>
    <s v="11"/>
    <s v="CSF"/>
    <x v="121"/>
    <n v="0"/>
    <m/>
  </r>
  <r>
    <x v="96"/>
    <s v="C"/>
    <s v="4101"/>
    <s v="1500"/>
    <s v="6"/>
    <s v="0"/>
    <s v="4101081"/>
    <m/>
    <s v="11"/>
    <s v="CSF"/>
    <x v="126"/>
    <n v="0"/>
    <n v="0"/>
  </r>
  <r>
    <x v="96"/>
    <s v="C"/>
    <s v="4101"/>
    <s v="1500"/>
    <s v="6"/>
    <s v="0"/>
    <s v="4101081"/>
    <s v="02"/>
    <s v="11"/>
    <s v="CSF"/>
    <x v="121"/>
    <n v="0"/>
    <n v="0"/>
  </r>
  <r>
    <x v="96"/>
    <s v="C"/>
    <s v="4101"/>
    <s v="1500"/>
    <s v="6"/>
    <s v="0"/>
    <s v="4101081"/>
    <s v="03"/>
    <s v="11"/>
    <s v="CSF"/>
    <x v="84"/>
    <n v="0"/>
    <n v="0"/>
  </r>
  <r>
    <x v="130"/>
    <s v="C"/>
    <n v="4103"/>
    <m/>
    <m/>
    <m/>
    <m/>
    <m/>
    <m/>
    <m/>
    <x v="127"/>
    <n v="13048258103989"/>
    <n v="12946529814757.43"/>
  </r>
  <r>
    <x v="131"/>
    <s v="C"/>
    <n v="4103"/>
    <n v="1500"/>
    <m/>
    <m/>
    <m/>
    <m/>
    <m/>
    <m/>
    <x v="118"/>
    <n v="13048258103989"/>
    <n v="12946529814757.43"/>
  </r>
  <r>
    <x v="132"/>
    <s v="C"/>
    <s v="4103"/>
    <s v="1500"/>
    <s v="12"/>
    <m/>
    <m/>
    <m/>
    <m/>
    <m/>
    <x v="128"/>
    <n v="2481480404075"/>
    <n v="2476627282904.1899"/>
  </r>
  <r>
    <x v="133"/>
    <s v="C"/>
    <s v="4103"/>
    <s v="1500"/>
    <s v="12"/>
    <s v="0"/>
    <s v="4103006"/>
    <m/>
    <m/>
    <m/>
    <x v="129"/>
    <n v="2475442467555"/>
    <n v="2470980286978.1899"/>
  </r>
  <r>
    <x v="134"/>
    <s v="C"/>
    <s v="4103"/>
    <s v="1500"/>
    <s v="12"/>
    <s v="0"/>
    <s v="4103006"/>
    <s v="02"/>
    <n v="11"/>
    <s v="CSF"/>
    <x v="121"/>
    <n v="63342446171.709999"/>
    <n v="61405728625.190002"/>
  </r>
  <r>
    <x v="134"/>
    <s v="C"/>
    <s v="4103"/>
    <s v="1500"/>
    <s v="12"/>
    <s v="0"/>
    <s v="4103006"/>
    <s v="02"/>
    <n v="13"/>
    <s v="CSF"/>
    <x v="121"/>
    <n v="104235000"/>
    <n v="96875000"/>
  </r>
  <r>
    <x v="135"/>
    <s v="C"/>
    <s v="4103"/>
    <s v="1500"/>
    <s v="12"/>
    <s v="0"/>
    <s v="4103006"/>
    <s v="03"/>
    <s v="11"/>
    <s v="CSF"/>
    <x v="84"/>
    <n v="288139613646.29004"/>
    <n v="287507156716"/>
  </r>
  <r>
    <x v="135"/>
    <s v="C"/>
    <s v="4103"/>
    <s v="1500"/>
    <s v="12"/>
    <s v="0"/>
    <s v="4103006"/>
    <s v="03"/>
    <n v="13"/>
    <s v="CSF"/>
    <x v="84"/>
    <n v="2123856172737"/>
    <n v="2121970526637"/>
  </r>
  <r>
    <x v="136"/>
    <s v="C"/>
    <s v="4103"/>
    <s v="1500"/>
    <s v="12"/>
    <s v="0"/>
    <n v="4103009"/>
    <m/>
    <m/>
    <s v="CSF"/>
    <x v="130"/>
    <n v="6037936520"/>
    <n v="5646995926"/>
  </r>
  <r>
    <x v="137"/>
    <s v="C"/>
    <s v="4103"/>
    <s v="1500"/>
    <s v="12"/>
    <s v="0"/>
    <n v="4103009"/>
    <s v="02"/>
    <n v="11"/>
    <s v="CSF"/>
    <x v="121"/>
    <n v="6037936520"/>
    <n v="5646995926"/>
  </r>
  <r>
    <x v="138"/>
    <s v="C"/>
    <s v="4103"/>
    <s v="1500"/>
    <s v="12"/>
    <s v="0"/>
    <n v="4103047"/>
    <m/>
    <n v="11"/>
    <s v="CSF"/>
    <x v="130"/>
    <n v="0"/>
    <n v="0"/>
  </r>
  <r>
    <x v="139"/>
    <s v="C"/>
    <s v="4103"/>
    <s v="1500"/>
    <s v="12"/>
    <s v="0"/>
    <n v="4103047"/>
    <s v="02"/>
    <n v="11"/>
    <s v="CSF"/>
    <x v="121"/>
    <n v="0"/>
    <n v="0"/>
  </r>
  <r>
    <x v="140"/>
    <s v="C"/>
    <s v="4103"/>
    <s v="1500"/>
    <s v="13"/>
    <m/>
    <m/>
    <m/>
    <m/>
    <m/>
    <x v="131"/>
    <n v="126000000000"/>
    <n v="121948749817.62"/>
  </r>
  <r>
    <x v="141"/>
    <s v="C"/>
    <s v="4103"/>
    <s v="1500"/>
    <s v="13"/>
    <s v="0"/>
    <s v="4103051"/>
    <m/>
    <n v="13"/>
    <s v="CSF"/>
    <x v="132"/>
    <n v="12543853246"/>
    <n v="12278702828"/>
  </r>
  <r>
    <x v="142"/>
    <s v="C"/>
    <s v="4103"/>
    <s v="1500"/>
    <s v="13"/>
    <s v="0"/>
    <s v="4103051"/>
    <s v="02"/>
    <n v="13"/>
    <s v="CSF"/>
    <x v="121"/>
    <n v="12543853246"/>
    <n v="12278702828"/>
  </r>
  <r>
    <x v="143"/>
    <s v="C"/>
    <s v="4103"/>
    <s v="1500"/>
    <s v="13"/>
    <s v="0"/>
    <s v="4103053"/>
    <m/>
    <n v="13"/>
    <s v="CSF"/>
    <x v="133"/>
    <n v="6747471657"/>
    <n v="6450045652"/>
  </r>
  <r>
    <x v="144"/>
    <s v="C"/>
    <s v="4103"/>
    <s v="1500"/>
    <s v="13"/>
    <s v="0"/>
    <s v="4103053"/>
    <s v="02"/>
    <n v="13"/>
    <s v="CSF"/>
    <x v="121"/>
    <n v="6747471657"/>
    <n v="6450045652"/>
  </r>
  <r>
    <x v="145"/>
    <s v="C"/>
    <s v="4103"/>
    <s v="1500"/>
    <s v="13"/>
    <s v="0"/>
    <s v="4103054"/>
    <m/>
    <n v="13"/>
    <s v="CSF"/>
    <x v="134"/>
    <n v="10231519737"/>
    <n v="9651903505.6200008"/>
  </r>
  <r>
    <x v="146"/>
    <s v="C"/>
    <s v="4103"/>
    <s v="1500"/>
    <s v="13"/>
    <s v="0"/>
    <s v="4103054"/>
    <s v="02"/>
    <n v="13"/>
    <s v="CSF"/>
    <x v="121"/>
    <n v="10231519737"/>
    <n v="9651903505.6200008"/>
  </r>
  <r>
    <x v="147"/>
    <s v="C"/>
    <s v="4103"/>
    <s v="1500"/>
    <s v="13"/>
    <s v="0"/>
    <s v="4103055"/>
    <m/>
    <n v="13"/>
    <s v="CSF"/>
    <x v="135"/>
    <n v="96477155360"/>
    <n v="93568097832"/>
  </r>
  <r>
    <x v="148"/>
    <s v="C"/>
    <s v="4103"/>
    <s v="1500"/>
    <s v="13"/>
    <s v="0"/>
    <s v="4103055"/>
    <s v="02"/>
    <n v="13"/>
    <s v="CSF"/>
    <x v="121"/>
    <n v="96477155360"/>
    <n v="93568097832"/>
  </r>
  <r>
    <x v="149"/>
    <s v="C"/>
    <s v="4103"/>
    <s v="1500"/>
    <s v="14"/>
    <m/>
    <m/>
    <m/>
    <m/>
    <m/>
    <x v="136"/>
    <n v="294404046265"/>
    <n v="211439247365.41"/>
  </r>
  <r>
    <x v="96"/>
    <m/>
    <m/>
    <m/>
    <m/>
    <m/>
    <m/>
    <m/>
    <m/>
    <m/>
    <x v="96"/>
    <n v="0"/>
    <m/>
  </r>
  <r>
    <x v="150"/>
    <s v="C"/>
    <s v="4103"/>
    <s v="1500"/>
    <s v="14"/>
    <s v="0"/>
    <s v="4103016"/>
    <m/>
    <m/>
    <m/>
    <x v="137"/>
    <n v="268667999892.81"/>
    <n v="186732944851.59"/>
  </r>
  <r>
    <x v="151"/>
    <s v="C"/>
    <s v="4103"/>
    <s v="1500"/>
    <s v="14"/>
    <s v="0"/>
    <s v="4103016"/>
    <s v="02"/>
    <n v="13"/>
    <s v="CSF"/>
    <x v="121"/>
    <n v="19357937227.559998"/>
    <n v="11997783720.18"/>
  </r>
  <r>
    <x v="152"/>
    <s v="C"/>
    <s v="4103"/>
    <s v="1500"/>
    <s v="14"/>
    <s v="0"/>
    <s v="4103016"/>
    <s v="03"/>
    <n v="13"/>
    <s v="CSF"/>
    <x v="84"/>
    <n v="249310062665.25"/>
    <n v="174735161131.41"/>
  </r>
  <r>
    <x v="153"/>
    <s v="C"/>
    <s v="4103"/>
    <s v="1500"/>
    <s v="14"/>
    <s v="0"/>
    <s v="4103048"/>
    <m/>
    <n v="11"/>
    <s v="CSF"/>
    <x v="138"/>
    <n v="25736046372.189999"/>
    <n v="24706302513.82"/>
  </r>
  <r>
    <x v="154"/>
    <s v="C"/>
    <s v="4103"/>
    <s v="1500"/>
    <s v="14"/>
    <s v="0"/>
    <s v="4103048"/>
    <s v="02"/>
    <n v="11"/>
    <s v="CSF"/>
    <x v="121"/>
    <n v="17100849100"/>
    <n v="16519521025"/>
  </r>
  <r>
    <x v="154"/>
    <s v="C"/>
    <s v="4103"/>
    <s v="1500"/>
    <s v="14"/>
    <s v="0"/>
    <s v="4103048"/>
    <s v="02"/>
    <n v="13"/>
    <s v="CSF"/>
    <x v="121"/>
    <n v="8635197272.1899986"/>
    <n v="8186781488.8199997"/>
  </r>
  <r>
    <x v="155"/>
    <s v="C"/>
    <s v="4103"/>
    <s v="1500"/>
    <s v="16"/>
    <m/>
    <m/>
    <m/>
    <m/>
    <m/>
    <x v="139"/>
    <n v="0"/>
    <n v="0"/>
  </r>
  <r>
    <x v="156"/>
    <s v="C"/>
    <s v="4103"/>
    <s v="1500"/>
    <s v="16"/>
    <s v="0"/>
    <s v="4103056"/>
    <m/>
    <s v="11"/>
    <s v="CSF"/>
    <x v="140"/>
    <n v="0"/>
    <n v="0"/>
  </r>
  <r>
    <x v="157"/>
    <s v="C"/>
    <s v="4103"/>
    <s v="1500"/>
    <s v="16"/>
    <s v="0"/>
    <s v="4103056"/>
    <s v="02"/>
    <n v="13"/>
    <s v="CSF"/>
    <x v="121"/>
    <n v="0"/>
    <n v="0"/>
  </r>
  <r>
    <x v="158"/>
    <s v="C"/>
    <s v="4103"/>
    <s v="1500"/>
    <s v="16"/>
    <s v="0"/>
    <s v="4103060"/>
    <m/>
    <s v="11"/>
    <s v="CSF"/>
    <x v="141"/>
    <n v="0"/>
    <n v="0"/>
  </r>
  <r>
    <x v="159"/>
    <s v="C"/>
    <s v="4103"/>
    <s v="1500"/>
    <s v="16"/>
    <s v="0"/>
    <s v="4103060"/>
    <s v="02"/>
    <n v="13"/>
    <s v="CSF"/>
    <x v="121"/>
    <n v="0"/>
    <n v="0"/>
  </r>
  <r>
    <x v="160"/>
    <s v="C"/>
    <s v="4103"/>
    <s v="1500"/>
    <s v="17"/>
    <m/>
    <m/>
    <m/>
    <m/>
    <m/>
    <x v="142"/>
    <n v="18552530935"/>
    <n v="17503823604.5"/>
  </r>
  <r>
    <x v="161"/>
    <s v="C"/>
    <s v="4103"/>
    <s v="1500"/>
    <s v="17"/>
    <s v="0"/>
    <s v="4103005"/>
    <m/>
    <n v="11"/>
    <s v="CSF"/>
    <x v="143"/>
    <n v="2951446102"/>
    <n v="2771875611.5"/>
  </r>
  <r>
    <x v="162"/>
    <s v="C"/>
    <s v="4103"/>
    <s v="1500"/>
    <s v="17"/>
    <s v="0"/>
    <s v="4103005"/>
    <s v="02"/>
    <n v="13"/>
    <s v="CSF"/>
    <x v="121"/>
    <n v="2951446102"/>
    <n v="2771875611.5"/>
  </r>
  <r>
    <x v="163"/>
    <s v="C"/>
    <s v="4103"/>
    <s v="1500"/>
    <s v="17"/>
    <s v="0"/>
    <s v="4103057"/>
    <m/>
    <n v="11"/>
    <s v="CSF"/>
    <x v="144"/>
    <n v="15601084833"/>
    <n v="14731947993"/>
  </r>
  <r>
    <x v="164"/>
    <s v="C"/>
    <s v="4103"/>
    <s v="1500"/>
    <s v="17"/>
    <s v="0"/>
    <s v="4103057"/>
    <s v="02"/>
    <n v="13"/>
    <s v="CSF"/>
    <x v="121"/>
    <n v="15601084833"/>
    <n v="14731947993"/>
  </r>
  <r>
    <x v="165"/>
    <s v="C"/>
    <s v="4103"/>
    <s v="1500"/>
    <s v="17"/>
    <s v="0"/>
    <s v="4103058"/>
    <m/>
    <n v="11"/>
    <s v="CSF"/>
    <x v="145"/>
    <n v="0"/>
    <n v="0"/>
  </r>
  <r>
    <x v="166"/>
    <s v="C"/>
    <s v="4103"/>
    <s v="1500"/>
    <s v="17"/>
    <s v="0"/>
    <s v="4103058"/>
    <s v="02"/>
    <n v="11"/>
    <s v="CSF"/>
    <x v="121"/>
    <n v="0"/>
    <m/>
  </r>
  <r>
    <x v="167"/>
    <s v="C"/>
    <s v="4103"/>
    <s v="1500"/>
    <s v="17"/>
    <s v="0"/>
    <s v="4103058"/>
    <s v="03"/>
    <n v="11"/>
    <s v="CSF"/>
    <x v="84"/>
    <n v="0"/>
    <m/>
  </r>
  <r>
    <x v="168"/>
    <s v="C"/>
    <s v="4103"/>
    <s v="1500"/>
    <s v="17"/>
    <s v="0"/>
    <s v="4103059"/>
    <m/>
    <n v="11"/>
    <s v="CSF"/>
    <x v="146"/>
    <n v="0"/>
    <n v="0"/>
  </r>
  <r>
    <x v="169"/>
    <s v="C"/>
    <s v="4103"/>
    <s v="1500"/>
    <s v="17"/>
    <s v="0"/>
    <s v="4103059"/>
    <s v="02"/>
    <n v="11"/>
    <s v="CSF"/>
    <x v="121"/>
    <n v="0"/>
    <m/>
  </r>
  <r>
    <x v="170"/>
    <s v="C"/>
    <s v="4103"/>
    <s v="1500"/>
    <n v="19"/>
    <m/>
    <m/>
    <m/>
    <m/>
    <m/>
    <x v="147"/>
    <n v="18069349000"/>
    <n v="17524470177.950001"/>
  </r>
  <r>
    <x v="171"/>
    <s v="C"/>
    <s v="4103"/>
    <s v="1500"/>
    <n v="19"/>
    <s v="0"/>
    <n v="4103049"/>
    <m/>
    <n v="13"/>
    <s v="CSF"/>
    <x v="148"/>
    <n v="321785352"/>
    <n v="282728646"/>
  </r>
  <r>
    <x v="172"/>
    <s v="C"/>
    <s v="4103"/>
    <s v="1500"/>
    <n v="19"/>
    <s v="0"/>
    <n v="4103049"/>
    <s v="02"/>
    <n v="13"/>
    <s v="CSF"/>
    <x v="121"/>
    <n v="321785352"/>
    <n v="282728646"/>
  </r>
  <r>
    <x v="173"/>
    <s v="C"/>
    <s v="4103"/>
    <s v="1500"/>
    <n v="19"/>
    <s v="0"/>
    <n v="4103052"/>
    <m/>
    <n v="13"/>
    <s v="CSF"/>
    <x v="149"/>
    <n v="12478214648"/>
    <n v="11972392531.950001"/>
  </r>
  <r>
    <x v="174"/>
    <s v="C"/>
    <s v="4103"/>
    <s v="1500"/>
    <n v="19"/>
    <s v="0"/>
    <n v="4103052"/>
    <s v="02"/>
    <n v="13"/>
    <s v="CSF"/>
    <x v="121"/>
    <n v="12478214648"/>
    <n v="11972392531.950001"/>
  </r>
  <r>
    <x v="173"/>
    <s v="C"/>
    <s v="4103"/>
    <s v="1500"/>
    <n v="19"/>
    <s v="0"/>
    <n v="4103052"/>
    <m/>
    <n v="15"/>
    <s v="CSF"/>
    <x v="149"/>
    <n v="5269349000"/>
    <n v="5269349000"/>
  </r>
  <r>
    <x v="174"/>
    <s v="C"/>
    <s v="4103"/>
    <s v="1500"/>
    <n v="19"/>
    <s v="0"/>
    <n v="4103052"/>
    <s v="02"/>
    <n v="15"/>
    <s v="CSF"/>
    <x v="121"/>
    <n v="5269349000"/>
    <n v="5269349000"/>
  </r>
  <r>
    <x v="175"/>
    <s v="C"/>
    <s v="4103"/>
    <s v="1500"/>
    <n v="20"/>
    <m/>
    <m/>
    <m/>
    <m/>
    <m/>
    <x v="150"/>
    <n v="971454000000"/>
    <n v="971167931012.59998"/>
  </r>
  <r>
    <x v="176"/>
    <s v="C"/>
    <s v="4103"/>
    <s v="1500"/>
    <n v="20"/>
    <s v="0"/>
    <n v="4103061"/>
    <m/>
    <n v="11"/>
    <s v="CSF"/>
    <x v="151"/>
    <n v="971454000000"/>
    <n v="971167931012.59998"/>
  </r>
  <r>
    <x v="177"/>
    <s v="C"/>
    <s v="4103"/>
    <s v="1500"/>
    <n v="20"/>
    <s v="0"/>
    <n v="4103061"/>
    <s v="02"/>
    <n v="11"/>
    <s v="CSF"/>
    <x v="121"/>
    <n v="30759332717.139999"/>
    <n v="30473823729.740002"/>
  </r>
  <r>
    <x v="178"/>
    <s v="C"/>
    <s v="4103"/>
    <s v="1500"/>
    <n v="20"/>
    <s v="0"/>
    <n v="4103061"/>
    <s v="03"/>
    <n v="11"/>
    <s v="CSF"/>
    <x v="84"/>
    <n v="322474667282.85999"/>
    <n v="322474667282.85999"/>
  </r>
  <r>
    <x v="178"/>
    <s v="C"/>
    <s v="4103"/>
    <s v="1500"/>
    <n v="20"/>
    <s v="0"/>
    <n v="4103061"/>
    <s v="03"/>
    <n v="13"/>
    <s v="CSF"/>
    <x v="84"/>
    <n v="618220000000"/>
    <n v="618219440000"/>
  </r>
  <r>
    <x v="179"/>
    <s v="C"/>
    <n v="4103"/>
    <s v="1500"/>
    <n v="21"/>
    <m/>
    <m/>
    <m/>
    <m/>
    <m/>
    <x v="152"/>
    <n v="24570411400"/>
    <n v="24563511961.900002"/>
  </r>
  <r>
    <x v="180"/>
    <s v="C"/>
    <n v="4103"/>
    <s v="1500"/>
    <n v="21"/>
    <s v="0"/>
    <s v="4103005"/>
    <m/>
    <n v="13"/>
    <s v="CSF"/>
    <x v="153"/>
    <n v="1779672321"/>
    <n v="1779672321"/>
  </r>
  <r>
    <x v="181"/>
    <s v="C"/>
    <n v="4103"/>
    <s v="1500"/>
    <n v="21"/>
    <s v="0"/>
    <s v="4103005"/>
    <s v="02"/>
    <n v="13"/>
    <s v="CSF"/>
    <x v="121"/>
    <n v="1779672321"/>
    <n v="1779672321"/>
  </r>
  <r>
    <x v="182"/>
    <s v="C"/>
    <n v="4103"/>
    <s v="1500"/>
    <n v="21"/>
    <s v="0"/>
    <s v="4103050"/>
    <m/>
    <n v="13"/>
    <s v="CSF"/>
    <x v="154"/>
    <n v="1177258904"/>
    <n v="1177258904"/>
  </r>
  <r>
    <x v="183"/>
    <s v="C"/>
    <n v="4103"/>
    <s v="1500"/>
    <n v="21"/>
    <s v="0"/>
    <s v="4103050"/>
    <s v="02"/>
    <n v="13"/>
    <s v="CSF"/>
    <x v="121"/>
    <n v="1177258904"/>
    <n v="1177258904"/>
  </r>
  <r>
    <x v="184"/>
    <s v="C"/>
    <n v="4103"/>
    <s v="1500"/>
    <n v="21"/>
    <s v="0"/>
    <s v="4103051"/>
    <m/>
    <n v="13"/>
    <s v="CSF"/>
    <x v="155"/>
    <n v="1120901355"/>
    <n v="1120901355"/>
  </r>
  <r>
    <x v="185"/>
    <s v="C"/>
    <n v="4103"/>
    <s v="1500"/>
    <n v="21"/>
    <s v="0"/>
    <s v="4103051"/>
    <s v="02"/>
    <n v="13"/>
    <s v="CSF"/>
    <x v="121"/>
    <n v="1120901355"/>
    <n v="1120901355"/>
  </r>
  <r>
    <x v="186"/>
    <s v="C"/>
    <n v="4103"/>
    <s v="1500"/>
    <n v="21"/>
    <s v="0"/>
    <s v="4103055"/>
    <m/>
    <n v="13"/>
    <s v="CSF"/>
    <x v="156"/>
    <n v="4772677041"/>
    <n v="4772677041"/>
  </r>
  <r>
    <x v="187"/>
    <s v="C"/>
    <n v="4103"/>
    <s v="1500"/>
    <n v="21"/>
    <s v="0"/>
    <s v="4103055"/>
    <s v="02"/>
    <n v="13"/>
    <s v="CSF"/>
    <x v="121"/>
    <n v="4772677041"/>
    <n v="4772677041"/>
  </r>
  <r>
    <x v="188"/>
    <s v="C"/>
    <n v="4103"/>
    <s v="1500"/>
    <n v="21"/>
    <s v="0"/>
    <s v="4103058"/>
    <m/>
    <n v="13"/>
    <s v="CSF"/>
    <x v="157"/>
    <n v="15719901779"/>
    <n v="15713002340.9"/>
  </r>
  <r>
    <x v="189"/>
    <s v="C"/>
    <n v="4103"/>
    <s v="1500"/>
    <n v="21"/>
    <s v="0"/>
    <s v="4103058"/>
    <s v="02"/>
    <n v="13"/>
    <s v="CSF"/>
    <x v="121"/>
    <n v="15719901779"/>
    <n v="15713002340.9"/>
  </r>
  <r>
    <x v="190"/>
    <s v="C"/>
    <n v="4103"/>
    <s v="1500"/>
    <n v="22"/>
    <m/>
    <m/>
    <m/>
    <m/>
    <m/>
    <x v="158"/>
    <n v="168712588600"/>
    <n v="168614858424.52002"/>
  </r>
  <r>
    <x v="191"/>
    <s v="C"/>
    <n v="4103"/>
    <s v="1500"/>
    <n v="22"/>
    <s v="0"/>
    <s v="4103005"/>
    <m/>
    <n v="13"/>
    <s v="CSF"/>
    <x v="159"/>
    <n v="6436224091"/>
    <n v="6436224091"/>
  </r>
  <r>
    <x v="192"/>
    <s v="C"/>
    <n v="4103"/>
    <s v="1500"/>
    <n v="22"/>
    <s v="0"/>
    <s v="4103005"/>
    <s v="02"/>
    <n v="13"/>
    <s v="CSF"/>
    <x v="121"/>
    <n v="6436224091"/>
    <n v="6436224091"/>
  </r>
  <r>
    <x v="193"/>
    <s v="C"/>
    <n v="4103"/>
    <s v="1500"/>
    <n v="22"/>
    <s v="0"/>
    <s v="4103050"/>
    <m/>
    <n v="13"/>
    <s v="CSF"/>
    <x v="160"/>
    <n v="21359683278"/>
    <n v="21359676039.52"/>
  </r>
  <r>
    <x v="194"/>
    <s v="C"/>
    <n v="4103"/>
    <s v="1500"/>
    <n v="22"/>
    <s v="0"/>
    <s v="4103050"/>
    <s v="02"/>
    <n v="13"/>
    <s v="CSF"/>
    <x v="121"/>
    <n v="21359683278"/>
    <n v="21359676039.52"/>
  </r>
  <r>
    <x v="195"/>
    <s v="C"/>
    <n v="4103"/>
    <s v="1500"/>
    <n v="22"/>
    <s v="0"/>
    <n v="4103051"/>
    <m/>
    <n v="13"/>
    <s v="CSF"/>
    <x v="161"/>
    <n v="7771853837"/>
    <n v="7768253837"/>
  </r>
  <r>
    <x v="196"/>
    <s v="C"/>
    <n v="4103"/>
    <s v="1500"/>
    <n v="22"/>
    <s v="0"/>
    <n v="4103051"/>
    <s v="02"/>
    <n v="13"/>
    <s v="CSF"/>
    <x v="121"/>
    <n v="7771853837"/>
    <n v="7768253837"/>
  </r>
  <r>
    <x v="197"/>
    <s v="C"/>
    <n v="4103"/>
    <s v="1500"/>
    <n v="22"/>
    <s v="0"/>
    <n v="4103055"/>
    <m/>
    <n v="13"/>
    <s v="CSF"/>
    <x v="162"/>
    <n v="931717456"/>
    <n v="931717456"/>
  </r>
  <r>
    <x v="198"/>
    <s v="C"/>
    <n v="4103"/>
    <s v="1500"/>
    <n v="22"/>
    <s v="0"/>
    <s v="4103055"/>
    <s v="02"/>
    <n v="13"/>
    <s v="CSF"/>
    <x v="121"/>
    <n v="931717456"/>
    <n v="931717456"/>
  </r>
  <r>
    <x v="199"/>
    <s v="C"/>
    <n v="4103"/>
    <s v="1500"/>
    <n v="22"/>
    <s v="0"/>
    <n v="4103057"/>
    <m/>
    <n v="13"/>
    <s v="CSF"/>
    <x v="163"/>
    <n v="64692324002"/>
    <n v="64601076815"/>
  </r>
  <r>
    <x v="200"/>
    <s v="C"/>
    <n v="4103"/>
    <s v="1500"/>
    <n v="22"/>
    <s v="0"/>
    <s v="4103057"/>
    <s v="02"/>
    <n v="13"/>
    <s v="CSF"/>
    <x v="121"/>
    <n v="4582330002"/>
    <n v="4491082815"/>
  </r>
  <r>
    <x v="201"/>
    <s v="C"/>
    <n v="4103"/>
    <s v="1500"/>
    <n v="22"/>
    <s v="0"/>
    <s v="4103057"/>
    <s v="03"/>
    <n v="13"/>
    <s v="CSF"/>
    <x v="84"/>
    <n v="60109994000"/>
    <n v="60109994000"/>
  </r>
  <r>
    <x v="202"/>
    <s v="C"/>
    <n v="4103"/>
    <s v="1500"/>
    <n v="22"/>
    <s v="0"/>
    <n v="4103062"/>
    <m/>
    <n v="13"/>
    <s v="CSF"/>
    <x v="164"/>
    <n v="67520785936"/>
    <n v="67517910186"/>
  </r>
  <r>
    <x v="203"/>
    <s v="C"/>
    <n v="4103"/>
    <s v="1500"/>
    <n v="22"/>
    <s v="0"/>
    <s v="4103062"/>
    <s v="02"/>
    <n v="13"/>
    <s v="CSF"/>
    <x v="121"/>
    <n v="7046075336"/>
    <n v="7043199586"/>
  </r>
  <r>
    <x v="204"/>
    <s v="C"/>
    <n v="4103"/>
    <s v="1500"/>
    <n v="22"/>
    <s v="0"/>
    <s v="4103062"/>
    <s v="03"/>
    <n v="13"/>
    <s v="CSF"/>
    <x v="84"/>
    <n v="60474710600"/>
    <n v="60474710600"/>
  </r>
  <r>
    <x v="205"/>
    <s v="C"/>
    <s v="4103"/>
    <s v="1500"/>
    <n v="23"/>
    <m/>
    <m/>
    <m/>
    <m/>
    <m/>
    <x v="165"/>
    <n v="1679579801419"/>
    <n v="1679070299731.8799"/>
  </r>
  <r>
    <x v="206"/>
    <s v="C"/>
    <s v="4103"/>
    <s v="1500"/>
    <n v="23"/>
    <s v="0"/>
    <n v="4103065"/>
    <m/>
    <n v="11"/>
    <s v="CSF"/>
    <x v="165"/>
    <n v="1679579801419"/>
    <n v="1679070299731.8799"/>
  </r>
  <r>
    <x v="207"/>
    <s v="C"/>
    <s v="4103"/>
    <s v="1500"/>
    <n v="23"/>
    <s v="0"/>
    <n v="4103065"/>
    <s v="02"/>
    <n v="11"/>
    <s v="CSF"/>
    <x v="121"/>
    <n v="46083094704.350006"/>
    <n v="45838889352.949997"/>
  </r>
  <r>
    <x v="208"/>
    <s v="C"/>
    <s v="4103"/>
    <s v="1500"/>
    <n v="23"/>
    <s v="0"/>
    <n v="4103065"/>
    <s v="03"/>
    <n v="11"/>
    <s v="CSF"/>
    <x v="84"/>
    <n v="733379609845.65002"/>
    <n v="733323049845.65002"/>
  </r>
  <r>
    <x v="207"/>
    <s v="C"/>
    <s v="4103"/>
    <s v="1500"/>
    <n v="23"/>
    <s v="0"/>
    <n v="4103065"/>
    <s v="02"/>
    <n v="13"/>
    <s v="CSF"/>
    <x v="121"/>
    <n v="4000000000"/>
    <n v="3999343664.2800002"/>
  </r>
  <r>
    <x v="208"/>
    <s v="C"/>
    <s v="4103"/>
    <s v="1500"/>
    <n v="23"/>
    <s v="0"/>
    <n v="4103065"/>
    <s v="03"/>
    <n v="13"/>
    <s v="CSF"/>
    <x v="84"/>
    <n v="112225749186"/>
    <n v="112017669186"/>
  </r>
  <r>
    <x v="208"/>
    <s v="C"/>
    <s v="4103"/>
    <s v="1500"/>
    <n v="23"/>
    <s v="0"/>
    <n v="4103065"/>
    <s v="03"/>
    <n v="16"/>
    <s v="SSF"/>
    <x v="84"/>
    <n v="783891347683"/>
    <n v="783891347683"/>
  </r>
  <r>
    <x v="209"/>
    <s v="C"/>
    <s v="4103"/>
    <s v="1500"/>
    <n v="24"/>
    <m/>
    <m/>
    <m/>
    <m/>
    <m/>
    <x v="166"/>
    <n v="7265434972295"/>
    <n v="7258069639756.8604"/>
  </r>
  <r>
    <x v="210"/>
    <s v="C"/>
    <s v="4103"/>
    <s v="1500"/>
    <n v="24"/>
    <s v="0"/>
    <n v="4103061"/>
    <m/>
    <n v="13"/>
    <s v="CSF"/>
    <x v="151"/>
    <n v="7265434972295"/>
    <n v="7258069639756.8604"/>
  </r>
  <r>
    <x v="211"/>
    <s v="C"/>
    <s v="4103"/>
    <s v="1500"/>
    <n v="24"/>
    <s v="0"/>
    <n v="4103061"/>
    <s v="02"/>
    <n v="13"/>
    <s v="CSF"/>
    <x v="121"/>
    <n v="50116639294.830002"/>
    <n v="43051341756.860001"/>
  </r>
  <r>
    <x v="212"/>
    <s v="C"/>
    <s v="4103"/>
    <s v="1500"/>
    <n v="24"/>
    <s v="0"/>
    <n v="4103061"/>
    <s v="03"/>
    <n v="13"/>
    <s v="CSF"/>
    <x v="84"/>
    <n v="7215318333000.1699"/>
    <n v="7215018298000"/>
  </r>
  <r>
    <x v="213"/>
    <s v="C"/>
    <n v="4199"/>
    <m/>
    <m/>
    <m/>
    <m/>
    <m/>
    <m/>
    <m/>
    <x v="167"/>
    <n v="5000000000"/>
    <n v="4924704158.6999998"/>
  </r>
  <r>
    <x v="214"/>
    <s v="C"/>
    <n v="4199"/>
    <n v="1500"/>
    <m/>
    <m/>
    <m/>
    <m/>
    <m/>
    <m/>
    <x v="118"/>
    <n v="5000000000"/>
    <n v="4924704158.6999998"/>
  </r>
  <r>
    <x v="215"/>
    <s v="C"/>
    <s v="4199"/>
    <s v="1500"/>
    <s v="2"/>
    <m/>
    <m/>
    <m/>
    <m/>
    <m/>
    <x v="168"/>
    <n v="5000000000"/>
    <n v="4924704158.6999998"/>
  </r>
  <r>
    <x v="216"/>
    <s v="C"/>
    <s v="4199"/>
    <s v="1500"/>
    <s v="2"/>
    <s v="0"/>
    <s v="4199062"/>
    <m/>
    <n v="13"/>
    <s v="CSF"/>
    <x v="169"/>
    <n v="5000000000"/>
    <n v="4924704158.6999998"/>
  </r>
  <r>
    <x v="217"/>
    <s v="C"/>
    <s v="4199"/>
    <s v="1500"/>
    <s v="2"/>
    <s v="0"/>
    <s v="4199062"/>
    <s v="02"/>
    <n v="13"/>
    <s v="CSF"/>
    <x v="121"/>
    <n v="5000000000"/>
    <n v="4924704158.699999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">
  <r>
    <x v="0"/>
    <s v="A"/>
    <m/>
    <m/>
    <m/>
    <m/>
    <m/>
    <m/>
    <m/>
    <m/>
    <x v="0"/>
    <n v="212412470214"/>
    <n v="0"/>
    <n v="0"/>
    <n v="6422060761"/>
    <n v="6422060761"/>
    <n v="5880000000"/>
    <n v="206532470214"/>
    <n v="100148005938.29001"/>
    <n v="106384464275.71001"/>
    <n v="0.48490199063866801"/>
    <n v="84566026009.37999"/>
  </r>
  <r>
    <x v="1"/>
    <s v="A"/>
    <s v="01"/>
    <m/>
    <m/>
    <m/>
    <m/>
    <m/>
    <m/>
    <m/>
    <x v="1"/>
    <n v="128915000000"/>
    <n v="0"/>
    <n v="0"/>
    <n v="700000000"/>
    <n v="700000000"/>
    <n v="0"/>
    <n v="128915000000"/>
    <n v="66663780738"/>
    <n v="62251219262"/>
    <n v="0.51711422827444442"/>
    <n v="66435737598"/>
  </r>
  <r>
    <x v="2"/>
    <s v="A"/>
    <s v="01"/>
    <s v="01"/>
    <m/>
    <m/>
    <m/>
    <m/>
    <m/>
    <m/>
    <x v="2"/>
    <n v="128915000000"/>
    <n v="0"/>
    <n v="0"/>
    <n v="700000000"/>
    <n v="700000000"/>
    <n v="0"/>
    <n v="128915000000"/>
    <n v="66663780738"/>
    <n v="62251219262"/>
    <n v="0.51711422827444442"/>
    <n v="66435737598"/>
  </r>
  <r>
    <x v="3"/>
    <s v="A"/>
    <s v="01"/>
    <s v="01"/>
    <s v="01"/>
    <m/>
    <m/>
    <m/>
    <s v="10"/>
    <s v="CSF"/>
    <x v="3"/>
    <n v="87725000000"/>
    <n v="0"/>
    <n v="0"/>
    <n v="700000000"/>
    <n v="700000000"/>
    <n v="0"/>
    <n v="87725000000"/>
    <n v="44638383523"/>
    <n v="43086616477"/>
    <n v="0.50884449726987746"/>
    <n v="44601839945"/>
  </r>
  <r>
    <x v="4"/>
    <s v="A"/>
    <s v="01"/>
    <s v="01"/>
    <s v="01"/>
    <s v="001"/>
    <m/>
    <m/>
    <s v="10"/>
    <s v="CSF"/>
    <x v="4"/>
    <n v="87725000000"/>
    <n v="0"/>
    <n v="0"/>
    <n v="700000000"/>
    <n v="700000000"/>
    <n v="0"/>
    <n v="87725000000"/>
    <n v="44638383523"/>
    <n v="43086616477"/>
    <n v="0.50884449726987746"/>
    <n v="44601839945"/>
  </r>
  <r>
    <x v="5"/>
    <s v="A"/>
    <s v="01"/>
    <s v="01"/>
    <s v="01"/>
    <s v="001"/>
    <s v="001"/>
    <m/>
    <s v="10"/>
    <s v="CSF"/>
    <x v="5"/>
    <n v="71741000000"/>
    <m/>
    <m/>
    <m/>
    <m/>
    <m/>
    <n v="71741000000"/>
    <n v="37191586065"/>
    <n v="34549413935"/>
    <n v="0.51841465919069984"/>
    <n v="37188694187"/>
  </r>
  <r>
    <x v="6"/>
    <s v="A"/>
    <s v="01"/>
    <s v="01"/>
    <s v="01"/>
    <s v="001"/>
    <s v="002"/>
    <m/>
    <s v="10"/>
    <s v="CSF"/>
    <x v="6"/>
    <n v="360000000"/>
    <m/>
    <m/>
    <m/>
    <m/>
    <m/>
    <n v="360000000"/>
    <n v="194339829"/>
    <n v="165660171"/>
    <n v="0.53983285833333339"/>
    <n v="194339829"/>
  </r>
  <r>
    <x v="7"/>
    <s v="A"/>
    <s v="01"/>
    <s v="01"/>
    <s v="01"/>
    <s v="001"/>
    <s v="003"/>
    <m/>
    <s v="10"/>
    <s v="CSF"/>
    <x v="7"/>
    <n v="840000000"/>
    <m/>
    <m/>
    <m/>
    <m/>
    <m/>
    <n v="840000000"/>
    <n v="612787579"/>
    <n v="227212421"/>
    <n v="0.7295090226190476"/>
    <n v="612787579"/>
  </r>
  <r>
    <x v="8"/>
    <s v="A"/>
    <s v="01"/>
    <s v="01"/>
    <s v="01"/>
    <s v="001"/>
    <s v="004"/>
    <m/>
    <s v="10"/>
    <s v="CSF"/>
    <x v="8"/>
    <n v="180000000"/>
    <m/>
    <m/>
    <m/>
    <m/>
    <m/>
    <n v="180000000"/>
    <n v="54735638"/>
    <n v="125264362"/>
    <n v="0.30408687777777776"/>
    <n v="54735638"/>
  </r>
  <r>
    <x v="9"/>
    <s v="A"/>
    <s v="01"/>
    <s v="01"/>
    <s v="01"/>
    <s v="001"/>
    <s v="005"/>
    <m/>
    <s v="10"/>
    <s v="CSF"/>
    <x v="9"/>
    <n v="204000000"/>
    <m/>
    <m/>
    <m/>
    <m/>
    <m/>
    <n v="204000000"/>
    <n v="113084511"/>
    <n v="90915489"/>
    <n v="0.55433583823529409"/>
    <n v="79432811"/>
  </r>
  <r>
    <x v="10"/>
    <s v="A"/>
    <s v="01"/>
    <s v="01"/>
    <s v="01"/>
    <s v="001"/>
    <s v="006"/>
    <m/>
    <s v="10"/>
    <s v="CSF"/>
    <x v="10"/>
    <n v="3000000000"/>
    <m/>
    <m/>
    <n v="700000000"/>
    <m/>
    <m/>
    <n v="3700000000"/>
    <n v="2971473775"/>
    <n v="728526225"/>
    <n v="0.8031010202702703"/>
    <n v="2971473775"/>
  </r>
  <r>
    <x v="11"/>
    <s v="A"/>
    <s v="01"/>
    <s v="01"/>
    <s v="01"/>
    <s v="001"/>
    <s v="007"/>
    <m/>
    <s v="10"/>
    <s v="CSF"/>
    <x v="11"/>
    <n v="2000000000"/>
    <m/>
    <m/>
    <m/>
    <m/>
    <m/>
    <n v="2000000000"/>
    <n v="1304429221"/>
    <n v="695570779"/>
    <n v="0.65221461049999996"/>
    <n v="1304429221"/>
  </r>
  <r>
    <x v="12"/>
    <s v="A"/>
    <s v="01"/>
    <s v="01"/>
    <s v="01"/>
    <s v="001"/>
    <s v="008"/>
    <m/>
    <s v="10"/>
    <s v="CSF"/>
    <x v="12"/>
    <n v="200000000"/>
    <m/>
    <m/>
    <m/>
    <m/>
    <m/>
    <n v="200000000"/>
    <n v="85205619"/>
    <n v="114794381"/>
    <n v="0.426028095"/>
    <n v="85205619"/>
  </r>
  <r>
    <x v="13"/>
    <s v="A"/>
    <s v="01"/>
    <s v="01"/>
    <s v="01"/>
    <s v="001"/>
    <s v="009"/>
    <m/>
    <s v="10"/>
    <s v="CSF"/>
    <x v="13"/>
    <n v="5900000000"/>
    <m/>
    <m/>
    <m/>
    <n v="700000000"/>
    <m/>
    <n v="5200000000"/>
    <n v="81288986"/>
    <n v="5118711014"/>
    <n v="1.5632497307692308E-2"/>
    <n v="81288986"/>
  </r>
  <r>
    <x v="14"/>
    <s v="A"/>
    <s v="01"/>
    <s v="01"/>
    <s v="01"/>
    <s v="001"/>
    <s v="010"/>
    <m/>
    <s v="10"/>
    <s v="CSF"/>
    <x v="14"/>
    <n v="3300000000"/>
    <m/>
    <m/>
    <m/>
    <m/>
    <m/>
    <n v="3300000000"/>
    <n v="2029452300"/>
    <n v="1270547700"/>
    <n v="0.61498554545454542"/>
    <n v="2029452300"/>
  </r>
  <r>
    <x v="15"/>
    <s v="A"/>
    <s v="01"/>
    <s v="01"/>
    <s v="02"/>
    <m/>
    <m/>
    <m/>
    <s v="10"/>
    <s v="CSF"/>
    <x v="15"/>
    <n v="32057000000"/>
    <n v="0"/>
    <n v="0"/>
    <n v="0"/>
    <n v="0"/>
    <n v="0"/>
    <n v="32057000000"/>
    <n v="16313812600"/>
    <n v="15743187400"/>
    <n v="0.50890016533050508"/>
    <n v="16125222177"/>
  </r>
  <r>
    <x v="16"/>
    <s v="A"/>
    <s v="01"/>
    <s v="01"/>
    <s v="02"/>
    <s v="001"/>
    <m/>
    <m/>
    <s v="10"/>
    <s v="CSF"/>
    <x v="16"/>
    <n v="10048180000"/>
    <m/>
    <m/>
    <m/>
    <m/>
    <m/>
    <n v="10048180000"/>
    <n v="4631457800"/>
    <n v="5416722200"/>
    <n v="0.46092504314214117"/>
    <n v="4631457800"/>
  </r>
  <r>
    <x v="17"/>
    <s v="A"/>
    <s v="01"/>
    <s v="01"/>
    <s v="02"/>
    <s v="002"/>
    <m/>
    <m/>
    <s v="10"/>
    <s v="CSF"/>
    <x v="17"/>
    <n v="7117460000"/>
    <m/>
    <m/>
    <m/>
    <m/>
    <m/>
    <n v="7117460000"/>
    <n v="3635526600"/>
    <n v="3481933400"/>
    <n v="0.51078988852764895"/>
    <n v="3635526600"/>
  </r>
  <r>
    <x v="18"/>
    <s v="A"/>
    <s v="01"/>
    <s v="01"/>
    <s v="02"/>
    <s v="003"/>
    <m/>
    <m/>
    <s v="10"/>
    <s v="CSF"/>
    <x v="18"/>
    <n v="5734390000"/>
    <m/>
    <m/>
    <m/>
    <m/>
    <m/>
    <n v="5734390000"/>
    <n v="4106630000"/>
    <n v="1627760000"/>
    <n v="0.71614068802435826"/>
    <n v="3918039577"/>
  </r>
  <r>
    <x v="19"/>
    <s v="A"/>
    <s v="01"/>
    <s v="01"/>
    <s v="02"/>
    <s v="004"/>
    <m/>
    <m/>
    <s v="10"/>
    <s v="CSF"/>
    <x v="19"/>
    <n v="3803090000"/>
    <m/>
    <m/>
    <m/>
    <m/>
    <m/>
    <n v="3803090000"/>
    <n v="1409900100"/>
    <n v="2393189900"/>
    <n v="0.3707248842388689"/>
    <n v="1409900100"/>
  </r>
  <r>
    <x v="20"/>
    <s v="A"/>
    <s v="01"/>
    <s v="01"/>
    <s v="02"/>
    <s v="005"/>
    <m/>
    <m/>
    <s v="10"/>
    <s v="CSF"/>
    <x v="20"/>
    <n v="600000000"/>
    <m/>
    <m/>
    <m/>
    <m/>
    <m/>
    <n v="600000000"/>
    <n v="352042000"/>
    <n v="247958000"/>
    <n v="0.58673666666666668"/>
    <n v="352042000"/>
  </r>
  <r>
    <x v="21"/>
    <s v="A"/>
    <s v="01"/>
    <s v="01"/>
    <s v="02"/>
    <s v="006"/>
    <m/>
    <m/>
    <s v="10"/>
    <s v="CSF"/>
    <x v="21"/>
    <n v="2852320000"/>
    <m/>
    <m/>
    <m/>
    <m/>
    <m/>
    <n v="2852320000"/>
    <n v="1306477800"/>
    <n v="1545842200"/>
    <n v="0.45804040219891179"/>
    <n v="1306477800"/>
  </r>
  <r>
    <x v="22"/>
    <s v="A"/>
    <s v="01"/>
    <s v="01"/>
    <s v="02"/>
    <s v="007"/>
    <m/>
    <m/>
    <s v="10"/>
    <s v="CSF"/>
    <x v="22"/>
    <n v="475390000"/>
    <m/>
    <m/>
    <m/>
    <m/>
    <m/>
    <n v="475390000"/>
    <n v="218022100"/>
    <n v="257367900"/>
    <n v="0.45861734575821955"/>
    <n v="218022100"/>
  </r>
  <r>
    <x v="23"/>
    <s v="A"/>
    <s v="01"/>
    <s v="01"/>
    <s v="02"/>
    <s v="008"/>
    <m/>
    <m/>
    <s v="10"/>
    <s v="CSF"/>
    <x v="23"/>
    <n v="475390000"/>
    <m/>
    <m/>
    <m/>
    <m/>
    <m/>
    <n v="475390000"/>
    <n v="218022100"/>
    <n v="257367900"/>
    <n v="0.45861734575821955"/>
    <n v="218022100"/>
  </r>
  <r>
    <x v="24"/>
    <s v="A"/>
    <s v="01"/>
    <s v="01"/>
    <s v="02"/>
    <s v="009"/>
    <m/>
    <m/>
    <s v="10"/>
    <s v="CSF"/>
    <x v="24"/>
    <n v="950780000"/>
    <m/>
    <m/>
    <m/>
    <m/>
    <m/>
    <n v="950780000"/>
    <n v="435734100"/>
    <n v="515045900"/>
    <n v="0.45829119249458339"/>
    <n v="435734100"/>
  </r>
  <r>
    <x v="25"/>
    <s v="A"/>
    <s v="01"/>
    <s v="01"/>
    <s v="03"/>
    <m/>
    <m/>
    <m/>
    <s v="10"/>
    <s v="CSF"/>
    <x v="25"/>
    <n v="9133000000"/>
    <n v="0"/>
    <n v="0"/>
    <n v="0"/>
    <n v="0"/>
    <n v="0"/>
    <n v="9133000000"/>
    <n v="5711584615"/>
    <n v="3421415385"/>
    <n v="0.62537880378845945"/>
    <n v="5708675476"/>
  </r>
  <r>
    <x v="26"/>
    <s v="A"/>
    <s v="01"/>
    <s v="01"/>
    <s v="03"/>
    <s v="001"/>
    <m/>
    <m/>
    <s v="10"/>
    <s v="CSF"/>
    <x v="26"/>
    <n v="4840000000"/>
    <n v="0"/>
    <n v="0"/>
    <n v="0"/>
    <n v="0"/>
    <n v="0"/>
    <n v="4840000000"/>
    <n v="3298463338"/>
    <n v="1541536662"/>
    <n v="0.68150068966942146"/>
    <n v="3298463338"/>
  </r>
  <r>
    <x v="27"/>
    <s v="A"/>
    <s v="01"/>
    <s v="01"/>
    <s v="03"/>
    <s v="001"/>
    <s v="001"/>
    <m/>
    <s v="10"/>
    <s v="CSF"/>
    <x v="27"/>
    <n v="3560000000"/>
    <m/>
    <m/>
    <m/>
    <m/>
    <m/>
    <n v="3560000000"/>
    <n v="2657079246"/>
    <n v="902920754"/>
    <n v="0.74637057471910118"/>
    <n v="2657079246"/>
  </r>
  <r>
    <x v="28"/>
    <s v="A"/>
    <s v="01"/>
    <s v="01"/>
    <s v="03"/>
    <s v="001"/>
    <s v="002"/>
    <m/>
    <s v="10"/>
    <s v="CSF"/>
    <x v="28"/>
    <n v="900000000"/>
    <m/>
    <m/>
    <m/>
    <m/>
    <m/>
    <n v="900000000"/>
    <n v="389234870"/>
    <n v="510765130"/>
    <n v="0.43248318888888887"/>
    <n v="389234870"/>
  </r>
  <r>
    <x v="29"/>
    <s v="A"/>
    <s v="01"/>
    <s v="01"/>
    <s v="03"/>
    <s v="001"/>
    <s v="003"/>
    <m/>
    <s v="10"/>
    <s v="CSF"/>
    <x v="29"/>
    <n v="380000000"/>
    <m/>
    <m/>
    <m/>
    <m/>
    <m/>
    <n v="380000000"/>
    <n v="252149222"/>
    <n v="127850778"/>
    <n v="0.66355058421052626"/>
    <n v="252149222"/>
  </r>
  <r>
    <x v="30"/>
    <s v="A"/>
    <s v="01"/>
    <s v="01"/>
    <s v="03"/>
    <s v="002"/>
    <m/>
    <m/>
    <s v="10"/>
    <s v="CSF"/>
    <x v="30"/>
    <n v="2600000000"/>
    <m/>
    <m/>
    <m/>
    <m/>
    <m/>
    <n v="2600000000"/>
    <n v="1371701449"/>
    <n v="1228298551"/>
    <n v="0.52757748038461538"/>
    <n v="1371701449"/>
  </r>
  <r>
    <x v="31"/>
    <s v="A"/>
    <s v="01"/>
    <s v="01"/>
    <s v="03"/>
    <s v="005"/>
    <m/>
    <m/>
    <s v="10"/>
    <s v="CSF"/>
    <x v="31"/>
    <n v="6000000"/>
    <m/>
    <m/>
    <m/>
    <m/>
    <m/>
    <n v="6000000"/>
    <n v="5310747"/>
    <n v="689253"/>
    <n v="0.88512449999999998"/>
    <n v="5310747"/>
  </r>
  <r>
    <x v="32"/>
    <s v="A"/>
    <s v="01"/>
    <s v="01"/>
    <s v="03"/>
    <s v="007"/>
    <m/>
    <m/>
    <s v="10"/>
    <s v="CSF"/>
    <x v="32"/>
    <n v="13000000"/>
    <m/>
    <m/>
    <m/>
    <m/>
    <m/>
    <n v="13000000"/>
    <n v="4642699"/>
    <n v="8357301"/>
    <n v="0.35713069230769229"/>
    <n v="4642699"/>
  </r>
  <r>
    <x v="33"/>
    <s v="A"/>
    <s v="01"/>
    <s v="01"/>
    <s v="03"/>
    <s v="013"/>
    <m/>
    <m/>
    <s v="10"/>
    <s v="CSF"/>
    <x v="33"/>
    <n v="40000000"/>
    <m/>
    <m/>
    <m/>
    <m/>
    <m/>
    <n v="40000000"/>
    <n v="0"/>
    <n v="40000000"/>
    <n v="0"/>
    <n v="0"/>
  </r>
  <r>
    <x v="34"/>
    <s v="A"/>
    <s v="01"/>
    <s v="01"/>
    <s v="03"/>
    <s v="016"/>
    <m/>
    <m/>
    <s v="10"/>
    <s v="CSF"/>
    <x v="34"/>
    <n v="984000000"/>
    <m/>
    <m/>
    <m/>
    <m/>
    <m/>
    <n v="984000000"/>
    <n v="671831250"/>
    <n v="312168750"/>
    <n v="0.68275533536585364"/>
    <n v="668922111"/>
  </r>
  <r>
    <x v="35"/>
    <s v="A"/>
    <s v="01"/>
    <s v="01"/>
    <s v="03"/>
    <s v="030"/>
    <m/>
    <m/>
    <s v="10"/>
    <s v="CSF"/>
    <x v="35"/>
    <n v="650000000"/>
    <m/>
    <m/>
    <m/>
    <m/>
    <m/>
    <n v="650000000"/>
    <n v="359635132"/>
    <n v="290364868"/>
    <n v="0.55328481846153843"/>
    <n v="359635132"/>
  </r>
  <r>
    <x v="36"/>
    <s v="A"/>
    <s v="02"/>
    <m/>
    <m/>
    <m/>
    <m/>
    <m/>
    <m/>
    <m/>
    <x v="36"/>
    <n v="44658000000"/>
    <n v="0"/>
    <n v="0"/>
    <n v="5648495909"/>
    <n v="5648495909"/>
    <n v="0"/>
    <n v="44658000000"/>
    <n v="32006662168.450005"/>
    <n v="12651337831.549999"/>
    <n v="0.71670612585538995"/>
    <n v="16725620838.539999"/>
  </r>
  <r>
    <x v="37"/>
    <s v="A"/>
    <s v="02"/>
    <s v="01"/>
    <m/>
    <m/>
    <m/>
    <m/>
    <m/>
    <m/>
    <x v="37"/>
    <n v="100000000"/>
    <n v="0"/>
    <n v="0"/>
    <n v="295000000"/>
    <n v="109341552"/>
    <n v="0"/>
    <n v="285658448"/>
    <n v="115000000"/>
    <n v="170658448"/>
    <n v="0.40257867675595577"/>
    <n v="0"/>
  </r>
  <r>
    <x v="38"/>
    <s v="A"/>
    <s v="02"/>
    <s v="01"/>
    <s v="01"/>
    <m/>
    <m/>
    <m/>
    <s v="10"/>
    <s v="CSF"/>
    <x v="38"/>
    <n v="100000000"/>
    <n v="0"/>
    <n v="0"/>
    <n v="295000000"/>
    <n v="109341552"/>
    <n v="0"/>
    <n v="285658448"/>
    <n v="115000000"/>
    <n v="170658448"/>
    <n v="0.40257867675595577"/>
    <n v="0"/>
  </r>
  <r>
    <x v="39"/>
    <s v="A"/>
    <s v="02"/>
    <s v="01"/>
    <s v="01"/>
    <s v="004"/>
    <m/>
    <m/>
    <s v="10"/>
    <s v="CSF"/>
    <x v="39"/>
    <n v="100000000"/>
    <n v="0"/>
    <n v="0"/>
    <n v="295000000"/>
    <n v="109341552"/>
    <n v="0"/>
    <n v="285658448"/>
    <n v="115000000"/>
    <n v="170658448"/>
    <n v="0.40257867675595577"/>
    <n v="0"/>
  </r>
  <r>
    <x v="40"/>
    <s v="A"/>
    <s v="02"/>
    <s v="01"/>
    <s v="01"/>
    <s v="004"/>
    <s v="006"/>
    <m/>
    <n v="10"/>
    <s v="CSF"/>
    <x v="40"/>
    <n v="0"/>
    <m/>
    <m/>
    <n v="295000000"/>
    <n v="90000000"/>
    <m/>
    <n v="205000000"/>
    <n v="115000000"/>
    <n v="90000000"/>
    <n v="0.56097560975609762"/>
    <n v="0"/>
  </r>
  <r>
    <x v="41"/>
    <s v="A"/>
    <s v="02"/>
    <s v="01"/>
    <s v="01"/>
    <s v="004"/>
    <s v="007"/>
    <m/>
    <n v="10"/>
    <s v="CSF"/>
    <x v="41"/>
    <n v="100000000"/>
    <m/>
    <m/>
    <m/>
    <n v="19341552"/>
    <m/>
    <n v="80658448"/>
    <n v="0"/>
    <n v="80658448"/>
    <n v="0"/>
    <n v="0"/>
  </r>
  <r>
    <x v="42"/>
    <s v="A"/>
    <s v="02"/>
    <s v="02"/>
    <m/>
    <m/>
    <m/>
    <m/>
    <m/>
    <m/>
    <x v="42"/>
    <n v="44558000000"/>
    <n v="0"/>
    <n v="0"/>
    <n v="5353495909"/>
    <n v="5539154357"/>
    <n v="0"/>
    <n v="44372341552"/>
    <n v="31891662168.450005"/>
    <n v="12480679383.549999"/>
    <n v="0.71872840271627603"/>
    <n v="16725620838.539999"/>
  </r>
  <r>
    <x v="43"/>
    <s v="A"/>
    <s v="02"/>
    <s v="02"/>
    <s v="01"/>
    <m/>
    <m/>
    <m/>
    <s v="10"/>
    <s v="CSF"/>
    <x v="43"/>
    <n v="1434662489"/>
    <n v="0"/>
    <n v="0"/>
    <n v="529748465"/>
    <n v="110000000"/>
    <n v="0"/>
    <n v="1854410954"/>
    <n v="492841686"/>
    <n v="1361569268"/>
    <n v="0.26576724265833906"/>
    <n v="186657033.16999999"/>
  </r>
  <r>
    <x v="44"/>
    <s v="A"/>
    <s v="02"/>
    <s v="02"/>
    <s v="01"/>
    <s v="001"/>
    <m/>
    <m/>
    <s v="10"/>
    <s v="CSF"/>
    <x v="44"/>
    <n v="19000000"/>
    <n v="0"/>
    <n v="0"/>
    <n v="0"/>
    <n v="0"/>
    <n v="0"/>
    <n v="19000000"/>
    <n v="14000000"/>
    <n v="5000000"/>
    <n v="0.73684210526315785"/>
    <n v="0"/>
  </r>
  <r>
    <x v="45"/>
    <s v="A"/>
    <s v="02"/>
    <s v="02"/>
    <s v="01"/>
    <s v="001"/>
    <s v="005"/>
    <m/>
    <n v="10"/>
    <s v="CSF"/>
    <x v="45"/>
    <n v="6000000"/>
    <m/>
    <m/>
    <m/>
    <m/>
    <m/>
    <n v="6000000"/>
    <n v="6000000"/>
    <n v="0"/>
    <n v="1"/>
    <n v="0"/>
  </r>
  <r>
    <x v="46"/>
    <s v="A"/>
    <s v="02"/>
    <s v="02"/>
    <s v="01"/>
    <s v="001"/>
    <s v="007"/>
    <m/>
    <n v="10"/>
    <s v="CSF"/>
    <x v="46"/>
    <n v="13000000"/>
    <m/>
    <m/>
    <m/>
    <m/>
    <m/>
    <n v="13000000"/>
    <n v="8000000"/>
    <n v="5000000"/>
    <n v="0.61538461538461542"/>
    <n v="0"/>
  </r>
  <r>
    <x v="47"/>
    <s v="A"/>
    <s v="02"/>
    <s v="02"/>
    <s v="01"/>
    <s v="002"/>
    <m/>
    <m/>
    <s v="10"/>
    <s v="CSF"/>
    <x v="47"/>
    <n v="130000000"/>
    <n v="0"/>
    <n v="0"/>
    <n v="66000000"/>
    <n v="0"/>
    <n v="0"/>
    <n v="196000000"/>
    <n v="171221407"/>
    <n v="24778593"/>
    <n v="0.87357860714285718"/>
    <n v="57098031.490000002"/>
  </r>
  <r>
    <x v="48"/>
    <s v="A"/>
    <s v="02"/>
    <s v="02"/>
    <s v="01"/>
    <s v="002"/>
    <s v="003"/>
    <m/>
    <n v="10"/>
    <s v="CSF"/>
    <x v="48"/>
    <n v="0"/>
    <m/>
    <m/>
    <n v="66000000"/>
    <m/>
    <m/>
    <n v="66000000"/>
    <n v="66000000"/>
    <n v="0"/>
    <n v="1"/>
    <n v="57098031.490000002"/>
  </r>
  <r>
    <x v="49"/>
    <s v="A"/>
    <s v="02"/>
    <s v="02"/>
    <s v="01"/>
    <s v="002"/>
    <s v="008"/>
    <m/>
    <n v="10"/>
    <s v="CSF"/>
    <x v="49"/>
    <n v="130000000"/>
    <m/>
    <m/>
    <m/>
    <m/>
    <m/>
    <n v="130000000"/>
    <n v="105221407"/>
    <n v="24778593"/>
    <n v="0.8093954384615385"/>
    <n v="0"/>
  </r>
  <r>
    <x v="50"/>
    <s v="A"/>
    <s v="02"/>
    <s v="02"/>
    <s v="01"/>
    <s v="003"/>
    <m/>
    <m/>
    <s v="10"/>
    <s v="CSF"/>
    <x v="50"/>
    <n v="360662489"/>
    <n v="0"/>
    <n v="0"/>
    <n v="463748465"/>
    <n v="0"/>
    <n v="0"/>
    <n v="824410954"/>
    <n v="271135779"/>
    <n v="553275175"/>
    <n v="0.3288842508514267"/>
    <n v="120574501.67999999"/>
  </r>
  <r>
    <x v="51"/>
    <s v="A"/>
    <s v="02"/>
    <s v="02"/>
    <s v="01"/>
    <s v="003"/>
    <s v="002"/>
    <m/>
    <n v="10"/>
    <s v="CSF"/>
    <x v="51"/>
    <n v="154100000"/>
    <m/>
    <m/>
    <n v="253475175"/>
    <m/>
    <m/>
    <n v="407575175"/>
    <n v="2800000"/>
    <n v="404775175"/>
    <n v="6.869898295449422E-3"/>
    <n v="300000"/>
  </r>
  <r>
    <x v="52"/>
    <s v="A"/>
    <s v="02"/>
    <s v="02"/>
    <s v="01"/>
    <s v="003"/>
    <s v="003"/>
    <m/>
    <n v="10"/>
    <s v="CSF"/>
    <x v="52"/>
    <n v="89562489"/>
    <m/>
    <m/>
    <n v="21273290"/>
    <m/>
    <m/>
    <n v="110835779"/>
    <n v="103335779"/>
    <n v="7500000"/>
    <n v="0.93233232023388402"/>
    <n v="38302613.469999999"/>
  </r>
  <r>
    <x v="53"/>
    <s v="A"/>
    <s v="02"/>
    <s v="02"/>
    <s v="01"/>
    <s v="003"/>
    <s v="005"/>
    <m/>
    <n v="10"/>
    <s v="CSF"/>
    <x v="53"/>
    <n v="14000000"/>
    <m/>
    <m/>
    <n v="99000000"/>
    <m/>
    <m/>
    <n v="113000000"/>
    <n v="113000000"/>
    <n v="0"/>
    <n v="1"/>
    <n v="81971888.209999993"/>
  </r>
  <r>
    <x v="54"/>
    <s v="A"/>
    <s v="02"/>
    <s v="02"/>
    <s v="01"/>
    <s v="003"/>
    <s v="006"/>
    <m/>
    <n v="10"/>
    <s v="CSF"/>
    <x v="54"/>
    <n v="20000000"/>
    <m/>
    <m/>
    <m/>
    <m/>
    <m/>
    <n v="20000000"/>
    <n v="20000000"/>
    <n v="0"/>
    <n v="1"/>
    <n v="0"/>
  </r>
  <r>
    <x v="55"/>
    <s v="A"/>
    <s v="02"/>
    <s v="02"/>
    <s v="01"/>
    <s v="003"/>
    <s v="008"/>
    <m/>
    <n v="10"/>
    <s v="CSF"/>
    <x v="55"/>
    <n v="83000000"/>
    <m/>
    <m/>
    <n v="90000000"/>
    <m/>
    <m/>
    <n v="173000000"/>
    <n v="32000000"/>
    <n v="141000000"/>
    <n v="0.18497109826589594"/>
    <n v="0"/>
  </r>
  <r>
    <x v="56"/>
    <s v="A"/>
    <s v="02"/>
    <s v="02"/>
    <s v="01"/>
    <s v="004"/>
    <m/>
    <m/>
    <s v="10"/>
    <s v="CSF"/>
    <x v="56"/>
    <n v="925000000"/>
    <n v="0"/>
    <n v="0"/>
    <n v="0"/>
    <n v="110000000"/>
    <n v="0"/>
    <n v="815000000"/>
    <n v="36484500"/>
    <n v="778515500"/>
    <n v="4.4766257668711659E-2"/>
    <n v="8984500"/>
  </r>
  <r>
    <x v="57"/>
    <s v="A"/>
    <s v="02"/>
    <s v="02"/>
    <s v="01"/>
    <s v="004"/>
    <s v="002"/>
    <m/>
    <n v="10"/>
    <s v="CSF"/>
    <x v="57"/>
    <n v="30000000"/>
    <m/>
    <m/>
    <m/>
    <m/>
    <m/>
    <n v="30000000"/>
    <n v="27500000"/>
    <n v="2500000"/>
    <n v="0.91666666666666663"/>
    <n v="0"/>
  </r>
  <r>
    <x v="58"/>
    <s v="A"/>
    <s v="02"/>
    <s v="02"/>
    <s v="01"/>
    <s v="004"/>
    <s v="005"/>
    <m/>
    <n v="10"/>
    <s v="CSF"/>
    <x v="58"/>
    <n v="565000000"/>
    <m/>
    <m/>
    <m/>
    <m/>
    <m/>
    <n v="565000000"/>
    <n v="8984500"/>
    <n v="556015500"/>
    <n v="1.5901769911504424E-2"/>
    <n v="8984500"/>
  </r>
  <r>
    <x v="59"/>
    <s v="A"/>
    <s v="02"/>
    <s v="02"/>
    <s v="01"/>
    <s v="004"/>
    <s v="006"/>
    <m/>
    <n v="10"/>
    <s v="CSF"/>
    <x v="40"/>
    <n v="148000000"/>
    <m/>
    <m/>
    <m/>
    <n v="110000000"/>
    <m/>
    <n v="38000000"/>
    <n v="0"/>
    <n v="38000000"/>
    <n v="0"/>
    <n v="0"/>
  </r>
  <r>
    <x v="60"/>
    <s v="A"/>
    <s v="02"/>
    <s v="02"/>
    <s v="01"/>
    <s v="004"/>
    <s v="007"/>
    <m/>
    <n v="10"/>
    <s v="CSF"/>
    <x v="41"/>
    <n v="182000000"/>
    <m/>
    <m/>
    <m/>
    <m/>
    <m/>
    <n v="182000000"/>
    <n v="0"/>
    <n v="182000000"/>
    <n v="0"/>
    <n v="0"/>
  </r>
  <r>
    <x v="61"/>
    <s v="A"/>
    <s v="02"/>
    <s v="02"/>
    <s v="02"/>
    <m/>
    <m/>
    <m/>
    <s v="10"/>
    <s v="CSF"/>
    <x v="59"/>
    <n v="43123337511"/>
    <n v="0"/>
    <n v="0"/>
    <n v="4823747444"/>
    <n v="5429154357"/>
    <n v="0"/>
    <n v="42517930598"/>
    <n v="31398820482.450005"/>
    <n v="11119110115.549999"/>
    <n v="0.73848421220968297"/>
    <n v="16538963805.369999"/>
  </r>
  <r>
    <x v="62"/>
    <s v="A"/>
    <s v="02"/>
    <s v="02"/>
    <s v="02"/>
    <s v="006"/>
    <m/>
    <m/>
    <s v="10"/>
    <s v="CSF"/>
    <x v="60"/>
    <n v="5553279341"/>
    <n v="0"/>
    <n v="0"/>
    <n v="68000000"/>
    <n v="0"/>
    <n v="0"/>
    <n v="5621279341"/>
    <n v="3039874717.3099999"/>
    <n v="2581404623.6900001"/>
    <n v="0.54077987107632697"/>
    <n v="2709644383.3099999"/>
  </r>
  <r>
    <x v="63"/>
    <s v="A"/>
    <s v="02"/>
    <s v="02"/>
    <s v="02"/>
    <s v="006"/>
    <s v="003"/>
    <m/>
    <n v="10"/>
    <s v="CSF"/>
    <x v="61"/>
    <n v="182500000"/>
    <m/>
    <m/>
    <m/>
    <m/>
    <m/>
    <n v="182500000"/>
    <n v="144539456"/>
    <n v="37960544"/>
    <n v="0.79199701917808218"/>
    <n v="70651279"/>
  </r>
  <r>
    <x v="64"/>
    <s v="A"/>
    <s v="02"/>
    <s v="02"/>
    <s v="02"/>
    <s v="006"/>
    <s v="004"/>
    <m/>
    <n v="10"/>
    <s v="CSF"/>
    <x v="62"/>
    <n v="2460219321"/>
    <m/>
    <m/>
    <n v="35000000"/>
    <m/>
    <m/>
    <n v="2495219321"/>
    <n v="1841447367"/>
    <n v="653771954"/>
    <n v="0.7379901844708423"/>
    <n v="1620090100"/>
  </r>
  <r>
    <x v="65"/>
    <s v="A"/>
    <s v="02"/>
    <s v="02"/>
    <s v="02"/>
    <s v="006"/>
    <s v="005"/>
    <m/>
    <n v="10"/>
    <s v="CSF"/>
    <x v="63"/>
    <n v="114000000"/>
    <m/>
    <m/>
    <n v="33000000"/>
    <m/>
    <m/>
    <n v="147000000"/>
    <n v="40118500"/>
    <n v="106881500"/>
    <n v="0.27291496598639453"/>
    <n v="5140000"/>
  </r>
  <r>
    <x v="66"/>
    <s v="A"/>
    <s v="02"/>
    <s v="02"/>
    <s v="02"/>
    <s v="006"/>
    <s v="008"/>
    <m/>
    <n v="10"/>
    <s v="CSF"/>
    <x v="64"/>
    <n v="1530960020"/>
    <m/>
    <m/>
    <m/>
    <m/>
    <m/>
    <n v="1530960020"/>
    <n v="646713828.58000004"/>
    <n v="884246191.41999996"/>
    <n v="0.42242372114981819"/>
    <n v="646713828.58000004"/>
  </r>
  <r>
    <x v="67"/>
    <s v="A"/>
    <s v="02"/>
    <s v="02"/>
    <s v="02"/>
    <s v="006"/>
    <s v="009"/>
    <m/>
    <n v="10"/>
    <s v="CSF"/>
    <x v="65"/>
    <n v="1265600000"/>
    <m/>
    <m/>
    <m/>
    <m/>
    <m/>
    <n v="1265600000"/>
    <n v="367055565.73000002"/>
    <n v="898544434.26999998"/>
    <n v="0.29002494131637169"/>
    <n v="367049175.73000002"/>
  </r>
  <r>
    <x v="68"/>
    <s v="A"/>
    <s v="02"/>
    <s v="02"/>
    <s v="02"/>
    <s v="007"/>
    <m/>
    <m/>
    <s v="10"/>
    <s v="CSF"/>
    <x v="66"/>
    <n v="16189463994"/>
    <n v="0"/>
    <n v="0"/>
    <n v="0"/>
    <n v="249607469.44"/>
    <n v="0"/>
    <n v="15939856524.559999"/>
    <n v="14595882303"/>
    <n v="1343974221.5599995"/>
    <n v="0.91568467260108555"/>
    <n v="8007053492.9200001"/>
  </r>
  <r>
    <x v="69"/>
    <s v="A"/>
    <s v="02"/>
    <s v="02"/>
    <s v="02"/>
    <s v="007"/>
    <s v="001"/>
    <m/>
    <n v="10"/>
    <s v="CSF"/>
    <x v="67"/>
    <n v="718200000"/>
    <m/>
    <m/>
    <m/>
    <m/>
    <m/>
    <n v="718200000"/>
    <n v="139249053"/>
    <n v="578950947"/>
    <n v="0.19388617794486215"/>
    <n v="113259936.42"/>
  </r>
  <r>
    <x v="70"/>
    <s v="A"/>
    <s v="02"/>
    <s v="02"/>
    <s v="02"/>
    <s v="007"/>
    <s v="002"/>
    <m/>
    <n v="10"/>
    <s v="CSF"/>
    <x v="68"/>
    <n v="15471263994"/>
    <m/>
    <m/>
    <m/>
    <n v="249607469.44"/>
    <m/>
    <n v="15221656524.559999"/>
    <n v="14456633250"/>
    <n v="765023274.55999947"/>
    <n v="0.94974112881041284"/>
    <n v="7893793556.5"/>
  </r>
  <r>
    <x v="71"/>
    <s v="A"/>
    <s v="02"/>
    <s v="02"/>
    <s v="02"/>
    <s v="008"/>
    <m/>
    <m/>
    <s v="10"/>
    <s v="CSF"/>
    <x v="69"/>
    <n v="18297410176"/>
    <n v="0"/>
    <n v="0"/>
    <n v="1530699347"/>
    <n v="3936522410.5599999"/>
    <n v="0"/>
    <n v="15891587112.439999"/>
    <n v="11982341538.030001"/>
    <n v="3909245574.4099998"/>
    <n v="0.75400533963345773"/>
    <n v="5284325546.0299997"/>
  </r>
  <r>
    <x v="72"/>
    <s v="A"/>
    <s v="02"/>
    <s v="02"/>
    <s v="02"/>
    <s v="008"/>
    <s v="002"/>
    <m/>
    <n v="10"/>
    <s v="CSF"/>
    <x v="70"/>
    <n v="57307000"/>
    <m/>
    <m/>
    <m/>
    <m/>
    <m/>
    <n v="57307000"/>
    <n v="41015500"/>
    <n v="16291500"/>
    <n v="0.71571535763519289"/>
    <n v="5061329.8600000003"/>
  </r>
  <r>
    <x v="73"/>
    <s v="A"/>
    <s v="02"/>
    <s v="02"/>
    <s v="02"/>
    <s v="008"/>
    <s v="003"/>
    <m/>
    <n v="10"/>
    <s v="CSF"/>
    <x v="71"/>
    <n v="6648501421"/>
    <m/>
    <m/>
    <n v="1315333318"/>
    <n v="3175048097"/>
    <m/>
    <n v="4788786642"/>
    <n v="4166285030"/>
    <n v="622501612"/>
    <n v="0.87000848888518933"/>
    <n v="2176533859"/>
  </r>
  <r>
    <x v="74"/>
    <s v="A"/>
    <s v="02"/>
    <s v="02"/>
    <s v="02"/>
    <s v="008"/>
    <s v="004"/>
    <m/>
    <n v="10"/>
    <s v="CSF"/>
    <x v="72"/>
    <n v="2672983340"/>
    <m/>
    <m/>
    <m/>
    <n v="200000000"/>
    <m/>
    <n v="2472983340"/>
    <n v="1093670561.97"/>
    <n v="1379312778.03"/>
    <n v="0.44224744432366458"/>
    <n v="677536273.78999996"/>
  </r>
  <r>
    <x v="75"/>
    <s v="A"/>
    <s v="02"/>
    <s v="02"/>
    <s v="02"/>
    <s v="008"/>
    <s v="005"/>
    <m/>
    <n v="10"/>
    <s v="CSF"/>
    <x v="73"/>
    <n v="7515815535"/>
    <m/>
    <m/>
    <n v="151113121"/>
    <n v="286725848.56"/>
    <m/>
    <n v="7380202807.4399996"/>
    <n v="6232897362.4799995"/>
    <n v="1147305444.96"/>
    <n v="0.84454282966270267"/>
    <n v="2239372097.5"/>
  </r>
  <r>
    <x v="76"/>
    <s v="A"/>
    <s v="02"/>
    <s v="02"/>
    <s v="02"/>
    <s v="008"/>
    <s v="007"/>
    <m/>
    <n v="10"/>
    <s v="CSF"/>
    <x v="74"/>
    <n v="1074802880"/>
    <m/>
    <m/>
    <n v="64252908"/>
    <n v="274748465"/>
    <m/>
    <n v="864307323"/>
    <n v="295884033.57999998"/>
    <n v="568423289.42000008"/>
    <n v="0.34233660378230996"/>
    <n v="144134235.88"/>
  </r>
  <r>
    <x v="77"/>
    <s v="A"/>
    <s v="02"/>
    <s v="02"/>
    <s v="02"/>
    <s v="008"/>
    <s v="009"/>
    <m/>
    <n v="10"/>
    <s v="CSF"/>
    <x v="75"/>
    <n v="328000000"/>
    <m/>
    <m/>
    <m/>
    <m/>
    <m/>
    <n v="328000000"/>
    <n v="152589050"/>
    <n v="175410950"/>
    <n v="0.46521051829268295"/>
    <n v="41687750"/>
  </r>
  <r>
    <x v="78"/>
    <s v="A"/>
    <s v="02"/>
    <s v="02"/>
    <s v="02"/>
    <s v="009"/>
    <m/>
    <m/>
    <s v="10"/>
    <s v="CSF"/>
    <x v="76"/>
    <n v="2083184000"/>
    <n v="0"/>
    <n v="0"/>
    <n v="3225048097"/>
    <n v="1243024477"/>
    <n v="0"/>
    <n v="4065207620"/>
    <n v="1184593801.1099999"/>
    <n v="2880613818.8899999"/>
    <n v="0.29139810603572563"/>
    <n v="75195576.109999999"/>
  </r>
  <r>
    <x v="79"/>
    <s v="A"/>
    <s v="02"/>
    <s v="02"/>
    <s v="02"/>
    <s v="009"/>
    <s v="002"/>
    <m/>
    <n v="10"/>
    <s v="CSF"/>
    <x v="77"/>
    <n v="150000000"/>
    <m/>
    <m/>
    <m/>
    <m/>
    <m/>
    <n v="150000000"/>
    <n v="0"/>
    <n v="150000000"/>
    <n v="0"/>
    <n v="0"/>
  </r>
  <r>
    <x v="80"/>
    <s v="A"/>
    <s v="02"/>
    <s v="02"/>
    <s v="02"/>
    <s v="009"/>
    <s v="003"/>
    <m/>
    <n v="10"/>
    <s v="CSF"/>
    <x v="78"/>
    <n v="285000000"/>
    <m/>
    <m/>
    <m/>
    <m/>
    <m/>
    <n v="285000000"/>
    <n v="43909567"/>
    <n v="241090433"/>
    <n v="0.15406865614035087"/>
    <n v="24499879"/>
  </r>
  <r>
    <x v="81"/>
    <s v="A"/>
    <s v="02"/>
    <s v="02"/>
    <s v="02"/>
    <s v="009"/>
    <s v="004"/>
    <m/>
    <n v="10"/>
    <s v="CSF"/>
    <x v="79"/>
    <n v="105720000"/>
    <m/>
    <m/>
    <n v="5000000"/>
    <m/>
    <m/>
    <n v="110720000"/>
    <n v="25141099.109999999"/>
    <n v="85578900.890000001"/>
    <n v="0.22706917548771677"/>
    <n v="25141099.109999999"/>
  </r>
  <r>
    <x v="82"/>
    <s v="A"/>
    <s v="02"/>
    <s v="02"/>
    <s v="02"/>
    <s v="009"/>
    <s v="006"/>
    <m/>
    <n v="10"/>
    <s v="CSF"/>
    <x v="80"/>
    <n v="1481000000"/>
    <m/>
    <m/>
    <m/>
    <m/>
    <m/>
    <n v="1481000000"/>
    <n v="1115543135"/>
    <n v="365456865"/>
    <n v="0.75323641796083729"/>
    <n v="25554598"/>
  </r>
  <r>
    <x v="83"/>
    <s v="A"/>
    <s v="02"/>
    <s v="02"/>
    <s v="02"/>
    <s v="009"/>
    <s v="007"/>
    <m/>
    <n v="10"/>
    <s v="CSF"/>
    <x v="81"/>
    <n v="61464000"/>
    <m/>
    <m/>
    <n v="3220048097"/>
    <n v="1243024477"/>
    <m/>
    <n v="2038487620"/>
    <n v="0"/>
    <n v="2038487620"/>
    <n v="0"/>
    <n v="0"/>
  </r>
  <r>
    <x v="84"/>
    <s v="A"/>
    <s v="02"/>
    <s v="02"/>
    <s v="02"/>
    <s v="010"/>
    <m/>
    <m/>
    <s v="10"/>
    <s v="CSF"/>
    <x v="82"/>
    <n v="1000000000"/>
    <m/>
    <m/>
    <m/>
    <m/>
    <m/>
    <n v="1000000000"/>
    <n v="596128123"/>
    <n v="403871877"/>
    <n v="0.59612812299999995"/>
    <n v="462744807"/>
  </r>
  <r>
    <x v="85"/>
    <s v="A"/>
    <s v="03"/>
    <m/>
    <m/>
    <m/>
    <m/>
    <m/>
    <m/>
    <m/>
    <x v="83"/>
    <n v="8837000000"/>
    <n v="0"/>
    <n v="0"/>
    <n v="55158452"/>
    <n v="55158452"/>
    <n v="5880000000"/>
    <n v="2957000000"/>
    <n v="1380904448"/>
    <n v="1576095552"/>
    <n v="0.4669950787960771"/>
    <n v="1308008989"/>
  </r>
  <r>
    <x v="86"/>
    <s v="A"/>
    <s v="03"/>
    <s v="03"/>
    <m/>
    <m/>
    <m/>
    <m/>
    <m/>
    <m/>
    <x v="84"/>
    <n v="5880000000"/>
    <n v="0"/>
    <n v="0"/>
    <n v="0"/>
    <n v="0"/>
    <n v="5880000000"/>
    <n v="0"/>
    <n v="0"/>
    <n v="0"/>
    <n v="0"/>
    <n v="0"/>
  </r>
  <r>
    <x v="87"/>
    <s v="A"/>
    <s v="03"/>
    <s v="03"/>
    <s v="01"/>
    <m/>
    <m/>
    <m/>
    <m/>
    <m/>
    <x v="85"/>
    <n v="5880000000"/>
    <n v="0"/>
    <n v="0"/>
    <n v="0"/>
    <n v="0"/>
    <n v="5880000000"/>
    <n v="0"/>
    <n v="0"/>
    <n v="0"/>
    <n v="0"/>
    <n v="0"/>
  </r>
  <r>
    <x v="88"/>
    <s v="A"/>
    <s v="03"/>
    <s v="03"/>
    <s v="01"/>
    <s v="999"/>
    <m/>
    <m/>
    <s v="10"/>
    <s v="CSF"/>
    <x v="86"/>
    <n v="5880000000"/>
    <m/>
    <m/>
    <m/>
    <m/>
    <n v="5880000000"/>
    <n v="0"/>
    <n v="0"/>
    <n v="0"/>
    <n v="0"/>
    <n v="0"/>
  </r>
  <r>
    <x v="89"/>
    <s v="A"/>
    <s v="03"/>
    <s v="04"/>
    <m/>
    <m/>
    <m/>
    <m/>
    <m/>
    <m/>
    <x v="87"/>
    <n v="598000000"/>
    <n v="0"/>
    <n v="0"/>
    <n v="0"/>
    <n v="0"/>
    <n v="0"/>
    <n v="598000000"/>
    <n v="268312232"/>
    <n v="329687768"/>
    <n v="0.44868266220735786"/>
    <n v="195416773"/>
  </r>
  <r>
    <x v="90"/>
    <s v="A"/>
    <s v="03"/>
    <s v="04"/>
    <s v="02"/>
    <m/>
    <m/>
    <m/>
    <s v="10"/>
    <s v="CSF"/>
    <x v="88"/>
    <n v="598000000"/>
    <n v="0"/>
    <n v="0"/>
    <n v="0"/>
    <n v="0"/>
    <n v="0"/>
    <n v="598000000"/>
    <n v="268312232"/>
    <n v="329687768"/>
    <n v="0.44868266220735786"/>
    <n v="195416773"/>
  </r>
  <r>
    <x v="91"/>
    <s v="A"/>
    <s v="03"/>
    <s v="04"/>
    <s v="02"/>
    <s v="012"/>
    <m/>
    <m/>
    <s v="10"/>
    <s v="CSF"/>
    <x v="89"/>
    <n v="598000000"/>
    <n v="0"/>
    <n v="0"/>
    <n v="0"/>
    <n v="0"/>
    <n v="0"/>
    <n v="598000000"/>
    <n v="268312232"/>
    <n v="329687768"/>
    <n v="0.44868266220735786"/>
    <n v="195416773"/>
  </r>
  <r>
    <x v="92"/>
    <s v="A"/>
    <s v="03"/>
    <s v="04"/>
    <s v="02"/>
    <s v="012"/>
    <s v="001"/>
    <m/>
    <s v="10"/>
    <s v="CSF"/>
    <x v="90"/>
    <n v="398000000"/>
    <m/>
    <m/>
    <m/>
    <m/>
    <m/>
    <n v="398000000"/>
    <n v="218307282"/>
    <n v="179692718"/>
    <n v="0.54851075879396982"/>
    <n v="176684695"/>
  </r>
  <r>
    <x v="93"/>
    <s v="A"/>
    <s v="03"/>
    <s v="04"/>
    <s v="02"/>
    <s v="012"/>
    <s v="002"/>
    <m/>
    <s v="10"/>
    <s v="CSF"/>
    <x v="91"/>
    <n v="200000000"/>
    <m/>
    <m/>
    <m/>
    <m/>
    <m/>
    <n v="200000000"/>
    <n v="50004950"/>
    <n v="149995050"/>
    <n v="0.25002475000000002"/>
    <n v="18732078"/>
  </r>
  <r>
    <x v="94"/>
    <s v="A"/>
    <s v="03"/>
    <s v="10"/>
    <m/>
    <m/>
    <m/>
    <m/>
    <m/>
    <m/>
    <x v="92"/>
    <n v="2359000000"/>
    <n v="0"/>
    <n v="0"/>
    <n v="55158452"/>
    <n v="55158452"/>
    <n v="0"/>
    <n v="2359000000"/>
    <n v="1112592216"/>
    <n v="1246407784"/>
    <n v="0.47163722594319629"/>
    <n v="1112592216"/>
  </r>
  <r>
    <x v="95"/>
    <s v="A"/>
    <s v="03"/>
    <s v="10"/>
    <s v="01"/>
    <m/>
    <m/>
    <m/>
    <n v="10"/>
    <s v="CSF"/>
    <x v="93"/>
    <n v="2359000000"/>
    <n v="0"/>
    <n v="0"/>
    <n v="55158452"/>
    <n v="55158452"/>
    <n v="0"/>
    <n v="2359000000"/>
    <n v="1112592216"/>
    <n v="1246407784"/>
    <n v="0.47163722594319629"/>
    <n v="1112592216"/>
  </r>
  <r>
    <x v="96"/>
    <s v="A"/>
    <s v="03"/>
    <s v="10"/>
    <s v="01"/>
    <s v="001"/>
    <m/>
    <m/>
    <n v="10"/>
    <s v="CSF"/>
    <x v="94"/>
    <n v="2359000000"/>
    <m/>
    <m/>
    <m/>
    <n v="55158452"/>
    <m/>
    <n v="2303841548"/>
    <n v="1057433764"/>
    <n v="1246407784"/>
    <n v="0.45898719246467901"/>
    <n v="1057433764"/>
  </r>
  <r>
    <x v="97"/>
    <s v="A"/>
    <s v="03"/>
    <s v="10"/>
    <s v="01"/>
    <s v="002"/>
    <m/>
    <m/>
    <n v="10"/>
    <s v="CSF"/>
    <x v="95"/>
    <n v="0"/>
    <m/>
    <m/>
    <n v="55158452"/>
    <m/>
    <m/>
    <n v="55158452"/>
    <n v="55158452"/>
    <n v="0"/>
    <n v="1"/>
    <n v="55158452"/>
  </r>
  <r>
    <x v="98"/>
    <s v="A"/>
    <s v="08"/>
    <m/>
    <m/>
    <m/>
    <m/>
    <m/>
    <m/>
    <m/>
    <x v="96"/>
    <n v="30002470214"/>
    <n v="0"/>
    <n v="0"/>
    <n v="18406400"/>
    <n v="18406400"/>
    <n v="0"/>
    <n v="30002470214"/>
    <n v="96658583.840000004"/>
    <n v="29905811630.16"/>
    <n v="3.2216875194128643E-3"/>
    <n v="96658583.840000004"/>
  </r>
  <r>
    <x v="99"/>
    <s v="A"/>
    <s v="08"/>
    <s v="01"/>
    <m/>
    <m/>
    <m/>
    <m/>
    <m/>
    <m/>
    <x v="97"/>
    <n v="145622400"/>
    <n v="0"/>
    <n v="0"/>
    <n v="2000000"/>
    <n v="18406400"/>
    <n v="0"/>
    <n v="129216000"/>
    <n v="95953583.840000004"/>
    <n v="33262416.16"/>
    <n v="0.74258283680039627"/>
    <n v="95953583.840000004"/>
  </r>
  <r>
    <x v="100"/>
    <s v="A"/>
    <s v="08"/>
    <s v="01"/>
    <s v="02"/>
    <m/>
    <m/>
    <m/>
    <s v="10"/>
    <s v="CSF"/>
    <x v="98"/>
    <n v="145622400"/>
    <n v="0"/>
    <n v="0"/>
    <n v="2000000"/>
    <n v="18406400"/>
    <n v="0"/>
    <n v="129216000"/>
    <n v="95953583.840000004"/>
    <n v="33262416.16"/>
    <n v="0.74258283680039627"/>
    <n v="95953583.840000004"/>
  </r>
  <r>
    <x v="101"/>
    <s v="A"/>
    <s v="08"/>
    <s v="01"/>
    <s v="02"/>
    <s v="001"/>
    <m/>
    <m/>
    <s v="10"/>
    <s v="CSF"/>
    <x v="99"/>
    <n v="69216000"/>
    <n v="0"/>
    <m/>
    <n v="2000000"/>
    <n v="12000000"/>
    <m/>
    <n v="59216000"/>
    <n v="58918760"/>
    <n v="297240"/>
    <n v="0.99498041069981091"/>
    <n v="58918760"/>
  </r>
  <r>
    <x v="102"/>
    <s v="A"/>
    <s v="08"/>
    <s v="01"/>
    <s v="02"/>
    <s v="004"/>
    <m/>
    <m/>
    <s v="10"/>
    <s v="CSF"/>
    <x v="100"/>
    <n v="56000000"/>
    <m/>
    <m/>
    <m/>
    <n v="2000000"/>
    <m/>
    <n v="54000000"/>
    <n v="29566723.84"/>
    <n v="24433276.16"/>
    <n v="0.54753192296296294"/>
    <n v="29566723.84"/>
  </r>
  <r>
    <x v="103"/>
    <s v="A"/>
    <s v="08"/>
    <s v="01"/>
    <s v="02"/>
    <s v="006"/>
    <m/>
    <m/>
    <s v="10"/>
    <s v="CSF"/>
    <x v="101"/>
    <n v="20406400"/>
    <n v="0"/>
    <m/>
    <m/>
    <n v="4406400"/>
    <m/>
    <n v="16000000"/>
    <n v="7468100"/>
    <n v="8531900"/>
    <n v="0.46675624999999998"/>
    <n v="7468100"/>
  </r>
  <r>
    <x v="104"/>
    <s v="A"/>
    <s v="08"/>
    <s v="04"/>
    <m/>
    <m/>
    <m/>
    <m/>
    <m/>
    <m/>
    <x v="102"/>
    <n v="29856847814"/>
    <n v="0"/>
    <n v="0"/>
    <n v="0"/>
    <n v="0"/>
    <n v="0"/>
    <n v="29856847814"/>
    <n v="0"/>
    <n v="29856847814"/>
    <n v="0"/>
    <n v="0"/>
  </r>
  <r>
    <x v="105"/>
    <s v="A"/>
    <s v="08"/>
    <s v="04"/>
    <s v="01"/>
    <m/>
    <m/>
    <m/>
    <s v="11"/>
    <s v="SSF"/>
    <x v="103"/>
    <n v="29856847814"/>
    <m/>
    <m/>
    <m/>
    <m/>
    <m/>
    <n v="29856847814"/>
    <n v="0"/>
    <n v="29856847814"/>
    <n v="0"/>
    <n v="0"/>
  </r>
  <r>
    <x v="106"/>
    <s v="A"/>
    <s v="08"/>
    <s v="05"/>
    <m/>
    <m/>
    <m/>
    <m/>
    <m/>
    <m/>
    <x v="104"/>
    <n v="0"/>
    <n v="0"/>
    <n v="0"/>
    <n v="16406400"/>
    <n v="0"/>
    <n v="0"/>
    <n v="16406400"/>
    <n v="705000"/>
    <n v="15701400"/>
    <n v="4.2971035693387949E-2"/>
    <n v="705000"/>
  </r>
  <r>
    <x v="107"/>
    <s v="A"/>
    <s v="08"/>
    <s v="05"/>
    <s v="01"/>
    <s v="003"/>
    <m/>
    <m/>
    <s v="10"/>
    <s v="CSF"/>
    <x v="105"/>
    <m/>
    <m/>
    <m/>
    <n v="3306400"/>
    <m/>
    <m/>
    <n v="3306400"/>
    <n v="228000"/>
    <n v="3078400"/>
    <n v="6.8957173965642396E-2"/>
    <n v="228000"/>
  </r>
  <r>
    <x v="108"/>
    <s v="A"/>
    <s v="08"/>
    <s v="05"/>
    <s v="02"/>
    <s v="001"/>
    <m/>
    <m/>
    <s v="10"/>
    <s v="CSF"/>
    <x v="106"/>
    <m/>
    <m/>
    <m/>
    <n v="13100000"/>
    <m/>
    <m/>
    <n v="13100000"/>
    <n v="477000"/>
    <n v="12623000"/>
    <n v="3.6412213740458013E-2"/>
    <n v="477000"/>
  </r>
  <r>
    <x v="109"/>
    <s v="B"/>
    <m/>
    <m/>
    <m/>
    <m/>
    <m/>
    <m/>
    <m/>
    <m/>
    <x v="107"/>
    <n v="3731140006"/>
    <n v="0"/>
    <n v="0"/>
    <n v="0"/>
    <n v="0"/>
    <n v="0"/>
    <n v="3731140006"/>
    <n v="0"/>
    <n v="3731140006"/>
    <n v="0"/>
    <n v="0"/>
  </r>
  <r>
    <x v="110"/>
    <s v="B"/>
    <n v="10"/>
    <m/>
    <m/>
    <m/>
    <m/>
    <m/>
    <m/>
    <m/>
    <x v="108"/>
    <n v="3731140006"/>
    <n v="0"/>
    <n v="0"/>
    <n v="0"/>
    <n v="0"/>
    <n v="0"/>
    <n v="3731140006"/>
    <n v="0"/>
    <n v="3731140006"/>
    <n v="0"/>
    <n v="0"/>
  </r>
  <r>
    <x v="111"/>
    <s v="B"/>
    <n v="10"/>
    <s v="04"/>
    <m/>
    <m/>
    <m/>
    <m/>
    <m/>
    <m/>
    <x v="109"/>
    <n v="3731140006"/>
    <n v="0"/>
    <n v="0"/>
    <n v="0"/>
    <n v="0"/>
    <n v="0"/>
    <n v="3731140006"/>
    <n v="0"/>
    <n v="3731140006"/>
    <n v="0"/>
    <n v="0"/>
  </r>
  <r>
    <x v="112"/>
    <s v="B"/>
    <n v="10"/>
    <s v="04"/>
    <s v="01"/>
    <m/>
    <m/>
    <m/>
    <s v="11"/>
    <s v="CSF"/>
    <x v="110"/>
    <n v="3731140006"/>
    <m/>
    <m/>
    <m/>
    <m/>
    <m/>
    <n v="3731140006"/>
    <n v="0"/>
    <n v="3731140006"/>
    <n v="0"/>
    <n v="0"/>
  </r>
  <r>
    <x v="113"/>
    <s v="C"/>
    <m/>
    <m/>
    <m/>
    <m/>
    <m/>
    <m/>
    <m/>
    <m/>
    <x v="111"/>
    <n v="6468380211524"/>
    <n v="0"/>
    <n v="0"/>
    <n v="138059390490.39999"/>
    <n v="138059390490.39999"/>
    <n v="0"/>
    <n v="6468380211524"/>
    <n v="3231021676292.8394"/>
    <n v="3237358535231.1597"/>
    <n v="0.49951016647668361"/>
    <n v="2821438551228.2603"/>
  </r>
  <r>
    <x v="114"/>
    <s v="C"/>
    <n v="4103"/>
    <m/>
    <m/>
    <m/>
    <m/>
    <m/>
    <m/>
    <m/>
    <x v="112"/>
    <n v="6462380211524"/>
    <n v="0"/>
    <n v="0"/>
    <n v="138059390490.39999"/>
    <n v="138059390490.39999"/>
    <n v="0"/>
    <n v="6462380211524"/>
    <n v="3227245811938.2793"/>
    <n v="3235134399585.7197"/>
    <n v="0.4993896530853002"/>
    <n v="2820528361324.1001"/>
  </r>
  <r>
    <x v="115"/>
    <s v="C"/>
    <n v="4103"/>
    <n v="1500"/>
    <m/>
    <m/>
    <m/>
    <m/>
    <m/>
    <m/>
    <x v="113"/>
    <n v="6462380211524"/>
    <n v="0"/>
    <n v="0"/>
    <n v="138059390490.39999"/>
    <n v="138059390490.39999"/>
    <n v="0"/>
    <n v="6462380211524"/>
    <n v="3227245811938.2793"/>
    <n v="3235134399585.7197"/>
    <n v="0.4993896530853002"/>
    <n v="2820528361324.1001"/>
  </r>
  <r>
    <x v="116"/>
    <s v="C"/>
    <s v="4103"/>
    <s v="1500"/>
    <s v="12"/>
    <m/>
    <m/>
    <m/>
    <m/>
    <m/>
    <x v="114"/>
    <n v="2437607024958"/>
    <n v="0"/>
    <n v="0"/>
    <n v="49397758254.400002"/>
    <n v="49397758254.400002"/>
    <n v="0"/>
    <n v="2437607024958"/>
    <n v="1989018515906.46"/>
    <n v="448588509051.5401"/>
    <n v="0.81597176884601852"/>
    <n v="1919703640289.1001"/>
  </r>
  <r>
    <x v="117"/>
    <s v="C"/>
    <s v="4103"/>
    <s v="1500"/>
    <s v="12"/>
    <s v="0"/>
    <s v="4103006"/>
    <m/>
    <m/>
    <m/>
    <x v="115"/>
    <n v="2430621085885"/>
    <n v="0"/>
    <n v="0"/>
    <n v="49397758254.400002"/>
    <n v="43011819181.400002"/>
    <n v="0"/>
    <n v="2437007024958"/>
    <n v="1989018515906.46"/>
    <n v="447988509051.5401"/>
    <n v="0.81617266406556177"/>
    <n v="1919703640289.1001"/>
  </r>
  <r>
    <x v="118"/>
    <s v="C"/>
    <s v="4103"/>
    <s v="1500"/>
    <s v="12"/>
    <s v="0"/>
    <s v="4103006"/>
    <s v="02"/>
    <n v="10"/>
    <s v="CSF"/>
    <x v="36"/>
    <n v="83108753174"/>
    <m/>
    <m/>
    <n v="40310669902.400002"/>
    <n v="9087088352"/>
    <m/>
    <n v="114332334724.39999"/>
    <n v="95153107256.460007"/>
    <n v="19179227467.939987"/>
    <n v="0.83225018964082353"/>
    <n v="27235891639.099998"/>
  </r>
  <r>
    <x v="119"/>
    <s v="C"/>
    <s v="4103"/>
    <s v="1500"/>
    <s v="12"/>
    <s v="0"/>
    <s v="4103006"/>
    <s v="03"/>
    <n v="10"/>
    <s v="CSF"/>
    <x v="83"/>
    <n v="2347512332711"/>
    <m/>
    <m/>
    <n v="9087088352"/>
    <n v="33924730829.400002"/>
    <m/>
    <n v="2322674690233.6001"/>
    <n v="1893865408650"/>
    <n v="428809281583.6001"/>
    <n v="0.81538125705392128"/>
    <n v="1892467748650"/>
  </r>
  <r>
    <x v="120"/>
    <s v="C"/>
    <s v="4103"/>
    <s v="1500"/>
    <s v="12"/>
    <s v="0"/>
    <n v="4103009"/>
    <m/>
    <m/>
    <s v="CSF"/>
    <x v="116"/>
    <n v="6385939073"/>
    <n v="0"/>
    <n v="0"/>
    <n v="0"/>
    <n v="6385939073"/>
    <n v="0"/>
    <n v="0"/>
    <n v="0"/>
    <n v="0"/>
    <n v="0"/>
    <n v="0"/>
  </r>
  <r>
    <x v="121"/>
    <s v="C"/>
    <s v="4103"/>
    <s v="1500"/>
    <s v="12"/>
    <s v="0"/>
    <n v="4103009"/>
    <s v="02"/>
    <n v="10"/>
    <s v="CSF"/>
    <x v="36"/>
    <n v="6385939073"/>
    <m/>
    <m/>
    <m/>
    <n v="6385939073"/>
    <m/>
    <n v="0"/>
    <n v="0"/>
    <n v="0"/>
    <n v="0"/>
    <n v="0"/>
  </r>
  <r>
    <x v="122"/>
    <s v="C"/>
    <s v="4103"/>
    <s v="1500"/>
    <s v="12"/>
    <s v="0"/>
    <n v="4103047"/>
    <m/>
    <m/>
    <s v="CSF"/>
    <x v="117"/>
    <n v="600000000"/>
    <n v="0"/>
    <n v="0"/>
    <n v="0"/>
    <n v="0"/>
    <n v="0"/>
    <n v="600000000"/>
    <n v="0"/>
    <n v="600000000"/>
    <n v="0"/>
    <n v="0"/>
  </r>
  <r>
    <x v="123"/>
    <s v="C"/>
    <s v="4103"/>
    <s v="1500"/>
    <s v="12"/>
    <s v="0"/>
    <n v="4103047"/>
    <s v="02"/>
    <n v="10"/>
    <s v="CSF"/>
    <x v="36"/>
    <n v="600000000"/>
    <m/>
    <m/>
    <m/>
    <m/>
    <m/>
    <n v="600000000"/>
    <n v="0"/>
    <n v="600000000"/>
    <n v="0"/>
    <n v="0"/>
  </r>
  <r>
    <x v="124"/>
    <s v="C"/>
    <s v="4103"/>
    <s v="1500"/>
    <s v="13"/>
    <m/>
    <m/>
    <m/>
    <m/>
    <m/>
    <x v="118"/>
    <n v="40000000000"/>
    <n v="0"/>
    <n v="0"/>
    <n v="300000000"/>
    <n v="300000000"/>
    <n v="0"/>
    <n v="40000000000"/>
    <n v="9780242606"/>
    <n v="30219757394"/>
    <n v="0.24450606515000001"/>
    <n v="1025090050"/>
  </r>
  <r>
    <x v="125"/>
    <s v="C"/>
    <s v="4103"/>
    <s v="1500"/>
    <s v="13"/>
    <s v="0"/>
    <s v="4103051"/>
    <m/>
    <m/>
    <s v="CSF"/>
    <x v="119"/>
    <n v="2721167612"/>
    <n v="0"/>
    <n v="0"/>
    <n v="0"/>
    <n v="0"/>
    <n v="0"/>
    <n v="2721167612"/>
    <n v="221895258"/>
    <n v="2499272354"/>
    <n v="8.1544134591882686E-2"/>
    <n v="0"/>
  </r>
  <r>
    <x v="126"/>
    <s v="C"/>
    <s v="4103"/>
    <s v="1500"/>
    <s v="13"/>
    <s v="0"/>
    <s v="4103051"/>
    <s v="02"/>
    <n v="11"/>
    <s v="CSF"/>
    <x v="36"/>
    <n v="2721167612"/>
    <m/>
    <m/>
    <m/>
    <n v="0"/>
    <n v="0"/>
    <n v="2721167612"/>
    <n v="221895258"/>
    <n v="2499272354"/>
    <n v="8.1544134591882686E-2"/>
    <n v="0"/>
  </r>
  <r>
    <x v="127"/>
    <s v="C"/>
    <s v="4103"/>
    <s v="1500"/>
    <s v="13"/>
    <s v="0"/>
    <s v="4103053"/>
    <m/>
    <m/>
    <s v="CSF"/>
    <x v="120"/>
    <n v="2097587400"/>
    <n v="0"/>
    <n v="0"/>
    <n v="0"/>
    <n v="0"/>
    <n v="0"/>
    <n v="2097587400"/>
    <n v="295860342"/>
    <n v="1801727058"/>
    <n v="0.14104792105444569"/>
    <n v="0"/>
  </r>
  <r>
    <x v="128"/>
    <s v="C"/>
    <s v="4103"/>
    <s v="1500"/>
    <s v="13"/>
    <s v="0"/>
    <s v="4103053"/>
    <s v="02"/>
    <n v="11"/>
    <s v="CSF"/>
    <x v="36"/>
    <n v="2097587400"/>
    <m/>
    <m/>
    <m/>
    <m/>
    <n v="0"/>
    <n v="2097587400"/>
    <n v="295860342"/>
    <n v="1801727058"/>
    <n v="0.14104792105444569"/>
    <n v="0"/>
  </r>
  <r>
    <x v="129"/>
    <s v="C"/>
    <s v="4103"/>
    <s v="1500"/>
    <s v="13"/>
    <s v="0"/>
    <s v="4103054"/>
    <m/>
    <m/>
    <s v="CSF"/>
    <x v="121"/>
    <n v="2265502874"/>
    <n v="0"/>
    <n v="0"/>
    <n v="300000000"/>
    <n v="0"/>
    <n v="0"/>
    <n v="2565502874"/>
    <n v="1832784909"/>
    <n v="732717965"/>
    <n v="0.71439596796959193"/>
    <n v="721820153"/>
  </r>
  <r>
    <x v="130"/>
    <s v="C"/>
    <s v="4103"/>
    <s v="1500"/>
    <s v="13"/>
    <s v="0"/>
    <s v="4103054"/>
    <s v="02"/>
    <n v="11"/>
    <s v="CSF"/>
    <x v="36"/>
    <n v="2265502874"/>
    <m/>
    <m/>
    <n v="300000000"/>
    <m/>
    <n v="0"/>
    <n v="2565502874"/>
    <n v="1832784909"/>
    <n v="732717965"/>
    <n v="0.71439596796959193"/>
    <n v="721820153"/>
  </r>
  <r>
    <x v="131"/>
    <s v="C"/>
    <s v="4103"/>
    <s v="1500"/>
    <s v="13"/>
    <s v="0"/>
    <s v="4103055"/>
    <m/>
    <m/>
    <s v="CSF"/>
    <x v="122"/>
    <n v="32915742114"/>
    <n v="0"/>
    <n v="0"/>
    <n v="0"/>
    <n v="300000000"/>
    <n v="0"/>
    <n v="32615742114"/>
    <n v="7429702097"/>
    <n v="25186040017"/>
    <n v="0.22779497308481816"/>
    <n v="303269897"/>
  </r>
  <r>
    <x v="132"/>
    <s v="C"/>
    <s v="4103"/>
    <s v="1500"/>
    <s v="13"/>
    <s v="0"/>
    <s v="4103055"/>
    <s v="02"/>
    <n v="11"/>
    <s v="CSF"/>
    <x v="36"/>
    <n v="32915742114"/>
    <m/>
    <m/>
    <m/>
    <n v="300000000"/>
    <n v="0"/>
    <n v="32615742114"/>
    <n v="7429702097"/>
    <n v="25186040017"/>
    <n v="0.22779497308481816"/>
    <n v="303269897"/>
  </r>
  <r>
    <x v="133"/>
    <s v="C"/>
    <s v="4103"/>
    <s v="1500"/>
    <s v="14"/>
    <m/>
    <m/>
    <m/>
    <m/>
    <m/>
    <x v="123"/>
    <n v="947599205073"/>
    <n v="0"/>
    <n v="0"/>
    <n v="2004524145"/>
    <n v="2004524145"/>
    <n v="0"/>
    <n v="947599205073"/>
    <n v="383504629891.21997"/>
    <n v="564094575181.78003"/>
    <n v="0.40471185268847498"/>
    <n v="94420178466.229996"/>
  </r>
  <r>
    <x v="134"/>
    <s v="C"/>
    <s v="4103"/>
    <s v="1500"/>
    <s v="14"/>
    <s v="0"/>
    <s v="4103016"/>
    <m/>
    <m/>
    <m/>
    <x v="124"/>
    <n v="918263049313"/>
    <n v="0"/>
    <n v="0"/>
    <n v="0"/>
    <n v="2004524145"/>
    <n v="0"/>
    <n v="916258525168"/>
    <n v="370038610034.84998"/>
    <n v="546219915133.15002"/>
    <n v="0.40385829967257525"/>
    <n v="88836734792.899994"/>
  </r>
  <r>
    <x v="135"/>
    <s v="C"/>
    <s v="4103"/>
    <s v="1500"/>
    <s v="14"/>
    <s v="0"/>
    <s v="4103016"/>
    <s v="02"/>
    <n v="11"/>
    <s v="CSF"/>
    <x v="36"/>
    <n v="101740918684"/>
    <m/>
    <m/>
    <m/>
    <m/>
    <n v="0"/>
    <n v="101740918684"/>
    <n v="57569416957.669998"/>
    <n v="44171501726.330002"/>
    <n v="0.56584329788171539"/>
    <n v="11536669940.559999"/>
  </r>
  <r>
    <x v="136"/>
    <s v="C"/>
    <s v="4103"/>
    <s v="1500"/>
    <s v="14"/>
    <s v="0"/>
    <s v="4103016"/>
    <s v="03"/>
    <n v="11"/>
    <s v="CSF"/>
    <x v="83"/>
    <n v="816522130629"/>
    <m/>
    <m/>
    <m/>
    <n v="2004524145"/>
    <n v="0"/>
    <n v="814517606484"/>
    <n v="312469193077.17999"/>
    <n v="502048413406.82001"/>
    <n v="0.38362484811839115"/>
    <n v="77300064852.339996"/>
  </r>
  <r>
    <x v="137"/>
    <s v="C"/>
    <s v="4103"/>
    <s v="1500"/>
    <s v="14"/>
    <s v="0"/>
    <s v="4103048"/>
    <m/>
    <m/>
    <s v="CSF"/>
    <x v="125"/>
    <n v="29336155760"/>
    <n v="0"/>
    <n v="0"/>
    <n v="2004524145"/>
    <n v="0"/>
    <n v="0"/>
    <n v="31340679905"/>
    <n v="13466019856.370001"/>
    <n v="17874660048.629997"/>
    <n v="0.42966584953447906"/>
    <n v="5583443673.3299999"/>
  </r>
  <r>
    <x v="138"/>
    <s v="C"/>
    <s v="4103"/>
    <s v="1500"/>
    <s v="14"/>
    <s v="0"/>
    <s v="4103048"/>
    <s v="02"/>
    <n v="11"/>
    <s v="CSF"/>
    <x v="36"/>
    <n v="29336155760"/>
    <m/>
    <m/>
    <n v="2004524145"/>
    <m/>
    <n v="0"/>
    <n v="31340679905"/>
    <n v="13466019856.370001"/>
    <n v="17874660048.629997"/>
    <n v="0.42966584953447906"/>
    <n v="5583443673.3299999"/>
  </r>
  <r>
    <x v="139"/>
    <s v="C"/>
    <s v="4103"/>
    <s v="1500"/>
    <s v="16"/>
    <m/>
    <m/>
    <m/>
    <m/>
    <m/>
    <x v="126"/>
    <n v="500000000"/>
    <n v="0"/>
    <n v="0"/>
    <n v="0"/>
    <n v="0"/>
    <n v="0"/>
    <n v="500000000"/>
    <n v="0"/>
    <n v="500000000"/>
    <n v="0"/>
    <n v="0"/>
  </r>
  <r>
    <x v="140"/>
    <s v="C"/>
    <s v="4103"/>
    <s v="1500"/>
    <s v="16"/>
    <s v="0"/>
    <s v="4103056"/>
    <m/>
    <m/>
    <s v="CSF"/>
    <x v="127"/>
    <n v="410000000"/>
    <n v="0"/>
    <n v="0"/>
    <n v="0"/>
    <n v="0"/>
    <n v="0"/>
    <n v="410000000"/>
    <n v="0"/>
    <n v="410000000"/>
    <n v="0"/>
    <n v="0"/>
  </r>
  <r>
    <x v="141"/>
    <s v="C"/>
    <s v="4103"/>
    <s v="1500"/>
    <s v="16"/>
    <s v="0"/>
    <s v="4103056"/>
    <s v="02"/>
    <n v="11"/>
    <s v="CSF"/>
    <x v="36"/>
    <n v="410000000"/>
    <m/>
    <m/>
    <m/>
    <m/>
    <n v="0"/>
    <n v="410000000"/>
    <n v="0"/>
    <n v="410000000"/>
    <n v="0"/>
    <n v="0"/>
  </r>
  <r>
    <x v="142"/>
    <s v="C"/>
    <s v="4103"/>
    <s v="1500"/>
    <s v="16"/>
    <s v="0"/>
    <s v="4103060"/>
    <m/>
    <m/>
    <s v="CSF"/>
    <x v="128"/>
    <n v="90000000"/>
    <n v="0"/>
    <n v="0"/>
    <n v="0"/>
    <n v="0"/>
    <n v="0"/>
    <n v="90000000"/>
    <n v="0"/>
    <n v="90000000"/>
    <n v="0"/>
    <n v="0"/>
  </r>
  <r>
    <x v="143"/>
    <s v="C"/>
    <s v="4103"/>
    <s v="1500"/>
    <s v="16"/>
    <s v="0"/>
    <s v="4103060"/>
    <s v="02"/>
    <n v="11"/>
    <s v="CSF"/>
    <x v="36"/>
    <n v="90000000"/>
    <m/>
    <m/>
    <m/>
    <m/>
    <n v="0"/>
    <n v="90000000"/>
    <n v="0"/>
    <n v="90000000"/>
    <n v="0"/>
    <n v="0"/>
  </r>
  <r>
    <x v="144"/>
    <s v="C"/>
    <s v="4103"/>
    <s v="1500"/>
    <s v="17"/>
    <m/>
    <m/>
    <m/>
    <m/>
    <m/>
    <x v="129"/>
    <n v="18000000000"/>
    <n v="0"/>
    <n v="0"/>
    <n v="0"/>
    <n v="0"/>
    <n v="0"/>
    <n v="18000000000"/>
    <n v="990856593"/>
    <n v="17009143407"/>
    <n v="5.5047588500000001E-2"/>
    <n v="434707659.32999998"/>
  </r>
  <r>
    <x v="145"/>
    <s v="C"/>
    <s v="4103"/>
    <s v="1500"/>
    <s v="17"/>
    <s v="0"/>
    <s v="4103005"/>
    <m/>
    <m/>
    <s v="CSF"/>
    <x v="130"/>
    <n v="3388943635"/>
    <n v="0"/>
    <n v="0"/>
    <n v="0"/>
    <n v="0"/>
    <n v="0"/>
    <n v="3388943635"/>
    <n v="990856593"/>
    <n v="2398087042"/>
    <n v="0.29237918942254698"/>
    <n v="434707659.32999998"/>
  </r>
  <r>
    <x v="146"/>
    <s v="C"/>
    <s v="4103"/>
    <s v="1500"/>
    <s v="17"/>
    <s v="0"/>
    <s v="4103005"/>
    <s v="02"/>
    <n v="11"/>
    <s v="CSF"/>
    <x v="36"/>
    <n v="3388943635"/>
    <m/>
    <m/>
    <m/>
    <m/>
    <n v="0"/>
    <n v="3388943635"/>
    <n v="990856593"/>
    <n v="2398087042"/>
    <n v="0.29237918942254698"/>
    <n v="434707659.32999998"/>
  </r>
  <r>
    <x v="147"/>
    <s v="C"/>
    <s v="4103"/>
    <s v="1500"/>
    <s v="17"/>
    <s v="0"/>
    <s v="4103057"/>
    <m/>
    <m/>
    <s v="CSF"/>
    <x v="131"/>
    <n v="14611056365"/>
    <n v="0"/>
    <n v="0"/>
    <n v="0"/>
    <n v="0"/>
    <n v="0"/>
    <n v="14611056365"/>
    <n v="0"/>
    <n v="14611056365"/>
    <n v="0"/>
    <n v="0"/>
  </r>
  <r>
    <x v="148"/>
    <s v="C"/>
    <s v="4103"/>
    <s v="1500"/>
    <s v="17"/>
    <s v="0"/>
    <s v="4103057"/>
    <s v="02"/>
    <n v="11"/>
    <s v="CSF"/>
    <x v="36"/>
    <n v="14611056365"/>
    <m/>
    <m/>
    <m/>
    <m/>
    <n v="0"/>
    <n v="14611056365"/>
    <n v="0"/>
    <n v="14611056365"/>
    <n v="0"/>
    <n v="0"/>
  </r>
  <r>
    <x v="149"/>
    <s v="C"/>
    <s v="4103"/>
    <s v="1500"/>
    <n v="18"/>
    <m/>
    <m/>
    <m/>
    <m/>
    <m/>
    <x v="132"/>
    <n v="41200000000"/>
    <n v="0"/>
    <n v="0"/>
    <n v="0"/>
    <n v="0"/>
    <n v="0"/>
    <n v="41200000000"/>
    <n v="3293121810.6700001"/>
    <n v="37906878189.330002"/>
    <n v="7.9930141035679608E-2"/>
    <n v="1698509061.6700001"/>
  </r>
  <r>
    <x v="150"/>
    <s v="C"/>
    <s v="4103"/>
    <s v="1500"/>
    <n v="18"/>
    <s v="0"/>
    <n v="4103050"/>
    <m/>
    <m/>
    <s v="CSF"/>
    <x v="133"/>
    <n v="41200000000"/>
    <n v="0"/>
    <n v="0"/>
    <n v="0"/>
    <n v="0"/>
    <n v="0"/>
    <n v="41200000000"/>
    <n v="3293121810.6700001"/>
    <n v="37906878189.330002"/>
    <n v="7.9930141035679608E-2"/>
    <n v="1698509061.6700001"/>
  </r>
  <r>
    <x v="151"/>
    <s v="C"/>
    <s v="4103"/>
    <s v="1500"/>
    <n v="18"/>
    <s v="0"/>
    <n v="4103050"/>
    <s v="02"/>
    <n v="11"/>
    <s v="CSF"/>
    <x v="36"/>
    <n v="41200000000"/>
    <m/>
    <m/>
    <m/>
    <n v="0"/>
    <n v="0"/>
    <n v="41200000000"/>
    <n v="3293121810.6700001"/>
    <n v="37906878189.330002"/>
    <n v="7.9930141035679608E-2"/>
    <n v="1698509061.6700001"/>
  </r>
  <r>
    <x v="152"/>
    <s v="C"/>
    <s v="4103"/>
    <s v="1500"/>
    <n v="19"/>
    <m/>
    <m/>
    <m/>
    <m/>
    <m/>
    <x v="134"/>
    <n v="12000000000"/>
    <n v="0"/>
    <n v="0"/>
    <n v="0"/>
    <n v="0"/>
    <n v="0"/>
    <n v="12000000000"/>
    <n v="7566140972.0500002"/>
    <n v="4433859027.9499998"/>
    <n v="0.6305117476708334"/>
    <n v="2534444523.96"/>
  </r>
  <r>
    <x v="153"/>
    <s v="C"/>
    <s v="4103"/>
    <s v="1500"/>
    <n v="19"/>
    <s v="0"/>
    <n v="4103049"/>
    <m/>
    <m/>
    <s v="CSF"/>
    <x v="135"/>
    <n v="250000000"/>
    <n v="0"/>
    <n v="0"/>
    <n v="0"/>
    <n v="0"/>
    <n v="0"/>
    <n v="250000000"/>
    <n v="0"/>
    <n v="250000000"/>
    <n v="0"/>
    <n v="0"/>
  </r>
  <r>
    <x v="154"/>
    <s v="C"/>
    <s v="4103"/>
    <s v="1500"/>
    <n v="19"/>
    <s v="0"/>
    <n v="4103049"/>
    <s v="02"/>
    <n v="11"/>
    <s v="CSF"/>
    <x v="36"/>
    <n v="250000000"/>
    <m/>
    <m/>
    <m/>
    <n v="0"/>
    <n v="0"/>
    <n v="250000000"/>
    <n v="0"/>
    <n v="250000000"/>
    <n v="0"/>
    <n v="0"/>
  </r>
  <r>
    <x v="155"/>
    <s v="C"/>
    <s v="4103"/>
    <s v="1500"/>
    <n v="19"/>
    <s v="0"/>
    <n v="4103052"/>
    <m/>
    <m/>
    <s v="CSF"/>
    <x v="136"/>
    <n v="11700000000"/>
    <n v="0"/>
    <n v="0"/>
    <n v="0"/>
    <n v="0"/>
    <n v="0"/>
    <n v="11700000000"/>
    <n v="7566140972.0500002"/>
    <n v="4133859027.9499998"/>
    <n v="0.64667871555982903"/>
    <n v="2534444523.96"/>
  </r>
  <r>
    <x v="156"/>
    <s v="C"/>
    <s v="4103"/>
    <s v="1500"/>
    <n v="19"/>
    <s v="0"/>
    <n v="4103052"/>
    <s v="02"/>
    <n v="11"/>
    <s v="CSF"/>
    <x v="36"/>
    <n v="11700000000"/>
    <m/>
    <m/>
    <m/>
    <n v="0"/>
    <n v="0"/>
    <n v="11700000000"/>
    <n v="7566140972.0500002"/>
    <n v="4133859027.9499998"/>
    <n v="0.64667871555982903"/>
    <n v="2534444523.96"/>
  </r>
  <r>
    <x v="157"/>
    <s v="C"/>
    <s v="4103"/>
    <s v="1500"/>
    <n v="19"/>
    <s v="0"/>
    <n v="4103060"/>
    <m/>
    <m/>
    <s v="CSF"/>
    <x v="128"/>
    <n v="50000000"/>
    <n v="0"/>
    <n v="0"/>
    <n v="0"/>
    <n v="0"/>
    <n v="0"/>
    <n v="50000000"/>
    <n v="0"/>
    <n v="50000000"/>
    <n v="0"/>
    <n v="0"/>
  </r>
  <r>
    <x v="158"/>
    <s v="C"/>
    <s v="4103"/>
    <s v="1500"/>
    <n v="19"/>
    <s v="0"/>
    <n v="4103060"/>
    <s v="02"/>
    <n v="11"/>
    <s v="CSF"/>
    <x v="36"/>
    <n v="50000000"/>
    <m/>
    <m/>
    <m/>
    <n v="0"/>
    <n v="0"/>
    <n v="50000000"/>
    <n v="0"/>
    <n v="50000000"/>
    <n v="0"/>
    <n v="0"/>
  </r>
  <r>
    <x v="159"/>
    <s v="C"/>
    <s v="4103"/>
    <s v="1500"/>
    <n v="20"/>
    <m/>
    <m/>
    <m/>
    <m/>
    <m/>
    <x v="137"/>
    <n v="1021056959210"/>
    <n v="0"/>
    <n v="0"/>
    <n v="3558390078"/>
    <n v="3558390078"/>
    <n v="0"/>
    <n v="1021056959210"/>
    <n v="3044806457.8200002"/>
    <n v="1018012152752.1799"/>
    <n v="2.9820143042517348E-3"/>
    <n v="2138919625.1199999"/>
  </r>
  <r>
    <x v="160"/>
    <s v="C"/>
    <s v="4103"/>
    <s v="1500"/>
    <n v="20"/>
    <s v="0"/>
    <n v="4103061"/>
    <m/>
    <m/>
    <s v="CSF"/>
    <x v="138"/>
    <n v="777446076033"/>
    <n v="0"/>
    <n v="0"/>
    <n v="0"/>
    <n v="0"/>
    <n v="0"/>
    <n v="777446076033"/>
    <n v="0"/>
    <n v="777446076033"/>
    <n v="0"/>
    <n v="0"/>
  </r>
  <r>
    <x v="161"/>
    <s v="C"/>
    <s v="4103"/>
    <s v="1500"/>
    <n v="20"/>
    <s v="0"/>
    <n v="4103061"/>
    <s v="03"/>
    <n v="10"/>
    <s v="CSF"/>
    <x v="83"/>
    <n v="777446076033"/>
    <m/>
    <m/>
    <m/>
    <m/>
    <n v="0"/>
    <n v="777446076033"/>
    <n v="0"/>
    <n v="777446076033"/>
    <n v="0"/>
    <n v="0"/>
  </r>
  <r>
    <x v="160"/>
    <s v="C"/>
    <s v="4103"/>
    <s v="1500"/>
    <n v="20"/>
    <s v="0"/>
    <n v="4103061"/>
    <m/>
    <m/>
    <s v="CSF"/>
    <x v="138"/>
    <n v="243610883177"/>
    <n v="0"/>
    <n v="0"/>
    <n v="3558390078"/>
    <n v="3558390078"/>
    <n v="0"/>
    <n v="243610883177"/>
    <n v="3044806457.8200002"/>
    <n v="240566076719.17999"/>
    <n v="1.2498647097008962E-2"/>
    <n v="2138919625.1199999"/>
  </r>
  <r>
    <x v="162"/>
    <s v="C"/>
    <s v="4103"/>
    <s v="1500"/>
    <n v="20"/>
    <s v="0"/>
    <n v="4103061"/>
    <s v="02"/>
    <n v="11"/>
    <s v="CSF"/>
    <x v="36"/>
    <n v="36797363155"/>
    <m/>
    <m/>
    <n v="2372260052"/>
    <n v="1186130026"/>
    <n v="0"/>
    <n v="37983493181"/>
    <n v="3044806457.8200002"/>
    <n v="34938686723.18"/>
    <n v="8.0161307000143553E-2"/>
    <n v="2138919625.1199999"/>
  </r>
  <r>
    <x v="161"/>
    <s v="C"/>
    <s v="4103"/>
    <s v="1500"/>
    <n v="20"/>
    <s v="0"/>
    <n v="4103061"/>
    <s v="03"/>
    <n v="11"/>
    <s v="CSF"/>
    <x v="83"/>
    <n v="206813520022"/>
    <m/>
    <m/>
    <n v="1186130026"/>
    <n v="2372260052"/>
    <n v="0"/>
    <n v="205627389996"/>
    <n v="0"/>
    <n v="205627389996"/>
    <n v="0"/>
    <n v="0"/>
  </r>
  <r>
    <x v="163"/>
    <s v="C"/>
    <n v="4103"/>
    <s v="1500"/>
    <n v="21"/>
    <m/>
    <m/>
    <m/>
    <m/>
    <m/>
    <x v="139"/>
    <n v="34000000000"/>
    <n v="0"/>
    <n v="0"/>
    <n v="0"/>
    <n v="0"/>
    <n v="0"/>
    <n v="34000000000"/>
    <n v="1289256069"/>
    <n v="32710743931"/>
    <n v="3.7919296147058822E-2"/>
    <n v="569909524"/>
  </r>
  <r>
    <x v="164"/>
    <s v="C"/>
    <n v="4103"/>
    <s v="1500"/>
    <n v="21"/>
    <s v="0"/>
    <s v="4103005"/>
    <m/>
    <m/>
    <s v="CSF"/>
    <x v="130"/>
    <n v="4441786439"/>
    <n v="0"/>
    <n v="0"/>
    <n v="0"/>
    <n v="0"/>
    <n v="0"/>
    <n v="4441786439"/>
    <n v="0"/>
    <n v="4441786439"/>
    <n v="0"/>
    <n v="0"/>
  </r>
  <r>
    <x v="165"/>
    <s v="C"/>
    <n v="4103"/>
    <s v="1500"/>
    <n v="21"/>
    <s v="0"/>
    <s v="4103005"/>
    <s v="02"/>
    <n v="11"/>
    <s v="CSF"/>
    <x v="36"/>
    <n v="4441786439"/>
    <m/>
    <m/>
    <m/>
    <m/>
    <n v="0"/>
    <n v="4441786439"/>
    <n v="0"/>
    <n v="4441786439"/>
    <n v="0"/>
    <n v="0"/>
  </r>
  <r>
    <x v="166"/>
    <s v="C"/>
    <n v="4103"/>
    <s v="1500"/>
    <n v="21"/>
    <s v="0"/>
    <s v="4103050"/>
    <m/>
    <m/>
    <s v="CSF"/>
    <x v="133"/>
    <n v="1567335560"/>
    <n v="0"/>
    <n v="0"/>
    <n v="0"/>
    <n v="0"/>
    <n v="0"/>
    <n v="1567335560"/>
    <n v="0"/>
    <n v="1567335560"/>
    <n v="0"/>
    <n v="0"/>
  </r>
  <r>
    <x v="167"/>
    <s v="C"/>
    <n v="4103"/>
    <s v="1500"/>
    <n v="21"/>
    <s v="0"/>
    <s v="4103050"/>
    <s v="02"/>
    <n v="11"/>
    <s v="CSF"/>
    <x v="36"/>
    <n v="1567335560"/>
    <m/>
    <m/>
    <m/>
    <m/>
    <n v="0"/>
    <n v="1567335560"/>
    <n v="0"/>
    <n v="1567335560"/>
    <n v="0"/>
    <n v="0"/>
  </r>
  <r>
    <x v="168"/>
    <s v="C"/>
    <n v="4103"/>
    <s v="1500"/>
    <n v="21"/>
    <s v="0"/>
    <s v="4103051"/>
    <m/>
    <m/>
    <s v="CSF"/>
    <x v="119"/>
    <n v="2072835407"/>
    <n v="0"/>
    <n v="0"/>
    <n v="0"/>
    <n v="0"/>
    <n v="0"/>
    <n v="2072835407"/>
    <n v="0"/>
    <n v="2072835407"/>
    <n v="0"/>
    <n v="0"/>
  </r>
  <r>
    <x v="169"/>
    <s v="C"/>
    <n v="4103"/>
    <s v="1500"/>
    <n v="21"/>
    <s v="0"/>
    <s v="4103051"/>
    <s v="02"/>
    <n v="11"/>
    <s v="CSF"/>
    <x v="36"/>
    <n v="2072835407"/>
    <m/>
    <m/>
    <m/>
    <m/>
    <n v="0"/>
    <n v="2072835407"/>
    <n v="0"/>
    <n v="2072835407"/>
    <n v="0"/>
    <n v="0"/>
  </r>
  <r>
    <x v="170"/>
    <s v="C"/>
    <n v="4103"/>
    <s v="1500"/>
    <n v="21"/>
    <s v="0"/>
    <s v="4103055"/>
    <m/>
    <m/>
    <s v="CSF"/>
    <x v="122"/>
    <n v="5803396375"/>
    <n v="0"/>
    <n v="0"/>
    <n v="0"/>
    <n v="0"/>
    <n v="0"/>
    <n v="5803396375"/>
    <n v="0"/>
    <n v="5803396375"/>
    <n v="0"/>
    <n v="0"/>
  </r>
  <r>
    <x v="171"/>
    <s v="C"/>
    <n v="4103"/>
    <s v="1500"/>
    <n v="21"/>
    <s v="0"/>
    <s v="4103055"/>
    <s v="02"/>
    <n v="11"/>
    <s v="CSF"/>
    <x v="36"/>
    <n v="5803396375"/>
    <m/>
    <m/>
    <m/>
    <m/>
    <n v="0"/>
    <n v="5803396375"/>
    <n v="0"/>
    <n v="5803396375"/>
    <n v="0"/>
    <n v="0"/>
  </r>
  <r>
    <x v="172"/>
    <s v="C"/>
    <n v="4103"/>
    <s v="1500"/>
    <n v="21"/>
    <s v="0"/>
    <s v="4103058"/>
    <m/>
    <m/>
    <s v="CSF"/>
    <x v="140"/>
    <n v="20114646219"/>
    <n v="0"/>
    <n v="0"/>
    <n v="0"/>
    <n v="0"/>
    <n v="0"/>
    <n v="20114646219"/>
    <n v="1289256069"/>
    <n v="18825390150"/>
    <n v="6.4095388751216897E-2"/>
    <n v="569909524"/>
  </r>
  <r>
    <x v="173"/>
    <s v="C"/>
    <n v="4103"/>
    <s v="1500"/>
    <n v="21"/>
    <s v="0"/>
    <s v="4103058"/>
    <s v="02"/>
    <n v="11"/>
    <s v="CSF"/>
    <x v="36"/>
    <n v="20114646219"/>
    <m/>
    <m/>
    <m/>
    <m/>
    <n v="0"/>
    <n v="20114646219"/>
    <n v="1289256069"/>
    <n v="18825390150"/>
    <n v="6.4095388751216897E-2"/>
    <n v="569909524"/>
  </r>
  <r>
    <x v="174"/>
    <s v="C"/>
    <n v="4103"/>
    <s v="1500"/>
    <n v="22"/>
    <m/>
    <m/>
    <m/>
    <m/>
    <m/>
    <x v="141"/>
    <n v="188272298572"/>
    <n v="0"/>
    <n v="0"/>
    <n v="75956656176"/>
    <n v="75956656176"/>
    <n v="0"/>
    <n v="188272298572"/>
    <n v="11517885265"/>
    <n v="176754413307"/>
    <n v="6.1176738969887672E-2"/>
    <n v="1521761586"/>
  </r>
  <r>
    <x v="175"/>
    <s v="C"/>
    <n v="4103"/>
    <s v="1500"/>
    <n v="22"/>
    <s v="0"/>
    <s v="4103005"/>
    <m/>
    <m/>
    <s v="CSF"/>
    <x v="130"/>
    <n v="10954065210"/>
    <n v="0"/>
    <n v="0"/>
    <n v="14887645880"/>
    <n v="0"/>
    <n v="0"/>
    <n v="25841711090"/>
    <n v="1122276608"/>
    <n v="24719434482"/>
    <n v="4.342888147349843E-2"/>
    <n v="0"/>
  </r>
  <r>
    <x v="176"/>
    <s v="C"/>
    <n v="4103"/>
    <s v="1500"/>
    <n v="22"/>
    <s v="0"/>
    <s v="4103005"/>
    <s v="02"/>
    <n v="11"/>
    <s v="CSF"/>
    <x v="36"/>
    <n v="10954065210"/>
    <m/>
    <m/>
    <n v="14887645880"/>
    <n v="0"/>
    <n v="0"/>
    <n v="25841711090"/>
    <n v="1122276608"/>
    <n v="24719434482"/>
    <n v="4.342888147349843E-2"/>
    <n v="0"/>
  </r>
  <r>
    <x v="177"/>
    <s v="C"/>
    <n v="4103"/>
    <s v="1500"/>
    <n v="22"/>
    <s v="0"/>
    <s v="4103050"/>
    <m/>
    <m/>
    <s v="CSF"/>
    <x v="133"/>
    <n v="23566120170"/>
    <n v="0"/>
    <n v="0"/>
    <n v="15512436655"/>
    <n v="0"/>
    <n v="0"/>
    <n v="39078556825"/>
    <n v="3574292860"/>
    <n v="35504263965"/>
    <n v="9.1464300383615818E-2"/>
    <n v="300000000"/>
  </r>
  <r>
    <x v="178"/>
    <s v="C"/>
    <n v="4103"/>
    <s v="1500"/>
    <n v="22"/>
    <s v="0"/>
    <s v="4103050"/>
    <s v="02"/>
    <n v="11"/>
    <s v="CSF"/>
    <x v="36"/>
    <n v="23566120170"/>
    <m/>
    <m/>
    <n v="15512436655"/>
    <n v="0"/>
    <n v="0"/>
    <n v="39078556825"/>
    <n v="3574292860"/>
    <n v="35504263965"/>
    <n v="9.1464300383615818E-2"/>
    <n v="300000000"/>
  </r>
  <r>
    <x v="179"/>
    <s v="C"/>
    <n v="4103"/>
    <s v="1500"/>
    <n v="22"/>
    <s v="0"/>
    <n v="4103051"/>
    <m/>
    <m/>
    <s v="CSF"/>
    <x v="119"/>
    <n v="18826252848"/>
    <n v="0"/>
    <n v="0"/>
    <n v="6493886506"/>
    <n v="0"/>
    <n v="0"/>
    <n v="25320139354"/>
    <n v="1169144192"/>
    <n v="24150995162"/>
    <n v="4.6174476990597686E-2"/>
    <n v="0"/>
  </r>
  <r>
    <x v="180"/>
    <s v="C"/>
    <n v="4103"/>
    <s v="1500"/>
    <n v="22"/>
    <s v="0"/>
    <n v="4103051"/>
    <s v="02"/>
    <n v="11"/>
    <s v="CSF"/>
    <x v="36"/>
    <n v="18826252848"/>
    <m/>
    <m/>
    <n v="6493886506"/>
    <n v="0"/>
    <n v="0"/>
    <n v="25320139354"/>
    <n v="1169144192"/>
    <n v="24150995162"/>
    <n v="4.6174476990597686E-2"/>
    <n v="0"/>
  </r>
  <r>
    <x v="181"/>
    <s v="C"/>
    <n v="4103"/>
    <s v="1500"/>
    <n v="22"/>
    <s v="0"/>
    <n v="4103055"/>
    <m/>
    <m/>
    <s v="CSF"/>
    <x v="122"/>
    <n v="9355356380"/>
    <n v="0"/>
    <n v="0"/>
    <n v="21850058864"/>
    <n v="0"/>
    <n v="0"/>
    <n v="31205415244"/>
    <n v="1962919342"/>
    <n v="29242495902"/>
    <n v="6.2903163654501243E-2"/>
    <n v="0"/>
  </r>
  <r>
    <x v="182"/>
    <s v="C"/>
    <n v="4103"/>
    <s v="1500"/>
    <n v="22"/>
    <s v="0"/>
    <s v="4103055"/>
    <s v="02"/>
    <n v="11"/>
    <s v="CSF"/>
    <x v="36"/>
    <n v="9355356380"/>
    <m/>
    <m/>
    <n v="21850058864"/>
    <m/>
    <n v="0"/>
    <n v="31205415244"/>
    <n v="1962919342"/>
    <n v="29242495902"/>
    <n v="6.2903163654501243E-2"/>
    <n v="0"/>
  </r>
  <r>
    <x v="183"/>
    <s v="C"/>
    <n v="4103"/>
    <s v="1500"/>
    <n v="22"/>
    <s v="0"/>
    <n v="4103057"/>
    <m/>
    <m/>
    <s v="CSF"/>
    <x v="131"/>
    <n v="42878440876"/>
    <n v="0"/>
    <n v="0"/>
    <n v="2559683689"/>
    <n v="18063056176"/>
    <n v="0"/>
    <n v="27375068389"/>
    <n v="2689844752"/>
    <n v="24685223637"/>
    <n v="9.8258923549606483E-2"/>
    <n v="1221761586"/>
  </r>
  <r>
    <x v="184"/>
    <s v="C"/>
    <n v="4103"/>
    <s v="1500"/>
    <n v="22"/>
    <s v="0"/>
    <s v="4103057"/>
    <s v="02"/>
    <n v="11"/>
    <s v="CSF"/>
    <x v="36"/>
    <n v="4467871684"/>
    <m/>
    <m/>
    <n v="2559683689"/>
    <n v="110858384"/>
    <n v="0"/>
    <n v="6916696989"/>
    <n v="2689844752"/>
    <n v="4226852237"/>
    <n v="0.38889151227497848"/>
    <n v="1221761586"/>
  </r>
  <r>
    <x v="185"/>
    <s v="C"/>
    <n v="4103"/>
    <s v="1500"/>
    <n v="22"/>
    <s v="0"/>
    <s v="4103057"/>
    <s v="03"/>
    <n v="11"/>
    <s v="CSF"/>
    <x v="83"/>
    <n v="38410569192"/>
    <m/>
    <m/>
    <m/>
    <n v="17952197792"/>
    <n v="0"/>
    <n v="20458371400"/>
    <n v="0"/>
    <n v="20458371400"/>
    <n v="0"/>
    <n v="0"/>
  </r>
  <r>
    <x v="186"/>
    <s v="C"/>
    <n v="4103"/>
    <s v="1500"/>
    <n v="22"/>
    <s v="0"/>
    <n v="4103062"/>
    <m/>
    <m/>
    <s v="CSF"/>
    <x v="142"/>
    <n v="82692063088"/>
    <n v="0"/>
    <n v="0"/>
    <n v="14652944582"/>
    <n v="57893600000"/>
    <n v="0"/>
    <n v="39451407670"/>
    <n v="999407511"/>
    <n v="38452000159"/>
    <n v="2.5332619797999719E-2"/>
    <n v="0"/>
  </r>
  <r>
    <x v="187"/>
    <s v="C"/>
    <n v="4103"/>
    <s v="1500"/>
    <n v="22"/>
    <s v="0"/>
    <s v="4103062"/>
    <s v="02"/>
    <n v="11"/>
    <s v="CSF"/>
    <x v="36"/>
    <n v="11892063088"/>
    <m/>
    <m/>
    <n v="14652944582"/>
    <n v="0"/>
    <n v="0"/>
    <n v="26545007670"/>
    <n v="999407511"/>
    <n v="25545600159"/>
    <n v="3.7649546891240358E-2"/>
    <n v="0"/>
  </r>
  <r>
    <x v="188"/>
    <s v="C"/>
    <n v="4103"/>
    <s v="1500"/>
    <n v="22"/>
    <s v="0"/>
    <s v="4103062"/>
    <s v="03"/>
    <n v="11"/>
    <s v="CSF"/>
    <x v="83"/>
    <n v="70800000000"/>
    <m/>
    <m/>
    <m/>
    <n v="57893600000"/>
    <n v="0"/>
    <n v="12906400000"/>
    <n v="0"/>
    <n v="12906400000"/>
    <n v="0"/>
    <n v="0"/>
  </r>
  <r>
    <x v="189"/>
    <s v="C"/>
    <s v="4103"/>
    <s v="1500"/>
    <n v="23"/>
    <m/>
    <m/>
    <m/>
    <m/>
    <m/>
    <x v="143"/>
    <n v="1716644723711"/>
    <n v="0"/>
    <n v="0"/>
    <n v="3255561837"/>
    <n v="3255561837"/>
    <n v="0"/>
    <n v="1716644723711"/>
    <n v="817240356367.06006"/>
    <n v="899404367343.93994"/>
    <n v="0.47606842876630295"/>
    <n v="796481200538.68994"/>
  </r>
  <r>
    <x v="190"/>
    <s v="C"/>
    <s v="4103"/>
    <s v="1500"/>
    <n v="23"/>
    <s v="0"/>
    <n v="4103065"/>
    <m/>
    <m/>
    <s v="CSF"/>
    <x v="144"/>
    <n v="852944176607"/>
    <n v="0"/>
    <n v="0"/>
    <n v="3255561837"/>
    <n v="3255561837"/>
    <n v="0"/>
    <n v="852944176607"/>
    <n v="424649198592.06"/>
    <n v="428294978014.94"/>
    <n v="0.49786282647629831"/>
    <n v="403890042763.69"/>
  </r>
  <r>
    <x v="191"/>
    <s v="C"/>
    <s v="4103"/>
    <s v="1500"/>
    <n v="23"/>
    <s v="0"/>
    <n v="4103065"/>
    <s v="02"/>
    <n v="10"/>
    <s v="CSF"/>
    <x v="36"/>
    <n v="58404083711"/>
    <m/>
    <m/>
    <n v="2170374558"/>
    <n v="1085187279"/>
    <n v="0"/>
    <n v="59489270990"/>
    <n v="26681531367.060001"/>
    <n v="32807739622.939999"/>
    <n v="0.44850997369836826"/>
    <n v="13856375538.690001"/>
  </r>
  <r>
    <x v="192"/>
    <s v="C"/>
    <s v="4103"/>
    <s v="1500"/>
    <n v="23"/>
    <s v="0"/>
    <n v="4103065"/>
    <s v="03"/>
    <n v="10"/>
    <s v="CSF"/>
    <x v="83"/>
    <n v="794540092896"/>
    <m/>
    <m/>
    <n v="1085187279"/>
    <n v="2170374558"/>
    <n v="0"/>
    <n v="793454905617"/>
    <n v="397967667225"/>
    <n v="395487238392"/>
    <n v="0.50156305595657713"/>
    <n v="390033667225"/>
  </r>
  <r>
    <x v="190"/>
    <s v="C"/>
    <s v="4103"/>
    <s v="1500"/>
    <n v="23"/>
    <s v="0"/>
    <n v="4103065"/>
    <m/>
    <m/>
    <s v="CSF"/>
    <x v="144"/>
    <n v="863700547104"/>
    <n v="0"/>
    <n v="0"/>
    <n v="0"/>
    <n v="0"/>
    <n v="0"/>
    <n v="863700547104"/>
    <n v="392591157775"/>
    <n v="471109389329"/>
    <n v="0.45454545454598083"/>
    <n v="392591157775"/>
  </r>
  <r>
    <x v="192"/>
    <s v="C"/>
    <s v="4103"/>
    <s v="1500"/>
    <n v="23"/>
    <s v="0"/>
    <n v="4103065"/>
    <s v="03"/>
    <n v="16"/>
    <s v="SSF"/>
    <x v="83"/>
    <n v="863700547104"/>
    <m/>
    <m/>
    <m/>
    <m/>
    <n v="0"/>
    <n v="863700547104"/>
    <n v="392591157775"/>
    <n v="471109389329"/>
    <n v="0.45454545454598083"/>
    <n v="392591157775"/>
  </r>
  <r>
    <x v="193"/>
    <s v="C"/>
    <s v="4103"/>
    <s v="1500"/>
    <n v="25"/>
    <m/>
    <m/>
    <m/>
    <m/>
    <m/>
    <x v="145"/>
    <n v="5500000000"/>
    <n v="0"/>
    <n v="0"/>
    <n v="3586500000"/>
    <n v="3586500000"/>
    <n v="0"/>
    <n v="5500000000"/>
    <n v="0"/>
    <n v="5500000000"/>
    <n v="0"/>
    <n v="0"/>
  </r>
  <r>
    <x v="194"/>
    <s v="C"/>
    <s v="4103"/>
    <s v="1500"/>
    <n v="25"/>
    <s v="0"/>
    <n v="4103050"/>
    <m/>
    <m/>
    <s v="CSF"/>
    <x v="133"/>
    <n v="1283500000"/>
    <n v="0"/>
    <n v="0"/>
    <n v="0"/>
    <n v="0"/>
    <n v="0"/>
    <n v="1283500000"/>
    <n v="0"/>
    <n v="1283500000"/>
    <n v="0"/>
    <n v="0"/>
  </r>
  <r>
    <x v="195"/>
    <s v="C"/>
    <s v="4103"/>
    <s v="1500"/>
    <n v="25"/>
    <s v="0"/>
    <n v="4103050"/>
    <s v="02"/>
    <n v="11"/>
    <s v="CSF"/>
    <x v="36"/>
    <n v="1283500000"/>
    <m/>
    <m/>
    <m/>
    <m/>
    <n v="0"/>
    <n v="1283500000"/>
    <n v="0"/>
    <n v="1283500000"/>
    <n v="0"/>
    <n v="0"/>
  </r>
  <r>
    <x v="196"/>
    <s v="C"/>
    <s v="4103"/>
    <s v="1500"/>
    <n v="25"/>
    <s v="0"/>
    <n v="4103057"/>
    <m/>
    <m/>
    <s v="CSF"/>
    <x v="131"/>
    <n v="4216500000"/>
    <n v="0"/>
    <n v="0"/>
    <n v="3586500000"/>
    <n v="3586500000"/>
    <n v="0"/>
    <n v="4216500000"/>
    <n v="0"/>
    <n v="4216500000"/>
    <n v="0"/>
    <n v="0"/>
  </r>
  <r>
    <x v="197"/>
    <s v="C"/>
    <s v="4103"/>
    <s v="1500"/>
    <n v="25"/>
    <s v="0"/>
    <n v="4103057"/>
    <s v="02"/>
    <n v="11"/>
    <s v="CSF"/>
    <x v="36"/>
    <n v="315000000"/>
    <m/>
    <m/>
    <n v="3586500000"/>
    <m/>
    <n v="0"/>
    <n v="3901500000"/>
    <n v="0"/>
    <n v="3901500000"/>
    <n v="0"/>
    <n v="0"/>
  </r>
  <r>
    <x v="198"/>
    <s v="C"/>
    <s v="4103"/>
    <s v="1500"/>
    <n v="25"/>
    <s v="0"/>
    <n v="4103057"/>
    <s v="03"/>
    <n v="11"/>
    <s v="CSF"/>
    <x v="83"/>
    <n v="3901500000"/>
    <m/>
    <m/>
    <m/>
    <n v="3586500000"/>
    <n v="0"/>
    <n v="315000000"/>
    <n v="0"/>
    <n v="315000000"/>
    <n v="0"/>
    <n v="0"/>
  </r>
  <r>
    <x v="199"/>
    <s v="C"/>
    <n v="4199"/>
    <m/>
    <m/>
    <m/>
    <m/>
    <m/>
    <m/>
    <m/>
    <x v="146"/>
    <n v="6000000000"/>
    <n v="0"/>
    <n v="0"/>
    <n v="0"/>
    <n v="0"/>
    <n v="0"/>
    <n v="6000000000"/>
    <n v="3775864354.5599999"/>
    <n v="2224135645.4400001"/>
    <n v="0.62931072576000002"/>
    <n v="910189904.15999997"/>
  </r>
  <r>
    <x v="200"/>
    <s v="C"/>
    <n v="4199"/>
    <n v="1500"/>
    <m/>
    <m/>
    <m/>
    <m/>
    <m/>
    <m/>
    <x v="113"/>
    <n v="6000000000"/>
    <n v="0"/>
    <n v="0"/>
    <n v="0"/>
    <n v="0"/>
    <n v="0"/>
    <n v="6000000000"/>
    <n v="3775864354.5599999"/>
    <n v="2224135645.4400001"/>
    <n v="0.62931072576000002"/>
    <n v="910189904.15999997"/>
  </r>
  <r>
    <x v="201"/>
    <s v="C"/>
    <s v="4199"/>
    <s v="1500"/>
    <s v="2"/>
    <m/>
    <m/>
    <m/>
    <m/>
    <m/>
    <x v="147"/>
    <n v="6000000000"/>
    <n v="0"/>
    <n v="0"/>
    <n v="0"/>
    <n v="0"/>
    <n v="0"/>
    <n v="6000000000"/>
    <n v="3775864354.5599999"/>
    <n v="2224135645.4400001"/>
    <n v="0.62931072576000002"/>
    <n v="910189904.15999997"/>
  </r>
  <r>
    <x v="202"/>
    <s v="C"/>
    <s v="4199"/>
    <s v="1500"/>
    <s v="2"/>
    <s v="0"/>
    <s v="4199062"/>
    <m/>
    <m/>
    <s v="CSF"/>
    <x v="148"/>
    <n v="6000000000"/>
    <n v="0"/>
    <n v="0"/>
    <n v="0"/>
    <n v="0"/>
    <n v="0"/>
    <n v="6000000000"/>
    <n v="3775864354.5599999"/>
    <n v="2224135645.4400001"/>
    <n v="0.62931072576000002"/>
    <n v="910189904.15999997"/>
  </r>
  <r>
    <x v="203"/>
    <s v="C"/>
    <s v="4199"/>
    <s v="1500"/>
    <s v="2"/>
    <s v="0"/>
    <s v="4199062"/>
    <s v="02"/>
    <n v="11"/>
    <s v="CSF"/>
    <x v="36"/>
    <n v="6000000000"/>
    <n v="0"/>
    <n v="0"/>
    <n v="0"/>
    <n v="0"/>
    <n v="0"/>
    <n v="6000000000"/>
    <n v="3775864354.5599999"/>
    <n v="2224135645.4400001"/>
    <n v="0.62931072576000002"/>
    <n v="910189904.15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288E0-9336-4339-A8F3-A455509FA7C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E17" firstHeaderRow="1" firstDataRow="2" firstDataCol="2"/>
  <pivotFields count="15">
    <pivotField axis="axisRow" compact="0" outline="0" showAll="0" defaultSubtotal="0">
      <items count="19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x="136"/>
        <item h="1" x="137"/>
        <item h="1" x="138"/>
        <item h="1" x="139"/>
        <item h="1" x="140"/>
        <item h="1" x="141"/>
        <item x="142"/>
        <item h="1" x="143"/>
        <item h="1" x="144"/>
        <item h="1" x="145"/>
        <item h="1" x="146"/>
        <item h="1" x="147"/>
        <item h="1" x="148"/>
        <item h="1" x="149"/>
        <item h="1" x="150"/>
        <item x="151"/>
        <item h="1" x="152"/>
        <item h="1" x="153"/>
        <item h="1" x="154"/>
        <item h="1" x="155"/>
        <item h="1" x="156"/>
        <item x="157"/>
        <item h="1" x="158"/>
        <item h="1" x="159"/>
        <item h="1" x="160"/>
        <item h="1" x="161"/>
        <item x="162"/>
        <item h="1" x="163"/>
        <item h="1" x="164"/>
        <item h="1" x="165"/>
        <item h="1" x="166"/>
        <item h="1" x="167"/>
        <item h="1" x="168"/>
        <item h="1" x="169"/>
        <item h="1" x="170"/>
        <item x="171"/>
        <item h="1" x="172"/>
        <item h="1" x="173"/>
        <item x="174"/>
        <item h="1" x="175"/>
        <item h="1" x="176"/>
        <item h="1" x="177"/>
        <item h="1" x="178"/>
        <item h="1" x="179"/>
        <item h="1" x="180"/>
        <item x="181"/>
        <item h="1" x="182"/>
        <item h="1" x="183"/>
        <item h="1" x="184"/>
        <item x="185"/>
        <item h="1" x="186"/>
        <item h="1" x="187"/>
        <item h="1" x="188"/>
        <item h="1" x="189"/>
        <item x="190"/>
        <item h="1" x="191"/>
        <item h="1" x="192"/>
      </items>
    </pivotField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50">
        <item x="83"/>
        <item x="84"/>
        <item x="36"/>
        <item x="110"/>
        <item x="57"/>
        <item x="37"/>
        <item x="59"/>
        <item x="56"/>
        <item x="25"/>
        <item x="24"/>
        <item x="22"/>
        <item x="23"/>
        <item x="19"/>
        <item x="21"/>
        <item x="106"/>
        <item x="15"/>
        <item x="9"/>
        <item x="35"/>
        <item x="30"/>
        <item x="11"/>
        <item x="20"/>
        <item x="103"/>
        <item x="16"/>
        <item x="104"/>
        <item x="131"/>
        <item x="43"/>
        <item x="41"/>
        <item x="55"/>
        <item x="33"/>
        <item x="4"/>
        <item x="95"/>
        <item x="85"/>
        <item x="86"/>
        <item x="129"/>
        <item x="139"/>
        <item x="146"/>
        <item x="126"/>
        <item x="0"/>
        <item x="1"/>
        <item x="6"/>
        <item x="97"/>
        <item x="12"/>
        <item x="132"/>
        <item x="108"/>
        <item x="137"/>
        <item x="144"/>
        <item x="118"/>
        <item x="142"/>
        <item x="116"/>
        <item x="121"/>
        <item x="147"/>
        <item x="101"/>
        <item x="100"/>
        <item x="102"/>
        <item x="98"/>
        <item x="99"/>
        <item x="91"/>
        <item x="90"/>
        <item x="117"/>
        <item x="29"/>
        <item x="93"/>
        <item x="107"/>
        <item x="105"/>
        <item x="92"/>
        <item x="53"/>
        <item x="54"/>
        <item x="38"/>
        <item x="39"/>
        <item x="87"/>
        <item x="44"/>
        <item x="50"/>
        <item x="47"/>
        <item x="80"/>
        <item x="74"/>
        <item x="70"/>
        <item x="45"/>
        <item x="17"/>
        <item x="40"/>
        <item x="2"/>
        <item x="88"/>
        <item x="89"/>
        <item x="27"/>
        <item x="34"/>
        <item x="13"/>
        <item x="32"/>
        <item x="10"/>
        <item x="14"/>
        <item x="31"/>
        <item x="7"/>
        <item x="42"/>
        <item x="48"/>
        <item x="46"/>
        <item x="52"/>
        <item x="51"/>
        <item x="26"/>
        <item x="3"/>
        <item x="18"/>
        <item x="96"/>
        <item x="94"/>
        <item x="111"/>
        <item x="138"/>
        <item x="134"/>
        <item x="115"/>
        <item x="127"/>
        <item x="119"/>
        <item x="143"/>
        <item x="135"/>
        <item x="109"/>
        <item x="112"/>
        <item x="125"/>
        <item x="120"/>
        <item x="140"/>
        <item x="128"/>
        <item x="130"/>
        <item x="113"/>
        <item x="122"/>
        <item x="133"/>
        <item x="123"/>
        <item x="136"/>
        <item x="114"/>
        <item x="141"/>
        <item x="124"/>
        <item x="78"/>
        <item x="58"/>
        <item x="62"/>
        <item x="64"/>
        <item x="76"/>
        <item x="79"/>
        <item x="73"/>
        <item x="72"/>
        <item x="71"/>
        <item x="61"/>
        <item x="60"/>
        <item x="66"/>
        <item x="65"/>
        <item x="67"/>
        <item x="69"/>
        <item x="77"/>
        <item x="75"/>
        <item x="63"/>
        <item x="68"/>
        <item x="148"/>
        <item x="8"/>
        <item x="5"/>
        <item x="28"/>
        <item x="82"/>
        <item x="81"/>
        <item x="49"/>
        <item x="145"/>
        <item t="default"/>
      </items>
    </pivotField>
    <pivotField dataField="1" compact="0" numFmtId="4" outline="0" showAll="0"/>
    <pivotField dataField="1" compact="0" outline="0" showAll="0"/>
    <pivotField dataField="1" compact="0" outline="0" dragToRow="0" dragToCol="0" dragToPage="0" showAll="0" defaultSubtotal="0"/>
  </pivotFields>
  <rowFields count="2">
    <field x="0"/>
    <field x="11"/>
  </rowFields>
  <rowItems count="13">
    <i>
      <x v="107"/>
      <x v="43"/>
    </i>
    <i>
      <x v="120"/>
      <x v="48"/>
    </i>
    <i>
      <x v="136"/>
      <x v="46"/>
    </i>
    <i>
      <x v="142"/>
      <x v="49"/>
    </i>
    <i>
      <x v="151"/>
      <x v="36"/>
    </i>
    <i>
      <x v="157"/>
      <x v="33"/>
    </i>
    <i>
      <x v="162"/>
      <x v="42"/>
    </i>
    <i>
      <x v="171"/>
      <x v="44"/>
    </i>
    <i>
      <x v="174"/>
      <x v="34"/>
    </i>
    <i>
      <x v="181"/>
      <x v="47"/>
    </i>
    <i>
      <x v="185"/>
      <x v="45"/>
    </i>
    <i>
      <x v="190"/>
      <x v="5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OPIACION" fld="12" baseField="11" baseItem="50" numFmtId="3"/>
    <dataField name="Suma de ACUMULADO" fld="13" baseField="11" baseItem="50" numFmtId="3"/>
    <dataField name="Suma de Campo1" fld="14" baseField="11" baseItem="50" numFmtId="167"/>
  </dataFields>
  <formats count="21">
    <format dxfId="82">
      <pivotArea outline="0" collapsedLevelsAreSubtotals="1" fieldPosition="0"/>
    </format>
    <format dxfId="81">
      <pivotArea field="0" type="button" dataOnly="0" labelOnly="1" outline="0" axis="axisRow" fieldPosition="0"/>
    </format>
    <format dxfId="80">
      <pivotArea field="11" type="button" dataOnly="0" labelOnly="1" outline="0" axis="axisRow" fieldPosition="1"/>
    </format>
    <format dxfId="79">
      <pivotArea dataOnly="0" labelOnly="1" outline="0" fieldPosition="0">
        <references count="1">
          <reference field="0" count="0"/>
        </references>
      </pivotArea>
    </format>
    <format dxfId="78">
      <pivotArea dataOnly="0" labelOnly="1" grandRow="1" outline="0" fieldPosition="0"/>
    </format>
    <format dxfId="77">
      <pivotArea dataOnly="0" labelOnly="1" outline="0" fieldPosition="0">
        <references count="2">
          <reference field="0" count="1" selected="0">
            <x v="107"/>
          </reference>
          <reference field="11" count="1">
            <x v="43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120"/>
          </reference>
          <reference field="11" count="1">
            <x v="48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136"/>
          </reference>
          <reference field="11" count="1">
            <x v="46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142"/>
          </reference>
          <reference field="11" count="1">
            <x v="49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151"/>
          </reference>
          <reference field="11" count="1">
            <x v="36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157"/>
          </reference>
          <reference field="11" count="1">
            <x v="33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162"/>
          </reference>
          <reference field="11" count="1">
            <x v="42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171"/>
          </reference>
          <reference field="11" count="1">
            <x v="44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174"/>
          </reference>
          <reference field="11" count="1">
            <x v="34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181"/>
          </reference>
          <reference field="11" count="1">
            <x v="47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185"/>
          </reference>
          <reference field="11" count="1">
            <x v="45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190"/>
          </reference>
          <reference field="11" count="1">
            <x v="50"/>
          </reference>
        </references>
      </pivotArea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">
      <pivotArea field="0" type="button" dataOnly="0" labelOnly="1" outline="0" axis="axisRow" fieldPosition="0"/>
    </format>
    <format dxfId="63">
      <pivotArea field="11" type="button" dataOnly="0" labelOnly="1" outline="0" axis="axisRow" fieldPosition="1"/>
    </format>
    <format dxfId="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4422A-DEE7-415F-A93E-5597BED2DE9C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E17" firstHeaderRow="1" firstDataRow="2" firstDataCol="2"/>
  <pivotFields count="14">
    <pivotField axis="axisRow" compact="0" outline="0" showAll="0" defaultSubtotal="0">
      <items count="20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x="119"/>
        <item h="1" x="120"/>
        <item h="1" x="121"/>
        <item h="1" x="122"/>
        <item h="1" x="123"/>
        <item h="1" x="124"/>
        <item x="125"/>
        <item h="1" x="126"/>
        <item h="1" x="127"/>
        <item h="1" x="128"/>
        <item h="1" x="129"/>
        <item h="1" x="130"/>
        <item h="1" x="131"/>
        <item h="1" x="132"/>
        <item h="1" x="133"/>
        <item x="134"/>
        <item h="1" x="135"/>
        <item h="1" x="136"/>
        <item h="1" x="137"/>
        <item h="1" x="138"/>
        <item h="1" x="139"/>
        <item x="140"/>
        <item h="1" x="141"/>
        <item h="1" x="142"/>
        <item h="1" x="143"/>
        <item h="1" x="144"/>
        <item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x="156"/>
        <item h="1" x="157"/>
        <item h="1" x="158"/>
        <item h="1" x="159"/>
        <item h="1" x="160"/>
        <item x="161"/>
        <item h="1" x="162"/>
        <item h="1" x="163"/>
        <item h="1" x="164"/>
        <item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x="194"/>
        <item h="1" x="195"/>
        <item h="1" x="196"/>
        <item h="1" x="197"/>
        <item h="1" x="198"/>
        <item h="1" x="199"/>
        <item x="200"/>
        <item h="1" x="201"/>
        <item h="1" x="202"/>
        <item h="1" x="5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64">
        <item x="157"/>
        <item x="83"/>
        <item x="84"/>
        <item x="36"/>
        <item x="111"/>
        <item x="57"/>
        <item x="37"/>
        <item x="59"/>
        <item x="56"/>
        <item x="25"/>
        <item x="24"/>
        <item x="22"/>
        <item x="23"/>
        <item x="19"/>
        <item x="21"/>
        <item x="107"/>
        <item x="15"/>
        <item x="9"/>
        <item x="35"/>
        <item x="30"/>
        <item x="11"/>
        <item x="20"/>
        <item x="104"/>
        <item x="16"/>
        <item x="105"/>
        <item x="133"/>
        <item x="43"/>
        <item x="41"/>
        <item x="55"/>
        <item x="33"/>
        <item x="4"/>
        <item x="96"/>
        <item x="87"/>
        <item x="85"/>
        <item x="86"/>
        <item x="131"/>
        <item x="141"/>
        <item x="160"/>
        <item x="127"/>
        <item x="0"/>
        <item x="1"/>
        <item x="6"/>
        <item x="98"/>
        <item x="12"/>
        <item x="134"/>
        <item x="146"/>
        <item x="109"/>
        <item x="139"/>
        <item x="159"/>
        <item x="119"/>
        <item x="144"/>
        <item x="117"/>
        <item x="152"/>
        <item x="122"/>
        <item x="161"/>
        <item x="102"/>
        <item x="101"/>
        <item x="103"/>
        <item x="99"/>
        <item x="100"/>
        <item x="92"/>
        <item x="91"/>
        <item x="118"/>
        <item x="29"/>
        <item x="94"/>
        <item x="108"/>
        <item x="106"/>
        <item x="93"/>
        <item x="53"/>
        <item x="54"/>
        <item x="38"/>
        <item x="39"/>
        <item x="88"/>
        <item x="44"/>
        <item x="50"/>
        <item x="47"/>
        <item x="80"/>
        <item x="74"/>
        <item x="70"/>
        <item x="45"/>
        <item x="17"/>
        <item x="40"/>
        <item x="2"/>
        <item x="89"/>
        <item x="90"/>
        <item x="27"/>
        <item x="34"/>
        <item x="13"/>
        <item x="32"/>
        <item x="10"/>
        <item x="14"/>
        <item x="31"/>
        <item x="7"/>
        <item x="42"/>
        <item x="48"/>
        <item x="46"/>
        <item x="52"/>
        <item x="51"/>
        <item x="26"/>
        <item x="3"/>
        <item x="18"/>
        <item x="97"/>
        <item x="95"/>
        <item x="112"/>
        <item x="140"/>
        <item x="148"/>
        <item x="154"/>
        <item x="136"/>
        <item x="116"/>
        <item x="129"/>
        <item x="120"/>
        <item x="145"/>
        <item x="137"/>
        <item x="151"/>
        <item x="158"/>
        <item x="110"/>
        <item x="113"/>
        <item x="126"/>
        <item x="150"/>
        <item x="156"/>
        <item x="121"/>
        <item x="142"/>
        <item x="130"/>
        <item x="132"/>
        <item x="114"/>
        <item x="123"/>
        <item x="149"/>
        <item x="155"/>
        <item x="135"/>
        <item x="153"/>
        <item x="147"/>
        <item x="124"/>
        <item x="138"/>
        <item x="115"/>
        <item x="143"/>
        <item x="125"/>
        <item x="78"/>
        <item x="58"/>
        <item x="62"/>
        <item x="64"/>
        <item x="76"/>
        <item x="79"/>
        <item x="73"/>
        <item x="72"/>
        <item x="71"/>
        <item x="61"/>
        <item x="60"/>
        <item x="66"/>
        <item x="65"/>
        <item x="67"/>
        <item x="69"/>
        <item x="77"/>
        <item x="75"/>
        <item x="63"/>
        <item x="68"/>
        <item x="162"/>
        <item x="8"/>
        <item x="5"/>
        <item x="28"/>
        <item x="82"/>
        <item x="81"/>
        <item x="49"/>
        <item x="128"/>
        <item t="default"/>
      </items>
    </pivotField>
    <pivotField dataField="1" compact="0" outline="0" showAll="0"/>
    <pivotField dataField="1" compact="0" outline="0" showAll="0"/>
    <pivotField dataField="1" compact="0" outline="0" dragToRow="0" dragToCol="0" dragToPage="0" showAll="0" defaultSubtotal="0"/>
  </pivotFields>
  <rowFields count="2">
    <field x="0"/>
    <field x="10"/>
  </rowFields>
  <rowItems count="13">
    <i>
      <x v="105"/>
      <x v="51"/>
    </i>
    <i>
      <x v="118"/>
      <x v="49"/>
    </i>
    <i>
      <x v="124"/>
      <x v="53"/>
    </i>
    <i>
      <x v="133"/>
      <x v="38"/>
    </i>
    <i>
      <x v="139"/>
      <x v="35"/>
    </i>
    <i>
      <x v="144"/>
      <x v="44"/>
    </i>
    <i>
      <x v="155"/>
      <x v="36"/>
    </i>
    <i>
      <x v="160"/>
      <x v="50"/>
    </i>
    <i>
      <x v="164"/>
      <x v="45"/>
    </i>
    <i>
      <x v="176"/>
      <x v="52"/>
    </i>
    <i>
      <x v="193"/>
      <x v="48"/>
    </i>
    <i>
      <x v="199"/>
      <x v="5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OPIACION" fld="11" baseField="10" baseItem="52" numFmtId="3"/>
    <dataField name="Suma de ACUMULADO" fld="12" baseField="10" baseItem="52" numFmtId="3"/>
    <dataField name="Suma de Campo1" fld="13" baseField="10" baseItem="52" numFmtId="167"/>
  </dataFields>
  <formats count="21">
    <format dxfId="61">
      <pivotArea outline="0" collapsedLevelsAreSubtotals="1" fieldPosition="0"/>
    </format>
    <format dxfId="60">
      <pivotArea field="0" type="button" dataOnly="0" labelOnly="1" outline="0" axis="axisRow" fieldPosition="0"/>
    </format>
    <format dxfId="59">
      <pivotArea field="10" type="button" dataOnly="0" labelOnly="1" outline="0" axis="axisRow" fieldPosition="1"/>
    </format>
    <format dxfId="58">
      <pivotArea dataOnly="0" labelOnly="1" outline="0" fieldPosition="0">
        <references count="1">
          <reference field="0" count="0"/>
        </references>
      </pivotArea>
    </format>
    <format dxfId="57">
      <pivotArea dataOnly="0" labelOnly="1" grandRow="1" outline="0" fieldPosition="0"/>
    </format>
    <format dxfId="56">
      <pivotArea dataOnly="0" labelOnly="1" outline="0" fieldPosition="0">
        <references count="2">
          <reference field="0" count="1" selected="0">
            <x v="105"/>
          </reference>
          <reference field="10" count="1">
            <x v="51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118"/>
          </reference>
          <reference field="10" count="1">
            <x v="49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124"/>
          </reference>
          <reference field="10" count="1">
            <x v="53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133"/>
          </reference>
          <reference field="10" count="1">
            <x v="38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139"/>
          </reference>
          <reference field="10" count="1">
            <x v="35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144"/>
          </reference>
          <reference field="10" count="1">
            <x v="44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155"/>
          </reference>
          <reference field="10" count="1">
            <x v="36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160"/>
          </reference>
          <reference field="10" count="1">
            <x v="50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164"/>
          </reference>
          <reference field="10" count="1">
            <x v="45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176"/>
          </reference>
          <reference field="10" count="1">
            <x v="52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193"/>
          </reference>
          <reference field="10" count="1">
            <x v="48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199"/>
          </reference>
          <reference field="10" count="1">
            <x v="54"/>
          </reference>
        </references>
      </pivotArea>
    </format>
    <format dxfId="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">
      <pivotArea field="0" type="button" dataOnly="0" labelOnly="1" outline="0" axis="axisRow" fieldPosition="0"/>
    </format>
    <format dxfId="42">
      <pivotArea field="10" type="button" dataOnly="0" labelOnly="1" outline="0" axis="axisRow" fieldPosition="1"/>
    </format>
    <format dxfId="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870684-AB3A-4F3A-A066-0CC79F69355A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E18" firstHeaderRow="1" firstDataRow="2" firstDataCol="2"/>
  <pivotFields count="14">
    <pivotField axis="axisRow" compact="0" outline="0" showAll="0" defaultSubtotal="0">
      <items count="21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x="132"/>
        <item h="1" x="133"/>
        <item h="1" x="134"/>
        <item h="1" x="135"/>
        <item h="1" x="136"/>
        <item h="1" x="137"/>
        <item h="1" x="138"/>
        <item h="1" x="139"/>
        <item x="140"/>
        <item h="1" x="141"/>
        <item h="1" x="142"/>
        <item h="1" x="143"/>
        <item h="1" x="144"/>
        <item h="1" x="145"/>
        <item h="1" x="146"/>
        <item h="1" x="147"/>
        <item h="1" x="148"/>
        <item x="149"/>
        <item h="1" x="150"/>
        <item h="1" x="151"/>
        <item h="1" x="152"/>
        <item h="1" x="153"/>
        <item h="1" x="154"/>
        <item x="155"/>
        <item h="1" x="156"/>
        <item h="1" x="157"/>
        <item h="1" x="158"/>
        <item h="1" x="159"/>
        <item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x="170"/>
        <item h="1" x="171"/>
        <item h="1" x="172"/>
        <item h="1" x="173"/>
        <item h="1" x="174"/>
        <item x="175"/>
        <item h="1" x="176"/>
        <item h="1" x="177"/>
        <item h="1" x="178"/>
        <item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x="205"/>
        <item h="1" x="206"/>
        <item h="1" x="207"/>
        <item h="1" x="208"/>
        <item x="209"/>
        <item h="1" x="210"/>
        <item h="1" x="211"/>
        <item h="1" x="212"/>
        <item h="1" x="213"/>
        <item h="1" x="214"/>
        <item x="215"/>
        <item h="1" x="216"/>
        <item h="1" x="217"/>
        <item h="1" x="9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1">
        <item x="163"/>
        <item x="85"/>
        <item x="86"/>
        <item x="39"/>
        <item x="37"/>
        <item x="121"/>
        <item x="60"/>
        <item x="38"/>
        <item x="43"/>
        <item x="62"/>
        <item x="25"/>
        <item x="24"/>
        <item x="115"/>
        <item x="22"/>
        <item x="23"/>
        <item x="19"/>
        <item x="21"/>
        <item x="117"/>
        <item x="15"/>
        <item x="9"/>
        <item x="36"/>
        <item x="30"/>
        <item x="11"/>
        <item x="20"/>
        <item x="100"/>
        <item x="107"/>
        <item x="16"/>
        <item x="108"/>
        <item x="141"/>
        <item x="49"/>
        <item x="47"/>
        <item x="42"/>
        <item x="34"/>
        <item x="4"/>
        <item x="98"/>
        <item x="114"/>
        <item x="89"/>
        <item x="87"/>
        <item x="88"/>
        <item x="139"/>
        <item x="147"/>
        <item x="167"/>
        <item x="136"/>
        <item x="0"/>
        <item x="1"/>
        <item x="6"/>
        <item x="101"/>
        <item x="12"/>
        <item x="142"/>
        <item x="152"/>
        <item x="165"/>
        <item x="128"/>
        <item x="166"/>
        <item x="150"/>
        <item x="119"/>
        <item x="158"/>
        <item x="131"/>
        <item x="168"/>
        <item x="105"/>
        <item x="104"/>
        <item x="106"/>
        <item x="102"/>
        <item x="103"/>
        <item x="111"/>
        <item x="94"/>
        <item x="93"/>
        <item x="127"/>
        <item x="29"/>
        <item x="118"/>
        <item x="116"/>
        <item x="95"/>
        <item x="59"/>
        <item x="41"/>
        <item x="40"/>
        <item x="44"/>
        <item x="45"/>
        <item x="109"/>
        <item x="90"/>
        <item x="50"/>
        <item x="56"/>
        <item x="53"/>
        <item x="82"/>
        <item x="76"/>
        <item x="72"/>
        <item x="51"/>
        <item x="17"/>
        <item x="46"/>
        <item x="2"/>
        <item x="91"/>
        <item x="92"/>
        <item x="27"/>
        <item x="35"/>
        <item x="33"/>
        <item x="13"/>
        <item x="32"/>
        <item x="10"/>
        <item x="14"/>
        <item x="31"/>
        <item x="7"/>
        <item x="48"/>
        <item x="54"/>
        <item x="52"/>
        <item x="58"/>
        <item x="57"/>
        <item x="26"/>
        <item x="3"/>
        <item x="18"/>
        <item x="110"/>
        <item x="99"/>
        <item x="97"/>
        <item x="122"/>
        <item x="154"/>
        <item x="160"/>
        <item x="144"/>
        <item x="126"/>
        <item x="137"/>
        <item x="129"/>
        <item x="151"/>
        <item x="145"/>
        <item x="157"/>
        <item x="164"/>
        <item x="120"/>
        <item x="123"/>
        <item x="135"/>
        <item x="156"/>
        <item x="162"/>
        <item x="130"/>
        <item x="148"/>
        <item x="138"/>
        <item x="140"/>
        <item x="124"/>
        <item x="132"/>
        <item x="155"/>
        <item x="161"/>
        <item x="143"/>
        <item x="159"/>
        <item x="153"/>
        <item x="133"/>
        <item x="146"/>
        <item x="125"/>
        <item x="149"/>
        <item x="112"/>
        <item x="113"/>
        <item x="134"/>
        <item x="80"/>
        <item x="61"/>
        <item x="66"/>
        <item x="78"/>
        <item x="81"/>
        <item x="75"/>
        <item x="74"/>
        <item x="73"/>
        <item x="64"/>
        <item x="63"/>
        <item x="68"/>
        <item x="67"/>
        <item x="69"/>
        <item x="71"/>
        <item x="79"/>
        <item x="77"/>
        <item x="65"/>
        <item x="70"/>
        <item x="169"/>
        <item x="8"/>
        <item x="5"/>
        <item x="28"/>
        <item x="84"/>
        <item x="83"/>
        <item x="55"/>
        <item x="96"/>
        <item t="default"/>
      </items>
    </pivotField>
    <pivotField dataField="1" compact="0" outline="0" showAll="0"/>
    <pivotField dataField="1" compact="0" outline="0" showAll="0"/>
    <pivotField dataField="1" compact="0" outline="0" dragToRow="0" dragToCol="0" dragToPage="0" showAll="0" defaultSubtotal="0"/>
  </pivotFields>
  <rowFields count="2">
    <field x="0"/>
    <field x="10"/>
  </rowFields>
  <rowItems count="14">
    <i>
      <x v="118"/>
      <x v="54"/>
    </i>
    <i>
      <x v="131"/>
      <x v="51"/>
    </i>
    <i>
      <x v="139"/>
      <x v="56"/>
    </i>
    <i>
      <x v="148"/>
      <x v="42"/>
    </i>
    <i>
      <x v="154"/>
      <x v="39"/>
    </i>
    <i>
      <x v="159"/>
      <x v="48"/>
    </i>
    <i>
      <x v="169"/>
      <x v="40"/>
    </i>
    <i>
      <x v="174"/>
      <x v="53"/>
    </i>
    <i>
      <x v="178"/>
      <x v="49"/>
    </i>
    <i>
      <x v="189"/>
      <x v="55"/>
    </i>
    <i>
      <x v="204"/>
      <x v="50"/>
    </i>
    <i>
      <x v="208"/>
      <x v="52"/>
    </i>
    <i>
      <x v="214"/>
      <x v="5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OPIACION" fld="11" baseField="0" baseItem="118" numFmtId="3"/>
    <dataField name="Suma de ACUMULADO" fld="12" baseField="0" baseItem="118" numFmtId="3"/>
    <dataField name="Suma de Campo1" fld="13" baseField="0" baseItem="118" numFmtId="167"/>
  </dataFields>
  <formats count="19"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field="10" type="button" dataOnly="0" labelOnly="1" outline="0" axis="axisRow" fieldPosition="1"/>
    </format>
    <format dxfId="37">
      <pivotArea dataOnly="0" labelOnly="1" outline="0" fieldPosition="0">
        <references count="1">
          <reference field="0" count="0"/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2">
          <reference field="0" count="1" selected="0">
            <x v="118"/>
          </reference>
          <reference field="10" count="1">
            <x v="54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31"/>
          </reference>
          <reference field="10" count="1">
            <x v="51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139"/>
          </reference>
          <reference field="10" count="1">
            <x v="5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148"/>
          </reference>
          <reference field="10" count="1">
            <x v="42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154"/>
          </reference>
          <reference field="10" count="1">
            <x v="39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159"/>
          </reference>
          <reference field="10" count="1">
            <x v="48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169"/>
          </reference>
          <reference field="10" count="1">
            <x v="40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174"/>
          </reference>
          <reference field="10" count="1">
            <x v="53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178"/>
          </reference>
          <reference field="10" count="1">
            <x v="49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89"/>
          </reference>
          <reference field="10" count="1">
            <x v="55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204"/>
          </reference>
          <reference field="10" count="1">
            <x v="50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208"/>
          </reference>
          <reference field="10" count="1">
            <x v="52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214"/>
          </reference>
          <reference field="10" count="1">
            <x v="57"/>
          </reference>
        </references>
      </pivotArea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5E11F6-52CF-4B7A-928C-3C386A2D5729}" name="TablaDinámica6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25:G32" firstHeaderRow="1" firstDataRow="2" firstDataCol="2"/>
  <pivotFields count="24">
    <pivotField axis="axisRow" compact="0" outline="0" showAll="0" defaultSubtotal="0">
      <items count="204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2"/>
        <item h="1" x="161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50">
        <item x="84"/>
        <item x="85"/>
        <item x="38"/>
        <item x="37"/>
        <item x="36"/>
        <item x="59"/>
        <item x="42"/>
        <item x="61"/>
        <item x="19"/>
        <item x="24"/>
        <item x="23"/>
        <item x="16"/>
        <item x="17"/>
        <item x="110"/>
        <item x="21"/>
        <item x="22"/>
        <item x="20"/>
        <item x="18"/>
        <item x="9"/>
        <item x="35"/>
        <item x="29"/>
        <item x="11"/>
        <item x="95"/>
        <item x="102"/>
        <item x="15"/>
        <item x="103"/>
        <item x="128"/>
        <item x="49"/>
        <item x="46"/>
        <item x="41"/>
        <item x="33"/>
        <item x="4"/>
        <item x="93"/>
        <item x="109"/>
        <item x="126"/>
        <item x="134"/>
        <item x="146"/>
        <item x="123"/>
        <item x="0"/>
        <item x="1"/>
        <item x="6"/>
        <item x="96"/>
        <item x="12"/>
        <item x="145"/>
        <item x="129"/>
        <item x="139"/>
        <item x="132"/>
        <item x="143"/>
        <item x="114"/>
        <item x="137"/>
        <item x="141"/>
        <item x="118"/>
        <item x="147"/>
        <item x="100"/>
        <item x="99"/>
        <item x="101"/>
        <item x="97"/>
        <item x="98"/>
        <item x="106"/>
        <item x="90"/>
        <item x="89"/>
        <item x="112"/>
        <item x="28"/>
        <item x="113"/>
        <item x="111"/>
        <item x="91"/>
        <item x="58"/>
        <item x="40"/>
        <item x="39"/>
        <item x="43"/>
        <item x="44"/>
        <item x="104"/>
        <item x="86"/>
        <item x="50"/>
        <item x="55"/>
        <item x="53"/>
        <item x="81"/>
        <item x="75"/>
        <item x="71"/>
        <item x="51"/>
        <item x="45"/>
        <item x="2"/>
        <item x="87"/>
        <item x="88"/>
        <item x="26"/>
        <item x="34"/>
        <item x="32"/>
        <item x="13"/>
        <item x="31"/>
        <item x="10"/>
        <item x="14"/>
        <item x="30"/>
        <item x="7"/>
        <item x="47"/>
        <item x="54"/>
        <item x="52"/>
        <item x="48"/>
        <item x="57"/>
        <item x="56"/>
        <item x="25"/>
        <item x="3"/>
        <item x="105"/>
        <item x="94"/>
        <item x="92"/>
        <item x="133"/>
        <item x="131"/>
        <item x="144"/>
        <item x="124"/>
        <item x="115"/>
        <item x="138"/>
        <item x="140"/>
        <item x="142"/>
        <item x="122"/>
        <item x="116"/>
        <item x="135"/>
        <item x="117"/>
        <item x="125"/>
        <item x="127"/>
        <item x="119"/>
        <item x="130"/>
        <item x="120"/>
        <item x="136"/>
        <item x="107"/>
        <item x="108"/>
        <item x="121"/>
        <item x="79"/>
        <item x="60"/>
        <item x="65"/>
        <item x="77"/>
        <item x="80"/>
        <item x="74"/>
        <item x="73"/>
        <item x="72"/>
        <item x="63"/>
        <item x="62"/>
        <item x="67"/>
        <item x="66"/>
        <item x="68"/>
        <item x="70"/>
        <item x="78"/>
        <item x="76"/>
        <item x="64"/>
        <item x="69"/>
        <item x="148"/>
        <item x="8"/>
        <item x="5"/>
        <item x="83"/>
        <item x="27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/>
    <pivotField dataField="1" compact="0" numFmtId="43" outline="0" showAll="0"/>
    <pivotField compact="0" numFmtId="43" outline="0" showAll="0"/>
    <pivotField compact="0" outline="0" showAll="0"/>
    <pivotField dataField="1" compact="0" numFmtId="43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10"/>
  </rowFields>
  <rowItems count="6">
    <i>
      <x v="1"/>
      <x v="39"/>
    </i>
    <i>
      <x v="36"/>
      <x v="4"/>
    </i>
    <i>
      <x v="85"/>
      <x v="146"/>
    </i>
    <i>
      <x v="98"/>
      <x v="41"/>
    </i>
    <i>
      <x v="110"/>
      <x v="12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APROPIACION" fld="17" baseField="0" baseItem="116" numFmtId="3"/>
    <dataField name="Suma de ACUMULADO" fld="18" baseField="0" baseItem="116" numFmtId="3"/>
    <dataField name="Suma de Campo1" fld="22" baseField="0" baseItem="116" numFmtId="167"/>
    <dataField name="Suma de ACUMULADO2" fld="21" baseField="10" baseItem="48" numFmtId="3"/>
    <dataField name="Suma de Campo2" fld="23" baseField="10" baseItem="48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D28E7-3529-4699-A4A4-763E3071D177}" name="TablaDinámica5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G18" firstHeaderRow="1" firstDataRow="2" firstDataCol="2"/>
  <pivotFields count="24">
    <pivotField axis="axisRow" compact="0" outline="0" showAll="0" defaultSubtotal="0">
      <items count="20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x="116"/>
        <item h="1" x="117"/>
        <item h="1" x="118"/>
        <item h="1" x="119"/>
        <item h="1" x="120"/>
        <item h="1" x="121"/>
        <item h="1" x="122"/>
        <item h="1" x="123"/>
        <item x="124"/>
        <item h="1" x="125"/>
        <item h="1" x="126"/>
        <item h="1" x="127"/>
        <item h="1" x="128"/>
        <item h="1" x="129"/>
        <item h="1" x="130"/>
        <item h="1" x="131"/>
        <item h="1" x="132"/>
        <item x="133"/>
        <item h="1" x="134"/>
        <item h="1" x="135"/>
        <item h="1" x="136"/>
        <item h="1" x="137"/>
        <item h="1" x="138"/>
        <item x="139"/>
        <item h="1" x="140"/>
        <item h="1" x="141"/>
        <item h="1" x="142"/>
        <item h="1" x="143"/>
        <item x="144"/>
        <item h="1" x="145"/>
        <item h="1" x="146"/>
        <item h="1" x="147"/>
        <item h="1" x="148"/>
        <item x="149"/>
        <item h="1" x="150"/>
        <item h="1" x="151"/>
        <item x="152"/>
        <item h="1" x="153"/>
        <item h="1" x="154"/>
        <item h="1" x="155"/>
        <item h="1" x="156"/>
        <item h="1" x="157"/>
        <item h="1" x="158"/>
        <item x="159"/>
        <item h="1" x="160"/>
        <item h="1" x="162"/>
        <item h="1" x="161"/>
        <item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x="189"/>
        <item h="1" x="190"/>
        <item h="1" x="191"/>
        <item h="1" x="192"/>
        <item x="193"/>
        <item h="1" x="194"/>
        <item h="1" x="195"/>
        <item h="1" x="196"/>
        <item h="1" x="197"/>
        <item h="1" x="198"/>
        <item h="1" x="199"/>
        <item h="1" x="200"/>
        <item x="201"/>
        <item h="1" x="202"/>
        <item h="1" x="20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50">
        <item x="84"/>
        <item x="85"/>
        <item x="38"/>
        <item x="37"/>
        <item x="36"/>
        <item x="59"/>
        <item x="42"/>
        <item x="61"/>
        <item x="19"/>
        <item x="24"/>
        <item x="23"/>
        <item x="16"/>
        <item x="17"/>
        <item x="110"/>
        <item x="21"/>
        <item x="22"/>
        <item x="20"/>
        <item x="18"/>
        <item x="9"/>
        <item x="35"/>
        <item x="29"/>
        <item x="11"/>
        <item x="95"/>
        <item x="102"/>
        <item x="15"/>
        <item x="103"/>
        <item x="128"/>
        <item x="49"/>
        <item x="46"/>
        <item x="41"/>
        <item x="33"/>
        <item x="4"/>
        <item x="93"/>
        <item x="109"/>
        <item x="126"/>
        <item x="134"/>
        <item x="146"/>
        <item x="123"/>
        <item x="0"/>
        <item x="1"/>
        <item x="6"/>
        <item x="96"/>
        <item x="12"/>
        <item x="145"/>
        <item x="129"/>
        <item x="139"/>
        <item x="132"/>
        <item x="143"/>
        <item x="114"/>
        <item x="137"/>
        <item x="141"/>
        <item x="118"/>
        <item x="147"/>
        <item x="100"/>
        <item x="99"/>
        <item x="101"/>
        <item x="97"/>
        <item x="98"/>
        <item x="106"/>
        <item x="90"/>
        <item x="89"/>
        <item x="112"/>
        <item x="28"/>
        <item x="113"/>
        <item x="111"/>
        <item x="91"/>
        <item x="58"/>
        <item x="40"/>
        <item x="39"/>
        <item x="43"/>
        <item x="44"/>
        <item x="104"/>
        <item x="86"/>
        <item x="50"/>
        <item x="55"/>
        <item x="53"/>
        <item x="81"/>
        <item x="75"/>
        <item x="71"/>
        <item x="51"/>
        <item x="45"/>
        <item x="2"/>
        <item x="87"/>
        <item x="88"/>
        <item x="26"/>
        <item x="34"/>
        <item x="32"/>
        <item x="13"/>
        <item x="31"/>
        <item x="10"/>
        <item x="14"/>
        <item x="30"/>
        <item x="7"/>
        <item x="47"/>
        <item x="54"/>
        <item x="52"/>
        <item x="48"/>
        <item x="57"/>
        <item x="56"/>
        <item x="25"/>
        <item x="3"/>
        <item x="105"/>
        <item x="94"/>
        <item x="92"/>
        <item x="133"/>
        <item x="131"/>
        <item x="144"/>
        <item x="124"/>
        <item x="115"/>
        <item x="138"/>
        <item x="140"/>
        <item x="142"/>
        <item x="122"/>
        <item x="116"/>
        <item x="135"/>
        <item x="117"/>
        <item x="125"/>
        <item x="127"/>
        <item x="119"/>
        <item x="130"/>
        <item x="120"/>
        <item x="136"/>
        <item x="107"/>
        <item x="108"/>
        <item x="121"/>
        <item x="79"/>
        <item x="60"/>
        <item x="65"/>
        <item x="77"/>
        <item x="80"/>
        <item x="74"/>
        <item x="73"/>
        <item x="72"/>
        <item x="63"/>
        <item x="62"/>
        <item x="67"/>
        <item x="66"/>
        <item x="68"/>
        <item x="70"/>
        <item x="78"/>
        <item x="76"/>
        <item x="64"/>
        <item x="69"/>
        <item x="148"/>
        <item x="8"/>
        <item x="5"/>
        <item x="83"/>
        <item x="27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/>
    <pivotField dataField="1" compact="0" numFmtId="43" outline="0" showAll="0"/>
    <pivotField compact="0" numFmtId="43" outline="0" showAll="0"/>
    <pivotField compact="0" outline="0" showAll="0"/>
    <pivotField dataField="1" compact="0" numFmtId="43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10"/>
  </rowFields>
  <rowItems count="14">
    <i>
      <x v="116"/>
      <x v="48"/>
    </i>
    <i>
      <x v="124"/>
      <x v="51"/>
    </i>
    <i>
      <x v="133"/>
      <x v="37"/>
    </i>
    <i>
      <x v="139"/>
      <x v="34"/>
    </i>
    <i>
      <x v="144"/>
      <x v="44"/>
    </i>
    <i>
      <x v="149"/>
      <x v="46"/>
    </i>
    <i>
      <x v="152"/>
      <x v="35"/>
    </i>
    <i>
      <x v="159"/>
      <x v="49"/>
    </i>
    <i>
      <x v="163"/>
      <x v="45"/>
    </i>
    <i>
      <x v="174"/>
      <x v="50"/>
    </i>
    <i>
      <x v="189"/>
      <x v="47"/>
    </i>
    <i>
      <x v="193"/>
      <x v="43"/>
    </i>
    <i>
      <x v="201"/>
      <x v="5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APROPIACION" fld="17" baseField="0" baseItem="116" numFmtId="3"/>
    <dataField name="Suma de ACUMULADO" fld="18" baseField="0" baseItem="116" numFmtId="3"/>
    <dataField name="Suma de Campo1" fld="22" baseField="0" baseItem="116" numFmtId="167"/>
    <dataField name="Suma de ACUMULADO2" fld="21" baseField="10" baseItem="48" numFmtId="3"/>
    <dataField name="Suma de Campo2" fld="23" baseField="10" baseItem="48" numFmtId="167"/>
  </dataFields>
  <formats count="22">
    <format dxfId="21">
      <pivotArea outline="0" collapsedLevelsAreSubtotals="1" fieldPosition="0"/>
    </format>
    <format dxfId="20">
      <pivotArea field="0" type="button" dataOnly="0" labelOnly="1" outline="0" axis="axisRow" fieldPosition="0"/>
    </format>
    <format dxfId="19">
      <pivotArea field="10" type="button" dataOnly="0" labelOnly="1" outline="0" axis="axisRow" fieldPosition="1"/>
    </format>
    <format dxfId="18">
      <pivotArea dataOnly="0" labelOnly="1" outline="0" fieldPosition="0">
        <references count="1">
          <reference field="0" count="0"/>
        </references>
      </pivotArea>
    </format>
    <format dxfId="17">
      <pivotArea dataOnly="0" labelOnly="1" grandRow="1" outline="0" fieldPosition="0"/>
    </format>
    <format dxfId="16">
      <pivotArea dataOnly="0" labelOnly="1" outline="0" fieldPosition="0">
        <references count="2">
          <reference field="0" count="1" selected="0">
            <x v="116"/>
          </reference>
          <reference field="10" count="1">
            <x v="48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124"/>
          </reference>
          <reference field="10" count="1">
            <x v="51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133"/>
          </reference>
          <reference field="10" count="1">
            <x v="37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139"/>
          </reference>
          <reference field="10" count="1">
            <x v="34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144"/>
          </reference>
          <reference field="10" count="1">
            <x v="44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149"/>
          </reference>
          <reference field="10" count="1">
            <x v="46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152"/>
          </reference>
          <reference field="10" count="1">
            <x v="35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159"/>
          </reference>
          <reference field="10" count="1">
            <x v="49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63"/>
          </reference>
          <reference field="10" count="1">
            <x v="45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174"/>
          </reference>
          <reference field="10" count="1">
            <x v="50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189"/>
          </reference>
          <reference field="10" count="1">
            <x v="47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193"/>
          </reference>
          <reference field="10" count="1">
            <x v="43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201"/>
          </reference>
          <reference field="10" count="1">
            <x v="52"/>
          </reference>
        </references>
      </pivotArea>
    </format>
    <format dxfId="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">
      <pivotArea field="0" type="button" dataOnly="0" labelOnly="1" outline="0" axis="axisRow" fieldPosition="0"/>
    </format>
    <format dxfId="1">
      <pivotArea field="10" type="button" dataOnly="0" labelOnly="1" outline="0" axis="axisRow" fieldPosition="1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2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3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4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8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9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40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4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1B9F-B74B-46EA-B522-37F9C16AF1E0}">
  <sheetPr>
    <tabColor rgb="FF00B0F0"/>
    <pageSetUpPr fitToPage="1"/>
  </sheetPr>
  <dimension ref="A1:BB205"/>
  <sheetViews>
    <sheetView showGridLines="0" tabSelected="1" zoomScale="80" zoomScaleNormal="80" workbookViewId="0"/>
  </sheetViews>
  <sheetFormatPr baseColWidth="10" defaultRowHeight="12.75" outlineLevelCol="1"/>
  <cols>
    <col min="1" max="1" width="5.7109375" style="109" customWidth="1"/>
    <col min="2" max="2" width="26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70.7109375" style="9" customWidth="1"/>
    <col min="14" max="14" width="20" style="13" bestFit="1" customWidth="1"/>
    <col min="15" max="15" width="16.8554687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9.28515625" style="13" customWidth="1"/>
    <col min="27" max="27" width="19.5703125" style="13" bestFit="1" customWidth="1"/>
    <col min="28" max="28" width="22.140625" style="13" bestFit="1" customWidth="1"/>
    <col min="29" max="29" width="13.42578125" style="13" customWidth="1"/>
    <col min="30" max="30" width="11.42578125" style="13"/>
    <col min="31" max="31" width="18.28515625" style="291" bestFit="1" customWidth="1"/>
    <col min="32" max="32" width="27.7109375" style="13" bestFit="1" customWidth="1"/>
    <col min="33" max="33" width="13.85546875" style="13" customWidth="1"/>
    <col min="34" max="16384" width="11.42578125" style="13"/>
  </cols>
  <sheetData>
    <row r="1" spans="1:32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  <c r="AE1" s="290"/>
    </row>
    <row r="2" spans="1:32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32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898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32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32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560"/>
      <c r="V5" s="663" t="s">
        <v>7</v>
      </c>
      <c r="W5" s="662"/>
      <c r="X5" s="776" t="s">
        <v>8</v>
      </c>
      <c r="Y5" s="777"/>
      <c r="Z5" s="778"/>
      <c r="AA5" s="779" t="s">
        <v>9</v>
      </c>
      <c r="AB5" s="780"/>
      <c r="AC5" s="781"/>
      <c r="AE5" s="292"/>
    </row>
    <row r="6" spans="1:32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  <c r="AE6" s="292"/>
    </row>
    <row r="7" spans="1:32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32" ht="35.1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162991000000</v>
      </c>
      <c r="O8" s="186">
        <v>0</v>
      </c>
      <c r="P8" s="186">
        <v>0</v>
      </c>
      <c r="Q8" s="186">
        <v>0</v>
      </c>
      <c r="R8" s="186">
        <v>0</v>
      </c>
      <c r="S8" s="186">
        <v>11791000000</v>
      </c>
      <c r="T8" s="186">
        <v>151200000000</v>
      </c>
      <c r="U8" s="186">
        <v>114734871633.06001</v>
      </c>
      <c r="V8" s="186">
        <v>36465128366.940002</v>
      </c>
      <c r="W8" s="187">
        <v>0.75882851609166679</v>
      </c>
      <c r="X8" s="186">
        <v>7992882993.0900002</v>
      </c>
      <c r="Y8" s="186">
        <v>106741988639.97</v>
      </c>
      <c r="Z8" s="187">
        <v>0.93033606191975793</v>
      </c>
      <c r="AA8" s="186">
        <v>7979047725.0900002</v>
      </c>
      <c r="AB8" s="186">
        <v>13835268.000000004</v>
      </c>
      <c r="AC8" s="187">
        <v>6.954335339833069E-2</v>
      </c>
      <c r="AE8" s="13"/>
    </row>
    <row r="9" spans="1:32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99738000000</v>
      </c>
      <c r="O9" s="194">
        <v>0</v>
      </c>
      <c r="P9" s="194">
        <v>0</v>
      </c>
      <c r="Q9" s="194">
        <v>0</v>
      </c>
      <c r="R9" s="194">
        <v>0</v>
      </c>
      <c r="S9" s="194">
        <v>0</v>
      </c>
      <c r="T9" s="194">
        <v>99738000000</v>
      </c>
      <c r="U9" s="194">
        <v>89763954000</v>
      </c>
      <c r="V9" s="194">
        <v>9974046000</v>
      </c>
      <c r="W9" s="195">
        <v>0.89999753353786927</v>
      </c>
      <c r="X9" s="194">
        <v>6586052861</v>
      </c>
      <c r="Y9" s="194">
        <v>83177901139</v>
      </c>
      <c r="Z9" s="195">
        <v>0.92662920284237926</v>
      </c>
      <c r="AA9" s="194">
        <v>6586052861</v>
      </c>
      <c r="AB9" s="194">
        <v>0</v>
      </c>
      <c r="AC9" s="195">
        <v>7.3370797157620751E-2</v>
      </c>
      <c r="AE9" s="13"/>
    </row>
    <row r="10" spans="1:32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99738000000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99738000000</v>
      </c>
      <c r="U10" s="201">
        <v>89763954000</v>
      </c>
      <c r="V10" s="201">
        <v>9974046000</v>
      </c>
      <c r="W10" s="202">
        <v>0.89999753353786927</v>
      </c>
      <c r="X10" s="201">
        <v>6586052861</v>
      </c>
      <c r="Y10" s="201">
        <v>83177901139</v>
      </c>
      <c r="Z10" s="202">
        <v>0.92662920284237926</v>
      </c>
      <c r="AA10" s="201">
        <v>6586052861</v>
      </c>
      <c r="AB10" s="201">
        <v>0</v>
      </c>
      <c r="AC10" s="202">
        <v>7.3370797157620751E-2</v>
      </c>
      <c r="AE10" s="13"/>
      <c r="AF10" s="293"/>
    </row>
    <row r="11" spans="1:32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68019000000</v>
      </c>
      <c r="O11" s="208">
        <v>0</v>
      </c>
      <c r="P11" s="208">
        <v>0</v>
      </c>
      <c r="Q11" s="208">
        <v>0</v>
      </c>
      <c r="R11" s="208">
        <v>0</v>
      </c>
      <c r="S11" s="208">
        <v>0</v>
      </c>
      <c r="T11" s="208">
        <v>68019000000</v>
      </c>
      <c r="U11" s="208">
        <v>61031327000</v>
      </c>
      <c r="V11" s="208">
        <v>6987673000</v>
      </c>
      <c r="W11" s="209">
        <v>0.89726880724503444</v>
      </c>
      <c r="X11" s="208">
        <v>4409317677</v>
      </c>
      <c r="Y11" s="208">
        <v>56622009323</v>
      </c>
      <c r="Z11" s="209">
        <v>0.92775320652949267</v>
      </c>
      <c r="AA11" s="208">
        <v>4409317677</v>
      </c>
      <c r="AB11" s="208">
        <v>0</v>
      </c>
      <c r="AC11" s="209">
        <v>7.2246793470507373E-2</v>
      </c>
      <c r="AE11" s="13"/>
      <c r="AF11" s="293"/>
    </row>
    <row r="12" spans="1:32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68019000000</v>
      </c>
      <c r="O12" s="215">
        <v>0</v>
      </c>
      <c r="P12" s="215">
        <v>0</v>
      </c>
      <c r="Q12" s="215">
        <v>0</v>
      </c>
      <c r="R12" s="215">
        <v>0</v>
      </c>
      <c r="S12" s="215">
        <v>0</v>
      </c>
      <c r="T12" s="215">
        <v>68019000000</v>
      </c>
      <c r="U12" s="215">
        <v>61031327000</v>
      </c>
      <c r="V12" s="215">
        <v>6987673000</v>
      </c>
      <c r="W12" s="216">
        <v>0.89726880724503444</v>
      </c>
      <c r="X12" s="215">
        <v>4409317677</v>
      </c>
      <c r="Y12" s="215">
        <v>56622009323</v>
      </c>
      <c r="Z12" s="216">
        <v>0.92775320652949267</v>
      </c>
      <c r="AA12" s="215">
        <v>4409317677</v>
      </c>
      <c r="AB12" s="215">
        <v>0</v>
      </c>
      <c r="AC12" s="216">
        <v>7.2246793470507373E-2</v>
      </c>
      <c r="AE12" s="13"/>
      <c r="AF12" s="293"/>
    </row>
    <row r="13" spans="1:32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2"/>
      <c r="T13" s="222">
        <v>54858000000</v>
      </c>
      <c r="U13" s="222">
        <v>48931483000</v>
      </c>
      <c r="V13" s="222">
        <v>5926517000</v>
      </c>
      <c r="W13" s="224">
        <v>0.89196622188194974</v>
      </c>
      <c r="X13" s="222">
        <v>4066231714</v>
      </c>
      <c r="Y13" s="222">
        <v>44865251286</v>
      </c>
      <c r="Z13" s="224">
        <v>0.91689947933930394</v>
      </c>
      <c r="AA13" s="222">
        <v>4066231714</v>
      </c>
      <c r="AB13" s="222">
        <v>0</v>
      </c>
      <c r="AC13" s="224">
        <v>8.3100520660696106E-2</v>
      </c>
      <c r="AE13" s="13"/>
      <c r="AF13" s="293"/>
    </row>
    <row r="14" spans="1:32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v>263000000</v>
      </c>
      <c r="U14" s="222">
        <v>263000000</v>
      </c>
      <c r="V14" s="222">
        <v>0</v>
      </c>
      <c r="W14" s="224">
        <v>1</v>
      </c>
      <c r="X14" s="222">
        <v>21862404</v>
      </c>
      <c r="Y14" s="222">
        <v>241137596</v>
      </c>
      <c r="Z14" s="224">
        <v>0.91687298859315591</v>
      </c>
      <c r="AA14" s="222">
        <v>21862404</v>
      </c>
      <c r="AB14" s="222">
        <v>0</v>
      </c>
      <c r="AC14" s="224">
        <v>8.3127011406844101E-2</v>
      </c>
      <c r="AE14" s="13"/>
      <c r="AF14" s="293"/>
    </row>
    <row r="15" spans="1:32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v>550000000</v>
      </c>
      <c r="U15" s="222">
        <v>494639000</v>
      </c>
      <c r="V15" s="222">
        <v>55361000</v>
      </c>
      <c r="W15" s="224">
        <v>0.89934363636363635</v>
      </c>
      <c r="X15" s="222">
        <v>39499895</v>
      </c>
      <c r="Y15" s="222">
        <v>455139105</v>
      </c>
      <c r="Z15" s="224">
        <v>0.92014399390262391</v>
      </c>
      <c r="AA15" s="222">
        <v>39499895</v>
      </c>
      <c r="AB15" s="222">
        <v>0</v>
      </c>
      <c r="AC15" s="224">
        <v>7.9856006097376073E-2</v>
      </c>
      <c r="AE15" s="13"/>
      <c r="AF15" s="293"/>
    </row>
    <row r="16" spans="1:32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v>100000000</v>
      </c>
      <c r="U16" s="222">
        <v>94700000</v>
      </c>
      <c r="V16" s="222">
        <v>5300000</v>
      </c>
      <c r="W16" s="224">
        <v>0.94699999999999995</v>
      </c>
      <c r="X16" s="222">
        <v>6826448</v>
      </c>
      <c r="Y16" s="222">
        <v>87873552</v>
      </c>
      <c r="Z16" s="224">
        <v>0.9279150158394931</v>
      </c>
      <c r="AA16" s="222">
        <v>6826448</v>
      </c>
      <c r="AB16" s="222">
        <v>0</v>
      </c>
      <c r="AC16" s="224">
        <v>7.2084984160506863E-2</v>
      </c>
      <c r="AE16" s="13"/>
      <c r="AF16" s="293"/>
    </row>
    <row r="17" spans="1:32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v>98000000</v>
      </c>
      <c r="U17" s="222">
        <v>90000000</v>
      </c>
      <c r="V17" s="222">
        <v>8000000</v>
      </c>
      <c r="W17" s="224">
        <v>0.91836734693877553</v>
      </c>
      <c r="X17" s="222">
        <v>11166518</v>
      </c>
      <c r="Y17" s="222">
        <v>78833482</v>
      </c>
      <c r="Z17" s="224">
        <v>0.87592757777777774</v>
      </c>
      <c r="AA17" s="222">
        <v>11166518</v>
      </c>
      <c r="AB17" s="222">
        <v>0</v>
      </c>
      <c r="AC17" s="224">
        <v>0.12407242222222223</v>
      </c>
      <c r="AE17" s="13"/>
      <c r="AF17" s="293"/>
    </row>
    <row r="18" spans="1:32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/>
      <c r="R18" s="222"/>
      <c r="S18" s="222"/>
      <c r="T18" s="222">
        <v>2500000000</v>
      </c>
      <c r="U18" s="222">
        <v>2242820000</v>
      </c>
      <c r="V18" s="222">
        <v>257180000</v>
      </c>
      <c r="W18" s="224">
        <v>0.89712800000000004</v>
      </c>
      <c r="X18" s="222">
        <v>3265867</v>
      </c>
      <c r="Y18" s="222">
        <v>2239554133</v>
      </c>
      <c r="Z18" s="224">
        <v>0.99854385684094127</v>
      </c>
      <c r="AA18" s="222">
        <v>3265867</v>
      </c>
      <c r="AB18" s="222">
        <v>0</v>
      </c>
      <c r="AC18" s="224">
        <v>1.4561431590586851E-3</v>
      </c>
      <c r="AE18" s="13"/>
      <c r="AF18" s="293"/>
    </row>
    <row r="19" spans="1:32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v>1800000000</v>
      </c>
      <c r="U19" s="222">
        <v>1622800000</v>
      </c>
      <c r="V19" s="222">
        <v>177200000</v>
      </c>
      <c r="W19" s="224">
        <v>0.90155555555555555</v>
      </c>
      <c r="X19" s="222">
        <v>170792407</v>
      </c>
      <c r="Y19" s="222">
        <v>1452007593</v>
      </c>
      <c r="Z19" s="224">
        <v>0.89475449408429875</v>
      </c>
      <c r="AA19" s="222">
        <v>170792407</v>
      </c>
      <c r="AB19" s="222">
        <v>0</v>
      </c>
      <c r="AC19" s="224">
        <v>0.10524550591570125</v>
      </c>
      <c r="AE19" s="13"/>
      <c r="AF19" s="293"/>
    </row>
    <row r="20" spans="1:32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v>250000000</v>
      </c>
      <c r="U20" s="222">
        <v>250000000</v>
      </c>
      <c r="V20" s="222">
        <v>0</v>
      </c>
      <c r="W20" s="224">
        <v>1</v>
      </c>
      <c r="X20" s="222">
        <v>0</v>
      </c>
      <c r="Y20" s="222">
        <v>250000000</v>
      </c>
      <c r="Z20" s="224">
        <v>1</v>
      </c>
      <c r="AA20" s="222">
        <v>0</v>
      </c>
      <c r="AB20" s="222">
        <v>0</v>
      </c>
      <c r="AC20" s="224">
        <v>0</v>
      </c>
      <c r="AE20" s="13"/>
      <c r="AF20" s="293"/>
    </row>
    <row r="21" spans="1:32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v>5000000000</v>
      </c>
      <c r="U21" s="222">
        <v>4441885000</v>
      </c>
      <c r="V21" s="222">
        <v>558115000</v>
      </c>
      <c r="W21" s="224">
        <v>0.88837699999999997</v>
      </c>
      <c r="X21" s="222">
        <v>1000852</v>
      </c>
      <c r="Y21" s="222">
        <v>4440884148</v>
      </c>
      <c r="Z21" s="224">
        <v>0.99977467854300595</v>
      </c>
      <c r="AA21" s="222">
        <v>1000852</v>
      </c>
      <c r="AB21" s="222">
        <v>0</v>
      </c>
      <c r="AC21" s="224">
        <v>2.2532145699404645E-4</v>
      </c>
      <c r="AE21" s="13"/>
      <c r="AF21" s="293"/>
    </row>
    <row r="22" spans="1:32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/>
      <c r="S22" s="222"/>
      <c r="T22" s="222">
        <v>2600000000</v>
      </c>
      <c r="U22" s="222">
        <v>2600000000</v>
      </c>
      <c r="V22" s="222">
        <v>0</v>
      </c>
      <c r="W22" s="224">
        <v>1</v>
      </c>
      <c r="X22" s="222">
        <v>88671572</v>
      </c>
      <c r="Y22" s="222">
        <v>2511328428</v>
      </c>
      <c r="Z22" s="224">
        <v>0.96589554923076926</v>
      </c>
      <c r="AA22" s="222">
        <v>88671572</v>
      </c>
      <c r="AB22" s="222">
        <v>0</v>
      </c>
      <c r="AC22" s="224">
        <v>3.4104450769230771E-2</v>
      </c>
      <c r="AE22" s="13"/>
      <c r="AF22" s="293"/>
    </row>
    <row r="23" spans="1:32" ht="24.95" customHeight="1">
      <c r="A23" s="32" t="s">
        <v>330</v>
      </c>
      <c r="B23" s="226" t="s">
        <v>331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v>24735000000</v>
      </c>
      <c r="O23" s="232">
        <v>0</v>
      </c>
      <c r="P23" s="232">
        <v>0</v>
      </c>
      <c r="Q23" s="232">
        <v>0</v>
      </c>
      <c r="R23" s="232">
        <v>0</v>
      </c>
      <c r="S23" s="232">
        <v>0</v>
      </c>
      <c r="T23" s="232">
        <v>24735000000</v>
      </c>
      <c r="U23" s="232">
        <v>22257548000</v>
      </c>
      <c r="V23" s="232">
        <v>2477452000</v>
      </c>
      <c r="W23" s="233">
        <v>0.89984022639983829</v>
      </c>
      <c r="X23" s="232">
        <v>1817880130</v>
      </c>
      <c r="Y23" s="232">
        <v>20439667870</v>
      </c>
      <c r="Z23" s="233">
        <v>0.91832522926604498</v>
      </c>
      <c r="AA23" s="232">
        <v>1817880130</v>
      </c>
      <c r="AB23" s="232">
        <v>0</v>
      </c>
      <c r="AC23" s="233">
        <v>8.1674770733955057E-2</v>
      </c>
      <c r="AE23" s="13"/>
      <c r="AF23" s="293"/>
    </row>
    <row r="24" spans="1:32" ht="24.95" customHeight="1">
      <c r="A24" s="32" t="s">
        <v>332</v>
      </c>
      <c r="B24" s="217" t="s">
        <v>333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7000000000</v>
      </c>
      <c r="O24" s="222"/>
      <c r="P24" s="222"/>
      <c r="Q24" s="222"/>
      <c r="R24" s="222"/>
      <c r="S24" s="222"/>
      <c r="T24" s="222">
        <v>7000000000</v>
      </c>
      <c r="U24" s="222">
        <v>6261000000</v>
      </c>
      <c r="V24" s="222">
        <v>739000000</v>
      </c>
      <c r="W24" s="224">
        <v>0.89442857142857146</v>
      </c>
      <c r="X24" s="222">
        <v>589206000</v>
      </c>
      <c r="Y24" s="222">
        <v>5671794000</v>
      </c>
      <c r="Z24" s="224">
        <v>0.90589266890273124</v>
      </c>
      <c r="AA24" s="222">
        <v>589206000</v>
      </c>
      <c r="AB24" s="222">
        <v>0</v>
      </c>
      <c r="AC24" s="224">
        <v>9.4107331097268807E-2</v>
      </c>
      <c r="AE24" s="13"/>
      <c r="AF24" s="293"/>
    </row>
    <row r="25" spans="1:32" ht="24.95" customHeight="1">
      <c r="A25" s="32" t="s">
        <v>334</v>
      </c>
      <c r="B25" s="217" t="s">
        <v>335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6000000000</v>
      </c>
      <c r="O25" s="222"/>
      <c r="P25" s="222"/>
      <c r="Q25" s="222"/>
      <c r="R25" s="222"/>
      <c r="S25" s="222"/>
      <c r="T25" s="222">
        <v>6000000000</v>
      </c>
      <c r="U25" s="222">
        <v>5476480000</v>
      </c>
      <c r="V25" s="222">
        <v>523520000</v>
      </c>
      <c r="W25" s="224">
        <v>0.91274666666666671</v>
      </c>
      <c r="X25" s="222">
        <v>418197400</v>
      </c>
      <c r="Y25" s="222">
        <v>5058282600</v>
      </c>
      <c r="Z25" s="224">
        <v>0.92363755551010873</v>
      </c>
      <c r="AA25" s="222">
        <v>418197400</v>
      </c>
      <c r="AB25" s="222">
        <v>0</v>
      </c>
      <c r="AC25" s="224">
        <v>7.6362444489891323E-2</v>
      </c>
      <c r="AE25" s="13"/>
      <c r="AF25" s="293"/>
    </row>
    <row r="26" spans="1:32" ht="24.95" customHeight="1">
      <c r="A26" s="32" t="s">
        <v>336</v>
      </c>
      <c r="B26" s="217" t="s">
        <v>337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5555000000</v>
      </c>
      <c r="O26" s="222"/>
      <c r="P26" s="222"/>
      <c r="Q26" s="222"/>
      <c r="R26" s="222"/>
      <c r="S26" s="222"/>
      <c r="T26" s="222">
        <v>5555000000</v>
      </c>
      <c r="U26" s="222">
        <v>4950300000</v>
      </c>
      <c r="V26" s="222">
        <v>604700000</v>
      </c>
      <c r="W26" s="224">
        <v>0.89114311431143112</v>
      </c>
      <c r="X26" s="222">
        <v>370882630</v>
      </c>
      <c r="Y26" s="222">
        <v>4579417370</v>
      </c>
      <c r="Z26" s="224">
        <v>0.92507875684301966</v>
      </c>
      <c r="AA26" s="222">
        <v>370882630</v>
      </c>
      <c r="AB26" s="222">
        <v>0</v>
      </c>
      <c r="AC26" s="224">
        <v>7.4921243156980386E-2</v>
      </c>
      <c r="AE26" s="13"/>
      <c r="AF26" s="293"/>
    </row>
    <row r="27" spans="1:32" ht="24.95" customHeight="1">
      <c r="A27" s="32" t="s">
        <v>338</v>
      </c>
      <c r="B27" s="217" t="s">
        <v>339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2500000000</v>
      </c>
      <c r="O27" s="222"/>
      <c r="P27" s="222"/>
      <c r="Q27" s="222"/>
      <c r="R27" s="222"/>
      <c r="S27" s="222"/>
      <c r="T27" s="222">
        <v>2500000000</v>
      </c>
      <c r="U27" s="222">
        <v>2243000000</v>
      </c>
      <c r="V27" s="222">
        <v>257000000</v>
      </c>
      <c r="W27" s="224">
        <v>0.8972</v>
      </c>
      <c r="X27" s="222">
        <v>178062100</v>
      </c>
      <c r="Y27" s="222">
        <v>2064937900</v>
      </c>
      <c r="Z27" s="224">
        <v>0.92061431119037007</v>
      </c>
      <c r="AA27" s="222">
        <v>178062100</v>
      </c>
      <c r="AB27" s="222">
        <v>0</v>
      </c>
      <c r="AC27" s="224">
        <v>7.9385688809629956E-2</v>
      </c>
      <c r="AE27" s="13"/>
      <c r="AF27" s="293"/>
    </row>
    <row r="28" spans="1:32" ht="24.95" customHeight="1">
      <c r="A28" s="32" t="s">
        <v>340</v>
      </c>
      <c r="B28" s="217" t="s">
        <v>341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500000000</v>
      </c>
      <c r="O28" s="222"/>
      <c r="P28" s="222"/>
      <c r="Q28" s="222"/>
      <c r="R28" s="222"/>
      <c r="S28" s="222"/>
      <c r="T28" s="222">
        <v>500000000</v>
      </c>
      <c r="U28" s="222">
        <v>467850000</v>
      </c>
      <c r="V28" s="222">
        <v>32150000</v>
      </c>
      <c r="W28" s="224">
        <v>0.93569999999999998</v>
      </c>
      <c r="X28" s="222">
        <v>38835400</v>
      </c>
      <c r="Y28" s="222">
        <v>429014600</v>
      </c>
      <c r="Z28" s="224">
        <v>0.91699177086673078</v>
      </c>
      <c r="AA28" s="222">
        <v>38835400</v>
      </c>
      <c r="AB28" s="222">
        <v>0</v>
      </c>
      <c r="AC28" s="224">
        <v>8.3008229133269204E-2</v>
      </c>
      <c r="AE28" s="13"/>
      <c r="AF28" s="293"/>
    </row>
    <row r="29" spans="1:32" ht="24.95" customHeight="1">
      <c r="A29" s="32" t="s">
        <v>342</v>
      </c>
      <c r="B29" s="217" t="s">
        <v>343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/>
      <c r="P29" s="222"/>
      <c r="Q29" s="222"/>
      <c r="R29" s="222"/>
      <c r="S29" s="222"/>
      <c r="T29" s="222">
        <v>1890000000</v>
      </c>
      <c r="U29" s="222">
        <v>1697400000</v>
      </c>
      <c r="V29" s="222">
        <v>192600000</v>
      </c>
      <c r="W29" s="224">
        <v>0.89809523809523806</v>
      </c>
      <c r="X29" s="222">
        <v>133558600</v>
      </c>
      <c r="Y29" s="222">
        <v>1563841400</v>
      </c>
      <c r="Z29" s="224">
        <v>0.92131577707081413</v>
      </c>
      <c r="AA29" s="222">
        <v>133558600</v>
      </c>
      <c r="AB29" s="222">
        <v>0</v>
      </c>
      <c r="AC29" s="224">
        <v>7.868422292918581E-2</v>
      </c>
      <c r="AE29" s="13"/>
      <c r="AF29" s="293"/>
    </row>
    <row r="30" spans="1:32" ht="24.95" customHeight="1">
      <c r="A30" s="32" t="s">
        <v>344</v>
      </c>
      <c r="B30" s="217" t="s">
        <v>345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/>
      <c r="P30" s="222"/>
      <c r="Q30" s="222"/>
      <c r="R30" s="222"/>
      <c r="S30" s="222"/>
      <c r="T30" s="222">
        <v>320000000</v>
      </c>
      <c r="U30" s="222">
        <v>287880000</v>
      </c>
      <c r="V30" s="222">
        <v>32120000</v>
      </c>
      <c r="W30" s="224">
        <v>0.89962500000000001</v>
      </c>
      <c r="X30" s="222">
        <v>22293400</v>
      </c>
      <c r="Y30" s="222">
        <v>265586600</v>
      </c>
      <c r="Z30" s="224">
        <v>0.92256009448381271</v>
      </c>
      <c r="AA30" s="222">
        <v>22293400</v>
      </c>
      <c r="AB30" s="222">
        <v>0</v>
      </c>
      <c r="AC30" s="224">
        <v>7.7439905516187305E-2</v>
      </c>
      <c r="AE30" s="13"/>
      <c r="AF30" s="293"/>
    </row>
    <row r="31" spans="1:32" ht="24.95" customHeight="1">
      <c r="A31" s="32" t="s">
        <v>346</v>
      </c>
      <c r="B31" s="217" t="s">
        <v>347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/>
      <c r="P31" s="222"/>
      <c r="Q31" s="222"/>
      <c r="R31" s="222"/>
      <c r="S31" s="222"/>
      <c r="T31" s="222">
        <v>320000000</v>
      </c>
      <c r="U31" s="222">
        <v>287880000</v>
      </c>
      <c r="V31" s="222">
        <v>32120000</v>
      </c>
      <c r="W31" s="224">
        <v>0.89962500000000001</v>
      </c>
      <c r="X31" s="222">
        <v>22293400</v>
      </c>
      <c r="Y31" s="222">
        <v>265586600</v>
      </c>
      <c r="Z31" s="224">
        <v>0.92256009448381271</v>
      </c>
      <c r="AA31" s="222">
        <v>22293400</v>
      </c>
      <c r="AB31" s="222">
        <v>0</v>
      </c>
      <c r="AC31" s="224">
        <v>7.7439905516187305E-2</v>
      </c>
      <c r="AE31" s="13"/>
      <c r="AF31" s="293"/>
    </row>
    <row r="32" spans="1:32" ht="24.95" customHeight="1">
      <c r="A32" s="32" t="s">
        <v>348</v>
      </c>
      <c r="B32" s="217" t="s">
        <v>349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/>
      <c r="P32" s="222"/>
      <c r="Q32" s="222"/>
      <c r="R32" s="222"/>
      <c r="S32" s="222"/>
      <c r="T32" s="222">
        <v>650000000</v>
      </c>
      <c r="U32" s="222">
        <v>585758000</v>
      </c>
      <c r="V32" s="222">
        <v>64242000</v>
      </c>
      <c r="W32" s="224">
        <v>0.90116615384615384</v>
      </c>
      <c r="X32" s="222">
        <v>44551200</v>
      </c>
      <c r="Y32" s="222">
        <v>541206800</v>
      </c>
      <c r="Z32" s="224">
        <v>0.92394265208499071</v>
      </c>
      <c r="AA32" s="222">
        <v>44551200</v>
      </c>
      <c r="AB32" s="222">
        <v>0</v>
      </c>
      <c r="AC32" s="224">
        <v>7.6057347915009274E-2</v>
      </c>
      <c r="AE32" s="13"/>
      <c r="AF32" s="293"/>
    </row>
    <row r="33" spans="1:32" ht="24.95" customHeight="1">
      <c r="A33" s="32" t="s">
        <v>350</v>
      </c>
      <c r="B33" s="226" t="s">
        <v>351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v>6984000000</v>
      </c>
      <c r="O33" s="232">
        <v>0</v>
      </c>
      <c r="P33" s="232">
        <v>0</v>
      </c>
      <c r="Q33" s="232">
        <v>0</v>
      </c>
      <c r="R33" s="232">
        <v>0</v>
      </c>
      <c r="S33" s="232">
        <v>0</v>
      </c>
      <c r="T33" s="232">
        <v>6984000000</v>
      </c>
      <c r="U33" s="232">
        <v>6475079000</v>
      </c>
      <c r="V33" s="232">
        <v>508921000</v>
      </c>
      <c r="W33" s="233">
        <v>0.92713044100801834</v>
      </c>
      <c r="X33" s="232">
        <v>358855054</v>
      </c>
      <c r="Y33" s="232">
        <v>6116223946</v>
      </c>
      <c r="Z33" s="233">
        <v>0.94457904621704225</v>
      </c>
      <c r="AA33" s="232">
        <v>358855054</v>
      </c>
      <c r="AB33" s="232">
        <v>0</v>
      </c>
      <c r="AC33" s="233">
        <v>5.5420953782957708E-2</v>
      </c>
      <c r="AE33" s="13"/>
      <c r="AF33" s="293"/>
    </row>
    <row r="34" spans="1:32" ht="24.95" customHeight="1">
      <c r="A34" s="32" t="s">
        <v>352</v>
      </c>
      <c r="B34" s="210" t="s">
        <v>353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v>3400000000</v>
      </c>
      <c r="O34" s="215">
        <v>0</v>
      </c>
      <c r="P34" s="215">
        <v>0</v>
      </c>
      <c r="Q34" s="215">
        <v>0</v>
      </c>
      <c r="R34" s="215">
        <v>0</v>
      </c>
      <c r="S34" s="215">
        <v>0</v>
      </c>
      <c r="T34" s="215">
        <v>3400000000</v>
      </c>
      <c r="U34" s="215">
        <v>3400000000</v>
      </c>
      <c r="V34" s="215">
        <v>0</v>
      </c>
      <c r="W34" s="216">
        <v>1</v>
      </c>
      <c r="X34" s="215">
        <v>127930987</v>
      </c>
      <c r="Y34" s="215">
        <v>3272069013</v>
      </c>
      <c r="Z34" s="216">
        <v>0.96237323911764705</v>
      </c>
      <c r="AA34" s="215">
        <v>127930987</v>
      </c>
      <c r="AB34" s="215">
        <v>0</v>
      </c>
      <c r="AC34" s="216">
        <v>3.7626760882352943E-2</v>
      </c>
      <c r="AE34" s="13"/>
      <c r="AF34" s="293"/>
    </row>
    <row r="35" spans="1:32" ht="24.95" customHeight="1">
      <c r="A35" s="32" t="s">
        <v>354</v>
      </c>
      <c r="B35" s="217" t="s">
        <v>355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2580000000</v>
      </c>
      <c r="O35" s="222"/>
      <c r="P35" s="222"/>
      <c r="Q35" s="223"/>
      <c r="R35" s="222"/>
      <c r="S35" s="222"/>
      <c r="T35" s="222">
        <v>2580000000</v>
      </c>
      <c r="U35" s="222">
        <v>2580000000</v>
      </c>
      <c r="V35" s="222">
        <v>0</v>
      </c>
      <c r="W35" s="224">
        <v>1</v>
      </c>
      <c r="X35" s="222">
        <v>95509359</v>
      </c>
      <c r="Y35" s="222">
        <v>2484490641</v>
      </c>
      <c r="Z35" s="224">
        <v>0.96298086860465115</v>
      </c>
      <c r="AA35" s="222">
        <v>95509359</v>
      </c>
      <c r="AB35" s="222">
        <v>0</v>
      </c>
      <c r="AC35" s="224">
        <v>3.7019131395348834E-2</v>
      </c>
      <c r="AE35" s="13"/>
      <c r="AF35" s="293"/>
    </row>
    <row r="36" spans="1:32" ht="24.95" customHeight="1">
      <c r="A36" s="32" t="s">
        <v>356</v>
      </c>
      <c r="B36" s="217" t="s">
        <v>357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500000000</v>
      </c>
      <c r="O36" s="222"/>
      <c r="P36" s="222"/>
      <c r="Q36" s="223"/>
      <c r="R36" s="222"/>
      <c r="S36" s="222"/>
      <c r="T36" s="222">
        <v>500000000</v>
      </c>
      <c r="U36" s="222">
        <v>500000000</v>
      </c>
      <c r="V36" s="222">
        <v>0</v>
      </c>
      <c r="W36" s="224">
        <v>1</v>
      </c>
      <c r="X36" s="222">
        <v>21423480</v>
      </c>
      <c r="Y36" s="222">
        <v>478576520</v>
      </c>
      <c r="Z36" s="224">
        <v>0.95715304000000001</v>
      </c>
      <c r="AA36" s="222">
        <v>21423480</v>
      </c>
      <c r="AB36" s="222">
        <v>0</v>
      </c>
      <c r="AC36" s="224">
        <v>4.2846960000000003E-2</v>
      </c>
      <c r="AE36" s="13"/>
      <c r="AF36" s="293"/>
    </row>
    <row r="37" spans="1:32" ht="24.95" customHeight="1">
      <c r="A37" s="32" t="s">
        <v>358</v>
      </c>
      <c r="B37" s="234" t="s">
        <v>359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320000000</v>
      </c>
      <c r="O37" s="239"/>
      <c r="P37" s="239"/>
      <c r="Q37" s="639"/>
      <c r="R37" s="239"/>
      <c r="S37" s="239"/>
      <c r="T37" s="239">
        <v>320000000</v>
      </c>
      <c r="U37" s="239">
        <v>320000000</v>
      </c>
      <c r="V37" s="239">
        <v>0</v>
      </c>
      <c r="W37" s="240">
        <v>1</v>
      </c>
      <c r="X37" s="239">
        <v>10998148</v>
      </c>
      <c r="Y37" s="239">
        <v>309001852</v>
      </c>
      <c r="Z37" s="240">
        <v>0.96563078749999998</v>
      </c>
      <c r="AA37" s="239">
        <v>10998148</v>
      </c>
      <c r="AB37" s="239">
        <v>0</v>
      </c>
      <c r="AC37" s="240">
        <v>3.4369212500000003E-2</v>
      </c>
      <c r="AE37" s="13"/>
      <c r="AF37" s="293"/>
    </row>
    <row r="38" spans="1:32" ht="24.95" customHeight="1">
      <c r="A38" s="32" t="s">
        <v>360</v>
      </c>
      <c r="B38" s="217" t="s">
        <v>361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/>
      <c r="P38" s="222"/>
      <c r="Q38" s="223"/>
      <c r="R38" s="223"/>
      <c r="S38" s="222"/>
      <c r="T38" s="222">
        <v>2160000000</v>
      </c>
      <c r="U38" s="222">
        <v>1681079000</v>
      </c>
      <c r="V38" s="222">
        <v>478921000</v>
      </c>
      <c r="W38" s="224">
        <v>0.77827731481481477</v>
      </c>
      <c r="X38" s="222">
        <v>164835179</v>
      </c>
      <c r="Y38" s="222">
        <v>1516243821</v>
      </c>
      <c r="Z38" s="224">
        <v>0.90194679786018384</v>
      </c>
      <c r="AA38" s="222">
        <v>164835179</v>
      </c>
      <c r="AB38" s="222">
        <v>0</v>
      </c>
      <c r="AC38" s="224">
        <v>9.8053202139816151E-2</v>
      </c>
      <c r="AE38" s="13"/>
      <c r="AF38" s="293"/>
    </row>
    <row r="39" spans="1:32" ht="24.95" customHeight="1">
      <c r="A39" s="32" t="s">
        <v>362</v>
      </c>
      <c r="B39" s="217" t="s">
        <v>363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24000000</v>
      </c>
      <c r="O39" s="222"/>
      <c r="P39" s="222"/>
      <c r="Q39" s="223"/>
      <c r="R39" s="223"/>
      <c r="S39" s="222"/>
      <c r="T39" s="222">
        <v>24000000</v>
      </c>
      <c r="U39" s="222">
        <v>24000000</v>
      </c>
      <c r="V39" s="222">
        <v>0</v>
      </c>
      <c r="W39" s="224">
        <v>1</v>
      </c>
      <c r="X39" s="222">
        <v>331479</v>
      </c>
      <c r="Y39" s="222">
        <v>23668521</v>
      </c>
      <c r="Z39" s="224">
        <v>0.98618837500000001</v>
      </c>
      <c r="AA39" s="222">
        <v>331479</v>
      </c>
      <c r="AB39" s="222">
        <v>0</v>
      </c>
      <c r="AC39" s="224">
        <v>1.3811624999999999E-2</v>
      </c>
      <c r="AE39" s="13"/>
      <c r="AF39" s="293"/>
    </row>
    <row r="40" spans="1:32" ht="24.95" customHeight="1">
      <c r="A40" s="32" t="s">
        <v>365</v>
      </c>
      <c r="B40" s="217" t="s">
        <v>366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/>
      <c r="P40" s="222"/>
      <c r="Q40" s="223"/>
      <c r="R40" s="223"/>
      <c r="S40" s="222"/>
      <c r="T40" s="222">
        <v>30000000</v>
      </c>
      <c r="U40" s="222">
        <v>0</v>
      </c>
      <c r="V40" s="222">
        <v>30000000</v>
      </c>
      <c r="W40" s="224">
        <v>0</v>
      </c>
      <c r="X40" s="222">
        <v>0</v>
      </c>
      <c r="Y40" s="222">
        <v>0</v>
      </c>
      <c r="Z40" s="224">
        <v>0</v>
      </c>
      <c r="AA40" s="222">
        <v>0</v>
      </c>
      <c r="AB40" s="222">
        <v>0</v>
      </c>
      <c r="AC40" s="224">
        <v>0</v>
      </c>
      <c r="AE40" s="13"/>
      <c r="AF40" s="293"/>
    </row>
    <row r="41" spans="1:32" ht="24.95" customHeight="1">
      <c r="A41" s="32" t="s">
        <v>367</v>
      </c>
      <c r="B41" s="217" t="s">
        <v>368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770000000</v>
      </c>
      <c r="O41" s="222"/>
      <c r="P41" s="222"/>
      <c r="Q41" s="223"/>
      <c r="R41" s="223"/>
      <c r="S41" s="222"/>
      <c r="T41" s="222">
        <v>770000000</v>
      </c>
      <c r="U41" s="222">
        <v>770000000</v>
      </c>
      <c r="V41" s="222">
        <v>0</v>
      </c>
      <c r="W41" s="224">
        <v>1</v>
      </c>
      <c r="X41" s="222">
        <v>65757409</v>
      </c>
      <c r="Y41" s="222">
        <v>704242591</v>
      </c>
      <c r="Z41" s="224">
        <v>0.91460076753246755</v>
      </c>
      <c r="AA41" s="222">
        <v>65757409</v>
      </c>
      <c r="AB41" s="222">
        <v>0</v>
      </c>
      <c r="AC41" s="224">
        <v>8.5399232467532463E-2</v>
      </c>
      <c r="AE41" s="13"/>
      <c r="AF41" s="293"/>
    </row>
    <row r="42" spans="1:32" ht="24.95" customHeight="1">
      <c r="A42" s="32" t="s">
        <v>369</v>
      </c>
      <c r="B42" s="217" t="s">
        <v>370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600000000</v>
      </c>
      <c r="O42" s="222"/>
      <c r="P42" s="222"/>
      <c r="Q42" s="223"/>
      <c r="R42" s="223"/>
      <c r="S42" s="222"/>
      <c r="T42" s="222">
        <v>600000000</v>
      </c>
      <c r="U42" s="222">
        <v>600000000</v>
      </c>
      <c r="V42" s="222">
        <v>0</v>
      </c>
      <c r="W42" s="224">
        <v>1</v>
      </c>
      <c r="X42" s="222">
        <v>0</v>
      </c>
      <c r="Y42" s="222">
        <v>600000000</v>
      </c>
      <c r="Z42" s="224">
        <v>1</v>
      </c>
      <c r="AA42" s="222">
        <v>0</v>
      </c>
      <c r="AB42" s="222">
        <v>0</v>
      </c>
      <c r="AC42" s="224">
        <v>0</v>
      </c>
      <c r="AE42" s="13"/>
      <c r="AF42" s="293"/>
    </row>
    <row r="43" spans="1:32" ht="35.1" customHeight="1">
      <c r="A43" s="32" t="s">
        <v>371</v>
      </c>
      <c r="B43" s="188" t="s">
        <v>372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v>42289000000</v>
      </c>
      <c r="O43" s="194">
        <v>0</v>
      </c>
      <c r="P43" s="194">
        <v>0</v>
      </c>
      <c r="Q43" s="194">
        <v>0</v>
      </c>
      <c r="R43" s="194">
        <v>0</v>
      </c>
      <c r="S43" s="194">
        <v>0</v>
      </c>
      <c r="T43" s="194">
        <v>42289000000</v>
      </c>
      <c r="U43" s="194">
        <v>24214797714.849998</v>
      </c>
      <c r="V43" s="194">
        <v>18074202285.150002</v>
      </c>
      <c r="W43" s="195">
        <v>0.57260275047530085</v>
      </c>
      <c r="X43" s="194">
        <v>1345923446.8800001</v>
      </c>
      <c r="Y43" s="194">
        <v>22868874267.970001</v>
      </c>
      <c r="Z43" s="195">
        <v>0.94441731610854651</v>
      </c>
      <c r="AA43" s="194">
        <v>1332727341.8799999</v>
      </c>
      <c r="AB43" s="194">
        <v>13196105.000000004</v>
      </c>
      <c r="AC43" s="195">
        <v>5.5037723526498418E-2</v>
      </c>
      <c r="AE43" s="13"/>
      <c r="AF43" s="293"/>
    </row>
    <row r="44" spans="1:32" ht="24.95" customHeight="1">
      <c r="A44" s="32" t="s">
        <v>376</v>
      </c>
      <c r="B44" s="196" t="s">
        <v>377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v>42289000000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42289000000</v>
      </c>
      <c r="U44" s="201">
        <v>24214797714.849998</v>
      </c>
      <c r="V44" s="201">
        <v>18074202285.150002</v>
      </c>
      <c r="W44" s="202">
        <v>0.57260275047530085</v>
      </c>
      <c r="X44" s="201">
        <v>1345923446.8800001</v>
      </c>
      <c r="Y44" s="201">
        <v>22868874267.970001</v>
      </c>
      <c r="Z44" s="202">
        <v>0.94441731610854651</v>
      </c>
      <c r="AA44" s="201">
        <v>1332727341.8799999</v>
      </c>
      <c r="AB44" s="201">
        <v>13196105.000000004</v>
      </c>
      <c r="AC44" s="202">
        <v>5.5037723526498418E-2</v>
      </c>
      <c r="AE44" s="13"/>
      <c r="AF44" s="293"/>
    </row>
    <row r="45" spans="1:32" ht="24.95" customHeight="1">
      <c r="A45" s="32" t="s">
        <v>378</v>
      </c>
      <c r="B45" s="203" t="s">
        <v>379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v>862264202</v>
      </c>
      <c r="O45" s="208">
        <v>0</v>
      </c>
      <c r="P45" s="208">
        <v>0</v>
      </c>
      <c r="Q45" s="208">
        <v>0</v>
      </c>
      <c r="R45" s="208">
        <v>0</v>
      </c>
      <c r="S45" s="208">
        <v>0</v>
      </c>
      <c r="T45" s="208">
        <v>862264202</v>
      </c>
      <c r="U45" s="208">
        <v>99064202</v>
      </c>
      <c r="V45" s="208">
        <v>763200000</v>
      </c>
      <c r="W45" s="209">
        <v>0.11488845503527004</v>
      </c>
      <c r="X45" s="208">
        <v>1000000</v>
      </c>
      <c r="Y45" s="208">
        <v>98064202</v>
      </c>
      <c r="Z45" s="209">
        <v>0.98990553620973998</v>
      </c>
      <c r="AA45" s="208">
        <v>1000000</v>
      </c>
      <c r="AB45" s="208">
        <v>0</v>
      </c>
      <c r="AC45" s="209">
        <v>1.0094463790259977E-2</v>
      </c>
      <c r="AE45" s="13"/>
      <c r="AF45" s="293"/>
    </row>
    <row r="46" spans="1:32" ht="24.95" customHeight="1">
      <c r="A46" s="32" t="s">
        <v>380</v>
      </c>
      <c r="B46" s="210" t="s">
        <v>381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v>69000000</v>
      </c>
      <c r="O46" s="215">
        <v>0</v>
      </c>
      <c r="P46" s="215">
        <v>0</v>
      </c>
      <c r="Q46" s="215">
        <v>0</v>
      </c>
      <c r="R46" s="215">
        <v>0</v>
      </c>
      <c r="S46" s="215">
        <v>0</v>
      </c>
      <c r="T46" s="215">
        <v>69000000</v>
      </c>
      <c r="U46" s="215">
        <v>0</v>
      </c>
      <c r="V46" s="215">
        <v>69000000</v>
      </c>
      <c r="W46" s="216">
        <v>0</v>
      </c>
      <c r="X46" s="215">
        <v>0</v>
      </c>
      <c r="Y46" s="215">
        <v>0</v>
      </c>
      <c r="Z46" s="216">
        <v>0</v>
      </c>
      <c r="AA46" s="215">
        <v>0</v>
      </c>
      <c r="AB46" s="215">
        <v>0</v>
      </c>
      <c r="AC46" s="216">
        <v>0</v>
      </c>
      <c r="AE46" s="13"/>
      <c r="AF46" s="293"/>
    </row>
    <row r="47" spans="1:32" ht="24.95" customHeight="1">
      <c r="A47" s="32" t="s">
        <v>554</v>
      </c>
      <c r="B47" s="217" t="s">
        <v>555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51000000</v>
      </c>
      <c r="O47" s="222"/>
      <c r="P47" s="222"/>
      <c r="Q47" s="222"/>
      <c r="R47" s="223"/>
      <c r="S47" s="222"/>
      <c r="T47" s="222">
        <v>51000000</v>
      </c>
      <c r="U47" s="222">
        <v>0</v>
      </c>
      <c r="V47" s="222">
        <v>51000000</v>
      </c>
      <c r="W47" s="224">
        <v>0</v>
      </c>
      <c r="X47" s="222">
        <v>0</v>
      </c>
      <c r="Y47" s="222">
        <v>0</v>
      </c>
      <c r="Z47" s="224">
        <v>0</v>
      </c>
      <c r="AA47" s="222">
        <v>0</v>
      </c>
      <c r="AB47" s="222">
        <v>0</v>
      </c>
      <c r="AC47" s="224">
        <v>0</v>
      </c>
      <c r="AE47" s="13"/>
      <c r="AF47" s="293"/>
    </row>
    <row r="48" spans="1:32" ht="24.95" customHeight="1">
      <c r="A48" s="32" t="s">
        <v>556</v>
      </c>
      <c r="B48" s="217" t="s">
        <v>557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18000000</v>
      </c>
      <c r="O48" s="222"/>
      <c r="P48" s="222"/>
      <c r="Q48" s="222"/>
      <c r="R48" s="223"/>
      <c r="S48" s="222"/>
      <c r="T48" s="222">
        <v>18000000</v>
      </c>
      <c r="U48" s="222">
        <v>0</v>
      </c>
      <c r="V48" s="222">
        <v>18000000</v>
      </c>
      <c r="W48" s="224">
        <v>0</v>
      </c>
      <c r="X48" s="222">
        <v>0</v>
      </c>
      <c r="Y48" s="222">
        <v>0</v>
      </c>
      <c r="Z48" s="224">
        <v>0</v>
      </c>
      <c r="AA48" s="222">
        <v>0</v>
      </c>
      <c r="AB48" s="222">
        <v>0</v>
      </c>
      <c r="AC48" s="224">
        <v>0</v>
      </c>
      <c r="AE48" s="13"/>
      <c r="AF48" s="293"/>
    </row>
    <row r="49" spans="1:32" ht="33">
      <c r="A49" s="32" t="s">
        <v>382</v>
      </c>
      <c r="B49" s="210" t="s">
        <v>383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v>140000000</v>
      </c>
      <c r="O49" s="215">
        <v>0</v>
      </c>
      <c r="P49" s="215">
        <v>0</v>
      </c>
      <c r="Q49" s="215">
        <v>0</v>
      </c>
      <c r="R49" s="215">
        <v>0</v>
      </c>
      <c r="S49" s="215">
        <v>0</v>
      </c>
      <c r="T49" s="215">
        <v>140000000</v>
      </c>
      <c r="U49" s="215">
        <v>0</v>
      </c>
      <c r="V49" s="215">
        <v>140000000</v>
      </c>
      <c r="W49" s="216">
        <v>0</v>
      </c>
      <c r="X49" s="215">
        <v>0</v>
      </c>
      <c r="Y49" s="215">
        <v>0</v>
      </c>
      <c r="Z49" s="216">
        <v>0</v>
      </c>
      <c r="AA49" s="215">
        <v>0</v>
      </c>
      <c r="AB49" s="215">
        <v>0</v>
      </c>
      <c r="AC49" s="216">
        <v>0</v>
      </c>
      <c r="AE49" s="13"/>
      <c r="AF49" s="293"/>
    </row>
    <row r="50" spans="1:32" ht="24.95" customHeight="1">
      <c r="A50" s="32" t="s">
        <v>558</v>
      </c>
      <c r="B50" s="217" t="s">
        <v>559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140000000</v>
      </c>
      <c r="O50" s="222"/>
      <c r="P50" s="222"/>
      <c r="Q50" s="222"/>
      <c r="R50" s="223"/>
      <c r="S50" s="222"/>
      <c r="T50" s="222">
        <v>140000000</v>
      </c>
      <c r="U50" s="222">
        <v>0</v>
      </c>
      <c r="V50" s="222">
        <v>140000000</v>
      </c>
      <c r="W50" s="224">
        <v>0</v>
      </c>
      <c r="X50" s="222">
        <v>0</v>
      </c>
      <c r="Y50" s="222">
        <v>0</v>
      </c>
      <c r="Z50" s="224">
        <v>0</v>
      </c>
      <c r="AA50" s="222">
        <v>0</v>
      </c>
      <c r="AB50" s="222">
        <v>0</v>
      </c>
      <c r="AC50" s="224">
        <v>0</v>
      </c>
      <c r="AE50" s="13"/>
      <c r="AF50" s="293"/>
    </row>
    <row r="51" spans="1:32" ht="33">
      <c r="A51" s="32" t="s">
        <v>384</v>
      </c>
      <c r="B51" s="210" t="s">
        <v>385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v>355264202</v>
      </c>
      <c r="O51" s="215">
        <v>0</v>
      </c>
      <c r="P51" s="215">
        <v>0</v>
      </c>
      <c r="Q51" s="215">
        <v>0</v>
      </c>
      <c r="R51" s="215">
        <v>0</v>
      </c>
      <c r="S51" s="215">
        <v>0</v>
      </c>
      <c r="T51" s="215">
        <v>355264202</v>
      </c>
      <c r="U51" s="215">
        <v>99064202</v>
      </c>
      <c r="V51" s="215">
        <v>256200000</v>
      </c>
      <c r="W51" s="216">
        <v>0.27884656388768381</v>
      </c>
      <c r="X51" s="215">
        <v>1000000</v>
      </c>
      <c r="Y51" s="215">
        <v>98064202</v>
      </c>
      <c r="Z51" s="216">
        <v>0.98990553620973998</v>
      </c>
      <c r="AA51" s="215">
        <v>1000000</v>
      </c>
      <c r="AB51" s="215">
        <v>0</v>
      </c>
      <c r="AC51" s="216">
        <v>1.0094463790259977E-2</v>
      </c>
      <c r="AE51" s="13"/>
      <c r="AF51" s="293"/>
    </row>
    <row r="52" spans="1:32" ht="33">
      <c r="A52" s="32" t="s">
        <v>560</v>
      </c>
      <c r="B52" s="217" t="s">
        <v>561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106000000</v>
      </c>
      <c r="O52" s="222"/>
      <c r="P52" s="222"/>
      <c r="Q52" s="222"/>
      <c r="R52" s="223"/>
      <c r="S52" s="222"/>
      <c r="T52" s="222">
        <v>106000000</v>
      </c>
      <c r="U52" s="222">
        <v>500000</v>
      </c>
      <c r="V52" s="222">
        <v>105500000</v>
      </c>
      <c r="W52" s="224">
        <v>4.7169811320754715E-3</v>
      </c>
      <c r="X52" s="222">
        <v>500000</v>
      </c>
      <c r="Y52" s="222">
        <v>0</v>
      </c>
      <c r="Z52" s="224">
        <v>0</v>
      </c>
      <c r="AA52" s="222">
        <v>500000</v>
      </c>
      <c r="AB52" s="222">
        <v>0</v>
      </c>
      <c r="AC52" s="224">
        <v>1</v>
      </c>
      <c r="AE52" s="13"/>
      <c r="AF52" s="293"/>
    </row>
    <row r="53" spans="1:32" ht="33">
      <c r="A53" s="32" t="s">
        <v>562</v>
      </c>
      <c r="B53" s="217" t="s">
        <v>563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107264202</v>
      </c>
      <c r="O53" s="222"/>
      <c r="P53" s="222"/>
      <c r="Q53" s="222"/>
      <c r="R53" s="223"/>
      <c r="S53" s="222"/>
      <c r="T53" s="222">
        <v>107264202</v>
      </c>
      <c r="U53" s="222">
        <v>98064202</v>
      </c>
      <c r="V53" s="222">
        <v>9200000</v>
      </c>
      <c r="W53" s="224">
        <v>0.91423047178405337</v>
      </c>
      <c r="X53" s="222">
        <v>0</v>
      </c>
      <c r="Y53" s="222">
        <v>98064202</v>
      </c>
      <c r="Z53" s="224">
        <v>1</v>
      </c>
      <c r="AA53" s="222">
        <v>0</v>
      </c>
      <c r="AB53" s="222">
        <v>0</v>
      </c>
      <c r="AC53" s="224">
        <v>0</v>
      </c>
      <c r="AE53" s="13"/>
      <c r="AF53" s="293"/>
    </row>
    <row r="54" spans="1:32" ht="33">
      <c r="A54" s="32" t="s">
        <v>564</v>
      </c>
      <c r="B54" s="217" t="s">
        <v>565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6000000</v>
      </c>
      <c r="O54" s="222"/>
      <c r="P54" s="222"/>
      <c r="Q54" s="222"/>
      <c r="R54" s="223"/>
      <c r="S54" s="222"/>
      <c r="T54" s="222">
        <v>6000000</v>
      </c>
      <c r="U54" s="222">
        <v>0</v>
      </c>
      <c r="V54" s="222">
        <v>6000000</v>
      </c>
      <c r="W54" s="224">
        <v>0</v>
      </c>
      <c r="X54" s="222">
        <v>0</v>
      </c>
      <c r="Y54" s="222">
        <v>0</v>
      </c>
      <c r="Z54" s="224">
        <v>0</v>
      </c>
      <c r="AA54" s="222">
        <v>0</v>
      </c>
      <c r="AB54" s="222">
        <v>0</v>
      </c>
      <c r="AC54" s="224">
        <v>0</v>
      </c>
      <c r="AE54" s="13"/>
      <c r="AF54" s="293"/>
    </row>
    <row r="55" spans="1:32" ht="24.95" customHeight="1">
      <c r="A55" s="32" t="s">
        <v>566</v>
      </c>
      <c r="B55" s="217" t="s">
        <v>567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18000000</v>
      </c>
      <c r="O55" s="222"/>
      <c r="P55" s="222"/>
      <c r="Q55" s="222"/>
      <c r="R55" s="223"/>
      <c r="S55" s="222"/>
      <c r="T55" s="222">
        <v>18000000</v>
      </c>
      <c r="U55" s="222">
        <v>0</v>
      </c>
      <c r="V55" s="222">
        <v>18000000</v>
      </c>
      <c r="W55" s="224">
        <v>0</v>
      </c>
      <c r="X55" s="222">
        <v>0</v>
      </c>
      <c r="Y55" s="222">
        <v>0</v>
      </c>
      <c r="Z55" s="224">
        <v>0</v>
      </c>
      <c r="AA55" s="222">
        <v>0</v>
      </c>
      <c r="AB55" s="222">
        <v>0</v>
      </c>
      <c r="AC55" s="224">
        <v>0</v>
      </c>
      <c r="AE55" s="13"/>
      <c r="AF55" s="293"/>
    </row>
    <row r="56" spans="1:32" ht="16.5">
      <c r="A56" s="32" t="s">
        <v>568</v>
      </c>
      <c r="B56" s="217" t="s">
        <v>569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8000000</v>
      </c>
      <c r="O56" s="222"/>
      <c r="P56" s="222"/>
      <c r="Q56" s="222"/>
      <c r="R56" s="223"/>
      <c r="S56" s="222"/>
      <c r="T56" s="222">
        <v>8000000</v>
      </c>
      <c r="U56" s="222">
        <v>0</v>
      </c>
      <c r="V56" s="222">
        <v>8000000</v>
      </c>
      <c r="W56" s="224">
        <v>0</v>
      </c>
      <c r="X56" s="222">
        <v>0</v>
      </c>
      <c r="Y56" s="222">
        <v>0</v>
      </c>
      <c r="Z56" s="224">
        <v>0</v>
      </c>
      <c r="AA56" s="222">
        <v>0</v>
      </c>
      <c r="AB56" s="222">
        <v>0</v>
      </c>
      <c r="AC56" s="224">
        <v>0</v>
      </c>
      <c r="AE56" s="13"/>
      <c r="AF56" s="293"/>
    </row>
    <row r="57" spans="1:32" ht="24.95" customHeight="1">
      <c r="A57" s="32" t="s">
        <v>570</v>
      </c>
      <c r="B57" s="217" t="s">
        <v>571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110000000</v>
      </c>
      <c r="O57" s="222"/>
      <c r="P57" s="222"/>
      <c r="Q57" s="222"/>
      <c r="R57" s="223"/>
      <c r="S57" s="222"/>
      <c r="T57" s="222">
        <v>110000000</v>
      </c>
      <c r="U57" s="222">
        <v>500000</v>
      </c>
      <c r="V57" s="222">
        <v>109500000</v>
      </c>
      <c r="W57" s="224">
        <v>4.5454545454545452E-3</v>
      </c>
      <c r="X57" s="222">
        <v>500000</v>
      </c>
      <c r="Y57" s="222">
        <v>0</v>
      </c>
      <c r="Z57" s="224">
        <v>0</v>
      </c>
      <c r="AA57" s="222">
        <v>500000</v>
      </c>
      <c r="AB57" s="222">
        <v>0</v>
      </c>
      <c r="AC57" s="224">
        <v>1</v>
      </c>
      <c r="AE57" s="13"/>
      <c r="AF57" s="293"/>
    </row>
    <row r="58" spans="1:32" ht="24.95" customHeight="1">
      <c r="A58" s="32" t="s">
        <v>386</v>
      </c>
      <c r="B58" s="210" t="s">
        <v>387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v>298000000</v>
      </c>
      <c r="O58" s="215">
        <v>0</v>
      </c>
      <c r="P58" s="215">
        <v>0</v>
      </c>
      <c r="Q58" s="215">
        <v>0</v>
      </c>
      <c r="R58" s="215">
        <v>0</v>
      </c>
      <c r="S58" s="215">
        <v>0</v>
      </c>
      <c r="T58" s="215">
        <v>298000000</v>
      </c>
      <c r="U58" s="215">
        <v>0</v>
      </c>
      <c r="V58" s="215">
        <v>298000000</v>
      </c>
      <c r="W58" s="216">
        <v>0</v>
      </c>
      <c r="X58" s="215">
        <v>0</v>
      </c>
      <c r="Y58" s="215">
        <v>0</v>
      </c>
      <c r="Z58" s="216">
        <v>0</v>
      </c>
      <c r="AA58" s="215">
        <v>0</v>
      </c>
      <c r="AB58" s="215">
        <v>0</v>
      </c>
      <c r="AC58" s="216">
        <v>0</v>
      </c>
      <c r="AE58" s="13"/>
      <c r="AF58" s="293"/>
    </row>
    <row r="59" spans="1:32" ht="24.95" customHeight="1">
      <c r="A59" s="32" t="s">
        <v>572</v>
      </c>
      <c r="B59" s="217" t="s">
        <v>573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37000000</v>
      </c>
      <c r="O59" s="222"/>
      <c r="P59" s="222"/>
      <c r="Q59" s="222"/>
      <c r="R59" s="223"/>
      <c r="S59" s="222"/>
      <c r="T59" s="222">
        <v>37000000</v>
      </c>
      <c r="U59" s="222">
        <v>0</v>
      </c>
      <c r="V59" s="222">
        <v>37000000</v>
      </c>
      <c r="W59" s="224">
        <v>0</v>
      </c>
      <c r="X59" s="222">
        <v>0</v>
      </c>
      <c r="Y59" s="222">
        <v>0</v>
      </c>
      <c r="Z59" s="224">
        <v>0</v>
      </c>
      <c r="AA59" s="222">
        <v>0</v>
      </c>
      <c r="AB59" s="222">
        <v>0</v>
      </c>
      <c r="AC59" s="224">
        <v>0</v>
      </c>
      <c r="AE59" s="13"/>
      <c r="AF59" s="293"/>
    </row>
    <row r="60" spans="1:32" ht="24.95" customHeight="1">
      <c r="A60" s="32" t="s">
        <v>578</v>
      </c>
      <c r="B60" s="217" t="s">
        <v>579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44</v>
      </c>
      <c r="I60" s="219"/>
      <c r="J60" s="219"/>
      <c r="K60" s="220">
        <v>10</v>
      </c>
      <c r="L60" s="221" t="s">
        <v>29</v>
      </c>
      <c r="M60" s="217" t="s">
        <v>85</v>
      </c>
      <c r="N60" s="222">
        <v>261000000</v>
      </c>
      <c r="O60" s="222"/>
      <c r="P60" s="222"/>
      <c r="Q60" s="222"/>
      <c r="R60" s="223"/>
      <c r="S60" s="222"/>
      <c r="T60" s="222">
        <v>261000000</v>
      </c>
      <c r="U60" s="222">
        <v>0</v>
      </c>
      <c r="V60" s="222">
        <v>261000000</v>
      </c>
      <c r="W60" s="224">
        <v>0</v>
      </c>
      <c r="X60" s="222">
        <v>0</v>
      </c>
      <c r="Y60" s="222">
        <v>0</v>
      </c>
      <c r="Z60" s="224">
        <v>0</v>
      </c>
      <c r="AA60" s="222">
        <v>0</v>
      </c>
      <c r="AB60" s="222">
        <v>0</v>
      </c>
      <c r="AC60" s="224">
        <v>0</v>
      </c>
      <c r="AE60" s="13"/>
      <c r="AF60" s="293"/>
    </row>
    <row r="61" spans="1:32" ht="24.95" customHeight="1">
      <c r="A61" s="32" t="s">
        <v>388</v>
      </c>
      <c r="B61" s="203" t="s">
        <v>389</v>
      </c>
      <c r="C61" s="204" t="s">
        <v>23</v>
      </c>
      <c r="D61" s="205" t="s">
        <v>54</v>
      </c>
      <c r="E61" s="205" t="s">
        <v>54</v>
      </c>
      <c r="F61" s="205" t="s">
        <v>54</v>
      </c>
      <c r="G61" s="205"/>
      <c r="H61" s="205"/>
      <c r="I61" s="205"/>
      <c r="J61" s="205"/>
      <c r="K61" s="206" t="s">
        <v>28</v>
      </c>
      <c r="L61" s="207" t="s">
        <v>29</v>
      </c>
      <c r="M61" s="203" t="s">
        <v>103</v>
      </c>
      <c r="N61" s="208">
        <v>41426735798</v>
      </c>
      <c r="O61" s="208">
        <v>0</v>
      </c>
      <c r="P61" s="208">
        <v>0</v>
      </c>
      <c r="Q61" s="208">
        <v>0</v>
      </c>
      <c r="R61" s="208">
        <v>0</v>
      </c>
      <c r="S61" s="208">
        <v>0</v>
      </c>
      <c r="T61" s="208">
        <v>41426735798</v>
      </c>
      <c r="U61" s="208">
        <v>24115733512.849998</v>
      </c>
      <c r="V61" s="208">
        <v>17311002285.150002</v>
      </c>
      <c r="W61" s="209">
        <v>0.58212970557082266</v>
      </c>
      <c r="X61" s="208">
        <v>1344923446.8800001</v>
      </c>
      <c r="Y61" s="208">
        <v>22770810065.970001</v>
      </c>
      <c r="Z61" s="209">
        <v>0.94423045659534433</v>
      </c>
      <c r="AA61" s="208">
        <v>1331727341.8799999</v>
      </c>
      <c r="AB61" s="208">
        <v>13196105.000000004</v>
      </c>
      <c r="AC61" s="209">
        <v>5.5222344415540706E-2</v>
      </c>
      <c r="AE61" s="13"/>
      <c r="AF61" s="293"/>
    </row>
    <row r="62" spans="1:32" ht="49.5">
      <c r="A62" s="32" t="s">
        <v>390</v>
      </c>
      <c r="B62" s="210" t="s">
        <v>391</v>
      </c>
      <c r="C62" s="211" t="s">
        <v>23</v>
      </c>
      <c r="D62" s="212" t="s">
        <v>54</v>
      </c>
      <c r="E62" s="212" t="s">
        <v>54</v>
      </c>
      <c r="F62" s="212" t="s">
        <v>54</v>
      </c>
      <c r="G62" s="212" t="s">
        <v>42</v>
      </c>
      <c r="H62" s="212"/>
      <c r="I62" s="212"/>
      <c r="J62" s="212"/>
      <c r="K62" s="213" t="s">
        <v>28</v>
      </c>
      <c r="L62" s="214" t="s">
        <v>29</v>
      </c>
      <c r="M62" s="210" t="s">
        <v>104</v>
      </c>
      <c r="N62" s="215">
        <v>7757163474</v>
      </c>
      <c r="O62" s="215">
        <v>0</v>
      </c>
      <c r="P62" s="215">
        <v>0</v>
      </c>
      <c r="Q62" s="215">
        <v>0</v>
      </c>
      <c r="R62" s="215">
        <v>0</v>
      </c>
      <c r="S62" s="215">
        <v>0</v>
      </c>
      <c r="T62" s="215">
        <v>7757163474</v>
      </c>
      <c r="U62" s="215">
        <v>3583140503.1700001</v>
      </c>
      <c r="V62" s="215">
        <v>4174022970.8299999</v>
      </c>
      <c r="W62" s="216">
        <v>0.46191375432266674</v>
      </c>
      <c r="X62" s="215">
        <v>69100906.170000002</v>
      </c>
      <c r="Y62" s="215">
        <v>3514039597</v>
      </c>
      <c r="Z62" s="216">
        <v>0.98071498839945948</v>
      </c>
      <c r="AA62" s="215">
        <v>68901182.039999992</v>
      </c>
      <c r="AB62" s="215">
        <v>199724.13000000268</v>
      </c>
      <c r="AC62" s="216">
        <v>1.9229271634490248E-2</v>
      </c>
      <c r="AE62" s="13"/>
      <c r="AF62" s="293"/>
    </row>
    <row r="63" spans="1:32" ht="24.95" customHeight="1">
      <c r="A63" s="32" t="s">
        <v>582</v>
      </c>
      <c r="B63" s="217" t="s">
        <v>583</v>
      </c>
      <c r="C63" s="248" t="s">
        <v>23</v>
      </c>
      <c r="D63" s="249" t="s">
        <v>54</v>
      </c>
      <c r="E63" s="249" t="s">
        <v>54</v>
      </c>
      <c r="F63" s="249" t="s">
        <v>54</v>
      </c>
      <c r="G63" s="249" t="s">
        <v>42</v>
      </c>
      <c r="H63" s="225" t="s">
        <v>36</v>
      </c>
      <c r="I63" s="219"/>
      <c r="J63" s="219"/>
      <c r="K63" s="220">
        <v>10</v>
      </c>
      <c r="L63" s="221" t="s">
        <v>29</v>
      </c>
      <c r="M63" s="217" t="s">
        <v>105</v>
      </c>
      <c r="N63" s="222">
        <v>12000000</v>
      </c>
      <c r="O63" s="222"/>
      <c r="P63" s="222"/>
      <c r="Q63" s="223"/>
      <c r="R63" s="223"/>
      <c r="S63" s="222"/>
      <c r="T63" s="222">
        <v>12000000</v>
      </c>
      <c r="U63" s="222">
        <v>2000000</v>
      </c>
      <c r="V63" s="222">
        <v>10000000</v>
      </c>
      <c r="W63" s="224">
        <v>0.16666666666666666</v>
      </c>
      <c r="X63" s="222">
        <v>2000000</v>
      </c>
      <c r="Y63" s="222">
        <v>0</v>
      </c>
      <c r="Z63" s="224">
        <v>0</v>
      </c>
      <c r="AA63" s="222">
        <v>2000000</v>
      </c>
      <c r="AB63" s="222">
        <v>0</v>
      </c>
      <c r="AC63" s="224">
        <v>1</v>
      </c>
      <c r="AE63" s="13"/>
      <c r="AF63" s="293"/>
    </row>
    <row r="64" spans="1:32" ht="24.95" customHeight="1">
      <c r="A64" s="32" t="s">
        <v>584</v>
      </c>
      <c r="B64" s="217" t="s">
        <v>585</v>
      </c>
      <c r="C64" s="248" t="s">
        <v>23</v>
      </c>
      <c r="D64" s="249" t="s">
        <v>54</v>
      </c>
      <c r="E64" s="249" t="s">
        <v>54</v>
      </c>
      <c r="F64" s="249" t="s">
        <v>54</v>
      </c>
      <c r="G64" s="249" t="s">
        <v>42</v>
      </c>
      <c r="H64" s="225" t="s">
        <v>38</v>
      </c>
      <c r="I64" s="219"/>
      <c r="J64" s="219"/>
      <c r="K64" s="220">
        <v>10</v>
      </c>
      <c r="L64" s="221" t="s">
        <v>29</v>
      </c>
      <c r="M64" s="217" t="s">
        <v>106</v>
      </c>
      <c r="N64" s="222">
        <v>4851925294</v>
      </c>
      <c r="O64" s="222"/>
      <c r="P64" s="222"/>
      <c r="Q64" s="223"/>
      <c r="R64" s="223"/>
      <c r="S64" s="222"/>
      <c r="T64" s="222">
        <v>4851925294</v>
      </c>
      <c r="U64" s="222">
        <v>1667943417</v>
      </c>
      <c r="V64" s="222">
        <v>3183981877</v>
      </c>
      <c r="W64" s="224">
        <v>0.34376939378325061</v>
      </c>
      <c r="X64" s="222">
        <v>82000</v>
      </c>
      <c r="Y64" s="222">
        <v>1667861417</v>
      </c>
      <c r="Z64" s="224">
        <v>0.99995083766081971</v>
      </c>
      <c r="AA64" s="222">
        <v>82000</v>
      </c>
      <c r="AB64" s="222">
        <v>0</v>
      </c>
      <c r="AC64" s="224">
        <v>4.916233918023851E-5</v>
      </c>
      <c r="AE64" s="13"/>
      <c r="AF64" s="293"/>
    </row>
    <row r="65" spans="1:33" ht="24.95" customHeight="1">
      <c r="A65" s="32" t="s">
        <v>586</v>
      </c>
      <c r="B65" s="217" t="s">
        <v>587</v>
      </c>
      <c r="C65" s="248" t="s">
        <v>23</v>
      </c>
      <c r="D65" s="249" t="s">
        <v>54</v>
      </c>
      <c r="E65" s="249" t="s">
        <v>54</v>
      </c>
      <c r="F65" s="249" t="s">
        <v>54</v>
      </c>
      <c r="G65" s="249" t="s">
        <v>42</v>
      </c>
      <c r="H65" s="225" t="s">
        <v>40</v>
      </c>
      <c r="I65" s="219"/>
      <c r="J65" s="219"/>
      <c r="K65" s="220">
        <v>10</v>
      </c>
      <c r="L65" s="221" t="s">
        <v>29</v>
      </c>
      <c r="M65" s="217" t="s">
        <v>107</v>
      </c>
      <c r="N65" s="222">
        <v>100000000</v>
      </c>
      <c r="O65" s="222"/>
      <c r="P65" s="222"/>
      <c r="Q65" s="223"/>
      <c r="R65" s="223"/>
      <c r="S65" s="222"/>
      <c r="T65" s="222">
        <v>100000000</v>
      </c>
      <c r="U65" s="222">
        <v>0</v>
      </c>
      <c r="V65" s="222">
        <v>100000000</v>
      </c>
      <c r="W65" s="224">
        <v>0</v>
      </c>
      <c r="X65" s="222">
        <v>0</v>
      </c>
      <c r="Y65" s="222">
        <v>0</v>
      </c>
      <c r="Z65" s="224">
        <v>0</v>
      </c>
      <c r="AA65" s="222">
        <v>0</v>
      </c>
      <c r="AB65" s="222">
        <v>0</v>
      </c>
      <c r="AC65" s="224">
        <v>0</v>
      </c>
      <c r="AE65" s="13"/>
      <c r="AF65" s="293"/>
    </row>
    <row r="66" spans="1:33" ht="24.95" customHeight="1">
      <c r="A66" s="32" t="s">
        <v>588</v>
      </c>
      <c r="B66" s="217" t="s">
        <v>589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42</v>
      </c>
      <c r="I66" s="219"/>
      <c r="J66" s="219"/>
      <c r="K66" s="220">
        <v>10</v>
      </c>
      <c r="L66" s="221" t="s">
        <v>29</v>
      </c>
      <c r="M66" s="217" t="s">
        <v>259</v>
      </c>
      <c r="N66" s="222">
        <v>10000000</v>
      </c>
      <c r="O66" s="222"/>
      <c r="P66" s="222"/>
      <c r="Q66" s="223"/>
      <c r="R66" s="223"/>
      <c r="S66" s="222"/>
      <c r="T66" s="222">
        <v>10000000</v>
      </c>
      <c r="U66" s="222">
        <v>0</v>
      </c>
      <c r="V66" s="222">
        <v>10000000</v>
      </c>
      <c r="W66" s="224">
        <v>0</v>
      </c>
      <c r="X66" s="222">
        <v>0</v>
      </c>
      <c r="Y66" s="222">
        <v>0</v>
      </c>
      <c r="Z66" s="224">
        <v>0</v>
      </c>
      <c r="AA66" s="222">
        <v>0</v>
      </c>
      <c r="AB66" s="222">
        <v>0</v>
      </c>
      <c r="AC66" s="224">
        <v>0</v>
      </c>
      <c r="AE66" s="13"/>
      <c r="AF66" s="293"/>
    </row>
    <row r="67" spans="1:33" ht="24.95" customHeight="1">
      <c r="A67" s="32" t="s">
        <v>590</v>
      </c>
      <c r="B67" s="217" t="s">
        <v>591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46</v>
      </c>
      <c r="I67" s="219"/>
      <c r="J67" s="219"/>
      <c r="K67" s="220">
        <v>10</v>
      </c>
      <c r="L67" s="221" t="s">
        <v>29</v>
      </c>
      <c r="M67" s="217" t="s">
        <v>108</v>
      </c>
      <c r="N67" s="222">
        <v>2053178180</v>
      </c>
      <c r="O67" s="222"/>
      <c r="P67" s="222"/>
      <c r="Q67" s="223"/>
      <c r="R67" s="223"/>
      <c r="S67" s="222"/>
      <c r="T67" s="222">
        <v>2053178180</v>
      </c>
      <c r="U67" s="222">
        <v>1847178180</v>
      </c>
      <c r="V67" s="222">
        <v>206000000</v>
      </c>
      <c r="W67" s="224">
        <v>0.89966774340062394</v>
      </c>
      <c r="X67" s="222">
        <v>1000000</v>
      </c>
      <c r="Y67" s="222">
        <v>1846178180</v>
      </c>
      <c r="Z67" s="224">
        <v>0.9994586337090664</v>
      </c>
      <c r="AA67" s="222">
        <v>1000000</v>
      </c>
      <c r="AB67" s="222">
        <v>0</v>
      </c>
      <c r="AC67" s="224">
        <v>5.4136629093355789E-4</v>
      </c>
      <c r="AE67" s="13"/>
      <c r="AF67" s="293"/>
    </row>
    <row r="68" spans="1:33" ht="33">
      <c r="A68" s="32" t="s">
        <v>592</v>
      </c>
      <c r="B68" s="217" t="s">
        <v>593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48</v>
      </c>
      <c r="I68" s="219"/>
      <c r="J68" s="219"/>
      <c r="K68" s="220">
        <v>10</v>
      </c>
      <c r="L68" s="221" t="s">
        <v>29</v>
      </c>
      <c r="M68" s="217" t="s">
        <v>109</v>
      </c>
      <c r="N68" s="222">
        <v>730060000</v>
      </c>
      <c r="O68" s="222"/>
      <c r="P68" s="222"/>
      <c r="Q68" s="223"/>
      <c r="R68" s="223"/>
      <c r="S68" s="222"/>
      <c r="T68" s="222">
        <v>730060000</v>
      </c>
      <c r="U68" s="222">
        <v>66018906.170000002</v>
      </c>
      <c r="V68" s="222">
        <v>664041093.83000004</v>
      </c>
      <c r="W68" s="224">
        <v>9.0429425211626446E-2</v>
      </c>
      <c r="X68" s="222">
        <v>66018906.170000002</v>
      </c>
      <c r="Y68" s="222">
        <v>0</v>
      </c>
      <c r="Z68" s="224">
        <v>0</v>
      </c>
      <c r="AA68" s="222">
        <v>65819182.039999999</v>
      </c>
      <c r="AB68" s="222">
        <v>199724.13000000268</v>
      </c>
      <c r="AC68" s="224">
        <v>0.99697474342447134</v>
      </c>
      <c r="AE68" s="13"/>
      <c r="AF68" s="293"/>
    </row>
    <row r="69" spans="1:33" ht="33">
      <c r="A69" s="32" t="s">
        <v>392</v>
      </c>
      <c r="B69" s="210" t="s">
        <v>393</v>
      </c>
      <c r="C69" s="211" t="s">
        <v>23</v>
      </c>
      <c r="D69" s="212" t="s">
        <v>54</v>
      </c>
      <c r="E69" s="212" t="s">
        <v>54</v>
      </c>
      <c r="F69" s="212" t="s">
        <v>54</v>
      </c>
      <c r="G69" s="212" t="s">
        <v>44</v>
      </c>
      <c r="H69" s="212"/>
      <c r="I69" s="212"/>
      <c r="J69" s="212"/>
      <c r="K69" s="213" t="s">
        <v>28</v>
      </c>
      <c r="L69" s="214" t="s">
        <v>29</v>
      </c>
      <c r="M69" s="210" t="s">
        <v>110</v>
      </c>
      <c r="N69" s="215">
        <v>12770333207</v>
      </c>
      <c r="O69" s="215">
        <v>0</v>
      </c>
      <c r="P69" s="215">
        <v>0</v>
      </c>
      <c r="Q69" s="215">
        <v>0</v>
      </c>
      <c r="R69" s="215">
        <v>0</v>
      </c>
      <c r="S69" s="215">
        <v>0</v>
      </c>
      <c r="T69" s="215">
        <v>12770333207</v>
      </c>
      <c r="U69" s="215">
        <v>10905139266</v>
      </c>
      <c r="V69" s="215">
        <v>1865193941</v>
      </c>
      <c r="W69" s="216">
        <v>0.85394320486660424</v>
      </c>
      <c r="X69" s="215">
        <v>1135821532</v>
      </c>
      <c r="Y69" s="215">
        <v>9769317734</v>
      </c>
      <c r="Z69" s="216">
        <v>0.89584529786416756</v>
      </c>
      <c r="AA69" s="215">
        <v>1123168397</v>
      </c>
      <c r="AB69" s="215">
        <v>12653135</v>
      </c>
      <c r="AC69" s="216">
        <v>0.10299441113070514</v>
      </c>
      <c r="AE69" s="13"/>
      <c r="AF69" s="293"/>
    </row>
    <row r="70" spans="1:33" ht="24.95" customHeight="1">
      <c r="A70" s="32" t="s">
        <v>594</v>
      </c>
      <c r="B70" s="217" t="s">
        <v>595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44</v>
      </c>
      <c r="H70" s="225" t="s">
        <v>31</v>
      </c>
      <c r="I70" s="219"/>
      <c r="J70" s="219"/>
      <c r="K70" s="220">
        <v>10</v>
      </c>
      <c r="L70" s="221" t="s">
        <v>29</v>
      </c>
      <c r="M70" s="217" t="s">
        <v>111</v>
      </c>
      <c r="N70" s="222">
        <v>25000000</v>
      </c>
      <c r="O70" s="222"/>
      <c r="P70" s="222"/>
      <c r="Q70" s="223"/>
      <c r="R70" s="223"/>
      <c r="S70" s="222"/>
      <c r="T70" s="222">
        <v>25000000</v>
      </c>
      <c r="U70" s="222">
        <v>0</v>
      </c>
      <c r="V70" s="222">
        <v>25000000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  <c r="AE70" s="13"/>
      <c r="AF70" s="293"/>
    </row>
    <row r="71" spans="1:33" ht="24.95" customHeight="1">
      <c r="A71" s="32" t="s">
        <v>596</v>
      </c>
      <c r="B71" s="217" t="s">
        <v>597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44</v>
      </c>
      <c r="H71" s="225" t="s">
        <v>34</v>
      </c>
      <c r="I71" s="219"/>
      <c r="J71" s="219"/>
      <c r="K71" s="220">
        <v>10</v>
      </c>
      <c r="L71" s="221" t="s">
        <v>29</v>
      </c>
      <c r="M71" s="217" t="s">
        <v>112</v>
      </c>
      <c r="N71" s="222">
        <v>12745333207</v>
      </c>
      <c r="O71" s="222"/>
      <c r="P71" s="222"/>
      <c r="Q71" s="223"/>
      <c r="R71" s="223"/>
      <c r="S71" s="222"/>
      <c r="T71" s="222">
        <v>12745333207</v>
      </c>
      <c r="U71" s="222">
        <v>10905139266</v>
      </c>
      <c r="V71" s="222">
        <v>1840193941</v>
      </c>
      <c r="W71" s="224">
        <v>0.85561821640023283</v>
      </c>
      <c r="X71" s="222">
        <v>1135821532</v>
      </c>
      <c r="Y71" s="222">
        <v>9769317734</v>
      </c>
      <c r="Z71" s="224">
        <v>0.89584529786416756</v>
      </c>
      <c r="AA71" s="222">
        <v>1123168397</v>
      </c>
      <c r="AB71" s="222">
        <v>12653135</v>
      </c>
      <c r="AC71" s="224">
        <v>0.10299441113070514</v>
      </c>
      <c r="AE71" s="13"/>
      <c r="AF71" s="293"/>
    </row>
    <row r="72" spans="1:33" ht="24.95" customHeight="1">
      <c r="A72" s="32" t="s">
        <v>394</v>
      </c>
      <c r="B72" s="210" t="s">
        <v>395</v>
      </c>
      <c r="C72" s="211" t="s">
        <v>23</v>
      </c>
      <c r="D72" s="212" t="s">
        <v>54</v>
      </c>
      <c r="E72" s="212" t="s">
        <v>54</v>
      </c>
      <c r="F72" s="212" t="s">
        <v>54</v>
      </c>
      <c r="G72" s="212" t="s">
        <v>46</v>
      </c>
      <c r="H72" s="212"/>
      <c r="I72" s="212"/>
      <c r="J72" s="212"/>
      <c r="K72" s="213" t="s">
        <v>28</v>
      </c>
      <c r="L72" s="214" t="s">
        <v>29</v>
      </c>
      <c r="M72" s="210" t="s">
        <v>113</v>
      </c>
      <c r="N72" s="215">
        <v>17318293047</v>
      </c>
      <c r="O72" s="215">
        <v>0</v>
      </c>
      <c r="P72" s="215">
        <v>0</v>
      </c>
      <c r="Q72" s="215">
        <v>0</v>
      </c>
      <c r="R72" s="215">
        <v>0</v>
      </c>
      <c r="S72" s="215">
        <v>0</v>
      </c>
      <c r="T72" s="215">
        <v>17318293047</v>
      </c>
      <c r="U72" s="215">
        <v>9508273114.9700012</v>
      </c>
      <c r="V72" s="215">
        <v>7810019932.0299997</v>
      </c>
      <c r="W72" s="216">
        <v>0.54903061688386734</v>
      </c>
      <c r="X72" s="215">
        <v>134016564</v>
      </c>
      <c r="Y72" s="215">
        <v>9374256550.9700012</v>
      </c>
      <c r="Z72" s="216">
        <v>0.98590526772006559</v>
      </c>
      <c r="AA72" s="215">
        <v>133897564</v>
      </c>
      <c r="AB72" s="215">
        <v>119000</v>
      </c>
      <c r="AC72" s="216">
        <v>1.4082216863248195E-2</v>
      </c>
      <c r="AE72" s="13"/>
      <c r="AF72" s="293"/>
    </row>
    <row r="73" spans="1:33" ht="24.95" customHeight="1">
      <c r="A73" s="32" t="s">
        <v>598</v>
      </c>
      <c r="B73" s="217" t="s">
        <v>599</v>
      </c>
      <c r="C73" s="218" t="s">
        <v>23</v>
      </c>
      <c r="D73" s="249" t="s">
        <v>54</v>
      </c>
      <c r="E73" s="249" t="s">
        <v>54</v>
      </c>
      <c r="F73" s="249" t="s">
        <v>54</v>
      </c>
      <c r="G73" s="249" t="s">
        <v>46</v>
      </c>
      <c r="H73" s="225" t="s">
        <v>34</v>
      </c>
      <c r="I73" s="219"/>
      <c r="J73" s="219"/>
      <c r="K73" s="220">
        <v>10</v>
      </c>
      <c r="L73" s="221" t="s">
        <v>29</v>
      </c>
      <c r="M73" s="217" t="s">
        <v>114</v>
      </c>
      <c r="N73" s="222">
        <v>172000000</v>
      </c>
      <c r="O73" s="222"/>
      <c r="P73" s="222"/>
      <c r="Q73" s="223"/>
      <c r="R73" s="223"/>
      <c r="S73" s="222"/>
      <c r="T73" s="222">
        <v>172000000</v>
      </c>
      <c r="U73" s="222">
        <v>0</v>
      </c>
      <c r="V73" s="222">
        <v>172000000</v>
      </c>
      <c r="W73" s="224">
        <v>0</v>
      </c>
      <c r="X73" s="222">
        <v>0</v>
      </c>
      <c r="Y73" s="222">
        <v>0</v>
      </c>
      <c r="Z73" s="224">
        <v>0</v>
      </c>
      <c r="AA73" s="222">
        <v>0</v>
      </c>
      <c r="AB73" s="222">
        <v>0</v>
      </c>
      <c r="AC73" s="224">
        <v>0</v>
      </c>
      <c r="AE73" s="13"/>
      <c r="AF73" s="293"/>
    </row>
    <row r="74" spans="1:33" ht="24.95" customHeight="1">
      <c r="A74" s="32" t="s">
        <v>600</v>
      </c>
      <c r="B74" s="217" t="s">
        <v>601</v>
      </c>
      <c r="C74" s="218" t="s">
        <v>23</v>
      </c>
      <c r="D74" s="249" t="s">
        <v>54</v>
      </c>
      <c r="E74" s="249" t="s">
        <v>54</v>
      </c>
      <c r="F74" s="249" t="s">
        <v>54</v>
      </c>
      <c r="G74" s="249" t="s">
        <v>46</v>
      </c>
      <c r="H74" s="225" t="s">
        <v>36</v>
      </c>
      <c r="I74" s="219"/>
      <c r="J74" s="219"/>
      <c r="K74" s="220">
        <v>10</v>
      </c>
      <c r="L74" s="221" t="s">
        <v>29</v>
      </c>
      <c r="M74" s="217" t="s">
        <v>115</v>
      </c>
      <c r="N74" s="222">
        <v>9548931993</v>
      </c>
      <c r="O74" s="222"/>
      <c r="P74" s="222"/>
      <c r="Q74" s="223"/>
      <c r="R74" s="223"/>
      <c r="S74" s="222"/>
      <c r="T74" s="222">
        <v>9548931993</v>
      </c>
      <c r="U74" s="222">
        <v>5975322385</v>
      </c>
      <c r="V74" s="222">
        <v>3573609608</v>
      </c>
      <c r="W74" s="224">
        <v>0.62575818839010555</v>
      </c>
      <c r="X74" s="222">
        <v>0</v>
      </c>
      <c r="Y74" s="222">
        <v>5975322385</v>
      </c>
      <c r="Z74" s="224">
        <v>1</v>
      </c>
      <c r="AA74" s="222">
        <v>0</v>
      </c>
      <c r="AB74" s="222">
        <v>0</v>
      </c>
      <c r="AC74" s="224">
        <v>0</v>
      </c>
      <c r="AE74" s="13"/>
      <c r="AF74" s="293"/>
    </row>
    <row r="75" spans="1:33" ht="33">
      <c r="A75" s="32" t="s">
        <v>602</v>
      </c>
      <c r="B75" s="217" t="s">
        <v>603</v>
      </c>
      <c r="C75" s="218" t="s">
        <v>23</v>
      </c>
      <c r="D75" s="249" t="s">
        <v>54</v>
      </c>
      <c r="E75" s="249" t="s">
        <v>54</v>
      </c>
      <c r="F75" s="249" t="s">
        <v>54</v>
      </c>
      <c r="G75" s="249" t="s">
        <v>46</v>
      </c>
      <c r="H75" s="225" t="s">
        <v>38</v>
      </c>
      <c r="I75" s="219"/>
      <c r="J75" s="219"/>
      <c r="K75" s="220">
        <v>10</v>
      </c>
      <c r="L75" s="221" t="s">
        <v>29</v>
      </c>
      <c r="M75" s="217" t="s">
        <v>116</v>
      </c>
      <c r="N75" s="222">
        <v>2298000000</v>
      </c>
      <c r="O75" s="222"/>
      <c r="P75" s="222"/>
      <c r="Q75" s="223"/>
      <c r="R75" s="223"/>
      <c r="S75" s="222"/>
      <c r="T75" s="222">
        <v>2298000000</v>
      </c>
      <c r="U75" s="222">
        <v>377082264.63</v>
      </c>
      <c r="V75" s="222">
        <v>1920917735.3699999</v>
      </c>
      <c r="W75" s="224">
        <v>0.1640914989686684</v>
      </c>
      <c r="X75" s="222">
        <v>133016564</v>
      </c>
      <c r="Y75" s="222">
        <v>244065700.63</v>
      </c>
      <c r="Z75" s="224">
        <v>0.64724789130425353</v>
      </c>
      <c r="AA75" s="222">
        <v>132897564</v>
      </c>
      <c r="AB75" s="222">
        <v>119000</v>
      </c>
      <c r="AC75" s="224">
        <v>0.35243652769085154</v>
      </c>
      <c r="AE75" s="13"/>
      <c r="AF75" s="293"/>
    </row>
    <row r="76" spans="1:33" ht="24.95" customHeight="1">
      <c r="A76" s="32" t="s">
        <v>604</v>
      </c>
      <c r="B76" s="217" t="s">
        <v>605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40</v>
      </c>
      <c r="I76" s="219"/>
      <c r="J76" s="219"/>
      <c r="K76" s="220">
        <v>10</v>
      </c>
      <c r="L76" s="221" t="s">
        <v>29</v>
      </c>
      <c r="M76" s="217" t="s">
        <v>117</v>
      </c>
      <c r="N76" s="222">
        <v>3859335661</v>
      </c>
      <c r="O76" s="222"/>
      <c r="P76" s="222"/>
      <c r="Q76" s="223"/>
      <c r="R76" s="223"/>
      <c r="S76" s="222"/>
      <c r="T76" s="222">
        <v>3859335661</v>
      </c>
      <c r="U76" s="222">
        <v>2594343072.3400002</v>
      </c>
      <c r="V76" s="222">
        <v>1264992588.6599998</v>
      </c>
      <c r="W76" s="224">
        <v>0.6722252999542867</v>
      </c>
      <c r="X76" s="222">
        <v>0</v>
      </c>
      <c r="Y76" s="222">
        <v>2594343072.3400002</v>
      </c>
      <c r="Z76" s="224">
        <v>1</v>
      </c>
      <c r="AA76" s="222">
        <v>0</v>
      </c>
      <c r="AB76" s="222">
        <v>0</v>
      </c>
      <c r="AC76" s="224">
        <v>0</v>
      </c>
      <c r="AE76" s="13"/>
      <c r="AF76" s="293"/>
    </row>
    <row r="77" spans="1:33" ht="33">
      <c r="A77" s="32" t="s">
        <v>606</v>
      </c>
      <c r="B77" s="217" t="s">
        <v>607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44</v>
      </c>
      <c r="I77" s="219"/>
      <c r="J77" s="219"/>
      <c r="K77" s="220">
        <v>10</v>
      </c>
      <c r="L77" s="221" t="s">
        <v>29</v>
      </c>
      <c r="M77" s="217" t="s">
        <v>118</v>
      </c>
      <c r="N77" s="222">
        <v>1363025393</v>
      </c>
      <c r="O77" s="222"/>
      <c r="P77" s="222"/>
      <c r="Q77" s="223"/>
      <c r="R77" s="223"/>
      <c r="S77" s="222"/>
      <c r="T77" s="222">
        <v>1363025393</v>
      </c>
      <c r="U77" s="222">
        <v>561025393</v>
      </c>
      <c r="V77" s="222">
        <v>802000000</v>
      </c>
      <c r="W77" s="224">
        <v>0.41160303827149608</v>
      </c>
      <c r="X77" s="222">
        <v>500000</v>
      </c>
      <c r="Y77" s="222">
        <v>560525393</v>
      </c>
      <c r="Z77" s="224">
        <v>0.99910877474310689</v>
      </c>
      <c r="AA77" s="222">
        <v>500000</v>
      </c>
      <c r="AB77" s="222">
        <v>0</v>
      </c>
      <c r="AC77" s="224">
        <v>8.9122525689314027E-4</v>
      </c>
      <c r="AE77" s="13"/>
      <c r="AF77" s="293"/>
    </row>
    <row r="78" spans="1:33" s="250" customFormat="1" ht="33">
      <c r="A78" s="32" t="s">
        <v>608</v>
      </c>
      <c r="B78" s="217" t="s">
        <v>609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48</v>
      </c>
      <c r="I78" s="219"/>
      <c r="J78" s="219"/>
      <c r="K78" s="220">
        <v>10</v>
      </c>
      <c r="L78" s="221" t="s">
        <v>29</v>
      </c>
      <c r="M78" s="217" t="s">
        <v>119</v>
      </c>
      <c r="N78" s="222">
        <v>77000000</v>
      </c>
      <c r="O78" s="222"/>
      <c r="P78" s="222"/>
      <c r="Q78" s="223"/>
      <c r="R78" s="223"/>
      <c r="S78" s="222"/>
      <c r="T78" s="222">
        <v>77000000</v>
      </c>
      <c r="U78" s="222">
        <v>500000</v>
      </c>
      <c r="V78" s="222">
        <v>76500000</v>
      </c>
      <c r="W78" s="224">
        <v>6.4935064935064939E-3</v>
      </c>
      <c r="X78" s="222">
        <v>500000</v>
      </c>
      <c r="Y78" s="222">
        <v>0</v>
      </c>
      <c r="Z78" s="224">
        <v>0</v>
      </c>
      <c r="AA78" s="222">
        <v>500000</v>
      </c>
      <c r="AB78" s="222">
        <v>0</v>
      </c>
      <c r="AC78" s="224">
        <v>1</v>
      </c>
      <c r="AE78" s="13"/>
      <c r="AF78" s="294"/>
      <c r="AG78" s="13"/>
    </row>
    <row r="79" spans="1:33" ht="24.95" customHeight="1">
      <c r="A79" s="32" t="s">
        <v>396</v>
      </c>
      <c r="B79" s="210" t="s">
        <v>397</v>
      </c>
      <c r="C79" s="211" t="s">
        <v>23</v>
      </c>
      <c r="D79" s="212" t="s">
        <v>54</v>
      </c>
      <c r="E79" s="212" t="s">
        <v>54</v>
      </c>
      <c r="F79" s="212" t="s">
        <v>54</v>
      </c>
      <c r="G79" s="212" t="s">
        <v>48</v>
      </c>
      <c r="H79" s="212"/>
      <c r="I79" s="212"/>
      <c r="J79" s="212"/>
      <c r="K79" s="213" t="s">
        <v>28</v>
      </c>
      <c r="L79" s="214" t="s">
        <v>29</v>
      </c>
      <c r="M79" s="210" t="s">
        <v>120</v>
      </c>
      <c r="N79" s="215">
        <v>2410636000</v>
      </c>
      <c r="O79" s="215">
        <v>0</v>
      </c>
      <c r="P79" s="215">
        <v>0</v>
      </c>
      <c r="Q79" s="215">
        <v>0</v>
      </c>
      <c r="R79" s="215">
        <v>0</v>
      </c>
      <c r="S79" s="215">
        <v>0</v>
      </c>
      <c r="T79" s="215">
        <v>2410636000</v>
      </c>
      <c r="U79" s="215">
        <v>58084803.710000001</v>
      </c>
      <c r="V79" s="215">
        <v>2352551196.29</v>
      </c>
      <c r="W79" s="216">
        <v>2.4095219564463487E-2</v>
      </c>
      <c r="X79" s="215">
        <v>2448803.71</v>
      </c>
      <c r="Y79" s="215">
        <v>55636000</v>
      </c>
      <c r="Z79" s="216">
        <v>0.95784088860442496</v>
      </c>
      <c r="AA79" s="215">
        <v>2224557.84</v>
      </c>
      <c r="AB79" s="215">
        <v>224245.87000000011</v>
      </c>
      <c r="AC79" s="216">
        <v>3.8298448095074052E-2</v>
      </c>
      <c r="AE79" s="13"/>
      <c r="AF79" s="293"/>
    </row>
    <row r="80" spans="1:33" ht="24.95" customHeight="1">
      <c r="A80" s="32" t="s">
        <v>610</v>
      </c>
      <c r="B80" s="217" t="s">
        <v>611</v>
      </c>
      <c r="C80" s="218" t="s">
        <v>23</v>
      </c>
      <c r="D80" s="219" t="s">
        <v>54</v>
      </c>
      <c r="E80" s="219" t="s">
        <v>54</v>
      </c>
      <c r="F80" s="219" t="s">
        <v>54</v>
      </c>
      <c r="G80" s="219" t="s">
        <v>48</v>
      </c>
      <c r="H80" s="225" t="s">
        <v>34</v>
      </c>
      <c r="I80" s="219"/>
      <c r="J80" s="219"/>
      <c r="K80" s="220">
        <v>10</v>
      </c>
      <c r="L80" s="221" t="s">
        <v>29</v>
      </c>
      <c r="M80" s="217" t="s">
        <v>121</v>
      </c>
      <c r="N80" s="222">
        <v>730000000</v>
      </c>
      <c r="O80" s="222"/>
      <c r="P80" s="222"/>
      <c r="Q80" s="223"/>
      <c r="R80" s="223"/>
      <c r="S80" s="222"/>
      <c r="T80" s="222">
        <v>730000000</v>
      </c>
      <c r="U80" s="222">
        <v>0</v>
      </c>
      <c r="V80" s="222">
        <v>730000000</v>
      </c>
      <c r="W80" s="224">
        <v>0</v>
      </c>
      <c r="X80" s="222">
        <v>0</v>
      </c>
      <c r="Y80" s="222">
        <v>0</v>
      </c>
      <c r="Z80" s="224">
        <v>0</v>
      </c>
      <c r="AA80" s="222">
        <v>0</v>
      </c>
      <c r="AB80" s="222">
        <v>0</v>
      </c>
      <c r="AC80" s="224">
        <v>0</v>
      </c>
      <c r="AE80" s="13"/>
      <c r="AF80" s="293"/>
    </row>
    <row r="81" spans="1:32" ht="34.5" customHeight="1">
      <c r="A81" s="32" t="s">
        <v>612</v>
      </c>
      <c r="B81" s="217" t="s">
        <v>613</v>
      </c>
      <c r="C81" s="218" t="s">
        <v>23</v>
      </c>
      <c r="D81" s="219" t="s">
        <v>54</v>
      </c>
      <c r="E81" s="219" t="s">
        <v>54</v>
      </c>
      <c r="F81" s="219" t="s">
        <v>54</v>
      </c>
      <c r="G81" s="219" t="s">
        <v>48</v>
      </c>
      <c r="H81" s="225" t="s">
        <v>36</v>
      </c>
      <c r="I81" s="219"/>
      <c r="J81" s="219"/>
      <c r="K81" s="220">
        <v>10</v>
      </c>
      <c r="L81" s="221" t="s">
        <v>29</v>
      </c>
      <c r="M81" s="217" t="s">
        <v>122</v>
      </c>
      <c r="N81" s="222">
        <v>365636000</v>
      </c>
      <c r="O81" s="222"/>
      <c r="P81" s="222"/>
      <c r="Q81" s="223"/>
      <c r="R81" s="223"/>
      <c r="S81" s="222"/>
      <c r="T81" s="222">
        <v>365636000</v>
      </c>
      <c r="U81" s="222">
        <v>55636000</v>
      </c>
      <c r="V81" s="222">
        <v>310000000</v>
      </c>
      <c r="W81" s="224">
        <v>0.15216225973372424</v>
      </c>
      <c r="X81" s="222">
        <v>0</v>
      </c>
      <c r="Y81" s="222">
        <v>55636000</v>
      </c>
      <c r="Z81" s="224">
        <v>1</v>
      </c>
      <c r="AA81" s="222">
        <v>0</v>
      </c>
      <c r="AB81" s="222">
        <v>0</v>
      </c>
      <c r="AC81" s="224">
        <v>0</v>
      </c>
      <c r="AE81" s="13"/>
      <c r="AF81" s="293"/>
    </row>
    <row r="82" spans="1:32" ht="49.5">
      <c r="A82" s="32" t="s">
        <v>614</v>
      </c>
      <c r="B82" s="217" t="s">
        <v>615</v>
      </c>
      <c r="C82" s="218" t="s">
        <v>23</v>
      </c>
      <c r="D82" s="219" t="s">
        <v>54</v>
      </c>
      <c r="E82" s="219" t="s">
        <v>54</v>
      </c>
      <c r="F82" s="219" t="s">
        <v>54</v>
      </c>
      <c r="G82" s="219" t="s">
        <v>48</v>
      </c>
      <c r="H82" s="225" t="s">
        <v>38</v>
      </c>
      <c r="I82" s="219"/>
      <c r="J82" s="219"/>
      <c r="K82" s="220">
        <v>10</v>
      </c>
      <c r="L82" s="221" t="s">
        <v>29</v>
      </c>
      <c r="M82" s="217" t="s">
        <v>123</v>
      </c>
      <c r="N82" s="222">
        <v>55000000</v>
      </c>
      <c r="O82" s="222"/>
      <c r="P82" s="222"/>
      <c r="Q82" s="223"/>
      <c r="R82" s="223"/>
      <c r="S82" s="222"/>
      <c r="T82" s="222">
        <v>55000000</v>
      </c>
      <c r="U82" s="222">
        <v>2448803.71</v>
      </c>
      <c r="V82" s="222">
        <v>52551196.289999999</v>
      </c>
      <c r="W82" s="224">
        <v>4.4523703818181819E-2</v>
      </c>
      <c r="X82" s="222">
        <v>2448803.71</v>
      </c>
      <c r="Y82" s="222">
        <v>0</v>
      </c>
      <c r="Z82" s="224">
        <v>0</v>
      </c>
      <c r="AA82" s="222">
        <v>2224557.84</v>
      </c>
      <c r="AB82" s="222">
        <v>224245.87000000011</v>
      </c>
      <c r="AC82" s="224">
        <v>0.90842635974281494</v>
      </c>
      <c r="AE82" s="13"/>
      <c r="AF82" s="293"/>
    </row>
    <row r="83" spans="1:32" ht="24.95" customHeight="1">
      <c r="A83" s="32" t="s">
        <v>616</v>
      </c>
      <c r="B83" s="217" t="s">
        <v>617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42</v>
      </c>
      <c r="I83" s="219"/>
      <c r="J83" s="219"/>
      <c r="K83" s="220">
        <v>10</v>
      </c>
      <c r="L83" s="221" t="s">
        <v>29</v>
      </c>
      <c r="M83" s="217" t="s">
        <v>124</v>
      </c>
      <c r="N83" s="222">
        <v>1160000000</v>
      </c>
      <c r="O83" s="222"/>
      <c r="P83" s="222"/>
      <c r="Q83" s="223"/>
      <c r="R83" s="223"/>
      <c r="S83" s="222"/>
      <c r="T83" s="222">
        <v>1160000000</v>
      </c>
      <c r="U83" s="222">
        <v>0</v>
      </c>
      <c r="V83" s="222">
        <v>1160000000</v>
      </c>
      <c r="W83" s="224">
        <v>0</v>
      </c>
      <c r="X83" s="222">
        <v>0</v>
      </c>
      <c r="Y83" s="222">
        <v>0</v>
      </c>
      <c r="Z83" s="224">
        <v>0</v>
      </c>
      <c r="AA83" s="222">
        <v>0</v>
      </c>
      <c r="AB83" s="222">
        <v>0</v>
      </c>
      <c r="AC83" s="224">
        <v>0</v>
      </c>
      <c r="AE83" s="13"/>
      <c r="AF83" s="293"/>
    </row>
    <row r="84" spans="1:32" ht="24.95" customHeight="1">
      <c r="A84" s="32" t="s">
        <v>618</v>
      </c>
      <c r="B84" s="217" t="s">
        <v>619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44</v>
      </c>
      <c r="I84" s="219"/>
      <c r="J84" s="219"/>
      <c r="K84" s="220">
        <v>10</v>
      </c>
      <c r="L84" s="221" t="s">
        <v>29</v>
      </c>
      <c r="M84" s="217" t="s">
        <v>125</v>
      </c>
      <c r="N84" s="222">
        <v>100000000</v>
      </c>
      <c r="O84" s="222"/>
      <c r="P84" s="222"/>
      <c r="Q84" s="223"/>
      <c r="R84" s="223"/>
      <c r="S84" s="222"/>
      <c r="T84" s="222">
        <v>100000000</v>
      </c>
      <c r="U84" s="222">
        <v>0</v>
      </c>
      <c r="V84" s="222">
        <v>100000000</v>
      </c>
      <c r="W84" s="224">
        <v>0</v>
      </c>
      <c r="X84" s="222">
        <v>0</v>
      </c>
      <c r="Y84" s="222">
        <v>0</v>
      </c>
      <c r="Z84" s="224">
        <v>0</v>
      </c>
      <c r="AA84" s="222">
        <v>0</v>
      </c>
      <c r="AB84" s="222">
        <v>0</v>
      </c>
      <c r="AC84" s="224">
        <v>0</v>
      </c>
      <c r="AE84" s="13"/>
      <c r="AF84" s="293"/>
    </row>
    <row r="85" spans="1:32" ht="24.95" customHeight="1">
      <c r="A85" s="32" t="s">
        <v>398</v>
      </c>
      <c r="B85" s="210" t="s">
        <v>399</v>
      </c>
      <c r="C85" s="211" t="s">
        <v>23</v>
      </c>
      <c r="D85" s="212" t="s">
        <v>54</v>
      </c>
      <c r="E85" s="212" t="s">
        <v>54</v>
      </c>
      <c r="F85" s="212" t="s">
        <v>54</v>
      </c>
      <c r="G85" s="212" t="s">
        <v>50</v>
      </c>
      <c r="H85" s="212"/>
      <c r="I85" s="212"/>
      <c r="J85" s="212"/>
      <c r="K85" s="213" t="s">
        <v>28</v>
      </c>
      <c r="L85" s="214" t="s">
        <v>29</v>
      </c>
      <c r="M85" s="210" t="s">
        <v>126</v>
      </c>
      <c r="N85" s="215">
        <v>1170310070</v>
      </c>
      <c r="O85" s="215"/>
      <c r="P85" s="215"/>
      <c r="Q85" s="215"/>
      <c r="R85" s="215"/>
      <c r="S85" s="215"/>
      <c r="T85" s="215">
        <v>1170310070</v>
      </c>
      <c r="U85" s="215">
        <v>61095825</v>
      </c>
      <c r="V85" s="215">
        <v>1109214245</v>
      </c>
      <c r="W85" s="216">
        <v>5.2204818676814431E-2</v>
      </c>
      <c r="X85" s="215">
        <v>3535641</v>
      </c>
      <c r="Y85" s="215">
        <v>57560184</v>
      </c>
      <c r="Z85" s="216">
        <v>0.94212958086743248</v>
      </c>
      <c r="AA85" s="215">
        <v>3535641</v>
      </c>
      <c r="AB85" s="215">
        <v>0</v>
      </c>
      <c r="AC85" s="216">
        <v>5.7870419132567567E-2</v>
      </c>
      <c r="AE85" s="13"/>
      <c r="AF85" s="293"/>
    </row>
    <row r="86" spans="1:32" ht="35.1" customHeight="1">
      <c r="A86" s="32" t="s">
        <v>400</v>
      </c>
      <c r="B86" s="188" t="s">
        <v>401</v>
      </c>
      <c r="C86" s="189" t="s">
        <v>23</v>
      </c>
      <c r="D86" s="191" t="s">
        <v>65</v>
      </c>
      <c r="E86" s="191"/>
      <c r="F86" s="191"/>
      <c r="G86" s="191"/>
      <c r="H86" s="191"/>
      <c r="I86" s="191"/>
      <c r="J86" s="191"/>
      <c r="K86" s="192"/>
      <c r="L86" s="193"/>
      <c r="M86" s="188" t="s">
        <v>127</v>
      </c>
      <c r="N86" s="194">
        <v>15140000000</v>
      </c>
      <c r="O86" s="194">
        <v>0</v>
      </c>
      <c r="P86" s="194">
        <v>0</v>
      </c>
      <c r="Q86" s="194">
        <v>0</v>
      </c>
      <c r="R86" s="194">
        <v>0</v>
      </c>
      <c r="S86" s="194">
        <v>11791000000</v>
      </c>
      <c r="T86" s="194">
        <v>3349000000</v>
      </c>
      <c r="U86" s="194">
        <v>752000000</v>
      </c>
      <c r="V86" s="194">
        <v>2597000000</v>
      </c>
      <c r="W86" s="195">
        <v>0.22454464019110182</v>
      </c>
      <c r="X86" s="194">
        <v>56786767</v>
      </c>
      <c r="Y86" s="194">
        <v>695213233</v>
      </c>
      <c r="Z86" s="195">
        <v>0.92448568218085103</v>
      </c>
      <c r="AA86" s="194">
        <v>56786767</v>
      </c>
      <c r="AB86" s="194">
        <v>0</v>
      </c>
      <c r="AC86" s="195">
        <v>7.5514317819148941E-2</v>
      </c>
      <c r="AE86" s="13"/>
      <c r="AF86" s="293"/>
    </row>
    <row r="87" spans="1:32" ht="24.95" customHeight="1">
      <c r="A87" s="32" t="s">
        <v>620</v>
      </c>
      <c r="B87" s="196" t="s">
        <v>621</v>
      </c>
      <c r="C87" s="197" t="s">
        <v>23</v>
      </c>
      <c r="D87" s="198" t="s">
        <v>65</v>
      </c>
      <c r="E87" s="198" t="s">
        <v>65</v>
      </c>
      <c r="F87" s="198"/>
      <c r="G87" s="198"/>
      <c r="H87" s="198"/>
      <c r="I87" s="198"/>
      <c r="J87" s="198"/>
      <c r="K87" s="199"/>
      <c r="L87" s="200"/>
      <c r="M87" s="196" t="s">
        <v>128</v>
      </c>
      <c r="N87" s="201">
        <v>11791000000</v>
      </c>
      <c r="O87" s="201">
        <v>0</v>
      </c>
      <c r="P87" s="201">
        <v>0</v>
      </c>
      <c r="Q87" s="201">
        <v>0</v>
      </c>
      <c r="R87" s="201">
        <v>0</v>
      </c>
      <c r="S87" s="201">
        <v>11791000000</v>
      </c>
      <c r="T87" s="201">
        <v>0</v>
      </c>
      <c r="U87" s="201">
        <v>0</v>
      </c>
      <c r="V87" s="201">
        <v>0</v>
      </c>
      <c r="W87" s="202">
        <v>0</v>
      </c>
      <c r="X87" s="201">
        <v>0</v>
      </c>
      <c r="Y87" s="201">
        <v>0</v>
      </c>
      <c r="Z87" s="202">
        <v>0</v>
      </c>
      <c r="AA87" s="201">
        <v>0</v>
      </c>
      <c r="AB87" s="201">
        <v>0</v>
      </c>
      <c r="AC87" s="202">
        <v>0</v>
      </c>
      <c r="AE87" s="13"/>
      <c r="AF87" s="293"/>
    </row>
    <row r="88" spans="1:32" ht="24.95" customHeight="1">
      <c r="A88" s="32" t="s">
        <v>742</v>
      </c>
      <c r="B88" s="203" t="s">
        <v>623</v>
      </c>
      <c r="C88" s="204" t="s">
        <v>23</v>
      </c>
      <c r="D88" s="205" t="s">
        <v>65</v>
      </c>
      <c r="E88" s="205" t="s">
        <v>65</v>
      </c>
      <c r="F88" s="256" t="s">
        <v>25</v>
      </c>
      <c r="G88" s="205"/>
      <c r="H88" s="205"/>
      <c r="I88" s="205"/>
      <c r="J88" s="205"/>
      <c r="K88" s="206">
        <v>10</v>
      </c>
      <c r="L88" s="207" t="s">
        <v>29</v>
      </c>
      <c r="M88" s="203" t="s">
        <v>129</v>
      </c>
      <c r="N88" s="208">
        <v>11791000000</v>
      </c>
      <c r="O88" s="208">
        <v>0</v>
      </c>
      <c r="P88" s="208">
        <v>0</v>
      </c>
      <c r="Q88" s="208">
        <v>0</v>
      </c>
      <c r="R88" s="208">
        <v>0</v>
      </c>
      <c r="S88" s="208">
        <v>11791000000</v>
      </c>
      <c r="T88" s="208">
        <v>0</v>
      </c>
      <c r="U88" s="208">
        <v>0</v>
      </c>
      <c r="V88" s="208">
        <v>0</v>
      </c>
      <c r="W88" s="209">
        <v>0</v>
      </c>
      <c r="X88" s="208">
        <v>0</v>
      </c>
      <c r="Y88" s="208">
        <v>0</v>
      </c>
      <c r="Z88" s="209">
        <v>0</v>
      </c>
      <c r="AA88" s="208">
        <v>0</v>
      </c>
      <c r="AB88" s="208">
        <v>0</v>
      </c>
      <c r="AC88" s="209">
        <v>0</v>
      </c>
      <c r="AE88" s="13"/>
      <c r="AF88" s="293"/>
    </row>
    <row r="89" spans="1:32" ht="24.95" customHeight="1">
      <c r="A89" s="32" t="s">
        <v>626</v>
      </c>
      <c r="B89" s="217" t="s">
        <v>627</v>
      </c>
      <c r="C89" s="218" t="s">
        <v>23</v>
      </c>
      <c r="D89" s="219" t="s">
        <v>65</v>
      </c>
      <c r="E89" s="219" t="s">
        <v>65</v>
      </c>
      <c r="F89" s="219" t="s">
        <v>25</v>
      </c>
      <c r="G89" s="219" t="s">
        <v>134</v>
      </c>
      <c r="H89" s="219"/>
      <c r="I89" s="219"/>
      <c r="J89" s="219"/>
      <c r="K89" s="220" t="s">
        <v>28</v>
      </c>
      <c r="L89" s="221" t="s">
        <v>29</v>
      </c>
      <c r="M89" s="217" t="s">
        <v>135</v>
      </c>
      <c r="N89" s="222">
        <v>11791000000</v>
      </c>
      <c r="O89" s="222"/>
      <c r="P89" s="222"/>
      <c r="Q89" s="222"/>
      <c r="R89" s="222"/>
      <c r="S89" s="222">
        <v>11791000000</v>
      </c>
      <c r="T89" s="222">
        <v>0</v>
      </c>
      <c r="U89" s="222">
        <v>0</v>
      </c>
      <c r="V89" s="222">
        <v>0</v>
      </c>
      <c r="W89" s="224">
        <v>0</v>
      </c>
      <c r="X89" s="222">
        <v>0</v>
      </c>
      <c r="Y89" s="222">
        <v>0</v>
      </c>
      <c r="Z89" s="224">
        <v>0</v>
      </c>
      <c r="AA89" s="222">
        <v>0</v>
      </c>
      <c r="AB89" s="222">
        <v>0</v>
      </c>
      <c r="AC89" s="224">
        <v>0</v>
      </c>
      <c r="AE89" s="13"/>
      <c r="AF89" s="293"/>
    </row>
    <row r="90" spans="1:32" ht="24.95" customHeight="1">
      <c r="A90" s="32" t="s">
        <v>402</v>
      </c>
      <c r="B90" s="196" t="s">
        <v>403</v>
      </c>
      <c r="C90" s="197" t="s">
        <v>23</v>
      </c>
      <c r="D90" s="198" t="s">
        <v>65</v>
      </c>
      <c r="E90" s="198" t="s">
        <v>136</v>
      </c>
      <c r="F90" s="198"/>
      <c r="G90" s="198"/>
      <c r="H90" s="198"/>
      <c r="I90" s="198"/>
      <c r="J90" s="198"/>
      <c r="K90" s="199"/>
      <c r="L90" s="200"/>
      <c r="M90" s="196" t="s">
        <v>137</v>
      </c>
      <c r="N90" s="201">
        <v>752000000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752000000</v>
      </c>
      <c r="U90" s="201">
        <v>752000000</v>
      </c>
      <c r="V90" s="201">
        <v>0</v>
      </c>
      <c r="W90" s="202">
        <v>1</v>
      </c>
      <c r="X90" s="201">
        <v>56786767</v>
      </c>
      <c r="Y90" s="201">
        <v>695213233</v>
      </c>
      <c r="Z90" s="202">
        <v>0.92448568218085103</v>
      </c>
      <c r="AA90" s="201">
        <v>56786767</v>
      </c>
      <c r="AB90" s="201">
        <v>0</v>
      </c>
      <c r="AC90" s="202">
        <v>7.5514317819148941E-2</v>
      </c>
      <c r="AE90" s="13"/>
      <c r="AF90" s="293"/>
    </row>
    <row r="91" spans="1:32" ht="24.95" customHeight="1">
      <c r="A91" s="32" t="s">
        <v>404</v>
      </c>
      <c r="B91" s="203" t="s">
        <v>405</v>
      </c>
      <c r="C91" s="204" t="s">
        <v>23</v>
      </c>
      <c r="D91" s="205" t="s">
        <v>65</v>
      </c>
      <c r="E91" s="205" t="s">
        <v>136</v>
      </c>
      <c r="F91" s="205" t="s">
        <v>54</v>
      </c>
      <c r="G91" s="205"/>
      <c r="H91" s="205"/>
      <c r="I91" s="205"/>
      <c r="J91" s="205"/>
      <c r="K91" s="206" t="s">
        <v>28</v>
      </c>
      <c r="L91" s="207" t="s">
        <v>29</v>
      </c>
      <c r="M91" s="203" t="s">
        <v>138</v>
      </c>
      <c r="N91" s="208">
        <v>752000000</v>
      </c>
      <c r="O91" s="208">
        <v>0</v>
      </c>
      <c r="P91" s="208">
        <v>0</v>
      </c>
      <c r="Q91" s="208">
        <v>0</v>
      </c>
      <c r="R91" s="208">
        <v>0</v>
      </c>
      <c r="S91" s="208">
        <v>0</v>
      </c>
      <c r="T91" s="208">
        <v>752000000</v>
      </c>
      <c r="U91" s="208">
        <v>752000000</v>
      </c>
      <c r="V91" s="208">
        <v>0</v>
      </c>
      <c r="W91" s="209">
        <v>1</v>
      </c>
      <c r="X91" s="208">
        <v>56786767</v>
      </c>
      <c r="Y91" s="208">
        <v>695213233</v>
      </c>
      <c r="Z91" s="209">
        <v>0.92448568218085103</v>
      </c>
      <c r="AA91" s="208">
        <v>56786767</v>
      </c>
      <c r="AB91" s="208">
        <v>0</v>
      </c>
      <c r="AC91" s="209">
        <v>7.5514317819148941E-2</v>
      </c>
      <c r="AE91" s="13"/>
      <c r="AF91" s="293"/>
    </row>
    <row r="92" spans="1:32" ht="24.95" customHeight="1">
      <c r="A92" s="32" t="s">
        <v>406</v>
      </c>
      <c r="B92" s="210" t="s">
        <v>407</v>
      </c>
      <c r="C92" s="211" t="s">
        <v>23</v>
      </c>
      <c r="D92" s="212" t="s">
        <v>65</v>
      </c>
      <c r="E92" s="212" t="s">
        <v>136</v>
      </c>
      <c r="F92" s="212" t="s">
        <v>54</v>
      </c>
      <c r="G92" s="212" t="s">
        <v>52</v>
      </c>
      <c r="H92" s="212"/>
      <c r="I92" s="212"/>
      <c r="J92" s="212"/>
      <c r="K92" s="213" t="s">
        <v>28</v>
      </c>
      <c r="L92" s="214" t="s">
        <v>29</v>
      </c>
      <c r="M92" s="210" t="s">
        <v>139</v>
      </c>
      <c r="N92" s="215">
        <v>752000000</v>
      </c>
      <c r="O92" s="215">
        <v>0</v>
      </c>
      <c r="P92" s="215">
        <v>0</v>
      </c>
      <c r="Q92" s="215">
        <v>0</v>
      </c>
      <c r="R92" s="215">
        <v>0</v>
      </c>
      <c r="S92" s="215">
        <v>0</v>
      </c>
      <c r="T92" s="215">
        <v>752000000</v>
      </c>
      <c r="U92" s="215">
        <v>752000000</v>
      </c>
      <c r="V92" s="215">
        <v>0</v>
      </c>
      <c r="W92" s="216">
        <v>1</v>
      </c>
      <c r="X92" s="215">
        <v>56786767</v>
      </c>
      <c r="Y92" s="215">
        <v>695213233</v>
      </c>
      <c r="Z92" s="216">
        <v>0.92448568218085103</v>
      </c>
      <c r="AA92" s="215">
        <v>56786767</v>
      </c>
      <c r="AB92" s="215">
        <v>0</v>
      </c>
      <c r="AC92" s="216">
        <v>7.5514317819148941E-2</v>
      </c>
      <c r="AE92" s="13"/>
      <c r="AF92" s="293"/>
    </row>
    <row r="93" spans="1:32" ht="24.95" customHeight="1">
      <c r="A93" s="32" t="s">
        <v>408</v>
      </c>
      <c r="B93" s="217" t="s">
        <v>409</v>
      </c>
      <c r="C93" s="218" t="s">
        <v>23</v>
      </c>
      <c r="D93" s="219" t="s">
        <v>65</v>
      </c>
      <c r="E93" s="219" t="s">
        <v>136</v>
      </c>
      <c r="F93" s="219" t="s">
        <v>54</v>
      </c>
      <c r="G93" s="219" t="s">
        <v>52</v>
      </c>
      <c r="H93" s="219" t="s">
        <v>31</v>
      </c>
      <c r="I93" s="219"/>
      <c r="J93" s="219"/>
      <c r="K93" s="220" t="s">
        <v>28</v>
      </c>
      <c r="L93" s="221" t="s">
        <v>29</v>
      </c>
      <c r="M93" s="217" t="s">
        <v>140</v>
      </c>
      <c r="N93" s="222">
        <v>402000000</v>
      </c>
      <c r="O93" s="222"/>
      <c r="P93" s="222"/>
      <c r="Q93" s="222"/>
      <c r="R93" s="222"/>
      <c r="S93" s="222"/>
      <c r="T93" s="222">
        <v>402000000</v>
      </c>
      <c r="U93" s="222">
        <v>402000000</v>
      </c>
      <c r="V93" s="222">
        <v>0</v>
      </c>
      <c r="W93" s="224">
        <v>1</v>
      </c>
      <c r="X93" s="222">
        <v>50191447</v>
      </c>
      <c r="Y93" s="222">
        <v>351808553</v>
      </c>
      <c r="Z93" s="224">
        <v>0.87514565422885571</v>
      </c>
      <c r="AA93" s="222">
        <v>50191447</v>
      </c>
      <c r="AB93" s="222">
        <v>0</v>
      </c>
      <c r="AC93" s="224">
        <v>0.12485434577114428</v>
      </c>
      <c r="AE93" s="13"/>
      <c r="AF93" s="293"/>
    </row>
    <row r="94" spans="1:32" ht="24.95" customHeight="1">
      <c r="A94" s="32" t="s">
        <v>410</v>
      </c>
      <c r="B94" s="217" t="s">
        <v>411</v>
      </c>
      <c r="C94" s="218" t="s">
        <v>23</v>
      </c>
      <c r="D94" s="219" t="s">
        <v>65</v>
      </c>
      <c r="E94" s="219" t="s">
        <v>136</v>
      </c>
      <c r="F94" s="219" t="s">
        <v>54</v>
      </c>
      <c r="G94" s="219" t="s">
        <v>52</v>
      </c>
      <c r="H94" s="219" t="s">
        <v>34</v>
      </c>
      <c r="I94" s="219"/>
      <c r="J94" s="219"/>
      <c r="K94" s="220" t="s">
        <v>28</v>
      </c>
      <c r="L94" s="221" t="s">
        <v>29</v>
      </c>
      <c r="M94" s="217" t="s">
        <v>141</v>
      </c>
      <c r="N94" s="222">
        <v>350000000</v>
      </c>
      <c r="O94" s="222"/>
      <c r="P94" s="222"/>
      <c r="Q94" s="223"/>
      <c r="R94" s="223"/>
      <c r="S94" s="222"/>
      <c r="T94" s="222">
        <v>350000000</v>
      </c>
      <c r="U94" s="222">
        <v>350000000</v>
      </c>
      <c r="V94" s="222">
        <v>0</v>
      </c>
      <c r="W94" s="224">
        <v>1</v>
      </c>
      <c r="X94" s="222">
        <v>6595320</v>
      </c>
      <c r="Y94" s="222">
        <v>343404680</v>
      </c>
      <c r="Z94" s="224">
        <v>0.98115622857142859</v>
      </c>
      <c r="AA94" s="222">
        <v>6595320</v>
      </c>
      <c r="AB94" s="222">
        <v>0</v>
      </c>
      <c r="AC94" s="224">
        <v>1.8843771428571427E-2</v>
      </c>
      <c r="AE94" s="13"/>
      <c r="AF94" s="293"/>
    </row>
    <row r="95" spans="1:32" ht="24.95" customHeight="1">
      <c r="A95" s="32" t="s">
        <v>414</v>
      </c>
      <c r="B95" s="196" t="s">
        <v>415</v>
      </c>
      <c r="C95" s="197" t="s">
        <v>23</v>
      </c>
      <c r="D95" s="198" t="s">
        <v>65</v>
      </c>
      <c r="E95" s="198" t="s">
        <v>28</v>
      </c>
      <c r="F95" s="198"/>
      <c r="G95" s="198"/>
      <c r="H95" s="198"/>
      <c r="I95" s="198"/>
      <c r="J95" s="198"/>
      <c r="K95" s="199"/>
      <c r="L95" s="200"/>
      <c r="M95" s="196" t="s">
        <v>143</v>
      </c>
      <c r="N95" s="201">
        <v>2597000000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2597000000</v>
      </c>
      <c r="U95" s="201">
        <v>0</v>
      </c>
      <c r="V95" s="201">
        <v>2597000000</v>
      </c>
      <c r="W95" s="202">
        <v>0</v>
      </c>
      <c r="X95" s="201">
        <v>0</v>
      </c>
      <c r="Y95" s="201">
        <v>0</v>
      </c>
      <c r="Z95" s="202">
        <v>0</v>
      </c>
      <c r="AA95" s="201">
        <v>0</v>
      </c>
      <c r="AB95" s="201">
        <v>0</v>
      </c>
      <c r="AC95" s="202">
        <v>0</v>
      </c>
      <c r="AE95" s="13"/>
      <c r="AF95" s="293"/>
    </row>
    <row r="96" spans="1:32" ht="16.5">
      <c r="A96" s="32" t="s">
        <v>416</v>
      </c>
      <c r="B96" s="203" t="s">
        <v>417</v>
      </c>
      <c r="C96" s="204" t="s">
        <v>23</v>
      </c>
      <c r="D96" s="205" t="s">
        <v>65</v>
      </c>
      <c r="E96" s="205" t="s">
        <v>28</v>
      </c>
      <c r="F96" s="205" t="s">
        <v>25</v>
      </c>
      <c r="G96" s="205"/>
      <c r="H96" s="205"/>
      <c r="I96" s="205"/>
      <c r="J96" s="205"/>
      <c r="K96" s="206" t="s">
        <v>144</v>
      </c>
      <c r="L96" s="207" t="s">
        <v>29</v>
      </c>
      <c r="M96" s="203" t="s">
        <v>145</v>
      </c>
      <c r="N96" s="208">
        <v>2597000000</v>
      </c>
      <c r="O96" s="208">
        <v>0</v>
      </c>
      <c r="P96" s="208">
        <v>0</v>
      </c>
      <c r="Q96" s="208">
        <v>0</v>
      </c>
      <c r="R96" s="208">
        <v>0</v>
      </c>
      <c r="S96" s="208">
        <v>0</v>
      </c>
      <c r="T96" s="208">
        <v>2597000000</v>
      </c>
      <c r="U96" s="208">
        <v>0</v>
      </c>
      <c r="V96" s="208">
        <v>2597000000</v>
      </c>
      <c r="W96" s="209">
        <v>0</v>
      </c>
      <c r="X96" s="208">
        <v>0</v>
      </c>
      <c r="Y96" s="208">
        <v>0</v>
      </c>
      <c r="Z96" s="209">
        <v>0</v>
      </c>
      <c r="AA96" s="208">
        <v>0</v>
      </c>
      <c r="AB96" s="208">
        <v>0</v>
      </c>
      <c r="AC96" s="209">
        <v>0</v>
      </c>
      <c r="AE96" s="13"/>
      <c r="AF96" s="293"/>
    </row>
    <row r="97" spans="1:32" ht="24.95" customHeight="1">
      <c r="A97" s="32" t="s">
        <v>628</v>
      </c>
      <c r="B97" s="217" t="s">
        <v>418</v>
      </c>
      <c r="C97" s="218" t="s">
        <v>23</v>
      </c>
      <c r="D97" s="219" t="s">
        <v>65</v>
      </c>
      <c r="E97" s="219" t="s">
        <v>28</v>
      </c>
      <c r="F97" s="219" t="s">
        <v>25</v>
      </c>
      <c r="G97" s="219" t="s">
        <v>31</v>
      </c>
      <c r="H97" s="219"/>
      <c r="I97" s="219"/>
      <c r="J97" s="219"/>
      <c r="K97" s="220">
        <v>10</v>
      </c>
      <c r="L97" s="221" t="s">
        <v>29</v>
      </c>
      <c r="M97" s="259" t="s">
        <v>146</v>
      </c>
      <c r="N97" s="222">
        <v>2597000000</v>
      </c>
      <c r="O97" s="222"/>
      <c r="P97" s="222"/>
      <c r="Q97" s="222"/>
      <c r="R97" s="222"/>
      <c r="S97" s="222"/>
      <c r="T97" s="222">
        <v>2597000000</v>
      </c>
      <c r="U97" s="222">
        <v>0</v>
      </c>
      <c r="V97" s="222">
        <v>2597000000</v>
      </c>
      <c r="W97" s="224">
        <v>0</v>
      </c>
      <c r="X97" s="222">
        <v>0</v>
      </c>
      <c r="Y97" s="222">
        <v>0</v>
      </c>
      <c r="Z97" s="224">
        <v>0</v>
      </c>
      <c r="AA97" s="222">
        <v>0</v>
      </c>
      <c r="AB97" s="222">
        <v>0</v>
      </c>
      <c r="AC97" s="224">
        <v>0</v>
      </c>
      <c r="AE97" s="13"/>
      <c r="AF97" s="293"/>
    </row>
    <row r="98" spans="1:32" ht="35.1" customHeight="1">
      <c r="A98" s="32" t="s">
        <v>420</v>
      </c>
      <c r="B98" s="188" t="s">
        <v>421</v>
      </c>
      <c r="C98" s="189" t="s">
        <v>23</v>
      </c>
      <c r="D98" s="191" t="s">
        <v>148</v>
      </c>
      <c r="E98" s="191"/>
      <c r="F98" s="191"/>
      <c r="G98" s="191"/>
      <c r="H98" s="191"/>
      <c r="I98" s="191"/>
      <c r="J98" s="191"/>
      <c r="K98" s="192"/>
      <c r="L98" s="193"/>
      <c r="M98" s="188" t="s">
        <v>149</v>
      </c>
      <c r="N98" s="194">
        <v>5824000000</v>
      </c>
      <c r="O98" s="194">
        <v>0</v>
      </c>
      <c r="P98" s="194">
        <v>0</v>
      </c>
      <c r="Q98" s="194">
        <v>0</v>
      </c>
      <c r="R98" s="194">
        <v>0</v>
      </c>
      <c r="S98" s="194">
        <v>0</v>
      </c>
      <c r="T98" s="194">
        <v>5824000000</v>
      </c>
      <c r="U98" s="194">
        <v>4119918.21</v>
      </c>
      <c r="V98" s="194">
        <v>5819880081.79</v>
      </c>
      <c r="W98" s="195">
        <v>7.07403538804945E-4</v>
      </c>
      <c r="X98" s="194">
        <v>4119918.21</v>
      </c>
      <c r="Y98" s="194">
        <v>0</v>
      </c>
      <c r="Z98" s="195">
        <v>0</v>
      </c>
      <c r="AA98" s="194">
        <v>3480755.21</v>
      </c>
      <c r="AB98" s="194">
        <v>639163</v>
      </c>
      <c r="AC98" s="195">
        <v>0.8448602696896742</v>
      </c>
      <c r="AE98" s="13"/>
      <c r="AF98" s="293"/>
    </row>
    <row r="99" spans="1:32" ht="24.95" customHeight="1">
      <c r="A99" s="32" t="s">
        <v>422</v>
      </c>
      <c r="B99" s="196" t="s">
        <v>423</v>
      </c>
      <c r="C99" s="197" t="s">
        <v>23</v>
      </c>
      <c r="D99" s="198" t="s">
        <v>148</v>
      </c>
      <c r="E99" s="198" t="s">
        <v>25</v>
      </c>
      <c r="F99" s="198"/>
      <c r="G99" s="198"/>
      <c r="H99" s="198"/>
      <c r="I99" s="198"/>
      <c r="J99" s="198"/>
      <c r="K99" s="199"/>
      <c r="L99" s="200"/>
      <c r="M99" s="196" t="s">
        <v>150</v>
      </c>
      <c r="N99" s="201">
        <v>84000000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84000000</v>
      </c>
      <c r="U99" s="201">
        <v>4119918.21</v>
      </c>
      <c r="V99" s="201">
        <v>79880081.789999992</v>
      </c>
      <c r="W99" s="202">
        <v>4.9046645357142857E-2</v>
      </c>
      <c r="X99" s="201">
        <v>4119918.21</v>
      </c>
      <c r="Y99" s="201">
        <v>0</v>
      </c>
      <c r="Z99" s="202">
        <v>0</v>
      </c>
      <c r="AA99" s="201">
        <v>3480755.21</v>
      </c>
      <c r="AB99" s="201">
        <v>639163</v>
      </c>
      <c r="AC99" s="202">
        <v>0.8448602696896742</v>
      </c>
      <c r="AE99" s="13"/>
      <c r="AF99" s="293"/>
    </row>
    <row r="100" spans="1:32" ht="16.5">
      <c r="A100" s="32" t="s">
        <v>424</v>
      </c>
      <c r="B100" s="203" t="s">
        <v>425</v>
      </c>
      <c r="C100" s="204" t="s">
        <v>23</v>
      </c>
      <c r="D100" s="205" t="s">
        <v>148</v>
      </c>
      <c r="E100" s="205" t="s">
        <v>25</v>
      </c>
      <c r="F100" s="205" t="s">
        <v>54</v>
      </c>
      <c r="G100" s="205"/>
      <c r="H100" s="205"/>
      <c r="I100" s="205"/>
      <c r="J100" s="205"/>
      <c r="K100" s="206" t="s">
        <v>28</v>
      </c>
      <c r="L100" s="207" t="s">
        <v>29</v>
      </c>
      <c r="M100" s="203" t="s">
        <v>151</v>
      </c>
      <c r="N100" s="208">
        <v>84000000</v>
      </c>
      <c r="O100" s="208">
        <v>0</v>
      </c>
      <c r="P100" s="208">
        <v>0</v>
      </c>
      <c r="Q100" s="208">
        <v>0</v>
      </c>
      <c r="R100" s="208">
        <v>0</v>
      </c>
      <c r="S100" s="208">
        <v>0</v>
      </c>
      <c r="T100" s="208">
        <v>84000000</v>
      </c>
      <c r="U100" s="208">
        <v>4119918.21</v>
      </c>
      <c r="V100" s="208">
        <v>79880081.789999992</v>
      </c>
      <c r="W100" s="209">
        <v>4.9046645357142857E-2</v>
      </c>
      <c r="X100" s="208">
        <v>4119918.21</v>
      </c>
      <c r="Y100" s="208">
        <v>0</v>
      </c>
      <c r="Z100" s="209">
        <v>0</v>
      </c>
      <c r="AA100" s="208">
        <v>3480755.21</v>
      </c>
      <c r="AB100" s="208">
        <v>639163</v>
      </c>
      <c r="AC100" s="209">
        <v>0.8448602696896742</v>
      </c>
      <c r="AE100" s="13"/>
      <c r="AF100" s="293"/>
    </row>
    <row r="101" spans="1:32" ht="24.95" customHeight="1">
      <c r="A101" s="32" t="s">
        <v>426</v>
      </c>
      <c r="B101" s="217" t="s">
        <v>427</v>
      </c>
      <c r="C101" s="218" t="s">
        <v>23</v>
      </c>
      <c r="D101" s="219" t="s">
        <v>148</v>
      </c>
      <c r="E101" s="219" t="s">
        <v>25</v>
      </c>
      <c r="F101" s="219" t="s">
        <v>54</v>
      </c>
      <c r="G101" s="219" t="s">
        <v>31</v>
      </c>
      <c r="H101" s="219"/>
      <c r="I101" s="219"/>
      <c r="J101" s="219"/>
      <c r="K101" s="220" t="s">
        <v>28</v>
      </c>
      <c r="L101" s="221" t="s">
        <v>29</v>
      </c>
      <c r="M101" s="259" t="s">
        <v>152</v>
      </c>
      <c r="N101" s="222">
        <v>51000000</v>
      </c>
      <c r="O101" s="222"/>
      <c r="P101" s="222"/>
      <c r="Q101" s="222"/>
      <c r="R101" s="222"/>
      <c r="S101" s="222"/>
      <c r="T101" s="222">
        <v>51000000</v>
      </c>
      <c r="U101" s="222">
        <v>0</v>
      </c>
      <c r="V101" s="222">
        <v>51000000</v>
      </c>
      <c r="W101" s="224">
        <v>0</v>
      </c>
      <c r="X101" s="222">
        <v>0</v>
      </c>
      <c r="Y101" s="222">
        <v>0</v>
      </c>
      <c r="Z101" s="224">
        <v>0</v>
      </c>
      <c r="AA101" s="222">
        <v>0</v>
      </c>
      <c r="AB101" s="222">
        <v>0</v>
      </c>
      <c r="AC101" s="224">
        <v>0</v>
      </c>
      <c r="AE101" s="13"/>
      <c r="AF101" s="293"/>
    </row>
    <row r="102" spans="1:32" ht="24.95" customHeight="1">
      <c r="A102" s="32" t="s">
        <v>428</v>
      </c>
      <c r="B102" s="217" t="s">
        <v>429</v>
      </c>
      <c r="C102" s="218" t="s">
        <v>23</v>
      </c>
      <c r="D102" s="219" t="s">
        <v>148</v>
      </c>
      <c r="E102" s="219" t="s">
        <v>25</v>
      </c>
      <c r="F102" s="219" t="s">
        <v>54</v>
      </c>
      <c r="G102" s="219" t="s">
        <v>38</v>
      </c>
      <c r="H102" s="219"/>
      <c r="I102" s="219"/>
      <c r="J102" s="219"/>
      <c r="K102" s="220" t="s">
        <v>28</v>
      </c>
      <c r="L102" s="221" t="s">
        <v>29</v>
      </c>
      <c r="M102" s="259" t="s">
        <v>153</v>
      </c>
      <c r="N102" s="222">
        <v>26000000</v>
      </c>
      <c r="O102" s="223"/>
      <c r="P102" s="222"/>
      <c r="Q102" s="222"/>
      <c r="R102" s="222"/>
      <c r="S102" s="222"/>
      <c r="T102" s="222">
        <v>26000000</v>
      </c>
      <c r="U102" s="222">
        <v>4119918.21</v>
      </c>
      <c r="V102" s="222">
        <v>21880081.789999999</v>
      </c>
      <c r="W102" s="224">
        <v>0.15845839269230769</v>
      </c>
      <c r="X102" s="222">
        <v>4119918.21</v>
      </c>
      <c r="Y102" s="222">
        <v>0</v>
      </c>
      <c r="Z102" s="224">
        <v>0</v>
      </c>
      <c r="AA102" s="222">
        <v>3480755.21</v>
      </c>
      <c r="AB102" s="222">
        <v>639163</v>
      </c>
      <c r="AC102" s="224">
        <v>0.8448602696896742</v>
      </c>
      <c r="AE102" s="13"/>
      <c r="AF102" s="293"/>
    </row>
    <row r="103" spans="1:32" ht="24.95" customHeight="1">
      <c r="A103" s="32" t="s">
        <v>430</v>
      </c>
      <c r="B103" s="217" t="s">
        <v>431</v>
      </c>
      <c r="C103" s="218" t="s">
        <v>23</v>
      </c>
      <c r="D103" s="219" t="s">
        <v>148</v>
      </c>
      <c r="E103" s="219" t="s">
        <v>25</v>
      </c>
      <c r="F103" s="219" t="s">
        <v>54</v>
      </c>
      <c r="G103" s="219" t="s">
        <v>42</v>
      </c>
      <c r="H103" s="219"/>
      <c r="I103" s="219"/>
      <c r="J103" s="219"/>
      <c r="K103" s="220" t="s">
        <v>28</v>
      </c>
      <c r="L103" s="221" t="s">
        <v>29</v>
      </c>
      <c r="M103" s="259" t="s">
        <v>154</v>
      </c>
      <c r="N103" s="222">
        <v>7000000</v>
      </c>
      <c r="O103" s="222"/>
      <c r="P103" s="222"/>
      <c r="Q103" s="222"/>
      <c r="R103" s="222"/>
      <c r="S103" s="222"/>
      <c r="T103" s="222">
        <v>7000000</v>
      </c>
      <c r="U103" s="222">
        <v>0</v>
      </c>
      <c r="V103" s="222">
        <v>7000000</v>
      </c>
      <c r="W103" s="224">
        <v>0</v>
      </c>
      <c r="X103" s="222">
        <v>0</v>
      </c>
      <c r="Y103" s="222">
        <v>0</v>
      </c>
      <c r="Z103" s="224">
        <v>0</v>
      </c>
      <c r="AA103" s="222">
        <v>0</v>
      </c>
      <c r="AB103" s="222">
        <v>0</v>
      </c>
      <c r="AC103" s="224">
        <v>0</v>
      </c>
      <c r="AE103" s="13"/>
      <c r="AF103" s="293"/>
    </row>
    <row r="104" spans="1:32" ht="24.95" customHeight="1">
      <c r="A104" s="32" t="s">
        <v>629</v>
      </c>
      <c r="B104" s="196" t="s">
        <v>432</v>
      </c>
      <c r="C104" s="197" t="s">
        <v>23</v>
      </c>
      <c r="D104" s="198" t="s">
        <v>148</v>
      </c>
      <c r="E104" s="198" t="s">
        <v>136</v>
      </c>
      <c r="F104" s="198"/>
      <c r="G104" s="198"/>
      <c r="H104" s="198"/>
      <c r="I104" s="198"/>
      <c r="J104" s="198"/>
      <c r="K104" s="199"/>
      <c r="L104" s="200"/>
      <c r="M104" s="196" t="s">
        <v>155</v>
      </c>
      <c r="N104" s="201">
        <v>5740000000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1">
        <v>5740000000</v>
      </c>
      <c r="U104" s="201">
        <v>0</v>
      </c>
      <c r="V104" s="201">
        <v>5740000000</v>
      </c>
      <c r="W104" s="202">
        <v>0</v>
      </c>
      <c r="X104" s="201">
        <v>0</v>
      </c>
      <c r="Y104" s="201">
        <v>0</v>
      </c>
      <c r="Z104" s="202">
        <v>0</v>
      </c>
      <c r="AA104" s="201">
        <v>0</v>
      </c>
      <c r="AB104" s="201">
        <v>0</v>
      </c>
      <c r="AC104" s="202">
        <v>0</v>
      </c>
      <c r="AE104" s="13"/>
      <c r="AF104" s="293"/>
    </row>
    <row r="105" spans="1:32" ht="24.95" customHeight="1" thickBot="1">
      <c r="A105" s="32" t="s">
        <v>433</v>
      </c>
      <c r="B105" s="217" t="s">
        <v>434</v>
      </c>
      <c r="C105" s="218" t="s">
        <v>23</v>
      </c>
      <c r="D105" s="219" t="s">
        <v>148</v>
      </c>
      <c r="E105" s="219" t="s">
        <v>136</v>
      </c>
      <c r="F105" s="219" t="s">
        <v>25</v>
      </c>
      <c r="G105" s="219"/>
      <c r="H105" s="219"/>
      <c r="I105" s="219"/>
      <c r="J105" s="219"/>
      <c r="K105" s="220" t="s">
        <v>144</v>
      </c>
      <c r="L105" s="221" t="s">
        <v>156</v>
      </c>
      <c r="M105" s="259" t="s">
        <v>157</v>
      </c>
      <c r="N105" s="222">
        <v>5740000000</v>
      </c>
      <c r="O105" s="223"/>
      <c r="P105" s="222"/>
      <c r="Q105" s="222"/>
      <c r="R105" s="222"/>
      <c r="S105" s="222"/>
      <c r="T105" s="222">
        <v>5740000000</v>
      </c>
      <c r="U105" s="222">
        <v>0</v>
      </c>
      <c r="V105" s="222">
        <v>5740000000</v>
      </c>
      <c r="W105" s="224">
        <v>0</v>
      </c>
      <c r="X105" s="222">
        <v>0</v>
      </c>
      <c r="Y105" s="222">
        <v>0</v>
      </c>
      <c r="Z105" s="224">
        <v>0</v>
      </c>
      <c r="AA105" s="222">
        <v>0</v>
      </c>
      <c r="AB105" s="222">
        <v>0</v>
      </c>
      <c r="AC105" s="224">
        <v>0</v>
      </c>
      <c r="AE105" s="13"/>
      <c r="AF105" s="293"/>
    </row>
    <row r="106" spans="1:32" ht="35.1" customHeight="1" thickBot="1">
      <c r="A106" s="32" t="s">
        <v>435</v>
      </c>
      <c r="B106" s="260" t="s">
        <v>278</v>
      </c>
      <c r="C106" s="261" t="s">
        <v>167</v>
      </c>
      <c r="D106" s="262"/>
      <c r="E106" s="262"/>
      <c r="F106" s="262"/>
      <c r="G106" s="262"/>
      <c r="H106" s="262"/>
      <c r="I106" s="262"/>
      <c r="J106" s="262"/>
      <c r="K106" s="263"/>
      <c r="L106" s="264"/>
      <c r="M106" s="260" t="s">
        <v>168</v>
      </c>
      <c r="N106" s="265">
        <v>3485582139470</v>
      </c>
      <c r="O106" s="265">
        <v>0</v>
      </c>
      <c r="P106" s="265">
        <v>0</v>
      </c>
      <c r="Q106" s="265">
        <v>44314848063</v>
      </c>
      <c r="R106" s="265">
        <v>44314848063</v>
      </c>
      <c r="S106" s="265">
        <v>0</v>
      </c>
      <c r="T106" s="265">
        <v>3485582139470</v>
      </c>
      <c r="U106" s="265">
        <v>1337512678089.7998</v>
      </c>
      <c r="V106" s="265">
        <v>2148069461380.2002</v>
      </c>
      <c r="W106" s="187">
        <v>0.38372720095851054</v>
      </c>
      <c r="X106" s="265">
        <v>416769</v>
      </c>
      <c r="Y106" s="265">
        <v>1337512261320.7998</v>
      </c>
      <c r="Z106" s="187">
        <v>0.999999688399963</v>
      </c>
      <c r="AA106" s="265">
        <v>0</v>
      </c>
      <c r="AB106" s="265">
        <v>416769</v>
      </c>
      <c r="AC106" s="187">
        <v>0</v>
      </c>
      <c r="AE106" s="13"/>
      <c r="AF106" s="293"/>
    </row>
    <row r="107" spans="1:32" ht="35.1" customHeight="1">
      <c r="A107" s="32" t="s">
        <v>436</v>
      </c>
      <c r="B107" s="188" t="s">
        <v>437</v>
      </c>
      <c r="C107" s="189" t="s">
        <v>167</v>
      </c>
      <c r="D107" s="191">
        <v>4101</v>
      </c>
      <c r="E107" s="191"/>
      <c r="F107" s="191"/>
      <c r="G107" s="191"/>
      <c r="H107" s="191"/>
      <c r="I107" s="191"/>
      <c r="J107" s="191"/>
      <c r="K107" s="192"/>
      <c r="L107" s="193"/>
      <c r="M107" s="188" t="s">
        <v>169</v>
      </c>
      <c r="N107" s="194">
        <v>184499832863</v>
      </c>
      <c r="O107" s="194">
        <v>0</v>
      </c>
      <c r="P107" s="194">
        <v>0</v>
      </c>
      <c r="Q107" s="194">
        <v>0</v>
      </c>
      <c r="R107" s="194">
        <v>0</v>
      </c>
      <c r="S107" s="194">
        <v>0</v>
      </c>
      <c r="T107" s="194">
        <v>184499832863</v>
      </c>
      <c r="U107" s="194">
        <v>168271705388</v>
      </c>
      <c r="V107" s="194">
        <v>16228127475</v>
      </c>
      <c r="W107" s="195">
        <v>0.91204258983231623</v>
      </c>
      <c r="X107" s="194">
        <v>0</v>
      </c>
      <c r="Y107" s="194">
        <v>168271705388</v>
      </c>
      <c r="Z107" s="195">
        <v>1</v>
      </c>
      <c r="AA107" s="194">
        <v>0</v>
      </c>
      <c r="AB107" s="194">
        <v>0</v>
      </c>
      <c r="AC107" s="195">
        <v>0</v>
      </c>
      <c r="AE107" s="13"/>
      <c r="AF107" s="293"/>
    </row>
    <row r="108" spans="1:32" ht="24.95" customHeight="1">
      <c r="A108" s="32" t="s">
        <v>438</v>
      </c>
      <c r="B108" s="196" t="s">
        <v>295</v>
      </c>
      <c r="C108" s="197" t="s">
        <v>167</v>
      </c>
      <c r="D108" s="198">
        <v>4101</v>
      </c>
      <c r="E108" s="198">
        <v>1500</v>
      </c>
      <c r="F108" s="198"/>
      <c r="G108" s="198"/>
      <c r="H108" s="198"/>
      <c r="I108" s="198"/>
      <c r="J108" s="198"/>
      <c r="K108" s="199"/>
      <c r="L108" s="200"/>
      <c r="M108" s="196" t="s">
        <v>170</v>
      </c>
      <c r="N108" s="201">
        <v>184499832863</v>
      </c>
      <c r="O108" s="201">
        <v>0</v>
      </c>
      <c r="P108" s="201">
        <v>0</v>
      </c>
      <c r="Q108" s="201">
        <v>0</v>
      </c>
      <c r="R108" s="201">
        <v>0</v>
      </c>
      <c r="S108" s="201">
        <v>0</v>
      </c>
      <c r="T108" s="201">
        <v>184499832863</v>
      </c>
      <c r="U108" s="201">
        <v>168271705388</v>
      </c>
      <c r="V108" s="201">
        <v>16228127475</v>
      </c>
      <c r="W108" s="202">
        <v>0.91204258983231623</v>
      </c>
      <c r="X108" s="201">
        <v>0</v>
      </c>
      <c r="Y108" s="201">
        <v>168271705388</v>
      </c>
      <c r="Z108" s="202">
        <v>1</v>
      </c>
      <c r="AA108" s="201">
        <v>0</v>
      </c>
      <c r="AB108" s="201">
        <v>0</v>
      </c>
      <c r="AC108" s="202">
        <v>0</v>
      </c>
      <c r="AE108" s="13"/>
      <c r="AF108" s="293"/>
    </row>
    <row r="109" spans="1:32" ht="33">
      <c r="A109" s="32" t="s">
        <v>439</v>
      </c>
      <c r="B109" s="203" t="s">
        <v>440</v>
      </c>
      <c r="C109" s="227" t="s">
        <v>167</v>
      </c>
      <c r="D109" s="228" t="s">
        <v>171</v>
      </c>
      <c r="E109" s="228" t="s">
        <v>172</v>
      </c>
      <c r="F109" s="228" t="s">
        <v>261</v>
      </c>
      <c r="G109" s="228"/>
      <c r="H109" s="228"/>
      <c r="I109" s="228"/>
      <c r="J109" s="228"/>
      <c r="K109" s="229"/>
      <c r="L109" s="230"/>
      <c r="M109" s="231" t="s">
        <v>279</v>
      </c>
      <c r="N109" s="232">
        <v>66398074900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66398074900</v>
      </c>
      <c r="U109" s="232">
        <v>61150637244</v>
      </c>
      <c r="V109" s="232">
        <v>5247437656</v>
      </c>
      <c r="W109" s="233">
        <v>0.92097003318389881</v>
      </c>
      <c r="X109" s="232">
        <v>0</v>
      </c>
      <c r="Y109" s="232">
        <v>61150637244</v>
      </c>
      <c r="Z109" s="233">
        <v>1</v>
      </c>
      <c r="AA109" s="232">
        <v>0</v>
      </c>
      <c r="AB109" s="232">
        <v>0</v>
      </c>
      <c r="AC109" s="233">
        <v>0</v>
      </c>
      <c r="AE109" s="13"/>
      <c r="AF109" s="293"/>
    </row>
    <row r="110" spans="1:32" ht="24.95" customHeight="1">
      <c r="A110" s="32" t="s">
        <v>630</v>
      </c>
      <c r="B110" s="210" t="s">
        <v>441</v>
      </c>
      <c r="C110" s="211" t="s">
        <v>167</v>
      </c>
      <c r="D110" s="212" t="s">
        <v>171</v>
      </c>
      <c r="E110" s="212" t="s">
        <v>172</v>
      </c>
      <c r="F110" s="212" t="s">
        <v>261</v>
      </c>
      <c r="G110" s="212" t="s">
        <v>175</v>
      </c>
      <c r="H110" s="212" t="s">
        <v>176</v>
      </c>
      <c r="I110" s="212"/>
      <c r="J110" s="212"/>
      <c r="K110" s="213">
        <v>11</v>
      </c>
      <c r="L110" s="214" t="s">
        <v>29</v>
      </c>
      <c r="M110" s="210" t="s">
        <v>177</v>
      </c>
      <c r="N110" s="215">
        <v>37511369742</v>
      </c>
      <c r="O110" s="215">
        <v>0</v>
      </c>
      <c r="P110" s="215">
        <v>0</v>
      </c>
      <c r="Q110" s="215">
        <v>0</v>
      </c>
      <c r="R110" s="215">
        <v>0</v>
      </c>
      <c r="S110" s="215">
        <v>0</v>
      </c>
      <c r="T110" s="215">
        <v>37511369742</v>
      </c>
      <c r="U110" s="215">
        <v>34622400000</v>
      </c>
      <c r="V110" s="215">
        <v>2888969742</v>
      </c>
      <c r="W110" s="216">
        <v>0.92298415755356078</v>
      </c>
      <c r="X110" s="215">
        <v>0</v>
      </c>
      <c r="Y110" s="215">
        <v>34622400000</v>
      </c>
      <c r="Z110" s="216">
        <v>1</v>
      </c>
      <c r="AA110" s="215">
        <v>0</v>
      </c>
      <c r="AB110" s="215">
        <v>0</v>
      </c>
      <c r="AC110" s="216">
        <v>0</v>
      </c>
      <c r="AE110" s="13"/>
      <c r="AF110" s="293"/>
    </row>
    <row r="111" spans="1:32" ht="24.95" customHeight="1">
      <c r="A111" s="32" t="s">
        <v>631</v>
      </c>
      <c r="B111" s="217" t="s">
        <v>442</v>
      </c>
      <c r="C111" s="218" t="s">
        <v>167</v>
      </c>
      <c r="D111" s="219" t="s">
        <v>171</v>
      </c>
      <c r="E111" s="219" t="s">
        <v>172</v>
      </c>
      <c r="F111" s="219" t="s">
        <v>261</v>
      </c>
      <c r="G111" s="219" t="s">
        <v>175</v>
      </c>
      <c r="H111" s="219" t="s">
        <v>176</v>
      </c>
      <c r="I111" s="219" t="s">
        <v>54</v>
      </c>
      <c r="J111" s="219"/>
      <c r="K111" s="220">
        <v>11</v>
      </c>
      <c r="L111" s="221" t="s">
        <v>29</v>
      </c>
      <c r="M111" s="217" t="s">
        <v>178</v>
      </c>
      <c r="N111" s="222">
        <v>37511369742</v>
      </c>
      <c r="O111" s="222"/>
      <c r="P111" s="222"/>
      <c r="Q111" s="222"/>
      <c r="R111" s="222"/>
      <c r="S111" s="222"/>
      <c r="T111" s="222">
        <v>37511369742</v>
      </c>
      <c r="U111" s="222">
        <v>34622400000</v>
      </c>
      <c r="V111" s="222">
        <v>2888969742</v>
      </c>
      <c r="W111" s="224">
        <v>0.92298415755356078</v>
      </c>
      <c r="X111" s="222">
        <v>0</v>
      </c>
      <c r="Y111" s="222">
        <v>34622400000</v>
      </c>
      <c r="Z111" s="224">
        <v>1</v>
      </c>
      <c r="AA111" s="222">
        <v>0</v>
      </c>
      <c r="AB111" s="222">
        <v>0</v>
      </c>
      <c r="AC111" s="224">
        <v>0</v>
      </c>
      <c r="AE111" s="13"/>
      <c r="AF111" s="293"/>
    </row>
    <row r="112" spans="1:32" ht="33">
      <c r="A112" s="32" t="s">
        <v>632</v>
      </c>
      <c r="B112" s="210" t="s">
        <v>443</v>
      </c>
      <c r="C112" s="211" t="s">
        <v>167</v>
      </c>
      <c r="D112" s="212" t="s">
        <v>171</v>
      </c>
      <c r="E112" s="212" t="s">
        <v>172</v>
      </c>
      <c r="F112" s="212" t="s">
        <v>261</v>
      </c>
      <c r="G112" s="212" t="s">
        <v>175</v>
      </c>
      <c r="H112" s="212" t="s">
        <v>179</v>
      </c>
      <c r="I112" s="212"/>
      <c r="J112" s="212"/>
      <c r="K112" s="213">
        <v>11</v>
      </c>
      <c r="L112" s="214" t="s">
        <v>29</v>
      </c>
      <c r="M112" s="210" t="s">
        <v>180</v>
      </c>
      <c r="N112" s="215">
        <v>8799663116</v>
      </c>
      <c r="O112" s="215">
        <v>0</v>
      </c>
      <c r="P112" s="215">
        <v>0</v>
      </c>
      <c r="Q112" s="215">
        <v>0</v>
      </c>
      <c r="R112" s="215">
        <v>0</v>
      </c>
      <c r="S112" s="215">
        <v>0</v>
      </c>
      <c r="T112" s="215">
        <v>8799663116</v>
      </c>
      <c r="U112" s="215">
        <v>8799663116</v>
      </c>
      <c r="V112" s="215">
        <v>0</v>
      </c>
      <c r="W112" s="216">
        <v>1</v>
      </c>
      <c r="X112" s="215">
        <v>0</v>
      </c>
      <c r="Y112" s="215">
        <v>8799663116</v>
      </c>
      <c r="Z112" s="216">
        <v>1</v>
      </c>
      <c r="AA112" s="215">
        <v>0</v>
      </c>
      <c r="AB112" s="215">
        <v>0</v>
      </c>
      <c r="AC112" s="216">
        <v>0</v>
      </c>
      <c r="AE112" s="13"/>
      <c r="AF112" s="293"/>
    </row>
    <row r="113" spans="1:32" ht="24.95" customHeight="1">
      <c r="A113" s="32" t="s">
        <v>633</v>
      </c>
      <c r="B113" s="217" t="s">
        <v>444</v>
      </c>
      <c r="C113" s="218" t="s">
        <v>167</v>
      </c>
      <c r="D113" s="219" t="s">
        <v>171</v>
      </c>
      <c r="E113" s="219" t="s">
        <v>172</v>
      </c>
      <c r="F113" s="219">
        <v>5</v>
      </c>
      <c r="G113" s="219" t="s">
        <v>175</v>
      </c>
      <c r="H113" s="219" t="s">
        <v>179</v>
      </c>
      <c r="I113" s="219" t="s">
        <v>54</v>
      </c>
      <c r="J113" s="219"/>
      <c r="K113" s="220">
        <v>11</v>
      </c>
      <c r="L113" s="221" t="s">
        <v>29</v>
      </c>
      <c r="M113" s="259" t="s">
        <v>178</v>
      </c>
      <c r="N113" s="222">
        <v>8799663116</v>
      </c>
      <c r="O113" s="222"/>
      <c r="P113" s="222"/>
      <c r="Q113" s="222"/>
      <c r="R113" s="636"/>
      <c r="S113" s="222"/>
      <c r="T113" s="222">
        <v>8799663116</v>
      </c>
      <c r="U113" s="222">
        <v>8799663116</v>
      </c>
      <c r="V113" s="222">
        <v>0</v>
      </c>
      <c r="W113" s="224">
        <v>1</v>
      </c>
      <c r="X113" s="222">
        <v>0</v>
      </c>
      <c r="Y113" s="222">
        <v>8799663116</v>
      </c>
      <c r="Z113" s="224">
        <v>1</v>
      </c>
      <c r="AA113" s="222">
        <v>0</v>
      </c>
      <c r="AB113" s="222">
        <v>0</v>
      </c>
      <c r="AC113" s="224">
        <v>0</v>
      </c>
      <c r="AE113" s="13"/>
      <c r="AF113" s="293"/>
    </row>
    <row r="114" spans="1:32" ht="49.5">
      <c r="A114" s="32" t="s">
        <v>634</v>
      </c>
      <c r="B114" s="210" t="s">
        <v>445</v>
      </c>
      <c r="C114" s="211" t="s">
        <v>167</v>
      </c>
      <c r="D114" s="212" t="s">
        <v>171</v>
      </c>
      <c r="E114" s="212" t="s">
        <v>172</v>
      </c>
      <c r="F114" s="212" t="s">
        <v>261</v>
      </c>
      <c r="G114" s="212" t="s">
        <v>175</v>
      </c>
      <c r="H114" s="212" t="s">
        <v>181</v>
      </c>
      <c r="I114" s="212"/>
      <c r="J114" s="212"/>
      <c r="K114" s="213">
        <v>11</v>
      </c>
      <c r="L114" s="214" t="s">
        <v>29</v>
      </c>
      <c r="M114" s="210" t="s">
        <v>182</v>
      </c>
      <c r="N114" s="215">
        <v>4325174580</v>
      </c>
      <c r="O114" s="215">
        <v>0</v>
      </c>
      <c r="P114" s="215">
        <v>0</v>
      </c>
      <c r="Q114" s="215">
        <v>0</v>
      </c>
      <c r="R114" s="215">
        <v>0</v>
      </c>
      <c r="S114" s="215">
        <v>0</v>
      </c>
      <c r="T114" s="215">
        <v>4325174580</v>
      </c>
      <c r="U114" s="215">
        <v>2911404967</v>
      </c>
      <c r="V114" s="215">
        <v>1413769613</v>
      </c>
      <c r="W114" s="216">
        <v>0.67313004669513243</v>
      </c>
      <c r="X114" s="215">
        <v>0</v>
      </c>
      <c r="Y114" s="215">
        <v>2911404967</v>
      </c>
      <c r="Z114" s="216">
        <v>1</v>
      </c>
      <c r="AA114" s="215">
        <v>0</v>
      </c>
      <c r="AB114" s="215">
        <v>0</v>
      </c>
      <c r="AC114" s="216">
        <v>0</v>
      </c>
      <c r="AE114" s="13"/>
      <c r="AF114" s="293"/>
    </row>
    <row r="115" spans="1:32" ht="24.95" customHeight="1">
      <c r="A115" s="32" t="s">
        <v>635</v>
      </c>
      <c r="B115" s="217" t="s">
        <v>446</v>
      </c>
      <c r="C115" s="218" t="s">
        <v>167</v>
      </c>
      <c r="D115" s="219" t="s">
        <v>171</v>
      </c>
      <c r="E115" s="219" t="s">
        <v>172</v>
      </c>
      <c r="F115" s="219" t="s">
        <v>261</v>
      </c>
      <c r="G115" s="219" t="s">
        <v>175</v>
      </c>
      <c r="H115" s="219" t="s">
        <v>181</v>
      </c>
      <c r="I115" s="225" t="s">
        <v>54</v>
      </c>
      <c r="J115" s="219"/>
      <c r="K115" s="220">
        <v>11</v>
      </c>
      <c r="L115" s="221" t="s">
        <v>29</v>
      </c>
      <c r="M115" s="217" t="s">
        <v>178</v>
      </c>
      <c r="N115" s="222">
        <v>4325174580</v>
      </c>
      <c r="O115" s="222"/>
      <c r="P115" s="222"/>
      <c r="Q115" s="222"/>
      <c r="R115" s="222"/>
      <c r="S115" s="222"/>
      <c r="T115" s="222">
        <v>4325174580</v>
      </c>
      <c r="U115" s="222">
        <v>2911404967</v>
      </c>
      <c r="V115" s="222">
        <v>1413769613</v>
      </c>
      <c r="W115" s="224">
        <v>0.67313004669513243</v>
      </c>
      <c r="X115" s="222">
        <v>0</v>
      </c>
      <c r="Y115" s="222">
        <v>2911404967</v>
      </c>
      <c r="Z115" s="224">
        <v>1</v>
      </c>
      <c r="AA115" s="222">
        <v>0</v>
      </c>
      <c r="AB115" s="222">
        <v>0</v>
      </c>
      <c r="AC115" s="224">
        <v>0</v>
      </c>
      <c r="AE115" s="13"/>
      <c r="AF115" s="293"/>
    </row>
    <row r="116" spans="1:32" ht="49.5">
      <c r="A116" s="32" t="s">
        <v>636</v>
      </c>
      <c r="B116" s="210" t="s">
        <v>447</v>
      </c>
      <c r="C116" s="211" t="s">
        <v>167</v>
      </c>
      <c r="D116" s="212" t="s">
        <v>171</v>
      </c>
      <c r="E116" s="212" t="s">
        <v>172</v>
      </c>
      <c r="F116" s="212" t="s">
        <v>261</v>
      </c>
      <c r="G116" s="212" t="s">
        <v>175</v>
      </c>
      <c r="H116" s="212" t="s">
        <v>183</v>
      </c>
      <c r="I116" s="212"/>
      <c r="J116" s="212"/>
      <c r="K116" s="213">
        <v>11</v>
      </c>
      <c r="L116" s="214" t="s">
        <v>29</v>
      </c>
      <c r="M116" s="210" t="s">
        <v>184</v>
      </c>
      <c r="N116" s="215">
        <v>7972098301</v>
      </c>
      <c r="O116" s="215">
        <v>0</v>
      </c>
      <c r="P116" s="215">
        <v>0</v>
      </c>
      <c r="Q116" s="215">
        <v>0</v>
      </c>
      <c r="R116" s="215">
        <v>0</v>
      </c>
      <c r="S116" s="215">
        <v>0</v>
      </c>
      <c r="T116" s="215">
        <v>7972098301</v>
      </c>
      <c r="U116" s="215">
        <v>7027400000</v>
      </c>
      <c r="V116" s="215">
        <v>944698301</v>
      </c>
      <c r="W116" s="216">
        <v>0.8814994164232145</v>
      </c>
      <c r="X116" s="215">
        <v>0</v>
      </c>
      <c r="Y116" s="215">
        <v>7027400000</v>
      </c>
      <c r="Z116" s="216">
        <v>1</v>
      </c>
      <c r="AA116" s="215">
        <v>0</v>
      </c>
      <c r="AB116" s="215">
        <v>0</v>
      </c>
      <c r="AC116" s="216">
        <v>0</v>
      </c>
      <c r="AE116" s="13"/>
      <c r="AF116" s="293"/>
    </row>
    <row r="117" spans="1:32" ht="24.95" customHeight="1">
      <c r="A117" s="32" t="s">
        <v>637</v>
      </c>
      <c r="B117" s="217" t="s">
        <v>448</v>
      </c>
      <c r="C117" s="218" t="s">
        <v>167</v>
      </c>
      <c r="D117" s="219" t="s">
        <v>171</v>
      </c>
      <c r="E117" s="219" t="s">
        <v>172</v>
      </c>
      <c r="F117" s="219" t="s">
        <v>261</v>
      </c>
      <c r="G117" s="219" t="s">
        <v>175</v>
      </c>
      <c r="H117" s="219" t="s">
        <v>183</v>
      </c>
      <c r="I117" s="219" t="s">
        <v>54</v>
      </c>
      <c r="J117" s="219"/>
      <c r="K117" s="220">
        <v>11</v>
      </c>
      <c r="L117" s="221" t="s">
        <v>29</v>
      </c>
      <c r="M117" s="217" t="s">
        <v>178</v>
      </c>
      <c r="N117" s="222">
        <v>7972098301</v>
      </c>
      <c r="O117" s="222"/>
      <c r="P117" s="222"/>
      <c r="Q117" s="222"/>
      <c r="R117" s="222"/>
      <c r="S117" s="222"/>
      <c r="T117" s="222">
        <v>7972098301</v>
      </c>
      <c r="U117" s="222">
        <v>7027400000</v>
      </c>
      <c r="V117" s="222">
        <v>944698301</v>
      </c>
      <c r="W117" s="224">
        <v>0.8814994164232145</v>
      </c>
      <c r="X117" s="222">
        <v>0</v>
      </c>
      <c r="Y117" s="222">
        <v>7027400000</v>
      </c>
      <c r="Z117" s="224">
        <v>1</v>
      </c>
      <c r="AA117" s="222">
        <v>0</v>
      </c>
      <c r="AB117" s="222">
        <v>0</v>
      </c>
      <c r="AC117" s="224">
        <v>0</v>
      </c>
      <c r="AE117" s="13"/>
      <c r="AF117" s="293"/>
    </row>
    <row r="118" spans="1:32" ht="24.95" customHeight="1">
      <c r="A118" s="32" t="s">
        <v>638</v>
      </c>
      <c r="B118" s="210" t="s">
        <v>449</v>
      </c>
      <c r="C118" s="211" t="s">
        <v>167</v>
      </c>
      <c r="D118" s="212" t="s">
        <v>171</v>
      </c>
      <c r="E118" s="212" t="s">
        <v>172</v>
      </c>
      <c r="F118" s="212" t="s">
        <v>261</v>
      </c>
      <c r="G118" s="212" t="s">
        <v>175</v>
      </c>
      <c r="H118" s="212" t="s">
        <v>185</v>
      </c>
      <c r="I118" s="212"/>
      <c r="J118" s="212"/>
      <c r="K118" s="213">
        <v>11</v>
      </c>
      <c r="L118" s="214" t="s">
        <v>29</v>
      </c>
      <c r="M118" s="210" t="s">
        <v>186</v>
      </c>
      <c r="N118" s="215">
        <v>5196200000</v>
      </c>
      <c r="O118" s="215">
        <v>0</v>
      </c>
      <c r="P118" s="215">
        <v>0</v>
      </c>
      <c r="Q118" s="215">
        <v>0</v>
      </c>
      <c r="R118" s="215">
        <v>0</v>
      </c>
      <c r="S118" s="215">
        <v>0</v>
      </c>
      <c r="T118" s="215">
        <v>5196200000</v>
      </c>
      <c r="U118" s="215">
        <v>5196200000</v>
      </c>
      <c r="V118" s="215">
        <v>0</v>
      </c>
      <c r="W118" s="216">
        <v>1</v>
      </c>
      <c r="X118" s="215">
        <v>0</v>
      </c>
      <c r="Y118" s="215">
        <v>5196200000</v>
      </c>
      <c r="Z118" s="216">
        <v>1</v>
      </c>
      <c r="AA118" s="215">
        <v>0</v>
      </c>
      <c r="AB118" s="215">
        <v>0</v>
      </c>
      <c r="AC118" s="216">
        <v>0</v>
      </c>
      <c r="AE118" s="13"/>
      <c r="AF118" s="293"/>
    </row>
    <row r="119" spans="1:32" ht="24.95" customHeight="1">
      <c r="A119" s="32" t="s">
        <v>639</v>
      </c>
      <c r="B119" s="217" t="s">
        <v>450</v>
      </c>
      <c r="C119" s="218" t="s">
        <v>167</v>
      </c>
      <c r="D119" s="219" t="s">
        <v>171</v>
      </c>
      <c r="E119" s="219" t="s">
        <v>172</v>
      </c>
      <c r="F119" s="219">
        <v>5</v>
      </c>
      <c r="G119" s="219" t="s">
        <v>175</v>
      </c>
      <c r="H119" s="219" t="s">
        <v>185</v>
      </c>
      <c r="I119" s="219" t="s">
        <v>54</v>
      </c>
      <c r="J119" s="219"/>
      <c r="K119" s="220">
        <v>11</v>
      </c>
      <c r="L119" s="221" t="s">
        <v>29</v>
      </c>
      <c r="M119" s="259" t="s">
        <v>178</v>
      </c>
      <c r="N119" s="222">
        <v>5196200000</v>
      </c>
      <c r="O119" s="222"/>
      <c r="P119" s="222"/>
      <c r="Q119" s="222"/>
      <c r="R119" s="222"/>
      <c r="S119" s="222"/>
      <c r="T119" s="222">
        <v>5196200000</v>
      </c>
      <c r="U119" s="222">
        <v>5196200000</v>
      </c>
      <c r="V119" s="222">
        <v>0</v>
      </c>
      <c r="W119" s="224">
        <v>1</v>
      </c>
      <c r="X119" s="222">
        <v>0</v>
      </c>
      <c r="Y119" s="222">
        <v>5196200000</v>
      </c>
      <c r="Z119" s="224">
        <v>1</v>
      </c>
      <c r="AA119" s="222">
        <v>0</v>
      </c>
      <c r="AB119" s="222">
        <v>0</v>
      </c>
      <c r="AC119" s="224">
        <v>0</v>
      </c>
      <c r="AE119" s="13"/>
      <c r="AF119" s="293"/>
    </row>
    <row r="120" spans="1:32" ht="33">
      <c r="A120" s="32" t="s">
        <v>640</v>
      </c>
      <c r="B120" s="210" t="s">
        <v>451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187</v>
      </c>
      <c r="I120" s="212"/>
      <c r="J120" s="212"/>
      <c r="K120" s="213">
        <v>11</v>
      </c>
      <c r="L120" s="214" t="s">
        <v>29</v>
      </c>
      <c r="M120" s="210" t="s">
        <v>188</v>
      </c>
      <c r="N120" s="215">
        <v>2593569161</v>
      </c>
      <c r="O120" s="215">
        <v>0</v>
      </c>
      <c r="P120" s="215">
        <v>0</v>
      </c>
      <c r="Q120" s="215">
        <v>0</v>
      </c>
      <c r="R120" s="215">
        <v>0</v>
      </c>
      <c r="S120" s="215">
        <v>0</v>
      </c>
      <c r="T120" s="215">
        <v>2593569161</v>
      </c>
      <c r="U120" s="215">
        <v>2593569161</v>
      </c>
      <c r="V120" s="215">
        <v>0</v>
      </c>
      <c r="W120" s="216">
        <v>1</v>
      </c>
      <c r="X120" s="215">
        <v>0</v>
      </c>
      <c r="Y120" s="215">
        <v>2593569161</v>
      </c>
      <c r="Z120" s="216">
        <v>1</v>
      </c>
      <c r="AA120" s="215">
        <v>0</v>
      </c>
      <c r="AB120" s="215">
        <v>0</v>
      </c>
      <c r="AC120" s="216">
        <v>0</v>
      </c>
      <c r="AE120" s="13"/>
      <c r="AF120" s="293"/>
    </row>
    <row r="121" spans="1:32" ht="24.95" customHeight="1">
      <c r="A121" s="32" t="s">
        <v>641</v>
      </c>
      <c r="B121" s="217" t="s">
        <v>452</v>
      </c>
      <c r="C121" s="218" t="s">
        <v>167</v>
      </c>
      <c r="D121" s="219" t="s">
        <v>171</v>
      </c>
      <c r="E121" s="219" t="s">
        <v>172</v>
      </c>
      <c r="F121" s="219" t="s">
        <v>261</v>
      </c>
      <c r="G121" s="219" t="s">
        <v>175</v>
      </c>
      <c r="H121" s="219" t="s">
        <v>187</v>
      </c>
      <c r="I121" s="219" t="s">
        <v>54</v>
      </c>
      <c r="J121" s="219"/>
      <c r="K121" s="220">
        <v>11</v>
      </c>
      <c r="L121" s="221" t="s">
        <v>29</v>
      </c>
      <c r="M121" s="217" t="s">
        <v>178</v>
      </c>
      <c r="N121" s="222">
        <v>2593569161</v>
      </c>
      <c r="O121" s="222"/>
      <c r="P121" s="222"/>
      <c r="Q121" s="222"/>
      <c r="R121" s="222"/>
      <c r="S121" s="222"/>
      <c r="T121" s="222">
        <v>2593569161</v>
      </c>
      <c r="U121" s="222">
        <v>2593569161</v>
      </c>
      <c r="V121" s="222">
        <v>0</v>
      </c>
      <c r="W121" s="224">
        <v>1</v>
      </c>
      <c r="X121" s="222">
        <v>0</v>
      </c>
      <c r="Y121" s="222">
        <v>2593569161</v>
      </c>
      <c r="Z121" s="224">
        <v>1</v>
      </c>
      <c r="AA121" s="222">
        <v>0</v>
      </c>
      <c r="AB121" s="222">
        <v>0</v>
      </c>
      <c r="AC121" s="224">
        <v>0</v>
      </c>
      <c r="AE121" s="13"/>
      <c r="AF121" s="293"/>
    </row>
    <row r="122" spans="1:32" ht="66">
      <c r="A122" s="32" t="s">
        <v>453</v>
      </c>
      <c r="B122" s="226" t="s">
        <v>454</v>
      </c>
      <c r="C122" s="227" t="s">
        <v>167</v>
      </c>
      <c r="D122" s="228" t="s">
        <v>171</v>
      </c>
      <c r="E122" s="228" t="s">
        <v>172</v>
      </c>
      <c r="F122" s="228" t="s">
        <v>173</v>
      </c>
      <c r="G122" s="228"/>
      <c r="H122" s="228"/>
      <c r="I122" s="228"/>
      <c r="J122" s="228"/>
      <c r="K122" s="229"/>
      <c r="L122" s="230"/>
      <c r="M122" s="231" t="s">
        <v>174</v>
      </c>
      <c r="N122" s="232">
        <v>118101757963</v>
      </c>
      <c r="O122" s="232">
        <v>0</v>
      </c>
      <c r="P122" s="232">
        <v>0</v>
      </c>
      <c r="Q122" s="232">
        <v>0</v>
      </c>
      <c r="R122" s="232">
        <v>0</v>
      </c>
      <c r="S122" s="232">
        <v>0</v>
      </c>
      <c r="T122" s="232">
        <v>118101757963</v>
      </c>
      <c r="U122" s="232">
        <v>107121068144</v>
      </c>
      <c r="V122" s="232">
        <v>10980689819</v>
      </c>
      <c r="W122" s="233">
        <v>0.90702348543837819</v>
      </c>
      <c r="X122" s="232">
        <v>0</v>
      </c>
      <c r="Y122" s="232">
        <v>107121068144</v>
      </c>
      <c r="Z122" s="233">
        <v>1</v>
      </c>
      <c r="AA122" s="232">
        <v>0</v>
      </c>
      <c r="AB122" s="232">
        <v>0</v>
      </c>
      <c r="AC122" s="233">
        <v>0</v>
      </c>
      <c r="AE122" s="13"/>
      <c r="AF122" s="293"/>
    </row>
    <row r="123" spans="1:32" ht="24.95" customHeight="1">
      <c r="A123" s="32" t="s">
        <v>455</v>
      </c>
      <c r="B123" s="210" t="s">
        <v>456</v>
      </c>
      <c r="C123" s="211" t="s">
        <v>167</v>
      </c>
      <c r="D123" s="212" t="s">
        <v>171</v>
      </c>
      <c r="E123" s="212" t="s">
        <v>172</v>
      </c>
      <c r="F123" s="212" t="s">
        <v>173</v>
      </c>
      <c r="G123" s="212" t="s">
        <v>175</v>
      </c>
      <c r="H123" s="212" t="s">
        <v>176</v>
      </c>
      <c r="I123" s="212"/>
      <c r="J123" s="212"/>
      <c r="K123" s="213" t="s">
        <v>144</v>
      </c>
      <c r="L123" s="214" t="s">
        <v>29</v>
      </c>
      <c r="M123" s="210" t="s">
        <v>177</v>
      </c>
      <c r="N123" s="215">
        <v>4947405600</v>
      </c>
      <c r="O123" s="215">
        <v>0</v>
      </c>
      <c r="P123" s="215">
        <v>0</v>
      </c>
      <c r="Q123" s="215">
        <v>0</v>
      </c>
      <c r="R123" s="215">
        <v>0</v>
      </c>
      <c r="S123" s="215">
        <v>0</v>
      </c>
      <c r="T123" s="215">
        <v>4947405600</v>
      </c>
      <c r="U123" s="215">
        <v>1947405600</v>
      </c>
      <c r="V123" s="215">
        <v>3000000000</v>
      </c>
      <c r="W123" s="216">
        <v>0.39362157814592763</v>
      </c>
      <c r="X123" s="215">
        <v>0</v>
      </c>
      <c r="Y123" s="215">
        <v>1947405600</v>
      </c>
      <c r="Z123" s="216">
        <v>1</v>
      </c>
      <c r="AA123" s="215">
        <v>0</v>
      </c>
      <c r="AB123" s="215">
        <v>0</v>
      </c>
      <c r="AC123" s="216">
        <v>0</v>
      </c>
      <c r="AE123" s="13"/>
      <c r="AF123" s="293"/>
    </row>
    <row r="124" spans="1:32" ht="24.95" customHeight="1">
      <c r="A124" s="32" t="s">
        <v>457</v>
      </c>
      <c r="B124" s="217" t="s">
        <v>458</v>
      </c>
      <c r="C124" s="218" t="s">
        <v>167</v>
      </c>
      <c r="D124" s="219" t="s">
        <v>171</v>
      </c>
      <c r="E124" s="219" t="s">
        <v>172</v>
      </c>
      <c r="F124" s="219" t="s">
        <v>173</v>
      </c>
      <c r="G124" s="219" t="s">
        <v>175</v>
      </c>
      <c r="H124" s="219" t="s">
        <v>176</v>
      </c>
      <c r="I124" s="219" t="s">
        <v>54</v>
      </c>
      <c r="J124" s="219"/>
      <c r="K124" s="220" t="s">
        <v>144</v>
      </c>
      <c r="L124" s="221" t="s">
        <v>29</v>
      </c>
      <c r="M124" s="259" t="s">
        <v>178</v>
      </c>
      <c r="N124" s="222">
        <v>4947405600</v>
      </c>
      <c r="O124" s="222"/>
      <c r="P124" s="222"/>
      <c r="Q124" s="222"/>
      <c r="R124" s="222"/>
      <c r="S124" s="222"/>
      <c r="T124" s="222">
        <v>4947405600</v>
      </c>
      <c r="U124" s="222">
        <v>1947405600</v>
      </c>
      <c r="V124" s="222">
        <v>3000000000</v>
      </c>
      <c r="W124" s="224">
        <v>0.39362157814592763</v>
      </c>
      <c r="X124" s="222">
        <v>0</v>
      </c>
      <c r="Y124" s="222">
        <v>1947405600</v>
      </c>
      <c r="Z124" s="224">
        <v>1</v>
      </c>
      <c r="AA124" s="222">
        <v>0</v>
      </c>
      <c r="AB124" s="222">
        <v>0</v>
      </c>
      <c r="AC124" s="224">
        <v>0</v>
      </c>
      <c r="AE124" s="13"/>
      <c r="AF124" s="293"/>
    </row>
    <row r="125" spans="1:32" ht="33">
      <c r="A125" s="32" t="s">
        <v>459</v>
      </c>
      <c r="B125" s="210" t="s">
        <v>460</v>
      </c>
      <c r="C125" s="211" t="s">
        <v>167</v>
      </c>
      <c r="D125" s="212" t="s">
        <v>171</v>
      </c>
      <c r="E125" s="212" t="s">
        <v>172</v>
      </c>
      <c r="F125" s="212" t="s">
        <v>173</v>
      </c>
      <c r="G125" s="212" t="s">
        <v>175</v>
      </c>
      <c r="H125" s="212" t="s">
        <v>179</v>
      </c>
      <c r="I125" s="212"/>
      <c r="J125" s="212"/>
      <c r="K125" s="213" t="s">
        <v>144</v>
      </c>
      <c r="L125" s="214" t="s">
        <v>29</v>
      </c>
      <c r="M125" s="210" t="s">
        <v>180</v>
      </c>
      <c r="N125" s="215">
        <v>27420887861</v>
      </c>
      <c r="O125" s="215">
        <v>0</v>
      </c>
      <c r="P125" s="215">
        <v>0</v>
      </c>
      <c r="Q125" s="215">
        <v>0</v>
      </c>
      <c r="R125" s="215">
        <v>0</v>
      </c>
      <c r="S125" s="215">
        <v>0</v>
      </c>
      <c r="T125" s="215">
        <v>27420887861</v>
      </c>
      <c r="U125" s="215">
        <v>27306887861</v>
      </c>
      <c r="V125" s="215">
        <v>114000000</v>
      </c>
      <c r="W125" s="216">
        <v>0.99584258538316195</v>
      </c>
      <c r="X125" s="215">
        <v>0</v>
      </c>
      <c r="Y125" s="215">
        <v>27306887861</v>
      </c>
      <c r="Z125" s="216">
        <v>1</v>
      </c>
      <c r="AA125" s="215">
        <v>0</v>
      </c>
      <c r="AB125" s="215">
        <v>0</v>
      </c>
      <c r="AC125" s="216">
        <v>0</v>
      </c>
      <c r="AE125" s="13"/>
      <c r="AF125" s="293"/>
    </row>
    <row r="126" spans="1:32" ht="24.95" customHeight="1">
      <c r="A126" s="32" t="s">
        <v>461</v>
      </c>
      <c r="B126" s="217" t="s">
        <v>462</v>
      </c>
      <c r="C126" s="218" t="s">
        <v>167</v>
      </c>
      <c r="D126" s="219" t="s">
        <v>171</v>
      </c>
      <c r="E126" s="219" t="s">
        <v>172</v>
      </c>
      <c r="F126" s="219" t="s">
        <v>173</v>
      </c>
      <c r="G126" s="219" t="s">
        <v>175</v>
      </c>
      <c r="H126" s="219" t="s">
        <v>179</v>
      </c>
      <c r="I126" s="219" t="s">
        <v>54</v>
      </c>
      <c r="J126" s="219"/>
      <c r="K126" s="220" t="s">
        <v>144</v>
      </c>
      <c r="L126" s="221" t="s">
        <v>29</v>
      </c>
      <c r="M126" s="259" t="s">
        <v>178</v>
      </c>
      <c r="N126" s="222">
        <v>27420887861</v>
      </c>
      <c r="O126" s="222"/>
      <c r="P126" s="222"/>
      <c r="Q126" s="222"/>
      <c r="R126" s="222"/>
      <c r="S126" s="222"/>
      <c r="T126" s="222">
        <v>27420887861</v>
      </c>
      <c r="U126" s="222">
        <v>27306887861</v>
      </c>
      <c r="V126" s="222">
        <v>114000000</v>
      </c>
      <c r="W126" s="224">
        <v>0.99584258538316195</v>
      </c>
      <c r="X126" s="222">
        <v>0</v>
      </c>
      <c r="Y126" s="222">
        <v>27306887861</v>
      </c>
      <c r="Z126" s="224">
        <v>1</v>
      </c>
      <c r="AA126" s="222">
        <v>0</v>
      </c>
      <c r="AB126" s="222">
        <v>0</v>
      </c>
      <c r="AC126" s="224">
        <v>0</v>
      </c>
      <c r="AE126" s="13"/>
      <c r="AF126" s="293"/>
    </row>
    <row r="127" spans="1:32" ht="49.5">
      <c r="A127" s="32" t="s">
        <v>463</v>
      </c>
      <c r="B127" s="210" t="s">
        <v>464</v>
      </c>
      <c r="C127" s="211" t="s">
        <v>167</v>
      </c>
      <c r="D127" s="212" t="s">
        <v>171</v>
      </c>
      <c r="E127" s="212" t="s">
        <v>172</v>
      </c>
      <c r="F127" s="212" t="s">
        <v>173</v>
      </c>
      <c r="G127" s="212" t="s">
        <v>175</v>
      </c>
      <c r="H127" s="212" t="s">
        <v>181</v>
      </c>
      <c r="I127" s="212"/>
      <c r="J127" s="212"/>
      <c r="K127" s="213" t="s">
        <v>144</v>
      </c>
      <c r="L127" s="214" t="s">
        <v>29</v>
      </c>
      <c r="M127" s="210" t="s">
        <v>182</v>
      </c>
      <c r="N127" s="215">
        <v>17722088000</v>
      </c>
      <c r="O127" s="215">
        <v>0</v>
      </c>
      <c r="P127" s="215">
        <v>0</v>
      </c>
      <c r="Q127" s="215">
        <v>0</v>
      </c>
      <c r="R127" s="215">
        <v>0</v>
      </c>
      <c r="S127" s="215">
        <v>0</v>
      </c>
      <c r="T127" s="215">
        <v>17722088000</v>
      </c>
      <c r="U127" s="215">
        <v>17722088000</v>
      </c>
      <c r="V127" s="215">
        <v>0</v>
      </c>
      <c r="W127" s="216">
        <v>1</v>
      </c>
      <c r="X127" s="215">
        <v>0</v>
      </c>
      <c r="Y127" s="215">
        <v>17722088000</v>
      </c>
      <c r="Z127" s="216">
        <v>1</v>
      </c>
      <c r="AA127" s="215">
        <v>0</v>
      </c>
      <c r="AB127" s="215">
        <v>0</v>
      </c>
      <c r="AC127" s="216">
        <v>0</v>
      </c>
      <c r="AE127" s="13"/>
      <c r="AF127" s="293"/>
    </row>
    <row r="128" spans="1:32" ht="24.95" customHeight="1">
      <c r="A128" s="32" t="s">
        <v>465</v>
      </c>
      <c r="B128" s="217" t="s">
        <v>466</v>
      </c>
      <c r="C128" s="218" t="s">
        <v>167</v>
      </c>
      <c r="D128" s="219" t="s">
        <v>171</v>
      </c>
      <c r="E128" s="219" t="s">
        <v>172</v>
      </c>
      <c r="F128" s="219" t="s">
        <v>173</v>
      </c>
      <c r="G128" s="219" t="s">
        <v>175</v>
      </c>
      <c r="H128" s="219" t="s">
        <v>181</v>
      </c>
      <c r="I128" s="219" t="s">
        <v>54</v>
      </c>
      <c r="J128" s="219"/>
      <c r="K128" s="220" t="s">
        <v>144</v>
      </c>
      <c r="L128" s="221" t="s">
        <v>29</v>
      </c>
      <c r="M128" s="259" t="s">
        <v>178</v>
      </c>
      <c r="N128" s="222">
        <v>17722088000</v>
      </c>
      <c r="O128" s="222"/>
      <c r="P128" s="222"/>
      <c r="Q128" s="222"/>
      <c r="R128" s="222"/>
      <c r="S128" s="222"/>
      <c r="T128" s="222">
        <v>17722088000</v>
      </c>
      <c r="U128" s="222">
        <v>17722088000</v>
      </c>
      <c r="V128" s="222">
        <v>0</v>
      </c>
      <c r="W128" s="224">
        <v>1</v>
      </c>
      <c r="X128" s="222">
        <v>0</v>
      </c>
      <c r="Y128" s="222">
        <v>17722088000</v>
      </c>
      <c r="Z128" s="224">
        <v>1</v>
      </c>
      <c r="AA128" s="222">
        <v>0</v>
      </c>
      <c r="AB128" s="222">
        <v>0</v>
      </c>
      <c r="AC128" s="224">
        <v>0</v>
      </c>
      <c r="AE128" s="13"/>
      <c r="AF128" s="293"/>
    </row>
    <row r="129" spans="1:53" ht="49.5">
      <c r="A129" s="32" t="s">
        <v>467</v>
      </c>
      <c r="B129" s="210" t="s">
        <v>468</v>
      </c>
      <c r="C129" s="211" t="s">
        <v>167</v>
      </c>
      <c r="D129" s="212" t="s">
        <v>171</v>
      </c>
      <c r="E129" s="212" t="s">
        <v>172</v>
      </c>
      <c r="F129" s="212" t="s">
        <v>173</v>
      </c>
      <c r="G129" s="212" t="s">
        <v>175</v>
      </c>
      <c r="H129" s="212" t="s">
        <v>183</v>
      </c>
      <c r="I129" s="212"/>
      <c r="J129" s="212"/>
      <c r="K129" s="213" t="s">
        <v>144</v>
      </c>
      <c r="L129" s="214" t="s">
        <v>29</v>
      </c>
      <c r="M129" s="210" t="s">
        <v>184</v>
      </c>
      <c r="N129" s="215">
        <v>16276997084</v>
      </c>
      <c r="O129" s="215">
        <v>0</v>
      </c>
      <c r="P129" s="215">
        <v>0</v>
      </c>
      <c r="Q129" s="215">
        <v>0</v>
      </c>
      <c r="R129" s="215">
        <v>0</v>
      </c>
      <c r="S129" s="215">
        <v>0</v>
      </c>
      <c r="T129" s="215">
        <v>16276997084</v>
      </c>
      <c r="U129" s="215">
        <v>15478895679</v>
      </c>
      <c r="V129" s="215">
        <v>798101405</v>
      </c>
      <c r="W129" s="216">
        <v>0.95096752792414518</v>
      </c>
      <c r="X129" s="215">
        <v>0</v>
      </c>
      <c r="Y129" s="215">
        <v>15478895679</v>
      </c>
      <c r="Z129" s="216">
        <v>1</v>
      </c>
      <c r="AA129" s="215">
        <v>0</v>
      </c>
      <c r="AB129" s="215">
        <v>0</v>
      </c>
      <c r="AC129" s="216">
        <v>0</v>
      </c>
      <c r="AE129" s="13"/>
      <c r="AF129" s="293"/>
    </row>
    <row r="130" spans="1:53" ht="24.95" customHeight="1">
      <c r="A130" s="32" t="s">
        <v>469</v>
      </c>
      <c r="B130" s="217" t="s">
        <v>470</v>
      </c>
      <c r="C130" s="218" t="s">
        <v>167</v>
      </c>
      <c r="D130" s="219" t="s">
        <v>171</v>
      </c>
      <c r="E130" s="219" t="s">
        <v>172</v>
      </c>
      <c r="F130" s="219" t="s">
        <v>173</v>
      </c>
      <c r="G130" s="219" t="s">
        <v>175</v>
      </c>
      <c r="H130" s="219" t="s">
        <v>183</v>
      </c>
      <c r="I130" s="219" t="s">
        <v>54</v>
      </c>
      <c r="J130" s="219"/>
      <c r="K130" s="220" t="s">
        <v>144</v>
      </c>
      <c r="L130" s="221" t="s">
        <v>29</v>
      </c>
      <c r="M130" s="259" t="s">
        <v>178</v>
      </c>
      <c r="N130" s="222">
        <v>16276997084</v>
      </c>
      <c r="O130" s="222"/>
      <c r="P130" s="222"/>
      <c r="Q130" s="222"/>
      <c r="R130" s="222"/>
      <c r="S130" s="222"/>
      <c r="T130" s="222">
        <v>16276997084</v>
      </c>
      <c r="U130" s="222">
        <v>15478895679</v>
      </c>
      <c r="V130" s="222">
        <v>798101405</v>
      </c>
      <c r="W130" s="224">
        <v>0.95096752792414518</v>
      </c>
      <c r="X130" s="222">
        <v>0</v>
      </c>
      <c r="Y130" s="222">
        <v>15478895679</v>
      </c>
      <c r="Z130" s="224">
        <v>1</v>
      </c>
      <c r="AA130" s="222">
        <v>0</v>
      </c>
      <c r="AB130" s="222">
        <v>0</v>
      </c>
      <c r="AC130" s="224">
        <v>0</v>
      </c>
      <c r="AE130" s="13"/>
      <c r="AF130" s="293"/>
    </row>
    <row r="131" spans="1:53" ht="24.95" customHeight="1">
      <c r="A131" s="32" t="s">
        <v>471</v>
      </c>
      <c r="B131" s="210" t="s">
        <v>472</v>
      </c>
      <c r="C131" s="211" t="s">
        <v>167</v>
      </c>
      <c r="D131" s="212" t="s">
        <v>171</v>
      </c>
      <c r="E131" s="212" t="s">
        <v>172</v>
      </c>
      <c r="F131" s="212" t="s">
        <v>173</v>
      </c>
      <c r="G131" s="212" t="s">
        <v>175</v>
      </c>
      <c r="H131" s="212" t="s">
        <v>185</v>
      </c>
      <c r="I131" s="212"/>
      <c r="J131" s="212"/>
      <c r="K131" s="213" t="s">
        <v>144</v>
      </c>
      <c r="L131" s="214" t="s">
        <v>29</v>
      </c>
      <c r="M131" s="210" t="s">
        <v>186</v>
      </c>
      <c r="N131" s="215">
        <v>30467075662</v>
      </c>
      <c r="O131" s="215">
        <v>0</v>
      </c>
      <c r="P131" s="215">
        <v>0</v>
      </c>
      <c r="Q131" s="215">
        <v>0</v>
      </c>
      <c r="R131" s="215">
        <v>0</v>
      </c>
      <c r="S131" s="215">
        <v>0</v>
      </c>
      <c r="T131" s="215">
        <v>30467075662</v>
      </c>
      <c r="U131" s="215">
        <v>23398487248</v>
      </c>
      <c r="V131" s="215">
        <v>7068588414</v>
      </c>
      <c r="W131" s="216">
        <v>0.76799255391562626</v>
      </c>
      <c r="X131" s="215">
        <v>0</v>
      </c>
      <c r="Y131" s="215">
        <v>23398487248</v>
      </c>
      <c r="Z131" s="216">
        <v>1</v>
      </c>
      <c r="AA131" s="215">
        <v>0</v>
      </c>
      <c r="AB131" s="215">
        <v>0</v>
      </c>
      <c r="AC131" s="216">
        <v>0</v>
      </c>
      <c r="AE131" s="13"/>
      <c r="AF131" s="293"/>
    </row>
    <row r="132" spans="1:53" ht="24.95" customHeight="1">
      <c r="A132" s="32" t="s">
        <v>473</v>
      </c>
      <c r="B132" s="217" t="s">
        <v>474</v>
      </c>
      <c r="C132" s="218" t="s">
        <v>167</v>
      </c>
      <c r="D132" s="219" t="s">
        <v>171</v>
      </c>
      <c r="E132" s="219" t="s">
        <v>172</v>
      </c>
      <c r="F132" s="219" t="s">
        <v>173</v>
      </c>
      <c r="G132" s="219" t="s">
        <v>175</v>
      </c>
      <c r="H132" s="219" t="s">
        <v>185</v>
      </c>
      <c r="I132" s="219" t="s">
        <v>54</v>
      </c>
      <c r="J132" s="219"/>
      <c r="K132" s="220" t="s">
        <v>144</v>
      </c>
      <c r="L132" s="221" t="s">
        <v>29</v>
      </c>
      <c r="M132" s="259" t="s">
        <v>178</v>
      </c>
      <c r="N132" s="222">
        <v>30467075662</v>
      </c>
      <c r="O132" s="222"/>
      <c r="P132" s="222"/>
      <c r="Q132" s="222"/>
      <c r="R132" s="222"/>
      <c r="S132" s="222"/>
      <c r="T132" s="222">
        <v>30467075662</v>
      </c>
      <c r="U132" s="222">
        <v>23398487248</v>
      </c>
      <c r="V132" s="222">
        <v>7068588414</v>
      </c>
      <c r="W132" s="224">
        <v>0.76799255391562626</v>
      </c>
      <c r="X132" s="222">
        <v>0</v>
      </c>
      <c r="Y132" s="222">
        <v>23398487248</v>
      </c>
      <c r="Z132" s="224">
        <v>1</v>
      </c>
      <c r="AA132" s="222">
        <v>0</v>
      </c>
      <c r="AB132" s="222">
        <v>0</v>
      </c>
      <c r="AC132" s="224">
        <v>0</v>
      </c>
      <c r="AE132" s="13"/>
      <c r="AF132" s="293"/>
    </row>
    <row r="133" spans="1:53" ht="33">
      <c r="A133" s="32" t="s">
        <v>475</v>
      </c>
      <c r="B133" s="210" t="s">
        <v>476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187</v>
      </c>
      <c r="I133" s="212"/>
      <c r="J133" s="212"/>
      <c r="K133" s="213" t="s">
        <v>144</v>
      </c>
      <c r="L133" s="214" t="s">
        <v>29</v>
      </c>
      <c r="M133" s="210" t="s">
        <v>188</v>
      </c>
      <c r="N133" s="215">
        <v>21267303756</v>
      </c>
      <c r="O133" s="215">
        <v>0</v>
      </c>
      <c r="P133" s="215">
        <v>0</v>
      </c>
      <c r="Q133" s="215">
        <v>0</v>
      </c>
      <c r="R133" s="215">
        <v>0</v>
      </c>
      <c r="S133" s="215">
        <v>0</v>
      </c>
      <c r="T133" s="215">
        <v>21267303756</v>
      </c>
      <c r="U133" s="215">
        <v>21267303756</v>
      </c>
      <c r="V133" s="215">
        <v>0</v>
      </c>
      <c r="W133" s="216">
        <v>1</v>
      </c>
      <c r="X133" s="215">
        <v>0</v>
      </c>
      <c r="Y133" s="215">
        <v>21267303756</v>
      </c>
      <c r="Z133" s="216">
        <v>1</v>
      </c>
      <c r="AA133" s="215">
        <v>0</v>
      </c>
      <c r="AB133" s="215">
        <v>0</v>
      </c>
      <c r="AC133" s="216">
        <v>0</v>
      </c>
      <c r="AE133" s="13"/>
      <c r="AF133" s="293"/>
    </row>
    <row r="134" spans="1:53" ht="24.95" customHeight="1">
      <c r="A134" s="32" t="s">
        <v>477</v>
      </c>
      <c r="B134" s="217" t="s">
        <v>478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187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4435143756</v>
      </c>
      <c r="O134" s="222"/>
      <c r="P134" s="222"/>
      <c r="Q134" s="222"/>
      <c r="R134" s="222"/>
      <c r="S134" s="222"/>
      <c r="T134" s="222">
        <v>4435143756</v>
      </c>
      <c r="U134" s="222">
        <v>4435143756</v>
      </c>
      <c r="V134" s="222">
        <v>0</v>
      </c>
      <c r="W134" s="224">
        <v>1</v>
      </c>
      <c r="X134" s="222">
        <v>0</v>
      </c>
      <c r="Y134" s="222">
        <v>4435143756</v>
      </c>
      <c r="Z134" s="224">
        <v>1</v>
      </c>
      <c r="AA134" s="222">
        <v>0</v>
      </c>
      <c r="AB134" s="222">
        <v>0</v>
      </c>
      <c r="AC134" s="224">
        <v>0</v>
      </c>
      <c r="AE134" s="13"/>
      <c r="AF134" s="293"/>
    </row>
    <row r="135" spans="1:53" ht="24.95" customHeight="1">
      <c r="A135" s="32" t="s">
        <v>479</v>
      </c>
      <c r="B135" s="217" t="s">
        <v>480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187</v>
      </c>
      <c r="I135" s="225" t="s">
        <v>65</v>
      </c>
      <c r="J135" s="219"/>
      <c r="K135" s="220" t="s">
        <v>144</v>
      </c>
      <c r="L135" s="221" t="s">
        <v>29</v>
      </c>
      <c r="M135" s="259" t="s">
        <v>127</v>
      </c>
      <c r="N135" s="222">
        <v>16832160000</v>
      </c>
      <c r="O135" s="222"/>
      <c r="P135" s="222"/>
      <c r="Q135" s="222"/>
      <c r="R135" s="222"/>
      <c r="S135" s="222"/>
      <c r="T135" s="222">
        <v>16832160000</v>
      </c>
      <c r="U135" s="222">
        <v>16832160000</v>
      </c>
      <c r="V135" s="222">
        <v>0</v>
      </c>
      <c r="W135" s="224">
        <v>1</v>
      </c>
      <c r="X135" s="222">
        <v>0</v>
      </c>
      <c r="Y135" s="222">
        <v>16832160000</v>
      </c>
      <c r="Z135" s="224">
        <v>1</v>
      </c>
      <c r="AA135" s="222">
        <v>0</v>
      </c>
      <c r="AB135" s="222">
        <v>0</v>
      </c>
      <c r="AC135" s="224">
        <v>0</v>
      </c>
      <c r="AE135" s="13"/>
      <c r="AF135" s="293"/>
    </row>
    <row r="136" spans="1:53" ht="35.1" customHeight="1">
      <c r="A136" s="32" t="s">
        <v>481</v>
      </c>
      <c r="B136" s="188" t="s">
        <v>482</v>
      </c>
      <c r="C136" s="189" t="s">
        <v>167</v>
      </c>
      <c r="D136" s="191">
        <v>4103</v>
      </c>
      <c r="E136" s="191"/>
      <c r="F136" s="191"/>
      <c r="G136" s="191"/>
      <c r="H136" s="191"/>
      <c r="I136" s="191"/>
      <c r="J136" s="191"/>
      <c r="K136" s="192"/>
      <c r="L136" s="193"/>
      <c r="M136" s="188" t="s">
        <v>189</v>
      </c>
      <c r="N136" s="194">
        <v>3297855758141</v>
      </c>
      <c r="O136" s="194">
        <v>0</v>
      </c>
      <c r="P136" s="194">
        <v>0</v>
      </c>
      <c r="Q136" s="194">
        <v>44314848063</v>
      </c>
      <c r="R136" s="194">
        <v>44314848063</v>
      </c>
      <c r="S136" s="194">
        <v>0</v>
      </c>
      <c r="T136" s="194">
        <v>3297855758141</v>
      </c>
      <c r="U136" s="194">
        <v>1169240972701.7998</v>
      </c>
      <c r="V136" s="194">
        <v>2128614785439.2002</v>
      </c>
      <c r="W136" s="195">
        <v>0.35454581960276532</v>
      </c>
      <c r="X136" s="194">
        <v>416769</v>
      </c>
      <c r="Y136" s="194">
        <v>1169240555932.7998</v>
      </c>
      <c r="Z136" s="195">
        <v>0.99999964355593951</v>
      </c>
      <c r="AA136" s="194">
        <v>0</v>
      </c>
      <c r="AB136" s="194">
        <v>416769</v>
      </c>
      <c r="AC136" s="195">
        <v>0</v>
      </c>
      <c r="AE136" s="13"/>
      <c r="AF136" s="293"/>
    </row>
    <row r="137" spans="1:53" ht="24.95" customHeight="1">
      <c r="A137" s="32" t="s">
        <v>483</v>
      </c>
      <c r="B137" s="196" t="s">
        <v>296</v>
      </c>
      <c r="C137" s="197" t="s">
        <v>167</v>
      </c>
      <c r="D137" s="198">
        <v>4103</v>
      </c>
      <c r="E137" s="198">
        <v>1500</v>
      </c>
      <c r="F137" s="198"/>
      <c r="G137" s="198"/>
      <c r="H137" s="198"/>
      <c r="I137" s="198"/>
      <c r="J137" s="198"/>
      <c r="K137" s="199"/>
      <c r="L137" s="200"/>
      <c r="M137" s="196" t="s">
        <v>170</v>
      </c>
      <c r="N137" s="201">
        <v>3297855758141</v>
      </c>
      <c r="O137" s="201">
        <v>0</v>
      </c>
      <c r="P137" s="201">
        <v>0</v>
      </c>
      <c r="Q137" s="201">
        <v>44314848063</v>
      </c>
      <c r="R137" s="201">
        <v>44314848063</v>
      </c>
      <c r="S137" s="201">
        <v>0</v>
      </c>
      <c r="T137" s="201">
        <v>3297855758141</v>
      </c>
      <c r="U137" s="201">
        <v>1169240972701.7998</v>
      </c>
      <c r="V137" s="201">
        <v>2128614785439.2002</v>
      </c>
      <c r="W137" s="202">
        <v>0.35454581960276532</v>
      </c>
      <c r="X137" s="201">
        <v>416769</v>
      </c>
      <c r="Y137" s="201">
        <v>1169240555932.7998</v>
      </c>
      <c r="Z137" s="202">
        <v>0.99999964355593951</v>
      </c>
      <c r="AA137" s="201">
        <v>0</v>
      </c>
      <c r="AB137" s="201">
        <v>416769</v>
      </c>
      <c r="AC137" s="202">
        <v>0</v>
      </c>
      <c r="AE137" s="13"/>
      <c r="AF137" s="293"/>
    </row>
    <row r="138" spans="1:53" ht="33">
      <c r="A138" s="32" t="s">
        <v>484</v>
      </c>
      <c r="B138" s="203" t="s">
        <v>297</v>
      </c>
      <c r="C138" s="227" t="s">
        <v>167</v>
      </c>
      <c r="D138" s="228" t="s">
        <v>190</v>
      </c>
      <c r="E138" s="228" t="s">
        <v>172</v>
      </c>
      <c r="F138" s="228" t="s">
        <v>191</v>
      </c>
      <c r="G138" s="228"/>
      <c r="H138" s="228"/>
      <c r="I138" s="228"/>
      <c r="J138" s="228"/>
      <c r="K138" s="229"/>
      <c r="L138" s="230"/>
      <c r="M138" s="231" t="s">
        <v>280</v>
      </c>
      <c r="N138" s="232">
        <v>1879080064351</v>
      </c>
      <c r="O138" s="232">
        <v>0</v>
      </c>
      <c r="P138" s="232">
        <v>0</v>
      </c>
      <c r="Q138" s="232">
        <v>0</v>
      </c>
      <c r="R138" s="232">
        <v>0</v>
      </c>
      <c r="S138" s="232">
        <v>0</v>
      </c>
      <c r="T138" s="232">
        <v>1879080064351</v>
      </c>
      <c r="U138" s="232">
        <v>615889231546.13</v>
      </c>
      <c r="V138" s="232">
        <v>1263190832804.8701</v>
      </c>
      <c r="W138" s="233">
        <v>0.32776103755794295</v>
      </c>
      <c r="X138" s="232">
        <v>0</v>
      </c>
      <c r="Y138" s="232">
        <v>615889231546.13</v>
      </c>
      <c r="Z138" s="233">
        <v>1</v>
      </c>
      <c r="AA138" s="232">
        <v>0</v>
      </c>
      <c r="AB138" s="232">
        <v>0</v>
      </c>
      <c r="AC138" s="233">
        <v>0</v>
      </c>
      <c r="AE138" s="13"/>
      <c r="AF138" s="293"/>
    </row>
    <row r="139" spans="1:53" ht="33">
      <c r="A139" s="32" t="s">
        <v>485</v>
      </c>
      <c r="B139" s="210" t="s">
        <v>486</v>
      </c>
      <c r="C139" s="211" t="s">
        <v>167</v>
      </c>
      <c r="D139" s="212" t="s">
        <v>190</v>
      </c>
      <c r="E139" s="212" t="s">
        <v>172</v>
      </c>
      <c r="F139" s="212" t="s">
        <v>191</v>
      </c>
      <c r="G139" s="212" t="s">
        <v>175</v>
      </c>
      <c r="H139" s="212" t="s">
        <v>193</v>
      </c>
      <c r="I139" s="212"/>
      <c r="J139" s="212"/>
      <c r="K139" s="213"/>
      <c r="L139" s="214"/>
      <c r="M139" s="210" t="s">
        <v>194</v>
      </c>
      <c r="N139" s="215">
        <v>1873368757333</v>
      </c>
      <c r="O139" s="215">
        <v>0</v>
      </c>
      <c r="P139" s="215">
        <v>0</v>
      </c>
      <c r="Q139" s="215">
        <v>0</v>
      </c>
      <c r="R139" s="215">
        <v>0</v>
      </c>
      <c r="S139" s="215">
        <v>0</v>
      </c>
      <c r="T139" s="215">
        <v>1873368757333</v>
      </c>
      <c r="U139" s="215">
        <v>610777924528.13</v>
      </c>
      <c r="V139" s="215">
        <v>1262590832804.8701</v>
      </c>
      <c r="W139" s="216">
        <v>0.32603187286931007</v>
      </c>
      <c r="X139" s="215">
        <v>0</v>
      </c>
      <c r="Y139" s="215">
        <v>610777924528.13</v>
      </c>
      <c r="Z139" s="216">
        <v>1</v>
      </c>
      <c r="AA139" s="215">
        <v>0</v>
      </c>
      <c r="AB139" s="215">
        <v>0</v>
      </c>
      <c r="AC139" s="216">
        <v>0</v>
      </c>
      <c r="AE139" s="13"/>
      <c r="AF139" s="293"/>
    </row>
    <row r="140" spans="1:53" s="64" customFormat="1" ht="24.95" customHeight="1">
      <c r="A140" s="32" t="s">
        <v>487</v>
      </c>
      <c r="B140" s="217" t="s">
        <v>488</v>
      </c>
      <c r="C140" s="266" t="s">
        <v>167</v>
      </c>
      <c r="D140" s="267" t="s">
        <v>190</v>
      </c>
      <c r="E140" s="267" t="s">
        <v>172</v>
      </c>
      <c r="F140" s="267" t="s">
        <v>191</v>
      </c>
      <c r="G140" s="267" t="s">
        <v>175</v>
      </c>
      <c r="H140" s="267" t="s">
        <v>193</v>
      </c>
      <c r="I140" s="267" t="s">
        <v>54</v>
      </c>
      <c r="J140" s="219"/>
      <c r="K140" s="220">
        <v>10</v>
      </c>
      <c r="L140" s="221" t="s">
        <v>29</v>
      </c>
      <c r="M140" s="259" t="s">
        <v>178</v>
      </c>
      <c r="N140" s="222">
        <v>170514008840.17001</v>
      </c>
      <c r="O140" s="637"/>
      <c r="P140" s="638"/>
      <c r="Q140" s="223"/>
      <c r="R140" s="223"/>
      <c r="S140" s="637"/>
      <c r="T140" s="222">
        <v>170514008840.17001</v>
      </c>
      <c r="U140" s="222">
        <v>40460010905.129997</v>
      </c>
      <c r="V140" s="222">
        <v>130053997935.04001</v>
      </c>
      <c r="W140" s="224">
        <v>0.23728262082592214</v>
      </c>
      <c r="X140" s="222">
        <v>0</v>
      </c>
      <c r="Y140" s="222">
        <v>40460010905.129997</v>
      </c>
      <c r="Z140" s="224">
        <v>1</v>
      </c>
      <c r="AA140" s="222">
        <v>0</v>
      </c>
      <c r="AB140" s="222">
        <v>0</v>
      </c>
      <c r="AC140" s="224">
        <v>0</v>
      </c>
      <c r="AD140" s="13"/>
      <c r="AE140" s="13"/>
      <c r="AF140" s="29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</row>
    <row r="141" spans="1:53" ht="24.95" customHeight="1">
      <c r="A141" s="32" t="s">
        <v>490</v>
      </c>
      <c r="B141" s="217" t="s">
        <v>491</v>
      </c>
      <c r="C141" s="266" t="s">
        <v>167</v>
      </c>
      <c r="D141" s="267" t="s">
        <v>190</v>
      </c>
      <c r="E141" s="267" t="s">
        <v>172</v>
      </c>
      <c r="F141" s="267" t="s">
        <v>191</v>
      </c>
      <c r="G141" s="267" t="s">
        <v>175</v>
      </c>
      <c r="H141" s="267" t="s">
        <v>193</v>
      </c>
      <c r="I141" s="267" t="s">
        <v>65</v>
      </c>
      <c r="J141" s="219"/>
      <c r="K141" s="220">
        <v>10</v>
      </c>
      <c r="L141" s="221" t="s">
        <v>29</v>
      </c>
      <c r="M141" s="259" t="s">
        <v>127</v>
      </c>
      <c r="N141" s="222">
        <v>11682690576.83</v>
      </c>
      <c r="O141" s="637"/>
      <c r="P141" s="638"/>
      <c r="Q141" s="223"/>
      <c r="R141" s="223"/>
      <c r="S141" s="637"/>
      <c r="T141" s="222">
        <v>11682690576.83</v>
      </c>
      <c r="U141" s="222">
        <v>0</v>
      </c>
      <c r="V141" s="222">
        <v>11682690576.83</v>
      </c>
      <c r="W141" s="224">
        <v>0</v>
      </c>
      <c r="X141" s="222">
        <v>0</v>
      </c>
      <c r="Y141" s="222">
        <v>0</v>
      </c>
      <c r="Z141" s="224">
        <v>0</v>
      </c>
      <c r="AA141" s="222">
        <v>0</v>
      </c>
      <c r="AB141" s="222">
        <v>0</v>
      </c>
      <c r="AC141" s="224">
        <v>0</v>
      </c>
      <c r="AE141" s="13"/>
      <c r="AF141" s="293"/>
    </row>
    <row r="142" spans="1:53" ht="24.95" customHeight="1">
      <c r="A142" s="32" t="s">
        <v>492</v>
      </c>
      <c r="B142" s="217" t="s">
        <v>491</v>
      </c>
      <c r="C142" s="266" t="s">
        <v>167</v>
      </c>
      <c r="D142" s="267" t="s">
        <v>190</v>
      </c>
      <c r="E142" s="267" t="s">
        <v>172</v>
      </c>
      <c r="F142" s="267" t="s">
        <v>191</v>
      </c>
      <c r="G142" s="267" t="s">
        <v>175</v>
      </c>
      <c r="H142" s="267" t="s">
        <v>193</v>
      </c>
      <c r="I142" s="267" t="s">
        <v>65</v>
      </c>
      <c r="J142" s="267"/>
      <c r="K142" s="268" t="s">
        <v>144</v>
      </c>
      <c r="L142" s="269" t="s">
        <v>29</v>
      </c>
      <c r="M142" s="259" t="s">
        <v>127</v>
      </c>
      <c r="N142" s="222">
        <v>1691172057916</v>
      </c>
      <c r="O142" s="637"/>
      <c r="P142" s="638"/>
      <c r="Q142" s="223"/>
      <c r="R142" s="223"/>
      <c r="S142" s="637"/>
      <c r="T142" s="222">
        <v>1691172057916</v>
      </c>
      <c r="U142" s="222">
        <v>570317913623</v>
      </c>
      <c r="V142" s="222">
        <v>1120854144293</v>
      </c>
      <c r="W142" s="224">
        <v>0.33723234188589435</v>
      </c>
      <c r="X142" s="222">
        <v>0</v>
      </c>
      <c r="Y142" s="222">
        <v>570317913623</v>
      </c>
      <c r="Z142" s="224">
        <v>1</v>
      </c>
      <c r="AA142" s="222">
        <v>0</v>
      </c>
      <c r="AB142" s="222">
        <v>0</v>
      </c>
      <c r="AC142" s="224">
        <v>0</v>
      </c>
      <c r="AE142" s="13"/>
      <c r="AF142" s="293"/>
    </row>
    <row r="143" spans="1:53" ht="33">
      <c r="A143" s="32" t="s">
        <v>493</v>
      </c>
      <c r="B143" s="210" t="s">
        <v>494</v>
      </c>
      <c r="C143" s="211" t="s">
        <v>167</v>
      </c>
      <c r="D143" s="212" t="s">
        <v>190</v>
      </c>
      <c r="E143" s="212" t="s">
        <v>172</v>
      </c>
      <c r="F143" s="212" t="s">
        <v>191</v>
      </c>
      <c r="G143" s="212" t="s">
        <v>175</v>
      </c>
      <c r="H143" s="212">
        <v>4103009</v>
      </c>
      <c r="I143" s="212"/>
      <c r="J143" s="212"/>
      <c r="K143" s="252">
        <v>10</v>
      </c>
      <c r="L143" s="214" t="s">
        <v>29</v>
      </c>
      <c r="M143" s="210" t="s">
        <v>195</v>
      </c>
      <c r="N143" s="215">
        <v>5711307018</v>
      </c>
      <c r="O143" s="215">
        <v>0</v>
      </c>
      <c r="P143" s="215">
        <v>0</v>
      </c>
      <c r="Q143" s="215">
        <v>0</v>
      </c>
      <c r="R143" s="215">
        <v>0</v>
      </c>
      <c r="S143" s="215">
        <v>0</v>
      </c>
      <c r="T143" s="215">
        <v>5711307018</v>
      </c>
      <c r="U143" s="215">
        <v>5111307018</v>
      </c>
      <c r="V143" s="215">
        <v>600000000</v>
      </c>
      <c r="W143" s="216">
        <v>0.89494523790981395</v>
      </c>
      <c r="X143" s="215">
        <v>0</v>
      </c>
      <c r="Y143" s="215">
        <v>5111307018</v>
      </c>
      <c r="Z143" s="216">
        <v>1</v>
      </c>
      <c r="AA143" s="215">
        <v>0</v>
      </c>
      <c r="AB143" s="215">
        <v>0</v>
      </c>
      <c r="AC143" s="216">
        <v>0</v>
      </c>
      <c r="AE143" s="13"/>
      <c r="AF143" s="293"/>
    </row>
    <row r="144" spans="1:53" ht="24.95" customHeight="1">
      <c r="A144" s="32" t="s">
        <v>495</v>
      </c>
      <c r="B144" s="217" t="s">
        <v>496</v>
      </c>
      <c r="C144" s="266" t="s">
        <v>167</v>
      </c>
      <c r="D144" s="267" t="s">
        <v>190</v>
      </c>
      <c r="E144" s="267" t="s">
        <v>172</v>
      </c>
      <c r="F144" s="267" t="s">
        <v>191</v>
      </c>
      <c r="G144" s="267" t="s">
        <v>175</v>
      </c>
      <c r="H144" s="267">
        <v>4103009</v>
      </c>
      <c r="I144" s="267" t="s">
        <v>54</v>
      </c>
      <c r="J144" s="219"/>
      <c r="K144" s="270">
        <v>10</v>
      </c>
      <c r="L144" s="221" t="s">
        <v>29</v>
      </c>
      <c r="M144" s="259" t="s">
        <v>178</v>
      </c>
      <c r="N144" s="222">
        <v>5711307018</v>
      </c>
      <c r="O144" s="222"/>
      <c r="P144" s="636"/>
      <c r="Q144" s="222"/>
      <c r="R144" s="222"/>
      <c r="S144" s="222"/>
      <c r="T144" s="222">
        <v>5711307018</v>
      </c>
      <c r="U144" s="222">
        <v>5111307018</v>
      </c>
      <c r="V144" s="222">
        <v>600000000</v>
      </c>
      <c r="W144" s="224">
        <v>0.89494523790981395</v>
      </c>
      <c r="X144" s="222">
        <v>0</v>
      </c>
      <c r="Y144" s="222">
        <v>5111307018</v>
      </c>
      <c r="Z144" s="224">
        <v>1</v>
      </c>
      <c r="AA144" s="222">
        <v>0</v>
      </c>
      <c r="AB144" s="222">
        <v>0</v>
      </c>
      <c r="AC144" s="224">
        <v>0</v>
      </c>
      <c r="AE144" s="13"/>
      <c r="AF144" s="293"/>
    </row>
    <row r="145" spans="1:54" s="64" customFormat="1" ht="33">
      <c r="A145" s="32" t="s">
        <v>499</v>
      </c>
      <c r="B145" s="226" t="s">
        <v>298</v>
      </c>
      <c r="C145" s="227" t="s">
        <v>167</v>
      </c>
      <c r="D145" s="228" t="s">
        <v>190</v>
      </c>
      <c r="E145" s="228" t="s">
        <v>172</v>
      </c>
      <c r="F145" s="228" t="s">
        <v>22</v>
      </c>
      <c r="G145" s="228"/>
      <c r="H145" s="228"/>
      <c r="I145" s="228"/>
      <c r="J145" s="228"/>
      <c r="K145" s="229"/>
      <c r="L145" s="230"/>
      <c r="M145" s="231" t="s">
        <v>264</v>
      </c>
      <c r="N145" s="232">
        <v>25903028858</v>
      </c>
      <c r="O145" s="232">
        <v>0</v>
      </c>
      <c r="P145" s="232">
        <v>0</v>
      </c>
      <c r="Q145" s="232">
        <v>0</v>
      </c>
      <c r="R145" s="232">
        <v>0</v>
      </c>
      <c r="S145" s="232">
        <v>0</v>
      </c>
      <c r="T145" s="232">
        <v>25903028858</v>
      </c>
      <c r="U145" s="232">
        <v>14926117016</v>
      </c>
      <c r="V145" s="232">
        <v>10976911842</v>
      </c>
      <c r="W145" s="233">
        <v>0.5762305673913557</v>
      </c>
      <c r="X145" s="232">
        <v>0</v>
      </c>
      <c r="Y145" s="232">
        <v>14926117016</v>
      </c>
      <c r="Z145" s="233">
        <v>1</v>
      </c>
      <c r="AA145" s="232">
        <v>0</v>
      </c>
      <c r="AB145" s="232">
        <v>0</v>
      </c>
      <c r="AC145" s="233">
        <v>0</v>
      </c>
      <c r="AD145" s="13"/>
      <c r="AE145" s="13"/>
      <c r="AF145" s="29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</row>
    <row r="146" spans="1:54" ht="33">
      <c r="A146" s="32" t="s">
        <v>642</v>
      </c>
      <c r="B146" s="210" t="s">
        <v>500</v>
      </c>
      <c r="C146" s="211" t="s">
        <v>167</v>
      </c>
      <c r="D146" s="212" t="s">
        <v>190</v>
      </c>
      <c r="E146" s="212" t="s">
        <v>172</v>
      </c>
      <c r="F146" s="212" t="s">
        <v>22</v>
      </c>
      <c r="G146" s="212" t="s">
        <v>175</v>
      </c>
      <c r="H146" s="212" t="s">
        <v>197</v>
      </c>
      <c r="I146" s="212"/>
      <c r="J146" s="212"/>
      <c r="K146" s="213">
        <v>11</v>
      </c>
      <c r="L146" s="214" t="s">
        <v>29</v>
      </c>
      <c r="M146" s="210" t="s">
        <v>198</v>
      </c>
      <c r="N146" s="215">
        <v>7218669145</v>
      </c>
      <c r="O146" s="215">
        <v>0</v>
      </c>
      <c r="P146" s="215">
        <v>0</v>
      </c>
      <c r="Q146" s="215">
        <v>0</v>
      </c>
      <c r="R146" s="215">
        <v>0</v>
      </c>
      <c r="S146" s="215">
        <v>0</v>
      </c>
      <c r="T146" s="215">
        <v>7218669145</v>
      </c>
      <c r="U146" s="215">
        <v>4406021511</v>
      </c>
      <c r="V146" s="215">
        <v>2812647634</v>
      </c>
      <c r="W146" s="216">
        <v>0.61036479474223082</v>
      </c>
      <c r="X146" s="215">
        <v>0</v>
      </c>
      <c r="Y146" s="215">
        <v>4406021511</v>
      </c>
      <c r="Z146" s="216">
        <v>1</v>
      </c>
      <c r="AA146" s="215">
        <v>0</v>
      </c>
      <c r="AB146" s="215">
        <v>0</v>
      </c>
      <c r="AC146" s="216">
        <v>0</v>
      </c>
      <c r="AE146" s="13"/>
      <c r="AF146" s="293"/>
    </row>
    <row r="147" spans="1:54" ht="24.95" customHeight="1">
      <c r="A147" s="32" t="s">
        <v>643</v>
      </c>
      <c r="B147" s="217" t="s">
        <v>501</v>
      </c>
      <c r="C147" s="218" t="s">
        <v>167</v>
      </c>
      <c r="D147" s="219" t="s">
        <v>190</v>
      </c>
      <c r="E147" s="219" t="s">
        <v>172</v>
      </c>
      <c r="F147" s="219" t="s">
        <v>22</v>
      </c>
      <c r="G147" s="219" t="s">
        <v>175</v>
      </c>
      <c r="H147" s="219" t="s">
        <v>197</v>
      </c>
      <c r="I147" s="219" t="s">
        <v>54</v>
      </c>
      <c r="J147" s="219"/>
      <c r="K147" s="220">
        <v>11</v>
      </c>
      <c r="L147" s="221" t="s">
        <v>29</v>
      </c>
      <c r="M147" s="259" t="s">
        <v>178</v>
      </c>
      <c r="N147" s="222">
        <v>7218669145</v>
      </c>
      <c r="O147" s="222"/>
      <c r="P147" s="222"/>
      <c r="Q147" s="222"/>
      <c r="R147" s="222"/>
      <c r="S147" s="222"/>
      <c r="T147" s="222">
        <v>7218669145</v>
      </c>
      <c r="U147" s="222">
        <v>4406021511</v>
      </c>
      <c r="V147" s="222">
        <v>2812647634</v>
      </c>
      <c r="W147" s="224">
        <v>0.61036479474223082</v>
      </c>
      <c r="X147" s="222">
        <v>0</v>
      </c>
      <c r="Y147" s="222">
        <v>4406021511</v>
      </c>
      <c r="Z147" s="224">
        <v>1</v>
      </c>
      <c r="AA147" s="222">
        <v>0</v>
      </c>
      <c r="AB147" s="222">
        <v>0</v>
      </c>
      <c r="AC147" s="224">
        <v>0</v>
      </c>
      <c r="AE147" s="13"/>
      <c r="AF147" s="293"/>
    </row>
    <row r="148" spans="1:54" ht="33">
      <c r="A148" s="32" t="s">
        <v>644</v>
      </c>
      <c r="B148" s="210" t="s">
        <v>502</v>
      </c>
      <c r="C148" s="211" t="s">
        <v>167</v>
      </c>
      <c r="D148" s="212" t="s">
        <v>190</v>
      </c>
      <c r="E148" s="212" t="s">
        <v>172</v>
      </c>
      <c r="F148" s="212" t="s">
        <v>22</v>
      </c>
      <c r="G148" s="212" t="s">
        <v>175</v>
      </c>
      <c r="H148" s="212" t="s">
        <v>199</v>
      </c>
      <c r="I148" s="212"/>
      <c r="J148" s="212"/>
      <c r="K148" s="213">
        <v>11</v>
      </c>
      <c r="L148" s="214" t="s">
        <v>29</v>
      </c>
      <c r="M148" s="210" t="s">
        <v>200</v>
      </c>
      <c r="N148" s="215">
        <v>4348087590</v>
      </c>
      <c r="O148" s="215">
        <v>0</v>
      </c>
      <c r="P148" s="215">
        <v>0</v>
      </c>
      <c r="Q148" s="215">
        <v>0</v>
      </c>
      <c r="R148" s="215">
        <v>0</v>
      </c>
      <c r="S148" s="215">
        <v>0</v>
      </c>
      <c r="T148" s="215">
        <v>4348087590</v>
      </c>
      <c r="U148" s="215">
        <v>2653919568</v>
      </c>
      <c r="V148" s="215">
        <v>1694168022</v>
      </c>
      <c r="W148" s="216">
        <v>0.61036478982246078</v>
      </c>
      <c r="X148" s="215">
        <v>0</v>
      </c>
      <c r="Y148" s="215">
        <v>2653919568</v>
      </c>
      <c r="Z148" s="216">
        <v>1</v>
      </c>
      <c r="AA148" s="215">
        <v>0</v>
      </c>
      <c r="AB148" s="215">
        <v>0</v>
      </c>
      <c r="AC148" s="216">
        <v>0</v>
      </c>
      <c r="AE148" s="13"/>
      <c r="AF148" s="293"/>
    </row>
    <row r="149" spans="1:54" ht="24.95" customHeight="1">
      <c r="A149" s="32" t="s">
        <v>645</v>
      </c>
      <c r="B149" s="217" t="s">
        <v>503</v>
      </c>
      <c r="C149" s="218" t="s">
        <v>167</v>
      </c>
      <c r="D149" s="219" t="s">
        <v>190</v>
      </c>
      <c r="E149" s="219" t="s">
        <v>172</v>
      </c>
      <c r="F149" s="219" t="s">
        <v>22</v>
      </c>
      <c r="G149" s="219" t="s">
        <v>175</v>
      </c>
      <c r="H149" s="219" t="s">
        <v>199</v>
      </c>
      <c r="I149" s="219" t="s">
        <v>54</v>
      </c>
      <c r="J149" s="219"/>
      <c r="K149" s="220">
        <v>11</v>
      </c>
      <c r="L149" s="221" t="s">
        <v>29</v>
      </c>
      <c r="M149" s="259" t="s">
        <v>178</v>
      </c>
      <c r="N149" s="222">
        <v>4348087590</v>
      </c>
      <c r="O149" s="222"/>
      <c r="P149" s="222"/>
      <c r="Q149" s="222"/>
      <c r="R149" s="222"/>
      <c r="S149" s="222"/>
      <c r="T149" s="222">
        <v>4348087590</v>
      </c>
      <c r="U149" s="222">
        <v>2653919568</v>
      </c>
      <c r="V149" s="222">
        <v>1694168022</v>
      </c>
      <c r="W149" s="224">
        <v>0.61036478982246078</v>
      </c>
      <c r="X149" s="222">
        <v>0</v>
      </c>
      <c r="Y149" s="222">
        <v>2653919568</v>
      </c>
      <c r="Z149" s="224">
        <v>1</v>
      </c>
      <c r="AA149" s="222">
        <v>0</v>
      </c>
      <c r="AB149" s="222">
        <v>0</v>
      </c>
      <c r="AC149" s="224">
        <v>0</v>
      </c>
      <c r="AE149" s="13"/>
      <c r="AF149" s="293"/>
    </row>
    <row r="150" spans="1:54" ht="49.5">
      <c r="A150" s="32" t="s">
        <v>646</v>
      </c>
      <c r="B150" s="210" t="s">
        <v>504</v>
      </c>
      <c r="C150" s="211" t="s">
        <v>167</v>
      </c>
      <c r="D150" s="212" t="s">
        <v>190</v>
      </c>
      <c r="E150" s="212" t="s">
        <v>172</v>
      </c>
      <c r="F150" s="212" t="s">
        <v>22</v>
      </c>
      <c r="G150" s="212" t="s">
        <v>175</v>
      </c>
      <c r="H150" s="212" t="s">
        <v>201</v>
      </c>
      <c r="I150" s="212"/>
      <c r="J150" s="212"/>
      <c r="K150" s="213">
        <v>11</v>
      </c>
      <c r="L150" s="214" t="s">
        <v>29</v>
      </c>
      <c r="M150" s="210" t="s">
        <v>202</v>
      </c>
      <c r="N150" s="215">
        <v>2171371771</v>
      </c>
      <c r="O150" s="215">
        <v>0</v>
      </c>
      <c r="P150" s="215">
        <v>0</v>
      </c>
      <c r="Q150" s="215">
        <v>0</v>
      </c>
      <c r="R150" s="215">
        <v>0</v>
      </c>
      <c r="S150" s="215">
        <v>0</v>
      </c>
      <c r="T150" s="215">
        <v>2171371771</v>
      </c>
      <c r="U150" s="215">
        <v>408749118</v>
      </c>
      <c r="V150" s="215">
        <v>1762622653</v>
      </c>
      <c r="W150" s="216">
        <v>0.1882446495156172</v>
      </c>
      <c r="X150" s="215">
        <v>0</v>
      </c>
      <c r="Y150" s="215">
        <v>408749118</v>
      </c>
      <c r="Z150" s="216">
        <v>1</v>
      </c>
      <c r="AA150" s="215">
        <v>0</v>
      </c>
      <c r="AB150" s="215">
        <v>0</v>
      </c>
      <c r="AC150" s="216">
        <v>0</v>
      </c>
      <c r="AE150" s="13"/>
      <c r="AF150" s="293"/>
    </row>
    <row r="151" spans="1:54" ht="24.95" customHeight="1">
      <c r="A151" s="32" t="s">
        <v>647</v>
      </c>
      <c r="B151" s="217" t="s">
        <v>505</v>
      </c>
      <c r="C151" s="218" t="s">
        <v>167</v>
      </c>
      <c r="D151" s="219" t="s">
        <v>190</v>
      </c>
      <c r="E151" s="219" t="s">
        <v>172</v>
      </c>
      <c r="F151" s="219" t="s">
        <v>22</v>
      </c>
      <c r="G151" s="219" t="s">
        <v>175</v>
      </c>
      <c r="H151" s="219" t="s">
        <v>201</v>
      </c>
      <c r="I151" s="219" t="s">
        <v>54</v>
      </c>
      <c r="J151" s="219"/>
      <c r="K151" s="220">
        <v>11</v>
      </c>
      <c r="L151" s="221" t="s">
        <v>29</v>
      </c>
      <c r="M151" s="259" t="s">
        <v>178</v>
      </c>
      <c r="N151" s="222">
        <v>2171371771</v>
      </c>
      <c r="O151" s="222"/>
      <c r="P151" s="222"/>
      <c r="Q151" s="222"/>
      <c r="R151" s="222"/>
      <c r="S151" s="222"/>
      <c r="T151" s="222">
        <v>2171371771</v>
      </c>
      <c r="U151" s="222">
        <v>408749118</v>
      </c>
      <c r="V151" s="222">
        <v>1762622653</v>
      </c>
      <c r="W151" s="224">
        <v>0.1882446495156172</v>
      </c>
      <c r="X151" s="222">
        <v>0</v>
      </c>
      <c r="Y151" s="222">
        <v>408749118</v>
      </c>
      <c r="Z151" s="224">
        <v>1</v>
      </c>
      <c r="AA151" s="222">
        <v>0</v>
      </c>
      <c r="AB151" s="222">
        <v>0</v>
      </c>
      <c r="AC151" s="224">
        <v>0</v>
      </c>
      <c r="AE151" s="13"/>
      <c r="AF151" s="293"/>
    </row>
    <row r="152" spans="1:54" ht="33">
      <c r="A152" s="32" t="s">
        <v>648</v>
      </c>
      <c r="B152" s="210" t="s">
        <v>506</v>
      </c>
      <c r="C152" s="211" t="s">
        <v>167</v>
      </c>
      <c r="D152" s="212" t="s">
        <v>190</v>
      </c>
      <c r="E152" s="212" t="s">
        <v>172</v>
      </c>
      <c r="F152" s="212" t="s">
        <v>22</v>
      </c>
      <c r="G152" s="212" t="s">
        <v>175</v>
      </c>
      <c r="H152" s="212" t="s">
        <v>203</v>
      </c>
      <c r="I152" s="212"/>
      <c r="J152" s="212"/>
      <c r="K152" s="213">
        <v>11</v>
      </c>
      <c r="L152" s="214" t="s">
        <v>29</v>
      </c>
      <c r="M152" s="210" t="s">
        <v>204</v>
      </c>
      <c r="N152" s="215">
        <v>12164900352</v>
      </c>
      <c r="O152" s="215">
        <v>0</v>
      </c>
      <c r="P152" s="215">
        <v>0</v>
      </c>
      <c r="Q152" s="215">
        <v>0</v>
      </c>
      <c r="R152" s="215">
        <v>0</v>
      </c>
      <c r="S152" s="215">
        <v>0</v>
      </c>
      <c r="T152" s="215">
        <v>12164900352</v>
      </c>
      <c r="U152" s="215">
        <v>7457426819</v>
      </c>
      <c r="V152" s="215">
        <v>4707473533</v>
      </c>
      <c r="W152" s="216">
        <v>0.61302818791885494</v>
      </c>
      <c r="X152" s="215">
        <v>0</v>
      </c>
      <c r="Y152" s="215">
        <v>7457426819</v>
      </c>
      <c r="Z152" s="216">
        <v>1</v>
      </c>
      <c r="AA152" s="215">
        <v>0</v>
      </c>
      <c r="AB152" s="215">
        <v>0</v>
      </c>
      <c r="AC152" s="216">
        <v>0</v>
      </c>
      <c r="AE152" s="13"/>
      <c r="AF152" s="293"/>
    </row>
    <row r="153" spans="1:54" ht="24.95" customHeight="1">
      <c r="A153" s="32" t="s">
        <v>649</v>
      </c>
      <c r="B153" s="217" t="s">
        <v>507</v>
      </c>
      <c r="C153" s="218" t="s">
        <v>167</v>
      </c>
      <c r="D153" s="219" t="s">
        <v>190</v>
      </c>
      <c r="E153" s="219" t="s">
        <v>172</v>
      </c>
      <c r="F153" s="219" t="s">
        <v>22</v>
      </c>
      <c r="G153" s="219" t="s">
        <v>175</v>
      </c>
      <c r="H153" s="219" t="s">
        <v>203</v>
      </c>
      <c r="I153" s="219" t="s">
        <v>54</v>
      </c>
      <c r="J153" s="219"/>
      <c r="K153" s="220">
        <v>11</v>
      </c>
      <c r="L153" s="221" t="s">
        <v>29</v>
      </c>
      <c r="M153" s="259" t="s">
        <v>178</v>
      </c>
      <c r="N153" s="222">
        <v>12164900352</v>
      </c>
      <c r="O153" s="222"/>
      <c r="P153" s="222"/>
      <c r="Q153" s="222"/>
      <c r="R153" s="222"/>
      <c r="S153" s="222"/>
      <c r="T153" s="222">
        <v>12164900352</v>
      </c>
      <c r="U153" s="222">
        <v>7457426819</v>
      </c>
      <c r="V153" s="222">
        <v>4707473533</v>
      </c>
      <c r="W153" s="224">
        <v>0.61302818791885494</v>
      </c>
      <c r="X153" s="222">
        <v>0</v>
      </c>
      <c r="Y153" s="222">
        <v>7457426819</v>
      </c>
      <c r="Z153" s="224">
        <v>1</v>
      </c>
      <c r="AA153" s="222">
        <v>0</v>
      </c>
      <c r="AB153" s="222">
        <v>0</v>
      </c>
      <c r="AC153" s="224">
        <v>0</v>
      </c>
      <c r="AE153" s="13"/>
      <c r="AF153" s="293"/>
    </row>
    <row r="154" spans="1:54" ht="33">
      <c r="A154" s="32" t="s">
        <v>508</v>
      </c>
      <c r="B154" s="226" t="s">
        <v>299</v>
      </c>
      <c r="C154" s="227" t="s">
        <v>167</v>
      </c>
      <c r="D154" s="228" t="s">
        <v>190</v>
      </c>
      <c r="E154" s="228" t="s">
        <v>172</v>
      </c>
      <c r="F154" s="228" t="s">
        <v>205</v>
      </c>
      <c r="G154" s="228"/>
      <c r="H154" s="228"/>
      <c r="I154" s="228"/>
      <c r="J154" s="228"/>
      <c r="K154" s="229"/>
      <c r="L154" s="230"/>
      <c r="M154" s="231" t="s">
        <v>281</v>
      </c>
      <c r="N154" s="232">
        <v>1226882227478</v>
      </c>
      <c r="O154" s="232">
        <v>0</v>
      </c>
      <c r="P154" s="232">
        <v>0</v>
      </c>
      <c r="Q154" s="232">
        <v>44314848063</v>
      </c>
      <c r="R154" s="232">
        <v>44314848063</v>
      </c>
      <c r="S154" s="232">
        <v>0</v>
      </c>
      <c r="T154" s="232">
        <v>1226882227478</v>
      </c>
      <c r="U154" s="232">
        <v>494094264261.75</v>
      </c>
      <c r="V154" s="232">
        <v>732787963216.25</v>
      </c>
      <c r="W154" s="233">
        <v>0.40272346700906947</v>
      </c>
      <c r="X154" s="232">
        <v>0</v>
      </c>
      <c r="Y154" s="232">
        <v>494094264261.75</v>
      </c>
      <c r="Z154" s="233">
        <v>1</v>
      </c>
      <c r="AA154" s="232">
        <v>0</v>
      </c>
      <c r="AB154" s="232">
        <v>0</v>
      </c>
      <c r="AC154" s="233">
        <v>0</v>
      </c>
      <c r="AE154" s="13"/>
      <c r="AF154" s="293"/>
    </row>
    <row r="155" spans="1:54" ht="33">
      <c r="A155" s="32" t="s">
        <v>509</v>
      </c>
      <c r="B155" s="210" t="s">
        <v>510</v>
      </c>
      <c r="C155" s="211" t="s">
        <v>167</v>
      </c>
      <c r="D155" s="212" t="s">
        <v>190</v>
      </c>
      <c r="E155" s="212" t="s">
        <v>172</v>
      </c>
      <c r="F155" s="212" t="s">
        <v>205</v>
      </c>
      <c r="G155" s="212" t="s">
        <v>175</v>
      </c>
      <c r="H155" s="212" t="s">
        <v>207</v>
      </c>
      <c r="I155" s="212"/>
      <c r="J155" s="212"/>
      <c r="K155" s="213"/>
      <c r="L155" s="214"/>
      <c r="M155" s="210" t="s">
        <v>208</v>
      </c>
      <c r="N155" s="215">
        <v>1205215344888.79</v>
      </c>
      <c r="O155" s="215">
        <v>0</v>
      </c>
      <c r="P155" s="215">
        <v>0</v>
      </c>
      <c r="Q155" s="215">
        <v>44314848063</v>
      </c>
      <c r="R155" s="215">
        <v>44314848063</v>
      </c>
      <c r="S155" s="215">
        <v>0</v>
      </c>
      <c r="T155" s="215">
        <v>1205215344888.79</v>
      </c>
      <c r="U155" s="215">
        <v>491124189525.75</v>
      </c>
      <c r="V155" s="215">
        <v>714091155363.04004</v>
      </c>
      <c r="W155" s="216">
        <v>0.40749911757144774</v>
      </c>
      <c r="X155" s="215">
        <v>0</v>
      </c>
      <c r="Y155" s="215">
        <v>491124189525.75</v>
      </c>
      <c r="Z155" s="216">
        <v>1</v>
      </c>
      <c r="AA155" s="215">
        <v>0</v>
      </c>
      <c r="AB155" s="215">
        <v>0</v>
      </c>
      <c r="AC155" s="216">
        <v>0</v>
      </c>
      <c r="AE155" s="13"/>
      <c r="AF155" s="293"/>
    </row>
    <row r="156" spans="1:54" ht="24.95" customHeight="1">
      <c r="A156" s="32" t="s">
        <v>512</v>
      </c>
      <c r="B156" s="217" t="s">
        <v>511</v>
      </c>
      <c r="C156" s="266" t="s">
        <v>167</v>
      </c>
      <c r="D156" s="267" t="s">
        <v>190</v>
      </c>
      <c r="E156" s="267" t="s">
        <v>172</v>
      </c>
      <c r="F156" s="267" t="s">
        <v>205</v>
      </c>
      <c r="G156" s="267" t="s">
        <v>175</v>
      </c>
      <c r="H156" s="267" t="s">
        <v>207</v>
      </c>
      <c r="I156" s="267" t="s">
        <v>54</v>
      </c>
      <c r="J156" s="267"/>
      <c r="K156" s="268">
        <v>11</v>
      </c>
      <c r="L156" s="269" t="s">
        <v>29</v>
      </c>
      <c r="M156" s="259" t="s">
        <v>178</v>
      </c>
      <c r="N156" s="222">
        <v>358903207165.07001</v>
      </c>
      <c r="O156" s="222"/>
      <c r="P156" s="222"/>
      <c r="Q156" s="222">
        <v>44314848063</v>
      </c>
      <c r="R156" s="223"/>
      <c r="S156" s="222"/>
      <c r="T156" s="222">
        <v>403218055228.07001</v>
      </c>
      <c r="U156" s="222">
        <v>36249682146</v>
      </c>
      <c r="V156" s="222">
        <v>366968373082.07001</v>
      </c>
      <c r="W156" s="224">
        <v>8.9900939890938891E-2</v>
      </c>
      <c r="X156" s="222">
        <v>0</v>
      </c>
      <c r="Y156" s="222">
        <v>36249682146</v>
      </c>
      <c r="Z156" s="224">
        <v>1</v>
      </c>
      <c r="AA156" s="222">
        <v>0</v>
      </c>
      <c r="AB156" s="222">
        <v>0</v>
      </c>
      <c r="AC156" s="224">
        <v>0</v>
      </c>
      <c r="AE156" s="13"/>
      <c r="AF156" s="293"/>
    </row>
    <row r="157" spans="1:54" ht="24.95" customHeight="1">
      <c r="A157" s="32" t="s">
        <v>513</v>
      </c>
      <c r="B157" s="217" t="s">
        <v>514</v>
      </c>
      <c r="C157" s="266" t="s">
        <v>167</v>
      </c>
      <c r="D157" s="267" t="s">
        <v>190</v>
      </c>
      <c r="E157" s="267" t="s">
        <v>172</v>
      </c>
      <c r="F157" s="267" t="s">
        <v>205</v>
      </c>
      <c r="G157" s="267" t="s">
        <v>175</v>
      </c>
      <c r="H157" s="267" t="s">
        <v>207</v>
      </c>
      <c r="I157" s="267" t="s">
        <v>65</v>
      </c>
      <c r="J157" s="267"/>
      <c r="K157" s="271" t="s">
        <v>28</v>
      </c>
      <c r="L157" s="269" t="s">
        <v>29</v>
      </c>
      <c r="M157" s="259" t="s">
        <v>127</v>
      </c>
      <c r="N157" s="222">
        <v>50000000000</v>
      </c>
      <c r="O157" s="222"/>
      <c r="P157" s="222"/>
      <c r="Q157" s="223"/>
      <c r="R157" s="223"/>
      <c r="S157" s="222"/>
      <c r="T157" s="222">
        <v>50000000000</v>
      </c>
      <c r="U157" s="222">
        <v>0</v>
      </c>
      <c r="V157" s="222">
        <v>50000000000</v>
      </c>
      <c r="W157" s="224">
        <v>0</v>
      </c>
      <c r="X157" s="222">
        <v>0</v>
      </c>
      <c r="Y157" s="222">
        <v>0</v>
      </c>
      <c r="Z157" s="224">
        <v>0</v>
      </c>
      <c r="AA157" s="222">
        <v>0</v>
      </c>
      <c r="AB157" s="222">
        <v>0</v>
      </c>
      <c r="AC157" s="224">
        <v>0</v>
      </c>
      <c r="AE157" s="13"/>
      <c r="AF157" s="293"/>
    </row>
    <row r="158" spans="1:54" ht="24.95" customHeight="1">
      <c r="A158" s="32" t="s">
        <v>515</v>
      </c>
      <c r="B158" s="217" t="s">
        <v>514</v>
      </c>
      <c r="C158" s="266" t="s">
        <v>167</v>
      </c>
      <c r="D158" s="267" t="s">
        <v>190</v>
      </c>
      <c r="E158" s="267" t="s">
        <v>172</v>
      </c>
      <c r="F158" s="267" t="s">
        <v>205</v>
      </c>
      <c r="G158" s="267" t="s">
        <v>175</v>
      </c>
      <c r="H158" s="267" t="s">
        <v>207</v>
      </c>
      <c r="I158" s="272" t="s">
        <v>65</v>
      </c>
      <c r="J158" s="273"/>
      <c r="K158" s="268">
        <v>11</v>
      </c>
      <c r="L158" s="269" t="s">
        <v>29</v>
      </c>
      <c r="M158" s="259" t="s">
        <v>127</v>
      </c>
      <c r="N158" s="222">
        <v>796312137723.71997</v>
      </c>
      <c r="O158" s="222"/>
      <c r="P158" s="222"/>
      <c r="Q158" s="223"/>
      <c r="R158" s="222">
        <v>44314848063</v>
      </c>
      <c r="S158" s="222"/>
      <c r="T158" s="222">
        <v>751997289660.71997</v>
      </c>
      <c r="U158" s="222">
        <v>454874507379.75</v>
      </c>
      <c r="V158" s="222">
        <v>297122782280.96997</v>
      </c>
      <c r="W158" s="224">
        <v>0.60488849312871407</v>
      </c>
      <c r="X158" s="222">
        <v>0</v>
      </c>
      <c r="Y158" s="222">
        <v>454874507379.75</v>
      </c>
      <c r="Z158" s="224">
        <v>1</v>
      </c>
      <c r="AA158" s="222">
        <v>0</v>
      </c>
      <c r="AB158" s="222">
        <v>0</v>
      </c>
      <c r="AC158" s="224">
        <v>0</v>
      </c>
      <c r="AE158" s="13"/>
      <c r="AF158" s="293"/>
    </row>
    <row r="159" spans="1:54" ht="33">
      <c r="A159" s="32" t="s">
        <v>650</v>
      </c>
      <c r="B159" s="210" t="s">
        <v>516</v>
      </c>
      <c r="C159" s="211" t="s">
        <v>167</v>
      </c>
      <c r="D159" s="212" t="s">
        <v>190</v>
      </c>
      <c r="E159" s="212" t="s">
        <v>172</v>
      </c>
      <c r="F159" s="212" t="s">
        <v>205</v>
      </c>
      <c r="G159" s="212" t="s">
        <v>175</v>
      </c>
      <c r="H159" s="212" t="s">
        <v>209</v>
      </c>
      <c r="I159" s="212"/>
      <c r="J159" s="212"/>
      <c r="K159" s="213">
        <v>11</v>
      </c>
      <c r="L159" s="214" t="s">
        <v>29</v>
      </c>
      <c r="M159" s="210" t="s">
        <v>210</v>
      </c>
      <c r="N159" s="215">
        <v>21666882589.209999</v>
      </c>
      <c r="O159" s="215">
        <v>0</v>
      </c>
      <c r="P159" s="215">
        <v>0</v>
      </c>
      <c r="Q159" s="215">
        <v>0</v>
      </c>
      <c r="R159" s="215">
        <v>0</v>
      </c>
      <c r="S159" s="215">
        <v>0</v>
      </c>
      <c r="T159" s="215">
        <v>21666882589.209999</v>
      </c>
      <c r="U159" s="215">
        <v>2970074736</v>
      </c>
      <c r="V159" s="215">
        <v>18696807853.209999</v>
      </c>
      <c r="W159" s="216">
        <v>0.13707900634856823</v>
      </c>
      <c r="X159" s="215">
        <v>0</v>
      </c>
      <c r="Y159" s="215">
        <v>2970074736</v>
      </c>
      <c r="Z159" s="216">
        <v>1</v>
      </c>
      <c r="AA159" s="215">
        <v>0</v>
      </c>
      <c r="AB159" s="215">
        <v>0</v>
      </c>
      <c r="AC159" s="216">
        <v>0</v>
      </c>
      <c r="AD159" s="90"/>
      <c r="AE159" s="13"/>
      <c r="AF159" s="293"/>
    </row>
    <row r="160" spans="1:54" ht="24.95" customHeight="1">
      <c r="A160" s="32" t="s">
        <v>518</v>
      </c>
      <c r="B160" s="217" t="s">
        <v>517</v>
      </c>
      <c r="C160" s="266" t="s">
        <v>167</v>
      </c>
      <c r="D160" s="267" t="s">
        <v>190</v>
      </c>
      <c r="E160" s="267" t="s">
        <v>172</v>
      </c>
      <c r="F160" s="267" t="s">
        <v>205</v>
      </c>
      <c r="G160" s="267" t="s">
        <v>175</v>
      </c>
      <c r="H160" s="267" t="s">
        <v>209</v>
      </c>
      <c r="I160" s="267" t="s">
        <v>54</v>
      </c>
      <c r="J160" s="267"/>
      <c r="K160" s="268">
        <v>11</v>
      </c>
      <c r="L160" s="269" t="s">
        <v>29</v>
      </c>
      <c r="M160" s="259" t="s">
        <v>178</v>
      </c>
      <c r="N160" s="222">
        <v>21666882589.209999</v>
      </c>
      <c r="O160" s="222"/>
      <c r="P160" s="222"/>
      <c r="Q160" s="222"/>
      <c r="R160" s="222"/>
      <c r="S160" s="222"/>
      <c r="T160" s="222">
        <v>21666882589.209999</v>
      </c>
      <c r="U160" s="222">
        <v>2970074736</v>
      </c>
      <c r="V160" s="222">
        <v>18696807853.209999</v>
      </c>
      <c r="W160" s="224">
        <v>0.13707900634856823</v>
      </c>
      <c r="X160" s="222">
        <v>0</v>
      </c>
      <c r="Y160" s="222">
        <v>2970074736</v>
      </c>
      <c r="Z160" s="224">
        <v>1</v>
      </c>
      <c r="AA160" s="222">
        <v>0</v>
      </c>
      <c r="AB160" s="222">
        <v>0</v>
      </c>
      <c r="AC160" s="224">
        <v>0</v>
      </c>
      <c r="AD160" s="90"/>
      <c r="AE160" s="13"/>
      <c r="AF160" s="293"/>
    </row>
    <row r="161" spans="1:33" ht="33">
      <c r="A161" s="32" t="s">
        <v>519</v>
      </c>
      <c r="B161" s="226" t="s">
        <v>520</v>
      </c>
      <c r="C161" s="227" t="s">
        <v>167</v>
      </c>
      <c r="D161" s="228" t="s">
        <v>190</v>
      </c>
      <c r="E161" s="228" t="s">
        <v>172</v>
      </c>
      <c r="F161" s="228" t="s">
        <v>211</v>
      </c>
      <c r="G161" s="228"/>
      <c r="H161" s="228"/>
      <c r="I161" s="228"/>
      <c r="J161" s="228"/>
      <c r="K161" s="229"/>
      <c r="L161" s="230"/>
      <c r="M161" s="231" t="s">
        <v>282</v>
      </c>
      <c r="N161" s="232">
        <v>1000000000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1000000000</v>
      </c>
      <c r="U161" s="232">
        <v>0</v>
      </c>
      <c r="V161" s="232">
        <v>1000000000</v>
      </c>
      <c r="W161" s="233">
        <v>0</v>
      </c>
      <c r="X161" s="232">
        <v>0</v>
      </c>
      <c r="Y161" s="232">
        <v>0</v>
      </c>
      <c r="Z161" s="233">
        <v>0</v>
      </c>
      <c r="AA161" s="232">
        <v>0</v>
      </c>
      <c r="AB161" s="232">
        <v>0</v>
      </c>
      <c r="AC161" s="233">
        <v>0</v>
      </c>
      <c r="AD161" s="90"/>
      <c r="AE161" s="13"/>
      <c r="AF161" s="293"/>
    </row>
    <row r="162" spans="1:33" s="90" customFormat="1" ht="33">
      <c r="A162" s="32" t="s">
        <v>521</v>
      </c>
      <c r="B162" s="210" t="s">
        <v>522</v>
      </c>
      <c r="C162" s="211" t="s">
        <v>167</v>
      </c>
      <c r="D162" s="212" t="s">
        <v>190</v>
      </c>
      <c r="E162" s="212" t="s">
        <v>172</v>
      </c>
      <c r="F162" s="212" t="s">
        <v>211</v>
      </c>
      <c r="G162" s="212" t="s">
        <v>175</v>
      </c>
      <c r="H162" s="212" t="s">
        <v>213</v>
      </c>
      <c r="I162" s="212"/>
      <c r="J162" s="212"/>
      <c r="K162" s="213" t="s">
        <v>144</v>
      </c>
      <c r="L162" s="214" t="s">
        <v>29</v>
      </c>
      <c r="M162" s="210" t="s">
        <v>214</v>
      </c>
      <c r="N162" s="215">
        <v>730000000</v>
      </c>
      <c r="O162" s="215">
        <v>0</v>
      </c>
      <c r="P162" s="215">
        <v>0</v>
      </c>
      <c r="Q162" s="215">
        <v>0</v>
      </c>
      <c r="R162" s="215">
        <v>0</v>
      </c>
      <c r="S162" s="215">
        <v>0</v>
      </c>
      <c r="T162" s="215">
        <v>730000000</v>
      </c>
      <c r="U162" s="215">
        <v>0</v>
      </c>
      <c r="V162" s="215">
        <v>730000000</v>
      </c>
      <c r="W162" s="216">
        <v>0</v>
      </c>
      <c r="X162" s="215">
        <v>0</v>
      </c>
      <c r="Y162" s="215">
        <v>0</v>
      </c>
      <c r="Z162" s="216">
        <v>0</v>
      </c>
      <c r="AA162" s="215">
        <v>0</v>
      </c>
      <c r="AB162" s="215">
        <v>0</v>
      </c>
      <c r="AC162" s="216">
        <v>0</v>
      </c>
      <c r="AE162" s="13"/>
      <c r="AF162" s="293"/>
      <c r="AG162" s="13"/>
    </row>
    <row r="163" spans="1:33" s="90" customFormat="1" ht="24.95" customHeight="1">
      <c r="A163" s="32" t="s">
        <v>523</v>
      </c>
      <c r="B163" s="217" t="s">
        <v>524</v>
      </c>
      <c r="C163" s="218" t="s">
        <v>167</v>
      </c>
      <c r="D163" s="219" t="s">
        <v>190</v>
      </c>
      <c r="E163" s="219" t="s">
        <v>172</v>
      </c>
      <c r="F163" s="219" t="s">
        <v>211</v>
      </c>
      <c r="G163" s="219" t="s">
        <v>175</v>
      </c>
      <c r="H163" s="219" t="s">
        <v>213</v>
      </c>
      <c r="I163" s="219" t="s">
        <v>54</v>
      </c>
      <c r="J163" s="219"/>
      <c r="K163" s="220" t="s">
        <v>144</v>
      </c>
      <c r="L163" s="221" t="s">
        <v>29</v>
      </c>
      <c r="M163" s="259" t="s">
        <v>178</v>
      </c>
      <c r="N163" s="222">
        <v>730000000</v>
      </c>
      <c r="O163" s="222"/>
      <c r="P163" s="222"/>
      <c r="Q163" s="222"/>
      <c r="R163" s="222"/>
      <c r="S163" s="222"/>
      <c r="T163" s="222">
        <v>730000000</v>
      </c>
      <c r="U163" s="222">
        <v>0</v>
      </c>
      <c r="V163" s="222">
        <v>730000000</v>
      </c>
      <c r="W163" s="224">
        <v>0</v>
      </c>
      <c r="X163" s="222">
        <v>0</v>
      </c>
      <c r="Y163" s="222">
        <v>0</v>
      </c>
      <c r="Z163" s="224">
        <v>0</v>
      </c>
      <c r="AA163" s="222">
        <v>0</v>
      </c>
      <c r="AB163" s="222">
        <v>0</v>
      </c>
      <c r="AC163" s="224">
        <v>0</v>
      </c>
      <c r="AE163" s="13"/>
      <c r="AF163" s="293"/>
      <c r="AG163" s="13"/>
    </row>
    <row r="164" spans="1:33" s="90" customFormat="1" ht="24.95" customHeight="1">
      <c r="A164" s="32" t="s">
        <v>525</v>
      </c>
      <c r="B164" s="210" t="s">
        <v>526</v>
      </c>
      <c r="C164" s="211" t="s">
        <v>167</v>
      </c>
      <c r="D164" s="212" t="s">
        <v>190</v>
      </c>
      <c r="E164" s="212" t="s">
        <v>172</v>
      </c>
      <c r="F164" s="212" t="s">
        <v>211</v>
      </c>
      <c r="G164" s="212" t="s">
        <v>175</v>
      </c>
      <c r="H164" s="212" t="s">
        <v>215</v>
      </c>
      <c r="I164" s="212"/>
      <c r="J164" s="212"/>
      <c r="K164" s="213" t="s">
        <v>144</v>
      </c>
      <c r="L164" s="214" t="s">
        <v>29</v>
      </c>
      <c r="M164" s="210" t="s">
        <v>216</v>
      </c>
      <c r="N164" s="215">
        <v>270000000</v>
      </c>
      <c r="O164" s="215">
        <v>0</v>
      </c>
      <c r="P164" s="215">
        <v>0</v>
      </c>
      <c r="Q164" s="215">
        <v>0</v>
      </c>
      <c r="R164" s="215">
        <v>0</v>
      </c>
      <c r="S164" s="215">
        <v>0</v>
      </c>
      <c r="T164" s="215">
        <v>270000000</v>
      </c>
      <c r="U164" s="215">
        <v>0</v>
      </c>
      <c r="V164" s="215">
        <v>270000000</v>
      </c>
      <c r="W164" s="216">
        <v>0</v>
      </c>
      <c r="X164" s="215">
        <v>0</v>
      </c>
      <c r="Y164" s="215">
        <v>0</v>
      </c>
      <c r="Z164" s="216">
        <v>0</v>
      </c>
      <c r="AA164" s="215">
        <v>0</v>
      </c>
      <c r="AB164" s="215">
        <v>0</v>
      </c>
      <c r="AC164" s="216">
        <v>0</v>
      </c>
      <c r="AE164" s="13"/>
      <c r="AF164" s="293"/>
      <c r="AG164" s="13"/>
    </row>
    <row r="165" spans="1:33" s="90" customFormat="1" ht="24.95" customHeight="1">
      <c r="A165" s="32" t="s">
        <v>527</v>
      </c>
      <c r="B165" s="217" t="s">
        <v>528</v>
      </c>
      <c r="C165" s="218" t="s">
        <v>167</v>
      </c>
      <c r="D165" s="219" t="s">
        <v>190</v>
      </c>
      <c r="E165" s="219" t="s">
        <v>172</v>
      </c>
      <c r="F165" s="219" t="s">
        <v>211</v>
      </c>
      <c r="G165" s="219" t="s">
        <v>175</v>
      </c>
      <c r="H165" s="219" t="s">
        <v>215</v>
      </c>
      <c r="I165" s="219" t="s">
        <v>54</v>
      </c>
      <c r="J165" s="219"/>
      <c r="K165" s="220" t="s">
        <v>144</v>
      </c>
      <c r="L165" s="221" t="s">
        <v>29</v>
      </c>
      <c r="M165" s="259" t="s">
        <v>178</v>
      </c>
      <c r="N165" s="222">
        <v>270000000</v>
      </c>
      <c r="O165" s="222"/>
      <c r="P165" s="222"/>
      <c r="Q165" s="222"/>
      <c r="R165" s="222"/>
      <c r="S165" s="222"/>
      <c r="T165" s="222">
        <v>270000000</v>
      </c>
      <c r="U165" s="222">
        <v>0</v>
      </c>
      <c r="V165" s="222">
        <v>270000000</v>
      </c>
      <c r="W165" s="224">
        <v>0</v>
      </c>
      <c r="X165" s="222">
        <v>0</v>
      </c>
      <c r="Y165" s="222">
        <v>0</v>
      </c>
      <c r="Z165" s="224">
        <v>0</v>
      </c>
      <c r="AA165" s="222">
        <v>0</v>
      </c>
      <c r="AB165" s="222">
        <v>0</v>
      </c>
      <c r="AC165" s="224">
        <v>0</v>
      </c>
      <c r="AE165" s="13"/>
      <c r="AF165" s="293"/>
      <c r="AG165" s="13"/>
    </row>
    <row r="166" spans="1:33" s="90" customFormat="1" ht="66">
      <c r="A166" s="32" t="s">
        <v>529</v>
      </c>
      <c r="B166" s="226" t="s">
        <v>530</v>
      </c>
      <c r="C166" s="227" t="s">
        <v>167</v>
      </c>
      <c r="D166" s="228" t="s">
        <v>190</v>
      </c>
      <c r="E166" s="228" t="s">
        <v>172</v>
      </c>
      <c r="F166" s="228" t="s">
        <v>217</v>
      </c>
      <c r="G166" s="228"/>
      <c r="H166" s="228"/>
      <c r="I166" s="228"/>
      <c r="J166" s="228"/>
      <c r="K166" s="229"/>
      <c r="L166" s="230"/>
      <c r="M166" s="231" t="s">
        <v>283</v>
      </c>
      <c r="N166" s="232">
        <v>83583395677</v>
      </c>
      <c r="O166" s="232">
        <v>0</v>
      </c>
      <c r="P166" s="232">
        <v>0</v>
      </c>
      <c r="Q166" s="232">
        <v>0</v>
      </c>
      <c r="R166" s="232">
        <v>0</v>
      </c>
      <c r="S166" s="232">
        <v>0</v>
      </c>
      <c r="T166" s="232">
        <v>83583395677</v>
      </c>
      <c r="U166" s="232">
        <v>38633062202</v>
      </c>
      <c r="V166" s="232">
        <v>44950333475</v>
      </c>
      <c r="W166" s="233">
        <v>0.46220977131981761</v>
      </c>
      <c r="X166" s="232">
        <v>416769</v>
      </c>
      <c r="Y166" s="232">
        <v>38632645433</v>
      </c>
      <c r="Z166" s="233">
        <v>0.99998921211583436</v>
      </c>
      <c r="AA166" s="232">
        <v>0</v>
      </c>
      <c r="AB166" s="232">
        <v>416769</v>
      </c>
      <c r="AC166" s="233">
        <v>0</v>
      </c>
      <c r="AE166" s="13"/>
      <c r="AF166" s="293"/>
      <c r="AG166" s="13"/>
    </row>
    <row r="167" spans="1:33" s="90" customFormat="1" ht="24.95" customHeight="1">
      <c r="A167" s="32" t="s">
        <v>651</v>
      </c>
      <c r="B167" s="210" t="s">
        <v>531</v>
      </c>
      <c r="C167" s="211" t="s">
        <v>167</v>
      </c>
      <c r="D167" s="212" t="s">
        <v>190</v>
      </c>
      <c r="E167" s="212" t="s">
        <v>172</v>
      </c>
      <c r="F167" s="212" t="s">
        <v>217</v>
      </c>
      <c r="G167" s="212" t="s">
        <v>175</v>
      </c>
      <c r="H167" s="212" t="s">
        <v>219</v>
      </c>
      <c r="I167" s="212"/>
      <c r="J167" s="212"/>
      <c r="K167" s="213">
        <v>11</v>
      </c>
      <c r="L167" s="214" t="s">
        <v>29</v>
      </c>
      <c r="M167" s="210" t="s">
        <v>220</v>
      </c>
      <c r="N167" s="215">
        <v>24060301659</v>
      </c>
      <c r="O167" s="215">
        <v>0</v>
      </c>
      <c r="P167" s="215">
        <v>0</v>
      </c>
      <c r="Q167" s="215">
        <v>0</v>
      </c>
      <c r="R167" s="215">
        <v>0</v>
      </c>
      <c r="S167" s="215">
        <v>0</v>
      </c>
      <c r="T167" s="215">
        <v>24060301659</v>
      </c>
      <c r="U167" s="215">
        <v>13637060908</v>
      </c>
      <c r="V167" s="215">
        <v>10423240751</v>
      </c>
      <c r="W167" s="216">
        <v>0.56678678020227224</v>
      </c>
      <c r="X167" s="215">
        <v>416769</v>
      </c>
      <c r="Y167" s="215">
        <v>13636644139</v>
      </c>
      <c r="Z167" s="216">
        <v>0.99996943850270881</v>
      </c>
      <c r="AA167" s="215">
        <v>0</v>
      </c>
      <c r="AB167" s="215">
        <v>416769</v>
      </c>
      <c r="AC167" s="216">
        <v>0</v>
      </c>
      <c r="AE167" s="13"/>
      <c r="AF167" s="293"/>
      <c r="AG167" s="13"/>
    </row>
    <row r="168" spans="1:33" s="90" customFormat="1" ht="24.95" customHeight="1">
      <c r="A168" s="32" t="s">
        <v>652</v>
      </c>
      <c r="B168" s="217" t="s">
        <v>532</v>
      </c>
      <c r="C168" s="266" t="s">
        <v>167</v>
      </c>
      <c r="D168" s="267" t="s">
        <v>190</v>
      </c>
      <c r="E168" s="267" t="s">
        <v>172</v>
      </c>
      <c r="F168" s="267" t="s">
        <v>217</v>
      </c>
      <c r="G168" s="267" t="s">
        <v>175</v>
      </c>
      <c r="H168" s="267" t="s">
        <v>219</v>
      </c>
      <c r="I168" s="267" t="s">
        <v>54</v>
      </c>
      <c r="J168" s="267"/>
      <c r="K168" s="268">
        <v>11</v>
      </c>
      <c r="L168" s="269" t="s">
        <v>29</v>
      </c>
      <c r="M168" s="259" t="s">
        <v>178</v>
      </c>
      <c r="N168" s="222">
        <v>24060301659</v>
      </c>
      <c r="O168" s="222"/>
      <c r="P168" s="222"/>
      <c r="Q168" s="222"/>
      <c r="R168" s="222"/>
      <c r="S168" s="222"/>
      <c r="T168" s="222">
        <v>24060301659</v>
      </c>
      <c r="U168" s="222">
        <v>13637060908</v>
      </c>
      <c r="V168" s="222">
        <v>10423240751</v>
      </c>
      <c r="W168" s="224">
        <v>0.56678678020227224</v>
      </c>
      <c r="X168" s="222">
        <v>416769</v>
      </c>
      <c r="Y168" s="222">
        <v>13636644139</v>
      </c>
      <c r="Z168" s="224">
        <v>0.99996943850270881</v>
      </c>
      <c r="AA168" s="222">
        <v>0</v>
      </c>
      <c r="AB168" s="222">
        <v>416769</v>
      </c>
      <c r="AC168" s="224">
        <v>0</v>
      </c>
      <c r="AE168" s="13"/>
      <c r="AF168" s="293"/>
      <c r="AG168" s="13"/>
    </row>
    <row r="169" spans="1:33" s="90" customFormat="1" ht="33">
      <c r="A169" s="32" t="s">
        <v>653</v>
      </c>
      <c r="B169" s="210" t="s">
        <v>533</v>
      </c>
      <c r="C169" s="211" t="s">
        <v>167</v>
      </c>
      <c r="D169" s="212" t="s">
        <v>190</v>
      </c>
      <c r="E169" s="212" t="s">
        <v>172</v>
      </c>
      <c r="F169" s="212" t="s">
        <v>217</v>
      </c>
      <c r="G169" s="212" t="s">
        <v>175</v>
      </c>
      <c r="H169" s="212" t="s">
        <v>221</v>
      </c>
      <c r="I169" s="212"/>
      <c r="J169" s="212"/>
      <c r="K169" s="213">
        <v>11</v>
      </c>
      <c r="L169" s="214" t="s">
        <v>29</v>
      </c>
      <c r="M169" s="210" t="s">
        <v>222</v>
      </c>
      <c r="N169" s="215">
        <v>45582352481</v>
      </c>
      <c r="O169" s="215">
        <v>0</v>
      </c>
      <c r="P169" s="215">
        <v>0</v>
      </c>
      <c r="Q169" s="215">
        <v>0</v>
      </c>
      <c r="R169" s="215">
        <v>0</v>
      </c>
      <c r="S169" s="215">
        <v>0</v>
      </c>
      <c r="T169" s="215">
        <v>45582352481</v>
      </c>
      <c r="U169" s="215">
        <v>21101342352</v>
      </c>
      <c r="V169" s="215">
        <v>24481010129</v>
      </c>
      <c r="W169" s="216">
        <v>0.46292789212218982</v>
      </c>
      <c r="X169" s="215">
        <v>0</v>
      </c>
      <c r="Y169" s="215">
        <v>21101342352</v>
      </c>
      <c r="Z169" s="216">
        <v>1</v>
      </c>
      <c r="AA169" s="215">
        <v>0</v>
      </c>
      <c r="AB169" s="215">
        <v>0</v>
      </c>
      <c r="AC169" s="216">
        <v>0</v>
      </c>
      <c r="AE169" s="13"/>
      <c r="AF169" s="293"/>
      <c r="AG169" s="13"/>
    </row>
    <row r="170" spans="1:33" s="90" customFormat="1" ht="24.95" customHeight="1">
      <c r="A170" s="32" t="s">
        <v>654</v>
      </c>
      <c r="B170" s="217" t="s">
        <v>535</v>
      </c>
      <c r="C170" s="266" t="s">
        <v>167</v>
      </c>
      <c r="D170" s="267" t="s">
        <v>190</v>
      </c>
      <c r="E170" s="267" t="s">
        <v>172</v>
      </c>
      <c r="F170" s="267" t="s">
        <v>217</v>
      </c>
      <c r="G170" s="267" t="s">
        <v>175</v>
      </c>
      <c r="H170" s="267" t="s">
        <v>221</v>
      </c>
      <c r="I170" s="274" t="s">
        <v>65</v>
      </c>
      <c r="J170" s="267"/>
      <c r="K170" s="268">
        <v>11</v>
      </c>
      <c r="L170" s="269" t="s">
        <v>29</v>
      </c>
      <c r="M170" s="259" t="s">
        <v>127</v>
      </c>
      <c r="N170" s="222">
        <v>45582352481</v>
      </c>
      <c r="O170" s="222"/>
      <c r="P170" s="222"/>
      <c r="Q170" s="222"/>
      <c r="R170" s="222"/>
      <c r="S170" s="222"/>
      <c r="T170" s="222">
        <v>45582352481</v>
      </c>
      <c r="U170" s="222">
        <v>21101342352</v>
      </c>
      <c r="V170" s="222">
        <v>24481010129</v>
      </c>
      <c r="W170" s="224">
        <v>0.46292789212218982</v>
      </c>
      <c r="X170" s="222">
        <v>0</v>
      </c>
      <c r="Y170" s="222">
        <v>21101342352</v>
      </c>
      <c r="Z170" s="224">
        <v>1</v>
      </c>
      <c r="AA170" s="222">
        <v>0</v>
      </c>
      <c r="AB170" s="222">
        <v>0</v>
      </c>
      <c r="AC170" s="224">
        <v>0</v>
      </c>
      <c r="AE170" s="13"/>
      <c r="AF170" s="293"/>
      <c r="AG170" s="13"/>
    </row>
    <row r="171" spans="1:33" s="90" customFormat="1" ht="33">
      <c r="A171" s="32" t="s">
        <v>655</v>
      </c>
      <c r="B171" s="210" t="s">
        <v>536</v>
      </c>
      <c r="C171" s="211" t="s">
        <v>167</v>
      </c>
      <c r="D171" s="212" t="s">
        <v>190</v>
      </c>
      <c r="E171" s="212" t="s">
        <v>172</v>
      </c>
      <c r="F171" s="212" t="s">
        <v>217</v>
      </c>
      <c r="G171" s="212" t="s">
        <v>175</v>
      </c>
      <c r="H171" s="212" t="s">
        <v>223</v>
      </c>
      <c r="I171" s="212"/>
      <c r="J171" s="212"/>
      <c r="K171" s="213">
        <v>11</v>
      </c>
      <c r="L171" s="214" t="s">
        <v>29</v>
      </c>
      <c r="M171" s="210" t="s">
        <v>224</v>
      </c>
      <c r="N171" s="215">
        <v>12632794125</v>
      </c>
      <c r="O171" s="215">
        <v>0</v>
      </c>
      <c r="P171" s="215">
        <v>0</v>
      </c>
      <c r="Q171" s="215">
        <v>0</v>
      </c>
      <c r="R171" s="215">
        <v>0</v>
      </c>
      <c r="S171" s="215">
        <v>0</v>
      </c>
      <c r="T171" s="215">
        <v>12632794125</v>
      </c>
      <c r="U171" s="215">
        <v>2919317645</v>
      </c>
      <c r="V171" s="215">
        <v>9713476480</v>
      </c>
      <c r="W171" s="216">
        <v>0.2310904156367703</v>
      </c>
      <c r="X171" s="215">
        <v>0</v>
      </c>
      <c r="Y171" s="215">
        <v>2919317645</v>
      </c>
      <c r="Z171" s="216">
        <v>1</v>
      </c>
      <c r="AA171" s="215">
        <v>0</v>
      </c>
      <c r="AB171" s="215">
        <v>0</v>
      </c>
      <c r="AC171" s="216">
        <v>0</v>
      </c>
      <c r="AE171" s="13"/>
      <c r="AF171" s="293"/>
      <c r="AG171" s="13"/>
    </row>
    <row r="172" spans="1:33" s="90" customFormat="1" ht="24.95" customHeight="1">
      <c r="A172" s="32" t="s">
        <v>538</v>
      </c>
      <c r="B172" s="217" t="s">
        <v>537</v>
      </c>
      <c r="C172" s="266" t="s">
        <v>167</v>
      </c>
      <c r="D172" s="267" t="s">
        <v>190</v>
      </c>
      <c r="E172" s="267" t="s">
        <v>172</v>
      </c>
      <c r="F172" s="267" t="s">
        <v>217</v>
      </c>
      <c r="G172" s="267" t="s">
        <v>175</v>
      </c>
      <c r="H172" s="267" t="s">
        <v>223</v>
      </c>
      <c r="I172" s="267" t="s">
        <v>54</v>
      </c>
      <c r="J172" s="267"/>
      <c r="K172" s="268">
        <v>11</v>
      </c>
      <c r="L172" s="269" t="s">
        <v>29</v>
      </c>
      <c r="M172" s="259" t="s">
        <v>178</v>
      </c>
      <c r="N172" s="222">
        <v>12632794125</v>
      </c>
      <c r="O172" s="222"/>
      <c r="P172" s="222"/>
      <c r="Q172" s="223"/>
      <c r="R172" s="222"/>
      <c r="S172" s="222"/>
      <c r="T172" s="222">
        <v>12632794125</v>
      </c>
      <c r="U172" s="222">
        <v>2919317645</v>
      </c>
      <c r="V172" s="222">
        <v>9713476480</v>
      </c>
      <c r="W172" s="224">
        <v>0.2310904156367703</v>
      </c>
      <c r="X172" s="222">
        <v>0</v>
      </c>
      <c r="Y172" s="222">
        <v>2919317645</v>
      </c>
      <c r="Z172" s="224">
        <v>1</v>
      </c>
      <c r="AA172" s="222">
        <v>0</v>
      </c>
      <c r="AB172" s="222">
        <v>0</v>
      </c>
      <c r="AC172" s="224">
        <v>0</v>
      </c>
      <c r="AE172" s="13"/>
      <c r="AF172" s="293"/>
      <c r="AG172" s="13"/>
    </row>
    <row r="173" spans="1:33" s="90" customFormat="1" ht="33">
      <c r="A173" s="32" t="s">
        <v>656</v>
      </c>
      <c r="B173" s="210" t="s">
        <v>540</v>
      </c>
      <c r="C173" s="211" t="s">
        <v>167</v>
      </c>
      <c r="D173" s="212" t="s">
        <v>190</v>
      </c>
      <c r="E173" s="212" t="s">
        <v>172</v>
      </c>
      <c r="F173" s="212" t="s">
        <v>217</v>
      </c>
      <c r="G173" s="212" t="s">
        <v>175</v>
      </c>
      <c r="H173" s="212" t="s">
        <v>225</v>
      </c>
      <c r="I173" s="212"/>
      <c r="J173" s="212"/>
      <c r="K173" s="213">
        <v>11</v>
      </c>
      <c r="L173" s="214" t="s">
        <v>29</v>
      </c>
      <c r="M173" s="210" t="s">
        <v>226</v>
      </c>
      <c r="N173" s="215">
        <v>1307947412</v>
      </c>
      <c r="O173" s="215">
        <v>0</v>
      </c>
      <c r="P173" s="215">
        <v>0</v>
      </c>
      <c r="Q173" s="215">
        <v>0</v>
      </c>
      <c r="R173" s="215">
        <v>0</v>
      </c>
      <c r="S173" s="215">
        <v>0</v>
      </c>
      <c r="T173" s="215">
        <v>1307947412</v>
      </c>
      <c r="U173" s="215">
        <v>975341297</v>
      </c>
      <c r="V173" s="215">
        <v>332606115</v>
      </c>
      <c r="W173" s="216">
        <v>0.74570375540450251</v>
      </c>
      <c r="X173" s="215">
        <v>0</v>
      </c>
      <c r="Y173" s="215">
        <v>975341297</v>
      </c>
      <c r="Z173" s="216">
        <v>1</v>
      </c>
      <c r="AA173" s="215">
        <v>0</v>
      </c>
      <c r="AB173" s="215">
        <v>0</v>
      </c>
      <c r="AC173" s="216">
        <v>0</v>
      </c>
      <c r="AE173" s="13"/>
      <c r="AF173" s="293"/>
      <c r="AG173" s="13"/>
    </row>
    <row r="174" spans="1:33" s="90" customFormat="1" ht="24.95" customHeight="1">
      <c r="A174" s="32" t="s">
        <v>542</v>
      </c>
      <c r="B174" s="217" t="s">
        <v>541</v>
      </c>
      <c r="C174" s="266" t="s">
        <v>167</v>
      </c>
      <c r="D174" s="267" t="s">
        <v>190</v>
      </c>
      <c r="E174" s="267" t="s">
        <v>172</v>
      </c>
      <c r="F174" s="267" t="s">
        <v>217</v>
      </c>
      <c r="G174" s="267" t="s">
        <v>175</v>
      </c>
      <c r="H174" s="267" t="s">
        <v>225</v>
      </c>
      <c r="I174" s="267" t="s">
        <v>54</v>
      </c>
      <c r="J174" s="267"/>
      <c r="K174" s="268">
        <v>11</v>
      </c>
      <c r="L174" s="269" t="s">
        <v>29</v>
      </c>
      <c r="M174" s="259" t="s">
        <v>178</v>
      </c>
      <c r="N174" s="222">
        <v>1307947412</v>
      </c>
      <c r="O174" s="222"/>
      <c r="P174" s="222"/>
      <c r="Q174" s="222"/>
      <c r="R174" s="222"/>
      <c r="S174" s="222"/>
      <c r="T174" s="222">
        <v>1307947412</v>
      </c>
      <c r="U174" s="222">
        <v>975341297</v>
      </c>
      <c r="V174" s="222">
        <v>332606115</v>
      </c>
      <c r="W174" s="224">
        <v>0.74570375540450251</v>
      </c>
      <c r="X174" s="222">
        <v>0</v>
      </c>
      <c r="Y174" s="222">
        <v>975341297</v>
      </c>
      <c r="Z174" s="224">
        <v>1</v>
      </c>
      <c r="AA174" s="222">
        <v>0</v>
      </c>
      <c r="AB174" s="222">
        <v>0</v>
      </c>
      <c r="AC174" s="224">
        <v>0</v>
      </c>
      <c r="AE174" s="13"/>
      <c r="AF174" s="293"/>
      <c r="AG174" s="13"/>
    </row>
    <row r="175" spans="1:33" s="90" customFormat="1" ht="49.5">
      <c r="A175" s="32" t="s">
        <v>657</v>
      </c>
      <c r="B175" s="226" t="s">
        <v>658</v>
      </c>
      <c r="C175" s="227" t="s">
        <v>167</v>
      </c>
      <c r="D175" s="228" t="s">
        <v>190</v>
      </c>
      <c r="E175" s="228" t="s">
        <v>172</v>
      </c>
      <c r="F175" s="228">
        <v>18</v>
      </c>
      <c r="G175" s="228"/>
      <c r="H175" s="228"/>
      <c r="I175" s="228"/>
      <c r="J175" s="228"/>
      <c r="K175" s="229"/>
      <c r="L175" s="230"/>
      <c r="M175" s="231" t="s">
        <v>284</v>
      </c>
      <c r="N175" s="232">
        <v>70125561842</v>
      </c>
      <c r="O175" s="232">
        <v>0</v>
      </c>
      <c r="P175" s="232">
        <v>0</v>
      </c>
      <c r="Q175" s="232">
        <v>0</v>
      </c>
      <c r="R175" s="232">
        <v>0</v>
      </c>
      <c r="S175" s="232">
        <v>0</v>
      </c>
      <c r="T175" s="232">
        <v>70125561842</v>
      </c>
      <c r="U175" s="232">
        <v>2665516270.9200001</v>
      </c>
      <c r="V175" s="232">
        <v>67460045571.080002</v>
      </c>
      <c r="W175" s="233">
        <v>3.801062267316558E-2</v>
      </c>
      <c r="X175" s="232">
        <v>0</v>
      </c>
      <c r="Y175" s="232">
        <v>2665516270.9200001</v>
      </c>
      <c r="Z175" s="233">
        <v>1</v>
      </c>
      <c r="AA175" s="232">
        <v>0</v>
      </c>
      <c r="AB175" s="232">
        <v>0</v>
      </c>
      <c r="AC175" s="233">
        <v>0</v>
      </c>
      <c r="AE175" s="13"/>
      <c r="AF175" s="293"/>
      <c r="AG175" s="13"/>
    </row>
    <row r="176" spans="1:33" s="90" customFormat="1" ht="33">
      <c r="A176" s="32" t="s">
        <v>659</v>
      </c>
      <c r="B176" s="210" t="s">
        <v>660</v>
      </c>
      <c r="C176" s="211" t="s">
        <v>167</v>
      </c>
      <c r="D176" s="212" t="s">
        <v>190</v>
      </c>
      <c r="E176" s="212" t="s">
        <v>172</v>
      </c>
      <c r="F176" s="212">
        <v>18</v>
      </c>
      <c r="G176" s="212" t="s">
        <v>175</v>
      </c>
      <c r="H176" s="212">
        <v>4103050</v>
      </c>
      <c r="I176" s="212"/>
      <c r="J176" s="212"/>
      <c r="K176" s="213">
        <v>11</v>
      </c>
      <c r="L176" s="214" t="s">
        <v>29</v>
      </c>
      <c r="M176" s="210" t="s">
        <v>269</v>
      </c>
      <c r="N176" s="215">
        <v>70125561842</v>
      </c>
      <c r="O176" s="215">
        <v>0</v>
      </c>
      <c r="P176" s="215">
        <v>0</v>
      </c>
      <c r="Q176" s="215">
        <v>0</v>
      </c>
      <c r="R176" s="215">
        <v>0</v>
      </c>
      <c r="S176" s="215">
        <v>0</v>
      </c>
      <c r="T176" s="215">
        <v>70125561842</v>
      </c>
      <c r="U176" s="215">
        <v>2665516270.9200001</v>
      </c>
      <c r="V176" s="215">
        <v>67460045571.080002</v>
      </c>
      <c r="W176" s="216">
        <v>3.801062267316558E-2</v>
      </c>
      <c r="X176" s="215">
        <v>0</v>
      </c>
      <c r="Y176" s="215">
        <v>2665516270.9200001</v>
      </c>
      <c r="Z176" s="216">
        <v>1</v>
      </c>
      <c r="AA176" s="215">
        <v>0</v>
      </c>
      <c r="AB176" s="215">
        <v>0</v>
      </c>
      <c r="AC176" s="216">
        <v>0</v>
      </c>
      <c r="AE176" s="13"/>
      <c r="AF176" s="293"/>
      <c r="AG176" s="13"/>
    </row>
    <row r="177" spans="1:33" s="90" customFormat="1" ht="24.95" customHeight="1">
      <c r="A177" s="32" t="s">
        <v>661</v>
      </c>
      <c r="B177" s="217" t="s">
        <v>662</v>
      </c>
      <c r="C177" s="266" t="s">
        <v>167</v>
      </c>
      <c r="D177" s="267" t="s">
        <v>190</v>
      </c>
      <c r="E177" s="267" t="s">
        <v>172</v>
      </c>
      <c r="F177" s="267">
        <v>18</v>
      </c>
      <c r="G177" s="267" t="s">
        <v>175</v>
      </c>
      <c r="H177" s="267">
        <v>4103050</v>
      </c>
      <c r="I177" s="267" t="s">
        <v>54</v>
      </c>
      <c r="J177" s="267"/>
      <c r="K177" s="268">
        <v>11</v>
      </c>
      <c r="L177" s="269" t="s">
        <v>29</v>
      </c>
      <c r="M177" s="259" t="s">
        <v>178</v>
      </c>
      <c r="N177" s="222">
        <v>70125561842</v>
      </c>
      <c r="O177" s="222"/>
      <c r="P177" s="222"/>
      <c r="Q177" s="222"/>
      <c r="R177" s="222"/>
      <c r="S177" s="222"/>
      <c r="T177" s="222">
        <v>70125561842</v>
      </c>
      <c r="U177" s="222">
        <v>2665516270.9200001</v>
      </c>
      <c r="V177" s="222">
        <v>67460045571.080002</v>
      </c>
      <c r="W177" s="224">
        <v>3.801062267316558E-2</v>
      </c>
      <c r="X177" s="222">
        <v>0</v>
      </c>
      <c r="Y177" s="222">
        <v>2665516270.9200001</v>
      </c>
      <c r="Z177" s="224">
        <v>1</v>
      </c>
      <c r="AA177" s="222">
        <v>0</v>
      </c>
      <c r="AB177" s="222">
        <v>0</v>
      </c>
      <c r="AC177" s="224">
        <v>0</v>
      </c>
      <c r="AE177" s="13"/>
      <c r="AF177" s="293"/>
      <c r="AG177" s="13"/>
    </row>
    <row r="178" spans="1:33" s="90" customFormat="1" ht="33">
      <c r="A178" s="32" t="s">
        <v>663</v>
      </c>
      <c r="B178" s="226" t="s">
        <v>664</v>
      </c>
      <c r="C178" s="227" t="s">
        <v>167</v>
      </c>
      <c r="D178" s="228" t="s">
        <v>190</v>
      </c>
      <c r="E178" s="228" t="s">
        <v>172</v>
      </c>
      <c r="F178" s="228">
        <v>19</v>
      </c>
      <c r="G178" s="228"/>
      <c r="H178" s="228"/>
      <c r="I178" s="228"/>
      <c r="J178" s="228"/>
      <c r="K178" s="229"/>
      <c r="L178" s="230"/>
      <c r="M178" s="231" t="s">
        <v>285</v>
      </c>
      <c r="N178" s="232">
        <v>11281479935</v>
      </c>
      <c r="O178" s="232">
        <v>0</v>
      </c>
      <c r="P178" s="232">
        <v>0</v>
      </c>
      <c r="Q178" s="232">
        <v>0</v>
      </c>
      <c r="R178" s="232">
        <v>0</v>
      </c>
      <c r="S178" s="232">
        <v>0</v>
      </c>
      <c r="T178" s="232">
        <v>11281479935</v>
      </c>
      <c r="U178" s="232">
        <v>3032781405</v>
      </c>
      <c r="V178" s="232">
        <v>8248698530</v>
      </c>
      <c r="W178" s="233">
        <v>0.26882832948104696</v>
      </c>
      <c r="X178" s="232">
        <v>0</v>
      </c>
      <c r="Y178" s="232">
        <v>3032781405</v>
      </c>
      <c r="Z178" s="233">
        <v>1</v>
      </c>
      <c r="AA178" s="232">
        <v>0</v>
      </c>
      <c r="AB178" s="232">
        <v>0</v>
      </c>
      <c r="AC178" s="233">
        <v>0</v>
      </c>
      <c r="AE178" s="13"/>
      <c r="AF178" s="293"/>
      <c r="AG178" s="13"/>
    </row>
    <row r="179" spans="1:33" s="90" customFormat="1" ht="33">
      <c r="A179" s="32" t="s">
        <v>665</v>
      </c>
      <c r="B179" s="210" t="s">
        <v>666</v>
      </c>
      <c r="C179" s="211" t="s">
        <v>167</v>
      </c>
      <c r="D179" s="212" t="s">
        <v>190</v>
      </c>
      <c r="E179" s="212" t="s">
        <v>172</v>
      </c>
      <c r="F179" s="212">
        <v>19</v>
      </c>
      <c r="G179" s="212" t="s">
        <v>175</v>
      </c>
      <c r="H179" s="212">
        <v>4103049</v>
      </c>
      <c r="I179" s="212"/>
      <c r="J179" s="212"/>
      <c r="K179" s="213">
        <v>11</v>
      </c>
      <c r="L179" s="214" t="s">
        <v>29</v>
      </c>
      <c r="M179" s="210" t="s">
        <v>228</v>
      </c>
      <c r="N179" s="215">
        <v>218772000</v>
      </c>
      <c r="O179" s="215">
        <v>0</v>
      </c>
      <c r="P179" s="215">
        <v>0</v>
      </c>
      <c r="Q179" s="215">
        <v>0</v>
      </c>
      <c r="R179" s="215">
        <v>0</v>
      </c>
      <c r="S179" s="215">
        <v>0</v>
      </c>
      <c r="T179" s="215">
        <v>218772000</v>
      </c>
      <c r="U179" s="215">
        <v>0</v>
      </c>
      <c r="V179" s="215">
        <v>218772000</v>
      </c>
      <c r="W179" s="216">
        <v>0</v>
      </c>
      <c r="X179" s="215">
        <v>0</v>
      </c>
      <c r="Y179" s="215">
        <v>0</v>
      </c>
      <c r="Z179" s="216">
        <v>0</v>
      </c>
      <c r="AA179" s="215">
        <v>0</v>
      </c>
      <c r="AB179" s="215">
        <v>0</v>
      </c>
      <c r="AC179" s="216">
        <v>0</v>
      </c>
      <c r="AE179" s="13"/>
      <c r="AF179" s="293"/>
      <c r="AG179" s="13"/>
    </row>
    <row r="180" spans="1:33" s="90" customFormat="1" ht="24.95" customHeight="1">
      <c r="A180" s="32" t="s">
        <v>667</v>
      </c>
      <c r="B180" s="217" t="s">
        <v>668</v>
      </c>
      <c r="C180" s="266" t="s">
        <v>167</v>
      </c>
      <c r="D180" s="267" t="s">
        <v>190</v>
      </c>
      <c r="E180" s="267" t="s">
        <v>172</v>
      </c>
      <c r="F180" s="267">
        <v>19</v>
      </c>
      <c r="G180" s="267" t="s">
        <v>175</v>
      </c>
      <c r="H180" s="267">
        <v>4103049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>
        <v>218772000</v>
      </c>
      <c r="O180" s="222"/>
      <c r="P180" s="222"/>
      <c r="Q180" s="222"/>
      <c r="R180" s="222"/>
      <c r="S180" s="222"/>
      <c r="T180" s="222">
        <v>218772000</v>
      </c>
      <c r="U180" s="222">
        <v>0</v>
      </c>
      <c r="V180" s="222">
        <v>218772000</v>
      </c>
      <c r="W180" s="224">
        <v>0</v>
      </c>
      <c r="X180" s="222">
        <v>0</v>
      </c>
      <c r="Y180" s="222">
        <v>0</v>
      </c>
      <c r="Z180" s="224">
        <v>0</v>
      </c>
      <c r="AA180" s="222">
        <v>0</v>
      </c>
      <c r="AB180" s="222">
        <v>0</v>
      </c>
      <c r="AC180" s="224">
        <v>0</v>
      </c>
      <c r="AE180" s="13"/>
      <c r="AF180" s="293"/>
      <c r="AG180" s="13"/>
    </row>
    <row r="181" spans="1:33" s="90" customFormat="1" ht="34.5" customHeight="1">
      <c r="A181" s="32" t="s">
        <v>669</v>
      </c>
      <c r="B181" s="210" t="s">
        <v>670</v>
      </c>
      <c r="C181" s="211" t="s">
        <v>167</v>
      </c>
      <c r="D181" s="212" t="s">
        <v>190</v>
      </c>
      <c r="E181" s="212" t="s">
        <v>172</v>
      </c>
      <c r="F181" s="212">
        <v>19</v>
      </c>
      <c r="G181" s="212" t="s">
        <v>175</v>
      </c>
      <c r="H181" s="212">
        <v>4103052</v>
      </c>
      <c r="I181" s="212"/>
      <c r="J181" s="212"/>
      <c r="K181" s="213">
        <v>11</v>
      </c>
      <c r="L181" s="214" t="s">
        <v>29</v>
      </c>
      <c r="M181" s="210" t="s">
        <v>229</v>
      </c>
      <c r="N181" s="215">
        <v>9835707936</v>
      </c>
      <c r="O181" s="215">
        <v>0</v>
      </c>
      <c r="P181" s="215">
        <v>0</v>
      </c>
      <c r="Q181" s="215">
        <v>0</v>
      </c>
      <c r="R181" s="215">
        <v>0</v>
      </c>
      <c r="S181" s="215">
        <v>0</v>
      </c>
      <c r="T181" s="215">
        <v>9835707936</v>
      </c>
      <c r="U181" s="215">
        <v>3032781405</v>
      </c>
      <c r="V181" s="215">
        <v>6802926531</v>
      </c>
      <c r="W181" s="216">
        <v>0.30834398751305092</v>
      </c>
      <c r="X181" s="215">
        <v>0</v>
      </c>
      <c r="Y181" s="215">
        <v>3032781405</v>
      </c>
      <c r="Z181" s="216">
        <v>1</v>
      </c>
      <c r="AA181" s="215">
        <v>0</v>
      </c>
      <c r="AB181" s="215">
        <v>0</v>
      </c>
      <c r="AC181" s="216">
        <v>0</v>
      </c>
      <c r="AE181" s="13"/>
      <c r="AF181" s="293"/>
      <c r="AG181" s="13"/>
    </row>
    <row r="182" spans="1:33" s="90" customFormat="1" ht="24.95" customHeight="1">
      <c r="A182" s="32" t="s">
        <v>671</v>
      </c>
      <c r="B182" s="217" t="s">
        <v>672</v>
      </c>
      <c r="C182" s="266" t="s">
        <v>167</v>
      </c>
      <c r="D182" s="267" t="s">
        <v>190</v>
      </c>
      <c r="E182" s="267" t="s">
        <v>172</v>
      </c>
      <c r="F182" s="267">
        <v>19</v>
      </c>
      <c r="G182" s="267" t="s">
        <v>175</v>
      </c>
      <c r="H182" s="267">
        <v>4103052</v>
      </c>
      <c r="I182" s="267" t="s">
        <v>54</v>
      </c>
      <c r="J182" s="267"/>
      <c r="K182" s="268">
        <v>11</v>
      </c>
      <c r="L182" s="269" t="s">
        <v>29</v>
      </c>
      <c r="M182" s="259" t="s">
        <v>178</v>
      </c>
      <c r="N182" s="222">
        <v>9835707936</v>
      </c>
      <c r="O182" s="222"/>
      <c r="P182" s="222"/>
      <c r="Q182" s="222"/>
      <c r="R182" s="222"/>
      <c r="S182" s="222"/>
      <c r="T182" s="222">
        <v>9835707936</v>
      </c>
      <c r="U182" s="222">
        <v>3032781405</v>
      </c>
      <c r="V182" s="222">
        <v>6802926531</v>
      </c>
      <c r="W182" s="224">
        <v>0.30834398751305092</v>
      </c>
      <c r="X182" s="222">
        <v>0</v>
      </c>
      <c r="Y182" s="222">
        <v>3032781405</v>
      </c>
      <c r="Z182" s="224">
        <v>1</v>
      </c>
      <c r="AA182" s="222">
        <v>0</v>
      </c>
      <c r="AB182" s="222">
        <v>0</v>
      </c>
      <c r="AC182" s="224">
        <v>0</v>
      </c>
      <c r="AE182" s="13"/>
      <c r="AF182" s="293"/>
      <c r="AG182" s="13"/>
    </row>
    <row r="183" spans="1:33" s="90" customFormat="1" ht="24.95" customHeight="1">
      <c r="A183" s="32" t="s">
        <v>673</v>
      </c>
      <c r="B183" s="210" t="s">
        <v>674</v>
      </c>
      <c r="C183" s="211" t="s">
        <v>167</v>
      </c>
      <c r="D183" s="212" t="s">
        <v>190</v>
      </c>
      <c r="E183" s="212" t="s">
        <v>172</v>
      </c>
      <c r="F183" s="212">
        <v>19</v>
      </c>
      <c r="G183" s="212" t="s">
        <v>175</v>
      </c>
      <c r="H183" s="212">
        <v>4103060</v>
      </c>
      <c r="I183" s="212"/>
      <c r="J183" s="212"/>
      <c r="K183" s="213">
        <v>11</v>
      </c>
      <c r="L183" s="214" t="s">
        <v>29</v>
      </c>
      <c r="M183" s="210" t="s">
        <v>216</v>
      </c>
      <c r="N183" s="215">
        <v>1226999999</v>
      </c>
      <c r="O183" s="215">
        <v>0</v>
      </c>
      <c r="P183" s="215">
        <v>0</v>
      </c>
      <c r="Q183" s="215">
        <v>0</v>
      </c>
      <c r="R183" s="215">
        <v>0</v>
      </c>
      <c r="S183" s="215">
        <v>0</v>
      </c>
      <c r="T183" s="215">
        <v>1226999999</v>
      </c>
      <c r="U183" s="215">
        <v>0</v>
      </c>
      <c r="V183" s="215">
        <v>1226999999</v>
      </c>
      <c r="W183" s="216">
        <v>0</v>
      </c>
      <c r="X183" s="215">
        <v>0</v>
      </c>
      <c r="Y183" s="215">
        <v>0</v>
      </c>
      <c r="Z183" s="216">
        <v>0</v>
      </c>
      <c r="AA183" s="215">
        <v>0</v>
      </c>
      <c r="AB183" s="215">
        <v>0</v>
      </c>
      <c r="AC183" s="216">
        <v>0</v>
      </c>
      <c r="AE183" s="13"/>
      <c r="AF183" s="293"/>
      <c r="AG183" s="13"/>
    </row>
    <row r="184" spans="1:33" s="90" customFormat="1" ht="24.95" customHeight="1">
      <c r="A184" s="32" t="s">
        <v>675</v>
      </c>
      <c r="B184" s="217" t="s">
        <v>676</v>
      </c>
      <c r="C184" s="266" t="s">
        <v>167</v>
      </c>
      <c r="D184" s="267" t="s">
        <v>190</v>
      </c>
      <c r="E184" s="267" t="s">
        <v>172</v>
      </c>
      <c r="F184" s="267">
        <v>19</v>
      </c>
      <c r="G184" s="267" t="s">
        <v>175</v>
      </c>
      <c r="H184" s="267">
        <v>4103060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1226999999</v>
      </c>
      <c r="O184" s="222"/>
      <c r="P184" s="222"/>
      <c r="Q184" s="222"/>
      <c r="R184" s="222"/>
      <c r="S184" s="222"/>
      <c r="T184" s="222">
        <v>1226999999</v>
      </c>
      <c r="U184" s="222">
        <v>0</v>
      </c>
      <c r="V184" s="222">
        <v>1226999999</v>
      </c>
      <c r="W184" s="224">
        <v>0</v>
      </c>
      <c r="X184" s="222">
        <v>0</v>
      </c>
      <c r="Y184" s="222">
        <v>0</v>
      </c>
      <c r="Z184" s="224">
        <v>0</v>
      </c>
      <c r="AA184" s="222">
        <v>0</v>
      </c>
      <c r="AB184" s="222">
        <v>0</v>
      </c>
      <c r="AC184" s="224">
        <v>0</v>
      </c>
      <c r="AE184" s="13"/>
      <c r="AF184" s="293"/>
      <c r="AG184" s="13"/>
    </row>
    <row r="185" spans="1:33" s="90" customFormat="1" ht="35.1" customHeight="1">
      <c r="A185" s="32" t="s">
        <v>543</v>
      </c>
      <c r="B185" s="188" t="s">
        <v>544</v>
      </c>
      <c r="C185" s="189" t="s">
        <v>167</v>
      </c>
      <c r="D185" s="191">
        <v>4199</v>
      </c>
      <c r="E185" s="191"/>
      <c r="F185" s="191"/>
      <c r="G185" s="191"/>
      <c r="H185" s="191"/>
      <c r="I185" s="191"/>
      <c r="J185" s="191"/>
      <c r="K185" s="192"/>
      <c r="L185" s="193"/>
      <c r="M185" s="188" t="s">
        <v>250</v>
      </c>
      <c r="N185" s="194">
        <v>3226548466</v>
      </c>
      <c r="O185" s="194">
        <v>0</v>
      </c>
      <c r="P185" s="194">
        <v>0</v>
      </c>
      <c r="Q185" s="194">
        <v>0</v>
      </c>
      <c r="R185" s="194">
        <v>0</v>
      </c>
      <c r="S185" s="194">
        <v>0</v>
      </c>
      <c r="T185" s="194">
        <v>3226548466</v>
      </c>
      <c r="U185" s="194">
        <v>0</v>
      </c>
      <c r="V185" s="194">
        <v>3226548466</v>
      </c>
      <c r="W185" s="195">
        <v>0</v>
      </c>
      <c r="X185" s="194">
        <v>0</v>
      </c>
      <c r="Y185" s="194">
        <v>0</v>
      </c>
      <c r="Z185" s="195">
        <v>0</v>
      </c>
      <c r="AA185" s="194">
        <v>0</v>
      </c>
      <c r="AB185" s="194">
        <v>0</v>
      </c>
      <c r="AC185" s="195">
        <v>0</v>
      </c>
      <c r="AE185" s="13"/>
      <c r="AF185" s="293"/>
      <c r="AG185" s="13"/>
    </row>
    <row r="186" spans="1:33" s="90" customFormat="1" ht="24.95" customHeight="1">
      <c r="A186" s="32" t="s">
        <v>545</v>
      </c>
      <c r="B186" s="196" t="s">
        <v>300</v>
      </c>
      <c r="C186" s="197" t="s">
        <v>167</v>
      </c>
      <c r="D186" s="198">
        <v>4199</v>
      </c>
      <c r="E186" s="198">
        <v>1500</v>
      </c>
      <c r="F186" s="198"/>
      <c r="G186" s="198"/>
      <c r="H186" s="198"/>
      <c r="I186" s="198"/>
      <c r="J186" s="198"/>
      <c r="K186" s="199"/>
      <c r="L186" s="200"/>
      <c r="M186" s="196" t="s">
        <v>170</v>
      </c>
      <c r="N186" s="201">
        <v>3226548466</v>
      </c>
      <c r="O186" s="201">
        <v>0</v>
      </c>
      <c r="P186" s="201">
        <v>0</v>
      </c>
      <c r="Q186" s="201">
        <v>0</v>
      </c>
      <c r="R186" s="201">
        <v>0</v>
      </c>
      <c r="S186" s="201">
        <v>0</v>
      </c>
      <c r="T186" s="201">
        <v>3226548466</v>
      </c>
      <c r="U186" s="201">
        <v>0</v>
      </c>
      <c r="V186" s="201">
        <v>3226548466</v>
      </c>
      <c r="W186" s="202">
        <v>0</v>
      </c>
      <c r="X186" s="201">
        <v>0</v>
      </c>
      <c r="Y186" s="201">
        <v>0</v>
      </c>
      <c r="Z186" s="202">
        <v>0</v>
      </c>
      <c r="AA186" s="201">
        <v>0</v>
      </c>
      <c r="AB186" s="201">
        <v>0</v>
      </c>
      <c r="AC186" s="202">
        <v>0</v>
      </c>
      <c r="AE186" s="13"/>
      <c r="AF186" s="293"/>
      <c r="AG186" s="13"/>
    </row>
    <row r="187" spans="1:33" s="90" customFormat="1" ht="33">
      <c r="A187" s="32" t="s">
        <v>546</v>
      </c>
      <c r="B187" s="203" t="s">
        <v>547</v>
      </c>
      <c r="C187" s="227" t="s">
        <v>167</v>
      </c>
      <c r="D187" s="228" t="s">
        <v>251</v>
      </c>
      <c r="E187" s="228" t="s">
        <v>172</v>
      </c>
      <c r="F187" s="228" t="s">
        <v>252</v>
      </c>
      <c r="G187" s="228"/>
      <c r="H187" s="228"/>
      <c r="I187" s="228"/>
      <c r="J187" s="228"/>
      <c r="K187" s="229"/>
      <c r="L187" s="230"/>
      <c r="M187" s="231" t="s">
        <v>287</v>
      </c>
      <c r="N187" s="232">
        <v>3226548466</v>
      </c>
      <c r="O187" s="232">
        <v>0</v>
      </c>
      <c r="P187" s="232">
        <v>0</v>
      </c>
      <c r="Q187" s="232">
        <v>0</v>
      </c>
      <c r="R187" s="232">
        <v>0</v>
      </c>
      <c r="S187" s="232">
        <v>0</v>
      </c>
      <c r="T187" s="232">
        <v>3226548466</v>
      </c>
      <c r="U187" s="232">
        <v>0</v>
      </c>
      <c r="V187" s="232">
        <v>3226548466</v>
      </c>
      <c r="W187" s="233">
        <v>0</v>
      </c>
      <c r="X187" s="232">
        <v>0</v>
      </c>
      <c r="Y187" s="232">
        <v>0</v>
      </c>
      <c r="Z187" s="233">
        <v>0</v>
      </c>
      <c r="AA187" s="232">
        <v>0</v>
      </c>
      <c r="AB187" s="232">
        <v>0</v>
      </c>
      <c r="AC187" s="233">
        <v>0</v>
      </c>
      <c r="AE187" s="13"/>
      <c r="AF187" s="293"/>
      <c r="AG187" s="13"/>
    </row>
    <row r="188" spans="1:33" s="90" customFormat="1" ht="24.95" customHeight="1">
      <c r="A188" s="32" t="s">
        <v>688</v>
      </c>
      <c r="B188" s="210" t="s">
        <v>548</v>
      </c>
      <c r="C188" s="211" t="s">
        <v>167</v>
      </c>
      <c r="D188" s="212" t="s">
        <v>251</v>
      </c>
      <c r="E188" s="212" t="s">
        <v>172</v>
      </c>
      <c r="F188" s="212" t="s">
        <v>252</v>
      </c>
      <c r="G188" s="212" t="s">
        <v>175</v>
      </c>
      <c r="H188" s="212" t="s">
        <v>254</v>
      </c>
      <c r="I188" s="212"/>
      <c r="J188" s="212"/>
      <c r="K188" s="213">
        <v>11</v>
      </c>
      <c r="L188" s="214" t="s">
        <v>29</v>
      </c>
      <c r="M188" s="210" t="s">
        <v>255</v>
      </c>
      <c r="N188" s="215">
        <v>3226548466</v>
      </c>
      <c r="O188" s="215">
        <v>0</v>
      </c>
      <c r="P188" s="215">
        <v>0</v>
      </c>
      <c r="Q188" s="215">
        <v>0</v>
      </c>
      <c r="R188" s="215">
        <v>0</v>
      </c>
      <c r="S188" s="215">
        <v>0</v>
      </c>
      <c r="T188" s="215">
        <v>3226548466</v>
      </c>
      <c r="U188" s="215">
        <v>0</v>
      </c>
      <c r="V188" s="215">
        <v>3226548466</v>
      </c>
      <c r="W188" s="216">
        <v>0</v>
      </c>
      <c r="X188" s="215">
        <v>0</v>
      </c>
      <c r="Y188" s="215">
        <v>0</v>
      </c>
      <c r="Z188" s="216">
        <v>0</v>
      </c>
      <c r="AA188" s="215">
        <v>0</v>
      </c>
      <c r="AB188" s="215">
        <v>0</v>
      </c>
      <c r="AC188" s="216">
        <v>0</v>
      </c>
      <c r="AE188" s="13"/>
      <c r="AF188" s="293"/>
      <c r="AG188" s="13"/>
    </row>
    <row r="189" spans="1:33" s="90" customFormat="1" ht="24.95" customHeight="1" thickBot="1">
      <c r="A189" s="32" t="s">
        <v>689</v>
      </c>
      <c r="B189" s="217" t="s">
        <v>549</v>
      </c>
      <c r="C189" s="218" t="s">
        <v>167</v>
      </c>
      <c r="D189" s="219" t="s">
        <v>251</v>
      </c>
      <c r="E189" s="219" t="s">
        <v>172</v>
      </c>
      <c r="F189" s="219" t="s">
        <v>252</v>
      </c>
      <c r="G189" s="219" t="s">
        <v>175</v>
      </c>
      <c r="H189" s="219" t="s">
        <v>254</v>
      </c>
      <c r="I189" s="219" t="s">
        <v>54</v>
      </c>
      <c r="J189" s="219"/>
      <c r="K189" s="275">
        <v>11</v>
      </c>
      <c r="L189" s="276" t="s">
        <v>29</v>
      </c>
      <c r="M189" s="217" t="s">
        <v>178</v>
      </c>
      <c r="N189" s="222">
        <v>3226548466</v>
      </c>
      <c r="O189" s="222"/>
      <c r="P189" s="222"/>
      <c r="Q189" s="222"/>
      <c r="R189" s="222"/>
      <c r="S189" s="222"/>
      <c r="T189" s="222">
        <v>3226548466</v>
      </c>
      <c r="U189" s="222">
        <v>0</v>
      </c>
      <c r="V189" s="222">
        <v>3226548466</v>
      </c>
      <c r="W189" s="224">
        <v>0</v>
      </c>
      <c r="X189" s="222">
        <v>0</v>
      </c>
      <c r="Y189" s="222">
        <v>0</v>
      </c>
      <c r="Z189" s="224">
        <v>0</v>
      </c>
      <c r="AA189" s="222">
        <v>0</v>
      </c>
      <c r="AB189" s="222">
        <v>0</v>
      </c>
      <c r="AC189" s="224">
        <v>0</v>
      </c>
      <c r="AE189" s="13"/>
      <c r="AF189" s="293"/>
      <c r="AG189" s="13"/>
    </row>
    <row r="190" spans="1:33" s="90" customFormat="1" ht="35.1" customHeight="1" thickBot="1">
      <c r="A190" s="32"/>
      <c r="B190" s="277" t="s">
        <v>288</v>
      </c>
      <c r="C190" s="278"/>
      <c r="D190" s="278"/>
      <c r="E190" s="278"/>
      <c r="F190" s="278"/>
      <c r="G190" s="278"/>
      <c r="H190" s="278"/>
      <c r="I190" s="278"/>
      <c r="J190" s="278"/>
      <c r="K190" s="278"/>
      <c r="L190" s="278"/>
      <c r="M190" s="260" t="s">
        <v>256</v>
      </c>
      <c r="N190" s="265">
        <v>3648573139470</v>
      </c>
      <c r="O190" s="265">
        <v>0</v>
      </c>
      <c r="P190" s="265">
        <v>0</v>
      </c>
      <c r="Q190" s="265">
        <v>44314848063</v>
      </c>
      <c r="R190" s="265">
        <v>44314848063</v>
      </c>
      <c r="S190" s="265">
        <v>11791000000</v>
      </c>
      <c r="T190" s="265">
        <v>3636782139470</v>
      </c>
      <c r="U190" s="265">
        <v>1452247549722.8599</v>
      </c>
      <c r="V190" s="265">
        <v>2184534589747.1401</v>
      </c>
      <c r="W190" s="187">
        <v>0.39932211884831259</v>
      </c>
      <c r="X190" s="265">
        <v>7993299762.0900002</v>
      </c>
      <c r="Y190" s="265">
        <v>1444254249960.7698</v>
      </c>
      <c r="Z190" s="187">
        <v>0.99449591100111312</v>
      </c>
      <c r="AA190" s="265">
        <v>7979047725.0900002</v>
      </c>
      <c r="AB190" s="265">
        <v>14252037.000000004</v>
      </c>
      <c r="AC190" s="187">
        <v>5.4942752195468909E-3</v>
      </c>
      <c r="AE190" s="13"/>
      <c r="AF190" s="293"/>
      <c r="AG190" s="13"/>
    </row>
    <row r="191" spans="1:33" s="90" customFormat="1" ht="16.5">
      <c r="A191" s="32"/>
      <c r="B191" s="279"/>
      <c r="C191" s="82"/>
      <c r="D191" s="82"/>
      <c r="E191" s="82"/>
      <c r="F191" s="82"/>
      <c r="G191" s="82"/>
      <c r="H191" s="83"/>
      <c r="I191" s="84"/>
      <c r="J191" s="84"/>
      <c r="K191" s="84"/>
      <c r="L191" s="84"/>
      <c r="M191" s="84"/>
      <c r="N191" s="86"/>
      <c r="O191" s="86"/>
      <c r="P191" s="86"/>
      <c r="Q191" s="86"/>
      <c r="R191" s="86"/>
      <c r="S191" s="86"/>
      <c r="T191" s="86"/>
      <c r="U191" s="86"/>
      <c r="V191" s="86"/>
      <c r="W191" s="87"/>
      <c r="X191" s="86"/>
      <c r="Y191" s="86"/>
      <c r="Z191" s="87"/>
      <c r="AA191" s="86"/>
      <c r="AB191" s="86"/>
      <c r="AC191" s="89"/>
      <c r="AE191" s="291"/>
      <c r="AF191" s="293"/>
      <c r="AG191" s="13"/>
    </row>
    <row r="192" spans="1:33" s="90" customFormat="1" ht="16.5">
      <c r="A192" s="32" t="s">
        <v>550</v>
      </c>
      <c r="B192" s="279"/>
      <c r="C192" s="82"/>
      <c r="D192" s="82"/>
      <c r="E192" s="82"/>
      <c r="F192" s="82"/>
      <c r="G192" s="82"/>
      <c r="H192" s="83"/>
      <c r="I192" s="84"/>
      <c r="J192" s="84"/>
      <c r="K192" s="84"/>
      <c r="L192" s="84"/>
      <c r="M192" s="84"/>
      <c r="N192" s="86"/>
      <c r="O192" s="86"/>
      <c r="P192" s="86"/>
      <c r="Q192" s="86"/>
      <c r="R192" s="86"/>
      <c r="S192" s="86"/>
      <c r="T192" s="86"/>
      <c r="U192" s="86"/>
      <c r="V192" s="86"/>
      <c r="W192" s="87"/>
      <c r="X192" s="86"/>
      <c r="Y192" s="86"/>
      <c r="Z192" s="87"/>
      <c r="AA192" s="86"/>
      <c r="AB192" s="86"/>
      <c r="AC192" s="89"/>
      <c r="AE192" s="291"/>
      <c r="AF192" s="293"/>
      <c r="AG192" s="13"/>
    </row>
    <row r="193" spans="1:33" s="8" customFormat="1" ht="16.5">
      <c r="A193" s="32"/>
      <c r="B193" s="280"/>
      <c r="C193" s="94"/>
      <c r="D193" s="93"/>
      <c r="E193" s="93"/>
      <c r="F193" s="93"/>
      <c r="G193" s="93"/>
      <c r="H193" s="93"/>
      <c r="I193" s="93"/>
      <c r="J193" s="93"/>
      <c r="K193" s="93"/>
      <c r="L193" s="93"/>
      <c r="M193" s="97" t="s">
        <v>289</v>
      </c>
      <c r="N193" s="281">
        <v>3648573139470</v>
      </c>
      <c r="O193" s="281">
        <v>0</v>
      </c>
      <c r="P193" s="8">
        <v>0</v>
      </c>
      <c r="Q193" s="635">
        <v>44314848063</v>
      </c>
      <c r="R193" s="634">
        <v>44314848063</v>
      </c>
      <c r="S193" s="281">
        <v>11791000000</v>
      </c>
      <c r="T193" s="281">
        <v>3636782139470</v>
      </c>
      <c r="U193" s="281">
        <v>1452247549722.8601</v>
      </c>
      <c r="V193" s="281">
        <v>2184534589747.1399</v>
      </c>
      <c r="W193" s="282">
        <v>0.39932211884831265</v>
      </c>
      <c r="X193" s="281">
        <v>7993299762.0900002</v>
      </c>
      <c r="Y193" s="281">
        <v>1444254249960.77</v>
      </c>
      <c r="Z193" s="282">
        <v>0.99449591100111312</v>
      </c>
      <c r="AA193" s="281">
        <v>7979047725.0900002</v>
      </c>
      <c r="AB193" s="281">
        <v>14252037</v>
      </c>
      <c r="AC193" s="282">
        <v>5.5014584598047341E-3</v>
      </c>
      <c r="AE193" s="298"/>
    </row>
    <row r="194" spans="1:33" s="289" customFormat="1" ht="16.5">
      <c r="A194" s="22"/>
      <c r="B194" s="283"/>
      <c r="C194" s="284"/>
      <c r="D194" s="285"/>
      <c r="E194" s="285"/>
      <c r="F194" s="285"/>
      <c r="G194" s="285"/>
      <c r="H194" s="285"/>
      <c r="I194" s="285"/>
      <c r="J194" s="285"/>
      <c r="K194" s="285"/>
      <c r="L194" s="285"/>
      <c r="M194" s="286" t="s">
        <v>290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287">
        <v>0</v>
      </c>
      <c r="X194" s="98">
        <v>0</v>
      </c>
      <c r="Y194" s="98">
        <v>0</v>
      </c>
      <c r="Z194" s="287">
        <v>0</v>
      </c>
      <c r="AA194" s="98">
        <v>0</v>
      </c>
      <c r="AB194" s="98">
        <v>0</v>
      </c>
      <c r="AC194" s="288">
        <v>0</v>
      </c>
      <c r="AD194" s="8"/>
      <c r="AE194" s="290"/>
      <c r="AF194" s="8"/>
      <c r="AG194" s="8"/>
    </row>
    <row r="195" spans="1:33" ht="18">
      <c r="A195" s="30"/>
      <c r="B195" s="279"/>
      <c r="C195" s="312"/>
      <c r="D195" s="317"/>
      <c r="E195" s="312"/>
      <c r="F195" s="312"/>
      <c r="G195" s="312"/>
      <c r="H195" s="312"/>
      <c r="I195" s="312"/>
      <c r="J195" s="312"/>
      <c r="K195" s="312"/>
      <c r="L195" s="312"/>
      <c r="M195" s="312"/>
      <c r="N195" s="335"/>
      <c r="O195" s="632"/>
      <c r="P195" s="332"/>
      <c r="Q195" s="332"/>
      <c r="R195" s="633"/>
      <c r="S195" s="633"/>
      <c r="T195" s="332"/>
      <c r="U195" s="332"/>
      <c r="V195" s="332"/>
      <c r="W195" s="333"/>
      <c r="X195" s="332"/>
      <c r="Y195" s="332"/>
      <c r="Z195" s="333"/>
      <c r="AA195" s="332"/>
      <c r="AB195" s="332"/>
      <c r="AC195" s="333"/>
    </row>
    <row r="196" spans="1:33" ht="18">
      <c r="A196" s="30"/>
      <c r="B196" s="279"/>
      <c r="C196" s="312"/>
      <c r="D196" s="317"/>
      <c r="E196" s="312"/>
      <c r="F196" s="312"/>
      <c r="G196" s="312"/>
      <c r="H196" s="312"/>
      <c r="I196" s="312"/>
      <c r="J196" s="312"/>
      <c r="K196" s="312"/>
      <c r="L196" s="312"/>
      <c r="M196" s="312"/>
      <c r="N196" s="332"/>
      <c r="O196" s="632"/>
      <c r="P196" s="332"/>
      <c r="Q196" s="332"/>
      <c r="R196" s="633"/>
      <c r="S196" s="633"/>
      <c r="T196" s="332"/>
      <c r="U196" s="332"/>
      <c r="V196" s="332"/>
      <c r="W196" s="333"/>
      <c r="X196" s="332"/>
      <c r="Y196" s="332"/>
      <c r="Z196" s="333"/>
      <c r="AA196" s="332"/>
      <c r="AB196" s="332"/>
      <c r="AC196" s="333"/>
    </row>
    <row r="197" spans="1:33" ht="18">
      <c r="A197" s="1"/>
      <c r="B197" s="156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32"/>
      <c r="O197" s="632"/>
      <c r="P197" s="332"/>
      <c r="Q197" s="332"/>
      <c r="R197" s="332"/>
      <c r="S197" s="332"/>
      <c r="T197" s="332"/>
      <c r="U197" s="332"/>
      <c r="V197" s="332"/>
      <c r="W197" s="333"/>
      <c r="X197" s="332"/>
      <c r="Y197" s="631"/>
      <c r="Z197" s="333"/>
      <c r="AA197" s="332"/>
      <c r="AB197" s="332"/>
      <c r="AC197" s="333"/>
    </row>
    <row r="198" spans="1:33" ht="30">
      <c r="A198" s="1"/>
      <c r="B198" s="156"/>
      <c r="C198" s="318"/>
      <c r="D198" s="318"/>
      <c r="E198" s="318"/>
      <c r="F198" s="318"/>
      <c r="G198" s="318"/>
      <c r="H198" s="318"/>
      <c r="I198" s="312"/>
      <c r="J198" s="312"/>
      <c r="K198" s="312"/>
      <c r="L198" s="312"/>
      <c r="M198" s="336" t="s">
        <v>738</v>
      </c>
      <c r="N198" s="628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20"/>
      <c r="AA198" s="319"/>
      <c r="AB198" s="319"/>
      <c r="AC198" s="319"/>
    </row>
    <row r="199" spans="1:33" ht="30">
      <c r="A199" s="1"/>
      <c r="B199" s="156"/>
      <c r="C199" s="321"/>
      <c r="D199" s="322"/>
      <c r="E199" s="322"/>
      <c r="F199" s="322"/>
      <c r="G199" s="322"/>
      <c r="H199" s="322"/>
      <c r="I199" s="322"/>
      <c r="J199" s="322"/>
      <c r="K199" s="322"/>
      <c r="L199" s="322"/>
      <c r="M199" s="337" t="s">
        <v>739</v>
      </c>
      <c r="N199" s="628"/>
      <c r="P199" s="323"/>
      <c r="Q199" s="323"/>
      <c r="R199" s="323"/>
      <c r="S199" s="323"/>
      <c r="T199" s="323"/>
      <c r="U199" s="323"/>
      <c r="V199" s="323"/>
      <c r="W199" s="323"/>
      <c r="X199" s="323"/>
      <c r="Y199" s="323"/>
      <c r="Z199" s="324"/>
      <c r="AA199" s="323"/>
      <c r="AB199" s="323"/>
      <c r="AC199" s="323"/>
    </row>
    <row r="200" spans="1:33" ht="30">
      <c r="A200" s="325"/>
      <c r="B200" s="314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628"/>
      <c r="P200" s="309"/>
      <c r="Q200" s="309"/>
      <c r="R200" s="630"/>
      <c r="S200" s="630"/>
      <c r="T200" s="334"/>
      <c r="U200" s="334"/>
      <c r="V200" s="629"/>
      <c r="W200" s="329"/>
      <c r="X200" s="329"/>
      <c r="Y200" s="329"/>
      <c r="Z200" s="329"/>
    </row>
    <row r="201" spans="1:33" ht="16.5">
      <c r="N201" s="628"/>
      <c r="O201" s="628"/>
    </row>
    <row r="202" spans="1:33" ht="16.5">
      <c r="N202" s="628"/>
      <c r="O202" s="628"/>
    </row>
    <row r="203" spans="1:33" ht="16.5">
      <c r="N203" s="628"/>
    </row>
    <row r="204" spans="1:33" ht="16.5">
      <c r="N204" s="628"/>
    </row>
    <row r="205" spans="1:33" ht="16.5">
      <c r="N205" s="628"/>
    </row>
  </sheetData>
  <sheetProtection selectLockedCells="1" selectUnlockedCells="1"/>
  <autoFilter ref="A6:AC193" xr:uid="{7E29D852-9D13-4595-889A-7B30A2B8800B}"/>
  <mergeCells count="6">
    <mergeCell ref="N2:AC2"/>
    <mergeCell ref="N3:AC3"/>
    <mergeCell ref="O5:P5"/>
    <mergeCell ref="Q5:R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548A-510C-4539-BB57-1A2AF1B0EEF2}">
  <sheetPr>
    <tabColor rgb="FF00B0F0"/>
  </sheetPr>
  <dimension ref="A3:E17"/>
  <sheetViews>
    <sheetView zoomScale="85" zoomScaleNormal="85" workbookViewId="0">
      <selection activeCell="B5" sqref="B5"/>
    </sheetView>
  </sheetViews>
  <sheetFormatPr baseColWidth="10" defaultRowHeight="15"/>
  <cols>
    <col min="1" max="1" width="16.140625" bestFit="1" customWidth="1"/>
    <col min="2" max="2" width="91.28515625" style="566" customWidth="1"/>
    <col min="3" max="3" width="21.85546875" bestFit="1" customWidth="1"/>
    <col min="4" max="4" width="21.28515625" bestFit="1" customWidth="1"/>
    <col min="5" max="5" width="16.28515625" bestFit="1" customWidth="1"/>
  </cols>
  <sheetData>
    <row r="3" spans="1:5">
      <c r="B3"/>
      <c r="C3" s="565" t="s">
        <v>862</v>
      </c>
    </row>
    <row r="4" spans="1:5">
      <c r="A4" s="573" t="s">
        <v>2</v>
      </c>
      <c r="B4" s="573" t="s">
        <v>5</v>
      </c>
      <c r="C4" s="574" t="s">
        <v>863</v>
      </c>
      <c r="D4" s="574" t="s">
        <v>861</v>
      </c>
      <c r="E4" s="574" t="s">
        <v>864</v>
      </c>
    </row>
    <row r="5" spans="1:5">
      <c r="A5" s="569" t="s">
        <v>440</v>
      </c>
      <c r="B5" s="569" t="s">
        <v>762</v>
      </c>
      <c r="C5" s="570">
        <v>61470787771</v>
      </c>
      <c r="D5" s="570">
        <v>61389314251</v>
      </c>
      <c r="E5" s="572">
        <v>0.99867459775684808</v>
      </c>
    </row>
    <row r="6" spans="1:5">
      <c r="A6" s="569" t="s">
        <v>454</v>
      </c>
      <c r="B6" s="569" t="s">
        <v>860</v>
      </c>
      <c r="C6" s="570">
        <v>123029045092</v>
      </c>
      <c r="D6" s="570">
        <v>122893512975</v>
      </c>
      <c r="E6" s="572">
        <v>0.99889837300697037</v>
      </c>
    </row>
    <row r="7" spans="1:5">
      <c r="A7" s="569" t="s">
        <v>297</v>
      </c>
      <c r="B7" s="569" t="s">
        <v>764</v>
      </c>
      <c r="C7" s="570">
        <v>2212751517460</v>
      </c>
      <c r="D7" s="570">
        <v>2207724506514.52</v>
      </c>
      <c r="E7" s="572">
        <v>0.99772816292032174</v>
      </c>
    </row>
    <row r="8" spans="1:5">
      <c r="A8" s="569" t="s">
        <v>298</v>
      </c>
      <c r="B8" s="569" t="s">
        <v>856</v>
      </c>
      <c r="C8" s="570">
        <v>27257211909</v>
      </c>
      <c r="D8" s="570">
        <v>27226168568</v>
      </c>
      <c r="E8" s="572">
        <v>0.99886109624477959</v>
      </c>
    </row>
    <row r="9" spans="1:5">
      <c r="A9" s="569" t="s">
        <v>299</v>
      </c>
      <c r="B9" s="569" t="s">
        <v>766</v>
      </c>
      <c r="C9" s="570">
        <v>300237981384</v>
      </c>
      <c r="D9" s="570">
        <v>290253220820.78998</v>
      </c>
      <c r="E9" s="572">
        <v>0.966743845941198</v>
      </c>
    </row>
    <row r="10" spans="1:5">
      <c r="A10" s="569" t="s">
        <v>520</v>
      </c>
      <c r="B10" s="569" t="s">
        <v>767</v>
      </c>
      <c r="C10" s="570">
        <v>1000000000</v>
      </c>
      <c r="D10" s="570">
        <v>1000000000</v>
      </c>
      <c r="E10" s="572">
        <v>1</v>
      </c>
    </row>
    <row r="11" spans="1:5">
      <c r="A11" s="569" t="s">
        <v>530</v>
      </c>
      <c r="B11" s="569" t="s">
        <v>768</v>
      </c>
      <c r="C11" s="570">
        <v>46109552424</v>
      </c>
      <c r="D11" s="570">
        <v>45834968067</v>
      </c>
      <c r="E11" s="572">
        <v>0.99404495722545594</v>
      </c>
    </row>
    <row r="12" spans="1:5">
      <c r="A12" s="569" t="s">
        <v>658</v>
      </c>
      <c r="B12" s="569" t="s">
        <v>865</v>
      </c>
      <c r="C12" s="570">
        <v>7730254730</v>
      </c>
      <c r="D12" s="570">
        <v>7242206992.4099998</v>
      </c>
      <c r="E12" s="572">
        <v>0.93686524511333924</v>
      </c>
    </row>
    <row r="13" spans="1:5">
      <c r="A13" s="569" t="s">
        <v>664</v>
      </c>
      <c r="B13" s="569" t="s">
        <v>857</v>
      </c>
      <c r="C13" s="570">
        <v>9421340803</v>
      </c>
      <c r="D13" s="570">
        <v>9387420694</v>
      </c>
      <c r="E13" s="572">
        <v>0.99639965163034983</v>
      </c>
    </row>
    <row r="14" spans="1:5">
      <c r="A14" s="569" t="s">
        <v>678</v>
      </c>
      <c r="B14" s="569" t="s">
        <v>286</v>
      </c>
      <c r="C14" s="570">
        <v>274181132277</v>
      </c>
      <c r="D14" s="570">
        <v>266707848316</v>
      </c>
      <c r="E14" s="572">
        <v>0.97274325954183494</v>
      </c>
    </row>
    <row r="15" spans="1:5">
      <c r="A15" s="569" t="s">
        <v>685</v>
      </c>
      <c r="B15" s="569" t="s">
        <v>248</v>
      </c>
      <c r="C15" s="570">
        <v>0</v>
      </c>
      <c r="D15" s="570">
        <v>0</v>
      </c>
      <c r="E15" s="572" t="e">
        <v>#DIV/0!</v>
      </c>
    </row>
    <row r="16" spans="1:5">
      <c r="A16" s="569" t="s">
        <v>547</v>
      </c>
      <c r="B16" s="569" t="s">
        <v>775</v>
      </c>
      <c r="C16" s="570">
        <v>3226548466</v>
      </c>
      <c r="D16" s="570">
        <v>3199772465.5999999</v>
      </c>
      <c r="E16" s="572">
        <v>0.99170134876876814</v>
      </c>
    </row>
    <row r="17" spans="1:5">
      <c r="A17" s="569" t="s">
        <v>859</v>
      </c>
      <c r="B17" s="569"/>
      <c r="C17" s="570">
        <v>3066415372316</v>
      </c>
      <c r="D17" s="570">
        <v>3042858939664.3203</v>
      </c>
      <c r="E17" s="572">
        <v>0.99231792507161609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80D8-FFC7-48B8-9DFC-B96A974094C8}">
  <sheetPr>
    <tabColor rgb="FF00B0F0"/>
    <pageSetUpPr fitToPage="1"/>
  </sheetPr>
  <dimension ref="A1:BC219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6.14062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69.5703125" style="9" customWidth="1"/>
    <col min="14" max="14" width="20" style="13" bestFit="1" customWidth="1"/>
    <col min="15" max="15" width="18.8554687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908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784" t="s">
        <v>7</v>
      </c>
      <c r="V5" s="791"/>
      <c r="W5" s="79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162991000000</v>
      </c>
      <c r="O8" s="186">
        <v>5716169561713</v>
      </c>
      <c r="P8" s="186">
        <v>0</v>
      </c>
      <c r="Q8" s="186">
        <v>6410045741.3199997</v>
      </c>
      <c r="R8" s="186">
        <v>6410045741.3199997</v>
      </c>
      <c r="S8" s="186">
        <v>11791000000</v>
      </c>
      <c r="T8" s="186">
        <v>5867369561713</v>
      </c>
      <c r="U8" s="186">
        <v>4693590721058.2803</v>
      </c>
      <c r="V8" s="186">
        <v>1173778840654.72</v>
      </c>
      <c r="W8" s="187">
        <v>0.79994802980979596</v>
      </c>
      <c r="X8" s="186">
        <v>4542289586850.5</v>
      </c>
      <c r="Y8" s="186">
        <v>151301134207.78</v>
      </c>
      <c r="Z8" s="187">
        <v>3.2235689730881693E-2</v>
      </c>
      <c r="AA8" s="186">
        <v>3999763661951.5</v>
      </c>
      <c r="AB8" s="186">
        <v>542525924899</v>
      </c>
      <c r="AC8" s="187">
        <v>0.85217563687565401</v>
      </c>
    </row>
    <row r="9" spans="1:29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99738000000</v>
      </c>
      <c r="O9" s="194">
        <v>0</v>
      </c>
      <c r="P9" s="194">
        <v>0</v>
      </c>
      <c r="Q9" s="194">
        <v>275000000</v>
      </c>
      <c r="R9" s="194">
        <v>275000000</v>
      </c>
      <c r="S9" s="194">
        <v>0</v>
      </c>
      <c r="T9" s="194">
        <v>99738000000</v>
      </c>
      <c r="U9" s="194">
        <v>76921475885</v>
      </c>
      <c r="V9" s="194">
        <v>22816524115</v>
      </c>
      <c r="W9" s="195">
        <v>0.7712353955864365</v>
      </c>
      <c r="X9" s="194">
        <v>76304987901</v>
      </c>
      <c r="Y9" s="194">
        <v>616487984</v>
      </c>
      <c r="Z9" s="195">
        <v>8.014510601976341E-3</v>
      </c>
      <c r="AA9" s="194">
        <v>76304831501</v>
      </c>
      <c r="AB9" s="194">
        <v>156400</v>
      </c>
      <c r="AC9" s="195">
        <v>0.99198345615570482</v>
      </c>
    </row>
    <row r="10" spans="1:29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99738000000</v>
      </c>
      <c r="O10" s="201">
        <v>0</v>
      </c>
      <c r="P10" s="201">
        <v>0</v>
      </c>
      <c r="Q10" s="201">
        <v>275000000</v>
      </c>
      <c r="R10" s="201">
        <v>275000000</v>
      </c>
      <c r="S10" s="201">
        <v>0</v>
      </c>
      <c r="T10" s="201">
        <v>99738000000</v>
      </c>
      <c r="U10" s="201">
        <v>76921475885</v>
      </c>
      <c r="V10" s="201">
        <v>22816524115</v>
      </c>
      <c r="W10" s="202">
        <v>0.7712353955864365</v>
      </c>
      <c r="X10" s="201">
        <v>76304987901</v>
      </c>
      <c r="Y10" s="201">
        <v>616487984</v>
      </c>
      <c r="Z10" s="202">
        <v>8.014510601976341E-3</v>
      </c>
      <c r="AA10" s="201">
        <v>76304831501</v>
      </c>
      <c r="AB10" s="201">
        <v>156400</v>
      </c>
      <c r="AC10" s="202">
        <v>0.99198345615570482</v>
      </c>
    </row>
    <row r="11" spans="1:29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68019000000</v>
      </c>
      <c r="O11" s="208">
        <v>0</v>
      </c>
      <c r="P11" s="208">
        <v>0</v>
      </c>
      <c r="Q11" s="208">
        <v>275000000</v>
      </c>
      <c r="R11" s="208">
        <v>275000000</v>
      </c>
      <c r="S11" s="208">
        <v>0</v>
      </c>
      <c r="T11" s="208">
        <v>68019000000</v>
      </c>
      <c r="U11" s="208">
        <v>51770824753</v>
      </c>
      <c r="V11" s="208">
        <v>16248175247</v>
      </c>
      <c r="W11" s="209">
        <v>0.76112299141416373</v>
      </c>
      <c r="X11" s="208">
        <v>51770824753</v>
      </c>
      <c r="Y11" s="208">
        <v>0</v>
      </c>
      <c r="Z11" s="209">
        <v>0</v>
      </c>
      <c r="AA11" s="208">
        <v>51770824753</v>
      </c>
      <c r="AB11" s="208">
        <v>0</v>
      </c>
      <c r="AC11" s="209">
        <v>1</v>
      </c>
    </row>
    <row r="12" spans="1:29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68019000000</v>
      </c>
      <c r="O12" s="215">
        <v>0</v>
      </c>
      <c r="P12" s="215">
        <v>0</v>
      </c>
      <c r="Q12" s="215">
        <v>275000000</v>
      </c>
      <c r="R12" s="215">
        <v>275000000</v>
      </c>
      <c r="S12" s="215">
        <v>0</v>
      </c>
      <c r="T12" s="215">
        <v>68019000000</v>
      </c>
      <c r="U12" s="215">
        <v>51770824753</v>
      </c>
      <c r="V12" s="215">
        <v>16248175247</v>
      </c>
      <c r="W12" s="216">
        <v>0.76112299141416373</v>
      </c>
      <c r="X12" s="215">
        <v>51770824753</v>
      </c>
      <c r="Y12" s="215">
        <v>0</v>
      </c>
      <c r="Z12" s="216">
        <v>0</v>
      </c>
      <c r="AA12" s="215">
        <v>51770824753</v>
      </c>
      <c r="AB12" s="215">
        <v>0</v>
      </c>
      <c r="AC12" s="216">
        <v>1</v>
      </c>
    </row>
    <row r="13" spans="1:29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v>54858000000</v>
      </c>
      <c r="U13" s="222">
        <v>45613879790</v>
      </c>
      <c r="V13" s="222">
        <v>9244120210</v>
      </c>
      <c r="W13" s="224">
        <v>0.83149002497356816</v>
      </c>
      <c r="X13" s="222">
        <v>45613879790</v>
      </c>
      <c r="Y13" s="222">
        <v>0</v>
      </c>
      <c r="Z13" s="224">
        <v>0</v>
      </c>
      <c r="AA13" s="222">
        <v>45613879790</v>
      </c>
      <c r="AB13" s="222">
        <v>0</v>
      </c>
      <c r="AC13" s="224">
        <v>1</v>
      </c>
    </row>
    <row r="14" spans="1:29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v>263000000</v>
      </c>
      <c r="U14" s="222">
        <v>216863421</v>
      </c>
      <c r="V14" s="222">
        <v>46136579</v>
      </c>
      <c r="W14" s="224">
        <v>0.82457574524714827</v>
      </c>
      <c r="X14" s="222">
        <v>216863421</v>
      </c>
      <c r="Y14" s="222">
        <v>0</v>
      </c>
      <c r="Z14" s="224">
        <v>0</v>
      </c>
      <c r="AA14" s="222">
        <v>216863421</v>
      </c>
      <c r="AB14" s="222">
        <v>0</v>
      </c>
      <c r="AC14" s="224">
        <v>1</v>
      </c>
    </row>
    <row r="15" spans="1:29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v>550000000</v>
      </c>
      <c r="U15" s="222">
        <v>463844086</v>
      </c>
      <c r="V15" s="222">
        <v>86155914</v>
      </c>
      <c r="W15" s="224">
        <v>0.84335288363636363</v>
      </c>
      <c r="X15" s="222">
        <v>463844086</v>
      </c>
      <c r="Y15" s="222">
        <v>0</v>
      </c>
      <c r="Z15" s="224">
        <v>0</v>
      </c>
      <c r="AA15" s="222">
        <v>463844086</v>
      </c>
      <c r="AB15" s="222">
        <v>0</v>
      </c>
      <c r="AC15" s="224">
        <v>1</v>
      </c>
    </row>
    <row r="16" spans="1:29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v>100000000</v>
      </c>
      <c r="U16" s="222">
        <v>76599567</v>
      </c>
      <c r="V16" s="222">
        <v>23400433</v>
      </c>
      <c r="W16" s="224">
        <v>0.76599567000000002</v>
      </c>
      <c r="X16" s="222">
        <v>76599567</v>
      </c>
      <c r="Y16" s="222">
        <v>0</v>
      </c>
      <c r="Z16" s="224">
        <v>0</v>
      </c>
      <c r="AA16" s="222">
        <v>76599567</v>
      </c>
      <c r="AB16" s="222">
        <v>0</v>
      </c>
      <c r="AC16" s="224">
        <v>1</v>
      </c>
    </row>
    <row r="17" spans="1:55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v>98000000</v>
      </c>
      <c r="U17" s="222">
        <v>53010932</v>
      </c>
      <c r="V17" s="222">
        <v>44989068</v>
      </c>
      <c r="W17" s="224">
        <v>0.54092787755102045</v>
      </c>
      <c r="X17" s="222">
        <v>53010932</v>
      </c>
      <c r="Y17" s="222">
        <v>0</v>
      </c>
      <c r="Z17" s="224">
        <v>0</v>
      </c>
      <c r="AA17" s="222">
        <v>53010932</v>
      </c>
      <c r="AB17" s="222">
        <v>0</v>
      </c>
      <c r="AC17" s="224">
        <v>1</v>
      </c>
    </row>
    <row r="18" spans="1:55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>
        <v>230000000</v>
      </c>
      <c r="R18" s="222"/>
      <c r="S18" s="222"/>
      <c r="T18" s="222">
        <v>2730000000</v>
      </c>
      <c r="U18" s="222">
        <v>2544491815</v>
      </c>
      <c r="V18" s="222">
        <v>185508185</v>
      </c>
      <c r="W18" s="224">
        <v>0.93204828388278393</v>
      </c>
      <c r="X18" s="222">
        <v>2544491815</v>
      </c>
      <c r="Y18" s="222">
        <v>0</v>
      </c>
      <c r="Z18" s="224">
        <v>0</v>
      </c>
      <c r="AA18" s="222">
        <v>2544491815</v>
      </c>
      <c r="AB18" s="222">
        <v>0</v>
      </c>
      <c r="AC18" s="224">
        <v>1</v>
      </c>
    </row>
    <row r="19" spans="1:55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v>1800000000</v>
      </c>
      <c r="U19" s="222">
        <v>1453991139</v>
      </c>
      <c r="V19" s="222">
        <v>346008861</v>
      </c>
      <c r="W19" s="224">
        <v>0.80777285499999996</v>
      </c>
      <c r="X19" s="222">
        <v>1453991139</v>
      </c>
      <c r="Y19" s="222">
        <v>0</v>
      </c>
      <c r="Z19" s="224">
        <v>0</v>
      </c>
      <c r="AA19" s="222">
        <v>1453991139</v>
      </c>
      <c r="AB19" s="222">
        <v>0</v>
      </c>
      <c r="AC19" s="224">
        <v>1</v>
      </c>
    </row>
    <row r="20" spans="1:55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v>250000000</v>
      </c>
      <c r="U20" s="222">
        <v>52639982</v>
      </c>
      <c r="V20" s="222">
        <v>197360018</v>
      </c>
      <c r="W20" s="224">
        <v>0.21055992800000001</v>
      </c>
      <c r="X20" s="222">
        <v>52639982</v>
      </c>
      <c r="Y20" s="222">
        <v>0</v>
      </c>
      <c r="Z20" s="224">
        <v>0</v>
      </c>
      <c r="AA20" s="222">
        <v>52639982</v>
      </c>
      <c r="AB20" s="222">
        <v>0</v>
      </c>
      <c r="AC20" s="224">
        <v>1</v>
      </c>
    </row>
    <row r="21" spans="1:55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v>5000000000</v>
      </c>
      <c r="U21" s="222">
        <v>64159952</v>
      </c>
      <c r="V21" s="222">
        <v>4935840048</v>
      </c>
      <c r="W21" s="224">
        <v>1.28319904E-2</v>
      </c>
      <c r="X21" s="222">
        <v>64159952</v>
      </c>
      <c r="Y21" s="222">
        <v>0</v>
      </c>
      <c r="Z21" s="224">
        <v>0</v>
      </c>
      <c r="AA21" s="222">
        <v>64159952</v>
      </c>
      <c r="AB21" s="222">
        <v>0</v>
      </c>
      <c r="AC21" s="224">
        <v>1</v>
      </c>
    </row>
    <row r="22" spans="1:55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>
        <v>275000000</v>
      </c>
      <c r="S22" s="222"/>
      <c r="T22" s="222">
        <v>2325000000</v>
      </c>
      <c r="U22" s="222">
        <v>1198441082</v>
      </c>
      <c r="V22" s="222">
        <v>1126558918</v>
      </c>
      <c r="W22" s="224">
        <v>0.51545852989247309</v>
      </c>
      <c r="X22" s="222">
        <v>1198441082</v>
      </c>
      <c r="Y22" s="222">
        <v>0</v>
      </c>
      <c r="Z22" s="224">
        <v>0</v>
      </c>
      <c r="AA22" s="222">
        <v>1198441082</v>
      </c>
      <c r="AB22" s="222">
        <v>0</v>
      </c>
      <c r="AC22" s="224">
        <v>1</v>
      </c>
    </row>
    <row r="23" spans="1:55" s="64" customFormat="1" ht="24.95" customHeight="1">
      <c r="A23" s="32" t="s">
        <v>552</v>
      </c>
      <c r="B23" s="217" t="s">
        <v>553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0</v>
      </c>
      <c r="O23" s="222"/>
      <c r="P23" s="222"/>
      <c r="Q23" s="222">
        <v>45000000</v>
      </c>
      <c r="R23" s="222"/>
      <c r="S23" s="222"/>
      <c r="T23" s="222">
        <v>45000000</v>
      </c>
      <c r="U23" s="222">
        <v>32902987</v>
      </c>
      <c r="V23" s="222">
        <v>12097013</v>
      </c>
      <c r="W23" s="224">
        <v>0.73117748888888889</v>
      </c>
      <c r="X23" s="222">
        <v>32902987</v>
      </c>
      <c r="Y23" s="222">
        <v>0</v>
      </c>
      <c r="Z23" s="224">
        <v>0</v>
      </c>
      <c r="AA23" s="222">
        <v>32902987</v>
      </c>
      <c r="AB23" s="222">
        <v>0</v>
      </c>
      <c r="AC23" s="224"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">
        <v>330</v>
      </c>
      <c r="B24" s="226" t="s">
        <v>331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v>24735000000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24735000000</v>
      </c>
      <c r="U24" s="232">
        <v>20284379016</v>
      </c>
      <c r="V24" s="232">
        <v>4450620984</v>
      </c>
      <c r="W24" s="233">
        <v>0.82006788016979992</v>
      </c>
      <c r="X24" s="232">
        <v>19667891032</v>
      </c>
      <c r="Y24" s="232">
        <v>616487984</v>
      </c>
      <c r="Z24" s="233">
        <v>3.0392253246388463E-2</v>
      </c>
      <c r="AA24" s="232">
        <v>19667734632</v>
      </c>
      <c r="AB24" s="232">
        <v>156400</v>
      </c>
      <c r="AC24" s="233">
        <v>0.96960003638693593</v>
      </c>
    </row>
    <row r="25" spans="1:55" ht="24.95" customHeight="1">
      <c r="A25" s="32" t="s">
        <v>332</v>
      </c>
      <c r="B25" s="217" t="s">
        <v>333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7000000000</v>
      </c>
      <c r="O25" s="222"/>
      <c r="P25" s="222"/>
      <c r="Q25" s="222"/>
      <c r="R25" s="222"/>
      <c r="S25" s="222"/>
      <c r="T25" s="222">
        <v>7000000000</v>
      </c>
      <c r="U25" s="222">
        <v>5861256358</v>
      </c>
      <c r="V25" s="222">
        <v>1138743642</v>
      </c>
      <c r="W25" s="224">
        <v>0.83732233685714286</v>
      </c>
      <c r="X25" s="222">
        <v>5861256358</v>
      </c>
      <c r="Y25" s="222">
        <v>0</v>
      </c>
      <c r="Z25" s="224">
        <v>0</v>
      </c>
      <c r="AA25" s="222">
        <v>5861256358</v>
      </c>
      <c r="AB25" s="222">
        <v>0</v>
      </c>
      <c r="AC25" s="224">
        <v>1</v>
      </c>
    </row>
    <row r="26" spans="1:55" ht="24.95" customHeight="1">
      <c r="A26" s="32" t="s">
        <v>334</v>
      </c>
      <c r="B26" s="217" t="s">
        <v>335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6000000000</v>
      </c>
      <c r="O26" s="222"/>
      <c r="P26" s="222"/>
      <c r="Q26" s="222"/>
      <c r="R26" s="222"/>
      <c r="S26" s="222"/>
      <c r="T26" s="222">
        <v>6000000000</v>
      </c>
      <c r="U26" s="222">
        <v>4302739058</v>
      </c>
      <c r="V26" s="222">
        <v>1697260942</v>
      </c>
      <c r="W26" s="224">
        <v>0.71712317633333333</v>
      </c>
      <c r="X26" s="222">
        <v>4302739058</v>
      </c>
      <c r="Y26" s="222">
        <v>0</v>
      </c>
      <c r="Z26" s="224">
        <v>0</v>
      </c>
      <c r="AA26" s="222">
        <v>4302739058</v>
      </c>
      <c r="AB26" s="222">
        <v>0</v>
      </c>
      <c r="AC26" s="224">
        <v>1</v>
      </c>
    </row>
    <row r="27" spans="1:55" ht="24.95" customHeight="1">
      <c r="A27" s="32" t="s">
        <v>336</v>
      </c>
      <c r="B27" s="217" t="s">
        <v>337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5555000000</v>
      </c>
      <c r="O27" s="222"/>
      <c r="P27" s="222"/>
      <c r="Q27" s="222"/>
      <c r="R27" s="222"/>
      <c r="S27" s="222"/>
      <c r="T27" s="222">
        <v>5555000000</v>
      </c>
      <c r="U27" s="222">
        <v>4950300000</v>
      </c>
      <c r="V27" s="222">
        <v>604700000</v>
      </c>
      <c r="W27" s="224">
        <v>0.89114311431143112</v>
      </c>
      <c r="X27" s="222">
        <v>4340163416</v>
      </c>
      <c r="Y27" s="222">
        <v>610136584</v>
      </c>
      <c r="Z27" s="224">
        <v>0.12325244611437691</v>
      </c>
      <c r="AA27" s="222">
        <v>4340163416</v>
      </c>
      <c r="AB27" s="222">
        <v>0</v>
      </c>
      <c r="AC27" s="224">
        <v>0.87674755388562309</v>
      </c>
    </row>
    <row r="28" spans="1:55" ht="24.95" customHeight="1">
      <c r="A28" s="32" t="s">
        <v>338</v>
      </c>
      <c r="B28" s="217" t="s">
        <v>339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2500000000</v>
      </c>
      <c r="O28" s="222"/>
      <c r="P28" s="222"/>
      <c r="Q28" s="222"/>
      <c r="R28" s="222"/>
      <c r="S28" s="222"/>
      <c r="T28" s="222">
        <v>2500000000</v>
      </c>
      <c r="U28" s="222">
        <v>2086676500</v>
      </c>
      <c r="V28" s="222">
        <v>413323500</v>
      </c>
      <c r="W28" s="224">
        <v>0.83467060000000004</v>
      </c>
      <c r="X28" s="222">
        <v>2086676500</v>
      </c>
      <c r="Y28" s="222">
        <v>0</v>
      </c>
      <c r="Z28" s="224">
        <v>0</v>
      </c>
      <c r="AA28" s="222">
        <v>2086676500</v>
      </c>
      <c r="AB28" s="222">
        <v>0</v>
      </c>
      <c r="AC28" s="224">
        <v>1</v>
      </c>
    </row>
    <row r="29" spans="1:55" ht="24.95" customHeight="1">
      <c r="A29" s="32" t="s">
        <v>340</v>
      </c>
      <c r="B29" s="217" t="s">
        <v>341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500000000</v>
      </c>
      <c r="O29" s="222"/>
      <c r="P29" s="222"/>
      <c r="Q29" s="222"/>
      <c r="R29" s="222"/>
      <c r="S29" s="222"/>
      <c r="T29" s="222">
        <v>500000000</v>
      </c>
      <c r="U29" s="222">
        <v>473322800</v>
      </c>
      <c r="V29" s="222">
        <v>26677200</v>
      </c>
      <c r="W29" s="224">
        <v>0.94664559999999998</v>
      </c>
      <c r="X29" s="222">
        <v>466971400</v>
      </c>
      <c r="Y29" s="222">
        <v>6351400</v>
      </c>
      <c r="Z29" s="224">
        <v>1.3418749318646809E-2</v>
      </c>
      <c r="AA29" s="222">
        <v>466815000</v>
      </c>
      <c r="AB29" s="222">
        <v>156400</v>
      </c>
      <c r="AC29" s="224">
        <v>0.98625082079291337</v>
      </c>
    </row>
    <row r="30" spans="1:55" ht="24.95" customHeight="1">
      <c r="A30" s="32" t="s">
        <v>342</v>
      </c>
      <c r="B30" s="217" t="s">
        <v>343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1890000000</v>
      </c>
      <c r="O30" s="222"/>
      <c r="P30" s="222"/>
      <c r="Q30" s="222"/>
      <c r="R30" s="222"/>
      <c r="S30" s="222"/>
      <c r="T30" s="222">
        <v>1890000000</v>
      </c>
      <c r="U30" s="222">
        <v>1565227400</v>
      </c>
      <c r="V30" s="222">
        <v>324772600</v>
      </c>
      <c r="W30" s="224">
        <v>0.82816264550264551</v>
      </c>
      <c r="X30" s="222">
        <v>1565227400</v>
      </c>
      <c r="Y30" s="222">
        <v>0</v>
      </c>
      <c r="Z30" s="224">
        <v>0</v>
      </c>
      <c r="AA30" s="222">
        <v>1565227400</v>
      </c>
      <c r="AB30" s="222">
        <v>0</v>
      </c>
      <c r="AC30" s="224">
        <v>1</v>
      </c>
    </row>
    <row r="31" spans="1:55" ht="24.95" customHeight="1">
      <c r="A31" s="32" t="s">
        <v>344</v>
      </c>
      <c r="B31" s="217" t="s">
        <v>345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320000000</v>
      </c>
      <c r="O31" s="222"/>
      <c r="P31" s="222"/>
      <c r="Q31" s="222"/>
      <c r="R31" s="222"/>
      <c r="S31" s="222"/>
      <c r="T31" s="222">
        <v>320000000</v>
      </c>
      <c r="U31" s="222">
        <v>261347000</v>
      </c>
      <c r="V31" s="222">
        <v>58653000</v>
      </c>
      <c r="W31" s="224">
        <v>0.81670937499999996</v>
      </c>
      <c r="X31" s="222">
        <v>261347000</v>
      </c>
      <c r="Y31" s="222">
        <v>0</v>
      </c>
      <c r="Z31" s="224">
        <v>0</v>
      </c>
      <c r="AA31" s="222">
        <v>261347000</v>
      </c>
      <c r="AB31" s="222">
        <v>0</v>
      </c>
      <c r="AC31" s="224">
        <v>1</v>
      </c>
    </row>
    <row r="32" spans="1:55" ht="24.95" customHeight="1">
      <c r="A32" s="32" t="s">
        <v>346</v>
      </c>
      <c r="B32" s="217" t="s">
        <v>347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320000000</v>
      </c>
      <c r="O32" s="222"/>
      <c r="P32" s="222"/>
      <c r="Q32" s="222"/>
      <c r="R32" s="222"/>
      <c r="S32" s="222"/>
      <c r="T32" s="222">
        <v>320000000</v>
      </c>
      <c r="U32" s="222">
        <v>261347000</v>
      </c>
      <c r="V32" s="222">
        <v>58653000</v>
      </c>
      <c r="W32" s="224">
        <v>0.81670937499999996</v>
      </c>
      <c r="X32" s="222">
        <v>261347000</v>
      </c>
      <c r="Y32" s="222">
        <v>0</v>
      </c>
      <c r="Z32" s="224">
        <v>0</v>
      </c>
      <c r="AA32" s="222">
        <v>261347000</v>
      </c>
      <c r="AB32" s="222">
        <v>0</v>
      </c>
      <c r="AC32" s="224">
        <v>1</v>
      </c>
    </row>
    <row r="33" spans="1:29" ht="24.95" customHeight="1">
      <c r="A33" s="32" t="s">
        <v>348</v>
      </c>
      <c r="B33" s="217" t="s">
        <v>349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650000000</v>
      </c>
      <c r="O33" s="222"/>
      <c r="P33" s="222"/>
      <c r="Q33" s="222"/>
      <c r="R33" s="222"/>
      <c r="S33" s="222"/>
      <c r="T33" s="222">
        <v>650000000</v>
      </c>
      <c r="U33" s="222">
        <v>522162900</v>
      </c>
      <c r="V33" s="222">
        <v>127837100</v>
      </c>
      <c r="W33" s="224">
        <v>0.80332753846153848</v>
      </c>
      <c r="X33" s="222">
        <v>522162900</v>
      </c>
      <c r="Y33" s="222">
        <v>0</v>
      </c>
      <c r="Z33" s="224">
        <v>0</v>
      </c>
      <c r="AA33" s="222">
        <v>522162900</v>
      </c>
      <c r="AB33" s="222">
        <v>0</v>
      </c>
      <c r="AC33" s="224">
        <v>1</v>
      </c>
    </row>
    <row r="34" spans="1:29" ht="24.95" customHeight="1">
      <c r="A34" s="32" t="s">
        <v>350</v>
      </c>
      <c r="B34" s="226" t="s">
        <v>351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v>6984000000</v>
      </c>
      <c r="O34" s="232">
        <v>0</v>
      </c>
      <c r="P34" s="232">
        <v>0</v>
      </c>
      <c r="Q34" s="232">
        <v>0</v>
      </c>
      <c r="R34" s="232">
        <v>0</v>
      </c>
      <c r="S34" s="232">
        <v>0</v>
      </c>
      <c r="T34" s="232">
        <v>6984000000</v>
      </c>
      <c r="U34" s="232">
        <v>4866272116</v>
      </c>
      <c r="V34" s="232">
        <v>2117727884</v>
      </c>
      <c r="W34" s="233">
        <v>0.6967743579610538</v>
      </c>
      <c r="X34" s="232">
        <v>4866272116</v>
      </c>
      <c r="Y34" s="232">
        <v>0</v>
      </c>
      <c r="Z34" s="233">
        <v>0</v>
      </c>
      <c r="AA34" s="232">
        <v>4866272116</v>
      </c>
      <c r="AB34" s="232">
        <v>0</v>
      </c>
      <c r="AC34" s="233">
        <v>1</v>
      </c>
    </row>
    <row r="35" spans="1:29" ht="24.95" customHeight="1">
      <c r="A35" s="32" t="s">
        <v>352</v>
      </c>
      <c r="B35" s="210" t="s">
        <v>353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v>3400000000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3400000000</v>
      </c>
      <c r="U35" s="215">
        <v>1928633941</v>
      </c>
      <c r="V35" s="215">
        <v>1471366059</v>
      </c>
      <c r="W35" s="216">
        <v>0.56724527676470593</v>
      </c>
      <c r="X35" s="215">
        <v>1928633941</v>
      </c>
      <c r="Y35" s="215">
        <v>0</v>
      </c>
      <c r="Z35" s="216">
        <v>0</v>
      </c>
      <c r="AA35" s="215">
        <v>1928633941</v>
      </c>
      <c r="AB35" s="215">
        <v>0</v>
      </c>
      <c r="AC35" s="216">
        <v>1</v>
      </c>
    </row>
    <row r="36" spans="1:29" ht="24.95" customHeight="1">
      <c r="A36" s="32" t="s">
        <v>354</v>
      </c>
      <c r="B36" s="217" t="s">
        <v>355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2580000000</v>
      </c>
      <c r="O36" s="222"/>
      <c r="P36" s="222"/>
      <c r="Q36" s="223"/>
      <c r="R36" s="222"/>
      <c r="S36" s="222"/>
      <c r="T36" s="222">
        <v>2580000000</v>
      </c>
      <c r="U36" s="222">
        <v>1563468260</v>
      </c>
      <c r="V36" s="222">
        <v>1016531740</v>
      </c>
      <c r="W36" s="224">
        <v>0.60599544961240315</v>
      </c>
      <c r="X36" s="222">
        <v>1563468260</v>
      </c>
      <c r="Y36" s="222">
        <v>0</v>
      </c>
      <c r="Z36" s="224">
        <v>0</v>
      </c>
      <c r="AA36" s="222">
        <v>1563468260</v>
      </c>
      <c r="AB36" s="222">
        <v>0</v>
      </c>
      <c r="AC36" s="224">
        <v>1</v>
      </c>
    </row>
    <row r="37" spans="1:29" ht="24.95" customHeight="1">
      <c r="A37" s="32" t="s">
        <v>356</v>
      </c>
      <c r="B37" s="217" t="s">
        <v>357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500000000</v>
      </c>
      <c r="O37" s="222"/>
      <c r="P37" s="222"/>
      <c r="Q37" s="223"/>
      <c r="R37" s="222"/>
      <c r="S37" s="222"/>
      <c r="T37" s="222">
        <v>500000000</v>
      </c>
      <c r="U37" s="222">
        <v>218642267</v>
      </c>
      <c r="V37" s="222">
        <v>281357733</v>
      </c>
      <c r="W37" s="224">
        <v>0.437284534</v>
      </c>
      <c r="X37" s="222">
        <v>218642267</v>
      </c>
      <c r="Y37" s="222">
        <v>0</v>
      </c>
      <c r="Z37" s="224">
        <v>0</v>
      </c>
      <c r="AA37" s="222">
        <v>218642267</v>
      </c>
      <c r="AB37" s="222">
        <v>0</v>
      </c>
      <c r="AC37" s="224">
        <v>1</v>
      </c>
    </row>
    <row r="38" spans="1:29" ht="24.95" customHeight="1">
      <c r="A38" s="32" t="s">
        <v>358</v>
      </c>
      <c r="B38" s="234" t="s">
        <v>359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320000000</v>
      </c>
      <c r="O38" s="239"/>
      <c r="P38" s="239"/>
      <c r="Q38" s="639"/>
      <c r="R38" s="239"/>
      <c r="S38" s="239"/>
      <c r="T38" s="239">
        <v>320000000</v>
      </c>
      <c r="U38" s="239">
        <v>146523414</v>
      </c>
      <c r="V38" s="239">
        <v>173476586</v>
      </c>
      <c r="W38" s="240">
        <v>0.45788566874999997</v>
      </c>
      <c r="X38" s="239">
        <v>146523414</v>
      </c>
      <c r="Y38" s="239">
        <v>0</v>
      </c>
      <c r="Z38" s="240">
        <v>0</v>
      </c>
      <c r="AA38" s="239">
        <v>146523414</v>
      </c>
      <c r="AB38" s="239">
        <v>0</v>
      </c>
      <c r="AC38" s="240">
        <v>1</v>
      </c>
    </row>
    <row r="39" spans="1:29" ht="24.95" customHeight="1">
      <c r="A39" s="32" t="s">
        <v>360</v>
      </c>
      <c r="B39" s="217" t="s">
        <v>361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3"/>
      <c r="R39" s="223"/>
      <c r="S39" s="223"/>
      <c r="T39" s="222">
        <v>2160000000</v>
      </c>
      <c r="U39" s="222">
        <v>1926173123</v>
      </c>
      <c r="V39" s="222">
        <v>233826877</v>
      </c>
      <c r="W39" s="224">
        <v>0.89174681620370366</v>
      </c>
      <c r="X39" s="222">
        <v>1926173123</v>
      </c>
      <c r="Y39" s="222">
        <v>0</v>
      </c>
      <c r="Z39" s="224">
        <v>0</v>
      </c>
      <c r="AA39" s="222">
        <v>1926173123</v>
      </c>
      <c r="AB39" s="222">
        <v>0</v>
      </c>
      <c r="AC39" s="224">
        <v>1</v>
      </c>
    </row>
    <row r="40" spans="1:29" ht="24.95" customHeight="1">
      <c r="A40" s="32" t="s">
        <v>362</v>
      </c>
      <c r="B40" s="217" t="s">
        <v>363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24000000</v>
      </c>
      <c r="O40" s="222"/>
      <c r="P40" s="222"/>
      <c r="Q40" s="223"/>
      <c r="R40" s="223"/>
      <c r="S40" s="223"/>
      <c r="T40" s="222">
        <v>24000000</v>
      </c>
      <c r="U40" s="222">
        <v>3484510</v>
      </c>
      <c r="V40" s="222">
        <v>20515490</v>
      </c>
      <c r="W40" s="224">
        <v>0.14518791666666667</v>
      </c>
      <c r="X40" s="222">
        <v>3484510</v>
      </c>
      <c r="Y40" s="222">
        <v>0</v>
      </c>
      <c r="Z40" s="224">
        <v>0</v>
      </c>
      <c r="AA40" s="222">
        <v>3484510</v>
      </c>
      <c r="AB40" s="222">
        <v>0</v>
      </c>
      <c r="AC40" s="224">
        <v>1</v>
      </c>
    </row>
    <row r="41" spans="1:29" ht="24.95" customHeight="1">
      <c r="A41" s="32" t="s">
        <v>365</v>
      </c>
      <c r="B41" s="217" t="s">
        <v>366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v>30000000</v>
      </c>
      <c r="U41" s="222">
        <v>0</v>
      </c>
      <c r="V41" s="222">
        <v>30000000</v>
      </c>
      <c r="W41" s="224">
        <v>0</v>
      </c>
      <c r="X41" s="222">
        <v>0</v>
      </c>
      <c r="Y41" s="222">
        <v>0</v>
      </c>
      <c r="Z41" s="224">
        <v>0</v>
      </c>
      <c r="AA41" s="222">
        <v>0</v>
      </c>
      <c r="AB41" s="222">
        <v>0</v>
      </c>
      <c r="AC41" s="224">
        <v>0</v>
      </c>
    </row>
    <row r="42" spans="1:29" ht="24.95" customHeight="1">
      <c r="A42" s="32" t="s">
        <v>367</v>
      </c>
      <c r="B42" s="217" t="s">
        <v>368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770000000</v>
      </c>
      <c r="O42" s="222"/>
      <c r="P42" s="222"/>
      <c r="Q42" s="223"/>
      <c r="R42" s="223"/>
      <c r="S42" s="223"/>
      <c r="T42" s="222">
        <v>770000000</v>
      </c>
      <c r="U42" s="222">
        <v>682415657</v>
      </c>
      <c r="V42" s="222">
        <v>87584343</v>
      </c>
      <c r="W42" s="224">
        <v>0.88625410000000004</v>
      </c>
      <c r="X42" s="222">
        <v>682415657</v>
      </c>
      <c r="Y42" s="222">
        <v>0</v>
      </c>
      <c r="Z42" s="224">
        <v>0</v>
      </c>
      <c r="AA42" s="222">
        <v>682415657</v>
      </c>
      <c r="AB42" s="222">
        <v>0</v>
      </c>
      <c r="AC42" s="224">
        <v>1</v>
      </c>
    </row>
    <row r="43" spans="1:29" ht="24.95" customHeight="1">
      <c r="A43" s="32" t="s">
        <v>369</v>
      </c>
      <c r="B43" s="217" t="s">
        <v>370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600000000</v>
      </c>
      <c r="O43" s="222"/>
      <c r="P43" s="222"/>
      <c r="Q43" s="223"/>
      <c r="R43" s="223"/>
      <c r="S43" s="223"/>
      <c r="T43" s="222">
        <v>600000000</v>
      </c>
      <c r="U43" s="222">
        <v>325564885</v>
      </c>
      <c r="V43" s="222">
        <v>274435115</v>
      </c>
      <c r="W43" s="224">
        <v>0.54260814166666671</v>
      </c>
      <c r="X43" s="222">
        <v>325564885</v>
      </c>
      <c r="Y43" s="222">
        <v>0</v>
      </c>
      <c r="Z43" s="224">
        <v>0</v>
      </c>
      <c r="AA43" s="222">
        <v>325564885</v>
      </c>
      <c r="AB43" s="222">
        <v>0</v>
      </c>
      <c r="AC43" s="224">
        <v>1</v>
      </c>
    </row>
    <row r="44" spans="1:29" ht="35.1" customHeight="1">
      <c r="A44" s="32" t="s">
        <v>371</v>
      </c>
      <c r="B44" s="188" t="s">
        <v>372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v>42289000000</v>
      </c>
      <c r="O44" s="194">
        <v>0</v>
      </c>
      <c r="P44" s="194">
        <v>0</v>
      </c>
      <c r="Q44" s="194">
        <v>6047024489.3199997</v>
      </c>
      <c r="R44" s="194">
        <v>6098024489.3199997</v>
      </c>
      <c r="S44" s="194">
        <v>0</v>
      </c>
      <c r="T44" s="194">
        <v>42238000000</v>
      </c>
      <c r="U44" s="194">
        <v>37618202706.5</v>
      </c>
      <c r="V44" s="194">
        <v>4619797293.500001</v>
      </c>
      <c r="W44" s="195">
        <v>0.89062462016430699</v>
      </c>
      <c r="X44" s="194">
        <v>28244772807.720001</v>
      </c>
      <c r="Y44" s="194">
        <v>9373429898.7799988</v>
      </c>
      <c r="Z44" s="195">
        <v>0.24917272023632261</v>
      </c>
      <c r="AA44" s="194">
        <v>27780208941.720001</v>
      </c>
      <c r="AB44" s="194">
        <v>464563866</v>
      </c>
      <c r="AC44" s="195">
        <v>0.73847783634064723</v>
      </c>
    </row>
    <row r="45" spans="1:29" ht="24.95" customHeight="1">
      <c r="A45" s="32" t="s">
        <v>376</v>
      </c>
      <c r="B45" s="196" t="s">
        <v>377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v>42289000000</v>
      </c>
      <c r="O45" s="201">
        <v>0</v>
      </c>
      <c r="P45" s="201">
        <v>0</v>
      </c>
      <c r="Q45" s="201">
        <v>6047024489.3199997</v>
      </c>
      <c r="R45" s="201">
        <v>6098024489.3199997</v>
      </c>
      <c r="S45" s="201">
        <v>0</v>
      </c>
      <c r="T45" s="201">
        <v>42238000000</v>
      </c>
      <c r="U45" s="201">
        <v>37618202706.5</v>
      </c>
      <c r="V45" s="201">
        <v>4619797293.500001</v>
      </c>
      <c r="W45" s="202">
        <v>0.89062462016430699</v>
      </c>
      <c r="X45" s="201">
        <v>28244772807.720001</v>
      </c>
      <c r="Y45" s="201">
        <v>9373429898.7799988</v>
      </c>
      <c r="Z45" s="202">
        <v>0.24917272023632261</v>
      </c>
      <c r="AA45" s="201">
        <v>27780208941.720001</v>
      </c>
      <c r="AB45" s="201">
        <v>464563866</v>
      </c>
      <c r="AC45" s="202">
        <v>0.73847783634064723</v>
      </c>
    </row>
    <row r="46" spans="1:29" ht="24.95" customHeight="1">
      <c r="A46" s="32" t="s">
        <v>378</v>
      </c>
      <c r="B46" s="203" t="s">
        <v>379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v>862264202</v>
      </c>
      <c r="O46" s="208">
        <v>0</v>
      </c>
      <c r="P46" s="208">
        <v>0</v>
      </c>
      <c r="Q46" s="208">
        <v>213175890</v>
      </c>
      <c r="R46" s="208">
        <v>313737598</v>
      </c>
      <c r="S46" s="208">
        <v>0</v>
      </c>
      <c r="T46" s="208">
        <v>761702494</v>
      </c>
      <c r="U46" s="208">
        <v>529033847.12</v>
      </c>
      <c r="V46" s="208">
        <v>232668646.88</v>
      </c>
      <c r="W46" s="209">
        <v>0.69454130882759069</v>
      </c>
      <c r="X46" s="208">
        <v>314973730.48000002</v>
      </c>
      <c r="Y46" s="208">
        <v>214060116.63999999</v>
      </c>
      <c r="Z46" s="209">
        <v>0.40462461486220375</v>
      </c>
      <c r="AA46" s="208">
        <v>314973730.48000002</v>
      </c>
      <c r="AB46" s="208">
        <v>0</v>
      </c>
      <c r="AC46" s="209">
        <v>0.5953753851377962</v>
      </c>
    </row>
    <row r="47" spans="1:29" ht="24.95" customHeight="1">
      <c r="A47" s="32" t="s">
        <v>380</v>
      </c>
      <c r="B47" s="210" t="s">
        <v>381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v>69000000</v>
      </c>
      <c r="O47" s="215">
        <v>0</v>
      </c>
      <c r="P47" s="215">
        <v>0</v>
      </c>
      <c r="Q47" s="215">
        <v>0</v>
      </c>
      <c r="R47" s="215">
        <v>26567529</v>
      </c>
      <c r="S47" s="215">
        <v>0</v>
      </c>
      <c r="T47" s="215">
        <v>42432471</v>
      </c>
      <c r="U47" s="215">
        <v>42432471</v>
      </c>
      <c r="V47" s="215">
        <v>0</v>
      </c>
      <c r="W47" s="216">
        <v>1</v>
      </c>
      <c r="X47" s="215">
        <v>18736353</v>
      </c>
      <c r="Y47" s="215">
        <v>23696118</v>
      </c>
      <c r="Z47" s="216">
        <v>0.55844303764444925</v>
      </c>
      <c r="AA47" s="215">
        <v>18736353</v>
      </c>
      <c r="AB47" s="215">
        <v>0</v>
      </c>
      <c r="AC47" s="216">
        <v>0.44155696235555075</v>
      </c>
    </row>
    <row r="48" spans="1:29" ht="24.95" customHeight="1">
      <c r="A48" s="32" t="s">
        <v>554</v>
      </c>
      <c r="B48" s="217" t="s">
        <v>555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51000000</v>
      </c>
      <c r="O48" s="222"/>
      <c r="P48" s="222"/>
      <c r="Q48" s="222"/>
      <c r="R48" s="223">
        <v>16000000</v>
      </c>
      <c r="S48" s="223"/>
      <c r="T48" s="222">
        <v>35000000</v>
      </c>
      <c r="U48" s="222">
        <v>35000000</v>
      </c>
      <c r="V48" s="222">
        <v>0</v>
      </c>
      <c r="W48" s="224">
        <v>1</v>
      </c>
      <c r="X48" s="222">
        <v>17950834</v>
      </c>
      <c r="Y48" s="222">
        <v>17049166</v>
      </c>
      <c r="Z48" s="224">
        <v>0.48711902857142858</v>
      </c>
      <c r="AA48" s="222">
        <v>17950834</v>
      </c>
      <c r="AB48" s="222">
        <v>0</v>
      </c>
      <c r="AC48" s="224">
        <v>0.51288097142857147</v>
      </c>
    </row>
    <row r="49" spans="1:52" ht="24.95" customHeight="1">
      <c r="A49" s="32" t="s">
        <v>556</v>
      </c>
      <c r="B49" s="217" t="s">
        <v>557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18000000</v>
      </c>
      <c r="O49" s="222"/>
      <c r="P49" s="222"/>
      <c r="Q49" s="222"/>
      <c r="R49" s="223">
        <v>10567529</v>
      </c>
      <c r="S49" s="223"/>
      <c r="T49" s="222">
        <v>7432471</v>
      </c>
      <c r="U49" s="222">
        <v>7432471</v>
      </c>
      <c r="V49" s="222">
        <v>0</v>
      </c>
      <c r="W49" s="224">
        <v>1</v>
      </c>
      <c r="X49" s="222">
        <v>785519</v>
      </c>
      <c r="Y49" s="222">
        <v>6646952</v>
      </c>
      <c r="Z49" s="224">
        <v>0.89431253751275985</v>
      </c>
      <c r="AA49" s="222">
        <v>785519</v>
      </c>
      <c r="AB49" s="222">
        <v>0</v>
      </c>
      <c r="AC49" s="224">
        <v>0.10568746248724011</v>
      </c>
    </row>
    <row r="50" spans="1:52" ht="33">
      <c r="A50" s="32" t="s">
        <v>382</v>
      </c>
      <c r="B50" s="210" t="s">
        <v>383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v>140000000</v>
      </c>
      <c r="O50" s="215">
        <v>0</v>
      </c>
      <c r="P50" s="215">
        <v>0</v>
      </c>
      <c r="Q50" s="215">
        <v>0</v>
      </c>
      <c r="R50" s="215">
        <v>27350000</v>
      </c>
      <c r="S50" s="215">
        <v>0</v>
      </c>
      <c r="T50" s="215">
        <v>112650000</v>
      </c>
      <c r="U50" s="215">
        <v>27197720.719999999</v>
      </c>
      <c r="V50" s="215">
        <v>85452279.280000001</v>
      </c>
      <c r="W50" s="216">
        <v>0.24143560337328007</v>
      </c>
      <c r="X50" s="215">
        <v>1056082.6599999999</v>
      </c>
      <c r="Y50" s="215">
        <v>26141638.059999999</v>
      </c>
      <c r="Z50" s="216">
        <v>0.96117017779275149</v>
      </c>
      <c r="AA50" s="215">
        <v>1056082.6599999999</v>
      </c>
      <c r="AB50" s="215">
        <v>0</v>
      </c>
      <c r="AC50" s="216">
        <v>3.8829822207248545E-2</v>
      </c>
    </row>
    <row r="51" spans="1:52" ht="24.95" customHeight="1">
      <c r="A51" s="32" t="s">
        <v>558</v>
      </c>
      <c r="B51" s="217" t="s">
        <v>559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140000000</v>
      </c>
      <c r="O51" s="222"/>
      <c r="P51" s="222"/>
      <c r="Q51" s="222"/>
      <c r="R51" s="223">
        <v>27350000</v>
      </c>
      <c r="S51" s="223"/>
      <c r="T51" s="222">
        <v>112650000</v>
      </c>
      <c r="U51" s="222">
        <v>27197720.719999999</v>
      </c>
      <c r="V51" s="222">
        <v>85452279.280000001</v>
      </c>
      <c r="W51" s="224">
        <v>0.24143560337328007</v>
      </c>
      <c r="X51" s="222">
        <v>1056082.6599999999</v>
      </c>
      <c r="Y51" s="222">
        <v>26141638.059999999</v>
      </c>
      <c r="Z51" s="224">
        <v>0.96117017779275149</v>
      </c>
      <c r="AA51" s="222">
        <v>1056082.6599999999</v>
      </c>
      <c r="AB51" s="222">
        <v>0</v>
      </c>
      <c r="AC51" s="224">
        <v>3.8829822207248545E-2</v>
      </c>
    </row>
    <row r="52" spans="1:52" ht="33">
      <c r="A52" s="32" t="s">
        <v>384</v>
      </c>
      <c r="B52" s="210" t="s">
        <v>385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v>355264202</v>
      </c>
      <c r="O52" s="215">
        <v>0</v>
      </c>
      <c r="P52" s="215">
        <v>0</v>
      </c>
      <c r="Q52" s="215">
        <v>70000000</v>
      </c>
      <c r="R52" s="215">
        <v>39293863</v>
      </c>
      <c r="S52" s="215">
        <v>0</v>
      </c>
      <c r="T52" s="215">
        <v>385970339</v>
      </c>
      <c r="U52" s="215">
        <v>332220705.39999998</v>
      </c>
      <c r="V52" s="215">
        <v>53749633.600000009</v>
      </c>
      <c r="W52" s="216">
        <v>0.86074154366561306</v>
      </c>
      <c r="X52" s="215">
        <v>220953800.81999999</v>
      </c>
      <c r="Y52" s="215">
        <v>111266904.58</v>
      </c>
      <c r="Z52" s="216">
        <v>0.3349186332201437</v>
      </c>
      <c r="AA52" s="215">
        <v>220953800.81999999</v>
      </c>
      <c r="AB52" s="215">
        <v>0</v>
      </c>
      <c r="AC52" s="216">
        <v>0.66508136677985641</v>
      </c>
    </row>
    <row r="53" spans="1:52" ht="24" customHeight="1">
      <c r="A53" s="32" t="s">
        <v>560</v>
      </c>
      <c r="B53" s="217" t="s">
        <v>561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106000000</v>
      </c>
      <c r="O53" s="222"/>
      <c r="P53" s="222"/>
      <c r="Q53" s="222"/>
      <c r="R53" s="223"/>
      <c r="S53" s="223"/>
      <c r="T53" s="222">
        <v>106000000</v>
      </c>
      <c r="U53" s="222">
        <v>80242586.819999993</v>
      </c>
      <c r="V53" s="222">
        <v>25757413.180000007</v>
      </c>
      <c r="W53" s="224">
        <v>0.75700553603773579</v>
      </c>
      <c r="X53" s="222">
        <v>77653736.819999993</v>
      </c>
      <c r="Y53" s="222">
        <v>2588850</v>
      </c>
      <c r="Z53" s="224">
        <v>3.2262793394326916E-2</v>
      </c>
      <c r="AA53" s="222">
        <v>77653736.819999993</v>
      </c>
      <c r="AB53" s="222">
        <v>0</v>
      </c>
      <c r="AC53" s="224">
        <v>0.96773720660567308</v>
      </c>
    </row>
    <row r="54" spans="1:52" ht="24" customHeight="1">
      <c r="A54" s="32" t="s">
        <v>562</v>
      </c>
      <c r="B54" s="217" t="s">
        <v>563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107264202</v>
      </c>
      <c r="O54" s="222"/>
      <c r="P54" s="222"/>
      <c r="Q54" s="222"/>
      <c r="R54" s="223">
        <v>9200000</v>
      </c>
      <c r="S54" s="223"/>
      <c r="T54" s="222">
        <v>98064202</v>
      </c>
      <c r="U54" s="222">
        <v>98064202</v>
      </c>
      <c r="V54" s="222">
        <v>0</v>
      </c>
      <c r="W54" s="224">
        <v>1</v>
      </c>
      <c r="X54" s="222">
        <v>27567671</v>
      </c>
      <c r="Y54" s="222">
        <v>70496531</v>
      </c>
      <c r="Z54" s="224">
        <v>0.71888140179838511</v>
      </c>
      <c r="AA54" s="222">
        <v>27567671</v>
      </c>
      <c r="AB54" s="222">
        <v>0</v>
      </c>
      <c r="AC54" s="224">
        <v>0.28111859820161489</v>
      </c>
    </row>
    <row r="55" spans="1:52" ht="24" customHeight="1">
      <c r="A55" s="32" t="s">
        <v>564</v>
      </c>
      <c r="B55" s="217" t="s">
        <v>565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6000000</v>
      </c>
      <c r="O55" s="222"/>
      <c r="P55" s="222"/>
      <c r="Q55" s="222">
        <v>70000000</v>
      </c>
      <c r="R55" s="223">
        <v>3600000</v>
      </c>
      <c r="S55" s="223"/>
      <c r="T55" s="222">
        <v>72400000</v>
      </c>
      <c r="U55" s="222">
        <v>46907780</v>
      </c>
      <c r="V55" s="222">
        <v>25492220</v>
      </c>
      <c r="W55" s="224">
        <v>0.64789751381215466</v>
      </c>
      <c r="X55" s="222">
        <v>43279102</v>
      </c>
      <c r="Y55" s="222">
        <v>3628678</v>
      </c>
      <c r="Z55" s="224">
        <v>7.7357700577601413E-2</v>
      </c>
      <c r="AA55" s="222">
        <v>43279102</v>
      </c>
      <c r="AB55" s="222">
        <v>0</v>
      </c>
      <c r="AC55" s="224">
        <v>0.92264229942239862</v>
      </c>
    </row>
    <row r="56" spans="1:52" ht="24" customHeight="1">
      <c r="A56" s="32" t="s">
        <v>566</v>
      </c>
      <c r="B56" s="217" t="s">
        <v>567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18000000</v>
      </c>
      <c r="O56" s="222"/>
      <c r="P56" s="222"/>
      <c r="Q56" s="222"/>
      <c r="R56" s="223">
        <v>2000000</v>
      </c>
      <c r="S56" s="223"/>
      <c r="T56" s="222">
        <v>16000000</v>
      </c>
      <c r="U56" s="222">
        <v>16000000</v>
      </c>
      <c r="V56" s="222">
        <v>0</v>
      </c>
      <c r="W56" s="224">
        <v>1</v>
      </c>
      <c r="X56" s="222">
        <v>4456537</v>
      </c>
      <c r="Y56" s="222">
        <v>11543463</v>
      </c>
      <c r="Z56" s="224">
        <v>0.72146643749999995</v>
      </c>
      <c r="AA56" s="222">
        <v>4456537</v>
      </c>
      <c r="AB56" s="222">
        <v>0</v>
      </c>
      <c r="AC56" s="224">
        <v>0.2785335625</v>
      </c>
    </row>
    <row r="57" spans="1:52" ht="24" customHeight="1">
      <c r="A57" s="32" t="s">
        <v>568</v>
      </c>
      <c r="B57" s="217" t="s">
        <v>569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>
        <v>8000000</v>
      </c>
      <c r="O57" s="222"/>
      <c r="P57" s="222"/>
      <c r="Q57" s="222"/>
      <c r="R57" s="223">
        <v>6800000</v>
      </c>
      <c r="S57" s="223"/>
      <c r="T57" s="222">
        <v>1200000</v>
      </c>
      <c r="U57" s="222">
        <v>1200000</v>
      </c>
      <c r="V57" s="222">
        <v>0</v>
      </c>
      <c r="W57" s="224">
        <v>1</v>
      </c>
      <c r="X57" s="222">
        <v>335065</v>
      </c>
      <c r="Y57" s="222">
        <v>864935</v>
      </c>
      <c r="Z57" s="224">
        <v>0.72077916666666664</v>
      </c>
      <c r="AA57" s="222">
        <v>335065</v>
      </c>
      <c r="AB57" s="222">
        <v>0</v>
      </c>
      <c r="AC57" s="224">
        <v>0.27922083333333331</v>
      </c>
    </row>
    <row r="58" spans="1:52" ht="24" customHeight="1">
      <c r="A58" s="32" t="s">
        <v>570</v>
      </c>
      <c r="B58" s="217" t="s">
        <v>571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110000000</v>
      </c>
      <c r="O58" s="222"/>
      <c r="P58" s="222"/>
      <c r="Q58" s="222"/>
      <c r="R58" s="223">
        <v>17693863</v>
      </c>
      <c r="S58" s="223"/>
      <c r="T58" s="222">
        <v>92306137</v>
      </c>
      <c r="U58" s="222">
        <v>89806136.579999998</v>
      </c>
      <c r="V58" s="222">
        <v>2500000.4200000018</v>
      </c>
      <c r="W58" s="224">
        <v>0.97291620577730387</v>
      </c>
      <c r="X58" s="222">
        <v>67661689</v>
      </c>
      <c r="Y58" s="222">
        <v>22144447.579999998</v>
      </c>
      <c r="Z58" s="224">
        <v>0.24658056145499094</v>
      </c>
      <c r="AA58" s="222">
        <v>67661689</v>
      </c>
      <c r="AB58" s="222">
        <v>0</v>
      </c>
      <c r="AC58" s="224">
        <v>0.75341943854500903</v>
      </c>
    </row>
    <row r="59" spans="1:52" ht="24.95" customHeight="1">
      <c r="A59" s="32" t="s">
        <v>386</v>
      </c>
      <c r="B59" s="210" t="s">
        <v>387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v>298000000</v>
      </c>
      <c r="O59" s="215">
        <v>0</v>
      </c>
      <c r="P59" s="215">
        <v>0</v>
      </c>
      <c r="Q59" s="215">
        <v>143175890</v>
      </c>
      <c r="R59" s="215">
        <v>220526206</v>
      </c>
      <c r="S59" s="215">
        <v>0</v>
      </c>
      <c r="T59" s="215">
        <v>220649684</v>
      </c>
      <c r="U59" s="215">
        <v>127182950</v>
      </c>
      <c r="V59" s="215">
        <v>93466734</v>
      </c>
      <c r="W59" s="216">
        <v>0.57640213978280608</v>
      </c>
      <c r="X59" s="215">
        <v>74227494</v>
      </c>
      <c r="Y59" s="215">
        <v>52955456</v>
      </c>
      <c r="Z59" s="216">
        <v>0.41637228889564204</v>
      </c>
      <c r="AA59" s="215">
        <v>74227494</v>
      </c>
      <c r="AB59" s="215">
        <v>0</v>
      </c>
      <c r="AC59" s="216">
        <v>0.58362771110435796</v>
      </c>
    </row>
    <row r="60" spans="1:52" ht="24.95" customHeight="1">
      <c r="A60" s="32" t="s">
        <v>572</v>
      </c>
      <c r="B60" s="217" t="s">
        <v>573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>
        <v>37000000</v>
      </c>
      <c r="O60" s="222"/>
      <c r="P60" s="222"/>
      <c r="Q60" s="222"/>
      <c r="R60" s="223">
        <v>12000000</v>
      </c>
      <c r="S60" s="223"/>
      <c r="T60" s="222">
        <v>25000000</v>
      </c>
      <c r="U60" s="222">
        <v>25000000</v>
      </c>
      <c r="V60" s="222">
        <v>0</v>
      </c>
      <c r="W60" s="224">
        <v>1</v>
      </c>
      <c r="X60" s="222">
        <v>5295790</v>
      </c>
      <c r="Y60" s="222">
        <v>19704210</v>
      </c>
      <c r="Z60" s="224">
        <v>0.78816839999999999</v>
      </c>
      <c r="AA60" s="222">
        <v>5295790</v>
      </c>
      <c r="AB60" s="222">
        <v>0</v>
      </c>
      <c r="AC60" s="224">
        <v>0.21183160000000001</v>
      </c>
    </row>
    <row r="61" spans="1:52" s="64" customFormat="1" ht="24.95" customHeight="1">
      <c r="A61" s="32" t="s">
        <v>574</v>
      </c>
      <c r="B61" s="217" t="s">
        <v>575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0</v>
      </c>
      <c r="O61" s="222"/>
      <c r="P61" s="222"/>
      <c r="Q61" s="222">
        <v>82000000</v>
      </c>
      <c r="R61" s="223">
        <v>32000000</v>
      </c>
      <c r="S61" s="223"/>
      <c r="T61" s="222">
        <v>50000000</v>
      </c>
      <c r="U61" s="222">
        <v>0</v>
      </c>
      <c r="V61" s="222">
        <v>50000000</v>
      </c>
      <c r="W61" s="224">
        <v>0</v>
      </c>
      <c r="X61" s="222">
        <v>0</v>
      </c>
      <c r="Y61" s="222">
        <v>0</v>
      </c>
      <c r="Z61" s="224">
        <v>0</v>
      </c>
      <c r="AA61" s="222">
        <v>0</v>
      </c>
      <c r="AB61" s="222">
        <v>0</v>
      </c>
      <c r="AC61" s="224"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">
        <v>576</v>
      </c>
      <c r="B62" s="217" t="s">
        <v>577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0</v>
      </c>
      <c r="O62" s="222"/>
      <c r="P62" s="222"/>
      <c r="Q62" s="222">
        <v>30000000</v>
      </c>
      <c r="R62" s="223"/>
      <c r="S62" s="223"/>
      <c r="T62" s="222">
        <v>30000000</v>
      </c>
      <c r="U62" s="222">
        <v>30000000</v>
      </c>
      <c r="V62" s="222">
        <v>0</v>
      </c>
      <c r="W62" s="224">
        <v>1</v>
      </c>
      <c r="X62" s="222">
        <v>3282020</v>
      </c>
      <c r="Y62" s="222">
        <v>26717980</v>
      </c>
      <c r="Z62" s="224">
        <v>0.8905993333333333</v>
      </c>
      <c r="AA62" s="222">
        <v>3282020</v>
      </c>
      <c r="AB62" s="222">
        <v>0</v>
      </c>
      <c r="AC62" s="224">
        <v>0.10940066666666666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">
        <v>578</v>
      </c>
      <c r="B63" s="217" t="s">
        <v>579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261000000</v>
      </c>
      <c r="O63" s="222"/>
      <c r="P63" s="222"/>
      <c r="Q63" s="222">
        <v>11175890</v>
      </c>
      <c r="R63" s="222">
        <v>163186206</v>
      </c>
      <c r="S63" s="223"/>
      <c r="T63" s="222">
        <v>108989684</v>
      </c>
      <c r="U63" s="222">
        <v>65522950</v>
      </c>
      <c r="V63" s="222">
        <v>43466734</v>
      </c>
      <c r="W63" s="224">
        <v>0.6011848791120451</v>
      </c>
      <c r="X63" s="222">
        <v>58989684</v>
      </c>
      <c r="Y63" s="222">
        <v>6533266</v>
      </c>
      <c r="Z63" s="224">
        <v>9.9709582672941319E-2</v>
      </c>
      <c r="AA63" s="222">
        <v>58989684</v>
      </c>
      <c r="AB63" s="222">
        <v>0</v>
      </c>
      <c r="AC63" s="224">
        <v>0.90029041732705872</v>
      </c>
    </row>
    <row r="64" spans="1:52" s="64" customFormat="1" ht="24.95" customHeight="1">
      <c r="A64" s="241" t="s">
        <v>580</v>
      </c>
      <c r="B64" s="242" t="s">
        <v>581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>
        <v>0</v>
      </c>
      <c r="O64" s="222"/>
      <c r="P64" s="222"/>
      <c r="Q64" s="222">
        <v>20000000</v>
      </c>
      <c r="R64" s="222">
        <v>13340000</v>
      </c>
      <c r="S64" s="223"/>
      <c r="T64" s="222">
        <v>6660000</v>
      </c>
      <c r="U64" s="222">
        <v>6660000</v>
      </c>
      <c r="V64" s="222">
        <v>0</v>
      </c>
      <c r="W64" s="224">
        <v>1</v>
      </c>
      <c r="X64" s="222">
        <v>6660000</v>
      </c>
      <c r="Y64" s="222">
        <v>0</v>
      </c>
      <c r="Z64" s="224">
        <v>0</v>
      </c>
      <c r="AA64" s="222">
        <v>6660000</v>
      </c>
      <c r="AB64" s="222">
        <v>0</v>
      </c>
      <c r="AC64" s="224">
        <v>1</v>
      </c>
    </row>
    <row r="65" spans="1:29" ht="24.95" customHeight="1">
      <c r="A65" s="32" t="s">
        <v>388</v>
      </c>
      <c r="B65" s="203" t="s">
        <v>389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v>41426735798</v>
      </c>
      <c r="O65" s="208">
        <v>0</v>
      </c>
      <c r="P65" s="208">
        <v>0</v>
      </c>
      <c r="Q65" s="208">
        <v>5833848599.3199997</v>
      </c>
      <c r="R65" s="208">
        <v>5784286891.3199997</v>
      </c>
      <c r="S65" s="208">
        <v>0</v>
      </c>
      <c r="T65" s="208">
        <v>41476297506</v>
      </c>
      <c r="U65" s="208">
        <v>37089168859.379997</v>
      </c>
      <c r="V65" s="208">
        <v>4387128646.6200008</v>
      </c>
      <c r="W65" s="209">
        <v>0.89422564427344664</v>
      </c>
      <c r="X65" s="208">
        <v>27929799077.240002</v>
      </c>
      <c r="Y65" s="208">
        <v>9159369782.1399994</v>
      </c>
      <c r="Z65" s="209">
        <v>0.24695537980014773</v>
      </c>
      <c r="AA65" s="208">
        <v>27465235211.240002</v>
      </c>
      <c r="AB65" s="208">
        <v>464563866</v>
      </c>
      <c r="AC65" s="209">
        <v>0.74051902633277622</v>
      </c>
    </row>
    <row r="66" spans="1:29" ht="49.5">
      <c r="A66" s="32" t="s">
        <v>390</v>
      </c>
      <c r="B66" s="210" t="s">
        <v>391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v>7757163474</v>
      </c>
      <c r="O66" s="215">
        <v>0</v>
      </c>
      <c r="P66" s="215">
        <v>0</v>
      </c>
      <c r="Q66" s="215">
        <v>708057694</v>
      </c>
      <c r="R66" s="215">
        <v>1251636659.8800001</v>
      </c>
      <c r="S66" s="215">
        <v>0</v>
      </c>
      <c r="T66" s="215">
        <v>7213584508.1199999</v>
      </c>
      <c r="U66" s="215">
        <v>6039530600.1000004</v>
      </c>
      <c r="V66" s="215">
        <v>1174053908.02</v>
      </c>
      <c r="W66" s="216">
        <v>0.8372440349595377</v>
      </c>
      <c r="X66" s="215">
        <v>4119330292.0999999</v>
      </c>
      <c r="Y66" s="215">
        <v>1920200308</v>
      </c>
      <c r="Z66" s="216">
        <v>0.31793866695007822</v>
      </c>
      <c r="AA66" s="215">
        <v>4079124495.0999999</v>
      </c>
      <c r="AB66" s="215">
        <v>40205797</v>
      </c>
      <c r="AC66" s="216">
        <v>0.67540422678419065</v>
      </c>
    </row>
    <row r="67" spans="1:29" ht="24.95" customHeight="1">
      <c r="A67" s="32" t="s">
        <v>582</v>
      </c>
      <c r="B67" s="217" t="s">
        <v>583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v>12000000</v>
      </c>
      <c r="U67" s="222">
        <v>2654895</v>
      </c>
      <c r="V67" s="222">
        <v>9345105</v>
      </c>
      <c r="W67" s="224">
        <v>0.22124125</v>
      </c>
      <c r="X67" s="222">
        <v>2654895</v>
      </c>
      <c r="Y67" s="222">
        <v>0</v>
      </c>
      <c r="Z67" s="224">
        <v>0</v>
      </c>
      <c r="AA67" s="222">
        <v>2654895</v>
      </c>
      <c r="AB67" s="222">
        <v>0</v>
      </c>
      <c r="AC67" s="224">
        <v>1</v>
      </c>
    </row>
    <row r="68" spans="1:29" ht="24.95" customHeight="1">
      <c r="A68" s="32" t="s">
        <v>584</v>
      </c>
      <c r="B68" s="217" t="s">
        <v>585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4851925294</v>
      </c>
      <c r="O68" s="222"/>
      <c r="P68" s="222"/>
      <c r="Q68" s="223">
        <v>491241816</v>
      </c>
      <c r="R68" s="223">
        <v>1096871727.8800001</v>
      </c>
      <c r="S68" s="223"/>
      <c r="T68" s="222">
        <v>4246295382.1199999</v>
      </c>
      <c r="U68" s="222">
        <v>3376288307</v>
      </c>
      <c r="V68" s="222">
        <v>870007075.11999989</v>
      </c>
      <c r="W68" s="224">
        <v>0.7951138588277763</v>
      </c>
      <c r="X68" s="222">
        <v>1949235406</v>
      </c>
      <c r="Y68" s="222">
        <v>1427052901</v>
      </c>
      <c r="Z68" s="224">
        <v>0.42266914766766689</v>
      </c>
      <c r="AA68" s="222">
        <v>1949235406</v>
      </c>
      <c r="AB68" s="222">
        <v>0</v>
      </c>
      <c r="AC68" s="224">
        <v>0.57733085233233317</v>
      </c>
    </row>
    <row r="69" spans="1:29" ht="24.95" customHeight="1">
      <c r="A69" s="32" t="s">
        <v>586</v>
      </c>
      <c r="B69" s="217" t="s">
        <v>587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100000000</v>
      </c>
      <c r="O69" s="222"/>
      <c r="P69" s="222"/>
      <c r="Q69" s="223">
        <v>12600000</v>
      </c>
      <c r="R69" s="223">
        <v>13000000</v>
      </c>
      <c r="S69" s="223"/>
      <c r="T69" s="222">
        <v>99600000</v>
      </c>
      <c r="U69" s="222">
        <v>96579990</v>
      </c>
      <c r="V69" s="222">
        <v>3020010</v>
      </c>
      <c r="W69" s="224">
        <v>0.96967861445783132</v>
      </c>
      <c r="X69" s="222">
        <v>31170008</v>
      </c>
      <c r="Y69" s="222">
        <v>65409982</v>
      </c>
      <c r="Z69" s="224">
        <v>0.67726225691263786</v>
      </c>
      <c r="AA69" s="222">
        <v>31170008</v>
      </c>
      <c r="AB69" s="222">
        <v>0</v>
      </c>
      <c r="AC69" s="224">
        <v>0.32273774308736208</v>
      </c>
    </row>
    <row r="70" spans="1:29" ht="24.95" customHeight="1">
      <c r="A70" s="32" t="s">
        <v>588</v>
      </c>
      <c r="B70" s="217" t="s">
        <v>589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>
        <v>10000000</v>
      </c>
      <c r="O70" s="222"/>
      <c r="P70" s="222"/>
      <c r="Q70" s="223"/>
      <c r="R70" s="223">
        <v>10000000</v>
      </c>
      <c r="S70" s="223"/>
      <c r="T70" s="222">
        <v>0</v>
      </c>
      <c r="U70" s="222">
        <v>0</v>
      </c>
      <c r="V70" s="222">
        <v>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</row>
    <row r="71" spans="1:29" ht="24.95" customHeight="1">
      <c r="A71" s="32" t="s">
        <v>590</v>
      </c>
      <c r="B71" s="217" t="s">
        <v>591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2053178180</v>
      </c>
      <c r="O71" s="222"/>
      <c r="P71" s="222"/>
      <c r="Q71" s="223"/>
      <c r="R71" s="223">
        <v>131764932</v>
      </c>
      <c r="S71" s="223"/>
      <c r="T71" s="222">
        <v>1921413248</v>
      </c>
      <c r="U71" s="222">
        <v>1848067730</v>
      </c>
      <c r="V71" s="222">
        <v>73345518</v>
      </c>
      <c r="W71" s="224">
        <v>0.96182730702187813</v>
      </c>
      <c r="X71" s="222">
        <v>1420391667</v>
      </c>
      <c r="Y71" s="222">
        <v>427676063</v>
      </c>
      <c r="Z71" s="224">
        <v>0.23141795944892127</v>
      </c>
      <c r="AA71" s="222">
        <v>1420391667</v>
      </c>
      <c r="AB71" s="222">
        <v>0</v>
      </c>
      <c r="AC71" s="224">
        <v>0.7685820405510787</v>
      </c>
    </row>
    <row r="72" spans="1:29" ht="27" customHeight="1">
      <c r="A72" s="32" t="s">
        <v>592</v>
      </c>
      <c r="B72" s="217" t="s">
        <v>593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730060000</v>
      </c>
      <c r="O72" s="222"/>
      <c r="P72" s="222"/>
      <c r="Q72" s="223">
        <v>204215878</v>
      </c>
      <c r="R72" s="223"/>
      <c r="S72" s="223"/>
      <c r="T72" s="222">
        <v>934275878</v>
      </c>
      <c r="U72" s="222">
        <v>715939678.10000002</v>
      </c>
      <c r="V72" s="222">
        <v>218336199.89999998</v>
      </c>
      <c r="W72" s="224">
        <v>0.76630435929974849</v>
      </c>
      <c r="X72" s="222">
        <v>715878316.10000002</v>
      </c>
      <c r="Y72" s="222">
        <v>61362</v>
      </c>
      <c r="Z72" s="224">
        <v>8.570833811424705E-5</v>
      </c>
      <c r="AA72" s="222">
        <v>675672519.10000002</v>
      </c>
      <c r="AB72" s="222">
        <v>40205797</v>
      </c>
      <c r="AC72" s="224">
        <v>0.94375621266464349</v>
      </c>
    </row>
    <row r="73" spans="1:29" ht="33">
      <c r="A73" s="32" t="s">
        <v>392</v>
      </c>
      <c r="B73" s="210" t="s">
        <v>393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v>12770333207</v>
      </c>
      <c r="O73" s="215">
        <v>0</v>
      </c>
      <c r="P73" s="215">
        <v>0</v>
      </c>
      <c r="Q73" s="215">
        <v>2408101628.29</v>
      </c>
      <c r="R73" s="215">
        <v>1058222129</v>
      </c>
      <c r="S73" s="215">
        <v>0</v>
      </c>
      <c r="T73" s="215">
        <v>14120212706.290001</v>
      </c>
      <c r="U73" s="215">
        <v>12874985801</v>
      </c>
      <c r="V73" s="215">
        <v>1245226905.2900009</v>
      </c>
      <c r="W73" s="216">
        <v>0.91181245416116852</v>
      </c>
      <c r="X73" s="215">
        <v>11698278248</v>
      </c>
      <c r="Y73" s="215">
        <v>1176707553</v>
      </c>
      <c r="Z73" s="216">
        <v>9.1394862191506665E-2</v>
      </c>
      <c r="AA73" s="215">
        <v>11274281001</v>
      </c>
      <c r="AB73" s="215">
        <v>423997247</v>
      </c>
      <c r="AC73" s="216">
        <v>0.87567327648037696</v>
      </c>
    </row>
    <row r="74" spans="1:29" ht="24.95" customHeight="1">
      <c r="A74" s="32" t="s">
        <v>594</v>
      </c>
      <c r="B74" s="217" t="s">
        <v>595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25000000</v>
      </c>
      <c r="O74" s="222"/>
      <c r="P74" s="222"/>
      <c r="Q74" s="222">
        <v>60000000</v>
      </c>
      <c r="R74" s="223">
        <v>1459150</v>
      </c>
      <c r="S74" s="223"/>
      <c r="T74" s="222">
        <v>83540850</v>
      </c>
      <c r="U74" s="222">
        <v>45802458</v>
      </c>
      <c r="V74" s="222">
        <v>37738392</v>
      </c>
      <c r="W74" s="224">
        <v>0.54826420846807278</v>
      </c>
      <c r="X74" s="222">
        <v>45802458</v>
      </c>
      <c r="Y74" s="222">
        <v>0</v>
      </c>
      <c r="Z74" s="224">
        <v>0</v>
      </c>
      <c r="AA74" s="222">
        <v>45802458</v>
      </c>
      <c r="AB74" s="222">
        <v>0</v>
      </c>
      <c r="AC74" s="224">
        <v>1</v>
      </c>
    </row>
    <row r="75" spans="1:29" ht="24.95" customHeight="1">
      <c r="A75" s="32" t="s">
        <v>596</v>
      </c>
      <c r="B75" s="217" t="s">
        <v>597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12745333207</v>
      </c>
      <c r="O75" s="222"/>
      <c r="P75" s="222"/>
      <c r="Q75" s="222">
        <v>2348101628.29</v>
      </c>
      <c r="R75" s="223">
        <v>1056762979</v>
      </c>
      <c r="S75" s="223"/>
      <c r="T75" s="222">
        <v>14036671856.290001</v>
      </c>
      <c r="U75" s="222">
        <v>12829183343</v>
      </c>
      <c r="V75" s="222">
        <v>1207488513.2900009</v>
      </c>
      <c r="W75" s="224">
        <v>0.91397615291911871</v>
      </c>
      <c r="X75" s="222">
        <v>11652475790</v>
      </c>
      <c r="Y75" s="222">
        <v>1176707553</v>
      </c>
      <c r="Z75" s="224">
        <v>9.1721158045655976E-2</v>
      </c>
      <c r="AA75" s="222">
        <v>11228478543</v>
      </c>
      <c r="AB75" s="222">
        <v>423997247</v>
      </c>
      <c r="AC75" s="224">
        <v>0.87522940804541594</v>
      </c>
    </row>
    <row r="76" spans="1:29" ht="24.95" customHeight="1">
      <c r="A76" s="32" t="s">
        <v>394</v>
      </c>
      <c r="B76" s="210" t="s">
        <v>395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v>17318293047</v>
      </c>
      <c r="O76" s="215">
        <v>0</v>
      </c>
      <c r="P76" s="215">
        <v>0</v>
      </c>
      <c r="Q76" s="215">
        <v>2662689277.0299997</v>
      </c>
      <c r="R76" s="215">
        <v>2872754479.4399996</v>
      </c>
      <c r="S76" s="215">
        <v>0</v>
      </c>
      <c r="T76" s="215">
        <v>17108227844.59</v>
      </c>
      <c r="U76" s="215">
        <v>15705463834.309999</v>
      </c>
      <c r="V76" s="215">
        <v>1402764010.2800002</v>
      </c>
      <c r="W76" s="216">
        <v>0.91800646899125871</v>
      </c>
      <c r="X76" s="215">
        <v>11262835683.17</v>
      </c>
      <c r="Y76" s="215">
        <v>4442628151.1400003</v>
      </c>
      <c r="Z76" s="216">
        <v>0.28287150242800718</v>
      </c>
      <c r="AA76" s="215">
        <v>11262610062.17</v>
      </c>
      <c r="AB76" s="215">
        <v>225621</v>
      </c>
      <c r="AC76" s="216">
        <v>0.71711413180716221</v>
      </c>
    </row>
    <row r="77" spans="1:29" ht="24.95" customHeight="1">
      <c r="A77" s="32" t="s">
        <v>598</v>
      </c>
      <c r="B77" s="217" t="s">
        <v>599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172000000</v>
      </c>
      <c r="O77" s="222"/>
      <c r="P77" s="222"/>
      <c r="Q77" s="223"/>
      <c r="R77" s="223"/>
      <c r="S77" s="223"/>
      <c r="T77" s="222">
        <v>172000000</v>
      </c>
      <c r="U77" s="222">
        <v>30383516.800000001</v>
      </c>
      <c r="V77" s="222">
        <v>141616483.19999999</v>
      </c>
      <c r="W77" s="224">
        <v>0.1766483534883721</v>
      </c>
      <c r="X77" s="222">
        <v>11650877</v>
      </c>
      <c r="Y77" s="222">
        <v>18732639.800000001</v>
      </c>
      <c r="Z77" s="224">
        <v>0.61653955081328837</v>
      </c>
      <c r="AA77" s="222">
        <v>11650877</v>
      </c>
      <c r="AB77" s="222">
        <v>0</v>
      </c>
      <c r="AC77" s="224">
        <v>0.38346044918671163</v>
      </c>
    </row>
    <row r="78" spans="1:29" ht="24.95" customHeight="1">
      <c r="A78" s="32" t="s">
        <v>600</v>
      </c>
      <c r="B78" s="217" t="s">
        <v>601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9548931993</v>
      </c>
      <c r="O78" s="222"/>
      <c r="P78" s="222"/>
      <c r="Q78" s="222">
        <v>8045908</v>
      </c>
      <c r="R78" s="223">
        <v>1336752324</v>
      </c>
      <c r="S78" s="223"/>
      <c r="T78" s="222">
        <v>8220225577</v>
      </c>
      <c r="U78" s="222">
        <v>7650747351</v>
      </c>
      <c r="V78" s="222">
        <v>569478226</v>
      </c>
      <c r="W78" s="224">
        <v>0.9307223116123009</v>
      </c>
      <c r="X78" s="222">
        <v>5401309342</v>
      </c>
      <c r="Y78" s="222">
        <v>2249438009</v>
      </c>
      <c r="Z78" s="224">
        <v>0.29401546094787517</v>
      </c>
      <c r="AA78" s="222">
        <v>5401309342</v>
      </c>
      <c r="AB78" s="222">
        <v>0</v>
      </c>
      <c r="AC78" s="224">
        <v>0.70598453905212477</v>
      </c>
    </row>
    <row r="79" spans="1:29" ht="33">
      <c r="A79" s="32" t="s">
        <v>602</v>
      </c>
      <c r="B79" s="217" t="s">
        <v>603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2298000000</v>
      </c>
      <c r="O79" s="222"/>
      <c r="P79" s="222"/>
      <c r="Q79" s="223">
        <v>511481971.37</v>
      </c>
      <c r="R79" s="223">
        <v>353866951.77999997</v>
      </c>
      <c r="S79" s="223"/>
      <c r="T79" s="222">
        <v>2455615019.5900002</v>
      </c>
      <c r="U79" s="222">
        <v>2023709372.8499999</v>
      </c>
      <c r="V79" s="222">
        <v>431905646.74000025</v>
      </c>
      <c r="W79" s="224">
        <v>0.8241150818453159</v>
      </c>
      <c r="X79" s="222">
        <v>1785202134.1700001</v>
      </c>
      <c r="Y79" s="222">
        <v>238507238.67999983</v>
      </c>
      <c r="Z79" s="224">
        <v>0.11785646787024014</v>
      </c>
      <c r="AA79" s="222">
        <v>1784976513.1700001</v>
      </c>
      <c r="AB79" s="222">
        <v>225621</v>
      </c>
      <c r="AC79" s="224">
        <v>0.88203204329493656</v>
      </c>
    </row>
    <row r="80" spans="1:29" ht="24.95" customHeight="1">
      <c r="A80" s="32" t="s">
        <v>604</v>
      </c>
      <c r="B80" s="217" t="s">
        <v>605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3859335661</v>
      </c>
      <c r="O80" s="222"/>
      <c r="P80" s="222"/>
      <c r="Q80" s="223">
        <v>1731708879.8800001</v>
      </c>
      <c r="R80" s="222">
        <v>472659861.88</v>
      </c>
      <c r="S80" s="223"/>
      <c r="T80" s="222">
        <v>5118384679</v>
      </c>
      <c r="U80" s="222">
        <v>4952157099.4200001</v>
      </c>
      <c r="V80" s="222">
        <v>166227579.57999992</v>
      </c>
      <c r="W80" s="224">
        <v>0.96752342975274841</v>
      </c>
      <c r="X80" s="222">
        <v>3256570043</v>
      </c>
      <c r="Y80" s="222">
        <v>1695587056.4200001</v>
      </c>
      <c r="Z80" s="224">
        <v>0.3423936321847682</v>
      </c>
      <c r="AA80" s="222">
        <v>3256570043</v>
      </c>
      <c r="AB80" s="222">
        <v>0</v>
      </c>
      <c r="AC80" s="224">
        <v>0.65760636781523185</v>
      </c>
    </row>
    <row r="81" spans="1:52" ht="33">
      <c r="A81" s="32" t="s">
        <v>606</v>
      </c>
      <c r="B81" s="217" t="s">
        <v>607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1363025393</v>
      </c>
      <c r="O81" s="222"/>
      <c r="P81" s="222"/>
      <c r="Q81" s="223">
        <v>376102517.77999997</v>
      </c>
      <c r="R81" s="223">
        <v>709475341.77999997</v>
      </c>
      <c r="S81" s="223"/>
      <c r="T81" s="222">
        <v>1029652569</v>
      </c>
      <c r="U81" s="222">
        <v>1002362602.24</v>
      </c>
      <c r="V81" s="222">
        <v>27289966.75999999</v>
      </c>
      <c r="W81" s="224">
        <v>0.97349594651475102</v>
      </c>
      <c r="X81" s="222">
        <v>764770995</v>
      </c>
      <c r="Y81" s="222">
        <v>237591607.24000001</v>
      </c>
      <c r="Z81" s="224">
        <v>0.23703159586066883</v>
      </c>
      <c r="AA81" s="222">
        <v>764770995</v>
      </c>
      <c r="AB81" s="222">
        <v>0</v>
      </c>
      <c r="AC81" s="224">
        <v>0.7629684041393312</v>
      </c>
    </row>
    <row r="82" spans="1:52" s="250" customFormat="1" ht="33">
      <c r="A82" s="32" t="s">
        <v>608</v>
      </c>
      <c r="B82" s="217" t="s">
        <v>609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77000000</v>
      </c>
      <c r="O82" s="222"/>
      <c r="P82" s="222"/>
      <c r="Q82" s="223">
        <v>35350000</v>
      </c>
      <c r="R82" s="223"/>
      <c r="S82" s="223"/>
      <c r="T82" s="222">
        <v>112350000</v>
      </c>
      <c r="U82" s="222">
        <v>46103892</v>
      </c>
      <c r="V82" s="222">
        <v>66246108</v>
      </c>
      <c r="W82" s="224">
        <v>0.41035951935914555</v>
      </c>
      <c r="X82" s="222">
        <v>43332292</v>
      </c>
      <c r="Y82" s="222">
        <v>2771600</v>
      </c>
      <c r="Z82" s="224">
        <v>6.0116399717403471E-2</v>
      </c>
      <c r="AA82" s="222">
        <v>43332292</v>
      </c>
      <c r="AB82" s="222">
        <v>0</v>
      </c>
      <c r="AC82" s="224">
        <v>0.93988360028259654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">
        <v>396</v>
      </c>
      <c r="B83" s="210" t="s">
        <v>397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v>2410636000</v>
      </c>
      <c r="O83" s="215">
        <v>0</v>
      </c>
      <c r="P83" s="215">
        <v>0</v>
      </c>
      <c r="Q83" s="215">
        <v>55000000</v>
      </c>
      <c r="R83" s="215">
        <v>281682776</v>
      </c>
      <c r="S83" s="215">
        <v>0</v>
      </c>
      <c r="T83" s="215">
        <v>2183953224</v>
      </c>
      <c r="U83" s="215">
        <v>2060466484.97</v>
      </c>
      <c r="V83" s="215">
        <v>123486739.03</v>
      </c>
      <c r="W83" s="216">
        <v>0.94345724181590807</v>
      </c>
      <c r="X83" s="215">
        <v>495613318.97000003</v>
      </c>
      <c r="Y83" s="215">
        <v>1564853166</v>
      </c>
      <c r="Z83" s="216">
        <v>0.75946547901398354</v>
      </c>
      <c r="AA83" s="215">
        <v>495478117.97000003</v>
      </c>
      <c r="AB83" s="215">
        <v>135201</v>
      </c>
      <c r="AC83" s="216">
        <v>0.24046890429145421</v>
      </c>
    </row>
    <row r="84" spans="1:52" ht="24.95" customHeight="1">
      <c r="A84" s="32" t="s">
        <v>610</v>
      </c>
      <c r="B84" s="217" t="s">
        <v>611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730000000</v>
      </c>
      <c r="O84" s="222"/>
      <c r="P84" s="222"/>
      <c r="Q84" s="223"/>
      <c r="R84" s="223"/>
      <c r="S84" s="223"/>
      <c r="T84" s="222">
        <v>730000000</v>
      </c>
      <c r="U84" s="222">
        <v>680000000</v>
      </c>
      <c r="V84" s="222">
        <v>50000000</v>
      </c>
      <c r="W84" s="224">
        <v>0.93150684931506844</v>
      </c>
      <c r="X84" s="222">
        <v>13008938</v>
      </c>
      <c r="Y84" s="222">
        <v>666991062</v>
      </c>
      <c r="Z84" s="224">
        <v>0.98086920882352946</v>
      </c>
      <c r="AA84" s="222">
        <v>13008938</v>
      </c>
      <c r="AB84" s="222">
        <v>0</v>
      </c>
      <c r="AC84" s="224">
        <v>1.9130791176470589E-2</v>
      </c>
    </row>
    <row r="85" spans="1:52" ht="34.5" customHeight="1">
      <c r="A85" s="32" t="s">
        <v>612</v>
      </c>
      <c r="B85" s="217" t="s">
        <v>613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365636000</v>
      </c>
      <c r="O85" s="222"/>
      <c r="P85" s="222"/>
      <c r="Q85" s="223">
        <v>55000000</v>
      </c>
      <c r="R85" s="223">
        <v>35118054</v>
      </c>
      <c r="S85" s="223"/>
      <c r="T85" s="222">
        <v>385517946</v>
      </c>
      <c r="U85" s="222">
        <v>349752989</v>
      </c>
      <c r="V85" s="222">
        <v>35764957</v>
      </c>
      <c r="W85" s="224">
        <v>0.90722881419377555</v>
      </c>
      <c r="X85" s="222">
        <v>125495364</v>
      </c>
      <c r="Y85" s="222">
        <v>224257625</v>
      </c>
      <c r="Z85" s="224">
        <v>0.64118858752626695</v>
      </c>
      <c r="AA85" s="222">
        <v>125495364</v>
      </c>
      <c r="AB85" s="222">
        <v>0</v>
      </c>
      <c r="AC85" s="224">
        <v>0.35881141247373299</v>
      </c>
    </row>
    <row r="86" spans="1:52" ht="49.5">
      <c r="A86" s="32" t="s">
        <v>614</v>
      </c>
      <c r="B86" s="217" t="s">
        <v>615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55000000</v>
      </c>
      <c r="O86" s="222"/>
      <c r="P86" s="222"/>
      <c r="Q86" s="223"/>
      <c r="R86" s="223">
        <v>15000000</v>
      </c>
      <c r="S86" s="223"/>
      <c r="T86" s="222">
        <v>40000000</v>
      </c>
      <c r="U86" s="222">
        <v>26278217.969999999</v>
      </c>
      <c r="V86" s="222">
        <v>13721782.030000001</v>
      </c>
      <c r="W86" s="224">
        <v>0.65695544924999993</v>
      </c>
      <c r="X86" s="222">
        <v>26227809.969999999</v>
      </c>
      <c r="Y86" s="222">
        <v>50408</v>
      </c>
      <c r="Z86" s="224">
        <v>1.9182427079928815E-3</v>
      </c>
      <c r="AA86" s="222">
        <v>26092608.969999999</v>
      </c>
      <c r="AB86" s="222">
        <v>135201</v>
      </c>
      <c r="AC86" s="224">
        <v>0.99293677371076317</v>
      </c>
    </row>
    <row r="87" spans="1:52" ht="24.95" customHeight="1">
      <c r="A87" s="32" t="s">
        <v>616</v>
      </c>
      <c r="B87" s="217" t="s">
        <v>617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1160000000</v>
      </c>
      <c r="O87" s="222"/>
      <c r="P87" s="222"/>
      <c r="Q87" s="223"/>
      <c r="R87" s="223">
        <v>158630222</v>
      </c>
      <c r="S87" s="223"/>
      <c r="T87" s="222">
        <v>1001369778</v>
      </c>
      <c r="U87" s="222">
        <v>977369778</v>
      </c>
      <c r="V87" s="222">
        <v>24000000</v>
      </c>
      <c r="W87" s="224">
        <v>0.97603282970259564</v>
      </c>
      <c r="X87" s="222">
        <v>303815707</v>
      </c>
      <c r="Y87" s="222">
        <v>673554071</v>
      </c>
      <c r="Z87" s="224">
        <v>0.68914968127856313</v>
      </c>
      <c r="AA87" s="222">
        <v>303815707</v>
      </c>
      <c r="AB87" s="222">
        <v>0</v>
      </c>
      <c r="AC87" s="224">
        <v>0.31085031872143687</v>
      </c>
    </row>
    <row r="88" spans="1:52" ht="24.95" customHeight="1">
      <c r="A88" s="32" t="s">
        <v>618</v>
      </c>
      <c r="B88" s="217" t="s">
        <v>619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100000000</v>
      </c>
      <c r="O88" s="222"/>
      <c r="P88" s="222"/>
      <c r="Q88" s="223"/>
      <c r="R88" s="223">
        <v>72934500</v>
      </c>
      <c r="S88" s="223"/>
      <c r="T88" s="222">
        <v>27065500</v>
      </c>
      <c r="U88" s="222">
        <v>27065500</v>
      </c>
      <c r="V88" s="222">
        <v>0</v>
      </c>
      <c r="W88" s="224">
        <v>1</v>
      </c>
      <c r="X88" s="222">
        <v>27065500</v>
      </c>
      <c r="Y88" s="222">
        <v>0</v>
      </c>
      <c r="Z88" s="224">
        <v>0</v>
      </c>
      <c r="AA88" s="222">
        <v>27065500</v>
      </c>
      <c r="AB88" s="222">
        <v>0</v>
      </c>
      <c r="AC88" s="224">
        <v>1</v>
      </c>
    </row>
    <row r="89" spans="1:52" s="681" customFormat="1" ht="24.95" customHeight="1">
      <c r="A89" s="673" t="s">
        <v>398</v>
      </c>
      <c r="B89" s="674" t="s">
        <v>399</v>
      </c>
      <c r="C89" s="675" t="s">
        <v>23</v>
      </c>
      <c r="D89" s="676" t="s">
        <v>54</v>
      </c>
      <c r="E89" s="676" t="s">
        <v>54</v>
      </c>
      <c r="F89" s="676" t="s">
        <v>54</v>
      </c>
      <c r="G89" s="676" t="s">
        <v>50</v>
      </c>
      <c r="H89" s="676"/>
      <c r="I89" s="676"/>
      <c r="J89" s="676"/>
      <c r="K89" s="677" t="s">
        <v>28</v>
      </c>
      <c r="L89" s="678" t="s">
        <v>29</v>
      </c>
      <c r="M89" s="674" t="s">
        <v>126</v>
      </c>
      <c r="N89" s="679">
        <v>1170310070</v>
      </c>
      <c r="O89" s="679"/>
      <c r="P89" s="679"/>
      <c r="Q89" s="679"/>
      <c r="R89" s="679">
        <v>319990847</v>
      </c>
      <c r="S89" s="679"/>
      <c r="T89" s="679">
        <v>850319223</v>
      </c>
      <c r="U89" s="679">
        <v>408722139</v>
      </c>
      <c r="V89" s="679">
        <v>441597084</v>
      </c>
      <c r="W89" s="680">
        <v>0.48066905691957995</v>
      </c>
      <c r="X89" s="679">
        <v>353741535</v>
      </c>
      <c r="Y89" s="679">
        <v>54980604</v>
      </c>
      <c r="Z89" s="680">
        <v>0.13451829190001377</v>
      </c>
      <c r="AA89" s="679">
        <v>353741535</v>
      </c>
      <c r="AB89" s="679">
        <v>0</v>
      </c>
      <c r="AC89" s="680">
        <v>0.86548170809998626</v>
      </c>
    </row>
    <row r="90" spans="1:52" ht="35.1" customHeight="1">
      <c r="A90" s="32" t="s">
        <v>400</v>
      </c>
      <c r="B90" s="188" t="s">
        <v>401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v>15140000000</v>
      </c>
      <c r="O90" s="194">
        <v>5716169561713</v>
      </c>
      <c r="P90" s="194">
        <v>0</v>
      </c>
      <c r="Q90" s="194">
        <v>36000000</v>
      </c>
      <c r="R90" s="194">
        <v>36000000</v>
      </c>
      <c r="S90" s="194">
        <v>11791000000</v>
      </c>
      <c r="T90" s="194">
        <v>5719518561713</v>
      </c>
      <c r="U90" s="194">
        <v>4573219540655</v>
      </c>
      <c r="V90" s="194">
        <v>1146299021058</v>
      </c>
      <c r="W90" s="195">
        <v>0.79958120448608483</v>
      </c>
      <c r="X90" s="194">
        <v>4431908324330</v>
      </c>
      <c r="Y90" s="194">
        <v>141311216325</v>
      </c>
      <c r="Z90" s="195">
        <v>3.0899722847060319E-2</v>
      </c>
      <c r="AA90" s="194">
        <v>3889847203761</v>
      </c>
      <c r="AB90" s="194">
        <v>542061120569</v>
      </c>
      <c r="AC90" s="195">
        <v>0.85057084384010917</v>
      </c>
    </row>
    <row r="91" spans="1:52" ht="24.95" customHeight="1">
      <c r="A91" s="32" t="s">
        <v>620</v>
      </c>
      <c r="B91" s="196" t="s">
        <v>621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v>11791000000</v>
      </c>
      <c r="O91" s="201">
        <v>5716169561713</v>
      </c>
      <c r="P91" s="201">
        <v>0</v>
      </c>
      <c r="Q91" s="201">
        <v>0</v>
      </c>
      <c r="R91" s="201">
        <v>0</v>
      </c>
      <c r="S91" s="201">
        <v>11791000000</v>
      </c>
      <c r="T91" s="201">
        <v>5716169561713</v>
      </c>
      <c r="U91" s="201">
        <v>4572627655087</v>
      </c>
      <c r="V91" s="201">
        <v>1143541906626</v>
      </c>
      <c r="W91" s="202">
        <v>0.79994611876360999</v>
      </c>
      <c r="X91" s="201">
        <v>4431415695488</v>
      </c>
      <c r="Y91" s="201">
        <v>141211959599</v>
      </c>
      <c r="Z91" s="202">
        <v>3.0882015823418988E-2</v>
      </c>
      <c r="AA91" s="201">
        <v>3889367221219</v>
      </c>
      <c r="AB91" s="201">
        <v>542048474269</v>
      </c>
      <c r="AC91" s="202">
        <v>0.8505759739462101</v>
      </c>
    </row>
    <row r="92" spans="1:52" s="64" customFormat="1" ht="24.95" customHeight="1">
      <c r="A92" s="32" t="s">
        <v>622</v>
      </c>
      <c r="B92" s="203" t="s">
        <v>623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v>11791000000</v>
      </c>
      <c r="O92" s="208">
        <v>5716169561713</v>
      </c>
      <c r="P92" s="208">
        <v>0</v>
      </c>
      <c r="Q92" s="208">
        <v>0</v>
      </c>
      <c r="R92" s="208">
        <v>0</v>
      </c>
      <c r="S92" s="208">
        <v>11791000000</v>
      </c>
      <c r="T92" s="208">
        <v>5716169561713</v>
      </c>
      <c r="U92" s="208">
        <v>4572627655087</v>
      </c>
      <c r="V92" s="208">
        <v>1143541906626</v>
      </c>
      <c r="W92" s="209">
        <v>0.79994611876360999</v>
      </c>
      <c r="X92" s="208">
        <v>4431415695488</v>
      </c>
      <c r="Y92" s="208">
        <v>141211959599</v>
      </c>
      <c r="Z92" s="209">
        <v>3.0882015823418988E-2</v>
      </c>
      <c r="AA92" s="208">
        <v>3889367221219</v>
      </c>
      <c r="AB92" s="208">
        <v>542048474269</v>
      </c>
      <c r="AC92" s="209">
        <v>0.8505759739462101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2">
        <v>0</v>
      </c>
      <c r="O93" s="222">
        <v>2769805560913</v>
      </c>
      <c r="P93" s="222"/>
      <c r="Q93" s="222"/>
      <c r="R93" s="222"/>
      <c r="S93" s="222"/>
      <c r="T93" s="222">
        <v>2769805560913</v>
      </c>
      <c r="U93" s="223">
        <v>2488830630187</v>
      </c>
      <c r="V93" s="222">
        <v>280974930726</v>
      </c>
      <c r="W93" s="224">
        <v>0.89855788626787814</v>
      </c>
      <c r="X93" s="222">
        <v>2426300109869</v>
      </c>
      <c r="Y93" s="222">
        <v>62530520318</v>
      </c>
      <c r="Z93" s="224">
        <v>2.5124457871728189E-2</v>
      </c>
      <c r="AA93" s="222">
        <v>1884255611219</v>
      </c>
      <c r="AB93" s="222">
        <v>542044498650</v>
      </c>
      <c r="AC93" s="224">
        <v>0.75708470812151052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s="64" customFormat="1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25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132</v>
      </c>
      <c r="N94" s="222">
        <v>0</v>
      </c>
      <c r="O94" s="222">
        <v>2946364000800</v>
      </c>
      <c r="P94" s="222"/>
      <c r="Q94" s="222"/>
      <c r="R94" s="222"/>
      <c r="S94" s="222"/>
      <c r="T94" s="222">
        <v>2946364000800</v>
      </c>
      <c r="U94" s="223">
        <v>2083797024900</v>
      </c>
      <c r="V94" s="222">
        <v>862566975900</v>
      </c>
      <c r="W94" s="224">
        <v>0.70724358033637569</v>
      </c>
      <c r="X94" s="222">
        <v>2005115585619</v>
      </c>
      <c r="Y94" s="222">
        <v>78681439281</v>
      </c>
      <c r="Z94" s="224">
        <v>3.7758686830247232E-2</v>
      </c>
      <c r="AA94" s="222">
        <v>2005111610000</v>
      </c>
      <c r="AB94" s="222">
        <v>3975619</v>
      </c>
      <c r="AC94" s="224">
        <v>0.9622394052972717</v>
      </c>
      <c r="AD94" s="13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</row>
    <row r="95" spans="1:52" ht="24.95" customHeight="1">
      <c r="A95" s="32" t="s">
        <v>626</v>
      </c>
      <c r="B95" s="217" t="s">
        <v>627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2">
        <v>11791000000</v>
      </c>
      <c r="O95" s="222"/>
      <c r="P95" s="222"/>
      <c r="Q95" s="222"/>
      <c r="R95" s="222"/>
      <c r="S95" s="222">
        <v>11791000000</v>
      </c>
      <c r="T95" s="222">
        <v>0</v>
      </c>
      <c r="U95" s="223">
        <v>0</v>
      </c>
      <c r="V95" s="222">
        <v>0</v>
      </c>
      <c r="W95" s="224">
        <v>0</v>
      </c>
      <c r="X95" s="222">
        <v>0</v>
      </c>
      <c r="Y95" s="222">
        <v>0</v>
      </c>
      <c r="Z95" s="224">
        <v>0</v>
      </c>
      <c r="AA95" s="222">
        <v>0</v>
      </c>
      <c r="AB95" s="222">
        <v>0</v>
      </c>
      <c r="AC95" s="224">
        <v>0</v>
      </c>
    </row>
    <row r="96" spans="1:52" ht="24.95" customHeight="1">
      <c r="A96" s="32" t="s">
        <v>402</v>
      </c>
      <c r="B96" s="196" t="s">
        <v>403</v>
      </c>
      <c r="C96" s="197" t="s">
        <v>23</v>
      </c>
      <c r="D96" s="198" t="s">
        <v>65</v>
      </c>
      <c r="E96" s="198" t="s">
        <v>136</v>
      </c>
      <c r="F96" s="198"/>
      <c r="G96" s="198"/>
      <c r="H96" s="198"/>
      <c r="I96" s="198"/>
      <c r="J96" s="198"/>
      <c r="K96" s="199"/>
      <c r="L96" s="200"/>
      <c r="M96" s="196" t="s">
        <v>137</v>
      </c>
      <c r="N96" s="201">
        <v>752000000</v>
      </c>
      <c r="O96" s="201">
        <v>0</v>
      </c>
      <c r="P96" s="201">
        <v>0</v>
      </c>
      <c r="Q96" s="201">
        <v>36000000</v>
      </c>
      <c r="R96" s="201">
        <v>36000000</v>
      </c>
      <c r="S96" s="201">
        <v>0</v>
      </c>
      <c r="T96" s="201">
        <v>752000000</v>
      </c>
      <c r="U96" s="201">
        <v>387919843</v>
      </c>
      <c r="V96" s="201">
        <v>364080157</v>
      </c>
      <c r="W96" s="202">
        <v>0.5158508550531915</v>
      </c>
      <c r="X96" s="201">
        <v>288663117</v>
      </c>
      <c r="Y96" s="201">
        <v>99256726</v>
      </c>
      <c r="Z96" s="202">
        <v>0.25586916418709726</v>
      </c>
      <c r="AA96" s="201">
        <v>288663117</v>
      </c>
      <c r="AB96" s="201">
        <v>0</v>
      </c>
      <c r="AC96" s="202">
        <v>0.74413083581290274</v>
      </c>
    </row>
    <row r="97" spans="1:52" ht="24.95" customHeight="1">
      <c r="A97" s="32" t="s">
        <v>404</v>
      </c>
      <c r="B97" s="203" t="s">
        <v>405</v>
      </c>
      <c r="C97" s="204" t="s">
        <v>23</v>
      </c>
      <c r="D97" s="205" t="s">
        <v>65</v>
      </c>
      <c r="E97" s="205" t="s">
        <v>136</v>
      </c>
      <c r="F97" s="205" t="s">
        <v>54</v>
      </c>
      <c r="G97" s="205"/>
      <c r="H97" s="205"/>
      <c r="I97" s="205"/>
      <c r="J97" s="205"/>
      <c r="K97" s="206" t="s">
        <v>28</v>
      </c>
      <c r="L97" s="207" t="s">
        <v>29</v>
      </c>
      <c r="M97" s="203" t="s">
        <v>138</v>
      </c>
      <c r="N97" s="208">
        <v>752000000</v>
      </c>
      <c r="O97" s="208">
        <v>0</v>
      </c>
      <c r="P97" s="208">
        <v>0</v>
      </c>
      <c r="Q97" s="208">
        <v>36000000</v>
      </c>
      <c r="R97" s="208">
        <v>36000000</v>
      </c>
      <c r="S97" s="208">
        <v>0</v>
      </c>
      <c r="T97" s="208">
        <v>752000000</v>
      </c>
      <c r="U97" s="208">
        <v>387919843</v>
      </c>
      <c r="V97" s="208">
        <v>364080157</v>
      </c>
      <c r="W97" s="209">
        <v>0.5158508550531915</v>
      </c>
      <c r="X97" s="208">
        <v>288663117</v>
      </c>
      <c r="Y97" s="208">
        <v>99256726</v>
      </c>
      <c r="Z97" s="209">
        <v>0.25586916418709726</v>
      </c>
      <c r="AA97" s="208">
        <v>288663117</v>
      </c>
      <c r="AB97" s="208">
        <v>0</v>
      </c>
      <c r="AC97" s="209">
        <v>0.74413083581290274</v>
      </c>
    </row>
    <row r="98" spans="1:52" s="64" customFormat="1" ht="24.95" customHeight="1">
      <c r="A98" s="32" t="s">
        <v>406</v>
      </c>
      <c r="B98" s="210" t="s">
        <v>407</v>
      </c>
      <c r="C98" s="211" t="s">
        <v>23</v>
      </c>
      <c r="D98" s="212" t="s">
        <v>65</v>
      </c>
      <c r="E98" s="212" t="s">
        <v>136</v>
      </c>
      <c r="F98" s="212" t="s">
        <v>54</v>
      </c>
      <c r="G98" s="212" t="s">
        <v>52</v>
      </c>
      <c r="H98" s="212"/>
      <c r="I98" s="212"/>
      <c r="J98" s="212"/>
      <c r="K98" s="213" t="s">
        <v>28</v>
      </c>
      <c r="L98" s="214" t="s">
        <v>29</v>
      </c>
      <c r="M98" s="210" t="s">
        <v>139</v>
      </c>
      <c r="N98" s="215">
        <v>752000000</v>
      </c>
      <c r="O98" s="215">
        <v>0</v>
      </c>
      <c r="P98" s="215">
        <v>0</v>
      </c>
      <c r="Q98" s="215">
        <v>36000000</v>
      </c>
      <c r="R98" s="215">
        <v>36000000</v>
      </c>
      <c r="S98" s="215">
        <v>0</v>
      </c>
      <c r="T98" s="215">
        <v>752000000</v>
      </c>
      <c r="U98" s="215">
        <v>387919843</v>
      </c>
      <c r="V98" s="215">
        <v>364080157</v>
      </c>
      <c r="W98" s="216">
        <v>0.5158508550531915</v>
      </c>
      <c r="X98" s="215">
        <v>288663117</v>
      </c>
      <c r="Y98" s="215">
        <v>99256726</v>
      </c>
      <c r="Z98" s="216">
        <v>0.25586916418709726</v>
      </c>
      <c r="AA98" s="215">
        <v>288663117</v>
      </c>
      <c r="AB98" s="215">
        <v>0</v>
      </c>
      <c r="AC98" s="216">
        <v>0.74413083581290274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24.95" customHeight="1">
      <c r="A99" s="32" t="s">
        <v>408</v>
      </c>
      <c r="B99" s="217" t="s">
        <v>409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19" t="s">
        <v>52</v>
      </c>
      <c r="H99" s="219" t="s">
        <v>31</v>
      </c>
      <c r="I99" s="219"/>
      <c r="J99" s="219"/>
      <c r="K99" s="220" t="s">
        <v>28</v>
      </c>
      <c r="L99" s="221" t="s">
        <v>29</v>
      </c>
      <c r="M99" s="217" t="s">
        <v>140</v>
      </c>
      <c r="N99" s="222">
        <v>402000000</v>
      </c>
      <c r="O99" s="222"/>
      <c r="P99" s="222"/>
      <c r="Q99" s="222"/>
      <c r="R99" s="222"/>
      <c r="S99" s="222"/>
      <c r="T99" s="222">
        <v>402000000</v>
      </c>
      <c r="U99" s="222">
        <v>231755037</v>
      </c>
      <c r="V99" s="222">
        <v>170244963</v>
      </c>
      <c r="W99" s="224">
        <v>0.57650506716417915</v>
      </c>
      <c r="X99" s="222">
        <v>192152031</v>
      </c>
      <c r="Y99" s="222">
        <v>39603006</v>
      </c>
      <c r="Z99" s="224">
        <v>0.17088304320220665</v>
      </c>
      <c r="AA99" s="222">
        <v>192152031</v>
      </c>
      <c r="AB99" s="222">
        <v>0</v>
      </c>
      <c r="AC99" s="224">
        <v>0.8291169567977934</v>
      </c>
    </row>
    <row r="100" spans="1:52" ht="24.95" customHeight="1">
      <c r="A100" s="32" t="s">
        <v>410</v>
      </c>
      <c r="B100" s="217" t="s">
        <v>411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34</v>
      </c>
      <c r="I100" s="219"/>
      <c r="J100" s="219"/>
      <c r="K100" s="220" t="s">
        <v>28</v>
      </c>
      <c r="L100" s="221" t="s">
        <v>29</v>
      </c>
      <c r="M100" s="217" t="s">
        <v>141</v>
      </c>
      <c r="N100" s="222">
        <v>350000000</v>
      </c>
      <c r="O100" s="222"/>
      <c r="P100" s="222"/>
      <c r="Q100" s="223"/>
      <c r="R100" s="223">
        <v>36000000</v>
      </c>
      <c r="S100" s="223"/>
      <c r="T100" s="222">
        <v>314000000</v>
      </c>
      <c r="U100" s="222">
        <v>120173932</v>
      </c>
      <c r="V100" s="222">
        <v>193826068</v>
      </c>
      <c r="W100" s="224">
        <v>0.38271952866242037</v>
      </c>
      <c r="X100" s="222">
        <v>60520212</v>
      </c>
      <c r="Y100" s="222">
        <v>59653720</v>
      </c>
      <c r="Z100" s="224">
        <v>0.49639484210269497</v>
      </c>
      <c r="AA100" s="222">
        <v>60520212</v>
      </c>
      <c r="AB100" s="222">
        <v>0</v>
      </c>
      <c r="AC100" s="224">
        <v>0.50360515789730509</v>
      </c>
    </row>
    <row r="101" spans="1:52" s="64" customFormat="1" ht="24.95" customHeight="1">
      <c r="A101" s="32" t="s">
        <v>412</v>
      </c>
      <c r="B101" s="217" t="s">
        <v>413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25" t="s">
        <v>142</v>
      </c>
      <c r="H101" s="219"/>
      <c r="I101" s="219"/>
      <c r="J101" s="219"/>
      <c r="K101" s="220" t="s">
        <v>28</v>
      </c>
      <c r="L101" s="221" t="s">
        <v>29</v>
      </c>
      <c r="M101" s="217" t="s">
        <v>260</v>
      </c>
      <c r="N101" s="222">
        <v>0</v>
      </c>
      <c r="O101" s="222"/>
      <c r="P101" s="222"/>
      <c r="Q101" s="223">
        <v>36000000</v>
      </c>
      <c r="R101" s="223"/>
      <c r="S101" s="223"/>
      <c r="T101" s="222">
        <v>36000000</v>
      </c>
      <c r="U101" s="223">
        <v>35990874</v>
      </c>
      <c r="V101" s="222">
        <v>9126</v>
      </c>
      <c r="W101" s="224">
        <v>0.99974649999999998</v>
      </c>
      <c r="X101" s="222">
        <v>35990874</v>
      </c>
      <c r="Y101" s="222">
        <v>0</v>
      </c>
      <c r="Z101" s="224">
        <v>0</v>
      </c>
      <c r="AA101" s="222">
        <v>35990874</v>
      </c>
      <c r="AB101" s="222">
        <v>0</v>
      </c>
      <c r="AC101" s="224">
        <v>1</v>
      </c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</row>
    <row r="102" spans="1:52" ht="24.95" customHeight="1">
      <c r="A102" s="32" t="s">
        <v>414</v>
      </c>
      <c r="B102" s="196" t="s">
        <v>415</v>
      </c>
      <c r="C102" s="197" t="s">
        <v>23</v>
      </c>
      <c r="D102" s="198" t="s">
        <v>65</v>
      </c>
      <c r="E102" s="198" t="s">
        <v>28</v>
      </c>
      <c r="F102" s="198"/>
      <c r="G102" s="198"/>
      <c r="H102" s="198"/>
      <c r="I102" s="198"/>
      <c r="J102" s="198"/>
      <c r="K102" s="199"/>
      <c r="L102" s="200"/>
      <c r="M102" s="196" t="s">
        <v>143</v>
      </c>
      <c r="N102" s="201">
        <v>2597000000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2597000000</v>
      </c>
      <c r="U102" s="201">
        <v>203965725</v>
      </c>
      <c r="V102" s="201">
        <v>2393034275</v>
      </c>
      <c r="W102" s="202">
        <v>7.8538977666538307E-2</v>
      </c>
      <c r="X102" s="201">
        <v>203965725</v>
      </c>
      <c r="Y102" s="201">
        <v>0</v>
      </c>
      <c r="Z102" s="202">
        <v>0</v>
      </c>
      <c r="AA102" s="201">
        <v>191319425</v>
      </c>
      <c r="AB102" s="201">
        <v>12646300</v>
      </c>
      <c r="AC102" s="202">
        <v>0.93799791607143801</v>
      </c>
    </row>
    <row r="103" spans="1:52" ht="16.5">
      <c r="A103" s="32" t="s">
        <v>416</v>
      </c>
      <c r="B103" s="203" t="s">
        <v>417</v>
      </c>
      <c r="C103" s="204" t="s">
        <v>23</v>
      </c>
      <c r="D103" s="205" t="s">
        <v>65</v>
      </c>
      <c r="E103" s="205" t="s">
        <v>28</v>
      </c>
      <c r="F103" s="205" t="s">
        <v>25</v>
      </c>
      <c r="G103" s="205"/>
      <c r="H103" s="205"/>
      <c r="I103" s="205"/>
      <c r="J103" s="205"/>
      <c r="K103" s="206" t="s">
        <v>144</v>
      </c>
      <c r="L103" s="207" t="s">
        <v>29</v>
      </c>
      <c r="M103" s="203" t="s">
        <v>145</v>
      </c>
      <c r="N103" s="208">
        <v>2597000000</v>
      </c>
      <c r="O103" s="208">
        <v>0</v>
      </c>
      <c r="P103" s="208">
        <v>0</v>
      </c>
      <c r="Q103" s="208">
        <v>0</v>
      </c>
      <c r="R103" s="208">
        <v>0</v>
      </c>
      <c r="S103" s="208">
        <v>0</v>
      </c>
      <c r="T103" s="208">
        <v>2597000000</v>
      </c>
      <c r="U103" s="208">
        <v>203965725</v>
      </c>
      <c r="V103" s="208">
        <v>2393034275</v>
      </c>
      <c r="W103" s="209">
        <v>7.8538977666538307E-2</v>
      </c>
      <c r="X103" s="208">
        <v>203965725</v>
      </c>
      <c r="Y103" s="208">
        <v>0</v>
      </c>
      <c r="Z103" s="209">
        <v>0</v>
      </c>
      <c r="AA103" s="208">
        <v>191319425</v>
      </c>
      <c r="AB103" s="208">
        <v>12646300</v>
      </c>
      <c r="AC103" s="209">
        <v>0.93799791607143801</v>
      </c>
    </row>
    <row r="104" spans="1:52" ht="24.95" customHeight="1">
      <c r="A104" s="32" t="s">
        <v>628</v>
      </c>
      <c r="B104" s="217" t="s">
        <v>418</v>
      </c>
      <c r="C104" s="218" t="s">
        <v>23</v>
      </c>
      <c r="D104" s="219" t="s">
        <v>65</v>
      </c>
      <c r="E104" s="219" t="s">
        <v>28</v>
      </c>
      <c r="F104" s="219" t="s">
        <v>25</v>
      </c>
      <c r="G104" s="219" t="s">
        <v>31</v>
      </c>
      <c r="H104" s="219"/>
      <c r="I104" s="219"/>
      <c r="J104" s="219"/>
      <c r="K104" s="220">
        <v>10</v>
      </c>
      <c r="L104" s="221" t="s">
        <v>29</v>
      </c>
      <c r="M104" s="259" t="s">
        <v>146</v>
      </c>
      <c r="N104" s="222">
        <v>2597000000</v>
      </c>
      <c r="O104" s="222"/>
      <c r="P104" s="222"/>
      <c r="Q104" s="222"/>
      <c r="R104" s="222"/>
      <c r="S104" s="222"/>
      <c r="T104" s="222">
        <v>2597000000</v>
      </c>
      <c r="U104" s="223">
        <v>203965725</v>
      </c>
      <c r="V104" s="222">
        <v>2393034275</v>
      </c>
      <c r="W104" s="224">
        <v>7.8538977666538307E-2</v>
      </c>
      <c r="X104" s="222">
        <v>203965725</v>
      </c>
      <c r="Y104" s="222">
        <v>0</v>
      </c>
      <c r="Z104" s="224">
        <v>0</v>
      </c>
      <c r="AA104" s="222">
        <v>191319425</v>
      </c>
      <c r="AB104" s="222">
        <v>12646300</v>
      </c>
      <c r="AC104" s="224">
        <v>0.93799791607143801</v>
      </c>
    </row>
    <row r="105" spans="1:52" ht="35.1" customHeight="1">
      <c r="A105" s="32" t="s">
        <v>420</v>
      </c>
      <c r="B105" s="188" t="s">
        <v>421</v>
      </c>
      <c r="C105" s="189" t="s">
        <v>23</v>
      </c>
      <c r="D105" s="191" t="s">
        <v>148</v>
      </c>
      <c r="E105" s="191"/>
      <c r="F105" s="191"/>
      <c r="G105" s="191"/>
      <c r="H105" s="191"/>
      <c r="I105" s="191"/>
      <c r="J105" s="191"/>
      <c r="K105" s="192"/>
      <c r="L105" s="193"/>
      <c r="M105" s="188" t="s">
        <v>149</v>
      </c>
      <c r="N105" s="194">
        <v>5824000000</v>
      </c>
      <c r="O105" s="194">
        <v>0</v>
      </c>
      <c r="P105" s="194">
        <v>0</v>
      </c>
      <c r="Q105" s="194">
        <v>52021252</v>
      </c>
      <c r="R105" s="194">
        <v>1021252</v>
      </c>
      <c r="S105" s="194">
        <v>0</v>
      </c>
      <c r="T105" s="194">
        <v>5875000000</v>
      </c>
      <c r="U105" s="194">
        <v>5831501811.7799997</v>
      </c>
      <c r="V105" s="194">
        <v>43498188.220000304</v>
      </c>
      <c r="W105" s="195">
        <v>0.99259605306893617</v>
      </c>
      <c r="X105" s="194">
        <v>5831501811.7799997</v>
      </c>
      <c r="Y105" s="194">
        <v>0</v>
      </c>
      <c r="Z105" s="195">
        <v>0</v>
      </c>
      <c r="AA105" s="194">
        <v>5831417747.7799997</v>
      </c>
      <c r="AB105" s="194">
        <v>84064</v>
      </c>
      <c r="AC105" s="195">
        <v>0.99998558450246378</v>
      </c>
    </row>
    <row r="106" spans="1:52" ht="24.95" customHeight="1">
      <c r="A106" s="32" t="s">
        <v>422</v>
      </c>
      <c r="B106" s="196" t="s">
        <v>423</v>
      </c>
      <c r="C106" s="197" t="s">
        <v>23</v>
      </c>
      <c r="D106" s="198" t="s">
        <v>148</v>
      </c>
      <c r="E106" s="198" t="s">
        <v>25</v>
      </c>
      <c r="F106" s="198"/>
      <c r="G106" s="198"/>
      <c r="H106" s="198"/>
      <c r="I106" s="198"/>
      <c r="J106" s="198"/>
      <c r="K106" s="199"/>
      <c r="L106" s="200"/>
      <c r="M106" s="196" t="s">
        <v>150</v>
      </c>
      <c r="N106" s="201">
        <v>84000000</v>
      </c>
      <c r="O106" s="201">
        <v>0</v>
      </c>
      <c r="P106" s="201">
        <v>0</v>
      </c>
      <c r="Q106" s="201">
        <v>52021252</v>
      </c>
      <c r="R106" s="201">
        <v>1021252</v>
      </c>
      <c r="S106" s="201">
        <v>0</v>
      </c>
      <c r="T106" s="201">
        <v>135000000</v>
      </c>
      <c r="U106" s="201">
        <v>91501812.710000008</v>
      </c>
      <c r="V106" s="201">
        <v>43498187.289999999</v>
      </c>
      <c r="W106" s="202">
        <v>0.67779120525925929</v>
      </c>
      <c r="X106" s="201">
        <v>91501812.710000008</v>
      </c>
      <c r="Y106" s="201">
        <v>0</v>
      </c>
      <c r="Z106" s="202">
        <v>0</v>
      </c>
      <c r="AA106" s="201">
        <v>91417748.710000008</v>
      </c>
      <c r="AB106" s="201">
        <v>84064</v>
      </c>
      <c r="AC106" s="202">
        <v>0.99908128596024182</v>
      </c>
    </row>
    <row r="107" spans="1:52" ht="16.5">
      <c r="A107" s="32" t="s">
        <v>424</v>
      </c>
      <c r="B107" s="203" t="s">
        <v>425</v>
      </c>
      <c r="C107" s="204" t="s">
        <v>23</v>
      </c>
      <c r="D107" s="205" t="s">
        <v>148</v>
      </c>
      <c r="E107" s="205" t="s">
        <v>25</v>
      </c>
      <c r="F107" s="205" t="s">
        <v>54</v>
      </c>
      <c r="G107" s="205"/>
      <c r="H107" s="205"/>
      <c r="I107" s="205"/>
      <c r="J107" s="205"/>
      <c r="K107" s="206" t="s">
        <v>28</v>
      </c>
      <c r="L107" s="207" t="s">
        <v>29</v>
      </c>
      <c r="M107" s="203" t="s">
        <v>151</v>
      </c>
      <c r="N107" s="208">
        <v>84000000</v>
      </c>
      <c r="O107" s="208">
        <v>0</v>
      </c>
      <c r="P107" s="208">
        <v>0</v>
      </c>
      <c r="Q107" s="208">
        <v>52021252</v>
      </c>
      <c r="R107" s="208">
        <v>1021252</v>
      </c>
      <c r="S107" s="208">
        <v>0</v>
      </c>
      <c r="T107" s="208">
        <v>135000000</v>
      </c>
      <c r="U107" s="208">
        <v>91501812.710000008</v>
      </c>
      <c r="V107" s="208">
        <v>43498187.289999999</v>
      </c>
      <c r="W107" s="209">
        <v>0.67779120525925929</v>
      </c>
      <c r="X107" s="208">
        <v>91501812.710000008</v>
      </c>
      <c r="Y107" s="208">
        <v>0</v>
      </c>
      <c r="Z107" s="209">
        <v>0</v>
      </c>
      <c r="AA107" s="208">
        <v>91417748.710000008</v>
      </c>
      <c r="AB107" s="208">
        <v>84064</v>
      </c>
      <c r="AC107" s="209">
        <v>0.99908128596024182</v>
      </c>
    </row>
    <row r="108" spans="1:52" ht="24.95" customHeight="1">
      <c r="A108" s="32" t="s">
        <v>426</v>
      </c>
      <c r="B108" s="217" t="s">
        <v>427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31</v>
      </c>
      <c r="H108" s="219"/>
      <c r="I108" s="219"/>
      <c r="J108" s="219"/>
      <c r="K108" s="220" t="s">
        <v>28</v>
      </c>
      <c r="L108" s="221" t="s">
        <v>29</v>
      </c>
      <c r="M108" s="259" t="s">
        <v>152</v>
      </c>
      <c r="N108" s="222">
        <v>51000000</v>
      </c>
      <c r="O108" s="222"/>
      <c r="P108" s="222"/>
      <c r="Q108" s="222"/>
      <c r="R108" s="222">
        <v>1021252</v>
      </c>
      <c r="S108" s="222"/>
      <c r="T108" s="222">
        <v>49978748</v>
      </c>
      <c r="U108" s="222">
        <v>49978748</v>
      </c>
      <c r="V108" s="222">
        <v>0</v>
      </c>
      <c r="W108" s="224">
        <v>1</v>
      </c>
      <c r="X108" s="222">
        <v>49978748</v>
      </c>
      <c r="Y108" s="222">
        <v>0</v>
      </c>
      <c r="Z108" s="224">
        <v>0</v>
      </c>
      <c r="AA108" s="222">
        <v>49978748</v>
      </c>
      <c r="AB108" s="222">
        <v>0</v>
      </c>
      <c r="AC108" s="224">
        <v>1</v>
      </c>
    </row>
    <row r="109" spans="1:52" ht="24.95" customHeight="1">
      <c r="A109" s="32" t="s">
        <v>428</v>
      </c>
      <c r="B109" s="217" t="s">
        <v>429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38</v>
      </c>
      <c r="H109" s="219"/>
      <c r="I109" s="219"/>
      <c r="J109" s="219"/>
      <c r="K109" s="220" t="s">
        <v>28</v>
      </c>
      <c r="L109" s="221" t="s">
        <v>29</v>
      </c>
      <c r="M109" s="259" t="s">
        <v>153</v>
      </c>
      <c r="N109" s="222">
        <v>26000000</v>
      </c>
      <c r="O109" s="223"/>
      <c r="P109" s="222"/>
      <c r="Q109" s="223">
        <v>26000000</v>
      </c>
      <c r="R109" s="222"/>
      <c r="S109" s="222"/>
      <c r="T109" s="222">
        <v>52000000</v>
      </c>
      <c r="U109" s="222">
        <v>28496064.710000001</v>
      </c>
      <c r="V109" s="222">
        <v>23503935.289999999</v>
      </c>
      <c r="W109" s="224">
        <v>0.54800124442307696</v>
      </c>
      <c r="X109" s="222">
        <v>28496064.710000001</v>
      </c>
      <c r="Y109" s="222">
        <v>0</v>
      </c>
      <c r="Z109" s="224">
        <v>0</v>
      </c>
      <c r="AA109" s="222">
        <v>28412000.710000001</v>
      </c>
      <c r="AB109" s="222">
        <v>84064</v>
      </c>
      <c r="AC109" s="224">
        <v>0.99704997862492573</v>
      </c>
    </row>
    <row r="110" spans="1:52" ht="24.95" customHeight="1">
      <c r="A110" s="32" t="s">
        <v>430</v>
      </c>
      <c r="B110" s="217" t="s">
        <v>431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42</v>
      </c>
      <c r="H110" s="219"/>
      <c r="I110" s="219"/>
      <c r="J110" s="219"/>
      <c r="K110" s="220" t="s">
        <v>28</v>
      </c>
      <c r="L110" s="221" t="s">
        <v>29</v>
      </c>
      <c r="M110" s="259" t="s">
        <v>154</v>
      </c>
      <c r="N110" s="222">
        <v>7000000</v>
      </c>
      <c r="O110" s="222"/>
      <c r="P110" s="222"/>
      <c r="Q110" s="222">
        <v>26021252</v>
      </c>
      <c r="R110" s="222"/>
      <c r="S110" s="222"/>
      <c r="T110" s="222">
        <v>33021252</v>
      </c>
      <c r="U110" s="222">
        <v>13027000</v>
      </c>
      <c r="V110" s="222">
        <v>19994252</v>
      </c>
      <c r="W110" s="224">
        <v>0.39450351549359786</v>
      </c>
      <c r="X110" s="222">
        <v>13027000</v>
      </c>
      <c r="Y110" s="222">
        <v>0</v>
      </c>
      <c r="Z110" s="224">
        <v>0</v>
      </c>
      <c r="AA110" s="222">
        <v>13027000</v>
      </c>
      <c r="AB110" s="222">
        <v>0</v>
      </c>
      <c r="AC110" s="224">
        <v>1</v>
      </c>
    </row>
    <row r="111" spans="1:52" ht="24.95" customHeight="1">
      <c r="A111" s="32" t="s">
        <v>629</v>
      </c>
      <c r="B111" s="196" t="s">
        <v>432</v>
      </c>
      <c r="C111" s="197" t="s">
        <v>23</v>
      </c>
      <c r="D111" s="198" t="s">
        <v>148</v>
      </c>
      <c r="E111" s="198" t="s">
        <v>136</v>
      </c>
      <c r="F111" s="198"/>
      <c r="G111" s="198"/>
      <c r="H111" s="198"/>
      <c r="I111" s="198"/>
      <c r="J111" s="198"/>
      <c r="K111" s="199"/>
      <c r="L111" s="200"/>
      <c r="M111" s="196" t="s">
        <v>155</v>
      </c>
      <c r="N111" s="201">
        <v>5740000000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5740000000</v>
      </c>
      <c r="U111" s="201">
        <v>5739999999.0699997</v>
      </c>
      <c r="V111" s="201">
        <v>0.93000030517578125</v>
      </c>
      <c r="W111" s="202">
        <v>0.99999999983797905</v>
      </c>
      <c r="X111" s="201">
        <v>5739999999.0699997</v>
      </c>
      <c r="Y111" s="201">
        <v>0</v>
      </c>
      <c r="Z111" s="202">
        <v>0</v>
      </c>
      <c r="AA111" s="201">
        <v>5739999999.0699997</v>
      </c>
      <c r="AB111" s="201">
        <v>0</v>
      </c>
      <c r="AC111" s="202">
        <v>1</v>
      </c>
    </row>
    <row r="112" spans="1:52" ht="24.95" customHeight="1" thickBot="1">
      <c r="A112" s="32" t="s">
        <v>433</v>
      </c>
      <c r="B112" s="217" t="s">
        <v>434</v>
      </c>
      <c r="C112" s="218" t="s">
        <v>23</v>
      </c>
      <c r="D112" s="219" t="s">
        <v>148</v>
      </c>
      <c r="E112" s="219" t="s">
        <v>136</v>
      </c>
      <c r="F112" s="219" t="s">
        <v>25</v>
      </c>
      <c r="G112" s="219"/>
      <c r="H112" s="219"/>
      <c r="I112" s="219"/>
      <c r="J112" s="219"/>
      <c r="K112" s="220" t="s">
        <v>144</v>
      </c>
      <c r="L112" s="221" t="s">
        <v>156</v>
      </c>
      <c r="M112" s="259" t="s">
        <v>157</v>
      </c>
      <c r="N112" s="222">
        <v>5740000000</v>
      </c>
      <c r="O112" s="223"/>
      <c r="P112" s="222"/>
      <c r="Q112" s="222"/>
      <c r="R112" s="222"/>
      <c r="S112" s="222"/>
      <c r="T112" s="222">
        <v>5740000000</v>
      </c>
      <c r="U112" s="223">
        <v>5739999999.0699997</v>
      </c>
      <c r="V112" s="222">
        <v>0.93000030517578125</v>
      </c>
      <c r="W112" s="224">
        <v>0.99999999983797905</v>
      </c>
      <c r="X112" s="222">
        <v>5739999999.0699997</v>
      </c>
      <c r="Y112" s="222">
        <v>0</v>
      </c>
      <c r="Z112" s="224">
        <v>0</v>
      </c>
      <c r="AA112" s="222">
        <v>5739999999.0699997</v>
      </c>
      <c r="AB112" s="222">
        <v>0</v>
      </c>
      <c r="AC112" s="224">
        <v>1</v>
      </c>
    </row>
    <row r="113" spans="1:29" ht="35.1" customHeight="1" thickBot="1">
      <c r="A113" s="32" t="s">
        <v>435</v>
      </c>
      <c r="B113" s="260" t="s">
        <v>278</v>
      </c>
      <c r="C113" s="261" t="s">
        <v>167</v>
      </c>
      <c r="D113" s="262"/>
      <c r="E113" s="262"/>
      <c r="F113" s="262"/>
      <c r="G113" s="262"/>
      <c r="H113" s="262"/>
      <c r="I113" s="262"/>
      <c r="J113" s="262"/>
      <c r="K113" s="263"/>
      <c r="L113" s="264"/>
      <c r="M113" s="260" t="s">
        <v>168</v>
      </c>
      <c r="N113" s="265">
        <v>3485582139470</v>
      </c>
      <c r="O113" s="265">
        <v>0</v>
      </c>
      <c r="P113" s="265">
        <v>0</v>
      </c>
      <c r="Q113" s="265">
        <v>397438439180.81</v>
      </c>
      <c r="R113" s="265">
        <v>397438439180.81</v>
      </c>
      <c r="S113" s="265">
        <v>580000000000</v>
      </c>
      <c r="T113" s="265">
        <v>2905582139470</v>
      </c>
      <c r="U113" s="265">
        <v>2792910617151.1499</v>
      </c>
      <c r="V113" s="265">
        <v>112671522318.84999</v>
      </c>
      <c r="W113" s="187">
        <v>0.96122239299715606</v>
      </c>
      <c r="X113" s="265">
        <v>2104407238579.8298</v>
      </c>
      <c r="Y113" s="265">
        <v>688503378571.32007</v>
      </c>
      <c r="Z113" s="187">
        <v>0.24651822881235402</v>
      </c>
      <c r="AA113" s="265">
        <v>2104193901601.8298</v>
      </c>
      <c r="AB113" s="265">
        <v>213336978</v>
      </c>
      <c r="AC113" s="187">
        <v>0.75340538600843909</v>
      </c>
    </row>
    <row r="114" spans="1:29" ht="35.1" customHeight="1">
      <c r="A114" s="32" t="s">
        <v>436</v>
      </c>
      <c r="B114" s="188" t="s">
        <v>437</v>
      </c>
      <c r="C114" s="189" t="s">
        <v>167</v>
      </c>
      <c r="D114" s="191">
        <v>4101</v>
      </c>
      <c r="E114" s="191"/>
      <c r="F114" s="191"/>
      <c r="G114" s="191"/>
      <c r="H114" s="191"/>
      <c r="I114" s="191"/>
      <c r="J114" s="191"/>
      <c r="K114" s="192"/>
      <c r="L114" s="193"/>
      <c r="M114" s="188" t="s">
        <v>169</v>
      </c>
      <c r="N114" s="194">
        <v>184499832863</v>
      </c>
      <c r="O114" s="194">
        <v>0</v>
      </c>
      <c r="P114" s="194">
        <v>0</v>
      </c>
      <c r="Q114" s="194">
        <v>0</v>
      </c>
      <c r="R114" s="194">
        <v>0</v>
      </c>
      <c r="S114" s="194">
        <v>0</v>
      </c>
      <c r="T114" s="194">
        <v>184499832863</v>
      </c>
      <c r="U114" s="194">
        <v>178152853379</v>
      </c>
      <c r="V114" s="194">
        <v>6346979484</v>
      </c>
      <c r="W114" s="195">
        <v>0.96559899602341137</v>
      </c>
      <c r="X114" s="194">
        <v>108166821590</v>
      </c>
      <c r="Y114" s="194">
        <v>69986031789</v>
      </c>
      <c r="Z114" s="195">
        <v>0.3928426093749543</v>
      </c>
      <c r="AA114" s="194">
        <v>108166821590</v>
      </c>
      <c r="AB114" s="194">
        <v>0</v>
      </c>
      <c r="AC114" s="195">
        <v>0.6071573906250457</v>
      </c>
    </row>
    <row r="115" spans="1:29" ht="24.95" customHeight="1">
      <c r="A115" s="32" t="s">
        <v>438</v>
      </c>
      <c r="B115" s="196" t="s">
        <v>295</v>
      </c>
      <c r="C115" s="197" t="s">
        <v>167</v>
      </c>
      <c r="D115" s="198">
        <v>4101</v>
      </c>
      <c r="E115" s="198">
        <v>1500</v>
      </c>
      <c r="F115" s="198"/>
      <c r="G115" s="198"/>
      <c r="H115" s="198"/>
      <c r="I115" s="198"/>
      <c r="J115" s="198"/>
      <c r="K115" s="199"/>
      <c r="L115" s="200"/>
      <c r="M115" s="196" t="s">
        <v>170</v>
      </c>
      <c r="N115" s="201">
        <v>184499832863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184499832863</v>
      </c>
      <c r="U115" s="201">
        <v>178152853379</v>
      </c>
      <c r="V115" s="201">
        <v>6346979484</v>
      </c>
      <c r="W115" s="202">
        <v>0.96559899602341137</v>
      </c>
      <c r="X115" s="201">
        <v>108166821590</v>
      </c>
      <c r="Y115" s="201">
        <v>69986031789</v>
      </c>
      <c r="Z115" s="202">
        <v>0.3928426093749543</v>
      </c>
      <c r="AA115" s="201">
        <v>108166821590</v>
      </c>
      <c r="AB115" s="201">
        <v>0</v>
      </c>
      <c r="AC115" s="202">
        <v>0.6071573906250457</v>
      </c>
    </row>
    <row r="116" spans="1:29" ht="36" customHeight="1">
      <c r="A116" s="32" t="s">
        <v>439</v>
      </c>
      <c r="B116" s="203" t="s">
        <v>440</v>
      </c>
      <c r="C116" s="227" t="s">
        <v>167</v>
      </c>
      <c r="D116" s="228" t="s">
        <v>171</v>
      </c>
      <c r="E116" s="228" t="s">
        <v>172</v>
      </c>
      <c r="F116" s="228" t="s">
        <v>261</v>
      </c>
      <c r="G116" s="228"/>
      <c r="H116" s="228"/>
      <c r="I116" s="228"/>
      <c r="J116" s="228"/>
      <c r="K116" s="229"/>
      <c r="L116" s="230"/>
      <c r="M116" s="231" t="s">
        <v>279</v>
      </c>
      <c r="N116" s="232">
        <v>66398074900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66398074900</v>
      </c>
      <c r="U116" s="232">
        <v>61396129745</v>
      </c>
      <c r="V116" s="232">
        <v>5001945155</v>
      </c>
      <c r="W116" s="233">
        <v>0.9246673165971564</v>
      </c>
      <c r="X116" s="232">
        <v>29158387453</v>
      </c>
      <c r="Y116" s="232">
        <v>32237742292</v>
      </c>
      <c r="Z116" s="233">
        <v>0.52507776020890617</v>
      </c>
      <c r="AA116" s="232">
        <v>29158387453</v>
      </c>
      <c r="AB116" s="232">
        <v>0</v>
      </c>
      <c r="AC116" s="233">
        <v>0.47492223979109388</v>
      </c>
    </row>
    <row r="117" spans="1:29" ht="24.95" customHeight="1">
      <c r="A117" s="32" t="s">
        <v>630</v>
      </c>
      <c r="B117" s="210" t="s">
        <v>441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176</v>
      </c>
      <c r="I117" s="212"/>
      <c r="J117" s="212"/>
      <c r="K117" s="213">
        <v>11</v>
      </c>
      <c r="L117" s="214" t="s">
        <v>29</v>
      </c>
      <c r="M117" s="210" t="s">
        <v>177</v>
      </c>
      <c r="N117" s="215">
        <v>37511369742</v>
      </c>
      <c r="O117" s="215">
        <v>0</v>
      </c>
      <c r="P117" s="215">
        <v>0</v>
      </c>
      <c r="Q117" s="215">
        <v>0</v>
      </c>
      <c r="R117" s="215">
        <v>0</v>
      </c>
      <c r="S117" s="215">
        <v>0</v>
      </c>
      <c r="T117" s="215">
        <v>37511369742</v>
      </c>
      <c r="U117" s="215">
        <v>34759400000</v>
      </c>
      <c r="V117" s="215">
        <v>2751969742</v>
      </c>
      <c r="W117" s="216">
        <v>0.9266363835570971</v>
      </c>
      <c r="X117" s="215">
        <v>2899909286</v>
      </c>
      <c r="Y117" s="215">
        <v>31859490714</v>
      </c>
      <c r="Z117" s="216">
        <v>0.916571940654902</v>
      </c>
      <c r="AA117" s="215">
        <v>2899909286</v>
      </c>
      <c r="AB117" s="215">
        <v>0</v>
      </c>
      <c r="AC117" s="216">
        <v>8.3428059345098018E-2</v>
      </c>
    </row>
    <row r="118" spans="1:29" ht="24.95" customHeight="1">
      <c r="A118" s="32" t="s">
        <v>631</v>
      </c>
      <c r="B118" s="217" t="s">
        <v>442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176</v>
      </c>
      <c r="I118" s="219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37511369742</v>
      </c>
      <c r="O118" s="222"/>
      <c r="P118" s="222"/>
      <c r="Q118" s="222"/>
      <c r="R118" s="222"/>
      <c r="S118" s="222"/>
      <c r="T118" s="222">
        <v>37511369742</v>
      </c>
      <c r="U118" s="222">
        <v>34759400000</v>
      </c>
      <c r="V118" s="222">
        <v>2751969742</v>
      </c>
      <c r="W118" s="224">
        <v>0.9266363835570971</v>
      </c>
      <c r="X118" s="222">
        <v>2899909286</v>
      </c>
      <c r="Y118" s="222">
        <v>31859490714</v>
      </c>
      <c r="Z118" s="224">
        <v>0.916571940654902</v>
      </c>
      <c r="AA118" s="222">
        <v>2899909286</v>
      </c>
      <c r="AB118" s="222">
        <v>0</v>
      </c>
      <c r="AC118" s="224">
        <v>8.3428059345098018E-2</v>
      </c>
    </row>
    <row r="119" spans="1:29" ht="31.5" customHeight="1">
      <c r="A119" s="32" t="s">
        <v>632</v>
      </c>
      <c r="B119" s="210" t="s">
        <v>443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179</v>
      </c>
      <c r="I119" s="212"/>
      <c r="J119" s="212"/>
      <c r="K119" s="213">
        <v>11</v>
      </c>
      <c r="L119" s="214" t="s">
        <v>29</v>
      </c>
      <c r="M119" s="210" t="s">
        <v>180</v>
      </c>
      <c r="N119" s="215">
        <v>8799663116</v>
      </c>
      <c r="O119" s="215">
        <v>0</v>
      </c>
      <c r="P119" s="215">
        <v>0</v>
      </c>
      <c r="Q119" s="215">
        <v>0</v>
      </c>
      <c r="R119" s="215">
        <v>0</v>
      </c>
      <c r="S119" s="215">
        <v>0</v>
      </c>
      <c r="T119" s="215">
        <v>8799663116</v>
      </c>
      <c r="U119" s="215">
        <v>8799663116</v>
      </c>
      <c r="V119" s="215">
        <v>0</v>
      </c>
      <c r="W119" s="216">
        <v>1</v>
      </c>
      <c r="X119" s="215">
        <v>8564929165</v>
      </c>
      <c r="Y119" s="215">
        <v>234733951</v>
      </c>
      <c r="Z119" s="216">
        <v>2.6675333806040216E-2</v>
      </c>
      <c r="AA119" s="215">
        <v>8564929165</v>
      </c>
      <c r="AB119" s="215">
        <v>0</v>
      </c>
      <c r="AC119" s="216">
        <v>0.97332466619395974</v>
      </c>
    </row>
    <row r="120" spans="1:29" ht="24.95" customHeight="1">
      <c r="A120" s="32" t="s">
        <v>633</v>
      </c>
      <c r="B120" s="217" t="s">
        <v>444</v>
      </c>
      <c r="C120" s="218" t="s">
        <v>167</v>
      </c>
      <c r="D120" s="219" t="s">
        <v>171</v>
      </c>
      <c r="E120" s="219" t="s">
        <v>172</v>
      </c>
      <c r="F120" s="219">
        <v>5</v>
      </c>
      <c r="G120" s="219" t="s">
        <v>175</v>
      </c>
      <c r="H120" s="219" t="s">
        <v>179</v>
      </c>
      <c r="I120" s="219" t="s">
        <v>54</v>
      </c>
      <c r="J120" s="219"/>
      <c r="K120" s="220">
        <v>11</v>
      </c>
      <c r="L120" s="221" t="s">
        <v>29</v>
      </c>
      <c r="M120" s="259" t="s">
        <v>178</v>
      </c>
      <c r="N120" s="222">
        <v>8799663116</v>
      </c>
      <c r="O120" s="222"/>
      <c r="P120" s="222"/>
      <c r="Q120" s="222"/>
      <c r="R120" s="636"/>
      <c r="S120" s="636"/>
      <c r="T120" s="222">
        <v>8799663116</v>
      </c>
      <c r="U120" s="222">
        <v>8799663116</v>
      </c>
      <c r="V120" s="222">
        <v>0</v>
      </c>
      <c r="W120" s="224">
        <v>1</v>
      </c>
      <c r="X120" s="222">
        <v>8564929165</v>
      </c>
      <c r="Y120" s="222">
        <v>234733951</v>
      </c>
      <c r="Z120" s="224">
        <v>2.6675333806040216E-2</v>
      </c>
      <c r="AA120" s="222">
        <v>8564929165</v>
      </c>
      <c r="AB120" s="222">
        <v>0</v>
      </c>
      <c r="AC120" s="224">
        <v>0.97332466619395974</v>
      </c>
    </row>
    <row r="121" spans="1:29" ht="31.5" customHeight="1">
      <c r="A121" s="32" t="s">
        <v>634</v>
      </c>
      <c r="B121" s="210" t="s">
        <v>445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181</v>
      </c>
      <c r="I121" s="212"/>
      <c r="J121" s="212"/>
      <c r="K121" s="213">
        <v>11</v>
      </c>
      <c r="L121" s="214" t="s">
        <v>29</v>
      </c>
      <c r="M121" s="210" t="s">
        <v>182</v>
      </c>
      <c r="N121" s="215">
        <v>4325174580</v>
      </c>
      <c r="O121" s="215">
        <v>0</v>
      </c>
      <c r="P121" s="215">
        <v>0</v>
      </c>
      <c r="Q121" s="215">
        <v>0</v>
      </c>
      <c r="R121" s="215">
        <v>0</v>
      </c>
      <c r="S121" s="215">
        <v>0</v>
      </c>
      <c r="T121" s="215">
        <v>4325174580</v>
      </c>
      <c r="U121" s="215">
        <v>3019897468</v>
      </c>
      <c r="V121" s="215">
        <v>1305277112</v>
      </c>
      <c r="W121" s="216">
        <v>0.69821400550264034</v>
      </c>
      <c r="X121" s="215">
        <v>2876379841</v>
      </c>
      <c r="Y121" s="215">
        <v>143517627</v>
      </c>
      <c r="Z121" s="216">
        <v>4.7524006533588709E-2</v>
      </c>
      <c r="AA121" s="215">
        <v>2876379841</v>
      </c>
      <c r="AB121" s="215">
        <v>0</v>
      </c>
      <c r="AC121" s="216">
        <v>0.95247599346641132</v>
      </c>
    </row>
    <row r="122" spans="1:29" ht="24.95" customHeight="1">
      <c r="A122" s="32" t="s">
        <v>635</v>
      </c>
      <c r="B122" s="217" t="s">
        <v>446</v>
      </c>
      <c r="C122" s="218" t="s">
        <v>167</v>
      </c>
      <c r="D122" s="219" t="s">
        <v>171</v>
      </c>
      <c r="E122" s="219" t="s">
        <v>172</v>
      </c>
      <c r="F122" s="219" t="s">
        <v>261</v>
      </c>
      <c r="G122" s="219" t="s">
        <v>175</v>
      </c>
      <c r="H122" s="219" t="s">
        <v>181</v>
      </c>
      <c r="I122" s="225" t="s">
        <v>54</v>
      </c>
      <c r="J122" s="219"/>
      <c r="K122" s="220">
        <v>11</v>
      </c>
      <c r="L122" s="221" t="s">
        <v>29</v>
      </c>
      <c r="M122" s="217" t="s">
        <v>178</v>
      </c>
      <c r="N122" s="222">
        <v>4325174580</v>
      </c>
      <c r="O122" s="222"/>
      <c r="P122" s="222"/>
      <c r="Q122" s="222"/>
      <c r="R122" s="222"/>
      <c r="S122" s="222"/>
      <c r="T122" s="222">
        <v>4325174580</v>
      </c>
      <c r="U122" s="222">
        <v>3019897468</v>
      </c>
      <c r="V122" s="222">
        <v>1305277112</v>
      </c>
      <c r="W122" s="224">
        <v>0.69821400550264034</v>
      </c>
      <c r="X122" s="222">
        <v>2876379841</v>
      </c>
      <c r="Y122" s="222">
        <v>143517627</v>
      </c>
      <c r="Z122" s="224">
        <v>4.7524006533588709E-2</v>
      </c>
      <c r="AA122" s="222">
        <v>2876379841</v>
      </c>
      <c r="AB122" s="222">
        <v>0</v>
      </c>
      <c r="AC122" s="224">
        <v>0.95247599346641132</v>
      </c>
    </row>
    <row r="123" spans="1:29" ht="31.5" customHeight="1">
      <c r="A123" s="32" t="s">
        <v>636</v>
      </c>
      <c r="B123" s="210" t="s">
        <v>447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183</v>
      </c>
      <c r="I123" s="212"/>
      <c r="J123" s="212"/>
      <c r="K123" s="213">
        <v>11</v>
      </c>
      <c r="L123" s="214" t="s">
        <v>29</v>
      </c>
      <c r="M123" s="210" t="s">
        <v>184</v>
      </c>
      <c r="N123" s="215">
        <v>7972098301</v>
      </c>
      <c r="O123" s="215">
        <v>0</v>
      </c>
      <c r="P123" s="215">
        <v>0</v>
      </c>
      <c r="Q123" s="215">
        <v>0</v>
      </c>
      <c r="R123" s="215">
        <v>0</v>
      </c>
      <c r="S123" s="215">
        <v>0</v>
      </c>
      <c r="T123" s="215">
        <v>7972098301</v>
      </c>
      <c r="U123" s="215">
        <v>7027400000</v>
      </c>
      <c r="V123" s="215">
        <v>944698301</v>
      </c>
      <c r="W123" s="216">
        <v>0.8814994164232145</v>
      </c>
      <c r="X123" s="215">
        <v>7027400000</v>
      </c>
      <c r="Y123" s="215">
        <v>0</v>
      </c>
      <c r="Z123" s="216">
        <v>0</v>
      </c>
      <c r="AA123" s="215">
        <v>7027400000</v>
      </c>
      <c r="AB123" s="215">
        <v>0</v>
      </c>
      <c r="AC123" s="216">
        <v>1</v>
      </c>
    </row>
    <row r="124" spans="1:29" ht="24.95" customHeight="1">
      <c r="A124" s="32" t="s">
        <v>637</v>
      </c>
      <c r="B124" s="217" t="s">
        <v>448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183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7972098301</v>
      </c>
      <c r="O124" s="222"/>
      <c r="P124" s="222"/>
      <c r="Q124" s="222"/>
      <c r="R124" s="222"/>
      <c r="S124" s="222"/>
      <c r="T124" s="223">
        <v>7972098301</v>
      </c>
      <c r="U124" s="222">
        <v>7027400000</v>
      </c>
      <c r="V124" s="222">
        <v>944698301</v>
      </c>
      <c r="W124" s="224">
        <v>0.8814994164232145</v>
      </c>
      <c r="X124" s="222">
        <v>7027400000</v>
      </c>
      <c r="Y124" s="222">
        <v>0</v>
      </c>
      <c r="Z124" s="224">
        <v>0</v>
      </c>
      <c r="AA124" s="222">
        <v>7027400000</v>
      </c>
      <c r="AB124" s="222">
        <v>0</v>
      </c>
      <c r="AC124" s="224">
        <v>1</v>
      </c>
    </row>
    <row r="125" spans="1:29" ht="24.95" customHeight="1">
      <c r="A125" s="32" t="s">
        <v>638</v>
      </c>
      <c r="B125" s="210" t="s">
        <v>449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185</v>
      </c>
      <c r="I125" s="212"/>
      <c r="J125" s="212"/>
      <c r="K125" s="213">
        <v>11</v>
      </c>
      <c r="L125" s="214" t="s">
        <v>29</v>
      </c>
      <c r="M125" s="210" t="s">
        <v>186</v>
      </c>
      <c r="N125" s="215">
        <v>5196200000</v>
      </c>
      <c r="O125" s="215">
        <v>0</v>
      </c>
      <c r="P125" s="215">
        <v>0</v>
      </c>
      <c r="Q125" s="215">
        <v>0</v>
      </c>
      <c r="R125" s="215">
        <v>0</v>
      </c>
      <c r="S125" s="215">
        <v>0</v>
      </c>
      <c r="T125" s="215">
        <v>5196200000</v>
      </c>
      <c r="U125" s="215">
        <v>5196200000</v>
      </c>
      <c r="V125" s="215">
        <v>0</v>
      </c>
      <c r="W125" s="216">
        <v>1</v>
      </c>
      <c r="X125" s="215">
        <v>5196200000</v>
      </c>
      <c r="Y125" s="215">
        <v>0</v>
      </c>
      <c r="Z125" s="216">
        <v>0</v>
      </c>
      <c r="AA125" s="215">
        <v>5196200000</v>
      </c>
      <c r="AB125" s="215">
        <v>0</v>
      </c>
      <c r="AC125" s="216">
        <v>1</v>
      </c>
    </row>
    <row r="126" spans="1:29" ht="24.95" customHeight="1">
      <c r="A126" s="32" t="s">
        <v>639</v>
      </c>
      <c r="B126" s="217" t="s">
        <v>450</v>
      </c>
      <c r="C126" s="218" t="s">
        <v>167</v>
      </c>
      <c r="D126" s="219" t="s">
        <v>171</v>
      </c>
      <c r="E126" s="219" t="s">
        <v>172</v>
      </c>
      <c r="F126" s="219">
        <v>5</v>
      </c>
      <c r="G126" s="219" t="s">
        <v>175</v>
      </c>
      <c r="H126" s="219" t="s">
        <v>185</v>
      </c>
      <c r="I126" s="219" t="s">
        <v>54</v>
      </c>
      <c r="J126" s="219"/>
      <c r="K126" s="220">
        <v>11</v>
      </c>
      <c r="L126" s="221" t="s">
        <v>29</v>
      </c>
      <c r="M126" s="259" t="s">
        <v>178</v>
      </c>
      <c r="N126" s="222">
        <v>5196200000</v>
      </c>
      <c r="O126" s="222"/>
      <c r="P126" s="222"/>
      <c r="Q126" s="222"/>
      <c r="R126" s="222"/>
      <c r="S126" s="222"/>
      <c r="T126" s="222">
        <v>5196200000</v>
      </c>
      <c r="U126" s="222">
        <v>5196200000</v>
      </c>
      <c r="V126" s="222">
        <v>0</v>
      </c>
      <c r="W126" s="224">
        <v>1</v>
      </c>
      <c r="X126" s="222">
        <v>5196200000</v>
      </c>
      <c r="Y126" s="222">
        <v>0</v>
      </c>
      <c r="Z126" s="224">
        <v>0</v>
      </c>
      <c r="AA126" s="222">
        <v>5196200000</v>
      </c>
      <c r="AB126" s="222">
        <v>0</v>
      </c>
      <c r="AC126" s="224">
        <v>1</v>
      </c>
    </row>
    <row r="127" spans="1:29" ht="31.5" customHeight="1">
      <c r="A127" s="32" t="s">
        <v>640</v>
      </c>
      <c r="B127" s="210" t="s">
        <v>451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187</v>
      </c>
      <c r="I127" s="212"/>
      <c r="J127" s="212"/>
      <c r="K127" s="213">
        <v>11</v>
      </c>
      <c r="L127" s="214" t="s">
        <v>29</v>
      </c>
      <c r="M127" s="210" t="s">
        <v>188</v>
      </c>
      <c r="N127" s="215">
        <v>2593569161</v>
      </c>
      <c r="O127" s="215">
        <v>0</v>
      </c>
      <c r="P127" s="215">
        <v>0</v>
      </c>
      <c r="Q127" s="215">
        <v>0</v>
      </c>
      <c r="R127" s="215">
        <v>0</v>
      </c>
      <c r="S127" s="215">
        <v>0</v>
      </c>
      <c r="T127" s="215">
        <v>2593569161</v>
      </c>
      <c r="U127" s="215">
        <v>2593569161</v>
      </c>
      <c r="V127" s="215">
        <v>0</v>
      </c>
      <c r="W127" s="216">
        <v>1</v>
      </c>
      <c r="X127" s="215">
        <v>2593569161</v>
      </c>
      <c r="Y127" s="215">
        <v>0</v>
      </c>
      <c r="Z127" s="216">
        <v>0</v>
      </c>
      <c r="AA127" s="215">
        <v>2593569161</v>
      </c>
      <c r="AB127" s="215">
        <v>0</v>
      </c>
      <c r="AC127" s="216">
        <v>1</v>
      </c>
    </row>
    <row r="128" spans="1:29" ht="24.95" customHeight="1">
      <c r="A128" s="32" t="s">
        <v>641</v>
      </c>
      <c r="B128" s="217" t="s">
        <v>452</v>
      </c>
      <c r="C128" s="218" t="s">
        <v>167</v>
      </c>
      <c r="D128" s="219" t="s">
        <v>171</v>
      </c>
      <c r="E128" s="219" t="s">
        <v>172</v>
      </c>
      <c r="F128" s="219" t="s">
        <v>261</v>
      </c>
      <c r="G128" s="219" t="s">
        <v>175</v>
      </c>
      <c r="H128" s="219" t="s">
        <v>187</v>
      </c>
      <c r="I128" s="219" t="s">
        <v>54</v>
      </c>
      <c r="J128" s="219"/>
      <c r="K128" s="220">
        <v>11</v>
      </c>
      <c r="L128" s="221" t="s">
        <v>29</v>
      </c>
      <c r="M128" s="217" t="s">
        <v>178</v>
      </c>
      <c r="N128" s="222">
        <v>2593569161</v>
      </c>
      <c r="O128" s="222"/>
      <c r="P128" s="222"/>
      <c r="Q128" s="222"/>
      <c r="R128" s="222"/>
      <c r="S128" s="222"/>
      <c r="T128" s="222">
        <v>2593569161</v>
      </c>
      <c r="U128" s="222">
        <v>2593569161</v>
      </c>
      <c r="V128" s="222">
        <v>0</v>
      </c>
      <c r="W128" s="224">
        <v>1</v>
      </c>
      <c r="X128" s="222">
        <v>2593569161</v>
      </c>
      <c r="Y128" s="222">
        <v>0</v>
      </c>
      <c r="Z128" s="224">
        <v>0</v>
      </c>
      <c r="AA128" s="222">
        <v>2593569161</v>
      </c>
      <c r="AB128" s="222">
        <v>0</v>
      </c>
      <c r="AC128" s="224">
        <v>1</v>
      </c>
    </row>
    <row r="129" spans="1:29" ht="52.5" customHeight="1">
      <c r="A129" s="32" t="s">
        <v>453</v>
      </c>
      <c r="B129" s="226" t="s">
        <v>454</v>
      </c>
      <c r="C129" s="227" t="s">
        <v>167</v>
      </c>
      <c r="D129" s="228" t="s">
        <v>171</v>
      </c>
      <c r="E129" s="228" t="s">
        <v>172</v>
      </c>
      <c r="F129" s="228" t="s">
        <v>173</v>
      </c>
      <c r="G129" s="228"/>
      <c r="H129" s="228"/>
      <c r="I129" s="228"/>
      <c r="J129" s="228"/>
      <c r="K129" s="229"/>
      <c r="L129" s="230"/>
      <c r="M129" s="231" t="s">
        <v>174</v>
      </c>
      <c r="N129" s="232">
        <v>118101757963</v>
      </c>
      <c r="O129" s="232">
        <v>0</v>
      </c>
      <c r="P129" s="232">
        <v>0</v>
      </c>
      <c r="Q129" s="232">
        <v>0</v>
      </c>
      <c r="R129" s="232">
        <v>0</v>
      </c>
      <c r="S129" s="232">
        <v>0</v>
      </c>
      <c r="T129" s="232">
        <v>118101757963</v>
      </c>
      <c r="U129" s="232">
        <v>116756723634</v>
      </c>
      <c r="V129" s="232">
        <v>1345034329</v>
      </c>
      <c r="W129" s="233">
        <v>0.98861122516549338</v>
      </c>
      <c r="X129" s="232">
        <v>79008434137</v>
      </c>
      <c r="Y129" s="232">
        <v>37748289497</v>
      </c>
      <c r="Z129" s="233">
        <v>0.32330720083693371</v>
      </c>
      <c r="AA129" s="232">
        <v>79008434137</v>
      </c>
      <c r="AB129" s="232">
        <v>0</v>
      </c>
      <c r="AC129" s="233">
        <v>0.67669279916306635</v>
      </c>
    </row>
    <row r="130" spans="1:29" ht="24.95" customHeight="1">
      <c r="A130" s="32" t="s">
        <v>455</v>
      </c>
      <c r="B130" s="210" t="s">
        <v>456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176</v>
      </c>
      <c r="I130" s="212"/>
      <c r="J130" s="212"/>
      <c r="K130" s="213" t="s">
        <v>144</v>
      </c>
      <c r="L130" s="214" t="s">
        <v>29</v>
      </c>
      <c r="M130" s="210" t="s">
        <v>177</v>
      </c>
      <c r="N130" s="215">
        <v>4947405600</v>
      </c>
      <c r="O130" s="215">
        <v>0</v>
      </c>
      <c r="P130" s="215">
        <v>0</v>
      </c>
      <c r="Q130" s="215">
        <v>0</v>
      </c>
      <c r="R130" s="215">
        <v>0</v>
      </c>
      <c r="S130" s="215">
        <v>0</v>
      </c>
      <c r="T130" s="215">
        <v>4947405600</v>
      </c>
      <c r="U130" s="215">
        <v>3842871440</v>
      </c>
      <c r="V130" s="215">
        <v>1104534160</v>
      </c>
      <c r="W130" s="216">
        <v>0.77674477305842882</v>
      </c>
      <c r="X130" s="215">
        <v>2441268301</v>
      </c>
      <c r="Y130" s="215">
        <v>1401603139</v>
      </c>
      <c r="Z130" s="216">
        <v>0.36472808442428667</v>
      </c>
      <c r="AA130" s="215">
        <v>2441268301</v>
      </c>
      <c r="AB130" s="215">
        <v>0</v>
      </c>
      <c r="AC130" s="216">
        <v>0.63527191557571339</v>
      </c>
    </row>
    <row r="131" spans="1:29" ht="24.95" customHeight="1">
      <c r="A131" s="32" t="s">
        <v>457</v>
      </c>
      <c r="B131" s="217" t="s">
        <v>458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176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4947405600</v>
      </c>
      <c r="O131" s="222"/>
      <c r="P131" s="222"/>
      <c r="Q131" s="222"/>
      <c r="R131" s="222"/>
      <c r="S131" s="222"/>
      <c r="T131" s="222">
        <v>4947405600</v>
      </c>
      <c r="U131" s="222">
        <v>3842871440</v>
      </c>
      <c r="V131" s="222">
        <v>1104534160</v>
      </c>
      <c r="W131" s="224">
        <v>0.77674477305842882</v>
      </c>
      <c r="X131" s="222">
        <v>2441268301</v>
      </c>
      <c r="Y131" s="222">
        <v>1401603139</v>
      </c>
      <c r="Z131" s="224">
        <v>0.36472808442428667</v>
      </c>
      <c r="AA131" s="222">
        <v>2441268301</v>
      </c>
      <c r="AB131" s="222">
        <v>0</v>
      </c>
      <c r="AC131" s="224">
        <v>0.63527191557571339</v>
      </c>
    </row>
    <row r="132" spans="1:29" ht="31.5" customHeight="1">
      <c r="A132" s="32" t="s">
        <v>459</v>
      </c>
      <c r="B132" s="210" t="s">
        <v>460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179</v>
      </c>
      <c r="I132" s="212"/>
      <c r="J132" s="212"/>
      <c r="K132" s="213" t="s">
        <v>144</v>
      </c>
      <c r="L132" s="214" t="s">
        <v>29</v>
      </c>
      <c r="M132" s="210" t="s">
        <v>180</v>
      </c>
      <c r="N132" s="215">
        <v>27420887861</v>
      </c>
      <c r="O132" s="215">
        <v>0</v>
      </c>
      <c r="P132" s="215">
        <v>0</v>
      </c>
      <c r="Q132" s="215">
        <v>0</v>
      </c>
      <c r="R132" s="215">
        <v>0</v>
      </c>
      <c r="S132" s="215">
        <v>0</v>
      </c>
      <c r="T132" s="215">
        <v>27420887861</v>
      </c>
      <c r="U132" s="215">
        <v>27327887861</v>
      </c>
      <c r="V132" s="215">
        <v>93000000</v>
      </c>
      <c r="W132" s="216">
        <v>0.99660842491784263</v>
      </c>
      <c r="X132" s="215">
        <v>18916821518</v>
      </c>
      <c r="Y132" s="215">
        <v>8411066343</v>
      </c>
      <c r="Z132" s="216">
        <v>0.30778325737363504</v>
      </c>
      <c r="AA132" s="215">
        <v>18916821518</v>
      </c>
      <c r="AB132" s="215">
        <v>0</v>
      </c>
      <c r="AC132" s="216">
        <v>0.6922167426263649</v>
      </c>
    </row>
    <row r="133" spans="1:29" ht="24.95" customHeight="1">
      <c r="A133" s="32" t="s">
        <v>461</v>
      </c>
      <c r="B133" s="217" t="s">
        <v>462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179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27420887861</v>
      </c>
      <c r="O133" s="222"/>
      <c r="P133" s="222"/>
      <c r="Q133" s="222"/>
      <c r="R133" s="222"/>
      <c r="S133" s="222"/>
      <c r="T133" s="222">
        <v>27420887861</v>
      </c>
      <c r="U133" s="222">
        <v>27327887861</v>
      </c>
      <c r="V133" s="222">
        <v>93000000</v>
      </c>
      <c r="W133" s="224">
        <v>0.99660842491784263</v>
      </c>
      <c r="X133" s="222">
        <v>18916821518</v>
      </c>
      <c r="Y133" s="222">
        <v>8411066343</v>
      </c>
      <c r="Z133" s="224">
        <v>0.30778325737363504</v>
      </c>
      <c r="AA133" s="222">
        <v>18916821518</v>
      </c>
      <c r="AB133" s="222">
        <v>0</v>
      </c>
      <c r="AC133" s="224">
        <v>0.6922167426263649</v>
      </c>
    </row>
    <row r="134" spans="1:29" ht="31.5" customHeight="1">
      <c r="A134" s="32" t="s">
        <v>463</v>
      </c>
      <c r="B134" s="210" t="s">
        <v>464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181</v>
      </c>
      <c r="I134" s="212"/>
      <c r="J134" s="212"/>
      <c r="K134" s="213" t="s">
        <v>144</v>
      </c>
      <c r="L134" s="214" t="s">
        <v>29</v>
      </c>
      <c r="M134" s="210" t="s">
        <v>182</v>
      </c>
      <c r="N134" s="215">
        <v>17722088000</v>
      </c>
      <c r="O134" s="215">
        <v>0</v>
      </c>
      <c r="P134" s="215">
        <v>0</v>
      </c>
      <c r="Q134" s="215">
        <v>0</v>
      </c>
      <c r="R134" s="215">
        <v>0</v>
      </c>
      <c r="S134" s="215">
        <v>0</v>
      </c>
      <c r="T134" s="215">
        <v>17722088000</v>
      </c>
      <c r="U134" s="215">
        <v>17722088000</v>
      </c>
      <c r="V134" s="215">
        <v>0</v>
      </c>
      <c r="W134" s="216">
        <v>1</v>
      </c>
      <c r="X134" s="215">
        <v>12263227505</v>
      </c>
      <c r="Y134" s="215">
        <v>5458860495</v>
      </c>
      <c r="Z134" s="216">
        <v>0.30802580909202121</v>
      </c>
      <c r="AA134" s="215">
        <v>12263227505</v>
      </c>
      <c r="AB134" s="215">
        <v>0</v>
      </c>
      <c r="AC134" s="216">
        <v>0.69197419090797874</v>
      </c>
    </row>
    <row r="135" spans="1:29" ht="24.95" customHeight="1">
      <c r="A135" s="32" t="s">
        <v>465</v>
      </c>
      <c r="B135" s="217" t="s">
        <v>466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181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17722088000</v>
      </c>
      <c r="O135" s="222"/>
      <c r="P135" s="222"/>
      <c r="Q135" s="222"/>
      <c r="R135" s="222"/>
      <c r="S135" s="222"/>
      <c r="T135" s="222">
        <v>17722088000</v>
      </c>
      <c r="U135" s="222">
        <v>17722088000</v>
      </c>
      <c r="V135" s="222">
        <v>0</v>
      </c>
      <c r="W135" s="224">
        <v>1</v>
      </c>
      <c r="X135" s="222">
        <v>12263227505</v>
      </c>
      <c r="Y135" s="222">
        <v>5458860495</v>
      </c>
      <c r="Z135" s="224">
        <v>0.30802580909202121</v>
      </c>
      <c r="AA135" s="222">
        <v>12263227505</v>
      </c>
      <c r="AB135" s="222">
        <v>0</v>
      </c>
      <c r="AC135" s="224">
        <v>0.69197419090797874</v>
      </c>
    </row>
    <row r="136" spans="1:29" ht="31.5" customHeight="1">
      <c r="A136" s="32" t="s">
        <v>467</v>
      </c>
      <c r="B136" s="210" t="s">
        <v>468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183</v>
      </c>
      <c r="I136" s="212"/>
      <c r="J136" s="212"/>
      <c r="K136" s="213" t="s">
        <v>144</v>
      </c>
      <c r="L136" s="214" t="s">
        <v>29</v>
      </c>
      <c r="M136" s="210" t="s">
        <v>184</v>
      </c>
      <c r="N136" s="215">
        <v>16276997084</v>
      </c>
      <c r="O136" s="215">
        <v>0</v>
      </c>
      <c r="P136" s="215">
        <v>0</v>
      </c>
      <c r="Q136" s="215">
        <v>0</v>
      </c>
      <c r="R136" s="215">
        <v>0</v>
      </c>
      <c r="S136" s="215">
        <v>0</v>
      </c>
      <c r="T136" s="215">
        <v>16276997084</v>
      </c>
      <c r="U136" s="215">
        <v>16129496915</v>
      </c>
      <c r="V136" s="215">
        <v>147500169</v>
      </c>
      <c r="W136" s="216">
        <v>0.99093812155652528</v>
      </c>
      <c r="X136" s="215">
        <v>15815028149</v>
      </c>
      <c r="Y136" s="215">
        <v>314468766</v>
      </c>
      <c r="Z136" s="216">
        <v>1.949650182254305E-2</v>
      </c>
      <c r="AA136" s="215">
        <v>15815028149</v>
      </c>
      <c r="AB136" s="215">
        <v>0</v>
      </c>
      <c r="AC136" s="216">
        <v>0.98050349817745697</v>
      </c>
    </row>
    <row r="137" spans="1:29" ht="24.95" customHeight="1">
      <c r="A137" s="32" t="s">
        <v>469</v>
      </c>
      <c r="B137" s="217" t="s">
        <v>470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183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16276997084</v>
      </c>
      <c r="O137" s="222"/>
      <c r="P137" s="222"/>
      <c r="Q137" s="222"/>
      <c r="R137" s="222"/>
      <c r="S137" s="222"/>
      <c r="T137" s="222">
        <v>16276997084</v>
      </c>
      <c r="U137" s="222">
        <v>16129496915</v>
      </c>
      <c r="V137" s="222">
        <v>147500169</v>
      </c>
      <c r="W137" s="224">
        <v>0.99093812155652528</v>
      </c>
      <c r="X137" s="222">
        <v>15815028149</v>
      </c>
      <c r="Y137" s="222">
        <v>314468766</v>
      </c>
      <c r="Z137" s="224">
        <v>1.949650182254305E-2</v>
      </c>
      <c r="AA137" s="222">
        <v>15815028149</v>
      </c>
      <c r="AB137" s="222">
        <v>0</v>
      </c>
      <c r="AC137" s="224">
        <v>0.98050349817745697</v>
      </c>
    </row>
    <row r="138" spans="1:29" ht="24.95" customHeight="1">
      <c r="A138" s="32" t="s">
        <v>471</v>
      </c>
      <c r="B138" s="210" t="s">
        <v>472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185</v>
      </c>
      <c r="I138" s="212"/>
      <c r="J138" s="212"/>
      <c r="K138" s="213" t="s">
        <v>144</v>
      </c>
      <c r="L138" s="214" t="s">
        <v>29</v>
      </c>
      <c r="M138" s="210" t="s">
        <v>186</v>
      </c>
      <c r="N138" s="215">
        <v>30467075662</v>
      </c>
      <c r="O138" s="215">
        <v>0</v>
      </c>
      <c r="P138" s="215">
        <v>0</v>
      </c>
      <c r="Q138" s="215">
        <v>0</v>
      </c>
      <c r="R138" s="215">
        <v>0</v>
      </c>
      <c r="S138" s="215">
        <v>0</v>
      </c>
      <c r="T138" s="215">
        <v>30467075662</v>
      </c>
      <c r="U138" s="215">
        <v>30467075662</v>
      </c>
      <c r="V138" s="215">
        <v>0</v>
      </c>
      <c r="W138" s="216">
        <v>1</v>
      </c>
      <c r="X138" s="215">
        <v>17907769752</v>
      </c>
      <c r="Y138" s="215">
        <v>12559305910</v>
      </c>
      <c r="Z138" s="216">
        <v>0.41222551351275794</v>
      </c>
      <c r="AA138" s="215">
        <v>17907769752</v>
      </c>
      <c r="AB138" s="215">
        <v>0</v>
      </c>
      <c r="AC138" s="216">
        <v>0.58777448648724206</v>
      </c>
    </row>
    <row r="139" spans="1:29" ht="24.95" customHeight="1">
      <c r="A139" s="32" t="s">
        <v>473</v>
      </c>
      <c r="B139" s="217" t="s">
        <v>474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185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30467075662</v>
      </c>
      <c r="O139" s="222"/>
      <c r="P139" s="222"/>
      <c r="Q139" s="222"/>
      <c r="R139" s="222"/>
      <c r="S139" s="222"/>
      <c r="T139" s="222">
        <v>30467075662</v>
      </c>
      <c r="U139" s="222">
        <v>30467075662</v>
      </c>
      <c r="V139" s="222">
        <v>0</v>
      </c>
      <c r="W139" s="224">
        <v>1</v>
      </c>
      <c r="X139" s="222">
        <v>17907769752</v>
      </c>
      <c r="Y139" s="222">
        <v>12559305910</v>
      </c>
      <c r="Z139" s="224">
        <v>0.41222551351275794</v>
      </c>
      <c r="AA139" s="222">
        <v>17907769752</v>
      </c>
      <c r="AB139" s="222">
        <v>0</v>
      </c>
      <c r="AC139" s="224">
        <v>0.58777448648724206</v>
      </c>
    </row>
    <row r="140" spans="1:29" ht="31.5" customHeight="1">
      <c r="A140" s="32" t="s">
        <v>475</v>
      </c>
      <c r="B140" s="210" t="s">
        <v>476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187</v>
      </c>
      <c r="I140" s="212"/>
      <c r="J140" s="212"/>
      <c r="K140" s="213" t="s">
        <v>144</v>
      </c>
      <c r="L140" s="214" t="s">
        <v>29</v>
      </c>
      <c r="M140" s="210" t="s">
        <v>188</v>
      </c>
      <c r="N140" s="215">
        <v>21267303756</v>
      </c>
      <c r="O140" s="215">
        <v>0</v>
      </c>
      <c r="P140" s="215">
        <v>0</v>
      </c>
      <c r="Q140" s="215">
        <v>0</v>
      </c>
      <c r="R140" s="215">
        <v>0</v>
      </c>
      <c r="S140" s="215">
        <v>0</v>
      </c>
      <c r="T140" s="215">
        <v>21267303756</v>
      </c>
      <c r="U140" s="215">
        <v>21267303756</v>
      </c>
      <c r="V140" s="215">
        <v>0</v>
      </c>
      <c r="W140" s="216">
        <v>1</v>
      </c>
      <c r="X140" s="215">
        <v>11664318912</v>
      </c>
      <c r="Y140" s="215">
        <v>9602984844</v>
      </c>
      <c r="Z140" s="216">
        <v>0.45153748468424332</v>
      </c>
      <c r="AA140" s="215">
        <v>11664318912</v>
      </c>
      <c r="AB140" s="215">
        <v>0</v>
      </c>
      <c r="AC140" s="216">
        <v>0.54846251531575674</v>
      </c>
    </row>
    <row r="141" spans="1:29" ht="24.95" customHeight="1">
      <c r="A141" s="32" t="s">
        <v>477</v>
      </c>
      <c r="B141" s="217" t="s">
        <v>478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187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4435143756</v>
      </c>
      <c r="O141" s="222"/>
      <c r="P141" s="222"/>
      <c r="Q141" s="222"/>
      <c r="R141" s="222"/>
      <c r="S141" s="222"/>
      <c r="T141" s="222">
        <v>4435143756</v>
      </c>
      <c r="U141" s="222">
        <v>4435143756</v>
      </c>
      <c r="V141" s="222">
        <v>0</v>
      </c>
      <c r="W141" s="224">
        <v>1</v>
      </c>
      <c r="X141" s="222">
        <v>4435143756</v>
      </c>
      <c r="Y141" s="222">
        <v>0</v>
      </c>
      <c r="Z141" s="224">
        <v>0</v>
      </c>
      <c r="AA141" s="222">
        <v>4435143756</v>
      </c>
      <c r="AB141" s="222">
        <v>0</v>
      </c>
      <c r="AC141" s="224">
        <v>1</v>
      </c>
    </row>
    <row r="142" spans="1:29" ht="24.95" customHeight="1">
      <c r="A142" s="32" t="s">
        <v>479</v>
      </c>
      <c r="B142" s="217" t="s">
        <v>480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187</v>
      </c>
      <c r="I142" s="225" t="s">
        <v>65</v>
      </c>
      <c r="J142" s="219"/>
      <c r="K142" s="220" t="s">
        <v>144</v>
      </c>
      <c r="L142" s="221" t="s">
        <v>29</v>
      </c>
      <c r="M142" s="259" t="s">
        <v>127</v>
      </c>
      <c r="N142" s="222">
        <v>16832160000</v>
      </c>
      <c r="O142" s="222"/>
      <c r="P142" s="222"/>
      <c r="Q142" s="222"/>
      <c r="R142" s="222"/>
      <c r="S142" s="222"/>
      <c r="T142" s="222">
        <v>16832160000</v>
      </c>
      <c r="U142" s="222">
        <v>16832160000</v>
      </c>
      <c r="V142" s="222">
        <v>0</v>
      </c>
      <c r="W142" s="224">
        <v>1</v>
      </c>
      <c r="X142" s="222">
        <v>7229175156</v>
      </c>
      <c r="Y142" s="222">
        <v>9602984844</v>
      </c>
      <c r="Z142" s="224">
        <v>0.57051411369663785</v>
      </c>
      <c r="AA142" s="222">
        <v>7229175156</v>
      </c>
      <c r="AB142" s="222">
        <v>0</v>
      </c>
      <c r="AC142" s="224">
        <v>0.42948588630336215</v>
      </c>
    </row>
    <row r="143" spans="1:29" ht="35.1" customHeight="1">
      <c r="A143" s="32" t="s">
        <v>481</v>
      </c>
      <c r="B143" s="188" t="s">
        <v>482</v>
      </c>
      <c r="C143" s="189" t="s">
        <v>167</v>
      </c>
      <c r="D143" s="191">
        <v>4103</v>
      </c>
      <c r="E143" s="191"/>
      <c r="F143" s="191"/>
      <c r="G143" s="191"/>
      <c r="H143" s="191"/>
      <c r="I143" s="191"/>
      <c r="J143" s="191"/>
      <c r="K143" s="192"/>
      <c r="L143" s="193"/>
      <c r="M143" s="188" t="s">
        <v>189</v>
      </c>
      <c r="N143" s="194">
        <v>3297855758141</v>
      </c>
      <c r="O143" s="194">
        <v>0</v>
      </c>
      <c r="P143" s="194">
        <v>0</v>
      </c>
      <c r="Q143" s="194">
        <v>397438439180.81</v>
      </c>
      <c r="R143" s="194">
        <v>397438439180.81</v>
      </c>
      <c r="S143" s="194">
        <v>580000000000</v>
      </c>
      <c r="T143" s="194">
        <v>2717855758141</v>
      </c>
      <c r="U143" s="194">
        <v>2611933178566.02</v>
      </c>
      <c r="V143" s="194">
        <v>105922579574.98</v>
      </c>
      <c r="W143" s="195">
        <v>0.9610271519164687</v>
      </c>
      <c r="X143" s="194">
        <v>1993772363056.0999</v>
      </c>
      <c r="Y143" s="194">
        <v>618160815509.92004</v>
      </c>
      <c r="Z143" s="195">
        <v>0.23666792879031351</v>
      </c>
      <c r="AA143" s="194">
        <v>1993559026078.0999</v>
      </c>
      <c r="AB143" s="194">
        <v>213336978</v>
      </c>
      <c r="AC143" s="195">
        <v>0.7632503934011764</v>
      </c>
    </row>
    <row r="144" spans="1:29" ht="24.95" customHeight="1">
      <c r="A144" s="32" t="s">
        <v>483</v>
      </c>
      <c r="B144" s="196" t="s">
        <v>296</v>
      </c>
      <c r="C144" s="197" t="s">
        <v>167</v>
      </c>
      <c r="D144" s="198">
        <v>4103</v>
      </c>
      <c r="E144" s="198">
        <v>1500</v>
      </c>
      <c r="F144" s="198"/>
      <c r="G144" s="198"/>
      <c r="H144" s="198"/>
      <c r="I144" s="198"/>
      <c r="J144" s="198"/>
      <c r="K144" s="199"/>
      <c r="L144" s="200"/>
      <c r="M144" s="196" t="s">
        <v>170</v>
      </c>
      <c r="N144" s="201">
        <v>3297855758141</v>
      </c>
      <c r="O144" s="201">
        <v>0</v>
      </c>
      <c r="P144" s="201">
        <v>0</v>
      </c>
      <c r="Q144" s="201">
        <v>397438439180.81</v>
      </c>
      <c r="R144" s="201">
        <v>397438439180.81</v>
      </c>
      <c r="S144" s="201">
        <v>580000000000</v>
      </c>
      <c r="T144" s="201">
        <v>2717855758141</v>
      </c>
      <c r="U144" s="201">
        <v>2611933178566.02</v>
      </c>
      <c r="V144" s="201">
        <v>105922579574.98</v>
      </c>
      <c r="W144" s="202">
        <v>0.9610271519164687</v>
      </c>
      <c r="X144" s="201">
        <v>1993772363056.0999</v>
      </c>
      <c r="Y144" s="201">
        <v>618160815509.92004</v>
      </c>
      <c r="Z144" s="202">
        <v>0.23666792879031351</v>
      </c>
      <c r="AA144" s="201">
        <v>1993559026078.0999</v>
      </c>
      <c r="AB144" s="201">
        <v>213336978</v>
      </c>
      <c r="AC144" s="202">
        <v>0.7632503934011764</v>
      </c>
    </row>
    <row r="145" spans="1:52" ht="37.5" customHeight="1">
      <c r="A145" s="32" t="s">
        <v>484</v>
      </c>
      <c r="B145" s="203" t="s">
        <v>297</v>
      </c>
      <c r="C145" s="227" t="s">
        <v>167</v>
      </c>
      <c r="D145" s="228" t="s">
        <v>190</v>
      </c>
      <c r="E145" s="228" t="s">
        <v>172</v>
      </c>
      <c r="F145" s="228" t="s">
        <v>191</v>
      </c>
      <c r="G145" s="228"/>
      <c r="H145" s="228"/>
      <c r="I145" s="228"/>
      <c r="J145" s="228"/>
      <c r="K145" s="229"/>
      <c r="L145" s="230"/>
      <c r="M145" s="231" t="s">
        <v>280</v>
      </c>
      <c r="N145" s="232">
        <v>1879080064351</v>
      </c>
      <c r="O145" s="232">
        <v>0</v>
      </c>
      <c r="P145" s="232">
        <v>0</v>
      </c>
      <c r="Q145" s="232">
        <v>49816807901.169998</v>
      </c>
      <c r="R145" s="232">
        <v>49816807901.169998</v>
      </c>
      <c r="S145" s="232">
        <v>60000000000</v>
      </c>
      <c r="T145" s="232">
        <v>1819080064351</v>
      </c>
      <c r="U145" s="232">
        <v>1792060759313.6699</v>
      </c>
      <c r="V145" s="232">
        <v>27019305037.330017</v>
      </c>
      <c r="W145" s="233">
        <v>0.98514672027535533</v>
      </c>
      <c r="X145" s="232">
        <v>1558995272224.96</v>
      </c>
      <c r="Y145" s="232">
        <v>233065487088.70999</v>
      </c>
      <c r="Z145" s="233">
        <v>0.13005445595380943</v>
      </c>
      <c r="AA145" s="232">
        <v>1558944209925.96</v>
      </c>
      <c r="AB145" s="232">
        <v>51062299</v>
      </c>
      <c r="AC145" s="233">
        <v>0.86991705042579592</v>
      </c>
    </row>
    <row r="146" spans="1:52" ht="31.5" customHeight="1">
      <c r="A146" s="32" t="s">
        <v>485</v>
      </c>
      <c r="B146" s="210" t="s">
        <v>486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 t="s">
        <v>193</v>
      </c>
      <c r="I146" s="212"/>
      <c r="J146" s="212"/>
      <c r="K146" s="213"/>
      <c r="L146" s="214"/>
      <c r="M146" s="210" t="s">
        <v>194</v>
      </c>
      <c r="N146" s="215">
        <v>1873368757333</v>
      </c>
      <c r="O146" s="215">
        <v>0</v>
      </c>
      <c r="P146" s="215">
        <v>0</v>
      </c>
      <c r="Q146" s="215">
        <v>49816807901.169998</v>
      </c>
      <c r="R146" s="215">
        <v>49816807901.169998</v>
      </c>
      <c r="S146" s="215">
        <v>60000000000</v>
      </c>
      <c r="T146" s="215">
        <v>1813368757333</v>
      </c>
      <c r="U146" s="215">
        <v>1786949452295.6699</v>
      </c>
      <c r="V146" s="215">
        <v>26419305037.330017</v>
      </c>
      <c r="W146" s="216">
        <v>0.98543081492360873</v>
      </c>
      <c r="X146" s="215">
        <v>1556071695715.96</v>
      </c>
      <c r="Y146" s="215">
        <v>230877756579.70999</v>
      </c>
      <c r="Z146" s="216">
        <v>0.12920217540742657</v>
      </c>
      <c r="AA146" s="215">
        <v>1556020633416.96</v>
      </c>
      <c r="AB146" s="215">
        <v>51062299</v>
      </c>
      <c r="AC146" s="216">
        <v>0.87076924947035361</v>
      </c>
    </row>
    <row r="147" spans="1:52" s="64" customFormat="1" ht="24.95" customHeight="1">
      <c r="A147" s="32" t="s">
        <v>487</v>
      </c>
      <c r="B147" s="217" t="s">
        <v>488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 t="s">
        <v>193</v>
      </c>
      <c r="I147" s="267" t="s">
        <v>54</v>
      </c>
      <c r="J147" s="219"/>
      <c r="K147" s="220">
        <v>10</v>
      </c>
      <c r="L147" s="221" t="s">
        <v>29</v>
      </c>
      <c r="M147" s="259" t="s">
        <v>178</v>
      </c>
      <c r="N147" s="222">
        <v>170514008840.17001</v>
      </c>
      <c r="O147" s="637"/>
      <c r="P147" s="638"/>
      <c r="Q147" s="223"/>
      <c r="R147" s="223">
        <v>49816807901.169998</v>
      </c>
      <c r="S147" s="223"/>
      <c r="T147" s="222">
        <v>120697200939.00002</v>
      </c>
      <c r="U147" s="222">
        <v>94293563001.839996</v>
      </c>
      <c r="V147" s="222">
        <v>26403637937.160019</v>
      </c>
      <c r="W147" s="224">
        <v>0.78124067723406165</v>
      </c>
      <c r="X147" s="222">
        <v>54979019996.959999</v>
      </c>
      <c r="Y147" s="222">
        <v>39314543004.879997</v>
      </c>
      <c r="Z147" s="224">
        <v>0.4169377182630466</v>
      </c>
      <c r="AA147" s="222">
        <v>54927957697.959999</v>
      </c>
      <c r="AB147" s="222">
        <v>51062299</v>
      </c>
      <c r="AC147" s="224">
        <v>0.58252075697773942</v>
      </c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</row>
    <row r="148" spans="1:52" ht="24.95" customHeight="1">
      <c r="A148" s="32" t="s">
        <v>490</v>
      </c>
      <c r="B148" s="217" t="s">
        <v>491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 t="s">
        <v>193</v>
      </c>
      <c r="I148" s="267" t="s">
        <v>65</v>
      </c>
      <c r="J148" s="219"/>
      <c r="K148" s="220">
        <v>10</v>
      </c>
      <c r="L148" s="221" t="s">
        <v>29</v>
      </c>
      <c r="M148" s="259" t="s">
        <v>127</v>
      </c>
      <c r="N148" s="222">
        <v>11682690576.83</v>
      </c>
      <c r="O148" s="637"/>
      <c r="P148" s="638"/>
      <c r="Q148" s="223">
        <v>49816807901.169998</v>
      </c>
      <c r="R148" s="223"/>
      <c r="S148" s="223"/>
      <c r="T148" s="222">
        <v>61499498478</v>
      </c>
      <c r="U148" s="222">
        <v>61483831377.830002</v>
      </c>
      <c r="V148" s="222">
        <v>15667100.169998169</v>
      </c>
      <c r="W148" s="224">
        <v>0.99974524832628342</v>
      </c>
      <c r="X148" s="222">
        <v>61481411426</v>
      </c>
      <c r="Y148" s="222">
        <v>2419951.8300018311</v>
      </c>
      <c r="Z148" s="224">
        <v>3.9359157940739907E-5</v>
      </c>
      <c r="AA148" s="222">
        <v>61481411426</v>
      </c>
      <c r="AB148" s="222">
        <v>0</v>
      </c>
      <c r="AC148" s="224">
        <v>0.99996064084205927</v>
      </c>
    </row>
    <row r="149" spans="1:52" ht="24.95" customHeight="1">
      <c r="A149" s="32" t="s">
        <v>492</v>
      </c>
      <c r="B149" s="217" t="s">
        <v>491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65</v>
      </c>
      <c r="J149" s="267"/>
      <c r="K149" s="268" t="s">
        <v>144</v>
      </c>
      <c r="L149" s="269" t="s">
        <v>29</v>
      </c>
      <c r="M149" s="259" t="s">
        <v>127</v>
      </c>
      <c r="N149" s="222">
        <v>1691172057916</v>
      </c>
      <c r="O149" s="637"/>
      <c r="P149" s="638"/>
      <c r="Q149" s="223"/>
      <c r="R149" s="223"/>
      <c r="S149" s="223">
        <v>60000000000</v>
      </c>
      <c r="T149" s="222">
        <v>1631172057916</v>
      </c>
      <c r="U149" s="222">
        <v>1631172057916</v>
      </c>
      <c r="V149" s="222">
        <v>0</v>
      </c>
      <c r="W149" s="224">
        <v>1</v>
      </c>
      <c r="X149" s="222">
        <v>1439611264293</v>
      </c>
      <c r="Y149" s="222">
        <v>191560793623</v>
      </c>
      <c r="Z149" s="224">
        <v>0.11743751537023003</v>
      </c>
      <c r="AA149" s="222">
        <v>1439611264293</v>
      </c>
      <c r="AB149" s="222">
        <v>0</v>
      </c>
      <c r="AC149" s="224">
        <v>0.88256248462976994</v>
      </c>
    </row>
    <row r="150" spans="1:52" ht="33" customHeight="1">
      <c r="A150" s="32" t="s">
        <v>493</v>
      </c>
      <c r="B150" s="210" t="s">
        <v>494</v>
      </c>
      <c r="C150" s="211" t="s">
        <v>167</v>
      </c>
      <c r="D150" s="212" t="s">
        <v>190</v>
      </c>
      <c r="E150" s="212" t="s">
        <v>172</v>
      </c>
      <c r="F150" s="212" t="s">
        <v>191</v>
      </c>
      <c r="G150" s="212" t="s">
        <v>175</v>
      </c>
      <c r="H150" s="212">
        <v>4103009</v>
      </c>
      <c r="I150" s="212"/>
      <c r="J150" s="212"/>
      <c r="K150" s="252">
        <v>10</v>
      </c>
      <c r="L150" s="214" t="s">
        <v>29</v>
      </c>
      <c r="M150" s="210" t="s">
        <v>195</v>
      </c>
      <c r="N150" s="215">
        <v>5711307018</v>
      </c>
      <c r="O150" s="215">
        <v>0</v>
      </c>
      <c r="P150" s="215">
        <v>0</v>
      </c>
      <c r="Q150" s="215">
        <v>0</v>
      </c>
      <c r="R150" s="215">
        <v>0</v>
      </c>
      <c r="S150" s="215">
        <v>0</v>
      </c>
      <c r="T150" s="215">
        <v>5711307018</v>
      </c>
      <c r="U150" s="215">
        <v>5111307018</v>
      </c>
      <c r="V150" s="215">
        <v>600000000</v>
      </c>
      <c r="W150" s="216">
        <v>0.89494523790981395</v>
      </c>
      <c r="X150" s="215">
        <v>2923576509</v>
      </c>
      <c r="Y150" s="215">
        <v>2187730509</v>
      </c>
      <c r="Z150" s="216">
        <v>0.42801782426602025</v>
      </c>
      <c r="AA150" s="215">
        <v>2923576509</v>
      </c>
      <c r="AB150" s="215">
        <v>0</v>
      </c>
      <c r="AC150" s="216">
        <v>0.5719821757339798</v>
      </c>
    </row>
    <row r="151" spans="1:52" ht="24.95" customHeight="1">
      <c r="A151" s="32" t="s">
        <v>495</v>
      </c>
      <c r="B151" s="217" t="s">
        <v>496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>
        <v>4103009</v>
      </c>
      <c r="I151" s="267" t="s">
        <v>54</v>
      </c>
      <c r="J151" s="219"/>
      <c r="K151" s="270">
        <v>10</v>
      </c>
      <c r="L151" s="221" t="s">
        <v>29</v>
      </c>
      <c r="M151" s="259" t="s">
        <v>178</v>
      </c>
      <c r="N151" s="222">
        <v>5711307018</v>
      </c>
      <c r="O151" s="222"/>
      <c r="P151" s="636"/>
      <c r="Q151" s="222"/>
      <c r="R151" s="222"/>
      <c r="S151" s="222"/>
      <c r="T151" s="222">
        <v>5711307018</v>
      </c>
      <c r="U151" s="222">
        <v>5111307018</v>
      </c>
      <c r="V151" s="222">
        <v>600000000</v>
      </c>
      <c r="W151" s="224">
        <v>0.89494523790981395</v>
      </c>
      <c r="X151" s="222">
        <v>2923576509</v>
      </c>
      <c r="Y151" s="222">
        <v>2187730509</v>
      </c>
      <c r="Z151" s="224">
        <v>0.42801782426602025</v>
      </c>
      <c r="AA151" s="222">
        <v>2923576509</v>
      </c>
      <c r="AB151" s="222">
        <v>0</v>
      </c>
      <c r="AC151" s="224">
        <v>0.5719821757339798</v>
      </c>
    </row>
    <row r="152" spans="1:52" s="64" customFormat="1" ht="36" customHeight="1">
      <c r="A152" s="32" t="s">
        <v>499</v>
      </c>
      <c r="B152" s="226" t="s">
        <v>298</v>
      </c>
      <c r="C152" s="227" t="s">
        <v>167</v>
      </c>
      <c r="D152" s="228" t="s">
        <v>190</v>
      </c>
      <c r="E152" s="228" t="s">
        <v>172</v>
      </c>
      <c r="F152" s="228" t="s">
        <v>22</v>
      </c>
      <c r="G152" s="228"/>
      <c r="H152" s="228"/>
      <c r="I152" s="228"/>
      <c r="J152" s="228"/>
      <c r="K152" s="229"/>
      <c r="L152" s="230"/>
      <c r="M152" s="231" t="s">
        <v>264</v>
      </c>
      <c r="N152" s="232">
        <v>25903028858</v>
      </c>
      <c r="O152" s="232">
        <v>0</v>
      </c>
      <c r="P152" s="232">
        <v>0</v>
      </c>
      <c r="Q152" s="232">
        <v>1354183051</v>
      </c>
      <c r="R152" s="232">
        <v>0</v>
      </c>
      <c r="S152" s="232">
        <v>0</v>
      </c>
      <c r="T152" s="232">
        <v>27257211909</v>
      </c>
      <c r="U152" s="232">
        <v>25725166446</v>
      </c>
      <c r="V152" s="232">
        <v>1532045463</v>
      </c>
      <c r="W152" s="233">
        <v>0.94379302372836826</v>
      </c>
      <c r="X152" s="232">
        <v>16471025077</v>
      </c>
      <c r="Y152" s="232">
        <v>9254141369</v>
      </c>
      <c r="Z152" s="233">
        <v>0.35973105901668223</v>
      </c>
      <c r="AA152" s="232">
        <v>16471025077</v>
      </c>
      <c r="AB152" s="232">
        <v>0</v>
      </c>
      <c r="AC152" s="233">
        <v>0.64026894098331777</v>
      </c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</row>
    <row r="153" spans="1:52" ht="32.25" customHeight="1">
      <c r="A153" s="32" t="s">
        <v>642</v>
      </c>
      <c r="B153" s="210" t="s">
        <v>500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197</v>
      </c>
      <c r="I153" s="212"/>
      <c r="J153" s="212"/>
      <c r="K153" s="213">
        <v>11</v>
      </c>
      <c r="L153" s="214" t="s">
        <v>29</v>
      </c>
      <c r="M153" s="210" t="s">
        <v>198</v>
      </c>
      <c r="N153" s="215">
        <v>7218669145</v>
      </c>
      <c r="O153" s="215">
        <v>0</v>
      </c>
      <c r="P153" s="215">
        <v>0</v>
      </c>
      <c r="Q153" s="215">
        <v>58501450</v>
      </c>
      <c r="R153" s="215">
        <v>0</v>
      </c>
      <c r="S153" s="215">
        <v>0</v>
      </c>
      <c r="T153" s="215">
        <v>7277170595</v>
      </c>
      <c r="U153" s="215">
        <v>7218669145</v>
      </c>
      <c r="V153" s="215">
        <v>58501450</v>
      </c>
      <c r="W153" s="216">
        <v>0.99196096212995266</v>
      </c>
      <c r="X153" s="215">
        <v>4303770136</v>
      </c>
      <c r="Y153" s="215">
        <v>2914899009</v>
      </c>
      <c r="Z153" s="216">
        <v>0.40380005655460749</v>
      </c>
      <c r="AA153" s="215">
        <v>4303770136</v>
      </c>
      <c r="AB153" s="215">
        <v>0</v>
      </c>
      <c r="AC153" s="216">
        <v>0.59619994344539251</v>
      </c>
    </row>
    <row r="154" spans="1:52" ht="24.95" customHeight="1">
      <c r="A154" s="32" t="s">
        <v>643</v>
      </c>
      <c r="B154" s="217" t="s">
        <v>501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197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7218669145</v>
      </c>
      <c r="O154" s="222"/>
      <c r="P154" s="222"/>
      <c r="Q154" s="222">
        <v>58501450</v>
      </c>
      <c r="R154" s="222"/>
      <c r="S154" s="222"/>
      <c r="T154" s="222">
        <v>7277170595</v>
      </c>
      <c r="U154" s="222">
        <v>7218669145</v>
      </c>
      <c r="V154" s="222">
        <v>58501450</v>
      </c>
      <c r="W154" s="224">
        <v>0.99196096212995266</v>
      </c>
      <c r="X154" s="222">
        <v>4303770136</v>
      </c>
      <c r="Y154" s="222">
        <v>2914899009</v>
      </c>
      <c r="Z154" s="224">
        <v>0.40380005655460749</v>
      </c>
      <c r="AA154" s="222">
        <v>4303770136</v>
      </c>
      <c r="AB154" s="222">
        <v>0</v>
      </c>
      <c r="AC154" s="224">
        <v>0.59619994344539251</v>
      </c>
    </row>
    <row r="155" spans="1:52" ht="32.25" customHeight="1">
      <c r="A155" s="32" t="s">
        <v>644</v>
      </c>
      <c r="B155" s="210" t="s">
        <v>502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199</v>
      </c>
      <c r="I155" s="212"/>
      <c r="J155" s="212"/>
      <c r="K155" s="213">
        <v>11</v>
      </c>
      <c r="L155" s="214" t="s">
        <v>29</v>
      </c>
      <c r="M155" s="210" t="s">
        <v>200</v>
      </c>
      <c r="N155" s="215">
        <v>4348087590</v>
      </c>
      <c r="O155" s="215">
        <v>0</v>
      </c>
      <c r="P155" s="215">
        <v>0</v>
      </c>
      <c r="Q155" s="215">
        <v>73595250</v>
      </c>
      <c r="R155" s="215">
        <v>0</v>
      </c>
      <c r="S155" s="215">
        <v>0</v>
      </c>
      <c r="T155" s="215">
        <v>4421682840</v>
      </c>
      <c r="U155" s="215">
        <v>4348087590</v>
      </c>
      <c r="V155" s="215">
        <v>73595250</v>
      </c>
      <c r="W155" s="216">
        <v>0.98335582793631571</v>
      </c>
      <c r="X155" s="215">
        <v>2862555520</v>
      </c>
      <c r="Y155" s="215">
        <v>1485532070</v>
      </c>
      <c r="Z155" s="216">
        <v>0.34165182721169607</v>
      </c>
      <c r="AA155" s="215">
        <v>2862555520</v>
      </c>
      <c r="AB155" s="215">
        <v>0</v>
      </c>
      <c r="AC155" s="216">
        <v>0.65834817278830393</v>
      </c>
    </row>
    <row r="156" spans="1:52" ht="24.95" customHeight="1">
      <c r="A156" s="32" t="s">
        <v>645</v>
      </c>
      <c r="B156" s="217" t="s">
        <v>503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199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4348087590</v>
      </c>
      <c r="O156" s="222"/>
      <c r="P156" s="222"/>
      <c r="Q156" s="222">
        <v>73595250</v>
      </c>
      <c r="R156" s="222"/>
      <c r="S156" s="222"/>
      <c r="T156" s="222">
        <v>4421682840</v>
      </c>
      <c r="U156" s="222">
        <v>4348087590</v>
      </c>
      <c r="V156" s="222">
        <v>73595250</v>
      </c>
      <c r="W156" s="224">
        <v>0.98335582793631571</v>
      </c>
      <c r="X156" s="222">
        <v>2862555520</v>
      </c>
      <c r="Y156" s="222">
        <v>1485532070</v>
      </c>
      <c r="Z156" s="224">
        <v>0.34165182721169607</v>
      </c>
      <c r="AA156" s="222">
        <v>2862555520</v>
      </c>
      <c r="AB156" s="222">
        <v>0</v>
      </c>
      <c r="AC156" s="224">
        <v>0.65834817278830393</v>
      </c>
    </row>
    <row r="157" spans="1:52" ht="32.25" customHeight="1">
      <c r="A157" s="32" t="s">
        <v>646</v>
      </c>
      <c r="B157" s="210" t="s">
        <v>504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201</v>
      </c>
      <c r="I157" s="212"/>
      <c r="J157" s="212"/>
      <c r="K157" s="213">
        <v>11</v>
      </c>
      <c r="L157" s="214" t="s">
        <v>29</v>
      </c>
      <c r="M157" s="210" t="s">
        <v>202</v>
      </c>
      <c r="N157" s="215">
        <v>2171371771</v>
      </c>
      <c r="O157" s="215">
        <v>0</v>
      </c>
      <c r="P157" s="215">
        <v>0</v>
      </c>
      <c r="Q157" s="215">
        <v>0</v>
      </c>
      <c r="R157" s="215">
        <v>0</v>
      </c>
      <c r="S157" s="215">
        <v>0</v>
      </c>
      <c r="T157" s="215">
        <v>2171371771</v>
      </c>
      <c r="U157" s="215">
        <v>1993509359</v>
      </c>
      <c r="V157" s="215">
        <v>177862412</v>
      </c>
      <c r="W157" s="216">
        <v>0.91808753601043291</v>
      </c>
      <c r="X157" s="215">
        <v>551255831</v>
      </c>
      <c r="Y157" s="215">
        <v>1442253528</v>
      </c>
      <c r="Z157" s="216">
        <v>0.72347467118161646</v>
      </c>
      <c r="AA157" s="215">
        <v>551255831</v>
      </c>
      <c r="AB157" s="215">
        <v>0</v>
      </c>
      <c r="AC157" s="216">
        <v>0.27652532881838354</v>
      </c>
    </row>
    <row r="158" spans="1:52" ht="24.95" customHeight="1">
      <c r="A158" s="32" t="s">
        <v>647</v>
      </c>
      <c r="B158" s="217" t="s">
        <v>505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201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2171371771</v>
      </c>
      <c r="O158" s="222"/>
      <c r="P158" s="222"/>
      <c r="Q158" s="222"/>
      <c r="R158" s="222"/>
      <c r="S158" s="222"/>
      <c r="T158" s="222">
        <v>2171371771</v>
      </c>
      <c r="U158" s="222">
        <v>1993509359</v>
      </c>
      <c r="V158" s="222">
        <v>177862412</v>
      </c>
      <c r="W158" s="224">
        <v>0.91808753601043291</v>
      </c>
      <c r="X158" s="222">
        <v>551255831</v>
      </c>
      <c r="Y158" s="222">
        <v>1442253528</v>
      </c>
      <c r="Z158" s="224">
        <v>0.72347467118161646</v>
      </c>
      <c r="AA158" s="222">
        <v>551255831</v>
      </c>
      <c r="AB158" s="222">
        <v>0</v>
      </c>
      <c r="AC158" s="224">
        <v>0.27652532881838354</v>
      </c>
    </row>
    <row r="159" spans="1:52" ht="32.25" customHeight="1">
      <c r="A159" s="32" t="s">
        <v>648</v>
      </c>
      <c r="B159" s="210" t="s">
        <v>506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203</v>
      </c>
      <c r="I159" s="212"/>
      <c r="J159" s="212"/>
      <c r="K159" s="213">
        <v>11</v>
      </c>
      <c r="L159" s="214" t="s">
        <v>29</v>
      </c>
      <c r="M159" s="210" t="s">
        <v>204</v>
      </c>
      <c r="N159" s="215">
        <v>12164900352</v>
      </c>
      <c r="O159" s="215">
        <v>0</v>
      </c>
      <c r="P159" s="215">
        <v>0</v>
      </c>
      <c r="Q159" s="215">
        <v>1222086351</v>
      </c>
      <c r="R159" s="215">
        <v>0</v>
      </c>
      <c r="S159" s="215">
        <v>0</v>
      </c>
      <c r="T159" s="215">
        <v>13386986703</v>
      </c>
      <c r="U159" s="215">
        <v>12164900352</v>
      </c>
      <c r="V159" s="215">
        <v>1222086351</v>
      </c>
      <c r="W159" s="216">
        <v>0.90871087137734041</v>
      </c>
      <c r="X159" s="215">
        <v>8753443590</v>
      </c>
      <c r="Y159" s="215">
        <v>3411456762</v>
      </c>
      <c r="Z159" s="216">
        <v>0.28043441896662402</v>
      </c>
      <c r="AA159" s="215">
        <v>8753443590</v>
      </c>
      <c r="AB159" s="215">
        <v>0</v>
      </c>
      <c r="AC159" s="216">
        <v>0.71956558103337598</v>
      </c>
    </row>
    <row r="160" spans="1:52" ht="24.95" customHeight="1">
      <c r="A160" s="32" t="s">
        <v>649</v>
      </c>
      <c r="B160" s="217" t="s">
        <v>507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203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12164900352</v>
      </c>
      <c r="O160" s="222"/>
      <c r="P160" s="222"/>
      <c r="Q160" s="222">
        <v>1222086351</v>
      </c>
      <c r="R160" s="222"/>
      <c r="S160" s="222"/>
      <c r="T160" s="222">
        <v>13386986703</v>
      </c>
      <c r="U160" s="222">
        <v>12164900352</v>
      </c>
      <c r="V160" s="222">
        <v>1222086351</v>
      </c>
      <c r="W160" s="224">
        <v>0.90871087137734041</v>
      </c>
      <c r="X160" s="222">
        <v>8753443590</v>
      </c>
      <c r="Y160" s="222">
        <v>3411456762</v>
      </c>
      <c r="Z160" s="224">
        <v>0.28043441896662402</v>
      </c>
      <c r="AA160" s="222">
        <v>8753443590</v>
      </c>
      <c r="AB160" s="222">
        <v>0</v>
      </c>
      <c r="AC160" s="224">
        <v>0.71956558103337598</v>
      </c>
    </row>
    <row r="161" spans="1:52" ht="44.25" customHeight="1">
      <c r="A161" s="32" t="s">
        <v>508</v>
      </c>
      <c r="B161" s="226" t="s">
        <v>299</v>
      </c>
      <c r="C161" s="227" t="s">
        <v>167</v>
      </c>
      <c r="D161" s="228" t="s">
        <v>190</v>
      </c>
      <c r="E161" s="228" t="s">
        <v>172</v>
      </c>
      <c r="F161" s="228" t="s">
        <v>205</v>
      </c>
      <c r="G161" s="228"/>
      <c r="H161" s="228"/>
      <c r="I161" s="228"/>
      <c r="J161" s="228"/>
      <c r="K161" s="229"/>
      <c r="L161" s="230"/>
      <c r="M161" s="231" t="s">
        <v>281</v>
      </c>
      <c r="N161" s="232">
        <v>1226882227478</v>
      </c>
      <c r="O161" s="232">
        <v>0</v>
      </c>
      <c r="P161" s="232">
        <v>0</v>
      </c>
      <c r="Q161" s="232">
        <v>57332116142.639999</v>
      </c>
      <c r="R161" s="232">
        <v>337332116142.64001</v>
      </c>
      <c r="S161" s="232">
        <v>420000000000</v>
      </c>
      <c r="T161" s="232">
        <v>526882227478</v>
      </c>
      <c r="U161" s="232">
        <v>504583348170.5</v>
      </c>
      <c r="V161" s="232">
        <v>22298879307.499977</v>
      </c>
      <c r="W161" s="233">
        <v>0.95767767796185321</v>
      </c>
      <c r="X161" s="232">
        <v>167560598485.11002</v>
      </c>
      <c r="Y161" s="232">
        <v>337022749685.38995</v>
      </c>
      <c r="Z161" s="233">
        <v>0.66792285339449831</v>
      </c>
      <c r="AA161" s="232">
        <v>167434829327.11002</v>
      </c>
      <c r="AB161" s="232">
        <v>125769158</v>
      </c>
      <c r="AC161" s="233">
        <v>0.33182789312051053</v>
      </c>
    </row>
    <row r="162" spans="1:52" ht="33.75" customHeight="1">
      <c r="A162" s="32" t="s">
        <v>509</v>
      </c>
      <c r="B162" s="210" t="s">
        <v>510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207</v>
      </c>
      <c r="I162" s="212"/>
      <c r="J162" s="212"/>
      <c r="K162" s="213"/>
      <c r="L162" s="214"/>
      <c r="M162" s="210" t="s">
        <v>208</v>
      </c>
      <c r="N162" s="215">
        <v>1205215344888.79</v>
      </c>
      <c r="O162" s="215">
        <v>0</v>
      </c>
      <c r="P162" s="215">
        <v>0</v>
      </c>
      <c r="Q162" s="215">
        <v>56632116142.639999</v>
      </c>
      <c r="R162" s="215">
        <v>328760329083.64001</v>
      </c>
      <c r="S162" s="215">
        <v>420000000000</v>
      </c>
      <c r="T162" s="215">
        <v>513087131947.78998</v>
      </c>
      <c r="U162" s="215">
        <v>493174958209.5</v>
      </c>
      <c r="V162" s="215">
        <v>19912173738.289978</v>
      </c>
      <c r="W162" s="216">
        <v>0.96119143806491691</v>
      </c>
      <c r="X162" s="215">
        <v>159353645513.11002</v>
      </c>
      <c r="Y162" s="215">
        <v>333821312696.38995</v>
      </c>
      <c r="Z162" s="216">
        <v>0.67688212294547034</v>
      </c>
      <c r="AA162" s="215">
        <v>159353645513.11002</v>
      </c>
      <c r="AB162" s="215">
        <v>0</v>
      </c>
      <c r="AC162" s="216">
        <v>0.32311787705452966</v>
      </c>
    </row>
    <row r="163" spans="1:52" ht="24.95" customHeight="1">
      <c r="A163" s="32" t="s">
        <v>512</v>
      </c>
      <c r="B163" s="217" t="s">
        <v>511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207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358903207165.07001</v>
      </c>
      <c r="O163" s="222"/>
      <c r="P163" s="222"/>
      <c r="Q163" s="222">
        <v>48060329083.639999</v>
      </c>
      <c r="R163" s="222">
        <v>280000000000</v>
      </c>
      <c r="S163" s="223">
        <v>86968373082.070007</v>
      </c>
      <c r="T163" s="222">
        <v>39995163166.640015</v>
      </c>
      <c r="U163" s="222">
        <v>27938817645</v>
      </c>
      <c r="V163" s="222">
        <v>12056345521.640015</v>
      </c>
      <c r="W163" s="224">
        <v>0.69855491096742872</v>
      </c>
      <c r="X163" s="222">
        <v>1784907218.5699999</v>
      </c>
      <c r="Y163" s="222">
        <v>26153910426.43</v>
      </c>
      <c r="Z163" s="224">
        <v>0.93611371672024102</v>
      </c>
      <c r="AA163" s="222">
        <v>1784907218.5699999</v>
      </c>
      <c r="AB163" s="222">
        <v>0</v>
      </c>
      <c r="AC163" s="224">
        <v>6.3886283279759024E-2</v>
      </c>
    </row>
    <row r="164" spans="1:52" ht="24.95" customHeight="1">
      <c r="A164" s="32" t="s">
        <v>513</v>
      </c>
      <c r="B164" s="217" t="s">
        <v>514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207</v>
      </c>
      <c r="I164" s="267" t="s">
        <v>65</v>
      </c>
      <c r="J164" s="267"/>
      <c r="K164" s="271" t="s">
        <v>28</v>
      </c>
      <c r="L164" s="269" t="s">
        <v>29</v>
      </c>
      <c r="M164" s="259" t="s">
        <v>127</v>
      </c>
      <c r="N164" s="222">
        <v>50000000000</v>
      </c>
      <c r="O164" s="222"/>
      <c r="P164" s="222"/>
      <c r="Q164" s="223"/>
      <c r="R164" s="223"/>
      <c r="S164" s="223">
        <v>50000000000</v>
      </c>
      <c r="T164" s="222">
        <v>0</v>
      </c>
      <c r="U164" s="222">
        <v>0</v>
      </c>
      <c r="V164" s="222">
        <v>0</v>
      </c>
      <c r="W164" s="224">
        <v>0</v>
      </c>
      <c r="X164" s="222">
        <v>0</v>
      </c>
      <c r="Y164" s="222">
        <v>0</v>
      </c>
      <c r="Z164" s="224">
        <v>0</v>
      </c>
      <c r="AA164" s="222">
        <v>0</v>
      </c>
      <c r="AB164" s="222">
        <v>0</v>
      </c>
      <c r="AC164" s="224">
        <v>0</v>
      </c>
    </row>
    <row r="165" spans="1:52" ht="24.95" customHeight="1">
      <c r="A165" s="32" t="s">
        <v>515</v>
      </c>
      <c r="B165" s="217" t="s">
        <v>514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207</v>
      </c>
      <c r="I165" s="272" t="s">
        <v>65</v>
      </c>
      <c r="J165" s="273"/>
      <c r="K165" s="268">
        <v>11</v>
      </c>
      <c r="L165" s="269" t="s">
        <v>29</v>
      </c>
      <c r="M165" s="259" t="s">
        <v>127</v>
      </c>
      <c r="N165" s="222">
        <v>796312137723.71997</v>
      </c>
      <c r="O165" s="222"/>
      <c r="P165" s="222"/>
      <c r="Q165" s="223">
        <v>8571787059</v>
      </c>
      <c r="R165" s="222">
        <v>48760329083.639999</v>
      </c>
      <c r="S165" s="223">
        <v>283031626917.92999</v>
      </c>
      <c r="T165" s="222">
        <v>473091968781.14996</v>
      </c>
      <c r="U165" s="222">
        <v>465236140564.5</v>
      </c>
      <c r="V165" s="222">
        <v>7855828216.6499634</v>
      </c>
      <c r="W165" s="224">
        <v>0.98339471237085396</v>
      </c>
      <c r="X165" s="222">
        <v>157568738294.54001</v>
      </c>
      <c r="Y165" s="222">
        <v>307667402269.95996</v>
      </c>
      <c r="Z165" s="224">
        <v>0.66131449267171705</v>
      </c>
      <c r="AA165" s="222">
        <v>157568738294.54001</v>
      </c>
      <c r="AB165" s="222">
        <v>0</v>
      </c>
      <c r="AC165" s="224">
        <v>0.3386855073282829</v>
      </c>
    </row>
    <row r="166" spans="1:52" ht="34.5" customHeight="1">
      <c r="A166" s="32" t="s">
        <v>650</v>
      </c>
      <c r="B166" s="210" t="s">
        <v>516</v>
      </c>
      <c r="C166" s="211" t="s">
        <v>167</v>
      </c>
      <c r="D166" s="212" t="s">
        <v>190</v>
      </c>
      <c r="E166" s="212" t="s">
        <v>172</v>
      </c>
      <c r="F166" s="212" t="s">
        <v>205</v>
      </c>
      <c r="G166" s="212" t="s">
        <v>175</v>
      </c>
      <c r="H166" s="212" t="s">
        <v>209</v>
      </c>
      <c r="I166" s="212"/>
      <c r="J166" s="212"/>
      <c r="K166" s="213">
        <v>11</v>
      </c>
      <c r="L166" s="214" t="s">
        <v>29</v>
      </c>
      <c r="M166" s="210" t="s">
        <v>210</v>
      </c>
      <c r="N166" s="215">
        <v>21666882589.209999</v>
      </c>
      <c r="O166" s="215">
        <v>0</v>
      </c>
      <c r="P166" s="215">
        <v>0</v>
      </c>
      <c r="Q166" s="215">
        <v>700000000</v>
      </c>
      <c r="R166" s="215">
        <v>8571787059</v>
      </c>
      <c r="S166" s="215">
        <v>0</v>
      </c>
      <c r="T166" s="215">
        <v>13795095530.209999</v>
      </c>
      <c r="U166" s="215">
        <v>11408389961</v>
      </c>
      <c r="V166" s="215">
        <v>2386705569.2099991</v>
      </c>
      <c r="W166" s="216">
        <v>0.8269888335326615</v>
      </c>
      <c r="X166" s="215">
        <v>8206952972</v>
      </c>
      <c r="Y166" s="215">
        <v>3201436989</v>
      </c>
      <c r="Z166" s="216">
        <v>0.28062127959722888</v>
      </c>
      <c r="AA166" s="215">
        <v>8081183814</v>
      </c>
      <c r="AB166" s="215">
        <v>125769158</v>
      </c>
      <c r="AC166" s="216">
        <v>0.70835445155940702</v>
      </c>
    </row>
    <row r="167" spans="1:52" ht="24.95" customHeight="1">
      <c r="A167" s="32" t="s">
        <v>518</v>
      </c>
      <c r="B167" s="217" t="s">
        <v>517</v>
      </c>
      <c r="C167" s="266" t="s">
        <v>167</v>
      </c>
      <c r="D167" s="267" t="s">
        <v>190</v>
      </c>
      <c r="E167" s="267" t="s">
        <v>172</v>
      </c>
      <c r="F167" s="267" t="s">
        <v>205</v>
      </c>
      <c r="G167" s="267" t="s">
        <v>175</v>
      </c>
      <c r="H167" s="267" t="s">
        <v>209</v>
      </c>
      <c r="I167" s="267" t="s">
        <v>54</v>
      </c>
      <c r="J167" s="267"/>
      <c r="K167" s="268">
        <v>11</v>
      </c>
      <c r="L167" s="269" t="s">
        <v>29</v>
      </c>
      <c r="M167" s="259" t="s">
        <v>178</v>
      </c>
      <c r="N167" s="222">
        <v>21666882589.209999</v>
      </c>
      <c r="O167" s="222"/>
      <c r="P167" s="222"/>
      <c r="Q167" s="222">
        <v>700000000</v>
      </c>
      <c r="R167" s="222">
        <v>8571787059</v>
      </c>
      <c r="S167" s="222"/>
      <c r="T167" s="222">
        <v>13795095530.209999</v>
      </c>
      <c r="U167" s="222">
        <v>11408389961</v>
      </c>
      <c r="V167" s="222">
        <v>2386705569.2099991</v>
      </c>
      <c r="W167" s="224">
        <v>0.8269888335326615</v>
      </c>
      <c r="X167" s="222">
        <v>8206952972</v>
      </c>
      <c r="Y167" s="222">
        <v>3201436989</v>
      </c>
      <c r="Z167" s="224">
        <v>0.28062127959722888</v>
      </c>
      <c r="AA167" s="222">
        <v>8081183814</v>
      </c>
      <c r="AB167" s="222">
        <v>125769158</v>
      </c>
      <c r="AC167" s="224">
        <v>0.70835445155940702</v>
      </c>
    </row>
    <row r="168" spans="1:52" ht="40.5" customHeight="1">
      <c r="A168" s="32" t="s">
        <v>519</v>
      </c>
      <c r="B168" s="226" t="s">
        <v>520</v>
      </c>
      <c r="C168" s="227" t="s">
        <v>167</v>
      </c>
      <c r="D168" s="228" t="s">
        <v>190</v>
      </c>
      <c r="E168" s="228" t="s">
        <v>172</v>
      </c>
      <c r="F168" s="228" t="s">
        <v>211</v>
      </c>
      <c r="G168" s="228"/>
      <c r="H168" s="228"/>
      <c r="I168" s="228"/>
      <c r="J168" s="228"/>
      <c r="K168" s="229"/>
      <c r="L168" s="230"/>
      <c r="M168" s="231" t="s">
        <v>282</v>
      </c>
      <c r="N168" s="232">
        <v>1000000000</v>
      </c>
      <c r="O168" s="232">
        <v>0</v>
      </c>
      <c r="P168" s="232">
        <v>0</v>
      </c>
      <c r="Q168" s="232">
        <v>0</v>
      </c>
      <c r="R168" s="232">
        <v>0</v>
      </c>
      <c r="S168" s="232">
        <v>0</v>
      </c>
      <c r="T168" s="232">
        <v>1000000000</v>
      </c>
      <c r="U168" s="232">
        <v>0</v>
      </c>
      <c r="V168" s="232">
        <v>1000000000</v>
      </c>
      <c r="W168" s="233">
        <v>0</v>
      </c>
      <c r="X168" s="232">
        <v>0</v>
      </c>
      <c r="Y168" s="232">
        <v>0</v>
      </c>
      <c r="Z168" s="233">
        <v>0</v>
      </c>
      <c r="AA168" s="232">
        <v>0</v>
      </c>
      <c r="AB168" s="232">
        <v>0</v>
      </c>
      <c r="AC168" s="233">
        <v>0</v>
      </c>
    </row>
    <row r="169" spans="1:52" s="90" customFormat="1" ht="36" customHeight="1">
      <c r="A169" s="32" t="s">
        <v>521</v>
      </c>
      <c r="B169" s="210" t="s">
        <v>522</v>
      </c>
      <c r="C169" s="211" t="s">
        <v>167</v>
      </c>
      <c r="D169" s="212" t="s">
        <v>190</v>
      </c>
      <c r="E169" s="212" t="s">
        <v>172</v>
      </c>
      <c r="F169" s="212" t="s">
        <v>211</v>
      </c>
      <c r="G169" s="212" t="s">
        <v>175</v>
      </c>
      <c r="H169" s="212" t="s">
        <v>213</v>
      </c>
      <c r="I169" s="212"/>
      <c r="J169" s="212"/>
      <c r="K169" s="213" t="s">
        <v>144</v>
      </c>
      <c r="L169" s="214" t="s">
        <v>29</v>
      </c>
      <c r="M169" s="210" t="s">
        <v>214</v>
      </c>
      <c r="N169" s="215">
        <v>730000000</v>
      </c>
      <c r="O169" s="215">
        <v>0</v>
      </c>
      <c r="P169" s="215">
        <v>0</v>
      </c>
      <c r="Q169" s="215">
        <v>0</v>
      </c>
      <c r="R169" s="215">
        <v>0</v>
      </c>
      <c r="S169" s="215">
        <v>0</v>
      </c>
      <c r="T169" s="215">
        <v>730000000</v>
      </c>
      <c r="U169" s="215">
        <v>0</v>
      </c>
      <c r="V169" s="215">
        <v>730000000</v>
      </c>
      <c r="W169" s="216">
        <v>0</v>
      </c>
      <c r="X169" s="215">
        <v>0</v>
      </c>
      <c r="Y169" s="215">
        <v>0</v>
      </c>
      <c r="Z169" s="216">
        <v>0</v>
      </c>
      <c r="AA169" s="215">
        <v>0</v>
      </c>
      <c r="AB169" s="215">
        <v>0</v>
      </c>
      <c r="AC169" s="216">
        <v>0</v>
      </c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</row>
    <row r="170" spans="1:52" s="90" customFormat="1" ht="24.95" customHeight="1">
      <c r="A170" s="32" t="s">
        <v>523</v>
      </c>
      <c r="B170" s="217" t="s">
        <v>524</v>
      </c>
      <c r="C170" s="218" t="s">
        <v>167</v>
      </c>
      <c r="D170" s="219" t="s">
        <v>190</v>
      </c>
      <c r="E170" s="219" t="s">
        <v>172</v>
      </c>
      <c r="F170" s="219" t="s">
        <v>211</v>
      </c>
      <c r="G170" s="219" t="s">
        <v>175</v>
      </c>
      <c r="H170" s="219" t="s">
        <v>213</v>
      </c>
      <c r="I170" s="219" t="s">
        <v>54</v>
      </c>
      <c r="J170" s="219"/>
      <c r="K170" s="220" t="s">
        <v>144</v>
      </c>
      <c r="L170" s="221" t="s">
        <v>29</v>
      </c>
      <c r="M170" s="259" t="s">
        <v>178</v>
      </c>
      <c r="N170" s="222">
        <v>730000000</v>
      </c>
      <c r="O170" s="222"/>
      <c r="P170" s="222"/>
      <c r="Q170" s="222"/>
      <c r="R170" s="222"/>
      <c r="S170" s="222"/>
      <c r="T170" s="222">
        <v>730000000</v>
      </c>
      <c r="U170" s="222">
        <v>0</v>
      </c>
      <c r="V170" s="222">
        <v>730000000</v>
      </c>
      <c r="W170" s="224">
        <v>0</v>
      </c>
      <c r="X170" s="222">
        <v>0</v>
      </c>
      <c r="Y170" s="222">
        <v>0</v>
      </c>
      <c r="Z170" s="224">
        <v>0</v>
      </c>
      <c r="AA170" s="222">
        <v>0</v>
      </c>
      <c r="AB170" s="222">
        <v>0</v>
      </c>
      <c r="AC170" s="224">
        <v>0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s="90" customFormat="1" ht="24.95" customHeight="1">
      <c r="A171" s="32" t="s">
        <v>525</v>
      </c>
      <c r="B171" s="210" t="s">
        <v>526</v>
      </c>
      <c r="C171" s="211" t="s">
        <v>167</v>
      </c>
      <c r="D171" s="212" t="s">
        <v>190</v>
      </c>
      <c r="E171" s="212" t="s">
        <v>172</v>
      </c>
      <c r="F171" s="212" t="s">
        <v>211</v>
      </c>
      <c r="G171" s="212" t="s">
        <v>175</v>
      </c>
      <c r="H171" s="212" t="s">
        <v>215</v>
      </c>
      <c r="I171" s="212"/>
      <c r="J171" s="212"/>
      <c r="K171" s="213" t="s">
        <v>144</v>
      </c>
      <c r="L171" s="214" t="s">
        <v>29</v>
      </c>
      <c r="M171" s="210" t="s">
        <v>216</v>
      </c>
      <c r="N171" s="215">
        <v>270000000</v>
      </c>
      <c r="O171" s="215">
        <v>0</v>
      </c>
      <c r="P171" s="215">
        <v>0</v>
      </c>
      <c r="Q171" s="215">
        <v>0</v>
      </c>
      <c r="R171" s="215">
        <v>0</v>
      </c>
      <c r="S171" s="215">
        <v>0</v>
      </c>
      <c r="T171" s="215">
        <v>270000000</v>
      </c>
      <c r="U171" s="215">
        <v>0</v>
      </c>
      <c r="V171" s="215">
        <v>270000000</v>
      </c>
      <c r="W171" s="216">
        <v>0</v>
      </c>
      <c r="X171" s="215">
        <v>0</v>
      </c>
      <c r="Y171" s="215">
        <v>0</v>
      </c>
      <c r="Z171" s="216">
        <v>0</v>
      </c>
      <c r="AA171" s="215">
        <v>0</v>
      </c>
      <c r="AB171" s="215">
        <v>0</v>
      </c>
      <c r="AC171" s="216">
        <v>0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s="90" customFormat="1" ht="24.95" customHeight="1">
      <c r="A172" s="32" t="s">
        <v>527</v>
      </c>
      <c r="B172" s="217" t="s">
        <v>528</v>
      </c>
      <c r="C172" s="218" t="s">
        <v>167</v>
      </c>
      <c r="D172" s="219" t="s">
        <v>190</v>
      </c>
      <c r="E172" s="219" t="s">
        <v>172</v>
      </c>
      <c r="F172" s="219" t="s">
        <v>211</v>
      </c>
      <c r="G172" s="219" t="s">
        <v>175</v>
      </c>
      <c r="H172" s="219" t="s">
        <v>215</v>
      </c>
      <c r="I172" s="219" t="s">
        <v>54</v>
      </c>
      <c r="J172" s="219"/>
      <c r="K172" s="220" t="s">
        <v>144</v>
      </c>
      <c r="L172" s="221" t="s">
        <v>29</v>
      </c>
      <c r="M172" s="259" t="s">
        <v>178</v>
      </c>
      <c r="N172" s="222">
        <v>270000000</v>
      </c>
      <c r="O172" s="222"/>
      <c r="P172" s="222"/>
      <c r="Q172" s="222"/>
      <c r="R172" s="222"/>
      <c r="S172" s="222"/>
      <c r="T172" s="222">
        <v>270000000</v>
      </c>
      <c r="U172" s="222">
        <v>0</v>
      </c>
      <c r="V172" s="222">
        <v>270000000</v>
      </c>
      <c r="W172" s="224">
        <v>0</v>
      </c>
      <c r="X172" s="222">
        <v>0</v>
      </c>
      <c r="Y172" s="222">
        <v>0</v>
      </c>
      <c r="Z172" s="224">
        <v>0</v>
      </c>
      <c r="AA172" s="222">
        <v>0</v>
      </c>
      <c r="AB172" s="222">
        <v>0</v>
      </c>
      <c r="AC172" s="224">
        <v>0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s="90" customFormat="1" ht="57" customHeight="1">
      <c r="A173" s="32" t="s">
        <v>529</v>
      </c>
      <c r="B173" s="226" t="s">
        <v>530</v>
      </c>
      <c r="C173" s="227" t="s">
        <v>167</v>
      </c>
      <c r="D173" s="228" t="s">
        <v>190</v>
      </c>
      <c r="E173" s="228" t="s">
        <v>172</v>
      </c>
      <c r="F173" s="228" t="s">
        <v>217</v>
      </c>
      <c r="G173" s="228"/>
      <c r="H173" s="228"/>
      <c r="I173" s="228"/>
      <c r="J173" s="228"/>
      <c r="K173" s="229"/>
      <c r="L173" s="230"/>
      <c r="M173" s="231" t="s">
        <v>283</v>
      </c>
      <c r="N173" s="232">
        <v>83583395677</v>
      </c>
      <c r="O173" s="232">
        <v>0</v>
      </c>
      <c r="P173" s="232">
        <v>0</v>
      </c>
      <c r="Q173" s="232">
        <v>2858762862</v>
      </c>
      <c r="R173" s="232">
        <v>332606115</v>
      </c>
      <c r="S173" s="232">
        <v>40000000000</v>
      </c>
      <c r="T173" s="232">
        <v>46109552424</v>
      </c>
      <c r="U173" s="232">
        <v>44362734758</v>
      </c>
      <c r="V173" s="232">
        <v>1746817666</v>
      </c>
      <c r="W173" s="233">
        <v>0.96211592665361068</v>
      </c>
      <c r="X173" s="232">
        <v>30654519128</v>
      </c>
      <c r="Y173" s="232">
        <v>13708215630</v>
      </c>
      <c r="Z173" s="233">
        <v>0.30900294368186976</v>
      </c>
      <c r="AA173" s="232">
        <v>30654519128</v>
      </c>
      <c r="AB173" s="232">
        <v>0</v>
      </c>
      <c r="AC173" s="233">
        <v>0.69099705631813024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s="90" customFormat="1" ht="24.95" customHeight="1">
      <c r="A174" s="32" t="s">
        <v>651</v>
      </c>
      <c r="B174" s="210" t="s">
        <v>531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219</v>
      </c>
      <c r="I174" s="212"/>
      <c r="J174" s="212"/>
      <c r="K174" s="213">
        <v>11</v>
      </c>
      <c r="L174" s="214" t="s">
        <v>29</v>
      </c>
      <c r="M174" s="210" t="s">
        <v>220</v>
      </c>
      <c r="N174" s="215">
        <v>24060301659</v>
      </c>
      <c r="O174" s="215">
        <v>0</v>
      </c>
      <c r="P174" s="215">
        <v>0</v>
      </c>
      <c r="Q174" s="215">
        <v>508653415</v>
      </c>
      <c r="R174" s="215">
        <v>0</v>
      </c>
      <c r="S174" s="215">
        <v>5805513391</v>
      </c>
      <c r="T174" s="215">
        <v>18763441683</v>
      </c>
      <c r="U174" s="215">
        <v>17016624017</v>
      </c>
      <c r="V174" s="215">
        <v>1746817666</v>
      </c>
      <c r="W174" s="216">
        <v>0.9069031313384982</v>
      </c>
      <c r="X174" s="215">
        <v>7487617139</v>
      </c>
      <c r="Y174" s="215">
        <v>9529006878</v>
      </c>
      <c r="Z174" s="216">
        <v>0.55998221906297641</v>
      </c>
      <c r="AA174" s="215">
        <v>7487617139</v>
      </c>
      <c r="AB174" s="215">
        <v>0</v>
      </c>
      <c r="AC174" s="216">
        <v>0.44001778093702359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24.95" customHeight="1">
      <c r="A175" s="32" t="s">
        <v>652</v>
      </c>
      <c r="B175" s="217" t="s">
        <v>532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219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24060301659</v>
      </c>
      <c r="O175" s="222"/>
      <c r="P175" s="222"/>
      <c r="Q175" s="222">
        <v>508653415</v>
      </c>
      <c r="R175" s="222"/>
      <c r="S175" s="222">
        <v>5805513391</v>
      </c>
      <c r="T175" s="222">
        <v>18763441683</v>
      </c>
      <c r="U175" s="222">
        <v>17016624017</v>
      </c>
      <c r="V175" s="222">
        <v>1746817666</v>
      </c>
      <c r="W175" s="224">
        <v>0.9069031313384982</v>
      </c>
      <c r="X175" s="222">
        <v>7487617139</v>
      </c>
      <c r="Y175" s="222">
        <v>9529006878</v>
      </c>
      <c r="Z175" s="224">
        <v>0.55998221906297641</v>
      </c>
      <c r="AA175" s="222">
        <v>7487617139</v>
      </c>
      <c r="AB175" s="222">
        <v>0</v>
      </c>
      <c r="AC175" s="224">
        <v>0.44001778093702359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38.25" customHeight="1">
      <c r="A176" s="32" t="s">
        <v>653</v>
      </c>
      <c r="B176" s="210" t="s">
        <v>533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221</v>
      </c>
      <c r="I176" s="212"/>
      <c r="J176" s="212"/>
      <c r="K176" s="213">
        <v>11</v>
      </c>
      <c r="L176" s="214" t="s">
        <v>29</v>
      </c>
      <c r="M176" s="210" t="s">
        <v>222</v>
      </c>
      <c r="N176" s="215">
        <v>45582352481</v>
      </c>
      <c r="O176" s="215">
        <v>0</v>
      </c>
      <c r="P176" s="215">
        <v>0</v>
      </c>
      <c r="Q176" s="215">
        <v>2350109447</v>
      </c>
      <c r="R176" s="215">
        <v>0</v>
      </c>
      <c r="S176" s="215">
        <v>24481010129</v>
      </c>
      <c r="T176" s="215">
        <v>23451451799</v>
      </c>
      <c r="U176" s="215">
        <v>23451451799</v>
      </c>
      <c r="V176" s="215">
        <v>0</v>
      </c>
      <c r="W176" s="216">
        <v>1</v>
      </c>
      <c r="X176" s="215">
        <v>19272243047</v>
      </c>
      <c r="Y176" s="215">
        <v>4179208752</v>
      </c>
      <c r="Z176" s="216">
        <v>0.17820682437145349</v>
      </c>
      <c r="AA176" s="215">
        <v>19272243047</v>
      </c>
      <c r="AB176" s="215">
        <v>0</v>
      </c>
      <c r="AC176" s="216">
        <v>0.82179317562854648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">
        <v>654</v>
      </c>
      <c r="B177" s="217" t="s">
        <v>535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221</v>
      </c>
      <c r="I177" s="274" t="s">
        <v>65</v>
      </c>
      <c r="J177" s="267"/>
      <c r="K177" s="268">
        <v>11</v>
      </c>
      <c r="L177" s="269" t="s">
        <v>29</v>
      </c>
      <c r="M177" s="259" t="s">
        <v>127</v>
      </c>
      <c r="N177" s="222">
        <v>45582352481</v>
      </c>
      <c r="O177" s="222"/>
      <c r="P177" s="222"/>
      <c r="Q177" s="222">
        <v>2350109447</v>
      </c>
      <c r="R177" s="222"/>
      <c r="S177" s="222">
        <v>24481010129</v>
      </c>
      <c r="T177" s="222">
        <v>23451451799</v>
      </c>
      <c r="U177" s="222">
        <v>23451451799</v>
      </c>
      <c r="V177" s="222">
        <v>0</v>
      </c>
      <c r="W177" s="224">
        <v>1</v>
      </c>
      <c r="X177" s="222">
        <v>19272243047</v>
      </c>
      <c r="Y177" s="222">
        <v>4179208752</v>
      </c>
      <c r="Z177" s="224">
        <v>0.17820682437145349</v>
      </c>
      <c r="AA177" s="222">
        <v>19272243047</v>
      </c>
      <c r="AB177" s="222">
        <v>0</v>
      </c>
      <c r="AC177" s="224">
        <v>0.82179317562854648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36" customHeight="1">
      <c r="A178" s="32" t="s">
        <v>655</v>
      </c>
      <c r="B178" s="210" t="s">
        <v>536</v>
      </c>
      <c r="C178" s="211" t="s">
        <v>167</v>
      </c>
      <c r="D178" s="212" t="s">
        <v>190</v>
      </c>
      <c r="E178" s="212" t="s">
        <v>172</v>
      </c>
      <c r="F178" s="212" t="s">
        <v>217</v>
      </c>
      <c r="G178" s="212" t="s">
        <v>175</v>
      </c>
      <c r="H178" s="212" t="s">
        <v>223</v>
      </c>
      <c r="I178" s="212"/>
      <c r="J178" s="212"/>
      <c r="K178" s="213">
        <v>11</v>
      </c>
      <c r="L178" s="214" t="s">
        <v>29</v>
      </c>
      <c r="M178" s="210" t="s">
        <v>224</v>
      </c>
      <c r="N178" s="215">
        <v>12632794125</v>
      </c>
      <c r="O178" s="215">
        <v>0</v>
      </c>
      <c r="P178" s="215">
        <v>0</v>
      </c>
      <c r="Q178" s="215">
        <v>0</v>
      </c>
      <c r="R178" s="215">
        <v>0</v>
      </c>
      <c r="S178" s="215">
        <v>9713476480</v>
      </c>
      <c r="T178" s="215">
        <v>2919317645</v>
      </c>
      <c r="U178" s="215">
        <v>2919317645</v>
      </c>
      <c r="V178" s="215">
        <v>0</v>
      </c>
      <c r="W178" s="216">
        <v>1</v>
      </c>
      <c r="X178" s="215">
        <v>2919317645</v>
      </c>
      <c r="Y178" s="215">
        <v>0</v>
      </c>
      <c r="Z178" s="216">
        <v>0</v>
      </c>
      <c r="AA178" s="215">
        <v>2919317645</v>
      </c>
      <c r="AB178" s="215">
        <v>0</v>
      </c>
      <c r="AC178" s="216">
        <v>1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24.95" customHeight="1">
      <c r="A179" s="32" t="s">
        <v>538</v>
      </c>
      <c r="B179" s="217" t="s">
        <v>537</v>
      </c>
      <c r="C179" s="266" t="s">
        <v>167</v>
      </c>
      <c r="D179" s="267" t="s">
        <v>190</v>
      </c>
      <c r="E179" s="267" t="s">
        <v>172</v>
      </c>
      <c r="F179" s="267" t="s">
        <v>217</v>
      </c>
      <c r="G179" s="267" t="s">
        <v>175</v>
      </c>
      <c r="H179" s="267" t="s">
        <v>223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12632794125</v>
      </c>
      <c r="O179" s="222"/>
      <c r="P179" s="222"/>
      <c r="Q179" s="223"/>
      <c r="R179" s="222"/>
      <c r="S179" s="222">
        <v>9713476480</v>
      </c>
      <c r="T179" s="222">
        <v>2919317645</v>
      </c>
      <c r="U179" s="222">
        <v>2919317645</v>
      </c>
      <c r="V179" s="222">
        <v>0</v>
      </c>
      <c r="W179" s="224">
        <v>1</v>
      </c>
      <c r="X179" s="222">
        <v>2919317645</v>
      </c>
      <c r="Y179" s="222">
        <v>0</v>
      </c>
      <c r="Z179" s="224">
        <v>0</v>
      </c>
      <c r="AA179" s="222">
        <v>2919317645</v>
      </c>
      <c r="AB179" s="222">
        <v>0</v>
      </c>
      <c r="AC179" s="224">
        <v>1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36.75" customHeight="1">
      <c r="A180" s="32" t="s">
        <v>656</v>
      </c>
      <c r="B180" s="210" t="s">
        <v>540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225</v>
      </c>
      <c r="I180" s="212"/>
      <c r="J180" s="212"/>
      <c r="K180" s="213">
        <v>11</v>
      </c>
      <c r="L180" s="214" t="s">
        <v>29</v>
      </c>
      <c r="M180" s="210" t="s">
        <v>226</v>
      </c>
      <c r="N180" s="215">
        <v>1307947412</v>
      </c>
      <c r="O180" s="215">
        <v>0</v>
      </c>
      <c r="P180" s="215">
        <v>0</v>
      </c>
      <c r="Q180" s="215">
        <v>0</v>
      </c>
      <c r="R180" s="215">
        <v>332606115</v>
      </c>
      <c r="S180" s="215">
        <v>0</v>
      </c>
      <c r="T180" s="215">
        <v>975341297</v>
      </c>
      <c r="U180" s="215">
        <v>975341297</v>
      </c>
      <c r="V180" s="215">
        <v>0</v>
      </c>
      <c r="W180" s="216">
        <v>1</v>
      </c>
      <c r="X180" s="215">
        <v>975341297</v>
      </c>
      <c r="Y180" s="215">
        <v>0</v>
      </c>
      <c r="Z180" s="216">
        <v>0</v>
      </c>
      <c r="AA180" s="215">
        <v>975341297</v>
      </c>
      <c r="AB180" s="215">
        <v>0</v>
      </c>
      <c r="AC180" s="216">
        <v>1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customHeight="1">
      <c r="A181" s="32" t="s">
        <v>542</v>
      </c>
      <c r="B181" s="217" t="s">
        <v>541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225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>
        <v>1307947412</v>
      </c>
      <c r="O181" s="222"/>
      <c r="P181" s="222"/>
      <c r="Q181" s="222"/>
      <c r="R181" s="222">
        <v>332606115</v>
      </c>
      <c r="S181" s="222"/>
      <c r="T181" s="222">
        <v>975341297</v>
      </c>
      <c r="U181" s="222">
        <v>975341297</v>
      </c>
      <c r="V181" s="222">
        <v>0</v>
      </c>
      <c r="W181" s="224">
        <v>1</v>
      </c>
      <c r="X181" s="222">
        <v>975341297</v>
      </c>
      <c r="Y181" s="222">
        <v>0</v>
      </c>
      <c r="Z181" s="224">
        <v>0</v>
      </c>
      <c r="AA181" s="222">
        <v>975341297</v>
      </c>
      <c r="AB181" s="222">
        <v>0</v>
      </c>
      <c r="AC181" s="224">
        <v>1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42" customHeight="1">
      <c r="A182" s="32" t="s">
        <v>657</v>
      </c>
      <c r="B182" s="226" t="s">
        <v>658</v>
      </c>
      <c r="C182" s="227" t="s">
        <v>167</v>
      </c>
      <c r="D182" s="228" t="s">
        <v>190</v>
      </c>
      <c r="E182" s="228" t="s">
        <v>172</v>
      </c>
      <c r="F182" s="228">
        <v>18</v>
      </c>
      <c r="G182" s="228"/>
      <c r="H182" s="228"/>
      <c r="I182" s="228"/>
      <c r="J182" s="228"/>
      <c r="K182" s="229"/>
      <c r="L182" s="230"/>
      <c r="M182" s="231" t="s">
        <v>284</v>
      </c>
      <c r="N182" s="232">
        <v>70125561842</v>
      </c>
      <c r="O182" s="232">
        <v>0</v>
      </c>
      <c r="P182" s="232">
        <v>0</v>
      </c>
      <c r="Q182" s="232">
        <v>0</v>
      </c>
      <c r="R182" s="232">
        <v>2202858792</v>
      </c>
      <c r="S182" s="232">
        <v>60000000000</v>
      </c>
      <c r="T182" s="232">
        <v>7922703050</v>
      </c>
      <c r="U182" s="232">
        <v>5803449090.9899998</v>
      </c>
      <c r="V182" s="232">
        <v>2119253959.0100002</v>
      </c>
      <c r="W182" s="233">
        <v>0.73250872263728217</v>
      </c>
      <c r="X182" s="232">
        <v>2874334006.3800001</v>
      </c>
      <c r="Y182" s="232">
        <v>2929115084.6099997</v>
      </c>
      <c r="Z182" s="233">
        <v>0.50471970007586076</v>
      </c>
      <c r="AA182" s="232">
        <v>2874334006.3800001</v>
      </c>
      <c r="AB182" s="232">
        <v>0</v>
      </c>
      <c r="AC182" s="233">
        <v>0.49528029992413919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36" customHeight="1">
      <c r="A183" s="32" t="s">
        <v>659</v>
      </c>
      <c r="B183" s="210" t="s">
        <v>660</v>
      </c>
      <c r="C183" s="211" t="s">
        <v>167</v>
      </c>
      <c r="D183" s="212" t="s">
        <v>190</v>
      </c>
      <c r="E183" s="212" t="s">
        <v>172</v>
      </c>
      <c r="F183" s="212">
        <v>18</v>
      </c>
      <c r="G183" s="212" t="s">
        <v>175</v>
      </c>
      <c r="H183" s="212">
        <v>4103050</v>
      </c>
      <c r="I183" s="212"/>
      <c r="J183" s="212"/>
      <c r="K183" s="213">
        <v>11</v>
      </c>
      <c r="L183" s="214" t="s">
        <v>29</v>
      </c>
      <c r="M183" s="210" t="s">
        <v>269</v>
      </c>
      <c r="N183" s="215">
        <v>70125561842</v>
      </c>
      <c r="O183" s="215">
        <v>0</v>
      </c>
      <c r="P183" s="215">
        <v>0</v>
      </c>
      <c r="Q183" s="215">
        <v>0</v>
      </c>
      <c r="R183" s="215">
        <v>2202858792</v>
      </c>
      <c r="S183" s="215">
        <v>60000000000</v>
      </c>
      <c r="T183" s="215">
        <v>7922703050</v>
      </c>
      <c r="U183" s="215">
        <v>5803449090.9899998</v>
      </c>
      <c r="V183" s="215">
        <v>2119253959.0100002</v>
      </c>
      <c r="W183" s="216">
        <v>0.73250872263728217</v>
      </c>
      <c r="X183" s="215">
        <v>2874334006.3800001</v>
      </c>
      <c r="Y183" s="215">
        <v>2929115084.6099997</v>
      </c>
      <c r="Z183" s="216">
        <v>0.50471970007586076</v>
      </c>
      <c r="AA183" s="215">
        <v>2874334006.3800001</v>
      </c>
      <c r="AB183" s="215">
        <v>0</v>
      </c>
      <c r="AC183" s="216">
        <v>0.49528029992413919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24.95" customHeight="1">
      <c r="A184" s="32" t="s">
        <v>661</v>
      </c>
      <c r="B184" s="217" t="s">
        <v>662</v>
      </c>
      <c r="C184" s="266" t="s">
        <v>167</v>
      </c>
      <c r="D184" s="267" t="s">
        <v>190</v>
      </c>
      <c r="E184" s="267" t="s">
        <v>172</v>
      </c>
      <c r="F184" s="267">
        <v>18</v>
      </c>
      <c r="G184" s="267" t="s">
        <v>175</v>
      </c>
      <c r="H184" s="267">
        <v>4103050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70125561842</v>
      </c>
      <c r="O184" s="222"/>
      <c r="P184" s="222"/>
      <c r="Q184" s="222"/>
      <c r="R184" s="222">
        <v>2202858792</v>
      </c>
      <c r="S184" s="222">
        <v>60000000000</v>
      </c>
      <c r="T184" s="222">
        <v>7922703050</v>
      </c>
      <c r="U184" s="222">
        <v>5803449090.9899998</v>
      </c>
      <c r="V184" s="222">
        <v>2119253959.0100002</v>
      </c>
      <c r="W184" s="224">
        <v>0.73250872263728217</v>
      </c>
      <c r="X184" s="222">
        <v>2874334006.3800001</v>
      </c>
      <c r="Y184" s="222">
        <v>2929115084.6099997</v>
      </c>
      <c r="Z184" s="224">
        <v>0.50471970007586076</v>
      </c>
      <c r="AA184" s="222">
        <v>2874334006.3800001</v>
      </c>
      <c r="AB184" s="222">
        <v>0</v>
      </c>
      <c r="AC184" s="224">
        <v>0.49528029992413919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36" customHeight="1">
      <c r="A185" s="32" t="s">
        <v>663</v>
      </c>
      <c r="B185" s="226" t="s">
        <v>664</v>
      </c>
      <c r="C185" s="227" t="s">
        <v>167</v>
      </c>
      <c r="D185" s="228" t="s">
        <v>190</v>
      </c>
      <c r="E185" s="228" t="s">
        <v>172</v>
      </c>
      <c r="F185" s="228">
        <v>19</v>
      </c>
      <c r="G185" s="228"/>
      <c r="H185" s="228"/>
      <c r="I185" s="228"/>
      <c r="J185" s="228"/>
      <c r="K185" s="229"/>
      <c r="L185" s="230"/>
      <c r="M185" s="231" t="s">
        <v>285</v>
      </c>
      <c r="N185" s="232">
        <v>11281479935</v>
      </c>
      <c r="O185" s="232">
        <v>0</v>
      </c>
      <c r="P185" s="232">
        <v>0</v>
      </c>
      <c r="Q185" s="232">
        <v>114769224</v>
      </c>
      <c r="R185" s="232">
        <v>1793250230</v>
      </c>
      <c r="S185" s="232">
        <v>0</v>
      </c>
      <c r="T185" s="232">
        <v>9602998929</v>
      </c>
      <c r="U185" s="232">
        <v>9107062870.0499992</v>
      </c>
      <c r="V185" s="232">
        <v>495936058.95000076</v>
      </c>
      <c r="W185" s="233">
        <v>0.94835612680822778</v>
      </c>
      <c r="X185" s="232">
        <v>2953706019.6500001</v>
      </c>
      <c r="Y185" s="232">
        <v>6153356850.3999996</v>
      </c>
      <c r="Z185" s="233">
        <v>0.67566864731287579</v>
      </c>
      <c r="AA185" s="232">
        <v>2917200498.6500001</v>
      </c>
      <c r="AB185" s="232">
        <v>36505521</v>
      </c>
      <c r="AC185" s="233">
        <v>0.32032286811631333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9.75" customHeight="1">
      <c r="A186" s="32" t="s">
        <v>665</v>
      </c>
      <c r="B186" s="210" t="s">
        <v>666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4103049</v>
      </c>
      <c r="I186" s="212"/>
      <c r="J186" s="212"/>
      <c r="K186" s="213">
        <v>11</v>
      </c>
      <c r="L186" s="214" t="s">
        <v>29</v>
      </c>
      <c r="M186" s="210" t="s">
        <v>228</v>
      </c>
      <c r="N186" s="215">
        <v>218772000</v>
      </c>
      <c r="O186" s="215">
        <v>0</v>
      </c>
      <c r="P186" s="215">
        <v>0</v>
      </c>
      <c r="Q186" s="215">
        <v>114769224</v>
      </c>
      <c r="R186" s="215">
        <v>0</v>
      </c>
      <c r="S186" s="215">
        <v>0</v>
      </c>
      <c r="T186" s="215">
        <v>333541224</v>
      </c>
      <c r="U186" s="215">
        <v>227159834</v>
      </c>
      <c r="V186" s="215">
        <v>106381390</v>
      </c>
      <c r="W186" s="216">
        <v>0.68105474722368953</v>
      </c>
      <c r="X186" s="215">
        <v>159314619</v>
      </c>
      <c r="Y186" s="215">
        <v>67845215</v>
      </c>
      <c r="Z186" s="216">
        <v>0.29866730312895018</v>
      </c>
      <c r="AA186" s="215">
        <v>155162619</v>
      </c>
      <c r="AB186" s="215">
        <v>4152000</v>
      </c>
      <c r="AC186" s="216">
        <v>0.68305481769281451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customHeight="1">
      <c r="A187" s="32" t="s">
        <v>667</v>
      </c>
      <c r="B187" s="217" t="s">
        <v>668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4103049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218772000</v>
      </c>
      <c r="O187" s="222"/>
      <c r="P187" s="222"/>
      <c r="Q187" s="222">
        <v>114769224</v>
      </c>
      <c r="R187" s="222"/>
      <c r="S187" s="222"/>
      <c r="T187" s="222">
        <v>333541224</v>
      </c>
      <c r="U187" s="222">
        <v>227159834</v>
      </c>
      <c r="V187" s="222">
        <v>106381390</v>
      </c>
      <c r="W187" s="224">
        <v>0.68105474722368953</v>
      </c>
      <c r="X187" s="222">
        <v>159314619</v>
      </c>
      <c r="Y187" s="222">
        <v>67845215</v>
      </c>
      <c r="Z187" s="224">
        <v>0.29866730312895018</v>
      </c>
      <c r="AA187" s="222">
        <v>155162619</v>
      </c>
      <c r="AB187" s="222">
        <v>4152000</v>
      </c>
      <c r="AC187" s="224">
        <v>0.68305481769281451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34.5" customHeight="1">
      <c r="A188" s="32" t="s">
        <v>669</v>
      </c>
      <c r="B188" s="210" t="s">
        <v>670</v>
      </c>
      <c r="C188" s="211" t="s">
        <v>167</v>
      </c>
      <c r="D188" s="212" t="s">
        <v>190</v>
      </c>
      <c r="E188" s="212" t="s">
        <v>172</v>
      </c>
      <c r="F188" s="212">
        <v>19</v>
      </c>
      <c r="G188" s="212" t="s">
        <v>175</v>
      </c>
      <c r="H188" s="212">
        <v>4103052</v>
      </c>
      <c r="I188" s="212"/>
      <c r="J188" s="212"/>
      <c r="K188" s="213">
        <v>11</v>
      </c>
      <c r="L188" s="214" t="s">
        <v>29</v>
      </c>
      <c r="M188" s="210" t="s">
        <v>229</v>
      </c>
      <c r="N188" s="215">
        <v>9835707936</v>
      </c>
      <c r="O188" s="215">
        <v>0</v>
      </c>
      <c r="P188" s="215">
        <v>0</v>
      </c>
      <c r="Q188" s="215">
        <v>0</v>
      </c>
      <c r="R188" s="215">
        <v>566250231</v>
      </c>
      <c r="S188" s="215">
        <v>0</v>
      </c>
      <c r="T188" s="215">
        <v>9269457705</v>
      </c>
      <c r="U188" s="215">
        <v>8879903036.0499992</v>
      </c>
      <c r="V188" s="215">
        <v>389554668.95000076</v>
      </c>
      <c r="W188" s="216">
        <v>0.9579743841174363</v>
      </c>
      <c r="X188" s="215">
        <v>2794391400.6500001</v>
      </c>
      <c r="Y188" s="215">
        <v>6085511635.3999996</v>
      </c>
      <c r="Z188" s="216">
        <v>0.68531284752710386</v>
      </c>
      <c r="AA188" s="215">
        <v>2762037879.6500001</v>
      </c>
      <c r="AB188" s="215">
        <v>32353521</v>
      </c>
      <c r="AC188" s="216">
        <v>0.31104369816166627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24.95" customHeight="1">
      <c r="A189" s="32" t="s">
        <v>671</v>
      </c>
      <c r="B189" s="217" t="s">
        <v>672</v>
      </c>
      <c r="C189" s="266" t="s">
        <v>167</v>
      </c>
      <c r="D189" s="267" t="s">
        <v>190</v>
      </c>
      <c r="E189" s="267" t="s">
        <v>172</v>
      </c>
      <c r="F189" s="267">
        <v>19</v>
      </c>
      <c r="G189" s="267" t="s">
        <v>175</v>
      </c>
      <c r="H189" s="267">
        <v>4103052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9835707936</v>
      </c>
      <c r="O189" s="222"/>
      <c r="P189" s="222"/>
      <c r="Q189" s="222"/>
      <c r="R189" s="222">
        <v>566250231</v>
      </c>
      <c r="S189" s="222"/>
      <c r="T189" s="222">
        <v>9269457705</v>
      </c>
      <c r="U189" s="222">
        <v>8879903036.0499992</v>
      </c>
      <c r="V189" s="222">
        <v>389554668.95000076</v>
      </c>
      <c r="W189" s="224">
        <v>0.9579743841174363</v>
      </c>
      <c r="X189" s="222">
        <v>2794391400.6500001</v>
      </c>
      <c r="Y189" s="222">
        <v>6085511635.3999996</v>
      </c>
      <c r="Z189" s="224">
        <v>0.68531284752710386</v>
      </c>
      <c r="AA189" s="222">
        <v>2762037879.6500001</v>
      </c>
      <c r="AB189" s="222">
        <v>32353521</v>
      </c>
      <c r="AC189" s="224">
        <v>0.31104369816166627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">
        <v>673</v>
      </c>
      <c r="B190" s="210" t="s">
        <v>674</v>
      </c>
      <c r="C190" s="211" t="s">
        <v>167</v>
      </c>
      <c r="D190" s="212" t="s">
        <v>190</v>
      </c>
      <c r="E190" s="212" t="s">
        <v>172</v>
      </c>
      <c r="F190" s="212">
        <v>19</v>
      </c>
      <c r="G190" s="212" t="s">
        <v>175</v>
      </c>
      <c r="H190" s="212">
        <v>4103060</v>
      </c>
      <c r="I190" s="212"/>
      <c r="J190" s="212"/>
      <c r="K190" s="213">
        <v>11</v>
      </c>
      <c r="L190" s="214" t="s">
        <v>29</v>
      </c>
      <c r="M190" s="210" t="s">
        <v>216</v>
      </c>
      <c r="N190" s="215">
        <v>1226999999</v>
      </c>
      <c r="O190" s="215">
        <v>0</v>
      </c>
      <c r="P190" s="215">
        <v>0</v>
      </c>
      <c r="Q190" s="215">
        <v>0</v>
      </c>
      <c r="R190" s="215">
        <v>1226999999</v>
      </c>
      <c r="S190" s="215">
        <v>0</v>
      </c>
      <c r="T190" s="215">
        <v>0</v>
      </c>
      <c r="U190" s="215">
        <v>0</v>
      </c>
      <c r="V190" s="215">
        <v>0</v>
      </c>
      <c r="W190" s="216">
        <v>0</v>
      </c>
      <c r="X190" s="215">
        <v>0</v>
      </c>
      <c r="Y190" s="215">
        <v>0</v>
      </c>
      <c r="Z190" s="216">
        <v>0</v>
      </c>
      <c r="AA190" s="215">
        <v>0</v>
      </c>
      <c r="AB190" s="215">
        <v>0</v>
      </c>
      <c r="AC190" s="216"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24.95" customHeight="1">
      <c r="A191" s="32" t="s">
        <v>675</v>
      </c>
      <c r="B191" s="217" t="s">
        <v>676</v>
      </c>
      <c r="C191" s="266" t="s">
        <v>167</v>
      </c>
      <c r="D191" s="267" t="s">
        <v>190</v>
      </c>
      <c r="E191" s="267" t="s">
        <v>172</v>
      </c>
      <c r="F191" s="267">
        <v>19</v>
      </c>
      <c r="G191" s="267" t="s">
        <v>175</v>
      </c>
      <c r="H191" s="267">
        <v>4103060</v>
      </c>
      <c r="I191" s="267" t="s">
        <v>54</v>
      </c>
      <c r="J191" s="267"/>
      <c r="K191" s="268">
        <v>11</v>
      </c>
      <c r="L191" s="269" t="s">
        <v>29</v>
      </c>
      <c r="M191" s="259" t="s">
        <v>178</v>
      </c>
      <c r="N191" s="222">
        <v>1226999999</v>
      </c>
      <c r="O191" s="222"/>
      <c r="P191" s="222"/>
      <c r="Q191" s="222"/>
      <c r="R191" s="222">
        <v>1226999999</v>
      </c>
      <c r="S191" s="222"/>
      <c r="T191" s="222">
        <v>0</v>
      </c>
      <c r="U191" s="222">
        <v>0</v>
      </c>
      <c r="V191" s="222">
        <v>0</v>
      </c>
      <c r="W191" s="224">
        <v>0</v>
      </c>
      <c r="X191" s="222">
        <v>0</v>
      </c>
      <c r="Y191" s="222">
        <v>0</v>
      </c>
      <c r="Z191" s="224">
        <v>0</v>
      </c>
      <c r="AA191" s="222">
        <v>0</v>
      </c>
      <c r="AB191" s="222">
        <v>0</v>
      </c>
      <c r="AC191" s="224"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40.5" customHeight="1">
      <c r="A192" s="32" t="s">
        <v>677</v>
      </c>
      <c r="B192" s="226" t="s">
        <v>678</v>
      </c>
      <c r="C192" s="227" t="s">
        <v>167</v>
      </c>
      <c r="D192" s="228" t="s">
        <v>190</v>
      </c>
      <c r="E192" s="228" t="s">
        <v>172</v>
      </c>
      <c r="F192" s="228">
        <v>20</v>
      </c>
      <c r="G192" s="228"/>
      <c r="H192" s="228"/>
      <c r="I192" s="228"/>
      <c r="J192" s="228"/>
      <c r="K192" s="229"/>
      <c r="L192" s="230"/>
      <c r="M192" s="231" t="s">
        <v>286</v>
      </c>
      <c r="N192" s="232">
        <v>0</v>
      </c>
      <c r="O192" s="232">
        <v>0</v>
      </c>
      <c r="P192" s="232">
        <v>0</v>
      </c>
      <c r="Q192" s="232">
        <v>285960800000</v>
      </c>
      <c r="R192" s="232">
        <v>5960800000</v>
      </c>
      <c r="S192" s="232">
        <v>0</v>
      </c>
      <c r="T192" s="232">
        <v>280000000000</v>
      </c>
      <c r="U192" s="232">
        <v>230290657916.81</v>
      </c>
      <c r="V192" s="232">
        <v>49709342083.190002</v>
      </c>
      <c r="W192" s="233">
        <v>0.82246663541717857</v>
      </c>
      <c r="X192" s="232">
        <v>214262908115</v>
      </c>
      <c r="Y192" s="232">
        <v>16027749801.809999</v>
      </c>
      <c r="Z192" s="233">
        <v>6.959791572439665E-2</v>
      </c>
      <c r="AA192" s="232">
        <v>214262908115</v>
      </c>
      <c r="AB192" s="232">
        <v>0</v>
      </c>
      <c r="AC192" s="233">
        <v>0.93040208427560334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36.75" customHeight="1">
      <c r="A193" s="32" t="s">
        <v>679</v>
      </c>
      <c r="B193" s="210" t="s">
        <v>680</v>
      </c>
      <c r="C193" s="211" t="s">
        <v>167</v>
      </c>
      <c r="D193" s="212" t="s">
        <v>190</v>
      </c>
      <c r="E193" s="212" t="s">
        <v>172</v>
      </c>
      <c r="F193" s="212">
        <v>20</v>
      </c>
      <c r="G193" s="212" t="s">
        <v>175</v>
      </c>
      <c r="H193" s="212">
        <v>4103061</v>
      </c>
      <c r="I193" s="212"/>
      <c r="J193" s="212"/>
      <c r="K193" s="213">
        <v>11</v>
      </c>
      <c r="L193" s="214" t="s">
        <v>29</v>
      </c>
      <c r="M193" s="210" t="s">
        <v>231</v>
      </c>
      <c r="N193" s="215">
        <v>0</v>
      </c>
      <c r="O193" s="215">
        <v>0</v>
      </c>
      <c r="P193" s="215">
        <v>0</v>
      </c>
      <c r="Q193" s="215">
        <v>285960800000</v>
      </c>
      <c r="R193" s="215">
        <v>5960800000</v>
      </c>
      <c r="S193" s="215">
        <v>0</v>
      </c>
      <c r="T193" s="215">
        <v>280000000000</v>
      </c>
      <c r="U193" s="215">
        <v>230290657916.81</v>
      </c>
      <c r="V193" s="215">
        <v>49709342083.190002</v>
      </c>
      <c r="W193" s="216">
        <v>0.82246663541717857</v>
      </c>
      <c r="X193" s="215">
        <v>214262908115</v>
      </c>
      <c r="Y193" s="215">
        <v>16027749801.809999</v>
      </c>
      <c r="Z193" s="216">
        <v>6.959791572439665E-2</v>
      </c>
      <c r="AA193" s="215">
        <v>214262908115</v>
      </c>
      <c r="AB193" s="215">
        <v>0</v>
      </c>
      <c r="AC193" s="216">
        <v>0.93040208427560334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24.95" customHeight="1">
      <c r="A194" s="32" t="s">
        <v>681</v>
      </c>
      <c r="B194" s="217" t="s">
        <v>682</v>
      </c>
      <c r="C194" s="266" t="s">
        <v>167</v>
      </c>
      <c r="D194" s="267" t="s">
        <v>190</v>
      </c>
      <c r="E194" s="267" t="s">
        <v>172</v>
      </c>
      <c r="F194" s="267">
        <v>20</v>
      </c>
      <c r="G194" s="267" t="s">
        <v>175</v>
      </c>
      <c r="H194" s="267">
        <v>4103061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0</v>
      </c>
      <c r="O194" s="222"/>
      <c r="P194" s="222"/>
      <c r="Q194" s="222">
        <v>25879800000</v>
      </c>
      <c r="R194" s="222"/>
      <c r="S194" s="222"/>
      <c r="T194" s="222">
        <v>25879800000</v>
      </c>
      <c r="U194" s="222">
        <v>13563307916.809999</v>
      </c>
      <c r="V194" s="222">
        <v>12316492083.190001</v>
      </c>
      <c r="W194" s="224">
        <v>0.52408859097867833</v>
      </c>
      <c r="X194" s="222">
        <v>4656958115</v>
      </c>
      <c r="Y194" s="222">
        <v>8906349801.8099995</v>
      </c>
      <c r="Z194" s="224">
        <v>0.65665026971567231</v>
      </c>
      <c r="AA194" s="222">
        <v>4656958115</v>
      </c>
      <c r="AB194" s="222">
        <v>0</v>
      </c>
      <c r="AC194" s="224">
        <v>0.34334973028432769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">
        <v>683</v>
      </c>
      <c r="B195" s="217" t="s">
        <v>684</v>
      </c>
      <c r="C195" s="266" t="s">
        <v>167</v>
      </c>
      <c r="D195" s="267" t="s">
        <v>190</v>
      </c>
      <c r="E195" s="267" t="s">
        <v>172</v>
      </c>
      <c r="F195" s="267">
        <v>20</v>
      </c>
      <c r="G195" s="267" t="s">
        <v>175</v>
      </c>
      <c r="H195" s="267">
        <v>4103061</v>
      </c>
      <c r="I195" s="274" t="s">
        <v>65</v>
      </c>
      <c r="J195" s="267"/>
      <c r="K195" s="268">
        <v>11</v>
      </c>
      <c r="L195" s="269" t="s">
        <v>29</v>
      </c>
      <c r="M195" s="259" t="s">
        <v>127</v>
      </c>
      <c r="N195" s="222">
        <v>0</v>
      </c>
      <c r="O195" s="222"/>
      <c r="P195" s="222"/>
      <c r="Q195" s="222">
        <v>260081000000</v>
      </c>
      <c r="R195" s="222">
        <v>5960800000</v>
      </c>
      <c r="S195" s="222"/>
      <c r="T195" s="222">
        <v>254120200000</v>
      </c>
      <c r="U195" s="222">
        <v>216727350000</v>
      </c>
      <c r="V195" s="222">
        <v>37392850000</v>
      </c>
      <c r="W195" s="224">
        <v>0.85285368892358815</v>
      </c>
      <c r="X195" s="222">
        <v>209605950000</v>
      </c>
      <c r="Y195" s="222">
        <v>7121400000</v>
      </c>
      <c r="Z195" s="224">
        <v>3.2858797009237641E-2</v>
      </c>
      <c r="AA195" s="222">
        <v>209605950000</v>
      </c>
      <c r="AB195" s="222">
        <v>0</v>
      </c>
      <c r="AC195" s="224">
        <v>0.96714120299076234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43.5" customHeight="1">
      <c r="A196" s="32"/>
      <c r="B196" s="226" t="s">
        <v>685</v>
      </c>
      <c r="C196" s="227" t="s">
        <v>167</v>
      </c>
      <c r="D196" s="228" t="s">
        <v>190</v>
      </c>
      <c r="E196" s="228" t="s">
        <v>172</v>
      </c>
      <c r="F196" s="228">
        <v>23</v>
      </c>
      <c r="G196" s="228"/>
      <c r="H196" s="228"/>
      <c r="I196" s="228"/>
      <c r="J196" s="228"/>
      <c r="K196" s="229"/>
      <c r="L196" s="230"/>
      <c r="M196" s="231" t="s">
        <v>248</v>
      </c>
      <c r="N196" s="232">
        <v>0</v>
      </c>
      <c r="O196" s="232">
        <v>0</v>
      </c>
      <c r="P196" s="232">
        <v>0</v>
      </c>
      <c r="Q196" s="232">
        <v>1000000</v>
      </c>
      <c r="R196" s="232">
        <v>0</v>
      </c>
      <c r="S196" s="232">
        <v>0</v>
      </c>
      <c r="T196" s="232">
        <v>1000000</v>
      </c>
      <c r="U196" s="232">
        <v>0</v>
      </c>
      <c r="V196" s="232">
        <v>1000000</v>
      </c>
      <c r="W196" s="233">
        <v>0</v>
      </c>
      <c r="X196" s="232">
        <v>0</v>
      </c>
      <c r="Y196" s="232">
        <v>0</v>
      </c>
      <c r="Z196" s="233">
        <v>0</v>
      </c>
      <c r="AA196" s="232">
        <v>0</v>
      </c>
      <c r="AB196" s="232">
        <v>0</v>
      </c>
      <c r="AC196" s="233">
        <v>0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36" customHeight="1">
      <c r="A197" s="32"/>
      <c r="B197" s="210" t="s">
        <v>686</v>
      </c>
      <c r="C197" s="211" t="s">
        <v>167</v>
      </c>
      <c r="D197" s="212" t="s">
        <v>190</v>
      </c>
      <c r="E197" s="212" t="s">
        <v>172</v>
      </c>
      <c r="F197" s="212">
        <v>23</v>
      </c>
      <c r="G197" s="212"/>
      <c r="H197" s="212"/>
      <c r="I197" s="212"/>
      <c r="J197" s="212"/>
      <c r="K197" s="213">
        <v>11</v>
      </c>
      <c r="L197" s="214" t="s">
        <v>29</v>
      </c>
      <c r="M197" s="210" t="s">
        <v>248</v>
      </c>
      <c r="N197" s="215">
        <v>0</v>
      </c>
      <c r="O197" s="215">
        <v>0</v>
      </c>
      <c r="P197" s="215">
        <v>0</v>
      </c>
      <c r="Q197" s="215">
        <v>1000000</v>
      </c>
      <c r="R197" s="215">
        <v>0</v>
      </c>
      <c r="S197" s="215">
        <v>0</v>
      </c>
      <c r="T197" s="215">
        <v>1000000</v>
      </c>
      <c r="U197" s="215">
        <v>0</v>
      </c>
      <c r="V197" s="215">
        <v>1000000</v>
      </c>
      <c r="W197" s="216">
        <v>0</v>
      </c>
      <c r="X197" s="215">
        <v>0</v>
      </c>
      <c r="Y197" s="215">
        <v>0</v>
      </c>
      <c r="Z197" s="216">
        <v>0</v>
      </c>
      <c r="AA197" s="215">
        <v>0</v>
      </c>
      <c r="AB197" s="215">
        <v>0</v>
      </c>
      <c r="AC197" s="216">
        <v>0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4.5" hidden="1" customHeight="1">
      <c r="A198" s="32"/>
      <c r="B198" s="217" t="s">
        <v>687</v>
      </c>
      <c r="C198" s="266" t="s">
        <v>167</v>
      </c>
      <c r="D198" s="267" t="s">
        <v>190</v>
      </c>
      <c r="E198" s="267" t="s">
        <v>172</v>
      </c>
      <c r="F198" s="267">
        <v>23</v>
      </c>
      <c r="G198" s="267"/>
      <c r="H198" s="267"/>
      <c r="I198" s="267"/>
      <c r="J198" s="267"/>
      <c r="K198" s="268">
        <v>11</v>
      </c>
      <c r="L198" s="269" t="s">
        <v>29</v>
      </c>
      <c r="M198" s="259"/>
      <c r="N198" s="222">
        <v>0</v>
      </c>
      <c r="O198" s="222"/>
      <c r="P198" s="222"/>
      <c r="Q198" s="222">
        <v>1000000</v>
      </c>
      <c r="R198" s="222"/>
      <c r="S198" s="222"/>
      <c r="T198" s="222">
        <v>1000000</v>
      </c>
      <c r="U198" s="222"/>
      <c r="V198" s="222">
        <v>1000000</v>
      </c>
      <c r="W198" s="224">
        <v>0</v>
      </c>
      <c r="X198" s="222"/>
      <c r="Y198" s="222">
        <v>0</v>
      </c>
      <c r="Z198" s="224">
        <v>0</v>
      </c>
      <c r="AA198" s="222"/>
      <c r="AB198" s="222">
        <v>0</v>
      </c>
      <c r="AC198" s="224">
        <v>0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35.1" customHeight="1">
      <c r="A199" s="32" t="s">
        <v>543</v>
      </c>
      <c r="B199" s="188" t="s">
        <v>544</v>
      </c>
      <c r="C199" s="189" t="s">
        <v>167</v>
      </c>
      <c r="D199" s="191">
        <v>4199</v>
      </c>
      <c r="E199" s="191"/>
      <c r="F199" s="191"/>
      <c r="G199" s="191"/>
      <c r="H199" s="191"/>
      <c r="I199" s="191"/>
      <c r="J199" s="191"/>
      <c r="K199" s="192"/>
      <c r="L199" s="193"/>
      <c r="M199" s="188" t="s">
        <v>250</v>
      </c>
      <c r="N199" s="194">
        <v>3226548466</v>
      </c>
      <c r="O199" s="194">
        <v>0</v>
      </c>
      <c r="P199" s="194">
        <v>0</v>
      </c>
      <c r="Q199" s="194">
        <v>0</v>
      </c>
      <c r="R199" s="194">
        <v>0</v>
      </c>
      <c r="S199" s="194">
        <v>0</v>
      </c>
      <c r="T199" s="194">
        <v>3226548466</v>
      </c>
      <c r="U199" s="194">
        <v>2824585206.1300001</v>
      </c>
      <c r="V199" s="194">
        <v>401963259.86999989</v>
      </c>
      <c r="W199" s="195">
        <v>0.87542004587697397</v>
      </c>
      <c r="X199" s="194">
        <v>2468053933.73</v>
      </c>
      <c r="Y199" s="194">
        <v>356531272.4000001</v>
      </c>
      <c r="Z199" s="195">
        <v>0.12622429361530507</v>
      </c>
      <c r="AA199" s="194">
        <v>2468053933.73</v>
      </c>
      <c r="AB199" s="194">
        <v>0</v>
      </c>
      <c r="AC199" s="195">
        <v>0.87377570638469493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>
      <c r="A200" s="32" t="s">
        <v>545</v>
      </c>
      <c r="B200" s="196" t="s">
        <v>300</v>
      </c>
      <c r="C200" s="197" t="s">
        <v>167</v>
      </c>
      <c r="D200" s="198">
        <v>4199</v>
      </c>
      <c r="E200" s="198">
        <v>1500</v>
      </c>
      <c r="F200" s="198"/>
      <c r="G200" s="198"/>
      <c r="H200" s="198"/>
      <c r="I200" s="198"/>
      <c r="J200" s="198"/>
      <c r="K200" s="199"/>
      <c r="L200" s="200"/>
      <c r="M200" s="196" t="s">
        <v>170</v>
      </c>
      <c r="N200" s="201">
        <v>3226548466</v>
      </c>
      <c r="O200" s="201">
        <v>0</v>
      </c>
      <c r="P200" s="201">
        <v>0</v>
      </c>
      <c r="Q200" s="201">
        <v>0</v>
      </c>
      <c r="R200" s="201">
        <v>0</v>
      </c>
      <c r="S200" s="201">
        <v>0</v>
      </c>
      <c r="T200" s="201">
        <v>3226548466</v>
      </c>
      <c r="U200" s="201">
        <v>2824585206.1300001</v>
      </c>
      <c r="V200" s="201">
        <v>401963259.86999989</v>
      </c>
      <c r="W200" s="202">
        <v>0.87542004587697397</v>
      </c>
      <c r="X200" s="201">
        <v>2468053933.73</v>
      </c>
      <c r="Y200" s="201">
        <v>356531272.4000001</v>
      </c>
      <c r="Z200" s="202">
        <v>0.12622429361530507</v>
      </c>
      <c r="AA200" s="201">
        <v>2468053933.73</v>
      </c>
      <c r="AB200" s="201">
        <v>0</v>
      </c>
      <c r="AC200" s="202">
        <v>0.87377570638469493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33">
      <c r="A201" s="32" t="s">
        <v>546</v>
      </c>
      <c r="B201" s="203" t="s">
        <v>547</v>
      </c>
      <c r="C201" s="227" t="s">
        <v>167</v>
      </c>
      <c r="D201" s="228" t="s">
        <v>251</v>
      </c>
      <c r="E201" s="228" t="s">
        <v>172</v>
      </c>
      <c r="F201" s="228" t="s">
        <v>252</v>
      </c>
      <c r="G201" s="228"/>
      <c r="H201" s="228"/>
      <c r="I201" s="228"/>
      <c r="J201" s="228"/>
      <c r="K201" s="229"/>
      <c r="L201" s="230"/>
      <c r="M201" s="231" t="s">
        <v>287</v>
      </c>
      <c r="N201" s="232">
        <v>3226548466</v>
      </c>
      <c r="O201" s="232">
        <v>0</v>
      </c>
      <c r="P201" s="232">
        <v>0</v>
      </c>
      <c r="Q201" s="232">
        <v>0</v>
      </c>
      <c r="R201" s="232">
        <v>0</v>
      </c>
      <c r="S201" s="232">
        <v>0</v>
      </c>
      <c r="T201" s="232">
        <v>3226548466</v>
      </c>
      <c r="U201" s="232">
        <v>2824585206.1300001</v>
      </c>
      <c r="V201" s="232">
        <v>401963259.86999989</v>
      </c>
      <c r="W201" s="233">
        <v>0.87542004587697397</v>
      </c>
      <c r="X201" s="232">
        <v>2468053933.73</v>
      </c>
      <c r="Y201" s="232">
        <v>356531272.4000001</v>
      </c>
      <c r="Z201" s="233">
        <v>0.12622429361530507</v>
      </c>
      <c r="AA201" s="232">
        <v>2468053933.73</v>
      </c>
      <c r="AB201" s="232">
        <v>0</v>
      </c>
      <c r="AC201" s="233">
        <v>0.87377570638469493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s="90" customFormat="1" ht="24.95" customHeight="1">
      <c r="A202" s="32" t="s">
        <v>688</v>
      </c>
      <c r="B202" s="210" t="s">
        <v>548</v>
      </c>
      <c r="C202" s="211" t="s">
        <v>167</v>
      </c>
      <c r="D202" s="212" t="s">
        <v>251</v>
      </c>
      <c r="E202" s="212" t="s">
        <v>172</v>
      </c>
      <c r="F202" s="212" t="s">
        <v>252</v>
      </c>
      <c r="G202" s="212" t="s">
        <v>175</v>
      </c>
      <c r="H202" s="212" t="s">
        <v>254</v>
      </c>
      <c r="I202" s="212"/>
      <c r="J202" s="212"/>
      <c r="K202" s="213">
        <v>11</v>
      </c>
      <c r="L202" s="214" t="s">
        <v>29</v>
      </c>
      <c r="M202" s="210" t="s">
        <v>255</v>
      </c>
      <c r="N202" s="215">
        <v>3226548466</v>
      </c>
      <c r="O202" s="215">
        <v>0</v>
      </c>
      <c r="P202" s="215">
        <v>0</v>
      </c>
      <c r="Q202" s="215">
        <v>0</v>
      </c>
      <c r="R202" s="215">
        <v>0</v>
      </c>
      <c r="S202" s="215">
        <v>0</v>
      </c>
      <c r="T202" s="215">
        <v>3226548466</v>
      </c>
      <c r="U202" s="215">
        <v>2824585206.1300001</v>
      </c>
      <c r="V202" s="215">
        <v>401963259.86999989</v>
      </c>
      <c r="W202" s="216">
        <v>0.87542004587697397</v>
      </c>
      <c r="X202" s="215">
        <v>2468053933.73</v>
      </c>
      <c r="Y202" s="215">
        <v>356531272.4000001</v>
      </c>
      <c r="Z202" s="216">
        <v>0.12622429361530507</v>
      </c>
      <c r="AA202" s="215">
        <v>2468053933.73</v>
      </c>
      <c r="AB202" s="215">
        <v>0</v>
      </c>
      <c r="AC202" s="216">
        <v>0.87377570638469493</v>
      </c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1:52" s="90" customFormat="1" ht="24.95" customHeight="1" thickBot="1">
      <c r="A203" s="32" t="s">
        <v>689</v>
      </c>
      <c r="B203" s="217" t="s">
        <v>549</v>
      </c>
      <c r="C203" s="218" t="s">
        <v>167</v>
      </c>
      <c r="D203" s="219" t="s">
        <v>251</v>
      </c>
      <c r="E203" s="219" t="s">
        <v>172</v>
      </c>
      <c r="F203" s="219" t="s">
        <v>252</v>
      </c>
      <c r="G203" s="219" t="s">
        <v>175</v>
      </c>
      <c r="H203" s="219" t="s">
        <v>254</v>
      </c>
      <c r="I203" s="219" t="s">
        <v>54</v>
      </c>
      <c r="J203" s="219"/>
      <c r="K203" s="275">
        <v>11</v>
      </c>
      <c r="L203" s="276" t="s">
        <v>29</v>
      </c>
      <c r="M203" s="217" t="s">
        <v>178</v>
      </c>
      <c r="N203" s="222">
        <v>3226548466</v>
      </c>
      <c r="O203" s="222"/>
      <c r="P203" s="222"/>
      <c r="Q203" s="222"/>
      <c r="R203" s="222"/>
      <c r="S203" s="222"/>
      <c r="T203" s="222">
        <v>3226548466</v>
      </c>
      <c r="U203" s="222">
        <v>2824585206.1300001</v>
      </c>
      <c r="V203" s="222">
        <v>401963259.86999989</v>
      </c>
      <c r="W203" s="224">
        <v>0.87542004587697397</v>
      </c>
      <c r="X203" s="222">
        <v>2468053933.73</v>
      </c>
      <c r="Y203" s="222">
        <v>356531272.4000001</v>
      </c>
      <c r="Z203" s="224">
        <v>0.12622429361530507</v>
      </c>
      <c r="AA203" s="222">
        <v>2468053933.73</v>
      </c>
      <c r="AB203" s="222">
        <v>0</v>
      </c>
      <c r="AC203" s="224">
        <v>0.87377570638469493</v>
      </c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1:52" s="90" customFormat="1" ht="35.1" customHeight="1" thickBot="1">
      <c r="A204" s="32"/>
      <c r="B204" s="277" t="s">
        <v>288</v>
      </c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60" t="s">
        <v>256</v>
      </c>
      <c r="N204" s="265">
        <v>3648573139470</v>
      </c>
      <c r="O204" s="265">
        <v>5716169561713</v>
      </c>
      <c r="P204" s="265">
        <v>0</v>
      </c>
      <c r="Q204" s="265">
        <v>403848484922.13</v>
      </c>
      <c r="R204" s="265">
        <v>403848484922.13</v>
      </c>
      <c r="S204" s="265">
        <v>591791000000</v>
      </c>
      <c r="T204" s="265">
        <v>8772951701183</v>
      </c>
      <c r="U204" s="265">
        <v>7486501338209.4297</v>
      </c>
      <c r="V204" s="265">
        <v>1286450362973.5701</v>
      </c>
      <c r="W204" s="187">
        <v>0.85336174108879481</v>
      </c>
      <c r="X204" s="265">
        <v>6646696825430.3301</v>
      </c>
      <c r="Y204" s="265">
        <v>839804512779.1001</v>
      </c>
      <c r="Z204" s="187">
        <v>0.11217583151864617</v>
      </c>
      <c r="AA204" s="265">
        <v>6103957563553.3301</v>
      </c>
      <c r="AB204" s="265">
        <v>542739261877</v>
      </c>
      <c r="AC204" s="187">
        <v>0.81532845421399913</v>
      </c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1:52" s="90" customFormat="1" ht="16.5">
      <c r="A205" s="32"/>
      <c r="B205" s="279"/>
      <c r="C205" s="82"/>
      <c r="D205" s="82"/>
      <c r="E205" s="82"/>
      <c r="F205" s="82"/>
      <c r="G205" s="82"/>
      <c r="H205" s="83"/>
      <c r="I205" s="84"/>
      <c r="J205" s="84"/>
      <c r="K205" s="84"/>
      <c r="L205" s="84"/>
      <c r="M205" s="84"/>
      <c r="N205" s="86"/>
      <c r="O205" s="86"/>
      <c r="P205" s="86"/>
      <c r="Q205" s="86"/>
      <c r="R205" s="86"/>
      <c r="S205" s="86"/>
      <c r="T205" s="86"/>
      <c r="U205" s="86"/>
      <c r="V205" s="86"/>
      <c r="W205" s="87"/>
      <c r="X205" s="86"/>
      <c r="Y205" s="86"/>
      <c r="Z205" s="87"/>
      <c r="AA205" s="86"/>
      <c r="AB205" s="86"/>
      <c r="AC205" s="89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1:52" s="90" customFormat="1" ht="16.5">
      <c r="A206" s="32" t="s">
        <v>550</v>
      </c>
      <c r="B206" s="279"/>
      <c r="C206" s="82"/>
      <c r="D206" s="82"/>
      <c r="E206" s="82"/>
      <c r="F206" s="82"/>
      <c r="G206" s="82"/>
      <c r="H206" s="83"/>
      <c r="I206" s="84"/>
      <c r="J206" s="84"/>
      <c r="K206" s="84"/>
      <c r="L206" s="84"/>
      <c r="M206" s="84"/>
      <c r="N206" s="86"/>
      <c r="O206" s="86"/>
      <c r="P206" s="86"/>
      <c r="Q206" s="86"/>
      <c r="R206" s="86"/>
      <c r="S206" s="86"/>
      <c r="T206" s="86"/>
      <c r="U206" s="86"/>
      <c r="V206" s="86"/>
      <c r="W206" s="87"/>
      <c r="X206" s="86"/>
      <c r="Y206" s="86"/>
      <c r="Z206" s="87"/>
      <c r="AA206" s="86"/>
      <c r="AB206" s="86"/>
      <c r="AC206" s="89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</row>
    <row r="207" spans="1:52" s="90" customFormat="1" ht="16.5">
      <c r="A207" s="32"/>
      <c r="B207" s="316"/>
      <c r="C207" s="85"/>
      <c r="D207" s="84"/>
      <c r="E207" s="84"/>
      <c r="F207" s="84"/>
      <c r="G207" s="84"/>
      <c r="H207" s="84"/>
      <c r="I207" s="84"/>
      <c r="J207" s="84"/>
      <c r="K207" s="84"/>
      <c r="L207" s="84"/>
      <c r="M207" s="366" t="s">
        <v>289</v>
      </c>
      <c r="N207" s="669">
        <v>3648573139470</v>
      </c>
      <c r="O207" s="669">
        <v>5716169561713</v>
      </c>
      <c r="P207" s="90">
        <v>0</v>
      </c>
      <c r="Q207" s="667">
        <v>403848484922.13</v>
      </c>
      <c r="R207" s="670">
        <v>403848484922.13</v>
      </c>
      <c r="S207" s="669">
        <v>591791000000</v>
      </c>
      <c r="T207" s="669">
        <v>8772951701183</v>
      </c>
      <c r="U207" s="669">
        <v>7486501338209.4297</v>
      </c>
      <c r="V207" s="669">
        <v>1286450362973.5703</v>
      </c>
      <c r="W207" s="671">
        <v>0.85336174108879481</v>
      </c>
      <c r="X207" s="669">
        <v>6646696825430.3301</v>
      </c>
      <c r="Y207" s="669">
        <v>839804512779.09961</v>
      </c>
      <c r="Z207" s="671">
        <v>0.1121758315186461</v>
      </c>
      <c r="AA207" s="669">
        <v>6103957563553.3301</v>
      </c>
      <c r="AB207" s="669">
        <v>542739261877</v>
      </c>
      <c r="AC207" s="671">
        <v>0.81532845421399913</v>
      </c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</row>
    <row r="208" spans="1:52" s="374" customFormat="1" ht="16.5">
      <c r="A208" s="369"/>
      <c r="B208" s="672"/>
      <c r="C208" s="370"/>
      <c r="D208" s="371"/>
      <c r="E208" s="371"/>
      <c r="F208" s="371"/>
      <c r="G208" s="371"/>
      <c r="H208" s="371"/>
      <c r="I208" s="371"/>
      <c r="J208" s="371"/>
      <c r="K208" s="371"/>
      <c r="L208" s="371"/>
      <c r="M208" s="86" t="s">
        <v>290</v>
      </c>
      <c r="N208" s="359">
        <v>0</v>
      </c>
      <c r="O208" s="359">
        <v>0</v>
      </c>
      <c r="P208" s="359">
        <v>0</v>
      </c>
      <c r="Q208" s="359">
        <v>0</v>
      </c>
      <c r="R208" s="359">
        <v>0</v>
      </c>
      <c r="S208" s="359">
        <v>0</v>
      </c>
      <c r="T208" s="359">
        <v>0</v>
      </c>
      <c r="U208" s="359">
        <v>0</v>
      </c>
      <c r="V208" s="359">
        <v>0</v>
      </c>
      <c r="W208" s="372"/>
      <c r="X208" s="359">
        <v>0</v>
      </c>
      <c r="Y208" s="359">
        <v>0</v>
      </c>
      <c r="Z208" s="372"/>
      <c r="AA208" s="359">
        <v>0</v>
      </c>
      <c r="AB208" s="359">
        <v>0</v>
      </c>
      <c r="AC208" s="37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</row>
    <row r="209" spans="1:29" ht="18">
      <c r="A209" s="30"/>
      <c r="B209" s="279"/>
      <c r="C209" s="312"/>
      <c r="D209" s="317"/>
      <c r="E209" s="312"/>
      <c r="F209" s="312"/>
      <c r="G209" s="312"/>
      <c r="H209" s="312"/>
      <c r="I209" s="312"/>
      <c r="J209" s="312"/>
      <c r="K209" s="312"/>
      <c r="L209" s="312"/>
      <c r="M209" s="312"/>
      <c r="N209" s="335"/>
      <c r="O209" s="632"/>
      <c r="P209" s="332"/>
      <c r="Q209" s="332"/>
      <c r="R209" s="633"/>
      <c r="S209" s="633"/>
      <c r="T209" s="332"/>
      <c r="U209" s="332"/>
      <c r="V209" s="332"/>
      <c r="W209" s="333"/>
      <c r="X209" s="332"/>
      <c r="Y209" s="332"/>
      <c r="Z209" s="333"/>
      <c r="AA209" s="332"/>
      <c r="AB209" s="332"/>
      <c r="AC209" s="333"/>
    </row>
    <row r="210" spans="1:29" ht="18">
      <c r="A210" s="30"/>
      <c r="B210" s="279"/>
      <c r="C210" s="312"/>
      <c r="D210" s="317"/>
      <c r="E210" s="312"/>
      <c r="F210" s="312"/>
      <c r="G210" s="312"/>
      <c r="H210" s="312"/>
      <c r="I210" s="312"/>
      <c r="J210" s="312"/>
      <c r="K210" s="312"/>
      <c r="L210" s="312"/>
      <c r="M210" s="312"/>
      <c r="N210" s="332"/>
      <c r="O210" s="632"/>
      <c r="P210" s="332"/>
      <c r="Q210" s="332"/>
      <c r="R210" s="633"/>
      <c r="S210" s="633"/>
      <c r="T210" s="332"/>
      <c r="U210" s="332"/>
      <c r="V210" s="332"/>
      <c r="W210" s="333"/>
      <c r="X210" s="332"/>
      <c r="Y210" s="332"/>
      <c r="Z210" s="333"/>
      <c r="AA210" s="332"/>
      <c r="AB210" s="332"/>
      <c r="AC210" s="333"/>
    </row>
    <row r="211" spans="1:29" ht="18">
      <c r="A211" s="1"/>
      <c r="B211" s="156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32"/>
      <c r="O211" s="632"/>
      <c r="P211" s="332"/>
      <c r="Q211" s="332"/>
      <c r="R211" s="332"/>
      <c r="S211" s="332"/>
      <c r="T211" s="332"/>
      <c r="U211" s="332"/>
      <c r="V211" s="332"/>
      <c r="W211" s="333"/>
      <c r="X211" s="332"/>
      <c r="Y211" s="631"/>
      <c r="Z211" s="333"/>
      <c r="AA211" s="332"/>
      <c r="AB211" s="332"/>
      <c r="AC211" s="333"/>
    </row>
    <row r="212" spans="1:29" ht="30">
      <c r="A212" s="1"/>
      <c r="B212" s="156"/>
      <c r="C212" s="318"/>
      <c r="D212" s="318"/>
      <c r="E212" s="318"/>
      <c r="F212" s="318"/>
      <c r="G212" s="318"/>
      <c r="H212" s="318"/>
      <c r="I212" s="312"/>
      <c r="J212" s="312"/>
      <c r="K212" s="312"/>
      <c r="L212" s="312"/>
      <c r="M212" s="336" t="s">
        <v>909</v>
      </c>
      <c r="N212" s="628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20"/>
      <c r="AA212" s="319"/>
      <c r="AB212" s="319"/>
      <c r="AC212" s="319"/>
    </row>
    <row r="213" spans="1:29" ht="30">
      <c r="A213" s="1"/>
      <c r="B213" s="156"/>
      <c r="C213" s="321"/>
      <c r="D213" s="322"/>
      <c r="E213" s="322"/>
      <c r="F213" s="322"/>
      <c r="G213" s="322"/>
      <c r="H213" s="322"/>
      <c r="I213" s="322"/>
      <c r="J213" s="322"/>
      <c r="K213" s="322"/>
      <c r="L213" s="322"/>
      <c r="M213" s="337" t="s">
        <v>739</v>
      </c>
      <c r="N213" s="628"/>
      <c r="P213" s="323"/>
      <c r="Q213" s="323"/>
      <c r="R213" s="323"/>
      <c r="S213" s="323"/>
      <c r="T213" s="323"/>
      <c r="U213" s="323"/>
      <c r="V213" s="323"/>
      <c r="W213" s="323"/>
      <c r="X213" s="323"/>
      <c r="Y213" s="323"/>
      <c r="Z213" s="324"/>
      <c r="AA213" s="323"/>
      <c r="AB213" s="323"/>
      <c r="AC213" s="323"/>
    </row>
    <row r="214" spans="1:29" ht="30">
      <c r="A214" s="325"/>
      <c r="B214" s="314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628"/>
      <c r="P214" s="309"/>
      <c r="Q214" s="309"/>
      <c r="R214" s="630"/>
      <c r="S214" s="630"/>
      <c r="T214" s="334"/>
      <c r="U214" s="334"/>
      <c r="V214" s="629"/>
      <c r="W214" s="329"/>
      <c r="X214" s="329"/>
      <c r="Y214" s="329"/>
      <c r="Z214" s="329"/>
    </row>
    <row r="215" spans="1:29" ht="16.5">
      <c r="N215" s="628"/>
      <c r="O215" s="628"/>
    </row>
    <row r="216" spans="1:29" ht="16.5">
      <c r="N216" s="628"/>
      <c r="O216" s="628"/>
    </row>
    <row r="217" spans="1:29" ht="16.5">
      <c r="N217" s="628"/>
    </row>
    <row r="218" spans="1:29" ht="16.5">
      <c r="N218" s="628"/>
    </row>
    <row r="219" spans="1:29" ht="16.5">
      <c r="N219" s="628"/>
    </row>
  </sheetData>
  <sheetProtection selectLockedCells="1" selectUnlockedCells="1"/>
  <autoFilter ref="A6:AC207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37F5-25D3-4309-AB64-E3BB4FE3D087}">
  <sheetPr>
    <tabColor rgb="FF00B0F0"/>
    <pageSetUpPr fitToPage="1"/>
  </sheetPr>
  <dimension ref="A1:BC220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9.710937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69.5703125" style="9" customWidth="1"/>
    <col min="14" max="14" width="20" style="13" bestFit="1" customWidth="1"/>
    <col min="15" max="15" width="18.8554687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910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784" t="s">
        <v>7</v>
      </c>
      <c r="V5" s="791"/>
      <c r="W5" s="79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162991000000</v>
      </c>
      <c r="O8" s="186">
        <v>5716169561713</v>
      </c>
      <c r="P8" s="186">
        <v>0</v>
      </c>
      <c r="Q8" s="186">
        <v>9561248653.3199997</v>
      </c>
      <c r="R8" s="186">
        <v>9561248653.3199997</v>
      </c>
      <c r="S8" s="186">
        <v>10346320662</v>
      </c>
      <c r="T8" s="186">
        <v>5868814241051</v>
      </c>
      <c r="U8" s="186">
        <v>5358419872941.5205</v>
      </c>
      <c r="V8" s="186">
        <v>510394368109.47998</v>
      </c>
      <c r="W8" s="187">
        <v>0.91303279552803207</v>
      </c>
      <c r="X8" s="186">
        <v>5312321851858.8398</v>
      </c>
      <c r="Y8" s="186">
        <v>46098021082.68</v>
      </c>
      <c r="Z8" s="187">
        <v>8.6029132049658431E-3</v>
      </c>
      <c r="AA8" s="186">
        <v>5311916358766.3506</v>
      </c>
      <c r="AB8" s="186">
        <v>405493092.49000007</v>
      </c>
      <c r="AC8" s="187">
        <v>0.99132141278999075</v>
      </c>
    </row>
    <row r="9" spans="1:29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99738000000</v>
      </c>
      <c r="O9" s="194">
        <v>0</v>
      </c>
      <c r="P9" s="194">
        <v>0</v>
      </c>
      <c r="Q9" s="194">
        <v>1945000000</v>
      </c>
      <c r="R9" s="194">
        <v>1945000000</v>
      </c>
      <c r="S9" s="194">
        <v>0</v>
      </c>
      <c r="T9" s="194">
        <v>99738000000</v>
      </c>
      <c r="U9" s="194">
        <v>90453062466</v>
      </c>
      <c r="V9" s="194">
        <v>9284937534</v>
      </c>
      <c r="W9" s="195">
        <v>0.90690672026709984</v>
      </c>
      <c r="X9" s="194">
        <v>90206740691</v>
      </c>
      <c r="Y9" s="194">
        <v>246321775</v>
      </c>
      <c r="Z9" s="195">
        <v>2.7231999479574148E-3</v>
      </c>
      <c r="AA9" s="194">
        <v>90206598091</v>
      </c>
      <c r="AB9" s="194">
        <v>142600</v>
      </c>
      <c r="AC9" s="195">
        <v>0.99727522354378395</v>
      </c>
    </row>
    <row r="10" spans="1:29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99738000000</v>
      </c>
      <c r="O10" s="201">
        <v>0</v>
      </c>
      <c r="P10" s="201">
        <v>0</v>
      </c>
      <c r="Q10" s="201">
        <v>1945000000</v>
      </c>
      <c r="R10" s="201">
        <v>1945000000</v>
      </c>
      <c r="S10" s="201">
        <v>0</v>
      </c>
      <c r="T10" s="201">
        <v>99738000000</v>
      </c>
      <c r="U10" s="201">
        <v>90453062466</v>
      </c>
      <c r="V10" s="201">
        <v>9284937534</v>
      </c>
      <c r="W10" s="202">
        <v>0.90690672026709984</v>
      </c>
      <c r="X10" s="201">
        <v>90206740691</v>
      </c>
      <c r="Y10" s="201">
        <v>246321775</v>
      </c>
      <c r="Z10" s="202">
        <v>2.7231999479574148E-3</v>
      </c>
      <c r="AA10" s="201">
        <v>90206598091</v>
      </c>
      <c r="AB10" s="201">
        <v>142600</v>
      </c>
      <c r="AC10" s="202">
        <v>0.99727522354378395</v>
      </c>
    </row>
    <row r="11" spans="1:29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68019000000</v>
      </c>
      <c r="O11" s="208">
        <v>0</v>
      </c>
      <c r="P11" s="208">
        <v>0</v>
      </c>
      <c r="Q11" s="208">
        <v>925000000</v>
      </c>
      <c r="R11" s="208">
        <v>925000000</v>
      </c>
      <c r="S11" s="208">
        <v>0</v>
      </c>
      <c r="T11" s="208">
        <v>68019000000</v>
      </c>
      <c r="U11" s="208">
        <v>62227550287</v>
      </c>
      <c r="V11" s="208">
        <v>5791449713</v>
      </c>
      <c r="W11" s="209">
        <v>0.91485541226716061</v>
      </c>
      <c r="X11" s="208">
        <v>62227550287</v>
      </c>
      <c r="Y11" s="208">
        <v>0</v>
      </c>
      <c r="Z11" s="209">
        <v>0</v>
      </c>
      <c r="AA11" s="208">
        <v>62227550287</v>
      </c>
      <c r="AB11" s="208">
        <v>0</v>
      </c>
      <c r="AC11" s="209">
        <v>1</v>
      </c>
    </row>
    <row r="12" spans="1:29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68019000000</v>
      </c>
      <c r="O12" s="215">
        <v>0</v>
      </c>
      <c r="P12" s="215">
        <v>0</v>
      </c>
      <c r="Q12" s="215">
        <v>925000000</v>
      </c>
      <c r="R12" s="215">
        <v>925000000</v>
      </c>
      <c r="S12" s="215">
        <v>0</v>
      </c>
      <c r="T12" s="215">
        <v>68019000000</v>
      </c>
      <c r="U12" s="215">
        <v>62227550287</v>
      </c>
      <c r="V12" s="215">
        <v>5791449713</v>
      </c>
      <c r="W12" s="216">
        <v>0.91485541226716061</v>
      </c>
      <c r="X12" s="215">
        <v>62227550287</v>
      </c>
      <c r="Y12" s="215">
        <v>0</v>
      </c>
      <c r="Z12" s="216">
        <v>0</v>
      </c>
      <c r="AA12" s="215">
        <v>62227550287</v>
      </c>
      <c r="AB12" s="215">
        <v>0</v>
      </c>
      <c r="AC12" s="216">
        <v>1</v>
      </c>
    </row>
    <row r="13" spans="1:29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v>54858000000</v>
      </c>
      <c r="U13" s="222">
        <v>50167334456</v>
      </c>
      <c r="V13" s="222">
        <v>4690665544</v>
      </c>
      <c r="W13" s="224">
        <v>0.91449441204564508</v>
      </c>
      <c r="X13" s="222">
        <v>50167334456</v>
      </c>
      <c r="Y13" s="222">
        <v>0</v>
      </c>
      <c r="Z13" s="224">
        <v>0</v>
      </c>
      <c r="AA13" s="222">
        <v>50167334456</v>
      </c>
      <c r="AB13" s="222">
        <v>0</v>
      </c>
      <c r="AC13" s="224">
        <v>1</v>
      </c>
    </row>
    <row r="14" spans="1:29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v>263000000</v>
      </c>
      <c r="U14" s="222">
        <v>233481718</v>
      </c>
      <c r="V14" s="222">
        <v>29518282</v>
      </c>
      <c r="W14" s="224">
        <v>0.88776318631178708</v>
      </c>
      <c r="X14" s="222">
        <v>233481718</v>
      </c>
      <c r="Y14" s="222">
        <v>0</v>
      </c>
      <c r="Z14" s="224">
        <v>0</v>
      </c>
      <c r="AA14" s="222">
        <v>233481718</v>
      </c>
      <c r="AB14" s="222">
        <v>0</v>
      </c>
      <c r="AC14" s="224">
        <v>1</v>
      </c>
    </row>
    <row r="15" spans="1:29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v>550000000</v>
      </c>
      <c r="U15" s="222">
        <v>505841422</v>
      </c>
      <c r="V15" s="222">
        <v>44158578</v>
      </c>
      <c r="W15" s="224">
        <v>0.91971167636363638</v>
      </c>
      <c r="X15" s="222">
        <v>505841422</v>
      </c>
      <c r="Y15" s="222">
        <v>0</v>
      </c>
      <c r="Z15" s="224">
        <v>0</v>
      </c>
      <c r="AA15" s="222">
        <v>505841422</v>
      </c>
      <c r="AB15" s="222">
        <v>0</v>
      </c>
      <c r="AC15" s="224">
        <v>1</v>
      </c>
    </row>
    <row r="16" spans="1:29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v>100000000</v>
      </c>
      <c r="U16" s="222">
        <v>83654426</v>
      </c>
      <c r="V16" s="222">
        <v>16345574</v>
      </c>
      <c r="W16" s="224">
        <v>0.83654426000000004</v>
      </c>
      <c r="X16" s="222">
        <v>83654426</v>
      </c>
      <c r="Y16" s="222">
        <v>0</v>
      </c>
      <c r="Z16" s="224">
        <v>0</v>
      </c>
      <c r="AA16" s="222">
        <v>83654426</v>
      </c>
      <c r="AB16" s="222">
        <v>0</v>
      </c>
      <c r="AC16" s="224">
        <v>1</v>
      </c>
    </row>
    <row r="17" spans="1:55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v>98000000</v>
      </c>
      <c r="U17" s="222">
        <v>60546703</v>
      </c>
      <c r="V17" s="222">
        <v>37453297</v>
      </c>
      <c r="W17" s="224">
        <v>0.61782349999999997</v>
      </c>
      <c r="X17" s="222">
        <v>60546703</v>
      </c>
      <c r="Y17" s="222">
        <v>0</v>
      </c>
      <c r="Z17" s="224">
        <v>0</v>
      </c>
      <c r="AA17" s="222">
        <v>60546703</v>
      </c>
      <c r="AB17" s="222">
        <v>0</v>
      </c>
      <c r="AC17" s="224">
        <v>1</v>
      </c>
    </row>
    <row r="18" spans="1:55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>
        <v>230000000</v>
      </c>
      <c r="R18" s="222"/>
      <c r="S18" s="222"/>
      <c r="T18" s="222">
        <v>2730000000</v>
      </c>
      <c r="U18" s="222">
        <v>2547787142</v>
      </c>
      <c r="V18" s="222">
        <v>182212858</v>
      </c>
      <c r="W18" s="224">
        <v>0.9332553633699634</v>
      </c>
      <c r="X18" s="222">
        <v>2547787142</v>
      </c>
      <c r="Y18" s="222">
        <v>0</v>
      </c>
      <c r="Z18" s="224">
        <v>0</v>
      </c>
      <c r="AA18" s="222">
        <v>2547787142</v>
      </c>
      <c r="AB18" s="222">
        <v>0</v>
      </c>
      <c r="AC18" s="224">
        <v>1</v>
      </c>
    </row>
    <row r="19" spans="1:55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v>1800000000</v>
      </c>
      <c r="U19" s="222">
        <v>1575272316</v>
      </c>
      <c r="V19" s="222">
        <v>224727684</v>
      </c>
      <c r="W19" s="224">
        <v>0.87515128666666664</v>
      </c>
      <c r="X19" s="222">
        <v>1575272316</v>
      </c>
      <c r="Y19" s="222">
        <v>0</v>
      </c>
      <c r="Z19" s="224">
        <v>0</v>
      </c>
      <c r="AA19" s="222">
        <v>1575272316</v>
      </c>
      <c r="AB19" s="222">
        <v>0</v>
      </c>
      <c r="AC19" s="224">
        <v>1</v>
      </c>
    </row>
    <row r="20" spans="1:55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v>250000000</v>
      </c>
      <c r="U20" s="222">
        <v>60007853</v>
      </c>
      <c r="V20" s="222">
        <v>189992147</v>
      </c>
      <c r="W20" s="224">
        <v>0.240031412</v>
      </c>
      <c r="X20" s="222">
        <v>60007853</v>
      </c>
      <c r="Y20" s="222">
        <v>0</v>
      </c>
      <c r="Z20" s="224">
        <v>0</v>
      </c>
      <c r="AA20" s="222">
        <v>60007853</v>
      </c>
      <c r="AB20" s="222">
        <v>0</v>
      </c>
      <c r="AC20" s="224">
        <v>1</v>
      </c>
    </row>
    <row r="21" spans="1:55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>
        <v>650000000</v>
      </c>
      <c r="R21" s="222"/>
      <c r="S21" s="222"/>
      <c r="T21" s="222">
        <v>5650000000</v>
      </c>
      <c r="U21" s="222">
        <v>5333652576</v>
      </c>
      <c r="V21" s="222">
        <v>316347424</v>
      </c>
      <c r="W21" s="224">
        <v>0.94400930548672568</v>
      </c>
      <c r="X21" s="222">
        <v>5333652576</v>
      </c>
      <c r="Y21" s="222">
        <v>0</v>
      </c>
      <c r="Z21" s="224">
        <v>0</v>
      </c>
      <c r="AA21" s="222">
        <v>5333652576</v>
      </c>
      <c r="AB21" s="222">
        <v>0</v>
      </c>
      <c r="AC21" s="224">
        <v>1</v>
      </c>
    </row>
    <row r="22" spans="1:55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>
        <v>925000000</v>
      </c>
      <c r="S22" s="222"/>
      <c r="T22" s="222">
        <v>1675000000</v>
      </c>
      <c r="U22" s="222">
        <v>1627068688</v>
      </c>
      <c r="V22" s="222">
        <v>47931312</v>
      </c>
      <c r="W22" s="224">
        <v>0.97138429134328363</v>
      </c>
      <c r="X22" s="222">
        <v>1627068688</v>
      </c>
      <c r="Y22" s="222">
        <v>0</v>
      </c>
      <c r="Z22" s="224">
        <v>0</v>
      </c>
      <c r="AA22" s="222">
        <v>1627068688</v>
      </c>
      <c r="AB22" s="222">
        <v>0</v>
      </c>
      <c r="AC22" s="224">
        <v>1</v>
      </c>
    </row>
    <row r="23" spans="1:55" s="64" customFormat="1" ht="24.95" customHeight="1">
      <c r="A23" s="32" t="s">
        <v>552</v>
      </c>
      <c r="B23" s="217" t="s">
        <v>553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0</v>
      </c>
      <c r="O23" s="222"/>
      <c r="P23" s="222"/>
      <c r="Q23" s="222">
        <v>45000000</v>
      </c>
      <c r="R23" s="222"/>
      <c r="S23" s="222"/>
      <c r="T23" s="222">
        <v>45000000</v>
      </c>
      <c r="U23" s="222">
        <v>32902987</v>
      </c>
      <c r="V23" s="222">
        <v>12097013</v>
      </c>
      <c r="W23" s="224">
        <v>0.73117748888888889</v>
      </c>
      <c r="X23" s="222">
        <v>32902987</v>
      </c>
      <c r="Y23" s="222">
        <v>0</v>
      </c>
      <c r="Z23" s="224">
        <v>0</v>
      </c>
      <c r="AA23" s="222">
        <v>32902987</v>
      </c>
      <c r="AB23" s="222">
        <v>0</v>
      </c>
      <c r="AC23" s="224"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">
        <v>330</v>
      </c>
      <c r="B24" s="226" t="s">
        <v>331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v>24735000000</v>
      </c>
      <c r="O24" s="232">
        <v>0</v>
      </c>
      <c r="P24" s="232">
        <v>0</v>
      </c>
      <c r="Q24" s="232">
        <v>370000000</v>
      </c>
      <c r="R24" s="232">
        <v>370000000</v>
      </c>
      <c r="S24" s="232">
        <v>0</v>
      </c>
      <c r="T24" s="232">
        <v>24735000000</v>
      </c>
      <c r="U24" s="232">
        <v>22307746571</v>
      </c>
      <c r="V24" s="232">
        <v>2427253429</v>
      </c>
      <c r="W24" s="233">
        <v>0.90186968146351321</v>
      </c>
      <c r="X24" s="232">
        <v>22086214936</v>
      </c>
      <c r="Y24" s="232">
        <v>221531635</v>
      </c>
      <c r="Z24" s="233">
        <v>9.9307043091474978E-3</v>
      </c>
      <c r="AA24" s="232">
        <v>22086072336</v>
      </c>
      <c r="AB24" s="232">
        <v>142600</v>
      </c>
      <c r="AC24" s="233">
        <v>0.99006290329260882</v>
      </c>
    </row>
    <row r="25" spans="1:55" ht="24.95" customHeight="1">
      <c r="A25" s="32" t="s">
        <v>332</v>
      </c>
      <c r="B25" s="217" t="s">
        <v>333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7000000000</v>
      </c>
      <c r="O25" s="222"/>
      <c r="P25" s="222"/>
      <c r="Q25" s="222">
        <v>100000000</v>
      </c>
      <c r="R25" s="222"/>
      <c r="S25" s="222"/>
      <c r="T25" s="222">
        <v>7100000000</v>
      </c>
      <c r="U25" s="222">
        <v>6455300158</v>
      </c>
      <c r="V25" s="222">
        <v>644699842</v>
      </c>
      <c r="W25" s="224">
        <v>0.90919720535211268</v>
      </c>
      <c r="X25" s="222">
        <v>6455300158</v>
      </c>
      <c r="Y25" s="222">
        <v>0</v>
      </c>
      <c r="Z25" s="224">
        <v>0</v>
      </c>
      <c r="AA25" s="222">
        <v>6455300158</v>
      </c>
      <c r="AB25" s="222">
        <v>0</v>
      </c>
      <c r="AC25" s="224">
        <v>1</v>
      </c>
    </row>
    <row r="26" spans="1:55" ht="24.95" customHeight="1">
      <c r="A26" s="32" t="s">
        <v>334</v>
      </c>
      <c r="B26" s="217" t="s">
        <v>335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6000000000</v>
      </c>
      <c r="O26" s="222"/>
      <c r="P26" s="222"/>
      <c r="Q26" s="222"/>
      <c r="R26" s="222">
        <v>370000000</v>
      </c>
      <c r="S26" s="222"/>
      <c r="T26" s="222">
        <v>5630000000</v>
      </c>
      <c r="U26" s="222">
        <v>4723531258</v>
      </c>
      <c r="V26" s="222">
        <v>906468742</v>
      </c>
      <c r="W26" s="224">
        <v>0.83899311865008885</v>
      </c>
      <c r="X26" s="222">
        <v>4723531258</v>
      </c>
      <c r="Y26" s="222">
        <v>0</v>
      </c>
      <c r="Z26" s="224">
        <v>0</v>
      </c>
      <c r="AA26" s="222">
        <v>4723531258</v>
      </c>
      <c r="AB26" s="222">
        <v>0</v>
      </c>
      <c r="AC26" s="224">
        <v>1</v>
      </c>
    </row>
    <row r="27" spans="1:55" ht="24.95" customHeight="1">
      <c r="A27" s="32" t="s">
        <v>336</v>
      </c>
      <c r="B27" s="217" t="s">
        <v>337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5555000000</v>
      </c>
      <c r="O27" s="222"/>
      <c r="P27" s="222"/>
      <c r="Q27" s="222">
        <v>200000000</v>
      </c>
      <c r="R27" s="222"/>
      <c r="S27" s="222"/>
      <c r="T27" s="222">
        <v>5755000000</v>
      </c>
      <c r="U27" s="222">
        <v>5415751155</v>
      </c>
      <c r="V27" s="222">
        <v>339248845</v>
      </c>
      <c r="W27" s="224">
        <v>0.94105146046915722</v>
      </c>
      <c r="X27" s="222">
        <v>5210428320</v>
      </c>
      <c r="Y27" s="222">
        <v>205322835</v>
      </c>
      <c r="Z27" s="224">
        <v>3.7912161974140782E-2</v>
      </c>
      <c r="AA27" s="222">
        <v>5210428320</v>
      </c>
      <c r="AB27" s="222">
        <v>0</v>
      </c>
      <c r="AC27" s="224">
        <v>0.96208783802585918</v>
      </c>
    </row>
    <row r="28" spans="1:55" ht="24.95" customHeight="1">
      <c r="A28" s="32" t="s">
        <v>338</v>
      </c>
      <c r="B28" s="217" t="s">
        <v>339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2500000000</v>
      </c>
      <c r="O28" s="222"/>
      <c r="P28" s="222"/>
      <c r="Q28" s="222"/>
      <c r="R28" s="222"/>
      <c r="S28" s="222"/>
      <c r="T28" s="222">
        <v>2500000000</v>
      </c>
      <c r="U28" s="222">
        <v>2303841400</v>
      </c>
      <c r="V28" s="222">
        <v>196158600</v>
      </c>
      <c r="W28" s="224">
        <v>0.92153655999999995</v>
      </c>
      <c r="X28" s="222">
        <v>2303841400</v>
      </c>
      <c r="Y28" s="222">
        <v>0</v>
      </c>
      <c r="Z28" s="224">
        <v>0</v>
      </c>
      <c r="AA28" s="222">
        <v>2303841400</v>
      </c>
      <c r="AB28" s="222">
        <v>0</v>
      </c>
      <c r="AC28" s="224">
        <v>1</v>
      </c>
    </row>
    <row r="29" spans="1:55" ht="24.95" customHeight="1">
      <c r="A29" s="32" t="s">
        <v>340</v>
      </c>
      <c r="B29" s="217" t="s">
        <v>341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500000000</v>
      </c>
      <c r="O29" s="222"/>
      <c r="P29" s="222"/>
      <c r="Q29" s="222">
        <v>70000000</v>
      </c>
      <c r="R29" s="222"/>
      <c r="S29" s="222"/>
      <c r="T29" s="222">
        <v>570000000</v>
      </c>
      <c r="U29" s="222">
        <v>527612100</v>
      </c>
      <c r="V29" s="222">
        <v>42387900</v>
      </c>
      <c r="W29" s="224">
        <v>0.92563526315789468</v>
      </c>
      <c r="X29" s="222">
        <v>511403300</v>
      </c>
      <c r="Y29" s="222">
        <v>16208800</v>
      </c>
      <c r="Z29" s="224">
        <v>3.0721054350345642E-2</v>
      </c>
      <c r="AA29" s="222">
        <v>511260700</v>
      </c>
      <c r="AB29" s="222">
        <v>142600</v>
      </c>
      <c r="AC29" s="224">
        <v>0.9690086713325945</v>
      </c>
    </row>
    <row r="30" spans="1:55" ht="24.95" customHeight="1">
      <c r="A30" s="32" t="s">
        <v>342</v>
      </c>
      <c r="B30" s="217" t="s">
        <v>343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1890000000</v>
      </c>
      <c r="O30" s="222"/>
      <c r="P30" s="222"/>
      <c r="Q30" s="222"/>
      <c r="R30" s="222"/>
      <c r="S30" s="222"/>
      <c r="T30" s="222">
        <v>1890000000</v>
      </c>
      <c r="U30" s="222">
        <v>1728123500</v>
      </c>
      <c r="V30" s="222">
        <v>161876500</v>
      </c>
      <c r="W30" s="224">
        <v>0.91435105820105822</v>
      </c>
      <c r="X30" s="222">
        <v>1728123500</v>
      </c>
      <c r="Y30" s="222">
        <v>0</v>
      </c>
      <c r="Z30" s="224">
        <v>0</v>
      </c>
      <c r="AA30" s="222">
        <v>1728123500</v>
      </c>
      <c r="AB30" s="222">
        <v>0</v>
      </c>
      <c r="AC30" s="224">
        <v>1</v>
      </c>
    </row>
    <row r="31" spans="1:55" ht="24.95" customHeight="1">
      <c r="A31" s="32" t="s">
        <v>344</v>
      </c>
      <c r="B31" s="217" t="s">
        <v>345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320000000</v>
      </c>
      <c r="O31" s="222"/>
      <c r="P31" s="222"/>
      <c r="Q31" s="222"/>
      <c r="R31" s="222"/>
      <c r="S31" s="222"/>
      <c r="T31" s="222">
        <v>320000000</v>
      </c>
      <c r="U31" s="222">
        <v>288542700</v>
      </c>
      <c r="V31" s="222">
        <v>31457300</v>
      </c>
      <c r="W31" s="224">
        <v>0.90169593749999999</v>
      </c>
      <c r="X31" s="222">
        <v>288542700</v>
      </c>
      <c r="Y31" s="222">
        <v>0</v>
      </c>
      <c r="Z31" s="224">
        <v>0</v>
      </c>
      <c r="AA31" s="222">
        <v>288542700</v>
      </c>
      <c r="AB31" s="222">
        <v>0</v>
      </c>
      <c r="AC31" s="224">
        <v>1</v>
      </c>
    </row>
    <row r="32" spans="1:55" ht="24.95" customHeight="1">
      <c r="A32" s="32" t="s">
        <v>346</v>
      </c>
      <c r="B32" s="217" t="s">
        <v>347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320000000</v>
      </c>
      <c r="O32" s="222"/>
      <c r="P32" s="222"/>
      <c r="Q32" s="222"/>
      <c r="R32" s="222"/>
      <c r="S32" s="222"/>
      <c r="T32" s="222">
        <v>320000000</v>
      </c>
      <c r="U32" s="222">
        <v>288542700</v>
      </c>
      <c r="V32" s="222">
        <v>31457300</v>
      </c>
      <c r="W32" s="224">
        <v>0.90169593749999999</v>
      </c>
      <c r="X32" s="222">
        <v>288542700</v>
      </c>
      <c r="Y32" s="222">
        <v>0</v>
      </c>
      <c r="Z32" s="224">
        <v>0</v>
      </c>
      <c r="AA32" s="222">
        <v>288542700</v>
      </c>
      <c r="AB32" s="222">
        <v>0</v>
      </c>
      <c r="AC32" s="224">
        <v>1</v>
      </c>
    </row>
    <row r="33" spans="1:29" ht="24.95" customHeight="1">
      <c r="A33" s="32" t="s">
        <v>348</v>
      </c>
      <c r="B33" s="217" t="s">
        <v>349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650000000</v>
      </c>
      <c r="O33" s="222"/>
      <c r="P33" s="222"/>
      <c r="Q33" s="222"/>
      <c r="R33" s="222"/>
      <c r="S33" s="222"/>
      <c r="T33" s="222">
        <v>650000000</v>
      </c>
      <c r="U33" s="222">
        <v>576501600</v>
      </c>
      <c r="V33" s="222">
        <v>73498400</v>
      </c>
      <c r="W33" s="224">
        <v>0.88692553846153843</v>
      </c>
      <c r="X33" s="222">
        <v>576501600</v>
      </c>
      <c r="Y33" s="222">
        <v>0</v>
      </c>
      <c r="Z33" s="224">
        <v>0</v>
      </c>
      <c r="AA33" s="222">
        <v>576501600</v>
      </c>
      <c r="AB33" s="222">
        <v>0</v>
      </c>
      <c r="AC33" s="224">
        <v>1</v>
      </c>
    </row>
    <row r="34" spans="1:29" ht="24.95" customHeight="1">
      <c r="A34" s="32" t="s">
        <v>350</v>
      </c>
      <c r="B34" s="226" t="s">
        <v>351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v>6984000000</v>
      </c>
      <c r="O34" s="232">
        <v>0</v>
      </c>
      <c r="P34" s="232">
        <v>0</v>
      </c>
      <c r="Q34" s="232">
        <v>650000000</v>
      </c>
      <c r="R34" s="232">
        <v>650000000</v>
      </c>
      <c r="S34" s="232">
        <v>0</v>
      </c>
      <c r="T34" s="232">
        <v>6984000000</v>
      </c>
      <c r="U34" s="232">
        <v>5917765608</v>
      </c>
      <c r="V34" s="232">
        <v>1066234392</v>
      </c>
      <c r="W34" s="233">
        <v>0.84733184536082473</v>
      </c>
      <c r="X34" s="232">
        <v>5892975468</v>
      </c>
      <c r="Y34" s="232">
        <v>24790140</v>
      </c>
      <c r="Z34" s="233">
        <v>4.1891047469820638E-3</v>
      </c>
      <c r="AA34" s="232">
        <v>5892975468</v>
      </c>
      <c r="AB34" s="232">
        <v>0</v>
      </c>
      <c r="AC34" s="233">
        <v>0.99581089525301791</v>
      </c>
    </row>
    <row r="35" spans="1:29" ht="24.95" customHeight="1">
      <c r="A35" s="32" t="s">
        <v>352</v>
      </c>
      <c r="B35" s="210" t="s">
        <v>353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v>3400000000</v>
      </c>
      <c r="O35" s="215">
        <v>0</v>
      </c>
      <c r="P35" s="215">
        <v>0</v>
      </c>
      <c r="Q35" s="215">
        <v>220000000</v>
      </c>
      <c r="R35" s="215">
        <v>650000000</v>
      </c>
      <c r="S35" s="215">
        <v>0</v>
      </c>
      <c r="T35" s="215">
        <v>2970000000</v>
      </c>
      <c r="U35" s="215">
        <v>2650395711</v>
      </c>
      <c r="V35" s="215">
        <v>319604289</v>
      </c>
      <c r="W35" s="216">
        <v>0.89238912828282824</v>
      </c>
      <c r="X35" s="215">
        <v>2650395711</v>
      </c>
      <c r="Y35" s="215">
        <v>0</v>
      </c>
      <c r="Z35" s="216">
        <v>0</v>
      </c>
      <c r="AA35" s="215">
        <v>2650395711</v>
      </c>
      <c r="AB35" s="215">
        <v>0</v>
      </c>
      <c r="AC35" s="216">
        <v>1</v>
      </c>
    </row>
    <row r="36" spans="1:29" ht="24.95" customHeight="1">
      <c r="A36" s="32" t="s">
        <v>354</v>
      </c>
      <c r="B36" s="217" t="s">
        <v>355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2580000000</v>
      </c>
      <c r="O36" s="222"/>
      <c r="P36" s="222"/>
      <c r="Q36" s="222">
        <v>220000000</v>
      </c>
      <c r="R36" s="222">
        <v>430000000</v>
      </c>
      <c r="S36" s="222"/>
      <c r="T36" s="222">
        <v>2370000000</v>
      </c>
      <c r="U36" s="222">
        <v>2177839782</v>
      </c>
      <c r="V36" s="222">
        <v>192160218</v>
      </c>
      <c r="W36" s="224">
        <v>0.91891973924050629</v>
      </c>
      <c r="X36" s="222">
        <v>2177839782</v>
      </c>
      <c r="Y36" s="222">
        <v>0</v>
      </c>
      <c r="Z36" s="224">
        <v>0</v>
      </c>
      <c r="AA36" s="222">
        <v>2177839782</v>
      </c>
      <c r="AB36" s="222">
        <v>0</v>
      </c>
      <c r="AC36" s="224">
        <v>1</v>
      </c>
    </row>
    <row r="37" spans="1:29" ht="24.95" customHeight="1">
      <c r="A37" s="32" t="s">
        <v>356</v>
      </c>
      <c r="B37" s="217" t="s">
        <v>357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500000000</v>
      </c>
      <c r="O37" s="222"/>
      <c r="P37" s="222"/>
      <c r="Q37" s="223"/>
      <c r="R37" s="222">
        <v>150000000</v>
      </c>
      <c r="S37" s="222"/>
      <c r="T37" s="222">
        <v>350000000</v>
      </c>
      <c r="U37" s="222">
        <v>274979695</v>
      </c>
      <c r="V37" s="222">
        <v>75020305</v>
      </c>
      <c r="W37" s="224">
        <v>0.78565627142857142</v>
      </c>
      <c r="X37" s="222">
        <v>274979695</v>
      </c>
      <c r="Y37" s="222">
        <v>0</v>
      </c>
      <c r="Z37" s="224">
        <v>0</v>
      </c>
      <c r="AA37" s="222">
        <v>274979695</v>
      </c>
      <c r="AB37" s="222">
        <v>0</v>
      </c>
      <c r="AC37" s="224">
        <v>1</v>
      </c>
    </row>
    <row r="38" spans="1:29" ht="24.95" customHeight="1">
      <c r="A38" s="32" t="s">
        <v>358</v>
      </c>
      <c r="B38" s="234" t="s">
        <v>359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320000000</v>
      </c>
      <c r="O38" s="239"/>
      <c r="P38" s="239"/>
      <c r="Q38" s="639"/>
      <c r="R38" s="639">
        <v>70000000</v>
      </c>
      <c r="S38" s="239"/>
      <c r="T38" s="239">
        <v>250000000</v>
      </c>
      <c r="U38" s="239">
        <v>197576234</v>
      </c>
      <c r="V38" s="239">
        <v>52423766</v>
      </c>
      <c r="W38" s="240">
        <v>0.79030493599999996</v>
      </c>
      <c r="X38" s="239">
        <v>197576234</v>
      </c>
      <c r="Y38" s="239">
        <v>0</v>
      </c>
      <c r="Z38" s="240">
        <v>0</v>
      </c>
      <c r="AA38" s="239">
        <v>197576234</v>
      </c>
      <c r="AB38" s="239">
        <v>0</v>
      </c>
      <c r="AC38" s="240">
        <v>1</v>
      </c>
    </row>
    <row r="39" spans="1:29" ht="24.95" customHeight="1">
      <c r="A39" s="32" t="s">
        <v>360</v>
      </c>
      <c r="B39" s="217" t="s">
        <v>361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2">
        <v>350000000</v>
      </c>
      <c r="R39" s="223"/>
      <c r="S39" s="223"/>
      <c r="T39" s="222">
        <v>2510000000</v>
      </c>
      <c r="U39" s="222">
        <v>2135775384</v>
      </c>
      <c r="V39" s="222">
        <v>374224616</v>
      </c>
      <c r="W39" s="224">
        <v>0.85090652749003981</v>
      </c>
      <c r="X39" s="222">
        <v>2135775384</v>
      </c>
      <c r="Y39" s="222">
        <v>0</v>
      </c>
      <c r="Z39" s="224">
        <v>0</v>
      </c>
      <c r="AA39" s="222">
        <v>2135775384</v>
      </c>
      <c r="AB39" s="222">
        <v>0</v>
      </c>
      <c r="AC39" s="224">
        <v>1</v>
      </c>
    </row>
    <row r="40" spans="1:29" ht="24.95" customHeight="1">
      <c r="A40" s="32" t="s">
        <v>362</v>
      </c>
      <c r="B40" s="217" t="s">
        <v>363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24000000</v>
      </c>
      <c r="O40" s="222"/>
      <c r="P40" s="222"/>
      <c r="Q40" s="223"/>
      <c r="R40" s="223"/>
      <c r="S40" s="223"/>
      <c r="T40" s="222">
        <v>24000000</v>
      </c>
      <c r="U40" s="222">
        <v>3832961</v>
      </c>
      <c r="V40" s="222">
        <v>20167039</v>
      </c>
      <c r="W40" s="224">
        <v>0.15970670833333334</v>
      </c>
      <c r="X40" s="222">
        <v>3832961</v>
      </c>
      <c r="Y40" s="222">
        <v>0</v>
      </c>
      <c r="Z40" s="224">
        <v>0</v>
      </c>
      <c r="AA40" s="222">
        <v>3832961</v>
      </c>
      <c r="AB40" s="222">
        <v>0</v>
      </c>
      <c r="AC40" s="224">
        <v>1</v>
      </c>
    </row>
    <row r="41" spans="1:29" ht="24.95" customHeight="1">
      <c r="A41" s="32" t="s">
        <v>365</v>
      </c>
      <c r="B41" s="217" t="s">
        <v>366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v>30000000</v>
      </c>
      <c r="U41" s="222">
        <v>23999994</v>
      </c>
      <c r="V41" s="222">
        <v>6000006</v>
      </c>
      <c r="W41" s="224">
        <v>0.79999980000000004</v>
      </c>
      <c r="X41" s="222">
        <v>0</v>
      </c>
      <c r="Y41" s="222">
        <v>23999994</v>
      </c>
      <c r="Z41" s="224">
        <v>1</v>
      </c>
      <c r="AA41" s="222">
        <v>0</v>
      </c>
      <c r="AB41" s="222">
        <v>0</v>
      </c>
      <c r="AC41" s="224">
        <v>0</v>
      </c>
    </row>
    <row r="42" spans="1:29" ht="24.95" customHeight="1">
      <c r="A42" s="32" t="s">
        <v>367</v>
      </c>
      <c r="B42" s="217" t="s">
        <v>368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770000000</v>
      </c>
      <c r="O42" s="222"/>
      <c r="P42" s="222"/>
      <c r="Q42" s="222">
        <v>80000000</v>
      </c>
      <c r="R42" s="223"/>
      <c r="S42" s="223"/>
      <c r="T42" s="222">
        <v>850000000</v>
      </c>
      <c r="U42" s="222">
        <v>755205994</v>
      </c>
      <c r="V42" s="222">
        <v>94794006</v>
      </c>
      <c r="W42" s="224">
        <v>0.88847763999999996</v>
      </c>
      <c r="X42" s="222">
        <v>754415848</v>
      </c>
      <c r="Y42" s="222">
        <v>790146</v>
      </c>
      <c r="Z42" s="224">
        <v>1.04626553056728E-3</v>
      </c>
      <c r="AA42" s="222">
        <v>754415848</v>
      </c>
      <c r="AB42" s="222">
        <v>0</v>
      </c>
      <c r="AC42" s="224">
        <v>0.9989537344694327</v>
      </c>
    </row>
    <row r="43" spans="1:29" ht="24.95" customHeight="1">
      <c r="A43" s="32" t="s">
        <v>369</v>
      </c>
      <c r="B43" s="217" t="s">
        <v>370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600000000</v>
      </c>
      <c r="O43" s="222"/>
      <c r="P43" s="222"/>
      <c r="Q43" s="223"/>
      <c r="R43" s="223"/>
      <c r="S43" s="223"/>
      <c r="T43" s="222">
        <v>600000000</v>
      </c>
      <c r="U43" s="222">
        <v>348555564</v>
      </c>
      <c r="V43" s="222">
        <v>251444436</v>
      </c>
      <c r="W43" s="224">
        <v>0.58092593999999997</v>
      </c>
      <c r="X43" s="222">
        <v>348555564</v>
      </c>
      <c r="Y43" s="222">
        <v>0</v>
      </c>
      <c r="Z43" s="224">
        <v>0</v>
      </c>
      <c r="AA43" s="222">
        <v>348555564</v>
      </c>
      <c r="AB43" s="222">
        <v>0</v>
      </c>
      <c r="AC43" s="224">
        <v>1</v>
      </c>
    </row>
    <row r="44" spans="1:29" ht="35.1" customHeight="1">
      <c r="A44" s="32" t="s">
        <v>371</v>
      </c>
      <c r="B44" s="188" t="s">
        <v>372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v>42289000000</v>
      </c>
      <c r="O44" s="194">
        <v>0</v>
      </c>
      <c r="P44" s="194">
        <v>0</v>
      </c>
      <c r="Q44" s="194">
        <v>6206140601.3199997</v>
      </c>
      <c r="R44" s="194">
        <v>7579227401.3199997</v>
      </c>
      <c r="S44" s="194">
        <v>0</v>
      </c>
      <c r="T44" s="194">
        <v>40915913200</v>
      </c>
      <c r="U44" s="194">
        <v>39307184373.239998</v>
      </c>
      <c r="V44" s="194">
        <v>1608728826.7600009</v>
      </c>
      <c r="W44" s="195">
        <v>0.96068207450493848</v>
      </c>
      <c r="X44" s="194">
        <v>31860575538.560001</v>
      </c>
      <c r="Y44" s="194">
        <v>7446608834.6799994</v>
      </c>
      <c r="Z44" s="195">
        <v>0.18944650840342531</v>
      </c>
      <c r="AA44" s="194">
        <v>31591682942.07</v>
      </c>
      <c r="AB44" s="194">
        <v>268892596.49000007</v>
      </c>
      <c r="AC44" s="195">
        <v>0.80371269135159307</v>
      </c>
    </row>
    <row r="45" spans="1:29" ht="24.95" customHeight="1">
      <c r="A45" s="32" t="s">
        <v>376</v>
      </c>
      <c r="B45" s="196" t="s">
        <v>377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v>42289000000</v>
      </c>
      <c r="O45" s="201">
        <v>0</v>
      </c>
      <c r="P45" s="201">
        <v>0</v>
      </c>
      <c r="Q45" s="201">
        <v>6206140601.3199997</v>
      </c>
      <c r="R45" s="201">
        <v>7579227401.3199997</v>
      </c>
      <c r="S45" s="201">
        <v>0</v>
      </c>
      <c r="T45" s="201">
        <v>40915913200</v>
      </c>
      <c r="U45" s="201">
        <v>39307184373.239998</v>
      </c>
      <c r="V45" s="201">
        <v>1608728826.7600009</v>
      </c>
      <c r="W45" s="202">
        <v>0.96068207450493848</v>
      </c>
      <c r="X45" s="201">
        <v>31860575538.560001</v>
      </c>
      <c r="Y45" s="201">
        <v>7446608834.6799994</v>
      </c>
      <c r="Z45" s="202">
        <v>0.18944650840342531</v>
      </c>
      <c r="AA45" s="201">
        <v>31591682942.07</v>
      </c>
      <c r="AB45" s="201">
        <v>268892596.49000007</v>
      </c>
      <c r="AC45" s="202">
        <v>0.80371269135159307</v>
      </c>
    </row>
    <row r="46" spans="1:29" ht="24.95" customHeight="1">
      <c r="A46" s="32" t="s">
        <v>378</v>
      </c>
      <c r="B46" s="203" t="s">
        <v>379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v>862264202</v>
      </c>
      <c r="O46" s="208">
        <v>0</v>
      </c>
      <c r="P46" s="208">
        <v>0</v>
      </c>
      <c r="Q46" s="208">
        <v>235390861</v>
      </c>
      <c r="R46" s="208">
        <v>314930647</v>
      </c>
      <c r="S46" s="208">
        <v>0</v>
      </c>
      <c r="T46" s="208">
        <v>782724416</v>
      </c>
      <c r="U46" s="208">
        <v>580191032.8599999</v>
      </c>
      <c r="V46" s="208">
        <v>202533383.14000002</v>
      </c>
      <c r="W46" s="209">
        <v>0.74124560445550214</v>
      </c>
      <c r="X46" s="208">
        <v>406650344.41000003</v>
      </c>
      <c r="Y46" s="208">
        <v>173540688.44999999</v>
      </c>
      <c r="Z46" s="209">
        <v>0.29910956671382294</v>
      </c>
      <c r="AA46" s="208">
        <v>381884351.86000001</v>
      </c>
      <c r="AB46" s="208">
        <v>24765992.550000001</v>
      </c>
      <c r="AC46" s="209">
        <v>0.65820450546699283</v>
      </c>
    </row>
    <row r="47" spans="1:29" ht="24.95" customHeight="1">
      <c r="A47" s="32" t="s">
        <v>380</v>
      </c>
      <c r="B47" s="210" t="s">
        <v>381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v>69000000</v>
      </c>
      <c r="O47" s="215">
        <v>0</v>
      </c>
      <c r="P47" s="215">
        <v>0</v>
      </c>
      <c r="Q47" s="215">
        <v>0</v>
      </c>
      <c r="R47" s="215">
        <v>26567529</v>
      </c>
      <c r="S47" s="215">
        <v>0</v>
      </c>
      <c r="T47" s="215">
        <v>42432471</v>
      </c>
      <c r="U47" s="215">
        <v>42432471</v>
      </c>
      <c r="V47" s="215">
        <v>0</v>
      </c>
      <c r="W47" s="216">
        <v>1</v>
      </c>
      <c r="X47" s="215">
        <v>28327937.48</v>
      </c>
      <c r="Y47" s="215">
        <v>14104533.52</v>
      </c>
      <c r="Z47" s="216">
        <v>0.33239953242411924</v>
      </c>
      <c r="AA47" s="215">
        <v>26740338.48</v>
      </c>
      <c r="AB47" s="215">
        <v>1587599</v>
      </c>
      <c r="AC47" s="216">
        <v>0.63018574807957806</v>
      </c>
    </row>
    <row r="48" spans="1:29" ht="24.95" customHeight="1">
      <c r="A48" s="32" t="s">
        <v>554</v>
      </c>
      <c r="B48" s="217" t="s">
        <v>555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51000000</v>
      </c>
      <c r="O48" s="222"/>
      <c r="P48" s="222"/>
      <c r="Q48" s="222"/>
      <c r="R48" s="223">
        <v>16000000</v>
      </c>
      <c r="S48" s="223"/>
      <c r="T48" s="222">
        <v>35000000</v>
      </c>
      <c r="U48" s="222">
        <v>35000000</v>
      </c>
      <c r="V48" s="222">
        <v>0</v>
      </c>
      <c r="W48" s="224">
        <v>1</v>
      </c>
      <c r="X48" s="222">
        <v>25954819.48</v>
      </c>
      <c r="Y48" s="222">
        <v>9045180.5199999996</v>
      </c>
      <c r="Z48" s="224">
        <v>0.25843372914285712</v>
      </c>
      <c r="AA48" s="222">
        <v>25954819.48</v>
      </c>
      <c r="AB48" s="222">
        <v>0</v>
      </c>
      <c r="AC48" s="224">
        <v>0.74156627085714288</v>
      </c>
    </row>
    <row r="49" spans="1:52" ht="24.95" customHeight="1">
      <c r="A49" s="32" t="s">
        <v>556</v>
      </c>
      <c r="B49" s="217" t="s">
        <v>557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18000000</v>
      </c>
      <c r="O49" s="222"/>
      <c r="P49" s="222"/>
      <c r="Q49" s="222"/>
      <c r="R49" s="223">
        <v>10567529</v>
      </c>
      <c r="S49" s="223"/>
      <c r="T49" s="222">
        <v>7432471</v>
      </c>
      <c r="U49" s="222">
        <v>7432471</v>
      </c>
      <c r="V49" s="222">
        <v>0</v>
      </c>
      <c r="W49" s="224">
        <v>1</v>
      </c>
      <c r="X49" s="222">
        <v>2373118</v>
      </c>
      <c r="Y49" s="222">
        <v>5059353</v>
      </c>
      <c r="Z49" s="224">
        <v>0.68070941682786246</v>
      </c>
      <c r="AA49" s="222">
        <v>785519</v>
      </c>
      <c r="AB49" s="222">
        <v>1587599</v>
      </c>
      <c r="AC49" s="224">
        <v>0.10568746248724011</v>
      </c>
    </row>
    <row r="50" spans="1:52" ht="33">
      <c r="A50" s="32" t="s">
        <v>382</v>
      </c>
      <c r="B50" s="210" t="s">
        <v>383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v>140000000</v>
      </c>
      <c r="O50" s="215">
        <v>0</v>
      </c>
      <c r="P50" s="215">
        <v>0</v>
      </c>
      <c r="Q50" s="215">
        <v>0</v>
      </c>
      <c r="R50" s="215">
        <v>27350000</v>
      </c>
      <c r="S50" s="215">
        <v>0</v>
      </c>
      <c r="T50" s="215">
        <v>112650000</v>
      </c>
      <c r="U50" s="215">
        <v>71292256.459999993</v>
      </c>
      <c r="V50" s="215">
        <v>41357743.540000007</v>
      </c>
      <c r="W50" s="216">
        <v>0.63286512614292045</v>
      </c>
      <c r="X50" s="215">
        <v>26141638.039999999</v>
      </c>
      <c r="Y50" s="215">
        <v>45150618.419999994</v>
      </c>
      <c r="Z50" s="216">
        <v>0.63331728664434528</v>
      </c>
      <c r="AA50" s="215">
        <v>26141638.039999999</v>
      </c>
      <c r="AB50" s="215">
        <v>0</v>
      </c>
      <c r="AC50" s="216">
        <v>0.36668271335565467</v>
      </c>
    </row>
    <row r="51" spans="1:52" ht="24.95" customHeight="1">
      <c r="A51" s="32" t="s">
        <v>558</v>
      </c>
      <c r="B51" s="217" t="s">
        <v>559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140000000</v>
      </c>
      <c r="O51" s="222"/>
      <c r="P51" s="222"/>
      <c r="Q51" s="222"/>
      <c r="R51" s="223">
        <v>27350000</v>
      </c>
      <c r="S51" s="223"/>
      <c r="T51" s="222">
        <v>112650000</v>
      </c>
      <c r="U51" s="222">
        <v>71292256.459999993</v>
      </c>
      <c r="V51" s="222">
        <v>41357743.540000007</v>
      </c>
      <c r="W51" s="224">
        <v>0.63286512614292045</v>
      </c>
      <c r="X51" s="222">
        <v>26141638.039999999</v>
      </c>
      <c r="Y51" s="222">
        <v>45150618.419999994</v>
      </c>
      <c r="Z51" s="224">
        <v>0.63331728664434528</v>
      </c>
      <c r="AA51" s="222">
        <v>26141638.039999999</v>
      </c>
      <c r="AB51" s="222">
        <v>0</v>
      </c>
      <c r="AC51" s="224">
        <v>0.36668271335565467</v>
      </c>
    </row>
    <row r="52" spans="1:52" ht="33">
      <c r="A52" s="32" t="s">
        <v>384</v>
      </c>
      <c r="B52" s="210" t="s">
        <v>385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v>355264202</v>
      </c>
      <c r="O52" s="215">
        <v>0</v>
      </c>
      <c r="P52" s="215">
        <v>0</v>
      </c>
      <c r="Q52" s="215">
        <v>90740266</v>
      </c>
      <c r="R52" s="215">
        <v>46074857</v>
      </c>
      <c r="S52" s="215">
        <v>0</v>
      </c>
      <c r="T52" s="215">
        <v>399929611</v>
      </c>
      <c r="U52" s="215">
        <v>332220705.39999998</v>
      </c>
      <c r="V52" s="215">
        <v>67708905.600000009</v>
      </c>
      <c r="W52" s="216">
        <v>0.83069794349386139</v>
      </c>
      <c r="X52" s="215">
        <v>249617750.34</v>
      </c>
      <c r="Y52" s="215">
        <v>82602955.060000002</v>
      </c>
      <c r="Z52" s="216">
        <v>0.248638792577797</v>
      </c>
      <c r="AA52" s="215">
        <v>247259293.34</v>
      </c>
      <c r="AB52" s="215">
        <v>2358457</v>
      </c>
      <c r="AC52" s="216">
        <v>0.74426214056193507</v>
      </c>
    </row>
    <row r="53" spans="1:52" ht="24" customHeight="1">
      <c r="A53" s="32" t="s">
        <v>560</v>
      </c>
      <c r="B53" s="217" t="s">
        <v>561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106000000</v>
      </c>
      <c r="O53" s="222"/>
      <c r="P53" s="222"/>
      <c r="Q53" s="222">
        <v>20740266</v>
      </c>
      <c r="R53" s="223">
        <v>6780994</v>
      </c>
      <c r="S53" s="223"/>
      <c r="T53" s="222">
        <v>119959272</v>
      </c>
      <c r="U53" s="222">
        <v>80242586.819999993</v>
      </c>
      <c r="V53" s="222">
        <v>39716685.180000007</v>
      </c>
      <c r="W53" s="224">
        <v>0.66891525333698254</v>
      </c>
      <c r="X53" s="222">
        <v>77807472.819999993</v>
      </c>
      <c r="Y53" s="222">
        <v>2435114</v>
      </c>
      <c r="Z53" s="224">
        <v>3.0346903016255481E-2</v>
      </c>
      <c r="AA53" s="222">
        <v>77807472.819999993</v>
      </c>
      <c r="AB53" s="222">
        <v>0</v>
      </c>
      <c r="AC53" s="224">
        <v>0.96965309698374447</v>
      </c>
    </row>
    <row r="54" spans="1:52" ht="24" customHeight="1">
      <c r="A54" s="32" t="s">
        <v>562</v>
      </c>
      <c r="B54" s="217" t="s">
        <v>563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107264202</v>
      </c>
      <c r="O54" s="222"/>
      <c r="P54" s="222"/>
      <c r="Q54" s="222"/>
      <c r="R54" s="223">
        <v>9200000</v>
      </c>
      <c r="S54" s="223"/>
      <c r="T54" s="222">
        <v>98064202</v>
      </c>
      <c r="U54" s="222">
        <v>98064202</v>
      </c>
      <c r="V54" s="222">
        <v>0</v>
      </c>
      <c r="W54" s="224">
        <v>1</v>
      </c>
      <c r="X54" s="222">
        <v>31422318</v>
      </c>
      <c r="Y54" s="222">
        <v>66641884</v>
      </c>
      <c r="Z54" s="224">
        <v>0.67957402029335845</v>
      </c>
      <c r="AA54" s="222">
        <v>31422318</v>
      </c>
      <c r="AB54" s="222">
        <v>0</v>
      </c>
      <c r="AC54" s="224">
        <v>0.32042597970664155</v>
      </c>
    </row>
    <row r="55" spans="1:52" ht="24" customHeight="1">
      <c r="A55" s="32" t="s">
        <v>564</v>
      </c>
      <c r="B55" s="217" t="s">
        <v>565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6000000</v>
      </c>
      <c r="O55" s="222"/>
      <c r="P55" s="222"/>
      <c r="Q55" s="222">
        <v>70000000</v>
      </c>
      <c r="R55" s="223">
        <v>3600000</v>
      </c>
      <c r="S55" s="223"/>
      <c r="T55" s="222">
        <v>72400000</v>
      </c>
      <c r="U55" s="222">
        <v>46907780</v>
      </c>
      <c r="V55" s="222">
        <v>25492220</v>
      </c>
      <c r="W55" s="224">
        <v>0.64789751381215466</v>
      </c>
      <c r="X55" s="222">
        <v>44578743</v>
      </c>
      <c r="Y55" s="222">
        <v>2329037</v>
      </c>
      <c r="Z55" s="224">
        <v>4.9651401110860499E-2</v>
      </c>
      <c r="AA55" s="222">
        <v>44578743</v>
      </c>
      <c r="AB55" s="222">
        <v>0</v>
      </c>
      <c r="AC55" s="224">
        <v>0.95034859888913947</v>
      </c>
    </row>
    <row r="56" spans="1:52" ht="24" customHeight="1">
      <c r="A56" s="32" t="s">
        <v>566</v>
      </c>
      <c r="B56" s="217" t="s">
        <v>567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18000000</v>
      </c>
      <c r="O56" s="222"/>
      <c r="P56" s="222"/>
      <c r="Q56" s="222"/>
      <c r="R56" s="223">
        <v>2000000</v>
      </c>
      <c r="S56" s="223"/>
      <c r="T56" s="222">
        <v>16000000</v>
      </c>
      <c r="U56" s="222">
        <v>16000000</v>
      </c>
      <c r="V56" s="222">
        <v>0</v>
      </c>
      <c r="W56" s="224">
        <v>1</v>
      </c>
      <c r="X56" s="222">
        <v>11057198.800000001</v>
      </c>
      <c r="Y56" s="222">
        <v>4942801.1999999993</v>
      </c>
      <c r="Z56" s="224">
        <v>0.30892507499999994</v>
      </c>
      <c r="AA56" s="222">
        <v>11057198.800000001</v>
      </c>
      <c r="AB56" s="222">
        <v>0</v>
      </c>
      <c r="AC56" s="224">
        <v>0.69107492500000001</v>
      </c>
    </row>
    <row r="57" spans="1:52" ht="24" customHeight="1">
      <c r="A57" s="32" t="s">
        <v>568</v>
      </c>
      <c r="B57" s="217" t="s">
        <v>569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>
        <v>8000000</v>
      </c>
      <c r="O57" s="222"/>
      <c r="P57" s="222"/>
      <c r="Q57" s="222"/>
      <c r="R57" s="223">
        <v>6800000</v>
      </c>
      <c r="S57" s="223"/>
      <c r="T57" s="222">
        <v>1200000</v>
      </c>
      <c r="U57" s="222">
        <v>1200000</v>
      </c>
      <c r="V57" s="222">
        <v>0</v>
      </c>
      <c r="W57" s="224">
        <v>1</v>
      </c>
      <c r="X57" s="222">
        <v>1200000</v>
      </c>
      <c r="Y57" s="222">
        <v>0</v>
      </c>
      <c r="Z57" s="224">
        <v>0</v>
      </c>
      <c r="AA57" s="222">
        <v>335065</v>
      </c>
      <c r="AB57" s="222">
        <v>864935</v>
      </c>
      <c r="AC57" s="224">
        <v>0.27922083333333331</v>
      </c>
    </row>
    <row r="58" spans="1:52" ht="24" customHeight="1">
      <c r="A58" s="32" t="s">
        <v>570</v>
      </c>
      <c r="B58" s="217" t="s">
        <v>571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110000000</v>
      </c>
      <c r="O58" s="222"/>
      <c r="P58" s="222"/>
      <c r="Q58" s="222"/>
      <c r="R58" s="223">
        <v>17693863</v>
      </c>
      <c r="S58" s="223"/>
      <c r="T58" s="222">
        <v>92306137</v>
      </c>
      <c r="U58" s="222">
        <v>89806136.579999998</v>
      </c>
      <c r="V58" s="222">
        <v>2500000.4200000018</v>
      </c>
      <c r="W58" s="224">
        <v>0.97291620577730387</v>
      </c>
      <c r="X58" s="222">
        <v>83552017.719999999</v>
      </c>
      <c r="Y58" s="222">
        <v>6254118.8599999994</v>
      </c>
      <c r="Z58" s="224">
        <v>6.9640217229796783E-2</v>
      </c>
      <c r="AA58" s="222">
        <v>82058495.719999999</v>
      </c>
      <c r="AB58" s="222">
        <v>1493522</v>
      </c>
      <c r="AC58" s="224">
        <v>0.91372927112727598</v>
      </c>
    </row>
    <row r="59" spans="1:52" ht="24.95" customHeight="1">
      <c r="A59" s="32" t="s">
        <v>386</v>
      </c>
      <c r="B59" s="210" t="s">
        <v>387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v>298000000</v>
      </c>
      <c r="O59" s="215">
        <v>0</v>
      </c>
      <c r="P59" s="215">
        <v>0</v>
      </c>
      <c r="Q59" s="215">
        <v>144650595</v>
      </c>
      <c r="R59" s="215">
        <v>214938261</v>
      </c>
      <c r="S59" s="215">
        <v>0</v>
      </c>
      <c r="T59" s="215">
        <v>227712334</v>
      </c>
      <c r="U59" s="215">
        <v>134245600</v>
      </c>
      <c r="V59" s="215">
        <v>93466734</v>
      </c>
      <c r="W59" s="216">
        <v>0.58954031010019858</v>
      </c>
      <c r="X59" s="215">
        <v>102563018.55</v>
      </c>
      <c r="Y59" s="215">
        <v>31682581.449999999</v>
      </c>
      <c r="Z59" s="216">
        <v>0.23600461728354596</v>
      </c>
      <c r="AA59" s="215">
        <v>81743082</v>
      </c>
      <c r="AB59" s="215">
        <v>20819936.550000001</v>
      </c>
      <c r="AC59" s="216">
        <v>0.60890697348739919</v>
      </c>
    </row>
    <row r="60" spans="1:52" ht="24.95" customHeight="1">
      <c r="A60" s="32" t="s">
        <v>572</v>
      </c>
      <c r="B60" s="217" t="s">
        <v>573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>
        <v>37000000</v>
      </c>
      <c r="O60" s="222"/>
      <c r="P60" s="222"/>
      <c r="Q60" s="222"/>
      <c r="R60" s="223">
        <v>12000000</v>
      </c>
      <c r="S60" s="223"/>
      <c r="T60" s="222">
        <v>25000000</v>
      </c>
      <c r="U60" s="222">
        <v>25000000</v>
      </c>
      <c r="V60" s="222">
        <v>0</v>
      </c>
      <c r="W60" s="224">
        <v>1</v>
      </c>
      <c r="X60" s="222">
        <v>13287378</v>
      </c>
      <c r="Y60" s="222">
        <v>11712622</v>
      </c>
      <c r="Z60" s="224">
        <v>0.46850488000000001</v>
      </c>
      <c r="AA60" s="222">
        <v>12811378</v>
      </c>
      <c r="AB60" s="222">
        <v>476000</v>
      </c>
      <c r="AC60" s="224">
        <v>0.51245512000000004</v>
      </c>
    </row>
    <row r="61" spans="1:52" s="64" customFormat="1" ht="24.95" customHeight="1">
      <c r="A61" s="32" t="s">
        <v>574</v>
      </c>
      <c r="B61" s="217" t="s">
        <v>575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0</v>
      </c>
      <c r="O61" s="222"/>
      <c r="P61" s="222"/>
      <c r="Q61" s="222">
        <v>82000000</v>
      </c>
      <c r="R61" s="223">
        <v>32000000</v>
      </c>
      <c r="S61" s="223"/>
      <c r="T61" s="222">
        <v>50000000</v>
      </c>
      <c r="U61" s="222">
        <v>0</v>
      </c>
      <c r="V61" s="222">
        <v>50000000</v>
      </c>
      <c r="W61" s="224">
        <v>0</v>
      </c>
      <c r="X61" s="222">
        <v>0</v>
      </c>
      <c r="Y61" s="222">
        <v>0</v>
      </c>
      <c r="Z61" s="224">
        <v>0</v>
      </c>
      <c r="AA61" s="222">
        <v>0</v>
      </c>
      <c r="AB61" s="222">
        <v>0</v>
      </c>
      <c r="AC61" s="224"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">
        <v>576</v>
      </c>
      <c r="B62" s="217" t="s">
        <v>577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0</v>
      </c>
      <c r="O62" s="222"/>
      <c r="P62" s="222"/>
      <c r="Q62" s="222">
        <v>30000000</v>
      </c>
      <c r="R62" s="223"/>
      <c r="S62" s="223"/>
      <c r="T62" s="222">
        <v>30000000</v>
      </c>
      <c r="U62" s="222">
        <v>30000000</v>
      </c>
      <c r="V62" s="222">
        <v>0</v>
      </c>
      <c r="W62" s="224">
        <v>1</v>
      </c>
      <c r="X62" s="222">
        <v>23625956.550000001</v>
      </c>
      <c r="Y62" s="222">
        <v>6374043.4499999993</v>
      </c>
      <c r="Z62" s="224">
        <v>0.21246811499999999</v>
      </c>
      <c r="AA62" s="222">
        <v>3282020</v>
      </c>
      <c r="AB62" s="222">
        <v>20343936.550000001</v>
      </c>
      <c r="AC62" s="224">
        <v>0.10940066666666666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">
        <v>578</v>
      </c>
      <c r="B63" s="217" t="s">
        <v>579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261000000</v>
      </c>
      <c r="O63" s="222"/>
      <c r="P63" s="222"/>
      <c r="Q63" s="222">
        <v>12650595</v>
      </c>
      <c r="R63" s="222">
        <v>157598261</v>
      </c>
      <c r="S63" s="223"/>
      <c r="T63" s="222">
        <v>116052334</v>
      </c>
      <c r="U63" s="222">
        <v>72585600</v>
      </c>
      <c r="V63" s="222">
        <v>43466734</v>
      </c>
      <c r="W63" s="224">
        <v>0.62545575343620408</v>
      </c>
      <c r="X63" s="222">
        <v>58989684</v>
      </c>
      <c r="Y63" s="222">
        <v>13595916</v>
      </c>
      <c r="Z63" s="224">
        <v>0.1873087223912181</v>
      </c>
      <c r="AA63" s="222">
        <v>58989684</v>
      </c>
      <c r="AB63" s="222">
        <v>0</v>
      </c>
      <c r="AC63" s="224">
        <v>0.8126912776087819</v>
      </c>
    </row>
    <row r="64" spans="1:52" s="64" customFormat="1" ht="24.95" customHeight="1">
      <c r="A64" s="241" t="s">
        <v>580</v>
      </c>
      <c r="B64" s="242" t="s">
        <v>581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>
        <v>0</v>
      </c>
      <c r="O64" s="222"/>
      <c r="P64" s="222"/>
      <c r="Q64" s="222">
        <v>20000000</v>
      </c>
      <c r="R64" s="222">
        <v>13340000</v>
      </c>
      <c r="S64" s="223"/>
      <c r="T64" s="222">
        <v>6660000</v>
      </c>
      <c r="U64" s="222">
        <v>6660000</v>
      </c>
      <c r="V64" s="222">
        <v>0</v>
      </c>
      <c r="W64" s="224">
        <v>1</v>
      </c>
      <c r="X64" s="222">
        <v>6660000</v>
      </c>
      <c r="Y64" s="222">
        <v>0</v>
      </c>
      <c r="Z64" s="224">
        <v>0</v>
      </c>
      <c r="AA64" s="222">
        <v>6660000</v>
      </c>
      <c r="AB64" s="222">
        <v>0</v>
      </c>
      <c r="AC64" s="224">
        <v>1</v>
      </c>
    </row>
    <row r="65" spans="1:29" ht="24.95" customHeight="1">
      <c r="A65" s="32" t="s">
        <v>388</v>
      </c>
      <c r="B65" s="203" t="s">
        <v>389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v>41426735798</v>
      </c>
      <c r="O65" s="208">
        <v>0</v>
      </c>
      <c r="P65" s="208">
        <v>0</v>
      </c>
      <c r="Q65" s="208">
        <v>5970749740.3199997</v>
      </c>
      <c r="R65" s="208">
        <v>7264296754.3199997</v>
      </c>
      <c r="S65" s="208">
        <v>0</v>
      </c>
      <c r="T65" s="208">
        <v>40133188784</v>
      </c>
      <c r="U65" s="208">
        <v>38726993340.379997</v>
      </c>
      <c r="V65" s="208">
        <v>1406195443.6200008</v>
      </c>
      <c r="W65" s="209">
        <v>0.96496178135287836</v>
      </c>
      <c r="X65" s="208">
        <v>31453925194.150002</v>
      </c>
      <c r="Y65" s="208">
        <v>7273068146.2299995</v>
      </c>
      <c r="Z65" s="209">
        <v>0.18780358398353872</v>
      </c>
      <c r="AA65" s="208">
        <v>31209798590.209999</v>
      </c>
      <c r="AB65" s="208">
        <v>244126603.94000006</v>
      </c>
      <c r="AC65" s="209">
        <v>0.80589263194021465</v>
      </c>
    </row>
    <row r="66" spans="1:29" ht="49.5">
      <c r="A66" s="32" t="s">
        <v>390</v>
      </c>
      <c r="B66" s="210" t="s">
        <v>391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v>7757163474</v>
      </c>
      <c r="O66" s="215">
        <v>0</v>
      </c>
      <c r="P66" s="215">
        <v>0</v>
      </c>
      <c r="Q66" s="215">
        <v>735012017</v>
      </c>
      <c r="R66" s="215">
        <v>1633667328.8800001</v>
      </c>
      <c r="S66" s="215">
        <v>0</v>
      </c>
      <c r="T66" s="215">
        <v>6858508162.1199999</v>
      </c>
      <c r="U66" s="215">
        <v>6015532933.1000004</v>
      </c>
      <c r="V66" s="215">
        <v>842975229.01999986</v>
      </c>
      <c r="W66" s="216">
        <v>0.87709058455659383</v>
      </c>
      <c r="X66" s="215">
        <v>4765106650.1000004</v>
      </c>
      <c r="Y66" s="215">
        <v>1250426283</v>
      </c>
      <c r="Z66" s="216">
        <v>0.2078662517363386</v>
      </c>
      <c r="AA66" s="215">
        <v>4764943218.1000004</v>
      </c>
      <c r="AB66" s="215">
        <v>163432</v>
      </c>
      <c r="AC66" s="216">
        <v>0.79210657993097711</v>
      </c>
    </row>
    <row r="67" spans="1:29" ht="24.95" customHeight="1">
      <c r="A67" s="32" t="s">
        <v>582</v>
      </c>
      <c r="B67" s="217" t="s">
        <v>583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v>12000000</v>
      </c>
      <c r="U67" s="222">
        <v>2654895</v>
      </c>
      <c r="V67" s="222">
        <v>9345105</v>
      </c>
      <c r="W67" s="224">
        <v>0.22124125</v>
      </c>
      <c r="X67" s="222">
        <v>2654895</v>
      </c>
      <c r="Y67" s="222">
        <v>0</v>
      </c>
      <c r="Z67" s="224">
        <v>0</v>
      </c>
      <c r="AA67" s="222">
        <v>2654895</v>
      </c>
      <c r="AB67" s="222">
        <v>0</v>
      </c>
      <c r="AC67" s="224">
        <v>1</v>
      </c>
    </row>
    <row r="68" spans="1:29" ht="24.95" customHeight="1">
      <c r="A68" s="32" t="s">
        <v>584</v>
      </c>
      <c r="B68" s="217" t="s">
        <v>585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4851925294</v>
      </c>
      <c r="O68" s="222"/>
      <c r="P68" s="222"/>
      <c r="Q68" s="223">
        <v>491241816</v>
      </c>
      <c r="R68" s="223">
        <v>1478902396.8800001</v>
      </c>
      <c r="S68" s="223"/>
      <c r="T68" s="222">
        <v>3864264713.1199999</v>
      </c>
      <c r="U68" s="222">
        <v>3221134863</v>
      </c>
      <c r="V68" s="222">
        <v>643129850.11999989</v>
      </c>
      <c r="W68" s="224">
        <v>0.83356992911576755</v>
      </c>
      <c r="X68" s="222">
        <v>2352815446</v>
      </c>
      <c r="Y68" s="222">
        <v>868319417</v>
      </c>
      <c r="Z68" s="224">
        <v>0.26956940765631021</v>
      </c>
      <c r="AA68" s="222">
        <v>2352815446</v>
      </c>
      <c r="AB68" s="222">
        <v>0</v>
      </c>
      <c r="AC68" s="224">
        <v>0.73043059234368979</v>
      </c>
    </row>
    <row r="69" spans="1:29" ht="24.95" customHeight="1">
      <c r="A69" s="32" t="s">
        <v>586</v>
      </c>
      <c r="B69" s="217" t="s">
        <v>587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100000000</v>
      </c>
      <c r="O69" s="222"/>
      <c r="P69" s="222"/>
      <c r="Q69" s="223">
        <v>12600000</v>
      </c>
      <c r="R69" s="223">
        <v>13000000</v>
      </c>
      <c r="S69" s="223"/>
      <c r="T69" s="222">
        <v>99600000</v>
      </c>
      <c r="U69" s="222">
        <v>99579990</v>
      </c>
      <c r="V69" s="222">
        <v>20010</v>
      </c>
      <c r="W69" s="224">
        <v>0.99979909638554221</v>
      </c>
      <c r="X69" s="222">
        <v>54005103</v>
      </c>
      <c r="Y69" s="222">
        <v>45574887</v>
      </c>
      <c r="Z69" s="224">
        <v>0.45767113453214847</v>
      </c>
      <c r="AA69" s="222">
        <v>54005103</v>
      </c>
      <c r="AB69" s="222">
        <v>0</v>
      </c>
      <c r="AC69" s="224">
        <v>0.54232886546785153</v>
      </c>
    </row>
    <row r="70" spans="1:29" ht="24.95" customHeight="1">
      <c r="A70" s="32" t="s">
        <v>588</v>
      </c>
      <c r="B70" s="217" t="s">
        <v>589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>
        <v>10000000</v>
      </c>
      <c r="O70" s="222"/>
      <c r="P70" s="222"/>
      <c r="Q70" s="223"/>
      <c r="R70" s="223">
        <v>10000000</v>
      </c>
      <c r="S70" s="223"/>
      <c r="T70" s="222">
        <v>0</v>
      </c>
      <c r="U70" s="222">
        <v>0</v>
      </c>
      <c r="V70" s="222">
        <v>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</row>
    <row r="71" spans="1:29" ht="24.95" customHeight="1">
      <c r="A71" s="32" t="s">
        <v>590</v>
      </c>
      <c r="B71" s="217" t="s">
        <v>591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2053178180</v>
      </c>
      <c r="O71" s="222"/>
      <c r="P71" s="222"/>
      <c r="Q71" s="222">
        <v>26954323</v>
      </c>
      <c r="R71" s="223">
        <v>131764932</v>
      </c>
      <c r="S71" s="223"/>
      <c r="T71" s="222">
        <v>1948367571</v>
      </c>
      <c r="U71" s="222">
        <v>1943257031</v>
      </c>
      <c r="V71" s="222">
        <v>5110540</v>
      </c>
      <c r="W71" s="224">
        <v>0.99737701444220972</v>
      </c>
      <c r="X71" s="222">
        <v>1606786414</v>
      </c>
      <c r="Y71" s="222">
        <v>336470617</v>
      </c>
      <c r="Z71" s="224">
        <v>0.17314776770772944</v>
      </c>
      <c r="AA71" s="222">
        <v>1606786414</v>
      </c>
      <c r="AB71" s="222">
        <v>0</v>
      </c>
      <c r="AC71" s="224">
        <v>0.82685223229227056</v>
      </c>
    </row>
    <row r="72" spans="1:29" ht="27" customHeight="1">
      <c r="A72" s="32" t="s">
        <v>592</v>
      </c>
      <c r="B72" s="217" t="s">
        <v>593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730060000</v>
      </c>
      <c r="O72" s="222"/>
      <c r="P72" s="222"/>
      <c r="Q72" s="223">
        <v>204215878</v>
      </c>
      <c r="R72" s="223"/>
      <c r="S72" s="223"/>
      <c r="T72" s="222">
        <v>934275878</v>
      </c>
      <c r="U72" s="222">
        <v>748906154.10000002</v>
      </c>
      <c r="V72" s="222">
        <v>185369723.89999998</v>
      </c>
      <c r="W72" s="224">
        <v>0.80158994975143738</v>
      </c>
      <c r="X72" s="222">
        <v>748844792.10000002</v>
      </c>
      <c r="Y72" s="222">
        <v>61362</v>
      </c>
      <c r="Z72" s="224">
        <v>8.1935499747284022E-5</v>
      </c>
      <c r="AA72" s="222">
        <v>748681360.10000002</v>
      </c>
      <c r="AB72" s="222">
        <v>163432</v>
      </c>
      <c r="AC72" s="224">
        <v>0.99969983689041764</v>
      </c>
    </row>
    <row r="73" spans="1:29" ht="33">
      <c r="A73" s="32" t="s">
        <v>392</v>
      </c>
      <c r="B73" s="210" t="s">
        <v>393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v>12770333207</v>
      </c>
      <c r="O73" s="215">
        <v>0</v>
      </c>
      <c r="P73" s="215">
        <v>0</v>
      </c>
      <c r="Q73" s="215">
        <v>2409248855.29</v>
      </c>
      <c r="R73" s="215">
        <v>1080828671</v>
      </c>
      <c r="S73" s="215">
        <v>0</v>
      </c>
      <c r="T73" s="215">
        <v>14098753391.290001</v>
      </c>
      <c r="U73" s="215">
        <v>14064399578</v>
      </c>
      <c r="V73" s="215">
        <v>34353813.290000916</v>
      </c>
      <c r="W73" s="216">
        <v>0.9975633439115813</v>
      </c>
      <c r="X73" s="215">
        <v>12860004388</v>
      </c>
      <c r="Y73" s="215">
        <v>1204395190</v>
      </c>
      <c r="Z73" s="216">
        <v>8.5634312600443671E-2</v>
      </c>
      <c r="AA73" s="215">
        <v>12856631133</v>
      </c>
      <c r="AB73" s="215">
        <v>3373255</v>
      </c>
      <c r="AC73" s="216">
        <v>0.91412584388677132</v>
      </c>
    </row>
    <row r="74" spans="1:29" ht="24.95" customHeight="1">
      <c r="A74" s="32" t="s">
        <v>594</v>
      </c>
      <c r="B74" s="217" t="s">
        <v>595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25000000</v>
      </c>
      <c r="O74" s="222"/>
      <c r="P74" s="222"/>
      <c r="Q74" s="222">
        <v>60000000</v>
      </c>
      <c r="R74" s="223">
        <v>24065692</v>
      </c>
      <c r="S74" s="223"/>
      <c r="T74" s="222">
        <v>60934308</v>
      </c>
      <c r="U74" s="222">
        <v>45802458</v>
      </c>
      <c r="V74" s="222">
        <v>15131850</v>
      </c>
      <c r="W74" s="224">
        <v>0.75166945360239423</v>
      </c>
      <c r="X74" s="222">
        <v>45802458</v>
      </c>
      <c r="Y74" s="222">
        <v>0</v>
      </c>
      <c r="Z74" s="224">
        <v>0</v>
      </c>
      <c r="AA74" s="222">
        <v>45802458</v>
      </c>
      <c r="AB74" s="222">
        <v>0</v>
      </c>
      <c r="AC74" s="224">
        <v>1</v>
      </c>
    </row>
    <row r="75" spans="1:29" ht="24.95" customHeight="1">
      <c r="A75" s="32" t="s">
        <v>596</v>
      </c>
      <c r="B75" s="217" t="s">
        <v>597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12745333207</v>
      </c>
      <c r="O75" s="222"/>
      <c r="P75" s="222"/>
      <c r="Q75" s="222">
        <v>2349248855.29</v>
      </c>
      <c r="R75" s="223">
        <v>1056762979</v>
      </c>
      <c r="S75" s="223"/>
      <c r="T75" s="222">
        <v>14037819083.290001</v>
      </c>
      <c r="U75" s="222">
        <v>14018597120</v>
      </c>
      <c r="V75" s="222">
        <v>19221963.290000916</v>
      </c>
      <c r="W75" s="224">
        <v>0.99863070159431799</v>
      </c>
      <c r="X75" s="222">
        <v>12814201930</v>
      </c>
      <c r="Y75" s="222">
        <v>1204395190</v>
      </c>
      <c r="Z75" s="224">
        <v>8.5914102508996282E-2</v>
      </c>
      <c r="AA75" s="222">
        <v>12810828675</v>
      </c>
      <c r="AB75" s="222">
        <v>3373255</v>
      </c>
      <c r="AC75" s="224">
        <v>0.91384527034613861</v>
      </c>
    </row>
    <row r="76" spans="1:29" ht="24.95" customHeight="1">
      <c r="A76" s="32" t="s">
        <v>394</v>
      </c>
      <c r="B76" s="210" t="s">
        <v>395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v>17318293047</v>
      </c>
      <c r="O76" s="215">
        <v>0</v>
      </c>
      <c r="P76" s="215">
        <v>0</v>
      </c>
      <c r="Q76" s="215">
        <v>2686488868.0299997</v>
      </c>
      <c r="R76" s="215">
        <v>3520609507.4399996</v>
      </c>
      <c r="S76" s="215">
        <v>0</v>
      </c>
      <c r="T76" s="215">
        <v>16484172407.59</v>
      </c>
      <c r="U76" s="215">
        <v>16102187510.309999</v>
      </c>
      <c r="V76" s="215">
        <v>381984897.28000015</v>
      </c>
      <c r="W76" s="216">
        <v>0.97682717167504762</v>
      </c>
      <c r="X76" s="215">
        <v>12823940537.080002</v>
      </c>
      <c r="Y76" s="215">
        <v>3278246973.2299995</v>
      </c>
      <c r="Z76" s="216">
        <v>0.20359016258697676</v>
      </c>
      <c r="AA76" s="215">
        <v>12583666683.140001</v>
      </c>
      <c r="AB76" s="215">
        <v>240273853.94000006</v>
      </c>
      <c r="AC76" s="216">
        <v>0.78148802298339026</v>
      </c>
    </row>
    <row r="77" spans="1:29" ht="24.95" customHeight="1">
      <c r="A77" s="32" t="s">
        <v>598</v>
      </c>
      <c r="B77" s="217" t="s">
        <v>599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172000000</v>
      </c>
      <c r="O77" s="222"/>
      <c r="P77" s="222"/>
      <c r="Q77" s="223"/>
      <c r="R77" s="223">
        <v>137216483</v>
      </c>
      <c r="S77" s="223"/>
      <c r="T77" s="222">
        <v>34783517</v>
      </c>
      <c r="U77" s="222">
        <v>30383516.800000001</v>
      </c>
      <c r="V77" s="222">
        <v>4400000.1999999993</v>
      </c>
      <c r="W77" s="224">
        <v>0.8735032975532635</v>
      </c>
      <c r="X77" s="222">
        <v>24200004</v>
      </c>
      <c r="Y77" s="222">
        <v>6183512.8000000007</v>
      </c>
      <c r="Z77" s="224">
        <v>0.20351537449410731</v>
      </c>
      <c r="AA77" s="222">
        <v>24200004</v>
      </c>
      <c r="AB77" s="222">
        <v>0</v>
      </c>
      <c r="AC77" s="224">
        <v>0.79648462550589272</v>
      </c>
    </row>
    <row r="78" spans="1:29" ht="24.95" customHeight="1">
      <c r="A78" s="32" t="s">
        <v>600</v>
      </c>
      <c r="B78" s="217" t="s">
        <v>601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9548931993</v>
      </c>
      <c r="O78" s="222"/>
      <c r="P78" s="222"/>
      <c r="Q78" s="222">
        <v>8045908</v>
      </c>
      <c r="R78" s="223">
        <v>1845916164</v>
      </c>
      <c r="S78" s="223"/>
      <c r="T78" s="222">
        <v>7711061737</v>
      </c>
      <c r="U78" s="222">
        <v>7688355389</v>
      </c>
      <c r="V78" s="222">
        <v>22706348</v>
      </c>
      <c r="W78" s="224">
        <v>0.99705535388323396</v>
      </c>
      <c r="X78" s="222">
        <v>6240430821</v>
      </c>
      <c r="Y78" s="222">
        <v>1447924568</v>
      </c>
      <c r="Z78" s="224">
        <v>0.18832695612270947</v>
      </c>
      <c r="AA78" s="222">
        <v>6054254727</v>
      </c>
      <c r="AB78" s="222">
        <v>186176094</v>
      </c>
      <c r="AC78" s="224">
        <v>0.78745770983246099</v>
      </c>
    </row>
    <row r="79" spans="1:29" ht="24" customHeight="1">
      <c r="A79" s="32" t="s">
        <v>602</v>
      </c>
      <c r="B79" s="217" t="s">
        <v>603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2298000000</v>
      </c>
      <c r="O79" s="222"/>
      <c r="P79" s="222"/>
      <c r="Q79" s="223">
        <v>511481971.37</v>
      </c>
      <c r="R79" s="223">
        <v>360929601.77999997</v>
      </c>
      <c r="S79" s="223"/>
      <c r="T79" s="222">
        <v>2448552369.5900002</v>
      </c>
      <c r="U79" s="222">
        <v>2185859894.8499999</v>
      </c>
      <c r="V79" s="222">
        <v>262692474.74000025</v>
      </c>
      <c r="W79" s="224">
        <v>0.8927151904110644</v>
      </c>
      <c r="X79" s="222">
        <v>2016859325.1700001</v>
      </c>
      <c r="Y79" s="222">
        <v>169000569.67999983</v>
      </c>
      <c r="Z79" s="224">
        <v>7.731537143719687E-2</v>
      </c>
      <c r="AA79" s="222">
        <v>1993164101.1700001</v>
      </c>
      <c r="AB79" s="222">
        <v>23695224</v>
      </c>
      <c r="AC79" s="224">
        <v>0.91184439856644006</v>
      </c>
    </row>
    <row r="80" spans="1:29" ht="24.95" customHeight="1">
      <c r="A80" s="32" t="s">
        <v>604</v>
      </c>
      <c r="B80" s="217" t="s">
        <v>605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3859335661</v>
      </c>
      <c r="O80" s="222"/>
      <c r="P80" s="222"/>
      <c r="Q80" s="223">
        <v>1755508470.8800001</v>
      </c>
      <c r="R80" s="222">
        <v>467071916.88</v>
      </c>
      <c r="S80" s="223"/>
      <c r="T80" s="222">
        <v>5147772215</v>
      </c>
      <c r="U80" s="222">
        <v>5126772215.4200001</v>
      </c>
      <c r="V80" s="222">
        <v>20999999.579999924</v>
      </c>
      <c r="W80" s="224">
        <v>0.99592056549844832</v>
      </c>
      <c r="X80" s="222">
        <v>3623371889.5500002</v>
      </c>
      <c r="Y80" s="222">
        <v>1503400325.8699999</v>
      </c>
      <c r="Z80" s="224">
        <v>0.2932450014744486</v>
      </c>
      <c r="AA80" s="222">
        <v>3619762252.5500002</v>
      </c>
      <c r="AB80" s="222">
        <v>3609637</v>
      </c>
      <c r="AC80" s="224">
        <v>0.70605092257906343</v>
      </c>
    </row>
    <row r="81" spans="1:52" ht="21" customHeight="1">
      <c r="A81" s="32" t="s">
        <v>606</v>
      </c>
      <c r="B81" s="217" t="s">
        <v>607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1363025393</v>
      </c>
      <c r="O81" s="222"/>
      <c r="P81" s="222"/>
      <c r="Q81" s="223">
        <v>376102517.77999997</v>
      </c>
      <c r="R81" s="223">
        <v>709475341.77999997</v>
      </c>
      <c r="S81" s="223"/>
      <c r="T81" s="222">
        <v>1029652569</v>
      </c>
      <c r="U81" s="222">
        <v>1002362602.24</v>
      </c>
      <c r="V81" s="222">
        <v>27289966.75999999</v>
      </c>
      <c r="W81" s="224">
        <v>0.97349594651475102</v>
      </c>
      <c r="X81" s="222">
        <v>873098105.36000001</v>
      </c>
      <c r="Y81" s="222">
        <v>129264496.88</v>
      </c>
      <c r="Z81" s="224">
        <v>0.12895981612954235</v>
      </c>
      <c r="AA81" s="222">
        <v>846305206.41999996</v>
      </c>
      <c r="AB81" s="222">
        <v>26792898.940000057</v>
      </c>
      <c r="AC81" s="224">
        <v>0.84431043669101835</v>
      </c>
    </row>
    <row r="82" spans="1:52" s="250" customFormat="1" ht="21.75" customHeight="1">
      <c r="A82" s="32" t="s">
        <v>608</v>
      </c>
      <c r="B82" s="217" t="s">
        <v>609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77000000</v>
      </c>
      <c r="O82" s="222"/>
      <c r="P82" s="222"/>
      <c r="Q82" s="223">
        <v>35350000</v>
      </c>
      <c r="R82" s="223"/>
      <c r="S82" s="223"/>
      <c r="T82" s="222">
        <v>112350000</v>
      </c>
      <c r="U82" s="222">
        <v>68453892</v>
      </c>
      <c r="V82" s="222">
        <v>43896108</v>
      </c>
      <c r="W82" s="224">
        <v>0.60929142857142859</v>
      </c>
      <c r="X82" s="222">
        <v>45980392</v>
      </c>
      <c r="Y82" s="222">
        <v>22473500</v>
      </c>
      <c r="Z82" s="224">
        <v>0.32830127467405362</v>
      </c>
      <c r="AA82" s="222">
        <v>45980392</v>
      </c>
      <c r="AB82" s="222">
        <v>0</v>
      </c>
      <c r="AC82" s="224">
        <v>0.67169872532594643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">
        <v>396</v>
      </c>
      <c r="B83" s="210" t="s">
        <v>397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v>2410636000</v>
      </c>
      <c r="O83" s="215">
        <v>0</v>
      </c>
      <c r="P83" s="215">
        <v>0</v>
      </c>
      <c r="Q83" s="215">
        <v>55000000</v>
      </c>
      <c r="R83" s="215">
        <v>331682776</v>
      </c>
      <c r="S83" s="215">
        <v>0</v>
      </c>
      <c r="T83" s="215">
        <v>2133953224</v>
      </c>
      <c r="U83" s="215">
        <v>2062882257.97</v>
      </c>
      <c r="V83" s="215">
        <v>71070966.030000001</v>
      </c>
      <c r="W83" s="216">
        <v>0.96669516218505458</v>
      </c>
      <c r="X83" s="215">
        <v>616527232.97000003</v>
      </c>
      <c r="Y83" s="215">
        <v>1446355025</v>
      </c>
      <c r="Z83" s="216">
        <v>0.7011330963810315</v>
      </c>
      <c r="AA83" s="215">
        <v>616211169.97000003</v>
      </c>
      <c r="AB83" s="215">
        <v>316063</v>
      </c>
      <c r="AC83" s="216">
        <v>0.29871368934860532</v>
      </c>
    </row>
    <row r="84" spans="1:52" ht="24.95" customHeight="1">
      <c r="A84" s="32" t="s">
        <v>610</v>
      </c>
      <c r="B84" s="217" t="s">
        <v>611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730000000</v>
      </c>
      <c r="O84" s="222"/>
      <c r="P84" s="222"/>
      <c r="Q84" s="223"/>
      <c r="R84" s="223">
        <v>50000000</v>
      </c>
      <c r="S84" s="223"/>
      <c r="T84" s="222">
        <v>680000000</v>
      </c>
      <c r="U84" s="222">
        <v>680000000</v>
      </c>
      <c r="V84" s="222">
        <v>0</v>
      </c>
      <c r="W84" s="224">
        <v>1</v>
      </c>
      <c r="X84" s="222">
        <v>73608228</v>
      </c>
      <c r="Y84" s="222">
        <v>606391772</v>
      </c>
      <c r="Z84" s="224">
        <v>0.89175260588235294</v>
      </c>
      <c r="AA84" s="222">
        <v>73608228</v>
      </c>
      <c r="AB84" s="222">
        <v>0</v>
      </c>
      <c r="AC84" s="224">
        <v>0.10824739411764706</v>
      </c>
    </row>
    <row r="85" spans="1:52" ht="34.5" customHeight="1">
      <c r="A85" s="32" t="s">
        <v>612</v>
      </c>
      <c r="B85" s="217" t="s">
        <v>613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365636000</v>
      </c>
      <c r="O85" s="222"/>
      <c r="P85" s="222"/>
      <c r="Q85" s="223">
        <v>55000000</v>
      </c>
      <c r="R85" s="223">
        <v>35118054</v>
      </c>
      <c r="S85" s="223"/>
      <c r="T85" s="222">
        <v>385517946</v>
      </c>
      <c r="U85" s="222">
        <v>349752989</v>
      </c>
      <c r="V85" s="222">
        <v>35764957</v>
      </c>
      <c r="W85" s="224">
        <v>0.90722881419377555</v>
      </c>
      <c r="X85" s="222">
        <v>129770375</v>
      </c>
      <c r="Y85" s="222">
        <v>219982614</v>
      </c>
      <c r="Z85" s="224">
        <v>0.62896564409346623</v>
      </c>
      <c r="AA85" s="222">
        <v>129770375</v>
      </c>
      <c r="AB85" s="222">
        <v>0</v>
      </c>
      <c r="AC85" s="224">
        <v>0.37103435590653377</v>
      </c>
    </row>
    <row r="86" spans="1:52" ht="49.5">
      <c r="A86" s="32" t="s">
        <v>614</v>
      </c>
      <c r="B86" s="217" t="s">
        <v>615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55000000</v>
      </c>
      <c r="O86" s="222"/>
      <c r="P86" s="222"/>
      <c r="Q86" s="223"/>
      <c r="R86" s="223">
        <v>15000000</v>
      </c>
      <c r="S86" s="223"/>
      <c r="T86" s="222">
        <v>40000000</v>
      </c>
      <c r="U86" s="222">
        <v>28693990.969999999</v>
      </c>
      <c r="V86" s="222">
        <v>11306009.030000001</v>
      </c>
      <c r="W86" s="224">
        <v>0.71734977425000002</v>
      </c>
      <c r="X86" s="222">
        <v>28643582.969999999</v>
      </c>
      <c r="Y86" s="222">
        <v>50408</v>
      </c>
      <c r="Z86" s="224">
        <v>1.7567441229316035E-3</v>
      </c>
      <c r="AA86" s="222">
        <v>28327519.969999999</v>
      </c>
      <c r="AB86" s="222">
        <v>316063</v>
      </c>
      <c r="AC86" s="224">
        <v>0.98722830154985586</v>
      </c>
    </row>
    <row r="87" spans="1:52" ht="24.95" customHeight="1">
      <c r="A87" s="32" t="s">
        <v>616</v>
      </c>
      <c r="B87" s="217" t="s">
        <v>617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1160000000</v>
      </c>
      <c r="O87" s="222"/>
      <c r="P87" s="222"/>
      <c r="Q87" s="223"/>
      <c r="R87" s="223">
        <v>158630222</v>
      </c>
      <c r="S87" s="223"/>
      <c r="T87" s="222">
        <v>1001369778</v>
      </c>
      <c r="U87" s="222">
        <v>977369778</v>
      </c>
      <c r="V87" s="222">
        <v>24000000</v>
      </c>
      <c r="W87" s="224">
        <v>0.97603282970259564</v>
      </c>
      <c r="X87" s="222">
        <v>357439547</v>
      </c>
      <c r="Y87" s="222">
        <v>619930231</v>
      </c>
      <c r="Z87" s="224">
        <v>0.63428422379559191</v>
      </c>
      <c r="AA87" s="222">
        <v>357439547</v>
      </c>
      <c r="AB87" s="222">
        <v>0</v>
      </c>
      <c r="AC87" s="224">
        <v>0.36571577620440809</v>
      </c>
    </row>
    <row r="88" spans="1:52" ht="24.95" customHeight="1">
      <c r="A88" s="32" t="s">
        <v>618</v>
      </c>
      <c r="B88" s="217" t="s">
        <v>619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100000000</v>
      </c>
      <c r="O88" s="222"/>
      <c r="P88" s="222"/>
      <c r="Q88" s="223"/>
      <c r="R88" s="223">
        <v>72934500</v>
      </c>
      <c r="S88" s="223"/>
      <c r="T88" s="222">
        <v>27065500</v>
      </c>
      <c r="U88" s="222">
        <v>27065500</v>
      </c>
      <c r="V88" s="222">
        <v>0</v>
      </c>
      <c r="W88" s="224">
        <v>1</v>
      </c>
      <c r="X88" s="222">
        <v>27065500</v>
      </c>
      <c r="Y88" s="222">
        <v>0</v>
      </c>
      <c r="Z88" s="224">
        <v>0</v>
      </c>
      <c r="AA88" s="222">
        <v>27065500</v>
      </c>
      <c r="AB88" s="222">
        <v>0</v>
      </c>
      <c r="AC88" s="224">
        <v>1</v>
      </c>
    </row>
    <row r="89" spans="1:52" s="90" customFormat="1" ht="24.95" customHeight="1">
      <c r="A89" s="32" t="s">
        <v>398</v>
      </c>
      <c r="B89" s="251" t="s">
        <v>399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1170310070</v>
      </c>
      <c r="O89" s="254"/>
      <c r="P89" s="254"/>
      <c r="Q89" s="254">
        <v>85000000</v>
      </c>
      <c r="R89" s="254">
        <v>697508471</v>
      </c>
      <c r="S89" s="254"/>
      <c r="T89" s="254">
        <v>557801599</v>
      </c>
      <c r="U89" s="254">
        <v>481991061</v>
      </c>
      <c r="V89" s="254">
        <v>75810538</v>
      </c>
      <c r="W89" s="255">
        <v>0.86409049716617969</v>
      </c>
      <c r="X89" s="254">
        <v>388346386</v>
      </c>
      <c r="Y89" s="254">
        <v>93644675</v>
      </c>
      <c r="Z89" s="255">
        <v>0.19428716127164855</v>
      </c>
      <c r="AA89" s="254">
        <v>388346386</v>
      </c>
      <c r="AB89" s="254">
        <v>0</v>
      </c>
      <c r="AC89" s="255">
        <v>0.80571283872835142</v>
      </c>
    </row>
    <row r="90" spans="1:52" ht="35.1" customHeight="1">
      <c r="A90" s="32" t="s">
        <v>400</v>
      </c>
      <c r="B90" s="188" t="s">
        <v>401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v>15140000000</v>
      </c>
      <c r="O90" s="194">
        <v>5716169561713</v>
      </c>
      <c r="P90" s="194">
        <v>0</v>
      </c>
      <c r="Q90" s="194">
        <v>36000000</v>
      </c>
      <c r="R90" s="194">
        <v>36000000</v>
      </c>
      <c r="S90" s="194">
        <v>10346320662</v>
      </c>
      <c r="T90" s="194">
        <v>5720963241051</v>
      </c>
      <c r="U90" s="194">
        <v>5221503525644.5</v>
      </c>
      <c r="V90" s="194">
        <v>499459715406.5</v>
      </c>
      <c r="W90" s="195">
        <v>0.912696569727523</v>
      </c>
      <c r="X90" s="194">
        <v>5183098435171.5</v>
      </c>
      <c r="Y90" s="194">
        <v>38405090473</v>
      </c>
      <c r="Z90" s="195">
        <v>7.3551785006713347E-3</v>
      </c>
      <c r="AA90" s="194">
        <v>5182961977275.5</v>
      </c>
      <c r="AB90" s="194">
        <v>136457896</v>
      </c>
      <c r="AC90" s="195">
        <v>0.99261868766731465</v>
      </c>
    </row>
    <row r="91" spans="1:52" ht="24.95" customHeight="1">
      <c r="A91" s="32" t="s">
        <v>620</v>
      </c>
      <c r="B91" s="196" t="s">
        <v>621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v>11791000000</v>
      </c>
      <c r="O91" s="201">
        <v>5716169561713</v>
      </c>
      <c r="P91" s="201">
        <v>0</v>
      </c>
      <c r="Q91" s="201">
        <v>0</v>
      </c>
      <c r="R91" s="201">
        <v>0</v>
      </c>
      <c r="S91" s="201">
        <v>10346320662</v>
      </c>
      <c r="T91" s="201">
        <v>5717614241051</v>
      </c>
      <c r="U91" s="201">
        <v>5220719035630</v>
      </c>
      <c r="V91" s="201">
        <v>496895205421</v>
      </c>
      <c r="W91" s="202">
        <v>0.91309396113969699</v>
      </c>
      <c r="X91" s="201">
        <v>5182456504849</v>
      </c>
      <c r="Y91" s="201">
        <v>38262530781</v>
      </c>
      <c r="Z91" s="202">
        <v>7.3289772002416795E-3</v>
      </c>
      <c r="AA91" s="201">
        <v>5182456504849</v>
      </c>
      <c r="AB91" s="201">
        <v>0</v>
      </c>
      <c r="AC91" s="202">
        <v>0.99267102279975827</v>
      </c>
    </row>
    <row r="92" spans="1:52" s="64" customFormat="1" ht="24.95" customHeight="1">
      <c r="A92" s="32" t="s">
        <v>622</v>
      </c>
      <c r="B92" s="203" t="s">
        <v>623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v>11791000000</v>
      </c>
      <c r="O92" s="208">
        <v>5716169561713</v>
      </c>
      <c r="P92" s="208">
        <v>0</v>
      </c>
      <c r="Q92" s="208">
        <v>0</v>
      </c>
      <c r="R92" s="208">
        <v>0</v>
      </c>
      <c r="S92" s="208">
        <v>10346320662</v>
      </c>
      <c r="T92" s="208">
        <v>5717614241051</v>
      </c>
      <c r="U92" s="208">
        <v>5220719035630</v>
      </c>
      <c r="V92" s="208">
        <v>496895205421</v>
      </c>
      <c r="W92" s="209">
        <v>0.91309396113969699</v>
      </c>
      <c r="X92" s="208">
        <v>5182456504849</v>
      </c>
      <c r="Y92" s="208">
        <v>38262530781</v>
      </c>
      <c r="Z92" s="209">
        <v>7.3289772002416795E-3</v>
      </c>
      <c r="AA92" s="208">
        <v>5182456504849</v>
      </c>
      <c r="AB92" s="208">
        <v>0</v>
      </c>
      <c r="AC92" s="209">
        <v>0.99267102279975827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2">
        <v>0</v>
      </c>
      <c r="O93" s="222">
        <v>2769805560913</v>
      </c>
      <c r="P93" s="222"/>
      <c r="Q93" s="222"/>
      <c r="R93" s="222"/>
      <c r="S93" s="222"/>
      <c r="T93" s="222">
        <v>2769805560913</v>
      </c>
      <c r="U93" s="223">
        <v>2765115598530</v>
      </c>
      <c r="V93" s="222">
        <v>4689962383</v>
      </c>
      <c r="W93" s="224">
        <v>0.99830675392916246</v>
      </c>
      <c r="X93" s="222">
        <v>2737507809849</v>
      </c>
      <c r="Y93" s="222">
        <v>27607788681</v>
      </c>
      <c r="Z93" s="224">
        <v>9.9843162780163495E-3</v>
      </c>
      <c r="AA93" s="222">
        <v>2737507809849</v>
      </c>
      <c r="AB93" s="222">
        <v>0</v>
      </c>
      <c r="AC93" s="224">
        <v>0.99001568372198367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s="64" customFormat="1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25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132</v>
      </c>
      <c r="N94" s="222">
        <v>0</v>
      </c>
      <c r="O94" s="222">
        <v>2946364000800</v>
      </c>
      <c r="P94" s="222"/>
      <c r="Q94" s="222"/>
      <c r="R94" s="222"/>
      <c r="S94" s="222"/>
      <c r="T94" s="222">
        <v>2946364000800</v>
      </c>
      <c r="U94" s="223">
        <v>2455603437100</v>
      </c>
      <c r="V94" s="222">
        <v>490760563700</v>
      </c>
      <c r="W94" s="224">
        <v>0.83343518873881561</v>
      </c>
      <c r="X94" s="222">
        <v>2444948695000</v>
      </c>
      <c r="Y94" s="222">
        <v>10654742100</v>
      </c>
      <c r="Z94" s="224">
        <v>4.3389506379674057E-3</v>
      </c>
      <c r="AA94" s="222">
        <v>2444948695000</v>
      </c>
      <c r="AB94" s="222">
        <v>0</v>
      </c>
      <c r="AC94" s="224">
        <v>0.99566104936203259</v>
      </c>
      <c r="AD94" s="13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</row>
    <row r="95" spans="1:52" ht="24.95" customHeight="1">
      <c r="A95" s="32" t="s">
        <v>626</v>
      </c>
      <c r="B95" s="217" t="s">
        <v>627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2">
        <v>11791000000</v>
      </c>
      <c r="O95" s="222"/>
      <c r="P95" s="222"/>
      <c r="Q95" s="222"/>
      <c r="R95" s="222"/>
      <c r="S95" s="222">
        <v>10346320662</v>
      </c>
      <c r="T95" s="222">
        <v>1444679338</v>
      </c>
      <c r="U95" s="223">
        <v>0</v>
      </c>
      <c r="V95" s="222">
        <v>1444679338</v>
      </c>
      <c r="W95" s="224">
        <v>0</v>
      </c>
      <c r="X95" s="222">
        <v>0</v>
      </c>
      <c r="Y95" s="222">
        <v>0</v>
      </c>
      <c r="Z95" s="224">
        <v>0</v>
      </c>
      <c r="AA95" s="222">
        <v>0</v>
      </c>
      <c r="AB95" s="222">
        <v>0</v>
      </c>
      <c r="AC95" s="224">
        <v>0</v>
      </c>
    </row>
    <row r="96" spans="1:52" ht="24.95" customHeight="1">
      <c r="A96" s="32" t="s">
        <v>402</v>
      </c>
      <c r="B96" s="196" t="s">
        <v>403</v>
      </c>
      <c r="C96" s="197" t="s">
        <v>23</v>
      </c>
      <c r="D96" s="198" t="s">
        <v>65</v>
      </c>
      <c r="E96" s="198" t="s">
        <v>136</v>
      </c>
      <c r="F96" s="198"/>
      <c r="G96" s="198"/>
      <c r="H96" s="198"/>
      <c r="I96" s="198"/>
      <c r="J96" s="198"/>
      <c r="K96" s="199"/>
      <c r="L96" s="200"/>
      <c r="M96" s="196" t="s">
        <v>137</v>
      </c>
      <c r="N96" s="201">
        <v>752000000</v>
      </c>
      <c r="O96" s="201">
        <v>0</v>
      </c>
      <c r="P96" s="201">
        <v>0</v>
      </c>
      <c r="Q96" s="201">
        <v>36000000</v>
      </c>
      <c r="R96" s="201">
        <v>36000000</v>
      </c>
      <c r="S96" s="201">
        <v>0</v>
      </c>
      <c r="T96" s="201">
        <v>752000000</v>
      </c>
      <c r="U96" s="201">
        <v>443045883</v>
      </c>
      <c r="V96" s="201">
        <v>308954117</v>
      </c>
      <c r="W96" s="202">
        <v>0.58915675930851064</v>
      </c>
      <c r="X96" s="201">
        <v>300486191</v>
      </c>
      <c r="Y96" s="201">
        <v>142559692</v>
      </c>
      <c r="Z96" s="202">
        <v>0.32177184682246557</v>
      </c>
      <c r="AA96" s="201">
        <v>300486191</v>
      </c>
      <c r="AB96" s="201">
        <v>0</v>
      </c>
      <c r="AC96" s="202">
        <v>0.67822815317753449</v>
      </c>
    </row>
    <row r="97" spans="1:52" ht="24.95" customHeight="1">
      <c r="A97" s="32" t="s">
        <v>404</v>
      </c>
      <c r="B97" s="203" t="s">
        <v>405</v>
      </c>
      <c r="C97" s="204" t="s">
        <v>23</v>
      </c>
      <c r="D97" s="205" t="s">
        <v>65</v>
      </c>
      <c r="E97" s="205" t="s">
        <v>136</v>
      </c>
      <c r="F97" s="205" t="s">
        <v>54</v>
      </c>
      <c r="G97" s="205"/>
      <c r="H97" s="205"/>
      <c r="I97" s="205"/>
      <c r="J97" s="205"/>
      <c r="K97" s="206" t="s">
        <v>28</v>
      </c>
      <c r="L97" s="207" t="s">
        <v>29</v>
      </c>
      <c r="M97" s="203" t="s">
        <v>138</v>
      </c>
      <c r="N97" s="208">
        <v>752000000</v>
      </c>
      <c r="O97" s="208">
        <v>0</v>
      </c>
      <c r="P97" s="208">
        <v>0</v>
      </c>
      <c r="Q97" s="208">
        <v>36000000</v>
      </c>
      <c r="R97" s="208">
        <v>36000000</v>
      </c>
      <c r="S97" s="208">
        <v>0</v>
      </c>
      <c r="T97" s="208">
        <v>752000000</v>
      </c>
      <c r="U97" s="208">
        <v>443045883</v>
      </c>
      <c r="V97" s="208">
        <v>308954117</v>
      </c>
      <c r="W97" s="209">
        <v>0.58915675930851064</v>
      </c>
      <c r="X97" s="208">
        <v>300486191</v>
      </c>
      <c r="Y97" s="208">
        <v>142559692</v>
      </c>
      <c r="Z97" s="209">
        <v>0.32177184682246557</v>
      </c>
      <c r="AA97" s="208">
        <v>300486191</v>
      </c>
      <c r="AB97" s="208">
        <v>0</v>
      </c>
      <c r="AC97" s="209">
        <v>0.67822815317753449</v>
      </c>
    </row>
    <row r="98" spans="1:52" s="64" customFormat="1" ht="24.95" customHeight="1">
      <c r="A98" s="32" t="s">
        <v>406</v>
      </c>
      <c r="B98" s="210" t="s">
        <v>407</v>
      </c>
      <c r="C98" s="211" t="s">
        <v>23</v>
      </c>
      <c r="D98" s="212" t="s">
        <v>65</v>
      </c>
      <c r="E98" s="212" t="s">
        <v>136</v>
      </c>
      <c r="F98" s="212" t="s">
        <v>54</v>
      </c>
      <c r="G98" s="212" t="s">
        <v>52</v>
      </c>
      <c r="H98" s="212"/>
      <c r="I98" s="212"/>
      <c r="J98" s="212"/>
      <c r="K98" s="213" t="s">
        <v>28</v>
      </c>
      <c r="L98" s="214" t="s">
        <v>29</v>
      </c>
      <c r="M98" s="210" t="s">
        <v>139</v>
      </c>
      <c r="N98" s="215">
        <v>752000000</v>
      </c>
      <c r="O98" s="215">
        <v>0</v>
      </c>
      <c r="P98" s="215">
        <v>0</v>
      </c>
      <c r="Q98" s="215">
        <v>36000000</v>
      </c>
      <c r="R98" s="215">
        <v>36000000</v>
      </c>
      <c r="S98" s="215">
        <v>0</v>
      </c>
      <c r="T98" s="215">
        <v>752000000</v>
      </c>
      <c r="U98" s="215">
        <v>443045883</v>
      </c>
      <c r="V98" s="215">
        <v>308954117</v>
      </c>
      <c r="W98" s="216">
        <v>0.58915675930851064</v>
      </c>
      <c r="X98" s="215">
        <v>300486191</v>
      </c>
      <c r="Y98" s="215">
        <v>142559692</v>
      </c>
      <c r="Z98" s="216">
        <v>0.32177184682246557</v>
      </c>
      <c r="AA98" s="215">
        <v>300486191</v>
      </c>
      <c r="AB98" s="215">
        <v>0</v>
      </c>
      <c r="AC98" s="216">
        <v>0.67822815317753449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24.95" customHeight="1">
      <c r="A99" s="32" t="s">
        <v>408</v>
      </c>
      <c r="B99" s="217" t="s">
        <v>409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19" t="s">
        <v>52</v>
      </c>
      <c r="H99" s="219" t="s">
        <v>31</v>
      </c>
      <c r="I99" s="219"/>
      <c r="J99" s="219"/>
      <c r="K99" s="220" t="s">
        <v>28</v>
      </c>
      <c r="L99" s="221" t="s">
        <v>29</v>
      </c>
      <c r="M99" s="217" t="s">
        <v>140</v>
      </c>
      <c r="N99" s="222">
        <v>402000000</v>
      </c>
      <c r="O99" s="222"/>
      <c r="P99" s="222"/>
      <c r="Q99" s="222"/>
      <c r="R99" s="222"/>
      <c r="S99" s="222"/>
      <c r="T99" s="222">
        <v>402000000</v>
      </c>
      <c r="U99" s="222">
        <v>260193487</v>
      </c>
      <c r="V99" s="222">
        <v>141806513</v>
      </c>
      <c r="W99" s="224">
        <v>0.6472474800995025</v>
      </c>
      <c r="X99" s="222">
        <v>215121274</v>
      </c>
      <c r="Y99" s="222">
        <v>45072213</v>
      </c>
      <c r="Z99" s="224">
        <v>0.17322575410967148</v>
      </c>
      <c r="AA99" s="222">
        <v>215121274</v>
      </c>
      <c r="AB99" s="222">
        <v>0</v>
      </c>
      <c r="AC99" s="224">
        <v>0.82677424589032855</v>
      </c>
    </row>
    <row r="100" spans="1:52" ht="24.95" customHeight="1">
      <c r="A100" s="32" t="s">
        <v>410</v>
      </c>
      <c r="B100" s="217" t="s">
        <v>411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34</v>
      </c>
      <c r="I100" s="219"/>
      <c r="J100" s="219"/>
      <c r="K100" s="220" t="s">
        <v>28</v>
      </c>
      <c r="L100" s="221" t="s">
        <v>29</v>
      </c>
      <c r="M100" s="217" t="s">
        <v>141</v>
      </c>
      <c r="N100" s="222">
        <v>350000000</v>
      </c>
      <c r="O100" s="222"/>
      <c r="P100" s="222"/>
      <c r="Q100" s="223"/>
      <c r="R100" s="223">
        <v>36000000</v>
      </c>
      <c r="S100" s="223"/>
      <c r="T100" s="222">
        <v>314000000</v>
      </c>
      <c r="U100" s="222">
        <v>146861522</v>
      </c>
      <c r="V100" s="222">
        <v>167138478</v>
      </c>
      <c r="W100" s="224">
        <v>0.46771185350318473</v>
      </c>
      <c r="X100" s="222">
        <v>49374043</v>
      </c>
      <c r="Y100" s="222">
        <v>97487479</v>
      </c>
      <c r="Z100" s="224">
        <v>0.66380545205026542</v>
      </c>
      <c r="AA100" s="222">
        <v>49374043</v>
      </c>
      <c r="AB100" s="222">
        <v>0</v>
      </c>
      <c r="AC100" s="224">
        <v>0.33619454794973458</v>
      </c>
    </row>
    <row r="101" spans="1:52" s="64" customFormat="1" ht="24.95" customHeight="1">
      <c r="A101" s="32" t="s">
        <v>412</v>
      </c>
      <c r="B101" s="217" t="s">
        <v>413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25" t="s">
        <v>142</v>
      </c>
      <c r="H101" s="219"/>
      <c r="I101" s="219"/>
      <c r="J101" s="219"/>
      <c r="K101" s="220" t="s">
        <v>28</v>
      </c>
      <c r="L101" s="221" t="s">
        <v>29</v>
      </c>
      <c r="M101" s="217" t="s">
        <v>260</v>
      </c>
      <c r="N101" s="222">
        <v>0</v>
      </c>
      <c r="O101" s="222"/>
      <c r="P101" s="222"/>
      <c r="Q101" s="223">
        <v>36000000</v>
      </c>
      <c r="R101" s="223"/>
      <c r="S101" s="223"/>
      <c r="T101" s="222">
        <v>36000000</v>
      </c>
      <c r="U101" s="223">
        <v>35990874</v>
      </c>
      <c r="V101" s="222">
        <v>9126</v>
      </c>
      <c r="W101" s="224">
        <v>0.99974649999999998</v>
      </c>
      <c r="X101" s="222">
        <v>35990874</v>
      </c>
      <c r="Y101" s="222">
        <v>0</v>
      </c>
      <c r="Z101" s="224">
        <v>0</v>
      </c>
      <c r="AA101" s="222">
        <v>35990874</v>
      </c>
      <c r="AB101" s="222">
        <v>0</v>
      </c>
      <c r="AC101" s="224">
        <v>1</v>
      </c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</row>
    <row r="102" spans="1:52" ht="24.95" customHeight="1">
      <c r="A102" s="32" t="s">
        <v>414</v>
      </c>
      <c r="B102" s="196" t="s">
        <v>415</v>
      </c>
      <c r="C102" s="197" t="s">
        <v>23</v>
      </c>
      <c r="D102" s="198" t="s">
        <v>65</v>
      </c>
      <c r="E102" s="198" t="s">
        <v>28</v>
      </c>
      <c r="F102" s="198"/>
      <c r="G102" s="198"/>
      <c r="H102" s="198"/>
      <c r="I102" s="198"/>
      <c r="J102" s="198"/>
      <c r="K102" s="199"/>
      <c r="L102" s="200"/>
      <c r="M102" s="196" t="s">
        <v>143</v>
      </c>
      <c r="N102" s="201">
        <v>2597000000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2597000000</v>
      </c>
      <c r="U102" s="201">
        <v>341444131.5</v>
      </c>
      <c r="V102" s="201">
        <v>2255555868.5</v>
      </c>
      <c r="W102" s="202">
        <v>0.13147636946476704</v>
      </c>
      <c r="X102" s="201">
        <v>341444131.5</v>
      </c>
      <c r="Y102" s="201">
        <v>0</v>
      </c>
      <c r="Z102" s="202">
        <v>0</v>
      </c>
      <c r="AA102" s="201">
        <v>204986235.5</v>
      </c>
      <c r="AB102" s="201">
        <v>136457896</v>
      </c>
      <c r="AC102" s="202">
        <v>0.60035073556389418</v>
      </c>
    </row>
    <row r="103" spans="1:52" ht="16.5">
      <c r="A103" s="32" t="s">
        <v>416</v>
      </c>
      <c r="B103" s="203" t="s">
        <v>417</v>
      </c>
      <c r="C103" s="204" t="s">
        <v>23</v>
      </c>
      <c r="D103" s="205" t="s">
        <v>65</v>
      </c>
      <c r="E103" s="205" t="s">
        <v>28</v>
      </c>
      <c r="F103" s="205" t="s">
        <v>25</v>
      </c>
      <c r="G103" s="205"/>
      <c r="H103" s="205"/>
      <c r="I103" s="205"/>
      <c r="J103" s="205"/>
      <c r="K103" s="206" t="s">
        <v>144</v>
      </c>
      <c r="L103" s="207" t="s">
        <v>29</v>
      </c>
      <c r="M103" s="203" t="s">
        <v>145</v>
      </c>
      <c r="N103" s="208">
        <v>2597000000</v>
      </c>
      <c r="O103" s="208">
        <v>0</v>
      </c>
      <c r="P103" s="208">
        <v>0</v>
      </c>
      <c r="Q103" s="208">
        <v>0</v>
      </c>
      <c r="R103" s="208">
        <v>0</v>
      </c>
      <c r="S103" s="208">
        <v>0</v>
      </c>
      <c r="T103" s="208">
        <v>2597000000</v>
      </c>
      <c r="U103" s="208">
        <v>341444131.5</v>
      </c>
      <c r="V103" s="208">
        <v>2255555868.5</v>
      </c>
      <c r="W103" s="209">
        <v>0.13147636946476704</v>
      </c>
      <c r="X103" s="208">
        <v>341444131.5</v>
      </c>
      <c r="Y103" s="208">
        <v>0</v>
      </c>
      <c r="Z103" s="209">
        <v>0</v>
      </c>
      <c r="AA103" s="208">
        <v>204986235.5</v>
      </c>
      <c r="AB103" s="208">
        <v>136457896</v>
      </c>
      <c r="AC103" s="209">
        <v>0.60035073556389418</v>
      </c>
    </row>
    <row r="104" spans="1:52" ht="24.95" customHeight="1">
      <c r="A104" s="32" t="s">
        <v>628</v>
      </c>
      <c r="B104" s="217" t="s">
        <v>418</v>
      </c>
      <c r="C104" s="218" t="s">
        <v>23</v>
      </c>
      <c r="D104" s="219" t="s">
        <v>65</v>
      </c>
      <c r="E104" s="219" t="s">
        <v>28</v>
      </c>
      <c r="F104" s="219" t="s">
        <v>25</v>
      </c>
      <c r="G104" s="219" t="s">
        <v>31</v>
      </c>
      <c r="H104" s="219"/>
      <c r="I104" s="219"/>
      <c r="J104" s="219"/>
      <c r="K104" s="220">
        <v>10</v>
      </c>
      <c r="L104" s="221" t="s">
        <v>29</v>
      </c>
      <c r="M104" s="259" t="s">
        <v>146</v>
      </c>
      <c r="N104" s="222">
        <v>2597000000</v>
      </c>
      <c r="O104" s="222"/>
      <c r="P104" s="222"/>
      <c r="Q104" s="222"/>
      <c r="R104" s="222"/>
      <c r="S104" s="222"/>
      <c r="T104" s="222">
        <v>2597000000</v>
      </c>
      <c r="U104" s="223">
        <v>341444131.5</v>
      </c>
      <c r="V104" s="222">
        <v>2255555868.5</v>
      </c>
      <c r="W104" s="224">
        <v>0.13147636946476704</v>
      </c>
      <c r="X104" s="222">
        <v>341444131.5</v>
      </c>
      <c r="Y104" s="222">
        <v>0</v>
      </c>
      <c r="Z104" s="224">
        <v>0</v>
      </c>
      <c r="AA104" s="222">
        <v>204986235.5</v>
      </c>
      <c r="AB104" s="222">
        <v>136457896</v>
      </c>
      <c r="AC104" s="224">
        <v>0.60035073556389418</v>
      </c>
    </row>
    <row r="105" spans="1:52" ht="35.1" customHeight="1">
      <c r="A105" s="32" t="s">
        <v>420</v>
      </c>
      <c r="B105" s="188" t="s">
        <v>421</v>
      </c>
      <c r="C105" s="189" t="s">
        <v>23</v>
      </c>
      <c r="D105" s="191" t="s">
        <v>148</v>
      </c>
      <c r="E105" s="191"/>
      <c r="F105" s="191"/>
      <c r="G105" s="191"/>
      <c r="H105" s="191"/>
      <c r="I105" s="191"/>
      <c r="J105" s="191"/>
      <c r="K105" s="192"/>
      <c r="L105" s="193"/>
      <c r="M105" s="188" t="s">
        <v>149</v>
      </c>
      <c r="N105" s="194">
        <v>5824000000</v>
      </c>
      <c r="O105" s="194">
        <v>0</v>
      </c>
      <c r="P105" s="194">
        <v>0</v>
      </c>
      <c r="Q105" s="194">
        <v>1374108052</v>
      </c>
      <c r="R105" s="194">
        <v>1021252</v>
      </c>
      <c r="S105" s="194">
        <v>0</v>
      </c>
      <c r="T105" s="194">
        <v>7197086800</v>
      </c>
      <c r="U105" s="194">
        <v>7156100457.7799997</v>
      </c>
      <c r="V105" s="194">
        <v>40986342.220000304</v>
      </c>
      <c r="W105" s="195">
        <v>0.99430514826915795</v>
      </c>
      <c r="X105" s="194">
        <v>7156100457.7799997</v>
      </c>
      <c r="Y105" s="194">
        <v>0</v>
      </c>
      <c r="Z105" s="195">
        <v>0</v>
      </c>
      <c r="AA105" s="194">
        <v>7156100457.7799997</v>
      </c>
      <c r="AB105" s="194">
        <v>0</v>
      </c>
      <c r="AC105" s="195">
        <v>1</v>
      </c>
    </row>
    <row r="106" spans="1:52" ht="24.95" customHeight="1">
      <c r="A106" s="32" t="s">
        <v>422</v>
      </c>
      <c r="B106" s="196" t="s">
        <v>423</v>
      </c>
      <c r="C106" s="197" t="s">
        <v>23</v>
      </c>
      <c r="D106" s="198" t="s">
        <v>148</v>
      </c>
      <c r="E106" s="198" t="s">
        <v>25</v>
      </c>
      <c r="F106" s="198"/>
      <c r="G106" s="198"/>
      <c r="H106" s="198"/>
      <c r="I106" s="198"/>
      <c r="J106" s="198"/>
      <c r="K106" s="199"/>
      <c r="L106" s="200"/>
      <c r="M106" s="196" t="s">
        <v>150</v>
      </c>
      <c r="N106" s="201">
        <v>84000000</v>
      </c>
      <c r="O106" s="201">
        <v>0</v>
      </c>
      <c r="P106" s="201">
        <v>0</v>
      </c>
      <c r="Q106" s="201">
        <v>52021252</v>
      </c>
      <c r="R106" s="201">
        <v>1021252</v>
      </c>
      <c r="S106" s="201">
        <v>0</v>
      </c>
      <c r="T106" s="201">
        <v>135000000</v>
      </c>
      <c r="U106" s="201">
        <v>94013658.710000008</v>
      </c>
      <c r="V106" s="201">
        <v>40986341.289999999</v>
      </c>
      <c r="W106" s="202">
        <v>0.69639747192592594</v>
      </c>
      <c r="X106" s="201">
        <v>94013658.710000008</v>
      </c>
      <c r="Y106" s="201">
        <v>0</v>
      </c>
      <c r="Z106" s="202">
        <v>0</v>
      </c>
      <c r="AA106" s="201">
        <v>94013658.710000008</v>
      </c>
      <c r="AB106" s="201">
        <v>0</v>
      </c>
      <c r="AC106" s="202">
        <v>1</v>
      </c>
    </row>
    <row r="107" spans="1:52" ht="16.5">
      <c r="A107" s="32" t="s">
        <v>424</v>
      </c>
      <c r="B107" s="203" t="s">
        <v>425</v>
      </c>
      <c r="C107" s="204" t="s">
        <v>23</v>
      </c>
      <c r="D107" s="205" t="s">
        <v>148</v>
      </c>
      <c r="E107" s="205" t="s">
        <v>25</v>
      </c>
      <c r="F107" s="205" t="s">
        <v>54</v>
      </c>
      <c r="G107" s="205"/>
      <c r="H107" s="205"/>
      <c r="I107" s="205"/>
      <c r="J107" s="205"/>
      <c r="K107" s="206" t="s">
        <v>28</v>
      </c>
      <c r="L107" s="207" t="s">
        <v>29</v>
      </c>
      <c r="M107" s="203" t="s">
        <v>151</v>
      </c>
      <c r="N107" s="208">
        <v>84000000</v>
      </c>
      <c r="O107" s="208">
        <v>0</v>
      </c>
      <c r="P107" s="208">
        <v>0</v>
      </c>
      <c r="Q107" s="208">
        <v>52021252</v>
      </c>
      <c r="R107" s="208">
        <v>1021252</v>
      </c>
      <c r="S107" s="208">
        <v>0</v>
      </c>
      <c r="T107" s="208">
        <v>135000000</v>
      </c>
      <c r="U107" s="208">
        <v>94013658.710000008</v>
      </c>
      <c r="V107" s="208">
        <v>40986341.289999999</v>
      </c>
      <c r="W107" s="209">
        <v>0.69639747192592594</v>
      </c>
      <c r="X107" s="208">
        <v>94013658.710000008</v>
      </c>
      <c r="Y107" s="208">
        <v>0</v>
      </c>
      <c r="Z107" s="209">
        <v>0</v>
      </c>
      <c r="AA107" s="208">
        <v>94013658.710000008</v>
      </c>
      <c r="AB107" s="208">
        <v>0</v>
      </c>
      <c r="AC107" s="209">
        <v>1</v>
      </c>
    </row>
    <row r="108" spans="1:52" ht="24.95" customHeight="1">
      <c r="A108" s="32" t="s">
        <v>426</v>
      </c>
      <c r="B108" s="217" t="s">
        <v>427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31</v>
      </c>
      <c r="H108" s="219"/>
      <c r="I108" s="219"/>
      <c r="J108" s="219"/>
      <c r="K108" s="220" t="s">
        <v>28</v>
      </c>
      <c r="L108" s="221" t="s">
        <v>29</v>
      </c>
      <c r="M108" s="259" t="s">
        <v>152</v>
      </c>
      <c r="N108" s="222">
        <v>51000000</v>
      </c>
      <c r="O108" s="222"/>
      <c r="P108" s="222"/>
      <c r="Q108" s="222"/>
      <c r="R108" s="222">
        <v>1021252</v>
      </c>
      <c r="S108" s="222"/>
      <c r="T108" s="222">
        <v>49978748</v>
      </c>
      <c r="U108" s="222">
        <v>49978748</v>
      </c>
      <c r="V108" s="222">
        <v>0</v>
      </c>
      <c r="W108" s="224">
        <v>1</v>
      </c>
      <c r="X108" s="222">
        <v>49978748</v>
      </c>
      <c r="Y108" s="222">
        <v>0</v>
      </c>
      <c r="Z108" s="224">
        <v>0</v>
      </c>
      <c r="AA108" s="222">
        <v>49978748</v>
      </c>
      <c r="AB108" s="222">
        <v>0</v>
      </c>
      <c r="AC108" s="224">
        <v>1</v>
      </c>
    </row>
    <row r="109" spans="1:52" ht="24.95" customHeight="1">
      <c r="A109" s="32" t="s">
        <v>428</v>
      </c>
      <c r="B109" s="217" t="s">
        <v>429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38</v>
      </c>
      <c r="H109" s="219"/>
      <c r="I109" s="219"/>
      <c r="J109" s="219"/>
      <c r="K109" s="220" t="s">
        <v>28</v>
      </c>
      <c r="L109" s="221" t="s">
        <v>29</v>
      </c>
      <c r="M109" s="259" t="s">
        <v>153</v>
      </c>
      <c r="N109" s="222">
        <v>26000000</v>
      </c>
      <c r="O109" s="223"/>
      <c r="P109" s="222"/>
      <c r="Q109" s="223">
        <v>26000000</v>
      </c>
      <c r="R109" s="222"/>
      <c r="S109" s="222"/>
      <c r="T109" s="222">
        <v>52000000</v>
      </c>
      <c r="U109" s="222">
        <v>31007910.710000001</v>
      </c>
      <c r="V109" s="222">
        <v>20992089.289999999</v>
      </c>
      <c r="W109" s="224">
        <v>0.59630597519230766</v>
      </c>
      <c r="X109" s="222">
        <v>31007910.710000001</v>
      </c>
      <c r="Y109" s="222">
        <v>0</v>
      </c>
      <c r="Z109" s="224">
        <v>0</v>
      </c>
      <c r="AA109" s="222">
        <v>31007910.710000001</v>
      </c>
      <c r="AB109" s="222">
        <v>0</v>
      </c>
      <c r="AC109" s="224">
        <v>1</v>
      </c>
    </row>
    <row r="110" spans="1:52" ht="24.95" customHeight="1">
      <c r="A110" s="32" t="s">
        <v>430</v>
      </c>
      <c r="B110" s="217" t="s">
        <v>431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42</v>
      </c>
      <c r="H110" s="219"/>
      <c r="I110" s="219"/>
      <c r="J110" s="219"/>
      <c r="K110" s="220" t="s">
        <v>28</v>
      </c>
      <c r="L110" s="221" t="s">
        <v>29</v>
      </c>
      <c r="M110" s="259" t="s">
        <v>154</v>
      </c>
      <c r="N110" s="222">
        <v>7000000</v>
      </c>
      <c r="O110" s="222"/>
      <c r="P110" s="222"/>
      <c r="Q110" s="222">
        <v>26021252</v>
      </c>
      <c r="R110" s="222"/>
      <c r="S110" s="222"/>
      <c r="T110" s="222">
        <v>33021252</v>
      </c>
      <c r="U110" s="222">
        <v>13027000</v>
      </c>
      <c r="V110" s="222">
        <v>19994252</v>
      </c>
      <c r="W110" s="224">
        <v>0.39450351549359786</v>
      </c>
      <c r="X110" s="222">
        <v>13027000</v>
      </c>
      <c r="Y110" s="222">
        <v>0</v>
      </c>
      <c r="Z110" s="224">
        <v>0</v>
      </c>
      <c r="AA110" s="222">
        <v>13027000</v>
      </c>
      <c r="AB110" s="222">
        <v>0</v>
      </c>
      <c r="AC110" s="224">
        <v>1</v>
      </c>
    </row>
    <row r="111" spans="1:52" ht="24.95" customHeight="1">
      <c r="A111" s="32" t="s">
        <v>629</v>
      </c>
      <c r="B111" s="196" t="s">
        <v>432</v>
      </c>
      <c r="C111" s="197" t="s">
        <v>23</v>
      </c>
      <c r="D111" s="198" t="s">
        <v>148</v>
      </c>
      <c r="E111" s="198" t="s">
        <v>136</v>
      </c>
      <c r="F111" s="198"/>
      <c r="G111" s="198"/>
      <c r="H111" s="198"/>
      <c r="I111" s="198"/>
      <c r="J111" s="198"/>
      <c r="K111" s="199"/>
      <c r="L111" s="200"/>
      <c r="M111" s="196" t="s">
        <v>155</v>
      </c>
      <c r="N111" s="201">
        <v>5740000000</v>
      </c>
      <c r="O111" s="201">
        <v>0</v>
      </c>
      <c r="P111" s="201">
        <v>0</v>
      </c>
      <c r="Q111" s="201">
        <v>1322086800</v>
      </c>
      <c r="R111" s="201">
        <v>0</v>
      </c>
      <c r="S111" s="201">
        <v>0</v>
      </c>
      <c r="T111" s="201">
        <v>7062086800</v>
      </c>
      <c r="U111" s="201">
        <v>7062086799.0699997</v>
      </c>
      <c r="V111" s="201">
        <v>0.93000030517578125</v>
      </c>
      <c r="W111" s="202">
        <v>0.99999999986831078</v>
      </c>
      <c r="X111" s="201">
        <v>7062086799.0699997</v>
      </c>
      <c r="Y111" s="201">
        <v>0</v>
      </c>
      <c r="Z111" s="202">
        <v>0</v>
      </c>
      <c r="AA111" s="201">
        <v>7062086799.0699997</v>
      </c>
      <c r="AB111" s="201">
        <v>0</v>
      </c>
      <c r="AC111" s="202">
        <v>1</v>
      </c>
    </row>
    <row r="112" spans="1:52" ht="24.95" customHeight="1">
      <c r="A112" s="32"/>
      <c r="B112" s="217" t="s">
        <v>434</v>
      </c>
      <c r="C112" s="218" t="s">
        <v>23</v>
      </c>
      <c r="D112" s="219" t="s">
        <v>148</v>
      </c>
      <c r="E112" s="219" t="s">
        <v>136</v>
      </c>
      <c r="F112" s="219" t="s">
        <v>25</v>
      </c>
      <c r="G112" s="219"/>
      <c r="H112" s="219"/>
      <c r="I112" s="219"/>
      <c r="J112" s="219"/>
      <c r="K112" s="220">
        <v>10</v>
      </c>
      <c r="L112" s="221" t="s">
        <v>156</v>
      </c>
      <c r="M112" s="259" t="s">
        <v>157</v>
      </c>
      <c r="N112" s="222"/>
      <c r="O112" s="223"/>
      <c r="P112" s="222"/>
      <c r="Q112" s="222">
        <v>1322086800</v>
      </c>
      <c r="R112" s="222"/>
      <c r="S112" s="222"/>
      <c r="T112" s="222">
        <v>1322086800</v>
      </c>
      <c r="U112" s="223">
        <v>1322086800</v>
      </c>
      <c r="V112" s="222">
        <v>0</v>
      </c>
      <c r="W112" s="224">
        <v>1</v>
      </c>
      <c r="X112" s="222">
        <v>1322086800</v>
      </c>
      <c r="Y112" s="222">
        <v>0</v>
      </c>
      <c r="Z112" s="224">
        <v>0</v>
      </c>
      <c r="AA112" s="222">
        <v>1322086800</v>
      </c>
      <c r="AB112" s="222">
        <v>0</v>
      </c>
      <c r="AC112" s="224">
        <v>1</v>
      </c>
    </row>
    <row r="113" spans="1:29" ht="24.95" customHeight="1" thickBot="1">
      <c r="A113" s="32" t="s">
        <v>433</v>
      </c>
      <c r="B113" s="217" t="s">
        <v>434</v>
      </c>
      <c r="C113" s="218" t="s">
        <v>23</v>
      </c>
      <c r="D113" s="219" t="s">
        <v>148</v>
      </c>
      <c r="E113" s="219" t="s">
        <v>136</v>
      </c>
      <c r="F113" s="219" t="s">
        <v>25</v>
      </c>
      <c r="G113" s="219"/>
      <c r="H113" s="219"/>
      <c r="I113" s="219"/>
      <c r="J113" s="219"/>
      <c r="K113" s="220" t="s">
        <v>144</v>
      </c>
      <c r="L113" s="221" t="s">
        <v>156</v>
      </c>
      <c r="M113" s="259" t="s">
        <v>157</v>
      </c>
      <c r="N113" s="222">
        <v>5740000000</v>
      </c>
      <c r="O113" s="223"/>
      <c r="P113" s="222"/>
      <c r="Q113" s="222"/>
      <c r="R113" s="222"/>
      <c r="S113" s="222"/>
      <c r="T113" s="222">
        <v>5740000000</v>
      </c>
      <c r="U113" s="223">
        <v>5739999999.0699997</v>
      </c>
      <c r="V113" s="222">
        <v>0.93000030517578125</v>
      </c>
      <c r="W113" s="224">
        <v>0.99999999983797905</v>
      </c>
      <c r="X113" s="222">
        <v>5739999999.0699997</v>
      </c>
      <c r="Y113" s="222">
        <v>0</v>
      </c>
      <c r="Z113" s="224">
        <v>0</v>
      </c>
      <c r="AA113" s="222">
        <v>5739999999.0699997</v>
      </c>
      <c r="AB113" s="222">
        <v>0</v>
      </c>
      <c r="AC113" s="224">
        <v>1</v>
      </c>
    </row>
    <row r="114" spans="1:29" ht="35.1" customHeight="1" thickBot="1">
      <c r="A114" s="32" t="s">
        <v>435</v>
      </c>
      <c r="B114" s="260" t="s">
        <v>278</v>
      </c>
      <c r="C114" s="261" t="s">
        <v>167</v>
      </c>
      <c r="D114" s="262"/>
      <c r="E114" s="262"/>
      <c r="F114" s="262"/>
      <c r="G114" s="262"/>
      <c r="H114" s="262"/>
      <c r="I114" s="262"/>
      <c r="J114" s="262"/>
      <c r="K114" s="263"/>
      <c r="L114" s="264"/>
      <c r="M114" s="260" t="s">
        <v>168</v>
      </c>
      <c r="N114" s="265">
        <v>3485582139470</v>
      </c>
      <c r="O114" s="265">
        <v>0</v>
      </c>
      <c r="P114" s="265">
        <v>0</v>
      </c>
      <c r="Q114" s="265">
        <v>487378629759.58002</v>
      </c>
      <c r="R114" s="265">
        <v>487378629759.57996</v>
      </c>
      <c r="S114" s="265">
        <v>580001000000</v>
      </c>
      <c r="T114" s="265">
        <v>2905581139470</v>
      </c>
      <c r="U114" s="265">
        <v>2783585306454.5596</v>
      </c>
      <c r="V114" s="265">
        <v>121995833015.44002</v>
      </c>
      <c r="W114" s="187">
        <v>0.95801327611945697</v>
      </c>
      <c r="X114" s="265">
        <v>2417075814532.5796</v>
      </c>
      <c r="Y114" s="265">
        <v>366509491921.9801</v>
      </c>
      <c r="Z114" s="187">
        <v>0.13166813715826142</v>
      </c>
      <c r="AA114" s="265">
        <v>2410006002547.1196</v>
      </c>
      <c r="AB114" s="265">
        <v>7069811985.4599819</v>
      </c>
      <c r="AC114" s="187">
        <v>0.86579204055963843</v>
      </c>
    </row>
    <row r="115" spans="1:29" ht="35.1" customHeight="1">
      <c r="A115" s="32" t="s">
        <v>436</v>
      </c>
      <c r="B115" s="188" t="s">
        <v>437</v>
      </c>
      <c r="C115" s="189" t="s">
        <v>167</v>
      </c>
      <c r="D115" s="191">
        <v>4101</v>
      </c>
      <c r="E115" s="191"/>
      <c r="F115" s="191"/>
      <c r="G115" s="191"/>
      <c r="H115" s="191"/>
      <c r="I115" s="191"/>
      <c r="J115" s="191"/>
      <c r="K115" s="192"/>
      <c r="L115" s="193"/>
      <c r="M115" s="188" t="s">
        <v>169</v>
      </c>
      <c r="N115" s="194">
        <v>184499832863</v>
      </c>
      <c r="O115" s="194">
        <v>0</v>
      </c>
      <c r="P115" s="194">
        <v>0</v>
      </c>
      <c r="Q115" s="194">
        <v>5081230600</v>
      </c>
      <c r="R115" s="194">
        <v>5081230600</v>
      </c>
      <c r="S115" s="194">
        <v>0</v>
      </c>
      <c r="T115" s="194">
        <v>184499832863</v>
      </c>
      <c r="U115" s="194">
        <v>170497657374</v>
      </c>
      <c r="V115" s="194">
        <v>14002175489</v>
      </c>
      <c r="W115" s="195">
        <v>0.92410738117363345</v>
      </c>
      <c r="X115" s="194">
        <v>124189030117</v>
      </c>
      <c r="Y115" s="194">
        <v>46308627257</v>
      </c>
      <c r="Z115" s="195">
        <v>0.27160858377906266</v>
      </c>
      <c r="AA115" s="194">
        <v>118299718215</v>
      </c>
      <c r="AB115" s="194">
        <v>5889311902</v>
      </c>
      <c r="AC115" s="195">
        <v>0.69384952284417778</v>
      </c>
    </row>
    <row r="116" spans="1:29" ht="24.95" customHeight="1">
      <c r="A116" s="32" t="s">
        <v>438</v>
      </c>
      <c r="B116" s="196" t="s">
        <v>295</v>
      </c>
      <c r="C116" s="197" t="s">
        <v>167</v>
      </c>
      <c r="D116" s="198">
        <v>4101</v>
      </c>
      <c r="E116" s="198">
        <v>1500</v>
      </c>
      <c r="F116" s="198"/>
      <c r="G116" s="198"/>
      <c r="H116" s="198"/>
      <c r="I116" s="198"/>
      <c r="J116" s="198"/>
      <c r="K116" s="199"/>
      <c r="L116" s="200"/>
      <c r="M116" s="196" t="s">
        <v>170</v>
      </c>
      <c r="N116" s="201">
        <v>184499832863</v>
      </c>
      <c r="O116" s="201">
        <v>0</v>
      </c>
      <c r="P116" s="201">
        <v>0</v>
      </c>
      <c r="Q116" s="201">
        <v>5081230600</v>
      </c>
      <c r="R116" s="201">
        <v>5081230600</v>
      </c>
      <c r="S116" s="201">
        <v>0</v>
      </c>
      <c r="T116" s="201">
        <v>184499832863</v>
      </c>
      <c r="U116" s="201">
        <v>170497657374</v>
      </c>
      <c r="V116" s="201">
        <v>14002175489</v>
      </c>
      <c r="W116" s="202">
        <v>0.92410738117363345</v>
      </c>
      <c r="X116" s="201">
        <v>124189030117</v>
      </c>
      <c r="Y116" s="201">
        <v>46308627257</v>
      </c>
      <c r="Z116" s="202">
        <v>0.27160858377906266</v>
      </c>
      <c r="AA116" s="201">
        <v>118299718215</v>
      </c>
      <c r="AB116" s="201">
        <v>5889311902</v>
      </c>
      <c r="AC116" s="202">
        <v>0.69384952284417778</v>
      </c>
    </row>
    <row r="117" spans="1:29" ht="36" customHeight="1">
      <c r="A117" s="32" t="s">
        <v>439</v>
      </c>
      <c r="B117" s="203" t="s">
        <v>440</v>
      </c>
      <c r="C117" s="227" t="s">
        <v>167</v>
      </c>
      <c r="D117" s="228" t="s">
        <v>171</v>
      </c>
      <c r="E117" s="228" t="s">
        <v>172</v>
      </c>
      <c r="F117" s="228" t="s">
        <v>261</v>
      </c>
      <c r="G117" s="228"/>
      <c r="H117" s="228"/>
      <c r="I117" s="228"/>
      <c r="J117" s="228"/>
      <c r="K117" s="229"/>
      <c r="L117" s="230"/>
      <c r="M117" s="231" t="s">
        <v>279</v>
      </c>
      <c r="N117" s="232">
        <v>66398074900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66398074900</v>
      </c>
      <c r="U117" s="232">
        <v>61391129745</v>
      </c>
      <c r="V117" s="232">
        <v>5006945155</v>
      </c>
      <c r="W117" s="233">
        <v>0.92459201320910589</v>
      </c>
      <c r="X117" s="232">
        <v>38005593902</v>
      </c>
      <c r="Y117" s="232">
        <v>23385535843</v>
      </c>
      <c r="Z117" s="233">
        <v>0.38092695052422676</v>
      </c>
      <c r="AA117" s="232">
        <v>37998383902</v>
      </c>
      <c r="AB117" s="232">
        <v>7210000</v>
      </c>
      <c r="AC117" s="233">
        <v>0.61895560579897579</v>
      </c>
    </row>
    <row r="118" spans="1:29" ht="24.95" customHeight="1">
      <c r="A118" s="32" t="s">
        <v>630</v>
      </c>
      <c r="B118" s="210" t="s">
        <v>441</v>
      </c>
      <c r="C118" s="211" t="s">
        <v>167</v>
      </c>
      <c r="D118" s="212" t="s">
        <v>171</v>
      </c>
      <c r="E118" s="212" t="s">
        <v>172</v>
      </c>
      <c r="F118" s="212" t="s">
        <v>261</v>
      </c>
      <c r="G118" s="212" t="s">
        <v>175</v>
      </c>
      <c r="H118" s="212" t="s">
        <v>176</v>
      </c>
      <c r="I118" s="212"/>
      <c r="J118" s="212"/>
      <c r="K118" s="213">
        <v>11</v>
      </c>
      <c r="L118" s="214" t="s">
        <v>29</v>
      </c>
      <c r="M118" s="210" t="s">
        <v>177</v>
      </c>
      <c r="N118" s="215">
        <v>37511369742</v>
      </c>
      <c r="O118" s="215">
        <v>0</v>
      </c>
      <c r="P118" s="215">
        <v>0</v>
      </c>
      <c r="Q118" s="215">
        <v>0</v>
      </c>
      <c r="R118" s="215">
        <v>0</v>
      </c>
      <c r="S118" s="215">
        <v>0</v>
      </c>
      <c r="T118" s="215">
        <v>37511369742</v>
      </c>
      <c r="U118" s="215">
        <v>34759400000</v>
      </c>
      <c r="V118" s="215">
        <v>2751969742</v>
      </c>
      <c r="W118" s="216">
        <v>0.9266363835570971</v>
      </c>
      <c r="X118" s="215">
        <v>11693302735</v>
      </c>
      <c r="Y118" s="215">
        <v>23066097265</v>
      </c>
      <c r="Z118" s="216">
        <v>0.66359307885061303</v>
      </c>
      <c r="AA118" s="215">
        <v>11693302735</v>
      </c>
      <c r="AB118" s="215">
        <v>0</v>
      </c>
      <c r="AC118" s="216">
        <v>0.33640692114938692</v>
      </c>
    </row>
    <row r="119" spans="1:29" ht="24.95" customHeight="1">
      <c r="A119" s="32" t="s">
        <v>631</v>
      </c>
      <c r="B119" s="217" t="s">
        <v>442</v>
      </c>
      <c r="C119" s="218" t="s">
        <v>167</v>
      </c>
      <c r="D119" s="219" t="s">
        <v>171</v>
      </c>
      <c r="E119" s="219" t="s">
        <v>172</v>
      </c>
      <c r="F119" s="219" t="s">
        <v>261</v>
      </c>
      <c r="G119" s="219" t="s">
        <v>175</v>
      </c>
      <c r="H119" s="219" t="s">
        <v>176</v>
      </c>
      <c r="I119" s="219" t="s">
        <v>54</v>
      </c>
      <c r="J119" s="219"/>
      <c r="K119" s="220">
        <v>11</v>
      </c>
      <c r="L119" s="221" t="s">
        <v>29</v>
      </c>
      <c r="M119" s="217" t="s">
        <v>178</v>
      </c>
      <c r="N119" s="222">
        <v>37511369742</v>
      </c>
      <c r="O119" s="222"/>
      <c r="P119" s="222"/>
      <c r="Q119" s="222"/>
      <c r="R119" s="222"/>
      <c r="S119" s="222"/>
      <c r="T119" s="222">
        <v>37511369742</v>
      </c>
      <c r="U119" s="222">
        <v>34759400000</v>
      </c>
      <c r="V119" s="222">
        <v>2751969742</v>
      </c>
      <c r="W119" s="224">
        <v>0.9266363835570971</v>
      </c>
      <c r="X119" s="222">
        <v>11693302735</v>
      </c>
      <c r="Y119" s="222">
        <v>23066097265</v>
      </c>
      <c r="Z119" s="224">
        <v>0.66359307885061303</v>
      </c>
      <c r="AA119" s="222">
        <v>11693302735</v>
      </c>
      <c r="AB119" s="222">
        <v>0</v>
      </c>
      <c r="AC119" s="224">
        <v>0.33640692114938692</v>
      </c>
    </row>
    <row r="120" spans="1:29" ht="31.5" customHeight="1">
      <c r="A120" s="32" t="s">
        <v>632</v>
      </c>
      <c r="B120" s="210" t="s">
        <v>443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179</v>
      </c>
      <c r="I120" s="212"/>
      <c r="J120" s="212"/>
      <c r="K120" s="213">
        <v>11</v>
      </c>
      <c r="L120" s="214" t="s">
        <v>29</v>
      </c>
      <c r="M120" s="210" t="s">
        <v>180</v>
      </c>
      <c r="N120" s="215">
        <v>8799663116</v>
      </c>
      <c r="O120" s="215">
        <v>0</v>
      </c>
      <c r="P120" s="215">
        <v>0</v>
      </c>
      <c r="Q120" s="215">
        <v>0</v>
      </c>
      <c r="R120" s="215">
        <v>0</v>
      </c>
      <c r="S120" s="215">
        <v>0</v>
      </c>
      <c r="T120" s="215">
        <v>8799663116</v>
      </c>
      <c r="U120" s="215">
        <v>8799663116</v>
      </c>
      <c r="V120" s="215">
        <v>0</v>
      </c>
      <c r="W120" s="216">
        <v>1</v>
      </c>
      <c r="X120" s="215">
        <v>8564929165</v>
      </c>
      <c r="Y120" s="215">
        <v>234733951</v>
      </c>
      <c r="Z120" s="216">
        <v>2.6675333806040216E-2</v>
      </c>
      <c r="AA120" s="215">
        <v>8564929165</v>
      </c>
      <c r="AB120" s="215">
        <v>0</v>
      </c>
      <c r="AC120" s="216">
        <v>0.97332466619395974</v>
      </c>
    </row>
    <row r="121" spans="1:29" ht="24.95" customHeight="1">
      <c r="A121" s="32" t="s">
        <v>633</v>
      </c>
      <c r="B121" s="217" t="s">
        <v>444</v>
      </c>
      <c r="C121" s="218" t="s">
        <v>167</v>
      </c>
      <c r="D121" s="219" t="s">
        <v>171</v>
      </c>
      <c r="E121" s="219" t="s">
        <v>172</v>
      </c>
      <c r="F121" s="219">
        <v>5</v>
      </c>
      <c r="G121" s="219" t="s">
        <v>175</v>
      </c>
      <c r="H121" s="219" t="s">
        <v>179</v>
      </c>
      <c r="I121" s="219" t="s">
        <v>54</v>
      </c>
      <c r="J121" s="219"/>
      <c r="K121" s="220">
        <v>11</v>
      </c>
      <c r="L121" s="221" t="s">
        <v>29</v>
      </c>
      <c r="M121" s="259" t="s">
        <v>178</v>
      </c>
      <c r="N121" s="222">
        <v>8799663116</v>
      </c>
      <c r="O121" s="222"/>
      <c r="P121" s="222"/>
      <c r="Q121" s="222"/>
      <c r="R121" s="636"/>
      <c r="S121" s="636"/>
      <c r="T121" s="222">
        <v>8799663116</v>
      </c>
      <c r="U121" s="222">
        <v>8799663116</v>
      </c>
      <c r="V121" s="222">
        <v>0</v>
      </c>
      <c r="W121" s="224">
        <v>1</v>
      </c>
      <c r="X121" s="222">
        <v>8564929165</v>
      </c>
      <c r="Y121" s="222">
        <v>234733951</v>
      </c>
      <c r="Z121" s="224">
        <v>2.6675333806040216E-2</v>
      </c>
      <c r="AA121" s="222">
        <v>8564929165</v>
      </c>
      <c r="AB121" s="222">
        <v>0</v>
      </c>
      <c r="AC121" s="224">
        <v>0.97332466619395974</v>
      </c>
    </row>
    <row r="122" spans="1:29" ht="31.5" customHeight="1">
      <c r="A122" s="32" t="s">
        <v>634</v>
      </c>
      <c r="B122" s="210" t="s">
        <v>445</v>
      </c>
      <c r="C122" s="211" t="s">
        <v>167</v>
      </c>
      <c r="D122" s="212" t="s">
        <v>171</v>
      </c>
      <c r="E122" s="212" t="s">
        <v>172</v>
      </c>
      <c r="F122" s="212" t="s">
        <v>261</v>
      </c>
      <c r="G122" s="212" t="s">
        <v>175</v>
      </c>
      <c r="H122" s="212" t="s">
        <v>181</v>
      </c>
      <c r="I122" s="212"/>
      <c r="J122" s="212"/>
      <c r="K122" s="213">
        <v>11</v>
      </c>
      <c r="L122" s="214" t="s">
        <v>29</v>
      </c>
      <c r="M122" s="210" t="s">
        <v>182</v>
      </c>
      <c r="N122" s="215">
        <v>4325174580</v>
      </c>
      <c r="O122" s="215">
        <v>0</v>
      </c>
      <c r="P122" s="215">
        <v>0</v>
      </c>
      <c r="Q122" s="215">
        <v>0</v>
      </c>
      <c r="R122" s="215">
        <v>0</v>
      </c>
      <c r="S122" s="215">
        <v>0</v>
      </c>
      <c r="T122" s="215">
        <v>4325174580</v>
      </c>
      <c r="U122" s="215">
        <v>3014897468</v>
      </c>
      <c r="V122" s="215">
        <v>1310277112</v>
      </c>
      <c r="W122" s="216">
        <v>0.69705798280170228</v>
      </c>
      <c r="X122" s="215">
        <v>2930192841</v>
      </c>
      <c r="Y122" s="215">
        <v>84704627</v>
      </c>
      <c r="Z122" s="216">
        <v>2.8095359095641391E-2</v>
      </c>
      <c r="AA122" s="215">
        <v>2922982841</v>
      </c>
      <c r="AB122" s="215">
        <v>7210000</v>
      </c>
      <c r="AC122" s="216">
        <v>0.96951318312626611</v>
      </c>
    </row>
    <row r="123" spans="1:29" ht="24.95" customHeight="1">
      <c r="A123" s="32" t="s">
        <v>635</v>
      </c>
      <c r="B123" s="217" t="s">
        <v>446</v>
      </c>
      <c r="C123" s="218" t="s">
        <v>167</v>
      </c>
      <c r="D123" s="219" t="s">
        <v>171</v>
      </c>
      <c r="E123" s="219" t="s">
        <v>172</v>
      </c>
      <c r="F123" s="219" t="s">
        <v>261</v>
      </c>
      <c r="G123" s="219" t="s">
        <v>175</v>
      </c>
      <c r="H123" s="219" t="s">
        <v>181</v>
      </c>
      <c r="I123" s="225" t="s">
        <v>54</v>
      </c>
      <c r="J123" s="219"/>
      <c r="K123" s="220">
        <v>11</v>
      </c>
      <c r="L123" s="221" t="s">
        <v>29</v>
      </c>
      <c r="M123" s="217" t="s">
        <v>178</v>
      </c>
      <c r="N123" s="222">
        <v>4325174580</v>
      </c>
      <c r="O123" s="222"/>
      <c r="P123" s="222"/>
      <c r="Q123" s="222"/>
      <c r="R123" s="222"/>
      <c r="S123" s="222"/>
      <c r="T123" s="222">
        <v>4325174580</v>
      </c>
      <c r="U123" s="222">
        <v>3014897468</v>
      </c>
      <c r="V123" s="222">
        <v>1310277112</v>
      </c>
      <c r="W123" s="224">
        <v>0.69705798280170228</v>
      </c>
      <c r="X123" s="222">
        <v>2930192841</v>
      </c>
      <c r="Y123" s="222">
        <v>84704627</v>
      </c>
      <c r="Z123" s="224">
        <v>2.8095359095641391E-2</v>
      </c>
      <c r="AA123" s="222">
        <v>2922982841</v>
      </c>
      <c r="AB123" s="222">
        <v>7210000</v>
      </c>
      <c r="AC123" s="224">
        <v>0.96951318312626611</v>
      </c>
    </row>
    <row r="124" spans="1:29" ht="31.5" customHeight="1">
      <c r="A124" s="32" t="s">
        <v>636</v>
      </c>
      <c r="B124" s="210" t="s">
        <v>447</v>
      </c>
      <c r="C124" s="211" t="s">
        <v>167</v>
      </c>
      <c r="D124" s="212" t="s">
        <v>171</v>
      </c>
      <c r="E124" s="212" t="s">
        <v>172</v>
      </c>
      <c r="F124" s="212" t="s">
        <v>261</v>
      </c>
      <c r="G124" s="212" t="s">
        <v>175</v>
      </c>
      <c r="H124" s="212" t="s">
        <v>183</v>
      </c>
      <c r="I124" s="212"/>
      <c r="J124" s="212"/>
      <c r="K124" s="213">
        <v>11</v>
      </c>
      <c r="L124" s="214" t="s">
        <v>29</v>
      </c>
      <c r="M124" s="210" t="s">
        <v>184</v>
      </c>
      <c r="N124" s="215">
        <v>7972098301</v>
      </c>
      <c r="O124" s="215">
        <v>0</v>
      </c>
      <c r="P124" s="215">
        <v>0</v>
      </c>
      <c r="Q124" s="215">
        <v>0</v>
      </c>
      <c r="R124" s="215">
        <v>0</v>
      </c>
      <c r="S124" s="215">
        <v>0</v>
      </c>
      <c r="T124" s="215">
        <v>7972098301</v>
      </c>
      <c r="U124" s="215">
        <v>7027400000</v>
      </c>
      <c r="V124" s="215">
        <v>944698301</v>
      </c>
      <c r="W124" s="216">
        <v>0.8814994164232145</v>
      </c>
      <c r="X124" s="215">
        <v>7027400000</v>
      </c>
      <c r="Y124" s="215">
        <v>0</v>
      </c>
      <c r="Z124" s="216">
        <v>0</v>
      </c>
      <c r="AA124" s="215">
        <v>7027400000</v>
      </c>
      <c r="AB124" s="215">
        <v>0</v>
      </c>
      <c r="AC124" s="216">
        <v>1</v>
      </c>
    </row>
    <row r="125" spans="1:29" ht="24.95" customHeight="1">
      <c r="A125" s="32" t="s">
        <v>637</v>
      </c>
      <c r="B125" s="217" t="s">
        <v>448</v>
      </c>
      <c r="C125" s="218" t="s">
        <v>167</v>
      </c>
      <c r="D125" s="219" t="s">
        <v>171</v>
      </c>
      <c r="E125" s="219" t="s">
        <v>172</v>
      </c>
      <c r="F125" s="219" t="s">
        <v>261</v>
      </c>
      <c r="G125" s="219" t="s">
        <v>175</v>
      </c>
      <c r="H125" s="219" t="s">
        <v>183</v>
      </c>
      <c r="I125" s="219" t="s">
        <v>54</v>
      </c>
      <c r="J125" s="219"/>
      <c r="K125" s="220">
        <v>11</v>
      </c>
      <c r="L125" s="221" t="s">
        <v>29</v>
      </c>
      <c r="M125" s="217" t="s">
        <v>178</v>
      </c>
      <c r="N125" s="222">
        <v>7972098301</v>
      </c>
      <c r="O125" s="222"/>
      <c r="P125" s="222"/>
      <c r="Q125" s="222"/>
      <c r="R125" s="222"/>
      <c r="S125" s="222"/>
      <c r="T125" s="223">
        <v>7972098301</v>
      </c>
      <c r="U125" s="222">
        <v>7027400000</v>
      </c>
      <c r="V125" s="222">
        <v>944698301</v>
      </c>
      <c r="W125" s="224">
        <v>0.8814994164232145</v>
      </c>
      <c r="X125" s="222">
        <v>7027400000</v>
      </c>
      <c r="Y125" s="222">
        <v>0</v>
      </c>
      <c r="Z125" s="224">
        <v>0</v>
      </c>
      <c r="AA125" s="222">
        <v>7027400000</v>
      </c>
      <c r="AB125" s="222">
        <v>0</v>
      </c>
      <c r="AC125" s="224">
        <v>1</v>
      </c>
    </row>
    <row r="126" spans="1:29" ht="24.95" customHeight="1">
      <c r="A126" s="32" t="s">
        <v>638</v>
      </c>
      <c r="B126" s="210" t="s">
        <v>449</v>
      </c>
      <c r="C126" s="211" t="s">
        <v>167</v>
      </c>
      <c r="D126" s="212" t="s">
        <v>171</v>
      </c>
      <c r="E126" s="212" t="s">
        <v>172</v>
      </c>
      <c r="F126" s="212" t="s">
        <v>261</v>
      </c>
      <c r="G126" s="212" t="s">
        <v>175</v>
      </c>
      <c r="H126" s="212" t="s">
        <v>185</v>
      </c>
      <c r="I126" s="212"/>
      <c r="J126" s="212"/>
      <c r="K126" s="213">
        <v>11</v>
      </c>
      <c r="L126" s="214" t="s">
        <v>29</v>
      </c>
      <c r="M126" s="210" t="s">
        <v>186</v>
      </c>
      <c r="N126" s="215">
        <v>5196200000</v>
      </c>
      <c r="O126" s="215">
        <v>0</v>
      </c>
      <c r="P126" s="215">
        <v>0</v>
      </c>
      <c r="Q126" s="215">
        <v>0</v>
      </c>
      <c r="R126" s="215">
        <v>0</v>
      </c>
      <c r="S126" s="215">
        <v>0</v>
      </c>
      <c r="T126" s="215">
        <v>5196200000</v>
      </c>
      <c r="U126" s="215">
        <v>5196200000</v>
      </c>
      <c r="V126" s="215">
        <v>0</v>
      </c>
      <c r="W126" s="216">
        <v>1</v>
      </c>
      <c r="X126" s="215">
        <v>5196200000</v>
      </c>
      <c r="Y126" s="215">
        <v>0</v>
      </c>
      <c r="Z126" s="216">
        <v>0</v>
      </c>
      <c r="AA126" s="215">
        <v>5196200000</v>
      </c>
      <c r="AB126" s="215">
        <v>0</v>
      </c>
      <c r="AC126" s="216">
        <v>1</v>
      </c>
    </row>
    <row r="127" spans="1:29" ht="24.95" customHeight="1">
      <c r="A127" s="32" t="s">
        <v>639</v>
      </c>
      <c r="B127" s="217" t="s">
        <v>450</v>
      </c>
      <c r="C127" s="218" t="s">
        <v>167</v>
      </c>
      <c r="D127" s="219" t="s">
        <v>171</v>
      </c>
      <c r="E127" s="219" t="s">
        <v>172</v>
      </c>
      <c r="F127" s="219">
        <v>5</v>
      </c>
      <c r="G127" s="219" t="s">
        <v>175</v>
      </c>
      <c r="H127" s="219" t="s">
        <v>185</v>
      </c>
      <c r="I127" s="219" t="s">
        <v>54</v>
      </c>
      <c r="J127" s="219"/>
      <c r="K127" s="220">
        <v>11</v>
      </c>
      <c r="L127" s="221" t="s">
        <v>29</v>
      </c>
      <c r="M127" s="259" t="s">
        <v>178</v>
      </c>
      <c r="N127" s="222">
        <v>5196200000</v>
      </c>
      <c r="O127" s="222"/>
      <c r="P127" s="222"/>
      <c r="Q127" s="222"/>
      <c r="R127" s="222"/>
      <c r="S127" s="222"/>
      <c r="T127" s="222">
        <v>5196200000</v>
      </c>
      <c r="U127" s="222">
        <v>5196200000</v>
      </c>
      <c r="V127" s="222">
        <v>0</v>
      </c>
      <c r="W127" s="224">
        <v>1</v>
      </c>
      <c r="X127" s="222">
        <v>5196200000</v>
      </c>
      <c r="Y127" s="222">
        <v>0</v>
      </c>
      <c r="Z127" s="224">
        <v>0</v>
      </c>
      <c r="AA127" s="222">
        <v>5196200000</v>
      </c>
      <c r="AB127" s="222">
        <v>0</v>
      </c>
      <c r="AC127" s="224">
        <v>1</v>
      </c>
    </row>
    <row r="128" spans="1:29" ht="31.5" customHeight="1">
      <c r="A128" s="32" t="s">
        <v>640</v>
      </c>
      <c r="B128" s="210" t="s">
        <v>451</v>
      </c>
      <c r="C128" s="211" t="s">
        <v>167</v>
      </c>
      <c r="D128" s="212" t="s">
        <v>171</v>
      </c>
      <c r="E128" s="212" t="s">
        <v>172</v>
      </c>
      <c r="F128" s="212" t="s">
        <v>261</v>
      </c>
      <c r="G128" s="212" t="s">
        <v>175</v>
      </c>
      <c r="H128" s="212" t="s">
        <v>187</v>
      </c>
      <c r="I128" s="212"/>
      <c r="J128" s="212"/>
      <c r="K128" s="213">
        <v>11</v>
      </c>
      <c r="L128" s="214" t="s">
        <v>29</v>
      </c>
      <c r="M128" s="210" t="s">
        <v>188</v>
      </c>
      <c r="N128" s="215">
        <v>2593569161</v>
      </c>
      <c r="O128" s="215">
        <v>0</v>
      </c>
      <c r="P128" s="215">
        <v>0</v>
      </c>
      <c r="Q128" s="215">
        <v>0</v>
      </c>
      <c r="R128" s="215">
        <v>0</v>
      </c>
      <c r="S128" s="215">
        <v>0</v>
      </c>
      <c r="T128" s="215">
        <v>2593569161</v>
      </c>
      <c r="U128" s="215">
        <v>2593569161</v>
      </c>
      <c r="V128" s="215">
        <v>0</v>
      </c>
      <c r="W128" s="216">
        <v>1</v>
      </c>
      <c r="X128" s="215">
        <v>2593569161</v>
      </c>
      <c r="Y128" s="215">
        <v>0</v>
      </c>
      <c r="Z128" s="216">
        <v>0</v>
      </c>
      <c r="AA128" s="215">
        <v>2593569161</v>
      </c>
      <c r="AB128" s="215">
        <v>0</v>
      </c>
      <c r="AC128" s="216">
        <v>1</v>
      </c>
    </row>
    <row r="129" spans="1:29" ht="24.95" customHeight="1">
      <c r="A129" s="32" t="s">
        <v>641</v>
      </c>
      <c r="B129" s="217" t="s">
        <v>452</v>
      </c>
      <c r="C129" s="218" t="s">
        <v>167</v>
      </c>
      <c r="D129" s="219" t="s">
        <v>171</v>
      </c>
      <c r="E129" s="219" t="s">
        <v>172</v>
      </c>
      <c r="F129" s="219" t="s">
        <v>261</v>
      </c>
      <c r="G129" s="219" t="s">
        <v>175</v>
      </c>
      <c r="H129" s="219" t="s">
        <v>187</v>
      </c>
      <c r="I129" s="219" t="s">
        <v>54</v>
      </c>
      <c r="J129" s="219"/>
      <c r="K129" s="220">
        <v>11</v>
      </c>
      <c r="L129" s="221" t="s">
        <v>29</v>
      </c>
      <c r="M129" s="217" t="s">
        <v>178</v>
      </c>
      <c r="N129" s="222">
        <v>2593569161</v>
      </c>
      <c r="O129" s="222"/>
      <c r="P129" s="222"/>
      <c r="Q129" s="222"/>
      <c r="R129" s="222"/>
      <c r="S129" s="222"/>
      <c r="T129" s="222">
        <v>2593569161</v>
      </c>
      <c r="U129" s="222">
        <v>2593569161</v>
      </c>
      <c r="V129" s="222">
        <v>0</v>
      </c>
      <c r="W129" s="224">
        <v>1</v>
      </c>
      <c r="X129" s="222">
        <v>2593569161</v>
      </c>
      <c r="Y129" s="222">
        <v>0</v>
      </c>
      <c r="Z129" s="224">
        <v>0</v>
      </c>
      <c r="AA129" s="222">
        <v>2593569161</v>
      </c>
      <c r="AB129" s="222">
        <v>0</v>
      </c>
      <c r="AC129" s="224">
        <v>1</v>
      </c>
    </row>
    <row r="130" spans="1:29" ht="52.5" customHeight="1">
      <c r="A130" s="32" t="s">
        <v>453</v>
      </c>
      <c r="B130" s="226" t="s">
        <v>454</v>
      </c>
      <c r="C130" s="227" t="s">
        <v>167</v>
      </c>
      <c r="D130" s="228" t="s">
        <v>171</v>
      </c>
      <c r="E130" s="228" t="s">
        <v>172</v>
      </c>
      <c r="F130" s="228" t="s">
        <v>173</v>
      </c>
      <c r="G130" s="228"/>
      <c r="H130" s="228"/>
      <c r="I130" s="228"/>
      <c r="J130" s="228"/>
      <c r="K130" s="229"/>
      <c r="L130" s="230"/>
      <c r="M130" s="231" t="s">
        <v>174</v>
      </c>
      <c r="N130" s="232">
        <v>118101757963</v>
      </c>
      <c r="O130" s="232">
        <v>0</v>
      </c>
      <c r="P130" s="232">
        <v>0</v>
      </c>
      <c r="Q130" s="232">
        <v>5081230600</v>
      </c>
      <c r="R130" s="232">
        <v>5081230600</v>
      </c>
      <c r="S130" s="232">
        <v>0</v>
      </c>
      <c r="T130" s="232">
        <v>118101757963</v>
      </c>
      <c r="U130" s="232">
        <v>109106527629</v>
      </c>
      <c r="V130" s="232">
        <v>8995230334</v>
      </c>
      <c r="W130" s="233">
        <v>0.92383491584589195</v>
      </c>
      <c r="X130" s="232">
        <v>86183436215</v>
      </c>
      <c r="Y130" s="232">
        <v>22923091414</v>
      </c>
      <c r="Z130" s="233">
        <v>0.21009825820822062</v>
      </c>
      <c r="AA130" s="232">
        <v>80301334313</v>
      </c>
      <c r="AB130" s="232">
        <v>5882101902</v>
      </c>
      <c r="AC130" s="233">
        <v>0.73599019286959955</v>
      </c>
    </row>
    <row r="131" spans="1:29" ht="24.95" customHeight="1">
      <c r="A131" s="32" t="s">
        <v>455</v>
      </c>
      <c r="B131" s="210" t="s">
        <v>456</v>
      </c>
      <c r="C131" s="211" t="s">
        <v>167</v>
      </c>
      <c r="D131" s="212" t="s">
        <v>171</v>
      </c>
      <c r="E131" s="212" t="s">
        <v>172</v>
      </c>
      <c r="F131" s="212" t="s">
        <v>173</v>
      </c>
      <c r="G131" s="212" t="s">
        <v>175</v>
      </c>
      <c r="H131" s="212" t="s">
        <v>176</v>
      </c>
      <c r="I131" s="212"/>
      <c r="J131" s="212"/>
      <c r="K131" s="213" t="s">
        <v>144</v>
      </c>
      <c r="L131" s="214" t="s">
        <v>29</v>
      </c>
      <c r="M131" s="210" t="s">
        <v>177</v>
      </c>
      <c r="N131" s="215">
        <v>4947405600</v>
      </c>
      <c r="O131" s="215">
        <v>0</v>
      </c>
      <c r="P131" s="215">
        <v>0</v>
      </c>
      <c r="Q131" s="215">
        <v>5081230600</v>
      </c>
      <c r="R131" s="215">
        <v>0</v>
      </c>
      <c r="S131" s="215">
        <v>0</v>
      </c>
      <c r="T131" s="215">
        <v>10028636200</v>
      </c>
      <c r="U131" s="215">
        <v>3842871440</v>
      </c>
      <c r="V131" s="215">
        <v>6185764760</v>
      </c>
      <c r="W131" s="216">
        <v>0.38318983392776779</v>
      </c>
      <c r="X131" s="215">
        <v>3288777301</v>
      </c>
      <c r="Y131" s="215">
        <v>554094139</v>
      </c>
      <c r="Z131" s="216">
        <v>0.14418752946884947</v>
      </c>
      <c r="AA131" s="215">
        <v>2444852301</v>
      </c>
      <c r="AB131" s="215">
        <v>843925000</v>
      </c>
      <c r="AC131" s="216">
        <v>0.63620455151109612</v>
      </c>
    </row>
    <row r="132" spans="1:29" ht="24.95" customHeight="1">
      <c r="A132" s="32" t="s">
        <v>457</v>
      </c>
      <c r="B132" s="217" t="s">
        <v>458</v>
      </c>
      <c r="C132" s="218" t="s">
        <v>167</v>
      </c>
      <c r="D132" s="219" t="s">
        <v>171</v>
      </c>
      <c r="E132" s="219" t="s">
        <v>172</v>
      </c>
      <c r="F132" s="219" t="s">
        <v>173</v>
      </c>
      <c r="G132" s="219" t="s">
        <v>175</v>
      </c>
      <c r="H132" s="219" t="s">
        <v>176</v>
      </c>
      <c r="I132" s="219" t="s">
        <v>54</v>
      </c>
      <c r="J132" s="219"/>
      <c r="K132" s="220" t="s">
        <v>144</v>
      </c>
      <c r="L132" s="221" t="s">
        <v>29</v>
      </c>
      <c r="M132" s="259" t="s">
        <v>178</v>
      </c>
      <c r="N132" s="222">
        <v>4947405600</v>
      </c>
      <c r="O132" s="222"/>
      <c r="P132" s="222"/>
      <c r="Q132" s="222">
        <v>5081230600</v>
      </c>
      <c r="R132" s="222"/>
      <c r="S132" s="222"/>
      <c r="T132" s="222">
        <v>10028636200</v>
      </c>
      <c r="U132" s="222">
        <v>3842871440</v>
      </c>
      <c r="V132" s="222">
        <v>6185764760</v>
      </c>
      <c r="W132" s="224">
        <v>0.38318983392776779</v>
      </c>
      <c r="X132" s="222">
        <v>3288777301</v>
      </c>
      <c r="Y132" s="222">
        <v>554094139</v>
      </c>
      <c r="Z132" s="224">
        <v>0.14418752946884947</v>
      </c>
      <c r="AA132" s="222">
        <v>2444852301</v>
      </c>
      <c r="AB132" s="222">
        <v>843925000</v>
      </c>
      <c r="AC132" s="224">
        <v>0.63620455151109612</v>
      </c>
    </row>
    <row r="133" spans="1:29" ht="31.5" customHeight="1">
      <c r="A133" s="32" t="s">
        <v>459</v>
      </c>
      <c r="B133" s="210" t="s">
        <v>460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179</v>
      </c>
      <c r="I133" s="212"/>
      <c r="J133" s="212"/>
      <c r="K133" s="213" t="s">
        <v>144</v>
      </c>
      <c r="L133" s="214" t="s">
        <v>29</v>
      </c>
      <c r="M133" s="210" t="s">
        <v>180</v>
      </c>
      <c r="N133" s="215">
        <v>27420887861</v>
      </c>
      <c r="O133" s="215">
        <v>0</v>
      </c>
      <c r="P133" s="215">
        <v>0</v>
      </c>
      <c r="Q133" s="215">
        <v>0</v>
      </c>
      <c r="R133" s="215">
        <v>0</v>
      </c>
      <c r="S133" s="215">
        <v>0</v>
      </c>
      <c r="T133" s="215">
        <v>27420887861</v>
      </c>
      <c r="U133" s="215">
        <v>27327887861</v>
      </c>
      <c r="V133" s="215">
        <v>93000000</v>
      </c>
      <c r="W133" s="216">
        <v>0.99660842491784263</v>
      </c>
      <c r="X133" s="215">
        <v>24507882380</v>
      </c>
      <c r="Y133" s="215">
        <v>2820005481</v>
      </c>
      <c r="Z133" s="216">
        <v>0.10319149051487686</v>
      </c>
      <c r="AA133" s="215">
        <v>20129821518</v>
      </c>
      <c r="AB133" s="215">
        <v>4378060862</v>
      </c>
      <c r="AC133" s="216">
        <v>0.73660363436749687</v>
      </c>
    </row>
    <row r="134" spans="1:29" ht="24.95" customHeight="1">
      <c r="A134" s="32" t="s">
        <v>461</v>
      </c>
      <c r="B134" s="217" t="s">
        <v>462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179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27420887861</v>
      </c>
      <c r="O134" s="222"/>
      <c r="P134" s="222"/>
      <c r="Q134" s="222"/>
      <c r="R134" s="222"/>
      <c r="S134" s="222"/>
      <c r="T134" s="222">
        <v>27420887861</v>
      </c>
      <c r="U134" s="222">
        <v>27327887861</v>
      </c>
      <c r="V134" s="222">
        <v>93000000</v>
      </c>
      <c r="W134" s="224">
        <v>0.99660842491784263</v>
      </c>
      <c r="X134" s="222">
        <v>24507882380</v>
      </c>
      <c r="Y134" s="222">
        <v>2820005481</v>
      </c>
      <c r="Z134" s="224">
        <v>0.10319149051487686</v>
      </c>
      <c r="AA134" s="222">
        <v>20129821518</v>
      </c>
      <c r="AB134" s="222">
        <v>4378060862</v>
      </c>
      <c r="AC134" s="224">
        <v>0.73660363436749687</v>
      </c>
    </row>
    <row r="135" spans="1:29" ht="31.5" customHeight="1">
      <c r="A135" s="32" t="s">
        <v>463</v>
      </c>
      <c r="B135" s="210" t="s">
        <v>464</v>
      </c>
      <c r="C135" s="211" t="s">
        <v>167</v>
      </c>
      <c r="D135" s="212" t="s">
        <v>171</v>
      </c>
      <c r="E135" s="212" t="s">
        <v>172</v>
      </c>
      <c r="F135" s="212" t="s">
        <v>173</v>
      </c>
      <c r="G135" s="212" t="s">
        <v>175</v>
      </c>
      <c r="H135" s="212" t="s">
        <v>181</v>
      </c>
      <c r="I135" s="212"/>
      <c r="J135" s="212"/>
      <c r="K135" s="213" t="s">
        <v>144</v>
      </c>
      <c r="L135" s="214" t="s">
        <v>29</v>
      </c>
      <c r="M135" s="210" t="s">
        <v>182</v>
      </c>
      <c r="N135" s="215">
        <v>17722088000</v>
      </c>
      <c r="O135" s="215">
        <v>0</v>
      </c>
      <c r="P135" s="215">
        <v>0</v>
      </c>
      <c r="Q135" s="215">
        <v>0</v>
      </c>
      <c r="R135" s="215">
        <v>0</v>
      </c>
      <c r="S135" s="215">
        <v>0</v>
      </c>
      <c r="T135" s="215">
        <v>17722088000</v>
      </c>
      <c r="U135" s="215">
        <v>17722088000</v>
      </c>
      <c r="V135" s="215">
        <v>0</v>
      </c>
      <c r="W135" s="216">
        <v>1</v>
      </c>
      <c r="X135" s="215">
        <v>12263227505</v>
      </c>
      <c r="Y135" s="215">
        <v>5458860495</v>
      </c>
      <c r="Z135" s="216">
        <v>0.30802580909202121</v>
      </c>
      <c r="AA135" s="215">
        <v>12263227505</v>
      </c>
      <c r="AB135" s="215">
        <v>0</v>
      </c>
      <c r="AC135" s="216">
        <v>0.69197419090797874</v>
      </c>
    </row>
    <row r="136" spans="1:29" ht="24.95" customHeight="1">
      <c r="A136" s="32" t="s">
        <v>465</v>
      </c>
      <c r="B136" s="217" t="s">
        <v>466</v>
      </c>
      <c r="C136" s="218" t="s">
        <v>167</v>
      </c>
      <c r="D136" s="219" t="s">
        <v>171</v>
      </c>
      <c r="E136" s="219" t="s">
        <v>172</v>
      </c>
      <c r="F136" s="219" t="s">
        <v>173</v>
      </c>
      <c r="G136" s="219" t="s">
        <v>175</v>
      </c>
      <c r="H136" s="219" t="s">
        <v>181</v>
      </c>
      <c r="I136" s="219" t="s">
        <v>54</v>
      </c>
      <c r="J136" s="219"/>
      <c r="K136" s="220" t="s">
        <v>144</v>
      </c>
      <c r="L136" s="221" t="s">
        <v>29</v>
      </c>
      <c r="M136" s="259" t="s">
        <v>178</v>
      </c>
      <c r="N136" s="222">
        <v>17722088000</v>
      </c>
      <c r="O136" s="222"/>
      <c r="P136" s="222"/>
      <c r="Q136" s="222"/>
      <c r="R136" s="222"/>
      <c r="S136" s="222"/>
      <c r="T136" s="222">
        <v>17722088000</v>
      </c>
      <c r="U136" s="222">
        <v>17722088000</v>
      </c>
      <c r="V136" s="222">
        <v>0</v>
      </c>
      <c r="W136" s="224">
        <v>1</v>
      </c>
      <c r="X136" s="222">
        <v>12263227505</v>
      </c>
      <c r="Y136" s="222">
        <v>5458860495</v>
      </c>
      <c r="Z136" s="224">
        <v>0.30802580909202121</v>
      </c>
      <c r="AA136" s="222">
        <v>12263227505</v>
      </c>
      <c r="AB136" s="222">
        <v>0</v>
      </c>
      <c r="AC136" s="224">
        <v>0.69197419090797874</v>
      </c>
    </row>
    <row r="137" spans="1:29" ht="31.5" customHeight="1">
      <c r="A137" s="32" t="s">
        <v>467</v>
      </c>
      <c r="B137" s="210" t="s">
        <v>468</v>
      </c>
      <c r="C137" s="211" t="s">
        <v>167</v>
      </c>
      <c r="D137" s="212" t="s">
        <v>171</v>
      </c>
      <c r="E137" s="212" t="s">
        <v>172</v>
      </c>
      <c r="F137" s="212" t="s">
        <v>173</v>
      </c>
      <c r="G137" s="212" t="s">
        <v>175</v>
      </c>
      <c r="H137" s="212" t="s">
        <v>183</v>
      </c>
      <c r="I137" s="212"/>
      <c r="J137" s="212"/>
      <c r="K137" s="213" t="s">
        <v>144</v>
      </c>
      <c r="L137" s="214" t="s">
        <v>29</v>
      </c>
      <c r="M137" s="210" t="s">
        <v>184</v>
      </c>
      <c r="N137" s="215">
        <v>16276997084</v>
      </c>
      <c r="O137" s="215">
        <v>0</v>
      </c>
      <c r="P137" s="215">
        <v>0</v>
      </c>
      <c r="Q137" s="215">
        <v>0</v>
      </c>
      <c r="R137" s="215">
        <v>30862084</v>
      </c>
      <c r="S137" s="215">
        <v>0</v>
      </c>
      <c r="T137" s="215">
        <v>16246135000</v>
      </c>
      <c r="U137" s="215">
        <v>16106370670</v>
      </c>
      <c r="V137" s="215">
        <v>139764330</v>
      </c>
      <c r="W137" s="216">
        <v>0.99139707198050486</v>
      </c>
      <c r="X137" s="215">
        <v>15955957361</v>
      </c>
      <c r="Y137" s="215">
        <v>150413309</v>
      </c>
      <c r="Z137" s="216">
        <v>9.3387462689010613E-3</v>
      </c>
      <c r="AA137" s="215">
        <v>15912832325</v>
      </c>
      <c r="AB137" s="215">
        <v>43125036</v>
      </c>
      <c r="AC137" s="216">
        <v>0.98798373954223673</v>
      </c>
    </row>
    <row r="138" spans="1:29" ht="24.95" customHeight="1">
      <c r="A138" s="32" t="s">
        <v>469</v>
      </c>
      <c r="B138" s="217" t="s">
        <v>470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183</v>
      </c>
      <c r="I138" s="219" t="s">
        <v>54</v>
      </c>
      <c r="J138" s="219"/>
      <c r="K138" s="220" t="s">
        <v>144</v>
      </c>
      <c r="L138" s="221" t="s">
        <v>29</v>
      </c>
      <c r="M138" s="259" t="s">
        <v>178</v>
      </c>
      <c r="N138" s="222">
        <v>16276997084</v>
      </c>
      <c r="O138" s="222"/>
      <c r="P138" s="222"/>
      <c r="Q138" s="222"/>
      <c r="R138" s="222">
        <v>30862084</v>
      </c>
      <c r="S138" s="222"/>
      <c r="T138" s="222">
        <v>16246135000</v>
      </c>
      <c r="U138" s="222">
        <v>16106370670</v>
      </c>
      <c r="V138" s="222">
        <v>139764330</v>
      </c>
      <c r="W138" s="224">
        <v>0.99139707198050486</v>
      </c>
      <c r="X138" s="222">
        <v>15955957361</v>
      </c>
      <c r="Y138" s="222">
        <v>150413309</v>
      </c>
      <c r="Z138" s="224">
        <v>9.3387462689010613E-3</v>
      </c>
      <c r="AA138" s="222">
        <v>15912832325</v>
      </c>
      <c r="AB138" s="222">
        <v>43125036</v>
      </c>
      <c r="AC138" s="224">
        <v>0.98798373954223673</v>
      </c>
    </row>
    <row r="139" spans="1:29" ht="24.95" customHeight="1">
      <c r="A139" s="32" t="s">
        <v>471</v>
      </c>
      <c r="B139" s="210" t="s">
        <v>472</v>
      </c>
      <c r="C139" s="211" t="s">
        <v>167</v>
      </c>
      <c r="D139" s="212" t="s">
        <v>171</v>
      </c>
      <c r="E139" s="212" t="s">
        <v>172</v>
      </c>
      <c r="F139" s="212" t="s">
        <v>173</v>
      </c>
      <c r="G139" s="212" t="s">
        <v>175</v>
      </c>
      <c r="H139" s="212" t="s">
        <v>185</v>
      </c>
      <c r="I139" s="212"/>
      <c r="J139" s="212"/>
      <c r="K139" s="213" t="s">
        <v>144</v>
      </c>
      <c r="L139" s="214" t="s">
        <v>29</v>
      </c>
      <c r="M139" s="210" t="s">
        <v>186</v>
      </c>
      <c r="N139" s="215">
        <v>30467075662</v>
      </c>
      <c r="O139" s="215">
        <v>0</v>
      </c>
      <c r="P139" s="215">
        <v>0</v>
      </c>
      <c r="Q139" s="215">
        <v>0</v>
      </c>
      <c r="R139" s="215">
        <v>5050368516</v>
      </c>
      <c r="S139" s="215">
        <v>0</v>
      </c>
      <c r="T139" s="215">
        <v>25416707146</v>
      </c>
      <c r="U139" s="215">
        <v>25416707146</v>
      </c>
      <c r="V139" s="215">
        <v>0</v>
      </c>
      <c r="W139" s="216">
        <v>1</v>
      </c>
      <c r="X139" s="215">
        <v>17886281752</v>
      </c>
      <c r="Y139" s="215">
        <v>7530425394</v>
      </c>
      <c r="Z139" s="216">
        <v>0.2962785600331046</v>
      </c>
      <c r="AA139" s="215">
        <v>17886281752</v>
      </c>
      <c r="AB139" s="215">
        <v>0</v>
      </c>
      <c r="AC139" s="216">
        <v>0.7037214399668954</v>
      </c>
    </row>
    <row r="140" spans="1:29" ht="24.95" customHeight="1">
      <c r="A140" s="32" t="s">
        <v>473</v>
      </c>
      <c r="B140" s="217" t="s">
        <v>474</v>
      </c>
      <c r="C140" s="218" t="s">
        <v>167</v>
      </c>
      <c r="D140" s="219" t="s">
        <v>171</v>
      </c>
      <c r="E140" s="219" t="s">
        <v>172</v>
      </c>
      <c r="F140" s="219" t="s">
        <v>173</v>
      </c>
      <c r="G140" s="219" t="s">
        <v>175</v>
      </c>
      <c r="H140" s="219" t="s">
        <v>185</v>
      </c>
      <c r="I140" s="219" t="s">
        <v>54</v>
      </c>
      <c r="J140" s="219"/>
      <c r="K140" s="220" t="s">
        <v>144</v>
      </c>
      <c r="L140" s="221" t="s">
        <v>29</v>
      </c>
      <c r="M140" s="259" t="s">
        <v>178</v>
      </c>
      <c r="N140" s="222">
        <v>30467075662</v>
      </c>
      <c r="O140" s="222"/>
      <c r="P140" s="222"/>
      <c r="Q140" s="222"/>
      <c r="R140" s="222">
        <v>5050368516</v>
      </c>
      <c r="S140" s="222"/>
      <c r="T140" s="222">
        <v>25416707146</v>
      </c>
      <c r="U140" s="222">
        <v>25416707146</v>
      </c>
      <c r="V140" s="222">
        <v>0</v>
      </c>
      <c r="W140" s="224">
        <v>1</v>
      </c>
      <c r="X140" s="222">
        <v>17886281752</v>
      </c>
      <c r="Y140" s="222">
        <v>7530425394</v>
      </c>
      <c r="Z140" s="224">
        <v>0.2962785600331046</v>
      </c>
      <c r="AA140" s="222">
        <v>17886281752</v>
      </c>
      <c r="AB140" s="222">
        <v>0</v>
      </c>
      <c r="AC140" s="224">
        <v>0.7037214399668954</v>
      </c>
    </row>
    <row r="141" spans="1:29" ht="31.5" customHeight="1">
      <c r="A141" s="32" t="s">
        <v>475</v>
      </c>
      <c r="B141" s="210" t="s">
        <v>476</v>
      </c>
      <c r="C141" s="211" t="s">
        <v>167</v>
      </c>
      <c r="D141" s="212" t="s">
        <v>171</v>
      </c>
      <c r="E141" s="212" t="s">
        <v>172</v>
      </c>
      <c r="F141" s="212" t="s">
        <v>173</v>
      </c>
      <c r="G141" s="212" t="s">
        <v>175</v>
      </c>
      <c r="H141" s="212" t="s">
        <v>187</v>
      </c>
      <c r="I141" s="212"/>
      <c r="J141" s="212"/>
      <c r="K141" s="213" t="s">
        <v>144</v>
      </c>
      <c r="L141" s="214" t="s">
        <v>29</v>
      </c>
      <c r="M141" s="210" t="s">
        <v>188</v>
      </c>
      <c r="N141" s="215">
        <v>21267303756</v>
      </c>
      <c r="O141" s="215">
        <v>0</v>
      </c>
      <c r="P141" s="215">
        <v>0</v>
      </c>
      <c r="Q141" s="215">
        <v>0</v>
      </c>
      <c r="R141" s="215">
        <v>0</v>
      </c>
      <c r="S141" s="215">
        <v>0</v>
      </c>
      <c r="T141" s="215">
        <v>21267303756</v>
      </c>
      <c r="U141" s="215">
        <v>18690602512</v>
      </c>
      <c r="V141" s="215">
        <v>2576701244</v>
      </c>
      <c r="W141" s="216">
        <v>0.87884212904642167</v>
      </c>
      <c r="X141" s="215">
        <v>12281309916</v>
      </c>
      <c r="Y141" s="215">
        <v>6409292596</v>
      </c>
      <c r="Z141" s="216">
        <v>0.34291524801755413</v>
      </c>
      <c r="AA141" s="215">
        <v>11664318912</v>
      </c>
      <c r="AB141" s="215">
        <v>616991004</v>
      </c>
      <c r="AC141" s="216">
        <v>0.62407399143559505</v>
      </c>
    </row>
    <row r="142" spans="1:29" ht="24.95" customHeight="1">
      <c r="A142" s="32" t="s">
        <v>477</v>
      </c>
      <c r="B142" s="217" t="s">
        <v>478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187</v>
      </c>
      <c r="I142" s="219" t="s">
        <v>54</v>
      </c>
      <c r="J142" s="219"/>
      <c r="K142" s="220" t="s">
        <v>144</v>
      </c>
      <c r="L142" s="221" t="s">
        <v>29</v>
      </c>
      <c r="M142" s="259" t="s">
        <v>178</v>
      </c>
      <c r="N142" s="222">
        <v>4435143756</v>
      </c>
      <c r="O142" s="222"/>
      <c r="P142" s="222"/>
      <c r="Q142" s="222"/>
      <c r="R142" s="222"/>
      <c r="S142" s="222"/>
      <c r="T142" s="222">
        <v>4435143756</v>
      </c>
      <c r="U142" s="222">
        <v>4435143756</v>
      </c>
      <c r="V142" s="222">
        <v>0</v>
      </c>
      <c r="W142" s="224">
        <v>1</v>
      </c>
      <c r="X142" s="222">
        <v>4435143756</v>
      </c>
      <c r="Y142" s="222">
        <v>0</v>
      </c>
      <c r="Z142" s="224">
        <v>0</v>
      </c>
      <c r="AA142" s="222">
        <v>4435143756</v>
      </c>
      <c r="AB142" s="222">
        <v>0</v>
      </c>
      <c r="AC142" s="224">
        <v>1</v>
      </c>
    </row>
    <row r="143" spans="1:29" ht="24.95" customHeight="1">
      <c r="A143" s="32" t="s">
        <v>479</v>
      </c>
      <c r="B143" s="217" t="s">
        <v>480</v>
      </c>
      <c r="C143" s="218" t="s">
        <v>167</v>
      </c>
      <c r="D143" s="219" t="s">
        <v>171</v>
      </c>
      <c r="E143" s="219" t="s">
        <v>172</v>
      </c>
      <c r="F143" s="219" t="s">
        <v>173</v>
      </c>
      <c r="G143" s="219" t="s">
        <v>175</v>
      </c>
      <c r="H143" s="219" t="s">
        <v>187</v>
      </c>
      <c r="I143" s="225" t="s">
        <v>65</v>
      </c>
      <c r="J143" s="219"/>
      <c r="K143" s="220" t="s">
        <v>144</v>
      </c>
      <c r="L143" s="221" t="s">
        <v>29</v>
      </c>
      <c r="M143" s="259" t="s">
        <v>127</v>
      </c>
      <c r="N143" s="222">
        <v>16832160000</v>
      </c>
      <c r="O143" s="222"/>
      <c r="P143" s="222"/>
      <c r="Q143" s="222"/>
      <c r="R143" s="222"/>
      <c r="S143" s="222"/>
      <c r="T143" s="222">
        <v>16832160000</v>
      </c>
      <c r="U143" s="222">
        <v>14255458756</v>
      </c>
      <c r="V143" s="222">
        <v>2576701244</v>
      </c>
      <c r="W143" s="224">
        <v>0.84691796869801617</v>
      </c>
      <c r="X143" s="222">
        <v>7846166160</v>
      </c>
      <c r="Y143" s="222">
        <v>6409292596</v>
      </c>
      <c r="Z143" s="224">
        <v>0.44960268944711329</v>
      </c>
      <c r="AA143" s="222">
        <v>7229175156</v>
      </c>
      <c r="AB143" s="222">
        <v>616991004</v>
      </c>
      <c r="AC143" s="224">
        <v>0.50711627592884745</v>
      </c>
    </row>
    <row r="144" spans="1:29" ht="35.1" customHeight="1">
      <c r="A144" s="32" t="s">
        <v>481</v>
      </c>
      <c r="B144" s="188" t="s">
        <v>482</v>
      </c>
      <c r="C144" s="189" t="s">
        <v>167</v>
      </c>
      <c r="D144" s="191">
        <v>4103</v>
      </c>
      <c r="E144" s="191"/>
      <c r="F144" s="191"/>
      <c r="G144" s="191"/>
      <c r="H144" s="191"/>
      <c r="I144" s="191"/>
      <c r="J144" s="191"/>
      <c r="K144" s="192"/>
      <c r="L144" s="193"/>
      <c r="M144" s="188" t="s">
        <v>189</v>
      </c>
      <c r="N144" s="194">
        <v>3297855758141</v>
      </c>
      <c r="O144" s="194">
        <v>0</v>
      </c>
      <c r="P144" s="194">
        <v>0</v>
      </c>
      <c r="Q144" s="194">
        <v>482297399159.58002</v>
      </c>
      <c r="R144" s="194">
        <v>482297399159.57996</v>
      </c>
      <c r="S144" s="194">
        <v>580001000000</v>
      </c>
      <c r="T144" s="194">
        <v>2717854758141</v>
      </c>
      <c r="U144" s="194">
        <v>2610263063874.4297</v>
      </c>
      <c r="V144" s="194">
        <v>107591694266.57002</v>
      </c>
      <c r="W144" s="195">
        <v>0.960413008110793</v>
      </c>
      <c r="X144" s="194">
        <v>2290071998859.8496</v>
      </c>
      <c r="Y144" s="194">
        <v>320191065014.58008</v>
      </c>
      <c r="Z144" s="195">
        <v>0.12266620535147078</v>
      </c>
      <c r="AA144" s="194">
        <v>2288891498776.3896</v>
      </c>
      <c r="AB144" s="194">
        <v>1180500083.4599819</v>
      </c>
      <c r="AC144" s="195">
        <v>0.87688154134892971</v>
      </c>
    </row>
    <row r="145" spans="1:52" ht="24.95" customHeight="1">
      <c r="A145" s="32" t="s">
        <v>483</v>
      </c>
      <c r="B145" s="196" t="s">
        <v>296</v>
      </c>
      <c r="C145" s="197" t="s">
        <v>167</v>
      </c>
      <c r="D145" s="198">
        <v>4103</v>
      </c>
      <c r="E145" s="198">
        <v>1500</v>
      </c>
      <c r="F145" s="198"/>
      <c r="G145" s="198"/>
      <c r="H145" s="198"/>
      <c r="I145" s="198"/>
      <c r="J145" s="198"/>
      <c r="K145" s="199"/>
      <c r="L145" s="200"/>
      <c r="M145" s="196" t="s">
        <v>170</v>
      </c>
      <c r="N145" s="201">
        <v>3297855758141</v>
      </c>
      <c r="O145" s="201">
        <v>0</v>
      </c>
      <c r="P145" s="201">
        <v>0</v>
      </c>
      <c r="Q145" s="201">
        <v>482297399159.58002</v>
      </c>
      <c r="R145" s="201">
        <v>482297399159.57996</v>
      </c>
      <c r="S145" s="201">
        <v>580001000000</v>
      </c>
      <c r="T145" s="201">
        <v>2717854758141</v>
      </c>
      <c r="U145" s="201">
        <v>2610263063874.4297</v>
      </c>
      <c r="V145" s="201">
        <v>107591694266.57002</v>
      </c>
      <c r="W145" s="202">
        <v>0.960413008110793</v>
      </c>
      <c r="X145" s="201">
        <v>2290071998859.8496</v>
      </c>
      <c r="Y145" s="201">
        <v>320191065014.58008</v>
      </c>
      <c r="Z145" s="202">
        <v>0.12266620535147078</v>
      </c>
      <c r="AA145" s="201">
        <v>2288891498776.3896</v>
      </c>
      <c r="AB145" s="201">
        <v>1180500083.4599819</v>
      </c>
      <c r="AC145" s="202">
        <v>0.87688154134892971</v>
      </c>
    </row>
    <row r="146" spans="1:52" ht="37.5" customHeight="1">
      <c r="A146" s="32" t="s">
        <v>484</v>
      </c>
      <c r="B146" s="203" t="s">
        <v>297</v>
      </c>
      <c r="C146" s="227" t="s">
        <v>167</v>
      </c>
      <c r="D146" s="228" t="s">
        <v>190</v>
      </c>
      <c r="E146" s="228" t="s">
        <v>172</v>
      </c>
      <c r="F146" s="228" t="s">
        <v>191</v>
      </c>
      <c r="G146" s="228"/>
      <c r="H146" s="228"/>
      <c r="I146" s="228"/>
      <c r="J146" s="228"/>
      <c r="K146" s="229"/>
      <c r="L146" s="230"/>
      <c r="M146" s="231" t="s">
        <v>280</v>
      </c>
      <c r="N146" s="232">
        <v>1879080064351</v>
      </c>
      <c r="O146" s="232">
        <v>0</v>
      </c>
      <c r="P146" s="232">
        <v>0</v>
      </c>
      <c r="Q146" s="232">
        <v>122781377398.94</v>
      </c>
      <c r="R146" s="232">
        <v>49816807901.169998</v>
      </c>
      <c r="S146" s="232">
        <v>60000000000</v>
      </c>
      <c r="T146" s="232">
        <v>1892044633848.77</v>
      </c>
      <c r="U146" s="232">
        <v>1856318009796.29</v>
      </c>
      <c r="V146" s="232">
        <v>35726624052.480026</v>
      </c>
      <c r="W146" s="233">
        <v>0.98111745176972631</v>
      </c>
      <c r="X146" s="232">
        <v>1752996600900.96</v>
      </c>
      <c r="Y146" s="232">
        <v>103321408895.33002</v>
      </c>
      <c r="Z146" s="233">
        <v>5.5659325799822613E-2</v>
      </c>
      <c r="AA146" s="232">
        <v>1752942443916.96</v>
      </c>
      <c r="AB146" s="232">
        <v>54156984</v>
      </c>
      <c r="AC146" s="233">
        <v>0.94431149978948148</v>
      </c>
    </row>
    <row r="147" spans="1:52" ht="31.5" customHeight="1">
      <c r="A147" s="32" t="s">
        <v>485</v>
      </c>
      <c r="B147" s="210" t="s">
        <v>486</v>
      </c>
      <c r="C147" s="211" t="s">
        <v>167</v>
      </c>
      <c r="D147" s="212" t="s">
        <v>190</v>
      </c>
      <c r="E147" s="212" t="s">
        <v>172</v>
      </c>
      <c r="F147" s="212" t="s">
        <v>191</v>
      </c>
      <c r="G147" s="212" t="s">
        <v>175</v>
      </c>
      <c r="H147" s="212" t="s">
        <v>193</v>
      </c>
      <c r="I147" s="212"/>
      <c r="J147" s="212"/>
      <c r="K147" s="213"/>
      <c r="L147" s="214"/>
      <c r="M147" s="210" t="s">
        <v>194</v>
      </c>
      <c r="N147" s="215">
        <v>1873368757333</v>
      </c>
      <c r="O147" s="215">
        <v>0</v>
      </c>
      <c r="P147" s="215">
        <v>0</v>
      </c>
      <c r="Q147" s="215">
        <v>122781377398.94</v>
      </c>
      <c r="R147" s="215">
        <v>49816807901.169998</v>
      </c>
      <c r="S147" s="215">
        <v>60000000000</v>
      </c>
      <c r="T147" s="215">
        <v>1886333326830.77</v>
      </c>
      <c r="U147" s="215">
        <v>1851206702778.29</v>
      </c>
      <c r="V147" s="215">
        <v>35126624052.480026</v>
      </c>
      <c r="W147" s="216">
        <v>0.98137835792176975</v>
      </c>
      <c r="X147" s="215">
        <v>1748453216882.96</v>
      </c>
      <c r="Y147" s="215">
        <v>102753485895.33002</v>
      </c>
      <c r="Z147" s="216">
        <v>5.5506219668023909E-2</v>
      </c>
      <c r="AA147" s="215">
        <v>1748399059898.96</v>
      </c>
      <c r="AB147" s="215">
        <v>54156984</v>
      </c>
      <c r="AC147" s="216">
        <v>0.94446452536875736</v>
      </c>
    </row>
    <row r="148" spans="1:52" s="64" customFormat="1" ht="24.95" customHeight="1">
      <c r="A148" s="32" t="s">
        <v>487</v>
      </c>
      <c r="B148" s="217" t="s">
        <v>488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 t="s">
        <v>193</v>
      </c>
      <c r="I148" s="267" t="s">
        <v>54</v>
      </c>
      <c r="J148" s="219"/>
      <c r="K148" s="220">
        <v>10</v>
      </c>
      <c r="L148" s="221" t="s">
        <v>29</v>
      </c>
      <c r="M148" s="259" t="s">
        <v>178</v>
      </c>
      <c r="N148" s="222">
        <v>170514008840.17001</v>
      </c>
      <c r="O148" s="637"/>
      <c r="P148" s="638"/>
      <c r="Q148" s="223"/>
      <c r="R148" s="223">
        <v>49816807901.169998</v>
      </c>
      <c r="S148" s="223"/>
      <c r="T148" s="222">
        <v>120697200939.00002</v>
      </c>
      <c r="U148" s="222">
        <v>96537038264.460007</v>
      </c>
      <c r="V148" s="222">
        <v>24160162674.540009</v>
      </c>
      <c r="W148" s="224">
        <v>0.79982831012998823</v>
      </c>
      <c r="X148" s="222">
        <v>58003897943.959999</v>
      </c>
      <c r="Y148" s="222">
        <v>38533140320.500008</v>
      </c>
      <c r="Z148" s="224">
        <v>0.39915395182250929</v>
      </c>
      <c r="AA148" s="222">
        <v>57949740959.959999</v>
      </c>
      <c r="AB148" s="222">
        <v>54156984</v>
      </c>
      <c r="AC148" s="224">
        <v>0.60028505122778486</v>
      </c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</row>
    <row r="149" spans="1:52" ht="24.95" customHeight="1">
      <c r="A149" s="32" t="s">
        <v>490</v>
      </c>
      <c r="B149" s="217" t="s">
        <v>491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65</v>
      </c>
      <c r="J149" s="219"/>
      <c r="K149" s="220">
        <v>10</v>
      </c>
      <c r="L149" s="221" t="s">
        <v>29</v>
      </c>
      <c r="M149" s="259" t="s">
        <v>127</v>
      </c>
      <c r="N149" s="222">
        <v>11682690576.83</v>
      </c>
      <c r="O149" s="637"/>
      <c r="P149" s="638"/>
      <c r="Q149" s="223">
        <v>49816807901.169998</v>
      </c>
      <c r="R149" s="223"/>
      <c r="S149" s="223"/>
      <c r="T149" s="222">
        <v>61499498478</v>
      </c>
      <c r="U149" s="222">
        <v>61483831377.830002</v>
      </c>
      <c r="V149" s="222">
        <v>15667100.169998169</v>
      </c>
      <c r="W149" s="224">
        <v>0.99974524832628342</v>
      </c>
      <c r="X149" s="222">
        <v>61481411426</v>
      </c>
      <c r="Y149" s="222">
        <v>2419951.8300018311</v>
      </c>
      <c r="Z149" s="224">
        <v>3.9359157940739907E-5</v>
      </c>
      <c r="AA149" s="222">
        <v>61481411426</v>
      </c>
      <c r="AB149" s="222">
        <v>0</v>
      </c>
      <c r="AC149" s="224">
        <v>0.99996064084205927</v>
      </c>
    </row>
    <row r="150" spans="1:52" ht="24.95" customHeight="1">
      <c r="A150" s="32" t="s">
        <v>492</v>
      </c>
      <c r="B150" s="217" t="s">
        <v>491</v>
      </c>
      <c r="C150" s="266" t="s">
        <v>167</v>
      </c>
      <c r="D150" s="267" t="s">
        <v>190</v>
      </c>
      <c r="E150" s="267" t="s">
        <v>172</v>
      </c>
      <c r="F150" s="267" t="s">
        <v>191</v>
      </c>
      <c r="G150" s="267" t="s">
        <v>175</v>
      </c>
      <c r="H150" s="267" t="s">
        <v>193</v>
      </c>
      <c r="I150" s="267" t="s">
        <v>65</v>
      </c>
      <c r="J150" s="267"/>
      <c r="K150" s="268" t="s">
        <v>144</v>
      </c>
      <c r="L150" s="269" t="s">
        <v>29</v>
      </c>
      <c r="M150" s="259" t="s">
        <v>127</v>
      </c>
      <c r="N150" s="222">
        <v>1691172057916</v>
      </c>
      <c r="O150" s="223"/>
      <c r="P150" s="638"/>
      <c r="Q150" s="223">
        <v>72964569497.770004</v>
      </c>
      <c r="R150" s="223"/>
      <c r="S150" s="223">
        <v>60000000000</v>
      </c>
      <c r="T150" s="222">
        <v>1704136627413.77</v>
      </c>
      <c r="U150" s="222">
        <v>1693185833136</v>
      </c>
      <c r="V150" s="222">
        <v>10950794277.77002</v>
      </c>
      <c r="W150" s="224">
        <v>0.99357399277639546</v>
      </c>
      <c r="X150" s="222">
        <v>1628967907513</v>
      </c>
      <c r="Y150" s="222">
        <v>64217925623</v>
      </c>
      <c r="Z150" s="224">
        <v>3.7927275533637124E-2</v>
      </c>
      <c r="AA150" s="222">
        <v>1628967907513</v>
      </c>
      <c r="AB150" s="222">
        <v>0</v>
      </c>
      <c r="AC150" s="224">
        <v>0.96207272446636283</v>
      </c>
    </row>
    <row r="151" spans="1:52" ht="33" customHeight="1">
      <c r="A151" s="32" t="s">
        <v>493</v>
      </c>
      <c r="B151" s="210" t="s">
        <v>494</v>
      </c>
      <c r="C151" s="211" t="s">
        <v>167</v>
      </c>
      <c r="D151" s="212" t="s">
        <v>190</v>
      </c>
      <c r="E151" s="212" t="s">
        <v>172</v>
      </c>
      <c r="F151" s="212" t="s">
        <v>191</v>
      </c>
      <c r="G151" s="212" t="s">
        <v>175</v>
      </c>
      <c r="H151" s="212">
        <v>4103009</v>
      </c>
      <c r="I151" s="212"/>
      <c r="J151" s="212"/>
      <c r="K151" s="252">
        <v>10</v>
      </c>
      <c r="L151" s="214" t="s">
        <v>29</v>
      </c>
      <c r="M151" s="210" t="s">
        <v>195</v>
      </c>
      <c r="N151" s="215">
        <v>5711307018</v>
      </c>
      <c r="O151" s="215">
        <v>0</v>
      </c>
      <c r="P151" s="215">
        <v>0</v>
      </c>
      <c r="Q151" s="215">
        <v>0</v>
      </c>
      <c r="R151" s="215">
        <v>0</v>
      </c>
      <c r="S151" s="215">
        <v>0</v>
      </c>
      <c r="T151" s="215">
        <v>5711307018</v>
      </c>
      <c r="U151" s="215">
        <v>5111307018</v>
      </c>
      <c r="V151" s="215">
        <v>600000000</v>
      </c>
      <c r="W151" s="216">
        <v>0.89494523790981395</v>
      </c>
      <c r="X151" s="215">
        <v>4543384018</v>
      </c>
      <c r="Y151" s="215">
        <v>567923000</v>
      </c>
      <c r="Z151" s="216">
        <v>0.11111111071982176</v>
      </c>
      <c r="AA151" s="215">
        <v>4543384018</v>
      </c>
      <c r="AB151" s="215">
        <v>0</v>
      </c>
      <c r="AC151" s="216">
        <v>0.88888888928017828</v>
      </c>
    </row>
    <row r="152" spans="1:52" ht="24.95" customHeight="1">
      <c r="A152" s="32" t="s">
        <v>495</v>
      </c>
      <c r="B152" s="217" t="s">
        <v>496</v>
      </c>
      <c r="C152" s="266" t="s">
        <v>167</v>
      </c>
      <c r="D152" s="267" t="s">
        <v>190</v>
      </c>
      <c r="E152" s="267" t="s">
        <v>172</v>
      </c>
      <c r="F152" s="267" t="s">
        <v>191</v>
      </c>
      <c r="G152" s="267" t="s">
        <v>175</v>
      </c>
      <c r="H152" s="267">
        <v>4103009</v>
      </c>
      <c r="I152" s="267" t="s">
        <v>54</v>
      </c>
      <c r="J152" s="219"/>
      <c r="K152" s="270">
        <v>10</v>
      </c>
      <c r="L152" s="221" t="s">
        <v>29</v>
      </c>
      <c r="M152" s="259" t="s">
        <v>178</v>
      </c>
      <c r="N152" s="222">
        <v>5711307018</v>
      </c>
      <c r="O152" s="222"/>
      <c r="P152" s="636"/>
      <c r="Q152" s="222"/>
      <c r="R152" s="222"/>
      <c r="S152" s="222"/>
      <c r="T152" s="222">
        <v>5711307018</v>
      </c>
      <c r="U152" s="222">
        <v>5111307018</v>
      </c>
      <c r="V152" s="222">
        <v>600000000</v>
      </c>
      <c r="W152" s="224">
        <v>0.89494523790981395</v>
      </c>
      <c r="X152" s="222">
        <v>4543384018</v>
      </c>
      <c r="Y152" s="222">
        <v>567923000</v>
      </c>
      <c r="Z152" s="224">
        <v>0.11111111071982176</v>
      </c>
      <c r="AA152" s="222">
        <v>4543384018</v>
      </c>
      <c r="AB152" s="222">
        <v>0</v>
      </c>
      <c r="AC152" s="224">
        <v>0.88888888928017828</v>
      </c>
    </row>
    <row r="153" spans="1:52" s="64" customFormat="1" ht="36" customHeight="1">
      <c r="A153" s="32" t="s">
        <v>499</v>
      </c>
      <c r="B153" s="226" t="s">
        <v>298</v>
      </c>
      <c r="C153" s="227" t="s">
        <v>167</v>
      </c>
      <c r="D153" s="228" t="s">
        <v>190</v>
      </c>
      <c r="E153" s="228" t="s">
        <v>172</v>
      </c>
      <c r="F153" s="228" t="s">
        <v>22</v>
      </c>
      <c r="G153" s="228"/>
      <c r="H153" s="228"/>
      <c r="I153" s="228"/>
      <c r="J153" s="228"/>
      <c r="K153" s="229"/>
      <c r="L153" s="230"/>
      <c r="M153" s="231" t="s">
        <v>264</v>
      </c>
      <c r="N153" s="232">
        <v>25903028858</v>
      </c>
      <c r="O153" s="232">
        <v>0</v>
      </c>
      <c r="P153" s="232">
        <v>0</v>
      </c>
      <c r="Q153" s="232">
        <v>1354183051</v>
      </c>
      <c r="R153" s="232">
        <v>0</v>
      </c>
      <c r="S153" s="232">
        <v>0</v>
      </c>
      <c r="T153" s="232">
        <v>27257211909</v>
      </c>
      <c r="U153" s="232">
        <v>25742636351</v>
      </c>
      <c r="V153" s="232">
        <v>1514575558</v>
      </c>
      <c r="W153" s="233">
        <v>0.9444339515333956</v>
      </c>
      <c r="X153" s="232">
        <v>18377363529</v>
      </c>
      <c r="Y153" s="232">
        <v>7365272822</v>
      </c>
      <c r="Z153" s="233">
        <v>0.28611183103295046</v>
      </c>
      <c r="AA153" s="232">
        <v>18050435320</v>
      </c>
      <c r="AB153" s="232">
        <v>326928209</v>
      </c>
      <c r="AC153" s="233">
        <v>0.70118829609690736</v>
      </c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</row>
    <row r="154" spans="1:52" ht="32.25" customHeight="1">
      <c r="A154" s="32" t="s">
        <v>642</v>
      </c>
      <c r="B154" s="210" t="s">
        <v>500</v>
      </c>
      <c r="C154" s="211" t="s">
        <v>167</v>
      </c>
      <c r="D154" s="212" t="s">
        <v>190</v>
      </c>
      <c r="E154" s="212" t="s">
        <v>172</v>
      </c>
      <c r="F154" s="212" t="s">
        <v>22</v>
      </c>
      <c r="G154" s="212" t="s">
        <v>175</v>
      </c>
      <c r="H154" s="212" t="s">
        <v>197</v>
      </c>
      <c r="I154" s="212"/>
      <c r="J154" s="212"/>
      <c r="K154" s="213">
        <v>11</v>
      </c>
      <c r="L154" s="214" t="s">
        <v>29</v>
      </c>
      <c r="M154" s="210" t="s">
        <v>198</v>
      </c>
      <c r="N154" s="215">
        <v>7218669145</v>
      </c>
      <c r="O154" s="215">
        <v>0</v>
      </c>
      <c r="P154" s="215">
        <v>0</v>
      </c>
      <c r="Q154" s="215">
        <v>58501450</v>
      </c>
      <c r="R154" s="215">
        <v>0</v>
      </c>
      <c r="S154" s="215">
        <v>0</v>
      </c>
      <c r="T154" s="215">
        <v>7277170595</v>
      </c>
      <c r="U154" s="215">
        <v>7218669145</v>
      </c>
      <c r="V154" s="215">
        <v>58501450</v>
      </c>
      <c r="W154" s="216">
        <v>0.99196096212995266</v>
      </c>
      <c r="X154" s="215">
        <v>4343031169</v>
      </c>
      <c r="Y154" s="215">
        <v>2875637976</v>
      </c>
      <c r="Z154" s="216">
        <v>0.39836123781788868</v>
      </c>
      <c r="AA154" s="215">
        <v>4343031169</v>
      </c>
      <c r="AB154" s="215">
        <v>0</v>
      </c>
      <c r="AC154" s="216">
        <v>0.60163876218211132</v>
      </c>
    </row>
    <row r="155" spans="1:52" ht="24.95" customHeight="1">
      <c r="A155" s="32" t="s">
        <v>643</v>
      </c>
      <c r="B155" s="217" t="s">
        <v>501</v>
      </c>
      <c r="C155" s="218" t="s">
        <v>167</v>
      </c>
      <c r="D155" s="219" t="s">
        <v>190</v>
      </c>
      <c r="E155" s="219" t="s">
        <v>172</v>
      </c>
      <c r="F155" s="219" t="s">
        <v>22</v>
      </c>
      <c r="G155" s="219" t="s">
        <v>175</v>
      </c>
      <c r="H155" s="219" t="s">
        <v>197</v>
      </c>
      <c r="I155" s="219" t="s">
        <v>54</v>
      </c>
      <c r="J155" s="219"/>
      <c r="K155" s="220">
        <v>11</v>
      </c>
      <c r="L155" s="221" t="s">
        <v>29</v>
      </c>
      <c r="M155" s="259" t="s">
        <v>178</v>
      </c>
      <c r="N155" s="222">
        <v>7218669145</v>
      </c>
      <c r="O155" s="222"/>
      <c r="P155" s="222"/>
      <c r="Q155" s="222">
        <v>58501450</v>
      </c>
      <c r="R155" s="222"/>
      <c r="S155" s="222"/>
      <c r="T155" s="222">
        <v>7277170595</v>
      </c>
      <c r="U155" s="222">
        <v>7218669145</v>
      </c>
      <c r="V155" s="222">
        <v>58501450</v>
      </c>
      <c r="W155" s="224">
        <v>0.99196096212995266</v>
      </c>
      <c r="X155" s="222">
        <v>4343031169</v>
      </c>
      <c r="Y155" s="222">
        <v>2875637976</v>
      </c>
      <c r="Z155" s="224">
        <v>0.39836123781788868</v>
      </c>
      <c r="AA155" s="222">
        <v>4343031169</v>
      </c>
      <c r="AB155" s="222">
        <v>0</v>
      </c>
      <c r="AC155" s="224">
        <v>0.60163876218211132</v>
      </c>
    </row>
    <row r="156" spans="1:52" ht="32.25" customHeight="1">
      <c r="A156" s="32" t="s">
        <v>644</v>
      </c>
      <c r="B156" s="210" t="s">
        <v>502</v>
      </c>
      <c r="C156" s="211" t="s">
        <v>167</v>
      </c>
      <c r="D156" s="212" t="s">
        <v>190</v>
      </c>
      <c r="E156" s="212" t="s">
        <v>172</v>
      </c>
      <c r="F156" s="212" t="s">
        <v>22</v>
      </c>
      <c r="G156" s="212" t="s">
        <v>175</v>
      </c>
      <c r="H156" s="212" t="s">
        <v>199</v>
      </c>
      <c r="I156" s="212"/>
      <c r="J156" s="212"/>
      <c r="K156" s="213">
        <v>11</v>
      </c>
      <c r="L156" s="214" t="s">
        <v>29</v>
      </c>
      <c r="M156" s="210" t="s">
        <v>200</v>
      </c>
      <c r="N156" s="215">
        <v>4348087590</v>
      </c>
      <c r="O156" s="215">
        <v>0</v>
      </c>
      <c r="P156" s="215">
        <v>0</v>
      </c>
      <c r="Q156" s="215">
        <v>73595250</v>
      </c>
      <c r="R156" s="215">
        <v>0</v>
      </c>
      <c r="S156" s="215">
        <v>0</v>
      </c>
      <c r="T156" s="215">
        <v>4421682840</v>
      </c>
      <c r="U156" s="215">
        <v>4348087590</v>
      </c>
      <c r="V156" s="215">
        <v>73595250</v>
      </c>
      <c r="W156" s="216">
        <v>0.98335582793631571</v>
      </c>
      <c r="X156" s="215">
        <v>3265553200</v>
      </c>
      <c r="Y156" s="215">
        <v>1082534390</v>
      </c>
      <c r="Z156" s="216">
        <v>0.24896793534925085</v>
      </c>
      <c r="AA156" s="215">
        <v>3265553200</v>
      </c>
      <c r="AB156" s="215">
        <v>0</v>
      </c>
      <c r="AC156" s="216">
        <v>0.75103206465074912</v>
      </c>
    </row>
    <row r="157" spans="1:52" ht="24.95" customHeight="1">
      <c r="A157" s="32" t="s">
        <v>645</v>
      </c>
      <c r="B157" s="217" t="s">
        <v>503</v>
      </c>
      <c r="C157" s="218" t="s">
        <v>167</v>
      </c>
      <c r="D157" s="219" t="s">
        <v>190</v>
      </c>
      <c r="E157" s="219" t="s">
        <v>172</v>
      </c>
      <c r="F157" s="219" t="s">
        <v>22</v>
      </c>
      <c r="G157" s="219" t="s">
        <v>175</v>
      </c>
      <c r="H157" s="219" t="s">
        <v>199</v>
      </c>
      <c r="I157" s="219" t="s">
        <v>54</v>
      </c>
      <c r="J157" s="219"/>
      <c r="K157" s="220">
        <v>11</v>
      </c>
      <c r="L157" s="221" t="s">
        <v>29</v>
      </c>
      <c r="M157" s="259" t="s">
        <v>178</v>
      </c>
      <c r="N157" s="222">
        <v>4348087590</v>
      </c>
      <c r="O157" s="222"/>
      <c r="P157" s="222"/>
      <c r="Q157" s="222">
        <v>73595250</v>
      </c>
      <c r="R157" s="222"/>
      <c r="S157" s="222"/>
      <c r="T157" s="222">
        <v>4421682840</v>
      </c>
      <c r="U157" s="222">
        <v>4348087590</v>
      </c>
      <c r="V157" s="222">
        <v>73595250</v>
      </c>
      <c r="W157" s="224">
        <v>0.98335582793631571</v>
      </c>
      <c r="X157" s="222">
        <v>3265553200</v>
      </c>
      <c r="Y157" s="222">
        <v>1082534390</v>
      </c>
      <c r="Z157" s="224">
        <v>0.24896793534925085</v>
      </c>
      <c r="AA157" s="222">
        <v>3265553200</v>
      </c>
      <c r="AB157" s="222">
        <v>0</v>
      </c>
      <c r="AC157" s="224">
        <v>0.75103206465074912</v>
      </c>
    </row>
    <row r="158" spans="1:52" ht="32.25" customHeight="1">
      <c r="A158" s="32" t="s">
        <v>646</v>
      </c>
      <c r="B158" s="210" t="s">
        <v>504</v>
      </c>
      <c r="C158" s="211" t="s">
        <v>167</v>
      </c>
      <c r="D158" s="212" t="s">
        <v>190</v>
      </c>
      <c r="E158" s="212" t="s">
        <v>172</v>
      </c>
      <c r="F158" s="212" t="s">
        <v>22</v>
      </c>
      <c r="G158" s="212" t="s">
        <v>175</v>
      </c>
      <c r="H158" s="212" t="s">
        <v>201</v>
      </c>
      <c r="I158" s="212"/>
      <c r="J158" s="212"/>
      <c r="K158" s="213">
        <v>11</v>
      </c>
      <c r="L158" s="214" t="s">
        <v>29</v>
      </c>
      <c r="M158" s="210" t="s">
        <v>202</v>
      </c>
      <c r="N158" s="215">
        <v>2171371771</v>
      </c>
      <c r="O158" s="215">
        <v>0</v>
      </c>
      <c r="P158" s="215">
        <v>0</v>
      </c>
      <c r="Q158" s="215">
        <v>0</v>
      </c>
      <c r="R158" s="215">
        <v>0</v>
      </c>
      <c r="S158" s="215">
        <v>0</v>
      </c>
      <c r="T158" s="215">
        <v>2171371771</v>
      </c>
      <c r="U158" s="215">
        <v>2010979264</v>
      </c>
      <c r="V158" s="215">
        <v>160392507</v>
      </c>
      <c r="W158" s="216">
        <v>0.92613309745381234</v>
      </c>
      <c r="X158" s="215">
        <v>1139825396</v>
      </c>
      <c r="Y158" s="215">
        <v>871153868</v>
      </c>
      <c r="Z158" s="216">
        <v>0.43319883183042113</v>
      </c>
      <c r="AA158" s="215">
        <v>812897187</v>
      </c>
      <c r="AB158" s="215">
        <v>326928209</v>
      </c>
      <c r="AC158" s="216">
        <v>0.4042295221796976</v>
      </c>
    </row>
    <row r="159" spans="1:52" ht="24.95" customHeight="1">
      <c r="A159" s="32" t="s">
        <v>647</v>
      </c>
      <c r="B159" s="217" t="s">
        <v>505</v>
      </c>
      <c r="C159" s="218" t="s">
        <v>167</v>
      </c>
      <c r="D159" s="219" t="s">
        <v>190</v>
      </c>
      <c r="E159" s="219" t="s">
        <v>172</v>
      </c>
      <c r="F159" s="219" t="s">
        <v>22</v>
      </c>
      <c r="G159" s="219" t="s">
        <v>175</v>
      </c>
      <c r="H159" s="219" t="s">
        <v>201</v>
      </c>
      <c r="I159" s="219" t="s">
        <v>54</v>
      </c>
      <c r="J159" s="219"/>
      <c r="K159" s="220">
        <v>11</v>
      </c>
      <c r="L159" s="221" t="s">
        <v>29</v>
      </c>
      <c r="M159" s="259" t="s">
        <v>178</v>
      </c>
      <c r="N159" s="222">
        <v>2171371771</v>
      </c>
      <c r="O159" s="222"/>
      <c r="P159" s="222"/>
      <c r="Q159" s="222"/>
      <c r="R159" s="222"/>
      <c r="S159" s="222"/>
      <c r="T159" s="222">
        <v>2171371771</v>
      </c>
      <c r="U159" s="222">
        <v>2010979264</v>
      </c>
      <c r="V159" s="222">
        <v>160392507</v>
      </c>
      <c r="W159" s="224">
        <v>0.92613309745381234</v>
      </c>
      <c r="X159" s="222">
        <v>1139825396</v>
      </c>
      <c r="Y159" s="222">
        <v>871153868</v>
      </c>
      <c r="Z159" s="224">
        <v>0.43319883183042113</v>
      </c>
      <c r="AA159" s="222">
        <v>812897187</v>
      </c>
      <c r="AB159" s="222">
        <v>326928209</v>
      </c>
      <c r="AC159" s="224">
        <v>0.4042295221796976</v>
      </c>
    </row>
    <row r="160" spans="1:52" ht="32.25" customHeight="1">
      <c r="A160" s="32" t="s">
        <v>648</v>
      </c>
      <c r="B160" s="210" t="s">
        <v>506</v>
      </c>
      <c r="C160" s="211" t="s">
        <v>167</v>
      </c>
      <c r="D160" s="212" t="s">
        <v>190</v>
      </c>
      <c r="E160" s="212" t="s">
        <v>172</v>
      </c>
      <c r="F160" s="212" t="s">
        <v>22</v>
      </c>
      <c r="G160" s="212" t="s">
        <v>175</v>
      </c>
      <c r="H160" s="212" t="s">
        <v>203</v>
      </c>
      <c r="I160" s="212"/>
      <c r="J160" s="212"/>
      <c r="K160" s="213">
        <v>11</v>
      </c>
      <c r="L160" s="214" t="s">
        <v>29</v>
      </c>
      <c r="M160" s="210" t="s">
        <v>204</v>
      </c>
      <c r="N160" s="215">
        <v>12164900352</v>
      </c>
      <c r="O160" s="215">
        <v>0</v>
      </c>
      <c r="P160" s="215">
        <v>0</v>
      </c>
      <c r="Q160" s="215">
        <v>1222086351</v>
      </c>
      <c r="R160" s="215">
        <v>0</v>
      </c>
      <c r="S160" s="215">
        <v>0</v>
      </c>
      <c r="T160" s="215">
        <v>13386986703</v>
      </c>
      <c r="U160" s="215">
        <v>12164900352</v>
      </c>
      <c r="V160" s="215">
        <v>1222086351</v>
      </c>
      <c r="W160" s="216">
        <v>0.90871087137734041</v>
      </c>
      <c r="X160" s="215">
        <v>9628953764</v>
      </c>
      <c r="Y160" s="215">
        <v>2535946588</v>
      </c>
      <c r="Z160" s="216">
        <v>0.20846423025430469</v>
      </c>
      <c r="AA160" s="215">
        <v>9628953764</v>
      </c>
      <c r="AB160" s="215">
        <v>0</v>
      </c>
      <c r="AC160" s="216">
        <v>0.79153576974569528</v>
      </c>
    </row>
    <row r="161" spans="1:52" ht="24.95" customHeight="1">
      <c r="A161" s="32" t="s">
        <v>649</v>
      </c>
      <c r="B161" s="217" t="s">
        <v>507</v>
      </c>
      <c r="C161" s="218" t="s">
        <v>167</v>
      </c>
      <c r="D161" s="219" t="s">
        <v>190</v>
      </c>
      <c r="E161" s="219" t="s">
        <v>172</v>
      </c>
      <c r="F161" s="219" t="s">
        <v>22</v>
      </c>
      <c r="G161" s="219" t="s">
        <v>175</v>
      </c>
      <c r="H161" s="219" t="s">
        <v>203</v>
      </c>
      <c r="I161" s="219" t="s">
        <v>54</v>
      </c>
      <c r="J161" s="219"/>
      <c r="K161" s="220">
        <v>11</v>
      </c>
      <c r="L161" s="221" t="s">
        <v>29</v>
      </c>
      <c r="M161" s="259" t="s">
        <v>178</v>
      </c>
      <c r="N161" s="222">
        <v>12164900352</v>
      </c>
      <c r="O161" s="222"/>
      <c r="P161" s="222"/>
      <c r="Q161" s="222">
        <v>1222086351</v>
      </c>
      <c r="R161" s="222"/>
      <c r="S161" s="222"/>
      <c r="T161" s="222">
        <v>13386986703</v>
      </c>
      <c r="U161" s="222">
        <v>12164900352</v>
      </c>
      <c r="V161" s="222">
        <v>1222086351</v>
      </c>
      <c r="W161" s="224">
        <v>0.90871087137734041</v>
      </c>
      <c r="X161" s="222">
        <v>9628953764</v>
      </c>
      <c r="Y161" s="222">
        <v>2535946588</v>
      </c>
      <c r="Z161" s="224">
        <v>0.20846423025430469</v>
      </c>
      <c r="AA161" s="222">
        <v>9628953764</v>
      </c>
      <c r="AB161" s="222">
        <v>0</v>
      </c>
      <c r="AC161" s="224">
        <v>0.79153576974569528</v>
      </c>
    </row>
    <row r="162" spans="1:52" ht="44.25" customHeight="1">
      <c r="A162" s="32" t="s">
        <v>508</v>
      </c>
      <c r="B162" s="226" t="s">
        <v>299</v>
      </c>
      <c r="C162" s="227" t="s">
        <v>167</v>
      </c>
      <c r="D162" s="228" t="s">
        <v>190</v>
      </c>
      <c r="E162" s="228" t="s">
        <v>172</v>
      </c>
      <c r="F162" s="228" t="s">
        <v>205</v>
      </c>
      <c r="G162" s="228"/>
      <c r="H162" s="228"/>
      <c r="I162" s="228"/>
      <c r="J162" s="228"/>
      <c r="K162" s="229"/>
      <c r="L162" s="230"/>
      <c r="M162" s="231" t="s">
        <v>281</v>
      </c>
      <c r="N162" s="232">
        <v>1226882227478</v>
      </c>
      <c r="O162" s="232">
        <v>0</v>
      </c>
      <c r="P162" s="232">
        <v>0</v>
      </c>
      <c r="Q162" s="232">
        <v>58361706623.639999</v>
      </c>
      <c r="R162" s="232">
        <v>411326276121.40997</v>
      </c>
      <c r="S162" s="232">
        <v>420000000000</v>
      </c>
      <c r="T162" s="232">
        <v>453917657980.23004</v>
      </c>
      <c r="U162" s="232">
        <v>391068599489.65002</v>
      </c>
      <c r="V162" s="232">
        <v>62849058490.580009</v>
      </c>
      <c r="W162" s="233">
        <v>0.86154083811095683</v>
      </c>
      <c r="X162" s="232">
        <v>209095594029.78998</v>
      </c>
      <c r="Y162" s="232">
        <v>181973005459.86002</v>
      </c>
      <c r="Z162" s="233">
        <v>0.46532246694655954</v>
      </c>
      <c r="AA162" s="232">
        <v>208657161066.33002</v>
      </c>
      <c r="AB162" s="232">
        <v>438432963.45998192</v>
      </c>
      <c r="AC162" s="233">
        <v>0.53355641782191288</v>
      </c>
    </row>
    <row r="163" spans="1:52" ht="33.75" customHeight="1">
      <c r="A163" s="32" t="s">
        <v>509</v>
      </c>
      <c r="B163" s="210" t="s">
        <v>510</v>
      </c>
      <c r="C163" s="211" t="s">
        <v>167</v>
      </c>
      <c r="D163" s="212" t="s">
        <v>190</v>
      </c>
      <c r="E163" s="212" t="s">
        <v>172</v>
      </c>
      <c r="F163" s="212" t="s">
        <v>205</v>
      </c>
      <c r="G163" s="212" t="s">
        <v>175</v>
      </c>
      <c r="H163" s="212" t="s">
        <v>207</v>
      </c>
      <c r="I163" s="212"/>
      <c r="J163" s="212"/>
      <c r="K163" s="213"/>
      <c r="L163" s="214"/>
      <c r="M163" s="210" t="s">
        <v>208</v>
      </c>
      <c r="N163" s="215">
        <v>1205215344888.79</v>
      </c>
      <c r="O163" s="215">
        <v>0</v>
      </c>
      <c r="P163" s="215">
        <v>0</v>
      </c>
      <c r="Q163" s="215">
        <v>57661706623.639999</v>
      </c>
      <c r="R163" s="215">
        <v>401754489062.40997</v>
      </c>
      <c r="S163" s="215">
        <v>420000000000</v>
      </c>
      <c r="T163" s="215">
        <v>441122562450.02002</v>
      </c>
      <c r="U163" s="215">
        <v>379542063982.65002</v>
      </c>
      <c r="V163" s="215">
        <v>61580498467.37001</v>
      </c>
      <c r="W163" s="216">
        <v>0.86040047889332982</v>
      </c>
      <c r="X163" s="215">
        <v>199918560070.78998</v>
      </c>
      <c r="Y163" s="215">
        <v>179623503911.86002</v>
      </c>
      <c r="Z163" s="216">
        <v>0.47326375903375795</v>
      </c>
      <c r="AA163" s="215">
        <v>199578228982.33002</v>
      </c>
      <c r="AB163" s="215">
        <v>340331088.45998192</v>
      </c>
      <c r="AC163" s="216">
        <v>0.52583955224381485</v>
      </c>
    </row>
    <row r="164" spans="1:52" ht="24.95" customHeight="1">
      <c r="A164" s="32" t="s">
        <v>512</v>
      </c>
      <c r="B164" s="217" t="s">
        <v>511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207</v>
      </c>
      <c r="I164" s="267" t="s">
        <v>54</v>
      </c>
      <c r="J164" s="267"/>
      <c r="K164" s="268">
        <v>11</v>
      </c>
      <c r="L164" s="269" t="s">
        <v>29</v>
      </c>
      <c r="M164" s="259" t="s">
        <v>178</v>
      </c>
      <c r="N164" s="222">
        <v>358903207165.07001</v>
      </c>
      <c r="O164" s="222"/>
      <c r="P164" s="222"/>
      <c r="Q164" s="222">
        <v>48089919564.639999</v>
      </c>
      <c r="R164" s="223">
        <v>293382392628.66998</v>
      </c>
      <c r="S164" s="223">
        <v>86968373082.070007</v>
      </c>
      <c r="T164" s="222">
        <v>26642361018.970032</v>
      </c>
      <c r="U164" s="222">
        <v>20746424805.700001</v>
      </c>
      <c r="V164" s="222">
        <v>5895936213.270031</v>
      </c>
      <c r="W164" s="224">
        <v>0.77870068613393628</v>
      </c>
      <c r="X164" s="222">
        <v>3440604797.8000002</v>
      </c>
      <c r="Y164" s="222">
        <v>17305820007.900002</v>
      </c>
      <c r="Z164" s="224">
        <v>0.83415914645425049</v>
      </c>
      <c r="AA164" s="222">
        <v>3205316720.79</v>
      </c>
      <c r="AB164" s="222">
        <v>235288077.01000023</v>
      </c>
      <c r="AC164" s="224">
        <v>0.15449971505014934</v>
      </c>
    </row>
    <row r="165" spans="1:52" ht="24.95" customHeight="1">
      <c r="A165" s="32" t="s">
        <v>513</v>
      </c>
      <c r="B165" s="217" t="s">
        <v>514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207</v>
      </c>
      <c r="I165" s="267" t="s">
        <v>65</v>
      </c>
      <c r="J165" s="267"/>
      <c r="K165" s="271" t="s">
        <v>28</v>
      </c>
      <c r="L165" s="269" t="s">
        <v>29</v>
      </c>
      <c r="M165" s="259" t="s">
        <v>127</v>
      </c>
      <c r="N165" s="222">
        <v>50000000000</v>
      </c>
      <c r="O165" s="222"/>
      <c r="P165" s="222"/>
      <c r="Q165" s="223"/>
      <c r="R165" s="223"/>
      <c r="S165" s="223">
        <v>50000000000</v>
      </c>
      <c r="T165" s="222">
        <v>0</v>
      </c>
      <c r="U165" s="222">
        <v>0</v>
      </c>
      <c r="V165" s="222">
        <v>0</v>
      </c>
      <c r="W165" s="224">
        <v>0</v>
      </c>
      <c r="X165" s="222">
        <v>0</v>
      </c>
      <c r="Y165" s="222">
        <v>0</v>
      </c>
      <c r="Z165" s="224">
        <v>0</v>
      </c>
      <c r="AA165" s="222">
        <v>0</v>
      </c>
      <c r="AB165" s="222">
        <v>0</v>
      </c>
      <c r="AC165" s="224">
        <v>0</v>
      </c>
    </row>
    <row r="166" spans="1:52" ht="24.95" customHeight="1">
      <c r="A166" s="32" t="s">
        <v>515</v>
      </c>
      <c r="B166" s="217" t="s">
        <v>514</v>
      </c>
      <c r="C166" s="266" t="s">
        <v>167</v>
      </c>
      <c r="D166" s="267" t="s">
        <v>190</v>
      </c>
      <c r="E166" s="267" t="s">
        <v>172</v>
      </c>
      <c r="F166" s="267" t="s">
        <v>205</v>
      </c>
      <c r="G166" s="267" t="s">
        <v>175</v>
      </c>
      <c r="H166" s="267" t="s">
        <v>207</v>
      </c>
      <c r="I166" s="272" t="s">
        <v>65</v>
      </c>
      <c r="J166" s="273"/>
      <c r="K166" s="268">
        <v>11</v>
      </c>
      <c r="L166" s="269" t="s">
        <v>29</v>
      </c>
      <c r="M166" s="259" t="s">
        <v>127</v>
      </c>
      <c r="N166" s="222">
        <v>796312137723.71997</v>
      </c>
      <c r="O166" s="222"/>
      <c r="P166" s="222"/>
      <c r="Q166" s="223">
        <v>9571787059</v>
      </c>
      <c r="R166" s="223">
        <v>108372096433.73999</v>
      </c>
      <c r="S166" s="223">
        <v>283031626917.92999</v>
      </c>
      <c r="T166" s="222">
        <v>414480201431.04999</v>
      </c>
      <c r="U166" s="222">
        <v>358795639176.95001</v>
      </c>
      <c r="V166" s="222">
        <v>55684562254.099976</v>
      </c>
      <c r="W166" s="224">
        <v>0.86565205753654495</v>
      </c>
      <c r="X166" s="222">
        <v>196477955272.98999</v>
      </c>
      <c r="Y166" s="222">
        <v>162317683903.96002</v>
      </c>
      <c r="Z166" s="224">
        <v>0.452395921746163</v>
      </c>
      <c r="AA166" s="222">
        <v>196372912261.54001</v>
      </c>
      <c r="AB166" s="222">
        <v>105043011.44998169</v>
      </c>
      <c r="AC166" s="224">
        <v>0.54731131267928612</v>
      </c>
    </row>
    <row r="167" spans="1:52" ht="34.5" customHeight="1">
      <c r="A167" s="32" t="s">
        <v>650</v>
      </c>
      <c r="B167" s="210" t="s">
        <v>516</v>
      </c>
      <c r="C167" s="211" t="s">
        <v>167</v>
      </c>
      <c r="D167" s="212" t="s">
        <v>190</v>
      </c>
      <c r="E167" s="212" t="s">
        <v>172</v>
      </c>
      <c r="F167" s="212" t="s">
        <v>205</v>
      </c>
      <c r="G167" s="212" t="s">
        <v>175</v>
      </c>
      <c r="H167" s="212" t="s">
        <v>209</v>
      </c>
      <c r="I167" s="212"/>
      <c r="J167" s="212"/>
      <c r="K167" s="213">
        <v>11</v>
      </c>
      <c r="L167" s="214" t="s">
        <v>29</v>
      </c>
      <c r="M167" s="210" t="s">
        <v>210</v>
      </c>
      <c r="N167" s="215">
        <v>21666882589.209999</v>
      </c>
      <c r="O167" s="215">
        <v>0</v>
      </c>
      <c r="P167" s="215">
        <v>0</v>
      </c>
      <c r="Q167" s="215">
        <v>700000000</v>
      </c>
      <c r="R167" s="215">
        <v>9571787059</v>
      </c>
      <c r="S167" s="215">
        <v>0</v>
      </c>
      <c r="T167" s="215">
        <v>12795095530.209999</v>
      </c>
      <c r="U167" s="215">
        <v>11526535507</v>
      </c>
      <c r="V167" s="215">
        <v>1268560023.2099991</v>
      </c>
      <c r="W167" s="216">
        <v>0.90085575991090872</v>
      </c>
      <c r="X167" s="215">
        <v>9177033959</v>
      </c>
      <c r="Y167" s="215">
        <v>2349501548</v>
      </c>
      <c r="Z167" s="216">
        <v>0.20383414830702259</v>
      </c>
      <c r="AA167" s="215">
        <v>9078932084</v>
      </c>
      <c r="AB167" s="215">
        <v>98101875</v>
      </c>
      <c r="AC167" s="216">
        <v>0.78765489235567931</v>
      </c>
    </row>
    <row r="168" spans="1:52" ht="24.95" customHeight="1">
      <c r="A168" s="32" t="s">
        <v>518</v>
      </c>
      <c r="B168" s="217" t="s">
        <v>517</v>
      </c>
      <c r="C168" s="266" t="s">
        <v>167</v>
      </c>
      <c r="D168" s="267" t="s">
        <v>190</v>
      </c>
      <c r="E168" s="267" t="s">
        <v>172</v>
      </c>
      <c r="F168" s="267" t="s">
        <v>205</v>
      </c>
      <c r="G168" s="267" t="s">
        <v>175</v>
      </c>
      <c r="H168" s="267" t="s">
        <v>209</v>
      </c>
      <c r="I168" s="267" t="s">
        <v>54</v>
      </c>
      <c r="J168" s="267"/>
      <c r="K168" s="268">
        <v>11</v>
      </c>
      <c r="L168" s="269" t="s">
        <v>29</v>
      </c>
      <c r="M168" s="259" t="s">
        <v>178</v>
      </c>
      <c r="N168" s="222">
        <v>21666882589.209999</v>
      </c>
      <c r="O168" s="222"/>
      <c r="P168" s="222"/>
      <c r="Q168" s="222">
        <v>700000000</v>
      </c>
      <c r="R168" s="222">
        <v>9571787059</v>
      </c>
      <c r="S168" s="222"/>
      <c r="T168" s="222">
        <v>12795095530.209999</v>
      </c>
      <c r="U168" s="222">
        <v>11526535507</v>
      </c>
      <c r="V168" s="222">
        <v>1268560023.2099991</v>
      </c>
      <c r="W168" s="224">
        <v>0.90085575991090872</v>
      </c>
      <c r="X168" s="222">
        <v>9177033959</v>
      </c>
      <c r="Y168" s="222">
        <v>2349501548</v>
      </c>
      <c r="Z168" s="224">
        <v>0.20383414830702259</v>
      </c>
      <c r="AA168" s="222">
        <v>9078932084</v>
      </c>
      <c r="AB168" s="222">
        <v>98101875</v>
      </c>
      <c r="AC168" s="224">
        <v>0.78765489235567931</v>
      </c>
    </row>
    <row r="169" spans="1:52" ht="40.5" customHeight="1">
      <c r="A169" s="32" t="s">
        <v>519</v>
      </c>
      <c r="B169" s="226" t="s">
        <v>520</v>
      </c>
      <c r="C169" s="227" t="s">
        <v>167</v>
      </c>
      <c r="D169" s="228" t="s">
        <v>190</v>
      </c>
      <c r="E169" s="228" t="s">
        <v>172</v>
      </c>
      <c r="F169" s="228" t="s">
        <v>211</v>
      </c>
      <c r="G169" s="228"/>
      <c r="H169" s="228"/>
      <c r="I169" s="228"/>
      <c r="J169" s="228"/>
      <c r="K169" s="229"/>
      <c r="L169" s="230"/>
      <c r="M169" s="231" t="s">
        <v>282</v>
      </c>
      <c r="N169" s="232">
        <v>1000000000</v>
      </c>
      <c r="O169" s="232">
        <v>0</v>
      </c>
      <c r="P169" s="232">
        <v>0</v>
      </c>
      <c r="Q169" s="232">
        <v>0</v>
      </c>
      <c r="R169" s="232">
        <v>0</v>
      </c>
      <c r="S169" s="232">
        <v>0</v>
      </c>
      <c r="T169" s="232">
        <v>1000000000</v>
      </c>
      <c r="U169" s="232">
        <v>1000000000</v>
      </c>
      <c r="V169" s="232">
        <v>0</v>
      </c>
      <c r="W169" s="233">
        <v>1</v>
      </c>
      <c r="X169" s="232">
        <v>450000000</v>
      </c>
      <c r="Y169" s="232">
        <v>550000000</v>
      </c>
      <c r="Z169" s="233">
        <v>0.55000000000000004</v>
      </c>
      <c r="AA169" s="232">
        <v>450000000</v>
      </c>
      <c r="AB169" s="232">
        <v>0</v>
      </c>
      <c r="AC169" s="233">
        <v>0.45</v>
      </c>
    </row>
    <row r="170" spans="1:52" s="90" customFormat="1" ht="36" customHeight="1">
      <c r="A170" s="32" t="s">
        <v>521</v>
      </c>
      <c r="B170" s="210" t="s">
        <v>522</v>
      </c>
      <c r="C170" s="211" t="s">
        <v>167</v>
      </c>
      <c r="D170" s="212" t="s">
        <v>190</v>
      </c>
      <c r="E170" s="212" t="s">
        <v>172</v>
      </c>
      <c r="F170" s="212" t="s">
        <v>211</v>
      </c>
      <c r="G170" s="212" t="s">
        <v>175</v>
      </c>
      <c r="H170" s="212" t="s">
        <v>213</v>
      </c>
      <c r="I170" s="212"/>
      <c r="J170" s="212"/>
      <c r="K170" s="213" t="s">
        <v>144</v>
      </c>
      <c r="L170" s="214" t="s">
        <v>29</v>
      </c>
      <c r="M170" s="210" t="s">
        <v>214</v>
      </c>
      <c r="N170" s="215">
        <v>730000000</v>
      </c>
      <c r="O170" s="215">
        <v>0</v>
      </c>
      <c r="P170" s="215">
        <v>0</v>
      </c>
      <c r="Q170" s="215">
        <v>0</v>
      </c>
      <c r="R170" s="215">
        <v>0</v>
      </c>
      <c r="S170" s="215">
        <v>0</v>
      </c>
      <c r="T170" s="215">
        <v>730000000</v>
      </c>
      <c r="U170" s="215">
        <v>730000000</v>
      </c>
      <c r="V170" s="215">
        <v>0</v>
      </c>
      <c r="W170" s="216">
        <v>1</v>
      </c>
      <c r="X170" s="215">
        <v>450000000</v>
      </c>
      <c r="Y170" s="215">
        <v>280000000</v>
      </c>
      <c r="Z170" s="216">
        <v>0.38356164383561642</v>
      </c>
      <c r="AA170" s="215">
        <v>450000000</v>
      </c>
      <c r="AB170" s="215">
        <v>0</v>
      </c>
      <c r="AC170" s="216">
        <v>0.61643835616438358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s="90" customFormat="1" ht="24.95" customHeight="1">
      <c r="A171" s="32" t="s">
        <v>523</v>
      </c>
      <c r="B171" s="217" t="s">
        <v>524</v>
      </c>
      <c r="C171" s="218" t="s">
        <v>167</v>
      </c>
      <c r="D171" s="219" t="s">
        <v>190</v>
      </c>
      <c r="E171" s="219" t="s">
        <v>172</v>
      </c>
      <c r="F171" s="219" t="s">
        <v>211</v>
      </c>
      <c r="G171" s="219" t="s">
        <v>175</v>
      </c>
      <c r="H171" s="219" t="s">
        <v>213</v>
      </c>
      <c r="I171" s="219" t="s">
        <v>54</v>
      </c>
      <c r="J171" s="219"/>
      <c r="K171" s="220" t="s">
        <v>144</v>
      </c>
      <c r="L171" s="221" t="s">
        <v>29</v>
      </c>
      <c r="M171" s="259" t="s">
        <v>178</v>
      </c>
      <c r="N171" s="222">
        <v>730000000</v>
      </c>
      <c r="O171" s="222"/>
      <c r="P171" s="222"/>
      <c r="Q171" s="222"/>
      <c r="R171" s="222"/>
      <c r="S171" s="222"/>
      <c r="T171" s="222">
        <v>730000000</v>
      </c>
      <c r="U171" s="222">
        <v>730000000</v>
      </c>
      <c r="V171" s="222">
        <v>0</v>
      </c>
      <c r="W171" s="224">
        <v>1</v>
      </c>
      <c r="X171" s="222">
        <v>450000000</v>
      </c>
      <c r="Y171" s="222">
        <v>280000000</v>
      </c>
      <c r="Z171" s="224">
        <v>0.38356164383561642</v>
      </c>
      <c r="AA171" s="222">
        <v>450000000</v>
      </c>
      <c r="AB171" s="222">
        <v>0</v>
      </c>
      <c r="AC171" s="224">
        <v>0.61643835616438358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s="90" customFormat="1" ht="24.95" customHeight="1">
      <c r="A172" s="32" t="s">
        <v>525</v>
      </c>
      <c r="B172" s="210" t="s">
        <v>526</v>
      </c>
      <c r="C172" s="211" t="s">
        <v>167</v>
      </c>
      <c r="D172" s="212" t="s">
        <v>190</v>
      </c>
      <c r="E172" s="212" t="s">
        <v>172</v>
      </c>
      <c r="F172" s="212" t="s">
        <v>211</v>
      </c>
      <c r="G172" s="212" t="s">
        <v>175</v>
      </c>
      <c r="H172" s="212" t="s">
        <v>215</v>
      </c>
      <c r="I172" s="212"/>
      <c r="J172" s="212"/>
      <c r="K172" s="213" t="s">
        <v>144</v>
      </c>
      <c r="L172" s="214" t="s">
        <v>29</v>
      </c>
      <c r="M172" s="210" t="s">
        <v>216</v>
      </c>
      <c r="N172" s="215">
        <v>270000000</v>
      </c>
      <c r="O172" s="215">
        <v>0</v>
      </c>
      <c r="P172" s="215">
        <v>0</v>
      </c>
      <c r="Q172" s="215">
        <v>0</v>
      </c>
      <c r="R172" s="215">
        <v>0</v>
      </c>
      <c r="S172" s="215">
        <v>0</v>
      </c>
      <c r="T172" s="215">
        <v>270000000</v>
      </c>
      <c r="U172" s="215">
        <v>270000000</v>
      </c>
      <c r="V172" s="215">
        <v>0</v>
      </c>
      <c r="W172" s="216">
        <v>1</v>
      </c>
      <c r="X172" s="215">
        <v>0</v>
      </c>
      <c r="Y172" s="215">
        <v>270000000</v>
      </c>
      <c r="Z172" s="216">
        <v>1</v>
      </c>
      <c r="AA172" s="215">
        <v>0</v>
      </c>
      <c r="AB172" s="215">
        <v>0</v>
      </c>
      <c r="AC172" s="216">
        <v>0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s="90" customFormat="1" ht="24.95" customHeight="1">
      <c r="A173" s="32" t="s">
        <v>527</v>
      </c>
      <c r="B173" s="217" t="s">
        <v>528</v>
      </c>
      <c r="C173" s="218" t="s">
        <v>167</v>
      </c>
      <c r="D173" s="219" t="s">
        <v>190</v>
      </c>
      <c r="E173" s="219" t="s">
        <v>172</v>
      </c>
      <c r="F173" s="219" t="s">
        <v>211</v>
      </c>
      <c r="G173" s="219" t="s">
        <v>175</v>
      </c>
      <c r="H173" s="219" t="s">
        <v>215</v>
      </c>
      <c r="I173" s="219" t="s">
        <v>54</v>
      </c>
      <c r="J173" s="219"/>
      <c r="K173" s="220" t="s">
        <v>144</v>
      </c>
      <c r="L173" s="221" t="s">
        <v>29</v>
      </c>
      <c r="M173" s="259" t="s">
        <v>178</v>
      </c>
      <c r="N173" s="222">
        <v>270000000</v>
      </c>
      <c r="O173" s="222"/>
      <c r="P173" s="222"/>
      <c r="Q173" s="222"/>
      <c r="R173" s="222"/>
      <c r="S173" s="222"/>
      <c r="T173" s="222">
        <v>270000000</v>
      </c>
      <c r="U173" s="222">
        <v>270000000</v>
      </c>
      <c r="V173" s="222">
        <v>0</v>
      </c>
      <c r="W173" s="224">
        <v>1</v>
      </c>
      <c r="X173" s="222">
        <v>0</v>
      </c>
      <c r="Y173" s="222">
        <v>270000000</v>
      </c>
      <c r="Z173" s="224">
        <v>1</v>
      </c>
      <c r="AA173" s="222">
        <v>0</v>
      </c>
      <c r="AB173" s="222">
        <v>0</v>
      </c>
      <c r="AC173" s="224">
        <v>0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s="90" customFormat="1" ht="57" customHeight="1">
      <c r="A174" s="32" t="s">
        <v>529</v>
      </c>
      <c r="B174" s="226" t="s">
        <v>530</v>
      </c>
      <c r="C174" s="227" t="s">
        <v>167</v>
      </c>
      <c r="D174" s="228" t="s">
        <v>190</v>
      </c>
      <c r="E174" s="228" t="s">
        <v>172</v>
      </c>
      <c r="F174" s="228" t="s">
        <v>217</v>
      </c>
      <c r="G174" s="228"/>
      <c r="H174" s="228"/>
      <c r="I174" s="228"/>
      <c r="J174" s="228"/>
      <c r="K174" s="229"/>
      <c r="L174" s="230"/>
      <c r="M174" s="231" t="s">
        <v>283</v>
      </c>
      <c r="N174" s="232">
        <v>83583395677</v>
      </c>
      <c r="O174" s="232">
        <v>0</v>
      </c>
      <c r="P174" s="232">
        <v>0</v>
      </c>
      <c r="Q174" s="232">
        <v>2858762862</v>
      </c>
      <c r="R174" s="232">
        <v>332606115</v>
      </c>
      <c r="S174" s="232">
        <v>40000000000</v>
      </c>
      <c r="T174" s="232">
        <v>46109552424</v>
      </c>
      <c r="U174" s="232">
        <v>45929996301</v>
      </c>
      <c r="V174" s="232">
        <v>179556123</v>
      </c>
      <c r="W174" s="233">
        <v>0.99610588015800083</v>
      </c>
      <c r="X174" s="232">
        <v>36957093101</v>
      </c>
      <c r="Y174" s="232">
        <v>8972903200</v>
      </c>
      <c r="Z174" s="233">
        <v>0.19536041634309123</v>
      </c>
      <c r="AA174" s="232">
        <v>36823235936</v>
      </c>
      <c r="AB174" s="232">
        <v>133857165</v>
      </c>
      <c r="AC174" s="233">
        <v>0.80172521013676357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24.95" customHeight="1">
      <c r="A175" s="32" t="s">
        <v>651</v>
      </c>
      <c r="B175" s="210" t="s">
        <v>531</v>
      </c>
      <c r="C175" s="211" t="s">
        <v>167</v>
      </c>
      <c r="D175" s="212" t="s">
        <v>190</v>
      </c>
      <c r="E175" s="212" t="s">
        <v>172</v>
      </c>
      <c r="F175" s="212" t="s">
        <v>217</v>
      </c>
      <c r="G175" s="212" t="s">
        <v>175</v>
      </c>
      <c r="H175" s="212" t="s">
        <v>219</v>
      </c>
      <c r="I175" s="212"/>
      <c r="J175" s="212"/>
      <c r="K175" s="213">
        <v>11</v>
      </c>
      <c r="L175" s="214" t="s">
        <v>29</v>
      </c>
      <c r="M175" s="210" t="s">
        <v>220</v>
      </c>
      <c r="N175" s="215">
        <v>24060301659</v>
      </c>
      <c r="O175" s="215">
        <v>0</v>
      </c>
      <c r="P175" s="215">
        <v>0</v>
      </c>
      <c r="Q175" s="215">
        <v>508653415</v>
      </c>
      <c r="R175" s="215">
        <v>0</v>
      </c>
      <c r="S175" s="215">
        <v>5805513391</v>
      </c>
      <c r="T175" s="215">
        <v>18763441683</v>
      </c>
      <c r="U175" s="215">
        <v>18583885560</v>
      </c>
      <c r="V175" s="215">
        <v>179556123</v>
      </c>
      <c r="W175" s="216">
        <v>0.99043053369240464</v>
      </c>
      <c r="X175" s="215">
        <v>11391572060</v>
      </c>
      <c r="Y175" s="215">
        <v>7192313500</v>
      </c>
      <c r="Z175" s="216">
        <v>0.38701882212839023</v>
      </c>
      <c r="AA175" s="215">
        <v>11257714895</v>
      </c>
      <c r="AB175" s="215">
        <v>133857165</v>
      </c>
      <c r="AC175" s="216">
        <v>0.60577831577004182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24.95" customHeight="1">
      <c r="A176" s="32" t="s">
        <v>652</v>
      </c>
      <c r="B176" s="217" t="s">
        <v>532</v>
      </c>
      <c r="C176" s="266" t="s">
        <v>167</v>
      </c>
      <c r="D176" s="267" t="s">
        <v>190</v>
      </c>
      <c r="E176" s="267" t="s">
        <v>172</v>
      </c>
      <c r="F176" s="267" t="s">
        <v>217</v>
      </c>
      <c r="G176" s="267" t="s">
        <v>175</v>
      </c>
      <c r="H176" s="267" t="s">
        <v>219</v>
      </c>
      <c r="I176" s="267" t="s">
        <v>54</v>
      </c>
      <c r="J176" s="267"/>
      <c r="K176" s="268">
        <v>11</v>
      </c>
      <c r="L176" s="269" t="s">
        <v>29</v>
      </c>
      <c r="M176" s="259" t="s">
        <v>178</v>
      </c>
      <c r="N176" s="222">
        <v>24060301659</v>
      </c>
      <c r="O176" s="222"/>
      <c r="P176" s="222"/>
      <c r="Q176" s="222">
        <v>508653415</v>
      </c>
      <c r="R176" s="222"/>
      <c r="S176" s="222">
        <v>5805513391</v>
      </c>
      <c r="T176" s="222">
        <v>18763441683</v>
      </c>
      <c r="U176" s="222">
        <v>18583885560</v>
      </c>
      <c r="V176" s="222">
        <v>179556123</v>
      </c>
      <c r="W176" s="224">
        <v>0.99043053369240464</v>
      </c>
      <c r="X176" s="222">
        <v>11391572060</v>
      </c>
      <c r="Y176" s="222">
        <v>7192313500</v>
      </c>
      <c r="Z176" s="224">
        <v>0.38701882212839023</v>
      </c>
      <c r="AA176" s="222">
        <v>11257714895</v>
      </c>
      <c r="AB176" s="222">
        <v>133857165</v>
      </c>
      <c r="AC176" s="224">
        <v>0.60577831577004182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38.25" customHeight="1">
      <c r="A177" s="32" t="s">
        <v>653</v>
      </c>
      <c r="B177" s="210" t="s">
        <v>533</v>
      </c>
      <c r="C177" s="211" t="s">
        <v>167</v>
      </c>
      <c r="D177" s="212" t="s">
        <v>190</v>
      </c>
      <c r="E177" s="212" t="s">
        <v>172</v>
      </c>
      <c r="F177" s="212" t="s">
        <v>217</v>
      </c>
      <c r="G177" s="212" t="s">
        <v>175</v>
      </c>
      <c r="H177" s="212" t="s">
        <v>221</v>
      </c>
      <c r="I177" s="212"/>
      <c r="J177" s="212"/>
      <c r="K177" s="213">
        <v>11</v>
      </c>
      <c r="L177" s="214" t="s">
        <v>29</v>
      </c>
      <c r="M177" s="210" t="s">
        <v>222</v>
      </c>
      <c r="N177" s="215">
        <v>45582352481</v>
      </c>
      <c r="O177" s="215">
        <v>0</v>
      </c>
      <c r="P177" s="215">
        <v>0</v>
      </c>
      <c r="Q177" s="215">
        <v>2350109447</v>
      </c>
      <c r="R177" s="215">
        <v>0</v>
      </c>
      <c r="S177" s="215">
        <v>24481010129</v>
      </c>
      <c r="T177" s="215">
        <v>23451451799</v>
      </c>
      <c r="U177" s="215">
        <v>23451451799</v>
      </c>
      <c r="V177" s="215">
        <v>0</v>
      </c>
      <c r="W177" s="216">
        <v>1</v>
      </c>
      <c r="X177" s="215">
        <v>21670862099</v>
      </c>
      <c r="Y177" s="215">
        <v>1780589700</v>
      </c>
      <c r="Z177" s="216">
        <v>7.5926629841992416E-2</v>
      </c>
      <c r="AA177" s="215">
        <v>21670862099</v>
      </c>
      <c r="AB177" s="215">
        <v>0</v>
      </c>
      <c r="AC177" s="216">
        <v>0.92407337015800761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24.95" customHeight="1">
      <c r="A178" s="32" t="s">
        <v>654</v>
      </c>
      <c r="B178" s="217" t="s">
        <v>535</v>
      </c>
      <c r="C178" s="266" t="s">
        <v>167</v>
      </c>
      <c r="D178" s="267" t="s">
        <v>190</v>
      </c>
      <c r="E178" s="267" t="s">
        <v>172</v>
      </c>
      <c r="F178" s="267" t="s">
        <v>217</v>
      </c>
      <c r="G178" s="267" t="s">
        <v>175</v>
      </c>
      <c r="H178" s="267" t="s">
        <v>221</v>
      </c>
      <c r="I178" s="274" t="s">
        <v>65</v>
      </c>
      <c r="J178" s="267"/>
      <c r="K178" s="268">
        <v>11</v>
      </c>
      <c r="L178" s="269" t="s">
        <v>29</v>
      </c>
      <c r="M178" s="259" t="s">
        <v>127</v>
      </c>
      <c r="N178" s="222">
        <v>45582352481</v>
      </c>
      <c r="O178" s="222"/>
      <c r="P178" s="222"/>
      <c r="Q178" s="222">
        <v>2350109447</v>
      </c>
      <c r="R178" s="222"/>
      <c r="S178" s="222">
        <v>24481010129</v>
      </c>
      <c r="T178" s="222">
        <v>23451451799</v>
      </c>
      <c r="U178" s="222">
        <v>23451451799</v>
      </c>
      <c r="V178" s="222">
        <v>0</v>
      </c>
      <c r="W178" s="224">
        <v>1</v>
      </c>
      <c r="X178" s="222">
        <v>21670862099</v>
      </c>
      <c r="Y178" s="222">
        <v>1780589700</v>
      </c>
      <c r="Z178" s="224">
        <v>7.5926629841992416E-2</v>
      </c>
      <c r="AA178" s="222">
        <v>21670862099</v>
      </c>
      <c r="AB178" s="222">
        <v>0</v>
      </c>
      <c r="AC178" s="224">
        <v>0.92407337015800761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36" customHeight="1">
      <c r="A179" s="32" t="s">
        <v>655</v>
      </c>
      <c r="B179" s="210" t="s">
        <v>536</v>
      </c>
      <c r="C179" s="211" t="s">
        <v>167</v>
      </c>
      <c r="D179" s="212" t="s">
        <v>190</v>
      </c>
      <c r="E179" s="212" t="s">
        <v>172</v>
      </c>
      <c r="F179" s="212" t="s">
        <v>217</v>
      </c>
      <c r="G179" s="212" t="s">
        <v>175</v>
      </c>
      <c r="H179" s="212" t="s">
        <v>223</v>
      </c>
      <c r="I179" s="212"/>
      <c r="J179" s="212"/>
      <c r="K179" s="213">
        <v>11</v>
      </c>
      <c r="L179" s="214" t="s">
        <v>29</v>
      </c>
      <c r="M179" s="210" t="s">
        <v>224</v>
      </c>
      <c r="N179" s="215">
        <v>12632794125</v>
      </c>
      <c r="O179" s="215">
        <v>0</v>
      </c>
      <c r="P179" s="215">
        <v>0</v>
      </c>
      <c r="Q179" s="215">
        <v>0</v>
      </c>
      <c r="R179" s="215">
        <v>0</v>
      </c>
      <c r="S179" s="215">
        <v>9713476480</v>
      </c>
      <c r="T179" s="215">
        <v>2919317645</v>
      </c>
      <c r="U179" s="215">
        <v>2919317645</v>
      </c>
      <c r="V179" s="215">
        <v>0</v>
      </c>
      <c r="W179" s="216">
        <v>1</v>
      </c>
      <c r="X179" s="215">
        <v>2919317645</v>
      </c>
      <c r="Y179" s="215">
        <v>0</v>
      </c>
      <c r="Z179" s="216">
        <v>0</v>
      </c>
      <c r="AA179" s="215">
        <v>2919317645</v>
      </c>
      <c r="AB179" s="215">
        <v>0</v>
      </c>
      <c r="AC179" s="216">
        <v>1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24.95" customHeight="1">
      <c r="A180" s="32" t="s">
        <v>538</v>
      </c>
      <c r="B180" s="217" t="s">
        <v>537</v>
      </c>
      <c r="C180" s="266" t="s">
        <v>167</v>
      </c>
      <c r="D180" s="267" t="s">
        <v>190</v>
      </c>
      <c r="E180" s="267" t="s">
        <v>172</v>
      </c>
      <c r="F180" s="267" t="s">
        <v>217</v>
      </c>
      <c r="G180" s="267" t="s">
        <v>175</v>
      </c>
      <c r="H180" s="267" t="s">
        <v>223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>
        <v>12632794125</v>
      </c>
      <c r="O180" s="222"/>
      <c r="P180" s="222"/>
      <c r="Q180" s="223"/>
      <c r="R180" s="222"/>
      <c r="S180" s="222">
        <v>9713476480</v>
      </c>
      <c r="T180" s="222">
        <v>2919317645</v>
      </c>
      <c r="U180" s="222">
        <v>2919317645</v>
      </c>
      <c r="V180" s="222">
        <v>0</v>
      </c>
      <c r="W180" s="224">
        <v>1</v>
      </c>
      <c r="X180" s="222">
        <v>2919317645</v>
      </c>
      <c r="Y180" s="222">
        <v>0</v>
      </c>
      <c r="Z180" s="224">
        <v>0</v>
      </c>
      <c r="AA180" s="222">
        <v>2919317645</v>
      </c>
      <c r="AB180" s="222">
        <v>0</v>
      </c>
      <c r="AC180" s="224">
        <v>1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36.75" customHeight="1">
      <c r="A181" s="32" t="s">
        <v>656</v>
      </c>
      <c r="B181" s="210" t="s">
        <v>540</v>
      </c>
      <c r="C181" s="211" t="s">
        <v>167</v>
      </c>
      <c r="D181" s="212" t="s">
        <v>190</v>
      </c>
      <c r="E181" s="212" t="s">
        <v>172</v>
      </c>
      <c r="F181" s="212" t="s">
        <v>217</v>
      </c>
      <c r="G181" s="212" t="s">
        <v>175</v>
      </c>
      <c r="H181" s="212" t="s">
        <v>225</v>
      </c>
      <c r="I181" s="212"/>
      <c r="J181" s="212"/>
      <c r="K181" s="213">
        <v>11</v>
      </c>
      <c r="L181" s="214" t="s">
        <v>29</v>
      </c>
      <c r="M181" s="210" t="s">
        <v>226</v>
      </c>
      <c r="N181" s="215">
        <v>1307947412</v>
      </c>
      <c r="O181" s="215">
        <v>0</v>
      </c>
      <c r="P181" s="215">
        <v>0</v>
      </c>
      <c r="Q181" s="215">
        <v>0</v>
      </c>
      <c r="R181" s="215">
        <v>332606115</v>
      </c>
      <c r="S181" s="215">
        <v>0</v>
      </c>
      <c r="T181" s="215">
        <v>975341297</v>
      </c>
      <c r="U181" s="215">
        <v>975341297</v>
      </c>
      <c r="V181" s="215">
        <v>0</v>
      </c>
      <c r="W181" s="216">
        <v>1</v>
      </c>
      <c r="X181" s="215">
        <v>975341297</v>
      </c>
      <c r="Y181" s="215">
        <v>0</v>
      </c>
      <c r="Z181" s="216">
        <v>0</v>
      </c>
      <c r="AA181" s="215">
        <v>975341297</v>
      </c>
      <c r="AB181" s="215">
        <v>0</v>
      </c>
      <c r="AC181" s="216">
        <v>1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24.95" customHeight="1">
      <c r="A182" s="32" t="s">
        <v>542</v>
      </c>
      <c r="B182" s="217" t="s">
        <v>541</v>
      </c>
      <c r="C182" s="266" t="s">
        <v>167</v>
      </c>
      <c r="D182" s="267" t="s">
        <v>190</v>
      </c>
      <c r="E182" s="267" t="s">
        <v>172</v>
      </c>
      <c r="F182" s="267" t="s">
        <v>217</v>
      </c>
      <c r="G182" s="267" t="s">
        <v>175</v>
      </c>
      <c r="H182" s="267" t="s">
        <v>225</v>
      </c>
      <c r="I182" s="267" t="s">
        <v>54</v>
      </c>
      <c r="J182" s="267"/>
      <c r="K182" s="268">
        <v>11</v>
      </c>
      <c r="L182" s="269" t="s">
        <v>29</v>
      </c>
      <c r="M182" s="259" t="s">
        <v>178</v>
      </c>
      <c r="N182" s="222">
        <v>1307947412</v>
      </c>
      <c r="O182" s="222"/>
      <c r="P182" s="222"/>
      <c r="Q182" s="222"/>
      <c r="R182" s="222">
        <v>332606115</v>
      </c>
      <c r="S182" s="222"/>
      <c r="T182" s="222">
        <v>975341297</v>
      </c>
      <c r="U182" s="222">
        <v>975341297</v>
      </c>
      <c r="V182" s="222">
        <v>0</v>
      </c>
      <c r="W182" s="224">
        <v>1</v>
      </c>
      <c r="X182" s="222">
        <v>975341297</v>
      </c>
      <c r="Y182" s="222">
        <v>0</v>
      </c>
      <c r="Z182" s="224">
        <v>0</v>
      </c>
      <c r="AA182" s="222">
        <v>975341297</v>
      </c>
      <c r="AB182" s="222">
        <v>0</v>
      </c>
      <c r="AC182" s="224">
        <v>1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42" customHeight="1">
      <c r="A183" s="32" t="s">
        <v>657</v>
      </c>
      <c r="B183" s="226" t="s">
        <v>658</v>
      </c>
      <c r="C183" s="227" t="s">
        <v>167</v>
      </c>
      <c r="D183" s="228" t="s">
        <v>190</v>
      </c>
      <c r="E183" s="228" t="s">
        <v>172</v>
      </c>
      <c r="F183" s="228">
        <v>18</v>
      </c>
      <c r="G183" s="228"/>
      <c r="H183" s="228"/>
      <c r="I183" s="228"/>
      <c r="J183" s="228"/>
      <c r="K183" s="229"/>
      <c r="L183" s="230"/>
      <c r="M183" s="231" t="s">
        <v>284</v>
      </c>
      <c r="N183" s="232">
        <v>70125561842</v>
      </c>
      <c r="O183" s="232">
        <v>0</v>
      </c>
      <c r="P183" s="232">
        <v>0</v>
      </c>
      <c r="Q183" s="232">
        <v>0</v>
      </c>
      <c r="R183" s="232">
        <v>2202858792</v>
      </c>
      <c r="S183" s="232">
        <v>60000000000</v>
      </c>
      <c r="T183" s="232">
        <v>7922703050</v>
      </c>
      <c r="U183" s="232">
        <v>6629534719.8000002</v>
      </c>
      <c r="V183" s="232">
        <v>1293168330.1999998</v>
      </c>
      <c r="W183" s="233">
        <v>0.83677687753297791</v>
      </c>
      <c r="X183" s="232">
        <v>3946107588.4499998</v>
      </c>
      <c r="Y183" s="232">
        <v>2683427131.3500004</v>
      </c>
      <c r="Z183" s="233">
        <v>0.40476854632582027</v>
      </c>
      <c r="AA183" s="232">
        <v>3806893469.4499998</v>
      </c>
      <c r="AB183" s="232">
        <v>139214119</v>
      </c>
      <c r="AC183" s="233">
        <v>0.57423237532495286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36" customHeight="1">
      <c r="A184" s="32" t="s">
        <v>659</v>
      </c>
      <c r="B184" s="210" t="s">
        <v>660</v>
      </c>
      <c r="C184" s="211" t="s">
        <v>167</v>
      </c>
      <c r="D184" s="212" t="s">
        <v>190</v>
      </c>
      <c r="E184" s="212" t="s">
        <v>172</v>
      </c>
      <c r="F184" s="212">
        <v>18</v>
      </c>
      <c r="G184" s="212" t="s">
        <v>175</v>
      </c>
      <c r="H184" s="212">
        <v>4103050</v>
      </c>
      <c r="I184" s="212"/>
      <c r="J184" s="212"/>
      <c r="K184" s="213">
        <v>11</v>
      </c>
      <c r="L184" s="214" t="s">
        <v>29</v>
      </c>
      <c r="M184" s="210" t="s">
        <v>269</v>
      </c>
      <c r="N184" s="215">
        <v>70125561842</v>
      </c>
      <c r="O184" s="215">
        <v>0</v>
      </c>
      <c r="P184" s="215">
        <v>0</v>
      </c>
      <c r="Q184" s="215">
        <v>0</v>
      </c>
      <c r="R184" s="215">
        <v>2202858792</v>
      </c>
      <c r="S184" s="215">
        <v>60000000000</v>
      </c>
      <c r="T184" s="215">
        <v>7922703050</v>
      </c>
      <c r="U184" s="215">
        <v>6629534719.8000002</v>
      </c>
      <c r="V184" s="215">
        <v>1293168330.1999998</v>
      </c>
      <c r="W184" s="216">
        <v>0.83677687753297791</v>
      </c>
      <c r="X184" s="215">
        <v>3946107588.4499998</v>
      </c>
      <c r="Y184" s="215">
        <v>2683427131.3500004</v>
      </c>
      <c r="Z184" s="216">
        <v>0.40476854632582027</v>
      </c>
      <c r="AA184" s="215">
        <v>3806893469.4499998</v>
      </c>
      <c r="AB184" s="215">
        <v>139214119</v>
      </c>
      <c r="AC184" s="216">
        <v>0.57423237532495286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24.95" customHeight="1">
      <c r="A185" s="32" t="s">
        <v>661</v>
      </c>
      <c r="B185" s="217" t="s">
        <v>662</v>
      </c>
      <c r="C185" s="266" t="s">
        <v>167</v>
      </c>
      <c r="D185" s="267" t="s">
        <v>190</v>
      </c>
      <c r="E185" s="267" t="s">
        <v>172</v>
      </c>
      <c r="F185" s="267">
        <v>18</v>
      </c>
      <c r="G185" s="267" t="s">
        <v>175</v>
      </c>
      <c r="H185" s="267">
        <v>4103050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>
        <v>70125561842</v>
      </c>
      <c r="O185" s="222"/>
      <c r="P185" s="222"/>
      <c r="Q185" s="222"/>
      <c r="R185" s="222">
        <v>2202858792</v>
      </c>
      <c r="S185" s="222">
        <v>60000000000</v>
      </c>
      <c r="T185" s="222">
        <v>7922703050</v>
      </c>
      <c r="U185" s="222">
        <v>6629534719.8000002</v>
      </c>
      <c r="V185" s="222">
        <v>1293168330.1999998</v>
      </c>
      <c r="W185" s="224">
        <v>0.83677687753297791</v>
      </c>
      <c r="X185" s="222">
        <v>3946107588.4499998</v>
      </c>
      <c r="Y185" s="222">
        <v>2683427131.3500004</v>
      </c>
      <c r="Z185" s="224">
        <v>0.40476854632582027</v>
      </c>
      <c r="AA185" s="222">
        <v>3806893469.4499998</v>
      </c>
      <c r="AB185" s="222">
        <v>139214119</v>
      </c>
      <c r="AC185" s="224">
        <v>0.57423237532495286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6" customHeight="1">
      <c r="A186" s="32" t="s">
        <v>663</v>
      </c>
      <c r="B186" s="226" t="s">
        <v>664</v>
      </c>
      <c r="C186" s="227" t="s">
        <v>167</v>
      </c>
      <c r="D186" s="228" t="s">
        <v>190</v>
      </c>
      <c r="E186" s="228" t="s">
        <v>172</v>
      </c>
      <c r="F186" s="228">
        <v>19</v>
      </c>
      <c r="G186" s="228"/>
      <c r="H186" s="228"/>
      <c r="I186" s="228"/>
      <c r="J186" s="228"/>
      <c r="K186" s="229"/>
      <c r="L186" s="230"/>
      <c r="M186" s="231" t="s">
        <v>285</v>
      </c>
      <c r="N186" s="232">
        <v>11281479935</v>
      </c>
      <c r="O186" s="232">
        <v>0</v>
      </c>
      <c r="P186" s="232">
        <v>0</v>
      </c>
      <c r="Q186" s="232">
        <v>114769224</v>
      </c>
      <c r="R186" s="232">
        <v>1793250230</v>
      </c>
      <c r="S186" s="232">
        <v>0</v>
      </c>
      <c r="T186" s="232">
        <v>9602998929</v>
      </c>
      <c r="U186" s="232">
        <v>9393154940.0499992</v>
      </c>
      <c r="V186" s="232">
        <v>209843988.95000076</v>
      </c>
      <c r="W186" s="233">
        <v>0.9781480774389868</v>
      </c>
      <c r="X186" s="232">
        <v>3340950309.6500001</v>
      </c>
      <c r="Y186" s="232">
        <v>6052204630.3999996</v>
      </c>
      <c r="Z186" s="233">
        <v>0.64432074942093776</v>
      </c>
      <c r="AA186" s="232">
        <v>3253039666.6500001</v>
      </c>
      <c r="AB186" s="232">
        <v>87910643</v>
      </c>
      <c r="AC186" s="233">
        <v>0.34632023930318395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39.75" customHeight="1">
      <c r="A187" s="32" t="s">
        <v>665</v>
      </c>
      <c r="B187" s="210" t="s">
        <v>666</v>
      </c>
      <c r="C187" s="211" t="s">
        <v>167</v>
      </c>
      <c r="D187" s="212" t="s">
        <v>190</v>
      </c>
      <c r="E187" s="212" t="s">
        <v>172</v>
      </c>
      <c r="F187" s="212">
        <v>19</v>
      </c>
      <c r="G187" s="212" t="s">
        <v>175</v>
      </c>
      <c r="H187" s="212">
        <v>4103049</v>
      </c>
      <c r="I187" s="212"/>
      <c r="J187" s="212"/>
      <c r="K187" s="213">
        <v>11</v>
      </c>
      <c r="L187" s="214" t="s">
        <v>29</v>
      </c>
      <c r="M187" s="210" t="s">
        <v>228</v>
      </c>
      <c r="N187" s="215">
        <v>218772000</v>
      </c>
      <c r="O187" s="215">
        <v>0</v>
      </c>
      <c r="P187" s="215">
        <v>0</v>
      </c>
      <c r="Q187" s="215">
        <v>114769224</v>
      </c>
      <c r="R187" s="215">
        <v>0</v>
      </c>
      <c r="S187" s="215">
        <v>0</v>
      </c>
      <c r="T187" s="215">
        <v>333541224</v>
      </c>
      <c r="U187" s="215">
        <v>224159834</v>
      </c>
      <c r="V187" s="215">
        <v>109381390</v>
      </c>
      <c r="W187" s="216">
        <v>0.67206035677317055</v>
      </c>
      <c r="X187" s="215">
        <v>182553306</v>
      </c>
      <c r="Y187" s="215">
        <v>41606528</v>
      </c>
      <c r="Z187" s="216">
        <v>0.18561098684610911</v>
      </c>
      <c r="AA187" s="215">
        <v>178401306</v>
      </c>
      <c r="AB187" s="215">
        <v>4152000</v>
      </c>
      <c r="AC187" s="216">
        <v>0.79586651549715193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24.95" customHeight="1">
      <c r="A188" s="32" t="s">
        <v>667</v>
      </c>
      <c r="B188" s="217" t="s">
        <v>668</v>
      </c>
      <c r="C188" s="266" t="s">
        <v>167</v>
      </c>
      <c r="D188" s="267" t="s">
        <v>190</v>
      </c>
      <c r="E188" s="267" t="s">
        <v>172</v>
      </c>
      <c r="F188" s="267">
        <v>19</v>
      </c>
      <c r="G188" s="267" t="s">
        <v>175</v>
      </c>
      <c r="H188" s="267">
        <v>4103049</v>
      </c>
      <c r="I188" s="267" t="s">
        <v>54</v>
      </c>
      <c r="J188" s="267"/>
      <c r="K188" s="268">
        <v>11</v>
      </c>
      <c r="L188" s="269" t="s">
        <v>29</v>
      </c>
      <c r="M188" s="259" t="s">
        <v>178</v>
      </c>
      <c r="N188" s="222">
        <v>218772000</v>
      </c>
      <c r="O188" s="222"/>
      <c r="P188" s="222"/>
      <c r="Q188" s="222">
        <v>114769224</v>
      </c>
      <c r="R188" s="222"/>
      <c r="S188" s="222"/>
      <c r="T188" s="222">
        <v>333541224</v>
      </c>
      <c r="U188" s="222">
        <v>224159834</v>
      </c>
      <c r="V188" s="222">
        <v>109381390</v>
      </c>
      <c r="W188" s="224">
        <v>0.67206035677317055</v>
      </c>
      <c r="X188" s="222">
        <v>182553306</v>
      </c>
      <c r="Y188" s="222">
        <v>41606528</v>
      </c>
      <c r="Z188" s="224">
        <v>0.18561098684610911</v>
      </c>
      <c r="AA188" s="222">
        <v>178401306</v>
      </c>
      <c r="AB188" s="222">
        <v>4152000</v>
      </c>
      <c r="AC188" s="224">
        <v>0.79586651549715193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34.5" customHeight="1">
      <c r="A189" s="32" t="s">
        <v>669</v>
      </c>
      <c r="B189" s="210" t="s">
        <v>670</v>
      </c>
      <c r="C189" s="211" t="s">
        <v>167</v>
      </c>
      <c r="D189" s="212" t="s">
        <v>190</v>
      </c>
      <c r="E189" s="212" t="s">
        <v>172</v>
      </c>
      <c r="F189" s="212">
        <v>19</v>
      </c>
      <c r="G189" s="212" t="s">
        <v>175</v>
      </c>
      <c r="H189" s="212">
        <v>4103052</v>
      </c>
      <c r="I189" s="212"/>
      <c r="J189" s="212"/>
      <c r="K189" s="213">
        <v>11</v>
      </c>
      <c r="L189" s="214" t="s">
        <v>29</v>
      </c>
      <c r="M189" s="210" t="s">
        <v>229</v>
      </c>
      <c r="N189" s="215">
        <v>9835707936</v>
      </c>
      <c r="O189" s="215">
        <v>0</v>
      </c>
      <c r="P189" s="215">
        <v>0</v>
      </c>
      <c r="Q189" s="215">
        <v>0</v>
      </c>
      <c r="R189" s="215">
        <v>566250231</v>
      </c>
      <c r="S189" s="215">
        <v>0</v>
      </c>
      <c r="T189" s="215">
        <v>9269457705</v>
      </c>
      <c r="U189" s="215">
        <v>9168995106.0499992</v>
      </c>
      <c r="V189" s="215">
        <v>100462598.95000076</v>
      </c>
      <c r="W189" s="216">
        <v>0.98916197666063999</v>
      </c>
      <c r="X189" s="215">
        <v>3158397003.6500001</v>
      </c>
      <c r="Y189" s="215">
        <v>6010598102.3999996</v>
      </c>
      <c r="Z189" s="216">
        <v>0.65553509767215523</v>
      </c>
      <c r="AA189" s="215">
        <v>3074638360.6500001</v>
      </c>
      <c r="AB189" s="215">
        <v>83758643</v>
      </c>
      <c r="AC189" s="216">
        <v>0.33532991621091107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">
        <v>671</v>
      </c>
      <c r="B190" s="217" t="s">
        <v>672</v>
      </c>
      <c r="C190" s="266" t="s">
        <v>167</v>
      </c>
      <c r="D190" s="267" t="s">
        <v>190</v>
      </c>
      <c r="E190" s="267" t="s">
        <v>172</v>
      </c>
      <c r="F190" s="267">
        <v>19</v>
      </c>
      <c r="G190" s="267" t="s">
        <v>175</v>
      </c>
      <c r="H190" s="267">
        <v>4103052</v>
      </c>
      <c r="I190" s="267" t="s">
        <v>54</v>
      </c>
      <c r="J190" s="267"/>
      <c r="K190" s="268">
        <v>11</v>
      </c>
      <c r="L190" s="269" t="s">
        <v>29</v>
      </c>
      <c r="M190" s="259" t="s">
        <v>178</v>
      </c>
      <c r="N190" s="222">
        <v>9835707936</v>
      </c>
      <c r="O190" s="222"/>
      <c r="P190" s="222"/>
      <c r="Q190" s="222"/>
      <c r="R190" s="222">
        <v>566250231</v>
      </c>
      <c r="S190" s="222"/>
      <c r="T190" s="222">
        <v>9269457705</v>
      </c>
      <c r="U190" s="222">
        <v>9168995106.0499992</v>
      </c>
      <c r="V190" s="222">
        <v>100462598.95000076</v>
      </c>
      <c r="W190" s="224">
        <v>0.98916197666063999</v>
      </c>
      <c r="X190" s="222">
        <v>3158397003.6500001</v>
      </c>
      <c r="Y190" s="222">
        <v>6010598102.3999996</v>
      </c>
      <c r="Z190" s="224">
        <v>0.65553509767215523</v>
      </c>
      <c r="AA190" s="222">
        <v>3074638360.6500001</v>
      </c>
      <c r="AB190" s="222">
        <v>83758643</v>
      </c>
      <c r="AC190" s="224">
        <v>0.33532991621091107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24.95" customHeight="1">
      <c r="A191" s="32" t="s">
        <v>673</v>
      </c>
      <c r="B191" s="210" t="s">
        <v>674</v>
      </c>
      <c r="C191" s="211" t="s">
        <v>167</v>
      </c>
      <c r="D191" s="212" t="s">
        <v>190</v>
      </c>
      <c r="E191" s="212" t="s">
        <v>172</v>
      </c>
      <c r="F191" s="212">
        <v>19</v>
      </c>
      <c r="G191" s="212" t="s">
        <v>175</v>
      </c>
      <c r="H191" s="212">
        <v>4103060</v>
      </c>
      <c r="I191" s="212"/>
      <c r="J191" s="212"/>
      <c r="K191" s="213">
        <v>11</v>
      </c>
      <c r="L191" s="214" t="s">
        <v>29</v>
      </c>
      <c r="M191" s="210" t="s">
        <v>216</v>
      </c>
      <c r="N191" s="215">
        <v>1226999999</v>
      </c>
      <c r="O191" s="215">
        <v>0</v>
      </c>
      <c r="P191" s="215">
        <v>0</v>
      </c>
      <c r="Q191" s="215">
        <v>0</v>
      </c>
      <c r="R191" s="215">
        <v>1226999999</v>
      </c>
      <c r="S191" s="215">
        <v>0</v>
      </c>
      <c r="T191" s="215">
        <v>0</v>
      </c>
      <c r="U191" s="215">
        <v>0</v>
      </c>
      <c r="V191" s="215">
        <v>0</v>
      </c>
      <c r="W191" s="216">
        <v>0</v>
      </c>
      <c r="X191" s="215">
        <v>0</v>
      </c>
      <c r="Y191" s="215">
        <v>0</v>
      </c>
      <c r="Z191" s="216">
        <v>0</v>
      </c>
      <c r="AA191" s="215">
        <v>0</v>
      </c>
      <c r="AB191" s="215">
        <v>0</v>
      </c>
      <c r="AC191" s="216"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24.95" customHeight="1">
      <c r="A192" s="32" t="s">
        <v>675</v>
      </c>
      <c r="B192" s="217" t="s">
        <v>676</v>
      </c>
      <c r="C192" s="266" t="s">
        <v>167</v>
      </c>
      <c r="D192" s="267" t="s">
        <v>190</v>
      </c>
      <c r="E192" s="267" t="s">
        <v>172</v>
      </c>
      <c r="F192" s="267">
        <v>19</v>
      </c>
      <c r="G192" s="267" t="s">
        <v>175</v>
      </c>
      <c r="H192" s="267">
        <v>4103060</v>
      </c>
      <c r="I192" s="267" t="s">
        <v>54</v>
      </c>
      <c r="J192" s="267"/>
      <c r="K192" s="268">
        <v>11</v>
      </c>
      <c r="L192" s="269" t="s">
        <v>29</v>
      </c>
      <c r="M192" s="259" t="s">
        <v>178</v>
      </c>
      <c r="N192" s="222">
        <v>1226999999</v>
      </c>
      <c r="O192" s="222"/>
      <c r="P192" s="222"/>
      <c r="Q192" s="222"/>
      <c r="R192" s="222">
        <v>1226999999</v>
      </c>
      <c r="S192" s="222"/>
      <c r="T192" s="222">
        <v>0</v>
      </c>
      <c r="U192" s="222">
        <v>0</v>
      </c>
      <c r="V192" s="222">
        <v>0</v>
      </c>
      <c r="W192" s="224">
        <v>0</v>
      </c>
      <c r="X192" s="222">
        <v>0</v>
      </c>
      <c r="Y192" s="222">
        <v>0</v>
      </c>
      <c r="Z192" s="224">
        <v>0</v>
      </c>
      <c r="AA192" s="222">
        <v>0</v>
      </c>
      <c r="AB192" s="222">
        <v>0</v>
      </c>
      <c r="AC192" s="224">
        <v>0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47.25" customHeight="1">
      <c r="A193" s="32" t="s">
        <v>677</v>
      </c>
      <c r="B193" s="226" t="s">
        <v>678</v>
      </c>
      <c r="C193" s="227" t="s">
        <v>167</v>
      </c>
      <c r="D193" s="228" t="s">
        <v>190</v>
      </c>
      <c r="E193" s="228" t="s">
        <v>172</v>
      </c>
      <c r="F193" s="228">
        <v>20</v>
      </c>
      <c r="G193" s="228"/>
      <c r="H193" s="228"/>
      <c r="I193" s="228"/>
      <c r="J193" s="228"/>
      <c r="K193" s="229"/>
      <c r="L193" s="230"/>
      <c r="M193" s="231" t="s">
        <v>286</v>
      </c>
      <c r="N193" s="232">
        <v>0</v>
      </c>
      <c r="O193" s="232">
        <v>0</v>
      </c>
      <c r="P193" s="232">
        <v>0</v>
      </c>
      <c r="Q193" s="232">
        <v>296825600000</v>
      </c>
      <c r="R193" s="232">
        <v>16825600000</v>
      </c>
      <c r="S193" s="232">
        <v>0</v>
      </c>
      <c r="T193" s="232">
        <v>280000000000</v>
      </c>
      <c r="U193" s="232">
        <v>274181132276.64001</v>
      </c>
      <c r="V193" s="232">
        <v>5818867723.3600006</v>
      </c>
      <c r="W193" s="233">
        <v>0.97921832955942867</v>
      </c>
      <c r="X193" s="232">
        <v>264908289401</v>
      </c>
      <c r="Y193" s="232">
        <v>9272842875.6399994</v>
      </c>
      <c r="Z193" s="233">
        <v>3.3820134881797762E-2</v>
      </c>
      <c r="AA193" s="232">
        <v>264908289401</v>
      </c>
      <c r="AB193" s="232">
        <v>0</v>
      </c>
      <c r="AC193" s="233">
        <v>0.9661798651182022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36.75" customHeight="1">
      <c r="A194" s="32" t="s">
        <v>679</v>
      </c>
      <c r="B194" s="210" t="s">
        <v>680</v>
      </c>
      <c r="C194" s="211" t="s">
        <v>167</v>
      </c>
      <c r="D194" s="212" t="s">
        <v>190</v>
      </c>
      <c r="E194" s="212" t="s">
        <v>172</v>
      </c>
      <c r="F194" s="212">
        <v>20</v>
      </c>
      <c r="G194" s="212" t="s">
        <v>175</v>
      </c>
      <c r="H194" s="212">
        <v>4103061</v>
      </c>
      <c r="I194" s="212"/>
      <c r="J194" s="212"/>
      <c r="K194" s="213">
        <v>11</v>
      </c>
      <c r="L194" s="214" t="s">
        <v>29</v>
      </c>
      <c r="M194" s="210" t="s">
        <v>231</v>
      </c>
      <c r="N194" s="215">
        <v>0</v>
      </c>
      <c r="O194" s="215">
        <v>0</v>
      </c>
      <c r="P194" s="215">
        <v>0</v>
      </c>
      <c r="Q194" s="215">
        <v>296825600000</v>
      </c>
      <c r="R194" s="215">
        <v>16825600000</v>
      </c>
      <c r="S194" s="215">
        <v>0</v>
      </c>
      <c r="T194" s="215">
        <v>280000000000</v>
      </c>
      <c r="U194" s="215">
        <v>274181132276.64001</v>
      </c>
      <c r="V194" s="215">
        <v>5818867723.3600006</v>
      </c>
      <c r="W194" s="216">
        <v>0.97921832955942867</v>
      </c>
      <c r="X194" s="215">
        <v>264908289401</v>
      </c>
      <c r="Y194" s="215">
        <v>9272842875.6399994</v>
      </c>
      <c r="Z194" s="216">
        <v>3.3820134881797762E-2</v>
      </c>
      <c r="AA194" s="215">
        <v>264908289401</v>
      </c>
      <c r="AB194" s="215">
        <v>0</v>
      </c>
      <c r="AC194" s="216">
        <v>0.9661798651182022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">
        <v>681</v>
      </c>
      <c r="B195" s="217" t="s">
        <v>682</v>
      </c>
      <c r="C195" s="266" t="s">
        <v>167</v>
      </c>
      <c r="D195" s="267" t="s">
        <v>190</v>
      </c>
      <c r="E195" s="267" t="s">
        <v>172</v>
      </c>
      <c r="F195" s="267">
        <v>20</v>
      </c>
      <c r="G195" s="267" t="s">
        <v>175</v>
      </c>
      <c r="H195" s="267">
        <v>4103061</v>
      </c>
      <c r="I195" s="267" t="s">
        <v>54</v>
      </c>
      <c r="J195" s="267"/>
      <c r="K195" s="268">
        <v>11</v>
      </c>
      <c r="L195" s="269" t="s">
        <v>29</v>
      </c>
      <c r="M195" s="259" t="s">
        <v>178</v>
      </c>
      <c r="N195" s="222">
        <v>0</v>
      </c>
      <c r="O195" s="222"/>
      <c r="P195" s="222"/>
      <c r="Q195" s="222">
        <v>25879800000</v>
      </c>
      <c r="R195" s="222">
        <v>10864800000</v>
      </c>
      <c r="S195" s="222"/>
      <c r="T195" s="222">
        <v>15015000000</v>
      </c>
      <c r="U195" s="222">
        <v>14059907276.639999</v>
      </c>
      <c r="V195" s="222">
        <v>955092723.36000061</v>
      </c>
      <c r="W195" s="224">
        <v>0.93639076101498497</v>
      </c>
      <c r="X195" s="222">
        <v>4787064401</v>
      </c>
      <c r="Y195" s="222">
        <v>9272842875.6399994</v>
      </c>
      <c r="Z195" s="224">
        <v>0.65952375738967173</v>
      </c>
      <c r="AA195" s="222">
        <v>4787064401</v>
      </c>
      <c r="AB195" s="222">
        <v>0</v>
      </c>
      <c r="AC195" s="224">
        <v>0.34047624261032827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24.95" customHeight="1">
      <c r="A196" s="32" t="s">
        <v>683</v>
      </c>
      <c r="B196" s="217" t="s">
        <v>684</v>
      </c>
      <c r="C196" s="266" t="s">
        <v>167</v>
      </c>
      <c r="D196" s="267" t="s">
        <v>190</v>
      </c>
      <c r="E196" s="267" t="s">
        <v>172</v>
      </c>
      <c r="F196" s="267">
        <v>20</v>
      </c>
      <c r="G196" s="267" t="s">
        <v>175</v>
      </c>
      <c r="H196" s="267">
        <v>4103061</v>
      </c>
      <c r="I196" s="274" t="s">
        <v>65</v>
      </c>
      <c r="J196" s="267"/>
      <c r="K196" s="268">
        <v>11</v>
      </c>
      <c r="L196" s="269" t="s">
        <v>29</v>
      </c>
      <c r="M196" s="259" t="s">
        <v>127</v>
      </c>
      <c r="N196" s="222">
        <v>0</v>
      </c>
      <c r="O196" s="222"/>
      <c r="P196" s="222"/>
      <c r="Q196" s="222">
        <v>270945800000</v>
      </c>
      <c r="R196" s="222">
        <v>5960800000</v>
      </c>
      <c r="S196" s="222"/>
      <c r="T196" s="222">
        <v>264985000000</v>
      </c>
      <c r="U196" s="222">
        <v>260121225000</v>
      </c>
      <c r="V196" s="222">
        <v>4863775000</v>
      </c>
      <c r="W196" s="224">
        <v>0.98164509311847836</v>
      </c>
      <c r="X196" s="222">
        <v>260121225000</v>
      </c>
      <c r="Y196" s="222">
        <v>0</v>
      </c>
      <c r="Z196" s="224">
        <v>0</v>
      </c>
      <c r="AA196" s="222">
        <v>260121225000</v>
      </c>
      <c r="AB196" s="222">
        <v>0</v>
      </c>
      <c r="AC196" s="224">
        <v>1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43.5" customHeight="1">
      <c r="A197" s="32"/>
      <c r="B197" s="226" t="s">
        <v>685</v>
      </c>
      <c r="C197" s="227" t="s">
        <v>167</v>
      </c>
      <c r="D197" s="228" t="s">
        <v>190</v>
      </c>
      <c r="E197" s="228" t="s">
        <v>172</v>
      </c>
      <c r="F197" s="228">
        <v>23</v>
      </c>
      <c r="G197" s="228"/>
      <c r="H197" s="228"/>
      <c r="I197" s="228"/>
      <c r="J197" s="228"/>
      <c r="K197" s="229"/>
      <c r="L197" s="230"/>
      <c r="M197" s="231" t="s">
        <v>248</v>
      </c>
      <c r="N197" s="232">
        <v>0</v>
      </c>
      <c r="O197" s="232">
        <v>0</v>
      </c>
      <c r="P197" s="232">
        <v>0</v>
      </c>
      <c r="Q197" s="232">
        <v>1000000</v>
      </c>
      <c r="R197" s="232">
        <v>0</v>
      </c>
      <c r="S197" s="232">
        <v>1000000</v>
      </c>
      <c r="T197" s="232">
        <v>0</v>
      </c>
      <c r="U197" s="232">
        <v>0</v>
      </c>
      <c r="V197" s="232">
        <v>0</v>
      </c>
      <c r="W197" s="233">
        <v>0</v>
      </c>
      <c r="X197" s="232">
        <v>0</v>
      </c>
      <c r="Y197" s="232">
        <v>0</v>
      </c>
      <c r="Z197" s="233">
        <v>0</v>
      </c>
      <c r="AA197" s="232">
        <v>0</v>
      </c>
      <c r="AB197" s="232">
        <v>0</v>
      </c>
      <c r="AC197" s="233">
        <v>0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6" customHeight="1">
      <c r="A198" s="32"/>
      <c r="B198" s="210" t="s">
        <v>686</v>
      </c>
      <c r="C198" s="211" t="s">
        <v>167</v>
      </c>
      <c r="D198" s="212" t="s">
        <v>190</v>
      </c>
      <c r="E198" s="212" t="s">
        <v>172</v>
      </c>
      <c r="F198" s="212">
        <v>23</v>
      </c>
      <c r="G198" s="212"/>
      <c r="H198" s="212"/>
      <c r="I198" s="212"/>
      <c r="J198" s="212"/>
      <c r="K198" s="213">
        <v>11</v>
      </c>
      <c r="L198" s="214" t="s">
        <v>29</v>
      </c>
      <c r="M198" s="210" t="s">
        <v>248</v>
      </c>
      <c r="N198" s="215">
        <v>0</v>
      </c>
      <c r="O198" s="215">
        <v>0</v>
      </c>
      <c r="P198" s="215">
        <v>0</v>
      </c>
      <c r="Q198" s="215">
        <v>1000000</v>
      </c>
      <c r="R198" s="215">
        <v>0</v>
      </c>
      <c r="S198" s="215">
        <v>1000000</v>
      </c>
      <c r="T198" s="215">
        <v>0</v>
      </c>
      <c r="U198" s="215">
        <v>0</v>
      </c>
      <c r="V198" s="215">
        <v>0</v>
      </c>
      <c r="W198" s="216">
        <v>0</v>
      </c>
      <c r="X198" s="215">
        <v>0</v>
      </c>
      <c r="Y198" s="215">
        <v>0</v>
      </c>
      <c r="Z198" s="216">
        <v>0</v>
      </c>
      <c r="AA198" s="215">
        <v>0</v>
      </c>
      <c r="AB198" s="215">
        <v>0</v>
      </c>
      <c r="AC198" s="216">
        <v>0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34.5" hidden="1" customHeight="1">
      <c r="A199" s="32"/>
      <c r="B199" s="217" t="s">
        <v>687</v>
      </c>
      <c r="C199" s="266" t="s">
        <v>167</v>
      </c>
      <c r="D199" s="267" t="s">
        <v>190</v>
      </c>
      <c r="E199" s="267" t="s">
        <v>172</v>
      </c>
      <c r="F199" s="267">
        <v>23</v>
      </c>
      <c r="G199" s="267"/>
      <c r="H199" s="267"/>
      <c r="I199" s="267"/>
      <c r="J199" s="267"/>
      <c r="K199" s="268">
        <v>11</v>
      </c>
      <c r="L199" s="269" t="s">
        <v>29</v>
      </c>
      <c r="M199" s="259"/>
      <c r="N199" s="222">
        <v>0</v>
      </c>
      <c r="O199" s="222"/>
      <c r="P199" s="222"/>
      <c r="Q199" s="222">
        <v>1000000</v>
      </c>
      <c r="R199" s="222"/>
      <c r="S199" s="222">
        <v>1000000</v>
      </c>
      <c r="T199" s="222">
        <v>0</v>
      </c>
      <c r="U199" s="222"/>
      <c r="V199" s="222">
        <v>0</v>
      </c>
      <c r="W199" s="224">
        <v>0</v>
      </c>
      <c r="X199" s="222"/>
      <c r="Y199" s="222">
        <v>0</v>
      </c>
      <c r="Z199" s="224">
        <v>0</v>
      </c>
      <c r="AA199" s="222"/>
      <c r="AB199" s="222">
        <v>0</v>
      </c>
      <c r="AC199" s="224">
        <v>0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35.1" customHeight="1">
      <c r="A200" s="32" t="s">
        <v>543</v>
      </c>
      <c r="B200" s="188" t="s">
        <v>544</v>
      </c>
      <c r="C200" s="189" t="s">
        <v>167</v>
      </c>
      <c r="D200" s="191">
        <v>4199</v>
      </c>
      <c r="E200" s="191"/>
      <c r="F200" s="191"/>
      <c r="G200" s="191"/>
      <c r="H200" s="191"/>
      <c r="I200" s="191"/>
      <c r="J200" s="191"/>
      <c r="K200" s="192"/>
      <c r="L200" s="193"/>
      <c r="M200" s="188" t="s">
        <v>250</v>
      </c>
      <c r="N200" s="194">
        <v>3226548466</v>
      </c>
      <c r="O200" s="194">
        <v>0</v>
      </c>
      <c r="P200" s="194">
        <v>0</v>
      </c>
      <c r="Q200" s="194">
        <v>0</v>
      </c>
      <c r="R200" s="194">
        <v>0</v>
      </c>
      <c r="S200" s="194">
        <v>0</v>
      </c>
      <c r="T200" s="194">
        <v>3226548466</v>
      </c>
      <c r="U200" s="194">
        <v>2824585206.1300001</v>
      </c>
      <c r="V200" s="194">
        <v>401963259.86999989</v>
      </c>
      <c r="W200" s="195">
        <v>0.87542004587697397</v>
      </c>
      <c r="X200" s="194">
        <v>2814785555.73</v>
      </c>
      <c r="Y200" s="194">
        <v>9799650.4000000954</v>
      </c>
      <c r="Z200" s="195">
        <v>3.4694122091741466E-3</v>
      </c>
      <c r="AA200" s="194">
        <v>2814785555.73</v>
      </c>
      <c r="AB200" s="194">
        <v>0</v>
      </c>
      <c r="AC200" s="195">
        <v>0.99653058779082582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24.95" customHeight="1">
      <c r="A201" s="32" t="s">
        <v>545</v>
      </c>
      <c r="B201" s="196" t="s">
        <v>300</v>
      </c>
      <c r="C201" s="197" t="s">
        <v>167</v>
      </c>
      <c r="D201" s="198">
        <v>4199</v>
      </c>
      <c r="E201" s="198">
        <v>1500</v>
      </c>
      <c r="F201" s="198"/>
      <c r="G201" s="198"/>
      <c r="H201" s="198"/>
      <c r="I201" s="198"/>
      <c r="J201" s="198"/>
      <c r="K201" s="199"/>
      <c r="L201" s="200"/>
      <c r="M201" s="196" t="s">
        <v>170</v>
      </c>
      <c r="N201" s="201">
        <v>3226548466</v>
      </c>
      <c r="O201" s="201">
        <v>0</v>
      </c>
      <c r="P201" s="201">
        <v>0</v>
      </c>
      <c r="Q201" s="201">
        <v>0</v>
      </c>
      <c r="R201" s="201">
        <v>0</v>
      </c>
      <c r="S201" s="201">
        <v>0</v>
      </c>
      <c r="T201" s="201">
        <v>3226548466</v>
      </c>
      <c r="U201" s="201">
        <v>2824585206.1300001</v>
      </c>
      <c r="V201" s="201">
        <v>401963259.86999989</v>
      </c>
      <c r="W201" s="202">
        <v>0.87542004587697397</v>
      </c>
      <c r="X201" s="201">
        <v>2814785555.73</v>
      </c>
      <c r="Y201" s="201">
        <v>9799650.4000000954</v>
      </c>
      <c r="Z201" s="202">
        <v>3.4694122091741466E-3</v>
      </c>
      <c r="AA201" s="201">
        <v>2814785555.73</v>
      </c>
      <c r="AB201" s="201">
        <v>0</v>
      </c>
      <c r="AC201" s="202">
        <v>0.99653058779082582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s="90" customFormat="1" ht="33">
      <c r="A202" s="32" t="s">
        <v>546</v>
      </c>
      <c r="B202" s="203" t="s">
        <v>547</v>
      </c>
      <c r="C202" s="227" t="s">
        <v>167</v>
      </c>
      <c r="D202" s="228" t="s">
        <v>251</v>
      </c>
      <c r="E202" s="228" t="s">
        <v>172</v>
      </c>
      <c r="F202" s="228" t="s">
        <v>252</v>
      </c>
      <c r="G202" s="228"/>
      <c r="H202" s="228"/>
      <c r="I202" s="228"/>
      <c r="J202" s="228"/>
      <c r="K202" s="229"/>
      <c r="L202" s="230"/>
      <c r="M202" s="231" t="s">
        <v>287</v>
      </c>
      <c r="N202" s="232">
        <v>3226548466</v>
      </c>
      <c r="O202" s="232">
        <v>0</v>
      </c>
      <c r="P202" s="232">
        <v>0</v>
      </c>
      <c r="Q202" s="232">
        <v>0</v>
      </c>
      <c r="R202" s="232">
        <v>0</v>
      </c>
      <c r="S202" s="232">
        <v>0</v>
      </c>
      <c r="T202" s="232">
        <v>3226548466</v>
      </c>
      <c r="U202" s="232">
        <v>2824585206.1300001</v>
      </c>
      <c r="V202" s="232">
        <v>401963259.86999989</v>
      </c>
      <c r="W202" s="233">
        <v>0.87542004587697397</v>
      </c>
      <c r="X202" s="232">
        <v>2814785555.73</v>
      </c>
      <c r="Y202" s="232">
        <v>9799650.4000000954</v>
      </c>
      <c r="Z202" s="233">
        <v>3.4694122091741466E-3</v>
      </c>
      <c r="AA202" s="232">
        <v>2814785555.73</v>
      </c>
      <c r="AB202" s="232">
        <v>0</v>
      </c>
      <c r="AC202" s="233">
        <v>0.99653058779082582</v>
      </c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1:52" s="90" customFormat="1" ht="24.95" customHeight="1">
      <c r="A203" s="32" t="s">
        <v>688</v>
      </c>
      <c r="B203" s="210" t="s">
        <v>548</v>
      </c>
      <c r="C203" s="211" t="s">
        <v>167</v>
      </c>
      <c r="D203" s="212" t="s">
        <v>251</v>
      </c>
      <c r="E203" s="212" t="s">
        <v>172</v>
      </c>
      <c r="F203" s="212" t="s">
        <v>252</v>
      </c>
      <c r="G203" s="212" t="s">
        <v>175</v>
      </c>
      <c r="H203" s="212" t="s">
        <v>254</v>
      </c>
      <c r="I203" s="212"/>
      <c r="J203" s="212"/>
      <c r="K203" s="213">
        <v>11</v>
      </c>
      <c r="L203" s="214" t="s">
        <v>29</v>
      </c>
      <c r="M203" s="210" t="s">
        <v>255</v>
      </c>
      <c r="N203" s="215">
        <v>3226548466</v>
      </c>
      <c r="O203" s="215">
        <v>0</v>
      </c>
      <c r="P203" s="215">
        <v>0</v>
      </c>
      <c r="Q203" s="215">
        <v>0</v>
      </c>
      <c r="R203" s="215">
        <v>0</v>
      </c>
      <c r="S203" s="215">
        <v>0</v>
      </c>
      <c r="T203" s="215">
        <v>3226548466</v>
      </c>
      <c r="U203" s="215">
        <v>2824585206.1300001</v>
      </c>
      <c r="V203" s="215">
        <v>401963259.86999989</v>
      </c>
      <c r="W203" s="216">
        <v>0.87542004587697397</v>
      </c>
      <c r="X203" s="215">
        <v>2814785555.73</v>
      </c>
      <c r="Y203" s="215">
        <v>9799650.4000000954</v>
      </c>
      <c r="Z203" s="216">
        <v>3.4694122091741466E-3</v>
      </c>
      <c r="AA203" s="215">
        <v>2814785555.73</v>
      </c>
      <c r="AB203" s="215">
        <v>0</v>
      </c>
      <c r="AC203" s="216">
        <v>0.99653058779082582</v>
      </c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1:52" s="90" customFormat="1" ht="24.95" customHeight="1" thickBot="1">
      <c r="A204" s="32" t="s">
        <v>689</v>
      </c>
      <c r="B204" s="217" t="s">
        <v>549</v>
      </c>
      <c r="C204" s="218" t="s">
        <v>167</v>
      </c>
      <c r="D204" s="219" t="s">
        <v>251</v>
      </c>
      <c r="E204" s="219" t="s">
        <v>172</v>
      </c>
      <c r="F204" s="219" t="s">
        <v>252</v>
      </c>
      <c r="G204" s="219" t="s">
        <v>175</v>
      </c>
      <c r="H204" s="219" t="s">
        <v>254</v>
      </c>
      <c r="I204" s="219" t="s">
        <v>54</v>
      </c>
      <c r="J204" s="219"/>
      <c r="K204" s="275">
        <v>11</v>
      </c>
      <c r="L204" s="276" t="s">
        <v>29</v>
      </c>
      <c r="M204" s="217" t="s">
        <v>178</v>
      </c>
      <c r="N204" s="222">
        <v>3226548466</v>
      </c>
      <c r="O204" s="222"/>
      <c r="P204" s="222"/>
      <c r="Q204" s="222"/>
      <c r="R204" s="222"/>
      <c r="S204" s="222"/>
      <c r="T204" s="222">
        <v>3226548466</v>
      </c>
      <c r="U204" s="222">
        <v>2824585206.1300001</v>
      </c>
      <c r="V204" s="222">
        <v>401963259.86999989</v>
      </c>
      <c r="W204" s="224">
        <v>0.87542004587697397</v>
      </c>
      <c r="X204" s="222">
        <v>2814785555.73</v>
      </c>
      <c r="Y204" s="222">
        <v>9799650.4000000954</v>
      </c>
      <c r="Z204" s="224">
        <v>3.4694122091741466E-3</v>
      </c>
      <c r="AA204" s="222">
        <v>2814785555.73</v>
      </c>
      <c r="AB204" s="222">
        <v>0</v>
      </c>
      <c r="AC204" s="224">
        <v>0.99653058779082582</v>
      </c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1:52" s="90" customFormat="1" ht="35.1" customHeight="1" thickBot="1">
      <c r="A205" s="32"/>
      <c r="B205" s="277" t="s">
        <v>288</v>
      </c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60" t="s">
        <v>256</v>
      </c>
      <c r="N205" s="265">
        <v>3648573139470</v>
      </c>
      <c r="O205" s="265">
        <v>5716169561713</v>
      </c>
      <c r="P205" s="265">
        <v>0</v>
      </c>
      <c r="Q205" s="265">
        <v>496939878412.90002</v>
      </c>
      <c r="R205" s="265">
        <v>496939878412.89996</v>
      </c>
      <c r="S205" s="265">
        <v>590347320662</v>
      </c>
      <c r="T205" s="265">
        <v>8774395380521</v>
      </c>
      <c r="U205" s="265">
        <v>8142005179396.0801</v>
      </c>
      <c r="V205" s="265">
        <v>632390201124.92004</v>
      </c>
      <c r="W205" s="187">
        <v>0.92792777465569709</v>
      </c>
      <c r="X205" s="265">
        <v>7729397666391.4199</v>
      </c>
      <c r="Y205" s="265">
        <v>412607513004.6601</v>
      </c>
      <c r="Z205" s="187">
        <v>5.0676400212664147E-2</v>
      </c>
      <c r="AA205" s="265">
        <v>7721922361313.4707</v>
      </c>
      <c r="AB205" s="265">
        <v>7475305077.9499817</v>
      </c>
      <c r="AC205" s="187">
        <v>0.94840548380567746</v>
      </c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1:52" s="90" customFormat="1" ht="16.5">
      <c r="A206" s="32"/>
      <c r="B206" s="279"/>
      <c r="C206" s="82"/>
      <c r="D206" s="82"/>
      <c r="E206" s="82"/>
      <c r="F206" s="82"/>
      <c r="G206" s="82"/>
      <c r="H206" s="83"/>
      <c r="I206" s="84"/>
      <c r="J206" s="84"/>
      <c r="K206" s="84"/>
      <c r="L206" s="84"/>
      <c r="M206" s="84"/>
      <c r="N206" s="86"/>
      <c r="O206" s="86"/>
      <c r="P206" s="86"/>
      <c r="Q206" s="86"/>
      <c r="R206" s="86"/>
      <c r="S206" s="86"/>
      <c r="T206" s="86"/>
      <c r="U206" s="86"/>
      <c r="V206" s="86"/>
      <c r="W206" s="87"/>
      <c r="X206" s="86"/>
      <c r="Y206" s="86"/>
      <c r="Z206" s="87"/>
      <c r="AA206" s="86"/>
      <c r="AB206" s="86"/>
      <c r="AC206" s="89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</row>
    <row r="207" spans="1:52" s="90" customFormat="1" ht="16.5">
      <c r="A207" s="32" t="s">
        <v>550</v>
      </c>
      <c r="B207" s="279"/>
      <c r="C207" s="82"/>
      <c r="D207" s="82"/>
      <c r="E207" s="82"/>
      <c r="F207" s="82"/>
      <c r="G207" s="82"/>
      <c r="H207" s="83"/>
      <c r="I207" s="84"/>
      <c r="J207" s="84"/>
      <c r="K207" s="84"/>
      <c r="L207" s="84"/>
      <c r="M207" s="84"/>
      <c r="N207" s="86"/>
      <c r="O207" s="86"/>
      <c r="P207" s="86"/>
      <c r="Q207" s="86"/>
      <c r="R207" s="86"/>
      <c r="S207" s="86"/>
      <c r="T207" s="86"/>
      <c r="U207" s="86"/>
      <c r="V207" s="86"/>
      <c r="W207" s="87"/>
      <c r="X207" s="86"/>
      <c r="Y207" s="86"/>
      <c r="Z207" s="87"/>
      <c r="AA207" s="86"/>
      <c r="AB207" s="86"/>
      <c r="AC207" s="89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</row>
    <row r="208" spans="1:52" s="8" customFormat="1" ht="16.5">
      <c r="A208" s="32"/>
      <c r="B208" s="280"/>
      <c r="C208" s="94"/>
      <c r="D208" s="93"/>
      <c r="E208" s="93"/>
      <c r="F208" s="93"/>
      <c r="G208" s="93"/>
      <c r="H208" s="93"/>
      <c r="I208" s="93"/>
      <c r="J208" s="93"/>
      <c r="K208" s="93"/>
      <c r="L208" s="93"/>
      <c r="M208" s="97" t="s">
        <v>289</v>
      </c>
      <c r="N208" s="281">
        <v>3648573139470</v>
      </c>
      <c r="O208" s="281">
        <v>5716169561713</v>
      </c>
      <c r="P208" s="281">
        <v>0</v>
      </c>
      <c r="Q208" s="635">
        <v>496939878412.90002</v>
      </c>
      <c r="R208" s="634">
        <v>496939878412.90002</v>
      </c>
      <c r="S208" s="281">
        <v>590347320662</v>
      </c>
      <c r="T208" s="281">
        <v>8774395380521</v>
      </c>
      <c r="U208" s="281">
        <v>8142005179396.0801</v>
      </c>
      <c r="V208" s="281">
        <v>632390201124.91992</v>
      </c>
      <c r="W208" s="282">
        <v>0.92792777465569709</v>
      </c>
      <c r="X208" s="281">
        <v>7729397666391.4199</v>
      </c>
      <c r="Y208" s="281">
        <v>412607513004.66003</v>
      </c>
      <c r="Z208" s="282">
        <v>5.067640021266414E-2</v>
      </c>
      <c r="AA208" s="281">
        <v>7721922361313.4697</v>
      </c>
      <c r="AB208" s="281">
        <v>7475305077.9500237</v>
      </c>
      <c r="AC208" s="282">
        <v>0.94840548380567735</v>
      </c>
    </row>
    <row r="209" spans="1:52" s="289" customFormat="1" ht="16.5">
      <c r="A209" s="22"/>
      <c r="B209" s="283"/>
      <c r="C209" s="284"/>
      <c r="D209" s="285"/>
      <c r="E209" s="285"/>
      <c r="F209" s="285"/>
      <c r="G209" s="285"/>
      <c r="H209" s="285"/>
      <c r="I209" s="285"/>
      <c r="J209" s="285"/>
      <c r="K209" s="285"/>
      <c r="L209" s="285"/>
      <c r="M209" s="286" t="s">
        <v>290</v>
      </c>
      <c r="N209" s="98">
        <v>0</v>
      </c>
      <c r="O209" s="98">
        <v>0</v>
      </c>
      <c r="P209" s="98">
        <v>0</v>
      </c>
      <c r="Q209" s="98">
        <v>0</v>
      </c>
      <c r="R209" s="98">
        <v>0</v>
      </c>
      <c r="S209" s="98">
        <v>0</v>
      </c>
      <c r="T209" s="98">
        <v>0</v>
      </c>
      <c r="U209" s="98">
        <v>0</v>
      </c>
      <c r="V209" s="98">
        <v>0</v>
      </c>
      <c r="W209" s="287"/>
      <c r="X209" s="98">
        <v>0</v>
      </c>
      <c r="Y209" s="98">
        <v>0</v>
      </c>
      <c r="Z209" s="287"/>
      <c r="AA209" s="98">
        <v>0</v>
      </c>
      <c r="AB209" s="98">
        <v>-4.1961669921875E-5</v>
      </c>
      <c r="AC209" s="28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</row>
    <row r="210" spans="1:52" ht="18">
      <c r="A210" s="30"/>
      <c r="B210" s="279"/>
      <c r="C210" s="312"/>
      <c r="D210" s="317"/>
      <c r="E210" s="312"/>
      <c r="F210" s="312"/>
      <c r="G210" s="312"/>
      <c r="H210" s="312"/>
      <c r="I210" s="312"/>
      <c r="J210" s="312"/>
      <c r="K210" s="312"/>
      <c r="L210" s="312"/>
      <c r="M210" s="312"/>
      <c r="N210" s="335"/>
      <c r="O210" s="632"/>
      <c r="P210" s="332"/>
      <c r="Q210" s="332"/>
      <c r="R210" s="633"/>
      <c r="S210" s="633"/>
      <c r="T210" s="332"/>
      <c r="U210" s="332"/>
      <c r="V210" s="332"/>
      <c r="W210" s="333"/>
      <c r="X210" s="332"/>
      <c r="Y210" s="332"/>
      <c r="Z210" s="333"/>
      <c r="AA210" s="332"/>
      <c r="AB210" s="332"/>
      <c r="AC210" s="333"/>
    </row>
    <row r="211" spans="1:52" ht="18">
      <c r="A211" s="30"/>
      <c r="B211" s="279"/>
      <c r="C211" s="312"/>
      <c r="D211" s="317"/>
      <c r="E211" s="312"/>
      <c r="F211" s="312"/>
      <c r="G211" s="312"/>
      <c r="H211" s="312"/>
      <c r="I211" s="312"/>
      <c r="J211" s="312"/>
      <c r="K211" s="312"/>
      <c r="L211" s="312"/>
      <c r="M211" s="312"/>
      <c r="N211" s="332"/>
      <c r="O211" s="632"/>
      <c r="P211" s="332"/>
      <c r="Q211" s="332"/>
      <c r="R211" s="633"/>
      <c r="S211" s="633"/>
      <c r="T211" s="332"/>
      <c r="U211" s="332"/>
      <c r="V211" s="332"/>
      <c r="W211" s="333"/>
      <c r="X211" s="332"/>
      <c r="Y211" s="332"/>
      <c r="Z211" s="333"/>
      <c r="AA211" s="332"/>
      <c r="AB211" s="332"/>
      <c r="AC211" s="333"/>
    </row>
    <row r="212" spans="1:52" ht="18">
      <c r="A212" s="1"/>
      <c r="B212" s="156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32"/>
      <c r="O212" s="632"/>
      <c r="P212" s="332"/>
      <c r="Q212" s="332"/>
      <c r="R212" s="332"/>
      <c r="S212" s="332"/>
      <c r="T212" s="332"/>
      <c r="U212" s="332"/>
      <c r="V212" s="332"/>
      <c r="W212" s="333"/>
      <c r="X212" s="332"/>
      <c r="Y212" s="631"/>
      <c r="Z212" s="333"/>
      <c r="AA212" s="332"/>
      <c r="AB212" s="332"/>
      <c r="AC212" s="333"/>
    </row>
    <row r="213" spans="1:52" ht="30">
      <c r="A213" s="1"/>
      <c r="B213" s="156"/>
      <c r="C213" s="318"/>
      <c r="D213" s="318"/>
      <c r="E213" s="318"/>
      <c r="F213" s="318"/>
      <c r="G213" s="318"/>
      <c r="H213" s="318"/>
      <c r="I213" s="312"/>
      <c r="J213" s="312"/>
      <c r="K213" s="312"/>
      <c r="L213" s="312"/>
      <c r="M213" s="336" t="s">
        <v>738</v>
      </c>
      <c r="N213" s="628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20"/>
      <c r="AA213" s="319"/>
      <c r="AB213" s="319"/>
      <c r="AC213" s="319"/>
    </row>
    <row r="214" spans="1:52" ht="30">
      <c r="A214" s="1"/>
      <c r="B214" s="156"/>
      <c r="C214" s="321"/>
      <c r="D214" s="322"/>
      <c r="E214" s="322"/>
      <c r="F214" s="322"/>
      <c r="G214" s="322"/>
      <c r="H214" s="322"/>
      <c r="I214" s="322"/>
      <c r="J214" s="322"/>
      <c r="K214" s="322"/>
      <c r="L214" s="322"/>
      <c r="M214" s="337" t="s">
        <v>739</v>
      </c>
      <c r="N214" s="628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4"/>
      <c r="AA214" s="323"/>
      <c r="AB214" s="323"/>
      <c r="AC214" s="323"/>
    </row>
    <row r="215" spans="1:52" ht="30">
      <c r="A215" s="325"/>
      <c r="B215" s="314"/>
      <c r="C215" s="308"/>
      <c r="D215" s="308"/>
      <c r="E215" s="308"/>
      <c r="F215" s="308"/>
      <c r="G215" s="308"/>
      <c r="H215" s="308"/>
      <c r="I215" s="308"/>
      <c r="J215" s="308"/>
      <c r="K215" s="308"/>
      <c r="L215" s="308"/>
      <c r="M215" s="308"/>
      <c r="N215" s="628"/>
      <c r="P215" s="309"/>
      <c r="Q215" s="309"/>
      <c r="R215" s="630"/>
      <c r="S215" s="630"/>
      <c r="T215" s="334"/>
      <c r="U215" s="334"/>
      <c r="V215" s="629"/>
      <c r="W215" s="329"/>
      <c r="X215" s="329"/>
      <c r="Y215" s="329"/>
      <c r="Z215" s="329"/>
    </row>
    <row r="216" spans="1:52" ht="16.5">
      <c r="N216" s="628"/>
      <c r="O216" s="628"/>
    </row>
    <row r="217" spans="1:52" ht="16.5">
      <c r="N217" s="628"/>
      <c r="O217" s="628"/>
    </row>
    <row r="218" spans="1:52" ht="16.5">
      <c r="N218" s="628"/>
    </row>
    <row r="219" spans="1:52" ht="16.5">
      <c r="N219" s="628"/>
    </row>
    <row r="220" spans="1:52" ht="16.5">
      <c r="N220" s="628"/>
    </row>
  </sheetData>
  <sheetProtection selectLockedCells="1" selectUnlockedCells="1"/>
  <autoFilter ref="A6:AC208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8986-D05C-4B0F-8464-BBA1A697FBDE}">
  <sheetPr>
    <tabColor rgb="FF00B0F0"/>
    <pageSetUpPr fitToPage="1"/>
  </sheetPr>
  <dimension ref="A1:AT208"/>
  <sheetViews>
    <sheetView showGridLines="0" zoomScale="80" zoomScaleNormal="80" workbookViewId="0"/>
  </sheetViews>
  <sheetFormatPr baseColWidth="10" defaultColWidth="11.42578125" defaultRowHeight="12.75" outlineLevelCol="1"/>
  <cols>
    <col min="1" max="1" width="5.7109375" style="109" customWidth="1"/>
    <col min="2" max="2" width="15.570312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41.140625" style="9" customWidth="1"/>
    <col min="14" max="14" width="23.7109375" style="13" bestFit="1" customWidth="1"/>
    <col min="15" max="15" width="19.5703125" style="13" bestFit="1" customWidth="1"/>
    <col min="16" max="16" width="11.5703125" style="13" customWidth="1"/>
    <col min="17" max="17" width="19.5703125" style="13" bestFit="1" customWidth="1"/>
    <col min="18" max="19" width="19.5703125" style="13" customWidth="1"/>
    <col min="20" max="20" width="13.42578125" style="13" customWidth="1"/>
    <col min="21" max="21" width="11.42578125" style="13"/>
    <col min="22" max="22" width="13.85546875" style="13" customWidth="1"/>
    <col min="23" max="16384" width="11.42578125" style="13"/>
  </cols>
  <sheetData>
    <row r="1" spans="1:20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6"/>
      <c r="O1" s="5">
        <v>13</v>
      </c>
      <c r="P1" s="7"/>
      <c r="Q1" s="5">
        <v>14</v>
      </c>
      <c r="R1" s="5"/>
      <c r="S1" s="5">
        <v>16</v>
      </c>
      <c r="T1" s="7"/>
    </row>
    <row r="2" spans="1:20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303" t="s">
        <v>0</v>
      </c>
      <c r="N2" s="303"/>
      <c r="O2" s="303"/>
      <c r="P2" s="303"/>
      <c r="Q2" s="303"/>
      <c r="R2" s="303"/>
      <c r="S2" s="303"/>
      <c r="T2" s="303"/>
    </row>
    <row r="3" spans="1:20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302" t="s">
        <v>275</v>
      </c>
      <c r="N3" s="302"/>
      <c r="O3" s="302"/>
      <c r="P3" s="302"/>
      <c r="Q3" s="302"/>
      <c r="R3" s="302"/>
      <c r="S3" s="302"/>
      <c r="T3" s="302"/>
    </row>
    <row r="4" spans="1:20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1"/>
      <c r="Q4" s="20"/>
      <c r="R4" s="20"/>
      <c r="S4" s="20"/>
      <c r="T4" s="21"/>
    </row>
    <row r="5" spans="1:20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166" t="s">
        <v>6</v>
      </c>
      <c r="O5" s="782" t="s">
        <v>7</v>
      </c>
      <c r="P5" s="783"/>
      <c r="Q5" s="776" t="s">
        <v>8</v>
      </c>
      <c r="R5" s="778"/>
      <c r="S5" s="779" t="s">
        <v>9</v>
      </c>
      <c r="T5" s="781"/>
    </row>
    <row r="6" spans="1:20" s="25" customFormat="1" ht="33.7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6</v>
      </c>
      <c r="O6" s="176" t="s">
        <v>18</v>
      </c>
      <c r="P6" s="177" t="s">
        <v>19</v>
      </c>
      <c r="Q6" s="175" t="s">
        <v>18</v>
      </c>
      <c r="R6" s="310" t="s">
        <v>737</v>
      </c>
      <c r="S6" s="175" t="s">
        <v>18</v>
      </c>
      <c r="T6" s="178" t="s">
        <v>20</v>
      </c>
    </row>
    <row r="7" spans="1:20" ht="35.1" customHeight="1" thickBot="1">
      <c r="A7" s="32" t="s">
        <v>551</v>
      </c>
      <c r="B7" s="180" t="s">
        <v>23</v>
      </c>
      <c r="C7" s="181" t="s">
        <v>23</v>
      </c>
      <c r="D7" s="182"/>
      <c r="E7" s="182"/>
      <c r="F7" s="182"/>
      <c r="G7" s="182"/>
      <c r="H7" s="182"/>
      <c r="I7" s="182"/>
      <c r="J7" s="183"/>
      <c r="K7" s="184"/>
      <c r="L7" s="185"/>
      <c r="M7" s="180" t="s">
        <v>24</v>
      </c>
      <c r="N7" s="186">
        <v>6176390033851</v>
      </c>
      <c r="O7" s="186">
        <v>6117431010122.9902</v>
      </c>
      <c r="P7" s="187">
        <f>+O7/$N7</f>
        <v>0.99045412880260597</v>
      </c>
      <c r="Q7" s="186">
        <v>6078249151265.7207</v>
      </c>
      <c r="R7" s="187">
        <f>+Q7/$N7</f>
        <v>0.9841103165364562</v>
      </c>
      <c r="S7" s="186">
        <v>6078231630601.7207</v>
      </c>
      <c r="T7" s="187">
        <f>+S7/$N7</f>
        <v>0.98410747982052593</v>
      </c>
    </row>
    <row r="8" spans="1:20" ht="35.1" customHeight="1">
      <c r="A8" s="32" t="s">
        <v>302</v>
      </c>
      <c r="B8" s="188" t="s">
        <v>303</v>
      </c>
      <c r="C8" s="189" t="s">
        <v>23</v>
      </c>
      <c r="D8" s="190" t="s">
        <v>25</v>
      </c>
      <c r="E8" s="191"/>
      <c r="F8" s="191"/>
      <c r="G8" s="191"/>
      <c r="H8" s="191"/>
      <c r="I8" s="191"/>
      <c r="J8" s="191"/>
      <c r="K8" s="192"/>
      <c r="L8" s="193"/>
      <c r="M8" s="188" t="s">
        <v>26</v>
      </c>
      <c r="N8" s="194">
        <v>99738000000</v>
      </c>
      <c r="O8" s="194">
        <v>98468482663</v>
      </c>
      <c r="P8" s="195">
        <f t="shared" ref="P8:R71" si="0">+O8/$N8</f>
        <v>0.98727147790210346</v>
      </c>
      <c r="Q8" s="194">
        <v>98468482663</v>
      </c>
      <c r="R8" s="195">
        <f t="shared" si="0"/>
        <v>0.98727147790210346</v>
      </c>
      <c r="S8" s="194">
        <v>98468482663</v>
      </c>
      <c r="T8" s="195">
        <f t="shared" ref="T8" si="1">+S8/$N8</f>
        <v>0.98727147790210346</v>
      </c>
    </row>
    <row r="9" spans="1:20" ht="24.95" customHeight="1">
      <c r="A9" s="32" t="s">
        <v>304</v>
      </c>
      <c r="B9" s="196" t="s">
        <v>305</v>
      </c>
      <c r="C9" s="197" t="s">
        <v>23</v>
      </c>
      <c r="D9" s="198" t="s">
        <v>25</v>
      </c>
      <c r="E9" s="198" t="s">
        <v>25</v>
      </c>
      <c r="F9" s="198"/>
      <c r="G9" s="198"/>
      <c r="H9" s="198"/>
      <c r="I9" s="198"/>
      <c r="J9" s="198"/>
      <c r="K9" s="199"/>
      <c r="L9" s="200"/>
      <c r="M9" s="196" t="s">
        <v>27</v>
      </c>
      <c r="N9" s="201">
        <v>99738000000</v>
      </c>
      <c r="O9" s="201">
        <v>98468482663</v>
      </c>
      <c r="P9" s="202">
        <f t="shared" si="0"/>
        <v>0.98727147790210346</v>
      </c>
      <c r="Q9" s="201">
        <v>98468482663</v>
      </c>
      <c r="R9" s="202">
        <f t="shared" si="0"/>
        <v>0.98727147790210346</v>
      </c>
      <c r="S9" s="201">
        <v>98468482663</v>
      </c>
      <c r="T9" s="202">
        <f t="shared" ref="T9" si="2">+S9/$N9</f>
        <v>0.98727147790210346</v>
      </c>
    </row>
    <row r="10" spans="1:20" ht="24.95" customHeight="1">
      <c r="A10" s="32" t="s">
        <v>306</v>
      </c>
      <c r="B10" s="203" t="s">
        <v>307</v>
      </c>
      <c r="C10" s="204" t="s">
        <v>23</v>
      </c>
      <c r="D10" s="205" t="s">
        <v>25</v>
      </c>
      <c r="E10" s="205" t="s">
        <v>25</v>
      </c>
      <c r="F10" s="205" t="s">
        <v>25</v>
      </c>
      <c r="G10" s="205"/>
      <c r="H10" s="205"/>
      <c r="I10" s="205"/>
      <c r="J10" s="205"/>
      <c r="K10" s="206" t="s">
        <v>28</v>
      </c>
      <c r="L10" s="207" t="s">
        <v>29</v>
      </c>
      <c r="M10" s="203" t="s">
        <v>30</v>
      </c>
      <c r="N10" s="208">
        <v>68019000000</v>
      </c>
      <c r="O10" s="208">
        <v>67321185111</v>
      </c>
      <c r="P10" s="209">
        <f t="shared" si="0"/>
        <v>0.98974088285626072</v>
      </c>
      <c r="Q10" s="208">
        <v>67321185111</v>
      </c>
      <c r="R10" s="209">
        <f t="shared" si="0"/>
        <v>0.98974088285626072</v>
      </c>
      <c r="S10" s="208">
        <v>67321185111</v>
      </c>
      <c r="T10" s="209">
        <f t="shared" ref="T10" si="3">+S10/$N10</f>
        <v>0.98974088285626072</v>
      </c>
    </row>
    <row r="11" spans="1:20" ht="24.95" customHeight="1">
      <c r="A11" s="32" t="s">
        <v>308</v>
      </c>
      <c r="B11" s="210" t="s">
        <v>309</v>
      </c>
      <c r="C11" s="211" t="s">
        <v>23</v>
      </c>
      <c r="D11" s="212" t="s">
        <v>25</v>
      </c>
      <c r="E11" s="212" t="s">
        <v>25</v>
      </c>
      <c r="F11" s="212" t="s">
        <v>25</v>
      </c>
      <c r="G11" s="212" t="s">
        <v>31</v>
      </c>
      <c r="H11" s="212"/>
      <c r="I11" s="212"/>
      <c r="J11" s="212"/>
      <c r="K11" s="213" t="s">
        <v>28</v>
      </c>
      <c r="L11" s="214" t="s">
        <v>29</v>
      </c>
      <c r="M11" s="210" t="s">
        <v>32</v>
      </c>
      <c r="N11" s="215">
        <v>68019000000</v>
      </c>
      <c r="O11" s="215">
        <v>67321185111</v>
      </c>
      <c r="P11" s="216">
        <f t="shared" si="0"/>
        <v>0.98974088285626072</v>
      </c>
      <c r="Q11" s="215">
        <v>67321185111</v>
      </c>
      <c r="R11" s="216">
        <f t="shared" si="0"/>
        <v>0.98974088285626072</v>
      </c>
      <c r="S11" s="215">
        <v>67321185111</v>
      </c>
      <c r="T11" s="216">
        <f t="shared" ref="T11" si="4">+S11/$N11</f>
        <v>0.98974088285626072</v>
      </c>
    </row>
    <row r="12" spans="1:20" ht="24.95" customHeight="1">
      <c r="A12" s="32" t="s">
        <v>310</v>
      </c>
      <c r="B12" s="217" t="s">
        <v>311</v>
      </c>
      <c r="C12" s="218" t="s">
        <v>23</v>
      </c>
      <c r="D12" s="219" t="s">
        <v>25</v>
      </c>
      <c r="E12" s="219" t="s">
        <v>25</v>
      </c>
      <c r="F12" s="219" t="s">
        <v>25</v>
      </c>
      <c r="G12" s="219" t="s">
        <v>31</v>
      </c>
      <c r="H12" s="219" t="s">
        <v>31</v>
      </c>
      <c r="I12" s="219"/>
      <c r="J12" s="219"/>
      <c r="K12" s="220" t="s">
        <v>28</v>
      </c>
      <c r="L12" s="221" t="s">
        <v>29</v>
      </c>
      <c r="M12" s="217" t="s">
        <v>33</v>
      </c>
      <c r="N12" s="222">
        <v>54858000000</v>
      </c>
      <c r="O12" s="222">
        <v>54578292208</v>
      </c>
      <c r="P12" s="224">
        <f t="shared" si="0"/>
        <v>0.99490123970979616</v>
      </c>
      <c r="Q12" s="222">
        <v>54578292208</v>
      </c>
      <c r="R12" s="224">
        <f t="shared" si="0"/>
        <v>0.99490123970979616</v>
      </c>
      <c r="S12" s="222">
        <v>54578292208</v>
      </c>
      <c r="T12" s="224">
        <f t="shared" ref="T12" si="5">+S12/$N12</f>
        <v>0.99490123970979616</v>
      </c>
    </row>
    <row r="13" spans="1:20" ht="24.95" customHeight="1">
      <c r="A13" s="32" t="s">
        <v>312</v>
      </c>
      <c r="B13" s="217" t="s">
        <v>313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34</v>
      </c>
      <c r="I13" s="219"/>
      <c r="J13" s="219"/>
      <c r="K13" s="220" t="s">
        <v>28</v>
      </c>
      <c r="L13" s="221" t="s">
        <v>29</v>
      </c>
      <c r="M13" s="217" t="s">
        <v>35</v>
      </c>
      <c r="N13" s="222">
        <v>263000000</v>
      </c>
      <c r="O13" s="222">
        <v>249645489</v>
      </c>
      <c r="P13" s="224">
        <f t="shared" si="0"/>
        <v>0.94922239163498101</v>
      </c>
      <c r="Q13" s="222">
        <v>249645489</v>
      </c>
      <c r="R13" s="224">
        <f t="shared" si="0"/>
        <v>0.94922239163498101</v>
      </c>
      <c r="S13" s="222">
        <v>249645489</v>
      </c>
      <c r="T13" s="224">
        <f t="shared" ref="T13" si="6">+S13/$N13</f>
        <v>0.94922239163498101</v>
      </c>
    </row>
    <row r="14" spans="1:20" ht="24.95" customHeight="1">
      <c r="A14" s="32" t="s">
        <v>314</v>
      </c>
      <c r="B14" s="217" t="s">
        <v>315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36</v>
      </c>
      <c r="I14" s="219"/>
      <c r="J14" s="219"/>
      <c r="K14" s="220" t="s">
        <v>28</v>
      </c>
      <c r="L14" s="221" t="s">
        <v>29</v>
      </c>
      <c r="M14" s="217" t="s">
        <v>37</v>
      </c>
      <c r="N14" s="222">
        <v>550000000</v>
      </c>
      <c r="O14" s="222">
        <v>544301726</v>
      </c>
      <c r="P14" s="224">
        <f t="shared" si="0"/>
        <v>0.98963950181818183</v>
      </c>
      <c r="Q14" s="222">
        <v>544301726</v>
      </c>
      <c r="R14" s="224">
        <f t="shared" si="0"/>
        <v>0.98963950181818183</v>
      </c>
      <c r="S14" s="222">
        <v>544301726</v>
      </c>
      <c r="T14" s="224">
        <f t="shared" ref="T14" si="7">+S14/$N14</f>
        <v>0.98963950181818183</v>
      </c>
    </row>
    <row r="15" spans="1:20" ht="24.95" customHeight="1">
      <c r="A15" s="32" t="s">
        <v>316</v>
      </c>
      <c r="B15" s="217" t="s">
        <v>317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38</v>
      </c>
      <c r="I15" s="219"/>
      <c r="J15" s="219"/>
      <c r="K15" s="220" t="s">
        <v>28</v>
      </c>
      <c r="L15" s="221" t="s">
        <v>29</v>
      </c>
      <c r="M15" s="217" t="s">
        <v>39</v>
      </c>
      <c r="N15" s="222">
        <v>100000000</v>
      </c>
      <c r="O15" s="222">
        <v>90718097</v>
      </c>
      <c r="P15" s="224">
        <f t="shared" si="0"/>
        <v>0.90718096999999998</v>
      </c>
      <c r="Q15" s="222">
        <v>90718097</v>
      </c>
      <c r="R15" s="224">
        <f t="shared" si="0"/>
        <v>0.90718096999999998</v>
      </c>
      <c r="S15" s="222">
        <v>90718097</v>
      </c>
      <c r="T15" s="224">
        <f t="shared" ref="T15" si="8">+S15/$N15</f>
        <v>0.90718096999999998</v>
      </c>
    </row>
    <row r="16" spans="1:20" ht="24.95" customHeight="1">
      <c r="A16" s="32" t="s">
        <v>318</v>
      </c>
      <c r="B16" s="217" t="s">
        <v>319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40</v>
      </c>
      <c r="I16" s="219"/>
      <c r="J16" s="219"/>
      <c r="K16" s="220" t="s">
        <v>28</v>
      </c>
      <c r="L16" s="221" t="s">
        <v>29</v>
      </c>
      <c r="M16" s="217" t="s">
        <v>41</v>
      </c>
      <c r="N16" s="222">
        <v>98000000</v>
      </c>
      <c r="O16" s="222">
        <v>67897335</v>
      </c>
      <c r="P16" s="224">
        <f t="shared" si="0"/>
        <v>0.69282994897959183</v>
      </c>
      <c r="Q16" s="222">
        <v>67897335</v>
      </c>
      <c r="R16" s="224">
        <f t="shared" si="0"/>
        <v>0.69282994897959183</v>
      </c>
      <c r="S16" s="222">
        <v>67897335</v>
      </c>
      <c r="T16" s="224">
        <f t="shared" ref="T16" si="9">+S16/$N16</f>
        <v>0.69282994897959183</v>
      </c>
    </row>
    <row r="17" spans="1:46" ht="24.95" customHeight="1">
      <c r="A17" s="32" t="s">
        <v>320</v>
      </c>
      <c r="B17" s="217" t="s">
        <v>321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42</v>
      </c>
      <c r="I17" s="219"/>
      <c r="J17" s="219"/>
      <c r="K17" s="220" t="s">
        <v>28</v>
      </c>
      <c r="L17" s="221" t="s">
        <v>29</v>
      </c>
      <c r="M17" s="217" t="s">
        <v>43</v>
      </c>
      <c r="N17" s="222">
        <v>2585622935</v>
      </c>
      <c r="O17" s="222">
        <v>2557145255</v>
      </c>
      <c r="P17" s="224">
        <f t="shared" si="0"/>
        <v>0.98898614348808755</v>
      </c>
      <c r="Q17" s="222">
        <v>2557145255</v>
      </c>
      <c r="R17" s="224">
        <f t="shared" si="0"/>
        <v>0.98898614348808755</v>
      </c>
      <c r="S17" s="222">
        <v>2557145255</v>
      </c>
      <c r="T17" s="224">
        <f t="shared" ref="T17" si="10">+S17/$N17</f>
        <v>0.98898614348808755</v>
      </c>
    </row>
    <row r="18" spans="1:46" ht="24.95" customHeight="1">
      <c r="A18" s="32" t="s">
        <v>322</v>
      </c>
      <c r="B18" s="217" t="s">
        <v>323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44</v>
      </c>
      <c r="I18" s="219"/>
      <c r="J18" s="219"/>
      <c r="K18" s="220" t="s">
        <v>28</v>
      </c>
      <c r="L18" s="221" t="s">
        <v>29</v>
      </c>
      <c r="M18" s="217" t="s">
        <v>45</v>
      </c>
      <c r="N18" s="222">
        <v>1800000000</v>
      </c>
      <c r="O18" s="222">
        <v>1762109475</v>
      </c>
      <c r="P18" s="224">
        <f t="shared" si="0"/>
        <v>0.97894970833333328</v>
      </c>
      <c r="Q18" s="222">
        <v>1762109475</v>
      </c>
      <c r="R18" s="224">
        <f t="shared" si="0"/>
        <v>0.97894970833333328</v>
      </c>
      <c r="S18" s="222">
        <v>1762109475</v>
      </c>
      <c r="T18" s="224">
        <f t="shared" ref="T18" si="11">+S18/$N18</f>
        <v>0.97894970833333328</v>
      </c>
    </row>
    <row r="19" spans="1:46" ht="24.95" customHeight="1">
      <c r="A19" s="32" t="s">
        <v>324</v>
      </c>
      <c r="B19" s="217" t="s">
        <v>325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46</v>
      </c>
      <c r="I19" s="219"/>
      <c r="J19" s="219"/>
      <c r="K19" s="220" t="s">
        <v>28</v>
      </c>
      <c r="L19" s="221" t="s">
        <v>29</v>
      </c>
      <c r="M19" s="217" t="s">
        <v>47</v>
      </c>
      <c r="N19" s="222">
        <v>250000000</v>
      </c>
      <c r="O19" s="222">
        <v>84750968</v>
      </c>
      <c r="P19" s="224">
        <f t="shared" si="0"/>
        <v>0.33900387199999998</v>
      </c>
      <c r="Q19" s="222">
        <v>84750968</v>
      </c>
      <c r="R19" s="224">
        <f t="shared" si="0"/>
        <v>0.33900387199999998</v>
      </c>
      <c r="S19" s="222">
        <v>84750968</v>
      </c>
      <c r="T19" s="224">
        <f t="shared" ref="T19" si="12">+S19/$N19</f>
        <v>0.33900387199999998</v>
      </c>
    </row>
    <row r="20" spans="1:46" ht="24.95" customHeight="1">
      <c r="A20" s="32" t="s">
        <v>326</v>
      </c>
      <c r="B20" s="217" t="s">
        <v>327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48</v>
      </c>
      <c r="I20" s="219"/>
      <c r="J20" s="219"/>
      <c r="K20" s="220" t="s">
        <v>28</v>
      </c>
      <c r="L20" s="221" t="s">
        <v>29</v>
      </c>
      <c r="M20" s="217" t="s">
        <v>49</v>
      </c>
      <c r="N20" s="222">
        <v>5537224465</v>
      </c>
      <c r="O20" s="222">
        <v>5420695487</v>
      </c>
      <c r="P20" s="224">
        <f t="shared" si="0"/>
        <v>0.97895534509453919</v>
      </c>
      <c r="Q20" s="222">
        <v>5420695487</v>
      </c>
      <c r="R20" s="224">
        <f t="shared" si="0"/>
        <v>0.97895534509453919</v>
      </c>
      <c r="S20" s="222">
        <v>5420695487</v>
      </c>
      <c r="T20" s="224">
        <f t="shared" ref="T20" si="13">+S20/$N20</f>
        <v>0.97895534509453919</v>
      </c>
    </row>
    <row r="21" spans="1:46" ht="24.95" customHeight="1">
      <c r="A21" s="32" t="s">
        <v>328</v>
      </c>
      <c r="B21" s="217" t="s">
        <v>329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50</v>
      </c>
      <c r="I21" s="219"/>
      <c r="J21" s="219"/>
      <c r="K21" s="220" t="s">
        <v>28</v>
      </c>
      <c r="L21" s="221" t="s">
        <v>29</v>
      </c>
      <c r="M21" s="217" t="s">
        <v>51</v>
      </c>
      <c r="N21" s="222">
        <v>1932152600</v>
      </c>
      <c r="O21" s="222">
        <v>1930058737</v>
      </c>
      <c r="P21" s="224">
        <f t="shared" si="0"/>
        <v>0.99891630557544986</v>
      </c>
      <c r="Q21" s="222">
        <v>1930058737</v>
      </c>
      <c r="R21" s="224">
        <f t="shared" si="0"/>
        <v>0.99891630557544986</v>
      </c>
      <c r="S21" s="222">
        <v>1930058737</v>
      </c>
      <c r="T21" s="224">
        <f t="shared" ref="T21" si="14">+S21/$N21</f>
        <v>0.99891630557544986</v>
      </c>
    </row>
    <row r="22" spans="1:46" s="64" customFormat="1" ht="24.95" customHeight="1">
      <c r="A22" s="32" t="s">
        <v>552</v>
      </c>
      <c r="B22" s="217" t="s">
        <v>553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25" t="s">
        <v>52</v>
      </c>
      <c r="I22" s="219"/>
      <c r="J22" s="219"/>
      <c r="K22" s="220" t="s">
        <v>28</v>
      </c>
      <c r="L22" s="221" t="s">
        <v>29</v>
      </c>
      <c r="M22" s="217" t="s">
        <v>53</v>
      </c>
      <c r="N22" s="222">
        <v>45000000</v>
      </c>
      <c r="O22" s="222">
        <v>35570334</v>
      </c>
      <c r="P22" s="224">
        <f t="shared" si="0"/>
        <v>0.79045186666666667</v>
      </c>
      <c r="Q22" s="222">
        <v>35570334</v>
      </c>
      <c r="R22" s="224">
        <f t="shared" si="0"/>
        <v>0.79045186666666667</v>
      </c>
      <c r="S22" s="222">
        <v>35570334</v>
      </c>
      <c r="T22" s="224">
        <f t="shared" ref="T22" si="15">+S22/$N22</f>
        <v>0.79045186666666667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</row>
    <row r="23" spans="1:46" ht="24.95" customHeight="1">
      <c r="A23" s="32" t="s">
        <v>330</v>
      </c>
      <c r="B23" s="226" t="s">
        <v>331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v>24735000000</v>
      </c>
      <c r="O23" s="232">
        <v>24255128677</v>
      </c>
      <c r="P23" s="233">
        <f t="shared" si="0"/>
        <v>0.98059950179907018</v>
      </c>
      <c r="Q23" s="232">
        <v>24255128677</v>
      </c>
      <c r="R23" s="233">
        <f t="shared" si="0"/>
        <v>0.98059950179907018</v>
      </c>
      <c r="S23" s="232">
        <v>24255128677</v>
      </c>
      <c r="T23" s="233">
        <f t="shared" ref="T23" si="16">+S23/$N23</f>
        <v>0.98059950179907018</v>
      </c>
    </row>
    <row r="24" spans="1:46" ht="24.95" customHeight="1">
      <c r="A24" s="32" t="s">
        <v>332</v>
      </c>
      <c r="B24" s="217" t="s">
        <v>333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7100000000</v>
      </c>
      <c r="O24" s="222">
        <v>7058853658</v>
      </c>
      <c r="P24" s="224">
        <f t="shared" si="0"/>
        <v>0.99420474056338026</v>
      </c>
      <c r="Q24" s="222">
        <v>7058853658</v>
      </c>
      <c r="R24" s="224">
        <f t="shared" si="0"/>
        <v>0.99420474056338026</v>
      </c>
      <c r="S24" s="222">
        <v>7058853658</v>
      </c>
      <c r="T24" s="224">
        <f t="shared" ref="T24" si="17">+S24/$N24</f>
        <v>0.99420474056338026</v>
      </c>
    </row>
    <row r="25" spans="1:46" ht="24.95" customHeight="1">
      <c r="A25" s="32" t="s">
        <v>334</v>
      </c>
      <c r="B25" s="217" t="s">
        <v>335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5520000000</v>
      </c>
      <c r="O25" s="222">
        <v>5151022658</v>
      </c>
      <c r="P25" s="224">
        <f t="shared" si="0"/>
        <v>0.9331562786231884</v>
      </c>
      <c r="Q25" s="222">
        <v>5151022658</v>
      </c>
      <c r="R25" s="224">
        <f t="shared" si="0"/>
        <v>0.9331562786231884</v>
      </c>
      <c r="S25" s="222">
        <v>5151022658</v>
      </c>
      <c r="T25" s="224">
        <f t="shared" ref="T25" si="18">+S25/$N25</f>
        <v>0.9331562786231884</v>
      </c>
    </row>
    <row r="26" spans="1:46" ht="24.95" customHeight="1">
      <c r="A26" s="32" t="s">
        <v>336</v>
      </c>
      <c r="B26" s="217" t="s">
        <v>337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5845000000</v>
      </c>
      <c r="O26" s="222">
        <v>5842796361</v>
      </c>
      <c r="P26" s="224">
        <f t="shared" si="0"/>
        <v>0.99962298733960653</v>
      </c>
      <c r="Q26" s="222">
        <v>5842796361</v>
      </c>
      <c r="R26" s="224">
        <f t="shared" si="0"/>
        <v>0.99962298733960653</v>
      </c>
      <c r="S26" s="222">
        <v>5842796361</v>
      </c>
      <c r="T26" s="224">
        <f t="shared" ref="T26" si="19">+S26/$N26</f>
        <v>0.99962298733960653</v>
      </c>
    </row>
    <row r="27" spans="1:46" ht="24.95" customHeight="1">
      <c r="A27" s="32" t="s">
        <v>338</v>
      </c>
      <c r="B27" s="217" t="s">
        <v>339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2520000000</v>
      </c>
      <c r="O27" s="222">
        <v>2508546200</v>
      </c>
      <c r="P27" s="224">
        <f t="shared" si="0"/>
        <v>0.9954548412698413</v>
      </c>
      <c r="Q27" s="222">
        <v>2508546200</v>
      </c>
      <c r="R27" s="224">
        <f t="shared" si="0"/>
        <v>0.9954548412698413</v>
      </c>
      <c r="S27" s="222">
        <v>2508546200</v>
      </c>
      <c r="T27" s="224">
        <f t="shared" ref="T27" si="20">+S27/$N27</f>
        <v>0.9954548412698413</v>
      </c>
    </row>
    <row r="28" spans="1:46" ht="24.95" customHeight="1">
      <c r="A28" s="32" t="s">
        <v>340</v>
      </c>
      <c r="B28" s="217" t="s">
        <v>341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570000000</v>
      </c>
      <c r="O28" s="222">
        <v>556154500</v>
      </c>
      <c r="P28" s="224">
        <f t="shared" si="0"/>
        <v>0.975709649122807</v>
      </c>
      <c r="Q28" s="222">
        <v>556154500</v>
      </c>
      <c r="R28" s="224">
        <f t="shared" si="0"/>
        <v>0.975709649122807</v>
      </c>
      <c r="S28" s="222">
        <v>556154500</v>
      </c>
      <c r="T28" s="224">
        <f t="shared" ref="T28" si="21">+S28/$N28</f>
        <v>0.975709649122807</v>
      </c>
    </row>
    <row r="29" spans="1:46" ht="24.95" customHeight="1">
      <c r="A29" s="32" t="s">
        <v>342</v>
      </c>
      <c r="B29" s="217" t="s">
        <v>343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>
        <v>1881671800</v>
      </c>
      <c r="P29" s="224">
        <f t="shared" si="0"/>
        <v>0.99559354497354502</v>
      </c>
      <c r="Q29" s="222">
        <v>1881671800</v>
      </c>
      <c r="R29" s="224">
        <f t="shared" si="0"/>
        <v>0.99559354497354502</v>
      </c>
      <c r="S29" s="222">
        <v>1881671800</v>
      </c>
      <c r="T29" s="224">
        <f t="shared" ref="T29" si="22">+S29/$N29</f>
        <v>0.99559354497354502</v>
      </c>
    </row>
    <row r="30" spans="1:46" ht="24.95" customHeight="1">
      <c r="A30" s="32" t="s">
        <v>344</v>
      </c>
      <c r="B30" s="217" t="s">
        <v>345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>
        <v>314180300</v>
      </c>
      <c r="P30" s="224">
        <f t="shared" si="0"/>
        <v>0.98181343750000005</v>
      </c>
      <c r="Q30" s="222">
        <v>314180300</v>
      </c>
      <c r="R30" s="224">
        <f t="shared" si="0"/>
        <v>0.98181343750000005</v>
      </c>
      <c r="S30" s="222">
        <v>314180300</v>
      </c>
      <c r="T30" s="224">
        <f t="shared" ref="T30" si="23">+S30/$N30</f>
        <v>0.98181343750000005</v>
      </c>
    </row>
    <row r="31" spans="1:46" ht="24.95" customHeight="1">
      <c r="A31" s="32" t="s">
        <v>346</v>
      </c>
      <c r="B31" s="217" t="s">
        <v>347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>
        <v>314180300</v>
      </c>
      <c r="P31" s="224">
        <f t="shared" si="0"/>
        <v>0.98181343750000005</v>
      </c>
      <c r="Q31" s="222">
        <v>314180300</v>
      </c>
      <c r="R31" s="224">
        <f t="shared" si="0"/>
        <v>0.98181343750000005</v>
      </c>
      <c r="S31" s="222">
        <v>314180300</v>
      </c>
      <c r="T31" s="224">
        <f t="shared" ref="T31" si="24">+S31/$N31</f>
        <v>0.98181343750000005</v>
      </c>
    </row>
    <row r="32" spans="1:46" ht="24.95" customHeight="1">
      <c r="A32" s="32" t="s">
        <v>348</v>
      </c>
      <c r="B32" s="217" t="s">
        <v>349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>
        <v>627722900</v>
      </c>
      <c r="P32" s="224">
        <f t="shared" si="0"/>
        <v>0.96572753846153847</v>
      </c>
      <c r="Q32" s="222">
        <v>627722900</v>
      </c>
      <c r="R32" s="224">
        <f t="shared" si="0"/>
        <v>0.96572753846153847</v>
      </c>
      <c r="S32" s="222">
        <v>627722900</v>
      </c>
      <c r="T32" s="224">
        <f t="shared" ref="T32" si="25">+S32/$N32</f>
        <v>0.96572753846153847</v>
      </c>
    </row>
    <row r="33" spans="1:20" ht="24.95" customHeight="1">
      <c r="A33" s="32" t="s">
        <v>350</v>
      </c>
      <c r="B33" s="226" t="s">
        <v>351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v>6984000000</v>
      </c>
      <c r="O33" s="232">
        <v>6892168875</v>
      </c>
      <c r="P33" s="233">
        <f t="shared" si="0"/>
        <v>0.98685121348797256</v>
      </c>
      <c r="Q33" s="232">
        <v>6892168875</v>
      </c>
      <c r="R33" s="233">
        <f t="shared" si="0"/>
        <v>0.98685121348797256</v>
      </c>
      <c r="S33" s="232">
        <v>6892168875</v>
      </c>
      <c r="T33" s="233">
        <f t="shared" ref="T33" si="26">+S33/$N33</f>
        <v>0.98685121348797256</v>
      </c>
    </row>
    <row r="34" spans="1:20" ht="24.95" customHeight="1">
      <c r="A34" s="32" t="s">
        <v>352</v>
      </c>
      <c r="B34" s="210" t="s">
        <v>353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v>3190236718</v>
      </c>
      <c r="O34" s="215">
        <v>3123433113</v>
      </c>
      <c r="P34" s="216">
        <f t="shared" si="0"/>
        <v>0.97905998491488744</v>
      </c>
      <c r="Q34" s="215">
        <v>3123433113</v>
      </c>
      <c r="R34" s="216">
        <f t="shared" si="0"/>
        <v>0.97905998491488744</v>
      </c>
      <c r="S34" s="215">
        <v>3123433113</v>
      </c>
      <c r="T34" s="216">
        <f t="shared" ref="T34" si="27">+S34/$N34</f>
        <v>0.97905998491488744</v>
      </c>
    </row>
    <row r="35" spans="1:20" ht="24.95" customHeight="1">
      <c r="A35" s="32" t="s">
        <v>354</v>
      </c>
      <c r="B35" s="217" t="s">
        <v>355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2640236718</v>
      </c>
      <c r="O35" s="222">
        <v>2578829230</v>
      </c>
      <c r="P35" s="224">
        <f t="shared" si="0"/>
        <v>0.97674167335779016</v>
      </c>
      <c r="Q35" s="222">
        <v>2578829230</v>
      </c>
      <c r="R35" s="224">
        <f t="shared" si="0"/>
        <v>0.97674167335779016</v>
      </c>
      <c r="S35" s="222">
        <v>2578829230</v>
      </c>
      <c r="T35" s="224">
        <f t="shared" ref="T35" si="28">+S35/$N35</f>
        <v>0.97674167335779016</v>
      </c>
    </row>
    <row r="36" spans="1:20" ht="24.95" customHeight="1">
      <c r="A36" s="32" t="s">
        <v>356</v>
      </c>
      <c r="B36" s="217" t="s">
        <v>357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315000000</v>
      </c>
      <c r="O36" s="222">
        <v>309658932</v>
      </c>
      <c r="P36" s="224">
        <f t="shared" si="0"/>
        <v>0.98304422857142859</v>
      </c>
      <c r="Q36" s="222">
        <v>309658932</v>
      </c>
      <c r="R36" s="224">
        <f t="shared" si="0"/>
        <v>0.98304422857142859</v>
      </c>
      <c r="S36" s="222">
        <v>309658932</v>
      </c>
      <c r="T36" s="224">
        <f t="shared" ref="T36" si="29">+S36/$N36</f>
        <v>0.98304422857142859</v>
      </c>
    </row>
    <row r="37" spans="1:20" ht="24.95" customHeight="1">
      <c r="A37" s="32" t="s">
        <v>358</v>
      </c>
      <c r="B37" s="234" t="s">
        <v>359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235000000</v>
      </c>
      <c r="O37" s="239">
        <v>234944951</v>
      </c>
      <c r="P37" s="240">
        <f t="shared" si="0"/>
        <v>0.99976574893617021</v>
      </c>
      <c r="Q37" s="239">
        <v>234944951</v>
      </c>
      <c r="R37" s="240">
        <f t="shared" si="0"/>
        <v>0.99976574893617021</v>
      </c>
      <c r="S37" s="239">
        <v>234944951</v>
      </c>
      <c r="T37" s="240">
        <f t="shared" ref="T37" si="30">+S37/$N37</f>
        <v>0.99976574893617021</v>
      </c>
    </row>
    <row r="38" spans="1:20" ht="24.95" customHeight="1">
      <c r="A38" s="32" t="s">
        <v>360</v>
      </c>
      <c r="B38" s="217" t="s">
        <v>361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2339263282</v>
      </c>
      <c r="O38" s="222">
        <v>2332797927</v>
      </c>
      <c r="P38" s="224">
        <f t="shared" si="0"/>
        <v>0.99723615761861906</v>
      </c>
      <c r="Q38" s="222">
        <v>2332797927</v>
      </c>
      <c r="R38" s="224">
        <f t="shared" si="0"/>
        <v>0.99723615761861906</v>
      </c>
      <c r="S38" s="222">
        <v>2332797927</v>
      </c>
      <c r="T38" s="224">
        <f t="shared" ref="T38" si="31">+S38/$N38</f>
        <v>0.99723615761861906</v>
      </c>
    </row>
    <row r="39" spans="1:20" ht="24.95" customHeight="1">
      <c r="A39" s="32" t="s">
        <v>362</v>
      </c>
      <c r="B39" s="217" t="s">
        <v>363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4500000</v>
      </c>
      <c r="O39" s="222">
        <v>4181412</v>
      </c>
      <c r="P39" s="224">
        <f t="shared" si="0"/>
        <v>0.92920266666666662</v>
      </c>
      <c r="Q39" s="222">
        <v>4181412</v>
      </c>
      <c r="R39" s="224">
        <f t="shared" si="0"/>
        <v>0.92920266666666662</v>
      </c>
      <c r="S39" s="222">
        <v>4181412</v>
      </c>
      <c r="T39" s="224">
        <f t="shared" ref="T39" si="32">+S39/$N39</f>
        <v>0.92920266666666662</v>
      </c>
    </row>
    <row r="40" spans="1:20" ht="24.95" customHeight="1">
      <c r="A40" s="32" t="s">
        <v>365</v>
      </c>
      <c r="B40" s="217" t="s">
        <v>366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>
        <v>29999994</v>
      </c>
      <c r="P40" s="224">
        <f t="shared" si="0"/>
        <v>0.99999979999999999</v>
      </c>
      <c r="Q40" s="222">
        <v>29999994</v>
      </c>
      <c r="R40" s="224">
        <f t="shared" si="0"/>
        <v>0.99999979999999999</v>
      </c>
      <c r="S40" s="222">
        <v>29999994</v>
      </c>
      <c r="T40" s="224">
        <f t="shared" ref="T40" si="33">+S40/$N40</f>
        <v>0.99999979999999999</v>
      </c>
    </row>
    <row r="41" spans="1:20" ht="24.95" customHeight="1">
      <c r="A41" s="32" t="s">
        <v>367</v>
      </c>
      <c r="B41" s="217" t="s">
        <v>368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835000000</v>
      </c>
      <c r="O41" s="222">
        <v>826040682</v>
      </c>
      <c r="P41" s="224">
        <f t="shared" si="0"/>
        <v>0.98927027784431143</v>
      </c>
      <c r="Q41" s="222">
        <v>826040682</v>
      </c>
      <c r="R41" s="224">
        <f t="shared" si="0"/>
        <v>0.98927027784431143</v>
      </c>
      <c r="S41" s="222">
        <v>826040682</v>
      </c>
      <c r="T41" s="224">
        <f t="shared" ref="T41" si="34">+S41/$N41</f>
        <v>0.98927027784431143</v>
      </c>
    </row>
    <row r="42" spans="1:20" ht="24.95" customHeight="1">
      <c r="A42" s="32" t="s">
        <v>369</v>
      </c>
      <c r="B42" s="217" t="s">
        <v>370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585000000</v>
      </c>
      <c r="O42" s="222">
        <v>575715747</v>
      </c>
      <c r="P42" s="224">
        <f t="shared" si="0"/>
        <v>0.98412948205128203</v>
      </c>
      <c r="Q42" s="222">
        <v>575715747</v>
      </c>
      <c r="R42" s="224">
        <f t="shared" si="0"/>
        <v>0.98412948205128203</v>
      </c>
      <c r="S42" s="222">
        <v>575715747</v>
      </c>
      <c r="T42" s="224">
        <f t="shared" ref="T42" si="35">+S42/$N42</f>
        <v>0.98412948205128203</v>
      </c>
    </row>
    <row r="43" spans="1:20" ht="35.1" customHeight="1">
      <c r="A43" s="32" t="s">
        <v>371</v>
      </c>
      <c r="B43" s="188" t="s">
        <v>372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v>42360592537.999992</v>
      </c>
      <c r="O43" s="194">
        <v>39471747226.709999</v>
      </c>
      <c r="P43" s="195">
        <f t="shared" si="0"/>
        <v>0.93180347256241691</v>
      </c>
      <c r="Q43" s="194">
        <v>36941688295.440002</v>
      </c>
      <c r="R43" s="195">
        <f t="shared" si="0"/>
        <v>0.87207676007603274</v>
      </c>
      <c r="S43" s="194">
        <v>36924170141.440002</v>
      </c>
      <c r="T43" s="195">
        <f t="shared" ref="T43" si="36">+S43/$N43</f>
        <v>0.87166321170594596</v>
      </c>
    </row>
    <row r="44" spans="1:20" ht="24.95" customHeight="1">
      <c r="A44" s="32" t="s">
        <v>376</v>
      </c>
      <c r="B44" s="196" t="s">
        <v>377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v>42360592537.999992</v>
      </c>
      <c r="O44" s="201">
        <v>39471747226.709999</v>
      </c>
      <c r="P44" s="202">
        <f t="shared" si="0"/>
        <v>0.93180347256241691</v>
      </c>
      <c r="Q44" s="201">
        <v>36941688295.440002</v>
      </c>
      <c r="R44" s="202">
        <f t="shared" si="0"/>
        <v>0.87207676007603274</v>
      </c>
      <c r="S44" s="201">
        <v>36924170141.440002</v>
      </c>
      <c r="T44" s="202">
        <f t="shared" ref="T44" si="37">+S44/$N44</f>
        <v>0.87166321170594596</v>
      </c>
    </row>
    <row r="45" spans="1:20" ht="24.95" customHeight="1">
      <c r="A45" s="32" t="s">
        <v>378</v>
      </c>
      <c r="B45" s="203" t="s">
        <v>379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v>1107415539.74</v>
      </c>
      <c r="O45" s="208">
        <v>883234964.6500001</v>
      </c>
      <c r="P45" s="209">
        <f t="shared" si="0"/>
        <v>0.79756417799353507</v>
      </c>
      <c r="Q45" s="208">
        <v>574370168.25</v>
      </c>
      <c r="R45" s="209">
        <f t="shared" si="0"/>
        <v>0.51865821603411044</v>
      </c>
      <c r="S45" s="208">
        <v>574370168.25</v>
      </c>
      <c r="T45" s="209">
        <f t="shared" ref="T45" si="38">+S45/$N45</f>
        <v>0.51865821603411044</v>
      </c>
    </row>
    <row r="46" spans="1:20" ht="24.95" customHeight="1">
      <c r="A46" s="32" t="s">
        <v>380</v>
      </c>
      <c r="B46" s="210" t="s">
        <v>381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v>57432471</v>
      </c>
      <c r="O46" s="215">
        <v>57426930.479999997</v>
      </c>
      <c r="P46" s="216">
        <f t="shared" si="0"/>
        <v>0.99990352983419428</v>
      </c>
      <c r="Q46" s="215">
        <v>57426930.479999997</v>
      </c>
      <c r="R46" s="216">
        <f t="shared" si="0"/>
        <v>0.99990352983419428</v>
      </c>
      <c r="S46" s="215">
        <v>57426930.479999997</v>
      </c>
      <c r="T46" s="216">
        <f t="shared" ref="T46" si="39">+S46/$N46</f>
        <v>0.99990352983419428</v>
      </c>
    </row>
    <row r="47" spans="1:20" ht="24.95" customHeight="1">
      <c r="A47" s="32" t="s">
        <v>554</v>
      </c>
      <c r="B47" s="217" t="s">
        <v>555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50000000</v>
      </c>
      <c r="O47" s="222">
        <v>49994460.479999997</v>
      </c>
      <c r="P47" s="224">
        <f t="shared" si="0"/>
        <v>0.99988920959999994</v>
      </c>
      <c r="Q47" s="222">
        <v>49994460.479999997</v>
      </c>
      <c r="R47" s="224">
        <f t="shared" si="0"/>
        <v>0.99988920959999994</v>
      </c>
      <c r="S47" s="222">
        <v>49994460.479999997</v>
      </c>
      <c r="T47" s="224">
        <f t="shared" ref="T47" si="40">+S47/$N47</f>
        <v>0.99988920959999994</v>
      </c>
    </row>
    <row r="48" spans="1:20" ht="24.95" customHeight="1">
      <c r="A48" s="32" t="s">
        <v>556</v>
      </c>
      <c r="B48" s="217" t="s">
        <v>557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7432471</v>
      </c>
      <c r="O48" s="222">
        <v>7432470</v>
      </c>
      <c r="P48" s="224">
        <f t="shared" si="0"/>
        <v>0.99999986545524366</v>
      </c>
      <c r="Q48" s="222">
        <v>7432470</v>
      </c>
      <c r="R48" s="224">
        <f t="shared" si="0"/>
        <v>0.99999986545524366</v>
      </c>
      <c r="S48" s="222">
        <v>7432470</v>
      </c>
      <c r="T48" s="224">
        <f t="shared" ref="T48" si="41">+S48/$N48</f>
        <v>0.99999986545524366</v>
      </c>
    </row>
    <row r="49" spans="1:43" ht="49.5">
      <c r="A49" s="32" t="s">
        <v>382</v>
      </c>
      <c r="B49" s="210" t="s">
        <v>383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v>90650000</v>
      </c>
      <c r="O49" s="215">
        <v>70647184.780000001</v>
      </c>
      <c r="P49" s="216">
        <f t="shared" si="0"/>
        <v>0.7793401520132377</v>
      </c>
      <c r="Q49" s="215">
        <v>52344620.880000003</v>
      </c>
      <c r="R49" s="216">
        <f t="shared" si="0"/>
        <v>0.57743652377275234</v>
      </c>
      <c r="S49" s="215">
        <v>52344620.880000003</v>
      </c>
      <c r="T49" s="216">
        <f t="shared" ref="T49" si="42">+S49/$N49</f>
        <v>0.57743652377275234</v>
      </c>
    </row>
    <row r="50" spans="1:43" ht="24.95" customHeight="1">
      <c r="A50" s="32" t="s">
        <v>558</v>
      </c>
      <c r="B50" s="217" t="s">
        <v>559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90650000</v>
      </c>
      <c r="O50" s="222">
        <v>70647184.780000001</v>
      </c>
      <c r="P50" s="224">
        <f t="shared" si="0"/>
        <v>0.7793401520132377</v>
      </c>
      <c r="Q50" s="222">
        <v>52344620.880000003</v>
      </c>
      <c r="R50" s="224">
        <f t="shared" si="0"/>
        <v>0.57743652377275234</v>
      </c>
      <c r="S50" s="222">
        <v>52344620.880000003</v>
      </c>
      <c r="T50" s="224">
        <f t="shared" ref="T50" si="43">+S50/$N50</f>
        <v>0.57743652377275234</v>
      </c>
    </row>
    <row r="51" spans="1:43" ht="49.5">
      <c r="A51" s="32" t="s">
        <v>384</v>
      </c>
      <c r="B51" s="210" t="s">
        <v>385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v>689829611</v>
      </c>
      <c r="O51" s="215">
        <v>494606532.84000003</v>
      </c>
      <c r="P51" s="216">
        <f t="shared" si="0"/>
        <v>0.71699811801787094</v>
      </c>
      <c r="Q51" s="215">
        <v>283993200.34000003</v>
      </c>
      <c r="R51" s="216">
        <f t="shared" si="0"/>
        <v>0.41168601030088287</v>
      </c>
      <c r="S51" s="215">
        <v>283993200.34000003</v>
      </c>
      <c r="T51" s="216">
        <f t="shared" ref="T51" si="44">+S51/$N51</f>
        <v>0.41168601030088287</v>
      </c>
    </row>
    <row r="52" spans="1:43" ht="24" customHeight="1">
      <c r="A52" s="32" t="s">
        <v>560</v>
      </c>
      <c r="B52" s="217" t="s">
        <v>561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212959272</v>
      </c>
      <c r="O52" s="222">
        <v>200021322.81999999</v>
      </c>
      <c r="P52" s="224">
        <f t="shared" si="0"/>
        <v>0.93924683786484764</v>
      </c>
      <c r="Q52" s="222">
        <v>79724961.819999993</v>
      </c>
      <c r="R52" s="224">
        <f t="shared" si="0"/>
        <v>0.37436717862183522</v>
      </c>
      <c r="S52" s="222">
        <v>79724961.819999993</v>
      </c>
      <c r="T52" s="224">
        <f t="shared" ref="T52" si="45">+S52/$N52</f>
        <v>0.37436717862183522</v>
      </c>
    </row>
    <row r="53" spans="1:43" ht="24" customHeight="1">
      <c r="A53" s="32" t="s">
        <v>562</v>
      </c>
      <c r="B53" s="217" t="s">
        <v>563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98064202</v>
      </c>
      <c r="O53" s="222">
        <v>40652028</v>
      </c>
      <c r="P53" s="224">
        <f t="shared" si="0"/>
        <v>0.41454503448669272</v>
      </c>
      <c r="Q53" s="222">
        <v>35890405</v>
      </c>
      <c r="R53" s="224">
        <f t="shared" si="0"/>
        <v>0.36598885493403599</v>
      </c>
      <c r="S53" s="222">
        <v>35890405</v>
      </c>
      <c r="T53" s="224">
        <f t="shared" ref="T53" si="46">+S53/$N53</f>
        <v>0.36598885493403599</v>
      </c>
    </row>
    <row r="54" spans="1:43" ht="24" customHeight="1">
      <c r="A54" s="32" t="s">
        <v>564</v>
      </c>
      <c r="B54" s="217" t="s">
        <v>565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262000000</v>
      </c>
      <c r="O54" s="222">
        <v>140553327</v>
      </c>
      <c r="P54" s="224">
        <f t="shared" si="0"/>
        <v>0.53646308015267175</v>
      </c>
      <c r="Q54" s="222">
        <v>56894827</v>
      </c>
      <c r="R54" s="224">
        <f t="shared" si="0"/>
        <v>0.21715582824427482</v>
      </c>
      <c r="S54" s="222">
        <v>56894827</v>
      </c>
      <c r="T54" s="224">
        <f t="shared" ref="T54" si="47">+S54/$N54</f>
        <v>0.21715582824427482</v>
      </c>
    </row>
    <row r="55" spans="1:43" ht="24" customHeight="1">
      <c r="A55" s="32" t="s">
        <v>566</v>
      </c>
      <c r="B55" s="217" t="s">
        <v>567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16000000</v>
      </c>
      <c r="O55" s="222">
        <v>15995372.800000001</v>
      </c>
      <c r="P55" s="224">
        <f t="shared" si="0"/>
        <v>0.99971080000000001</v>
      </c>
      <c r="Q55" s="222">
        <v>15995372.800000001</v>
      </c>
      <c r="R55" s="224">
        <f t="shared" si="0"/>
        <v>0.99971080000000001</v>
      </c>
      <c r="S55" s="222">
        <v>15995372.800000001</v>
      </c>
      <c r="T55" s="224">
        <f t="shared" ref="T55" si="48">+S55/$N55</f>
        <v>0.99971080000000001</v>
      </c>
    </row>
    <row r="56" spans="1:43" ht="24" customHeight="1">
      <c r="A56" s="32" t="s">
        <v>568</v>
      </c>
      <c r="B56" s="217" t="s">
        <v>569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1200000</v>
      </c>
      <c r="O56" s="222">
        <v>1200000</v>
      </c>
      <c r="P56" s="224">
        <f t="shared" si="0"/>
        <v>1</v>
      </c>
      <c r="Q56" s="222">
        <v>1200000</v>
      </c>
      <c r="R56" s="224">
        <f t="shared" si="0"/>
        <v>1</v>
      </c>
      <c r="S56" s="222">
        <v>1200000</v>
      </c>
      <c r="T56" s="224">
        <f t="shared" ref="T56" si="49">+S56/$N56</f>
        <v>1</v>
      </c>
    </row>
    <row r="57" spans="1:43" ht="24" customHeight="1">
      <c r="A57" s="32" t="s">
        <v>570</v>
      </c>
      <c r="B57" s="217" t="s">
        <v>571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99606137</v>
      </c>
      <c r="O57" s="222">
        <v>96184482.219999999</v>
      </c>
      <c r="P57" s="224">
        <f t="shared" si="0"/>
        <v>0.96564815298479045</v>
      </c>
      <c r="Q57" s="222">
        <v>94287633.719999999</v>
      </c>
      <c r="R57" s="224">
        <f t="shared" si="0"/>
        <v>0.94660466272273969</v>
      </c>
      <c r="S57" s="222">
        <v>94287633.719999999</v>
      </c>
      <c r="T57" s="224">
        <f t="shared" ref="T57" si="50">+S57/$N57</f>
        <v>0.94660466272273969</v>
      </c>
    </row>
    <row r="58" spans="1:43" ht="24.95" customHeight="1">
      <c r="A58" s="32" t="s">
        <v>386</v>
      </c>
      <c r="B58" s="210" t="s">
        <v>387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v>269503457.74000001</v>
      </c>
      <c r="O58" s="215">
        <v>260554316.55000001</v>
      </c>
      <c r="P58" s="216">
        <f t="shared" si="0"/>
        <v>0.96679396522387639</v>
      </c>
      <c r="Q58" s="215">
        <v>180605416.55000001</v>
      </c>
      <c r="R58" s="216">
        <f t="shared" si="0"/>
        <v>0.67014137059509182</v>
      </c>
      <c r="S58" s="215">
        <v>180605416.55000001</v>
      </c>
      <c r="T58" s="216">
        <f t="shared" ref="T58" si="51">+S58/$N58</f>
        <v>0.67014137059509182</v>
      </c>
    </row>
    <row r="59" spans="1:43" ht="24.95" customHeight="1">
      <c r="A59" s="32" t="s">
        <v>572</v>
      </c>
      <c r="B59" s="217" t="s">
        <v>573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25000000</v>
      </c>
      <c r="O59" s="222">
        <v>21362321</v>
      </c>
      <c r="P59" s="224">
        <f t="shared" si="0"/>
        <v>0.85449284000000003</v>
      </c>
      <c r="Q59" s="222">
        <v>21362321</v>
      </c>
      <c r="R59" s="224">
        <f t="shared" si="0"/>
        <v>0.85449284000000003</v>
      </c>
      <c r="S59" s="222">
        <v>21362321</v>
      </c>
      <c r="T59" s="224">
        <f t="shared" ref="T59" si="52">+S59/$N59</f>
        <v>0.85449284000000003</v>
      </c>
    </row>
    <row r="60" spans="1:43" s="64" customFormat="1" ht="24.95" customHeight="1">
      <c r="A60" s="32" t="s">
        <v>574</v>
      </c>
      <c r="B60" s="217" t="s">
        <v>575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v>50000000</v>
      </c>
      <c r="O60" s="222">
        <v>49997499</v>
      </c>
      <c r="P60" s="224">
        <f t="shared" si="0"/>
        <v>0.99994998000000002</v>
      </c>
      <c r="Q60" s="222">
        <v>49997499</v>
      </c>
      <c r="R60" s="224">
        <f t="shared" si="0"/>
        <v>0.99994998000000002</v>
      </c>
      <c r="S60" s="222">
        <v>49997499</v>
      </c>
      <c r="T60" s="224">
        <f t="shared" ref="T60" si="53">+S60/$N60</f>
        <v>0.99994998000000002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s="64" customFormat="1" ht="24.95" customHeight="1">
      <c r="A61" s="32" t="s">
        <v>576</v>
      </c>
      <c r="B61" s="217" t="s">
        <v>577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v>30000000</v>
      </c>
      <c r="O61" s="222">
        <v>29999996.550000001</v>
      </c>
      <c r="P61" s="224">
        <f t="shared" si="0"/>
        <v>0.99999988500000003</v>
      </c>
      <c r="Q61" s="222">
        <v>29999996.550000001</v>
      </c>
      <c r="R61" s="224">
        <f t="shared" si="0"/>
        <v>0.99999988500000003</v>
      </c>
      <c r="S61" s="222">
        <v>29999996.550000001</v>
      </c>
      <c r="T61" s="224">
        <f t="shared" ref="T61" si="54">+S61/$N61</f>
        <v>0.99999988500000003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4.95" customHeight="1">
      <c r="A62" s="32" t="s">
        <v>578</v>
      </c>
      <c r="B62" s="217" t="s">
        <v>579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157093457.74000001</v>
      </c>
      <c r="O62" s="222">
        <v>152534500</v>
      </c>
      <c r="P62" s="224">
        <f t="shared" si="0"/>
        <v>0.97097932781169416</v>
      </c>
      <c r="Q62" s="222">
        <v>72585600</v>
      </c>
      <c r="R62" s="224">
        <f t="shared" si="0"/>
        <v>0.46205361473508294</v>
      </c>
      <c r="S62" s="222">
        <v>72585600</v>
      </c>
      <c r="T62" s="224">
        <f t="shared" ref="T62" si="55">+S62/$N62</f>
        <v>0.46205361473508294</v>
      </c>
    </row>
    <row r="63" spans="1:43" s="64" customFormat="1" ht="24.95" customHeight="1">
      <c r="A63" s="241" t="s">
        <v>580</v>
      </c>
      <c r="B63" s="242" t="s">
        <v>581</v>
      </c>
      <c r="C63" s="243" t="s">
        <v>23</v>
      </c>
      <c r="D63" s="244" t="s">
        <v>54</v>
      </c>
      <c r="E63" s="244" t="s">
        <v>54</v>
      </c>
      <c r="F63" s="244" t="s">
        <v>25</v>
      </c>
      <c r="G63" s="244" t="s">
        <v>38</v>
      </c>
      <c r="H63" s="244" t="s">
        <v>46</v>
      </c>
      <c r="I63" s="244"/>
      <c r="J63" s="244"/>
      <c r="K63" s="245">
        <v>10</v>
      </c>
      <c r="L63" s="246" t="s">
        <v>29</v>
      </c>
      <c r="M63" s="247" t="s">
        <v>258</v>
      </c>
      <c r="N63" s="222">
        <v>7410000</v>
      </c>
      <c r="O63" s="222">
        <v>6660000</v>
      </c>
      <c r="P63" s="224">
        <f t="shared" si="0"/>
        <v>0.89878542510121462</v>
      </c>
      <c r="Q63" s="222">
        <v>6660000</v>
      </c>
      <c r="R63" s="224">
        <f t="shared" si="0"/>
        <v>0.89878542510121462</v>
      </c>
      <c r="S63" s="222">
        <v>6660000</v>
      </c>
      <c r="T63" s="224">
        <f t="shared" ref="T63" si="56">+S63/$N63</f>
        <v>0.89878542510121462</v>
      </c>
    </row>
    <row r="64" spans="1:43" ht="24.95" customHeight="1">
      <c r="A64" s="32" t="s">
        <v>388</v>
      </c>
      <c r="B64" s="203" t="s">
        <v>389</v>
      </c>
      <c r="C64" s="204" t="s">
        <v>23</v>
      </c>
      <c r="D64" s="205" t="s">
        <v>54</v>
      </c>
      <c r="E64" s="205" t="s">
        <v>54</v>
      </c>
      <c r="F64" s="205" t="s">
        <v>54</v>
      </c>
      <c r="G64" s="205"/>
      <c r="H64" s="205"/>
      <c r="I64" s="205"/>
      <c r="J64" s="205"/>
      <c r="K64" s="206" t="s">
        <v>28</v>
      </c>
      <c r="L64" s="207" t="s">
        <v>29</v>
      </c>
      <c r="M64" s="203" t="s">
        <v>103</v>
      </c>
      <c r="N64" s="208">
        <v>41253176998.259995</v>
      </c>
      <c r="O64" s="208">
        <v>38588512262.059998</v>
      </c>
      <c r="P64" s="209">
        <f t="shared" si="0"/>
        <v>0.93540704183068402</v>
      </c>
      <c r="Q64" s="208">
        <v>36367318127.190002</v>
      </c>
      <c r="R64" s="209">
        <f t="shared" si="0"/>
        <v>0.88156405817481476</v>
      </c>
      <c r="S64" s="208">
        <v>36349799973.190002</v>
      </c>
      <c r="T64" s="209">
        <f t="shared" ref="T64" si="57">+S64/$N64</f>
        <v>0.88113940835934135</v>
      </c>
    </row>
    <row r="65" spans="1:20" ht="82.5">
      <c r="A65" s="32" t="s">
        <v>390</v>
      </c>
      <c r="B65" s="210" t="s">
        <v>391</v>
      </c>
      <c r="C65" s="211" t="s">
        <v>23</v>
      </c>
      <c r="D65" s="212" t="s">
        <v>54</v>
      </c>
      <c r="E65" s="212" t="s">
        <v>54</v>
      </c>
      <c r="F65" s="212" t="s">
        <v>54</v>
      </c>
      <c r="G65" s="212" t="s">
        <v>42</v>
      </c>
      <c r="H65" s="212"/>
      <c r="I65" s="212"/>
      <c r="J65" s="212"/>
      <c r="K65" s="213" t="s">
        <v>28</v>
      </c>
      <c r="L65" s="214" t="s">
        <v>29</v>
      </c>
      <c r="M65" s="210" t="s">
        <v>104</v>
      </c>
      <c r="N65" s="215">
        <v>6503508162.1199999</v>
      </c>
      <c r="O65" s="215">
        <v>6085555892.1000004</v>
      </c>
      <c r="P65" s="216">
        <f t="shared" si="0"/>
        <v>0.93573433605351908</v>
      </c>
      <c r="Q65" s="215">
        <v>5468739264.1000004</v>
      </c>
      <c r="R65" s="216">
        <f t="shared" si="0"/>
        <v>0.84089065897586457</v>
      </c>
      <c r="S65" s="215">
        <v>5468739264.1000004</v>
      </c>
      <c r="T65" s="216">
        <f t="shared" ref="T65" si="58">+S65/$N65</f>
        <v>0.84089065897586457</v>
      </c>
    </row>
    <row r="66" spans="1:20" ht="24.95" customHeight="1">
      <c r="A66" s="32" t="s">
        <v>582</v>
      </c>
      <c r="B66" s="217" t="s">
        <v>583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36</v>
      </c>
      <c r="I66" s="219"/>
      <c r="J66" s="219"/>
      <c r="K66" s="220">
        <v>10</v>
      </c>
      <c r="L66" s="221" t="s">
        <v>29</v>
      </c>
      <c r="M66" s="217" t="s">
        <v>105</v>
      </c>
      <c r="N66" s="222">
        <v>12000000</v>
      </c>
      <c r="O66" s="222">
        <v>654895</v>
      </c>
      <c r="P66" s="224">
        <f t="shared" si="0"/>
        <v>5.4574583333333336E-2</v>
      </c>
      <c r="Q66" s="222">
        <v>654895</v>
      </c>
      <c r="R66" s="224">
        <f t="shared" si="0"/>
        <v>5.4574583333333336E-2</v>
      </c>
      <c r="S66" s="222">
        <v>654895</v>
      </c>
      <c r="T66" s="224">
        <f t="shared" ref="T66" si="59">+S66/$N66</f>
        <v>5.4574583333333336E-2</v>
      </c>
    </row>
    <row r="67" spans="1:20" ht="24.95" customHeight="1">
      <c r="A67" s="32" t="s">
        <v>584</v>
      </c>
      <c r="B67" s="217" t="s">
        <v>585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38</v>
      </c>
      <c r="I67" s="219"/>
      <c r="J67" s="219"/>
      <c r="K67" s="220">
        <v>10</v>
      </c>
      <c r="L67" s="221" t="s">
        <v>29</v>
      </c>
      <c r="M67" s="217" t="s">
        <v>106</v>
      </c>
      <c r="N67" s="222">
        <v>3314264713.1199999</v>
      </c>
      <c r="O67" s="222">
        <v>3140522303</v>
      </c>
      <c r="P67" s="224">
        <f t="shared" si="0"/>
        <v>0.94757738890553456</v>
      </c>
      <c r="Q67" s="222">
        <v>2746477642</v>
      </c>
      <c r="R67" s="224">
        <f t="shared" si="0"/>
        <v>0.82868384988310317</v>
      </c>
      <c r="S67" s="222">
        <v>2746477642</v>
      </c>
      <c r="T67" s="224">
        <f t="shared" ref="T67" si="60">+S67/$N67</f>
        <v>0.82868384988310317</v>
      </c>
    </row>
    <row r="68" spans="1:20" ht="24.95" customHeight="1">
      <c r="A68" s="32" t="s">
        <v>586</v>
      </c>
      <c r="B68" s="217" t="s">
        <v>587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40</v>
      </c>
      <c r="I68" s="219"/>
      <c r="J68" s="219"/>
      <c r="K68" s="220">
        <v>10</v>
      </c>
      <c r="L68" s="221" t="s">
        <v>29</v>
      </c>
      <c r="M68" s="217" t="s">
        <v>107</v>
      </c>
      <c r="N68" s="222">
        <v>99600000</v>
      </c>
      <c r="O68" s="222">
        <v>99579990</v>
      </c>
      <c r="P68" s="224">
        <f t="shared" si="0"/>
        <v>0.99979909638554221</v>
      </c>
      <c r="Q68" s="222">
        <v>64542286</v>
      </c>
      <c r="R68" s="224">
        <f t="shared" si="0"/>
        <v>0.64801491967871483</v>
      </c>
      <c r="S68" s="222">
        <v>64542286</v>
      </c>
      <c r="T68" s="224">
        <f t="shared" ref="T68" si="61">+S68/$N68</f>
        <v>0.64801491967871483</v>
      </c>
    </row>
    <row r="69" spans="1:20" ht="24.95" customHeight="1">
      <c r="A69" s="32" t="s">
        <v>588</v>
      </c>
      <c r="B69" s="217" t="s">
        <v>589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42</v>
      </c>
      <c r="I69" s="219"/>
      <c r="J69" s="219"/>
      <c r="K69" s="220">
        <v>10</v>
      </c>
      <c r="L69" s="221" t="s">
        <v>29</v>
      </c>
      <c r="M69" s="217" t="s">
        <v>259</v>
      </c>
      <c r="N69" s="222">
        <v>0</v>
      </c>
      <c r="O69" s="222">
        <v>0</v>
      </c>
      <c r="P69" s="224" t="e">
        <f t="shared" si="0"/>
        <v>#DIV/0!</v>
      </c>
      <c r="Q69" s="222">
        <v>0</v>
      </c>
      <c r="R69" s="224" t="e">
        <f t="shared" si="0"/>
        <v>#DIV/0!</v>
      </c>
      <c r="S69" s="222">
        <v>0</v>
      </c>
      <c r="T69" s="224" t="e">
        <f t="shared" ref="T69" si="62">+S69/$N69</f>
        <v>#DIV/0!</v>
      </c>
    </row>
    <row r="70" spans="1:20" ht="24.95" customHeight="1">
      <c r="A70" s="32" t="s">
        <v>590</v>
      </c>
      <c r="B70" s="217" t="s">
        <v>591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46</v>
      </c>
      <c r="I70" s="219"/>
      <c r="J70" s="219"/>
      <c r="K70" s="220">
        <v>10</v>
      </c>
      <c r="L70" s="221" t="s">
        <v>29</v>
      </c>
      <c r="M70" s="217" t="s">
        <v>108</v>
      </c>
      <c r="N70" s="222">
        <v>1993367571</v>
      </c>
      <c r="O70" s="222">
        <v>1986614186</v>
      </c>
      <c r="P70" s="224">
        <f t="shared" si="0"/>
        <v>0.99661207240538574</v>
      </c>
      <c r="Q70" s="222">
        <v>1798879923</v>
      </c>
      <c r="R70" s="224">
        <f t="shared" si="0"/>
        <v>0.90243262164517268</v>
      </c>
      <c r="S70" s="222">
        <v>1798879923</v>
      </c>
      <c r="T70" s="224">
        <f t="shared" ref="T70" si="63">+S70/$N70</f>
        <v>0.90243262164517268</v>
      </c>
    </row>
    <row r="71" spans="1:20" ht="27" customHeight="1">
      <c r="A71" s="32" t="s">
        <v>592</v>
      </c>
      <c r="B71" s="217" t="s">
        <v>593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48</v>
      </c>
      <c r="I71" s="219"/>
      <c r="J71" s="219"/>
      <c r="K71" s="220">
        <v>10</v>
      </c>
      <c r="L71" s="221" t="s">
        <v>29</v>
      </c>
      <c r="M71" s="217" t="s">
        <v>109</v>
      </c>
      <c r="N71" s="222">
        <v>1084275878</v>
      </c>
      <c r="O71" s="222">
        <v>858184518.10000002</v>
      </c>
      <c r="P71" s="224">
        <f t="shared" si="0"/>
        <v>0.79148170268526441</v>
      </c>
      <c r="Q71" s="222">
        <v>858184518.10000002</v>
      </c>
      <c r="R71" s="224">
        <f t="shared" si="0"/>
        <v>0.79148170268526441</v>
      </c>
      <c r="S71" s="222">
        <v>858184518.10000002</v>
      </c>
      <c r="T71" s="224">
        <f t="shared" ref="T71" si="64">+S71/$N71</f>
        <v>0.79148170268526441</v>
      </c>
    </row>
    <row r="72" spans="1:20" ht="49.5">
      <c r="A72" s="32" t="s">
        <v>392</v>
      </c>
      <c r="B72" s="210" t="s">
        <v>393</v>
      </c>
      <c r="C72" s="211" t="s">
        <v>23</v>
      </c>
      <c r="D72" s="212" t="s">
        <v>54</v>
      </c>
      <c r="E72" s="212" t="s">
        <v>54</v>
      </c>
      <c r="F72" s="212" t="s">
        <v>54</v>
      </c>
      <c r="G72" s="212" t="s">
        <v>44</v>
      </c>
      <c r="H72" s="212"/>
      <c r="I72" s="212"/>
      <c r="J72" s="212"/>
      <c r="K72" s="213" t="s">
        <v>28</v>
      </c>
      <c r="L72" s="214" t="s">
        <v>29</v>
      </c>
      <c r="M72" s="210" t="s">
        <v>110</v>
      </c>
      <c r="N72" s="215">
        <v>14098753391.290001</v>
      </c>
      <c r="O72" s="215">
        <v>14078532824</v>
      </c>
      <c r="P72" s="216">
        <f t="shared" ref="P72:R135" si="65">+O72/$N72</f>
        <v>0.99856579041218685</v>
      </c>
      <c r="Q72" s="215">
        <v>14068055521</v>
      </c>
      <c r="R72" s="216">
        <f t="shared" si="65"/>
        <v>0.99782265357524691</v>
      </c>
      <c r="S72" s="215">
        <v>14068055521</v>
      </c>
      <c r="T72" s="216">
        <f t="shared" ref="T72" si="66">+S72/$N72</f>
        <v>0.99782265357524691</v>
      </c>
    </row>
    <row r="73" spans="1:20" ht="24.95" customHeight="1">
      <c r="A73" s="32" t="s">
        <v>594</v>
      </c>
      <c r="B73" s="217" t="s">
        <v>595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31</v>
      </c>
      <c r="I73" s="219"/>
      <c r="J73" s="219"/>
      <c r="K73" s="220">
        <v>10</v>
      </c>
      <c r="L73" s="221" t="s">
        <v>29</v>
      </c>
      <c r="M73" s="217" t="s">
        <v>111</v>
      </c>
      <c r="N73" s="222">
        <v>60934308</v>
      </c>
      <c r="O73" s="222">
        <v>45802458</v>
      </c>
      <c r="P73" s="224">
        <f t="shared" si="65"/>
        <v>0.75166945360239423</v>
      </c>
      <c r="Q73" s="222">
        <v>45802458</v>
      </c>
      <c r="R73" s="224">
        <f t="shared" si="65"/>
        <v>0.75166945360239423</v>
      </c>
      <c r="S73" s="222">
        <v>45802458</v>
      </c>
      <c r="T73" s="224">
        <f t="shared" ref="T73" si="67">+S73/$N73</f>
        <v>0.75166945360239423</v>
      </c>
    </row>
    <row r="74" spans="1:20" ht="24.95" customHeight="1">
      <c r="A74" s="32" t="s">
        <v>596</v>
      </c>
      <c r="B74" s="217" t="s">
        <v>597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34</v>
      </c>
      <c r="I74" s="219"/>
      <c r="J74" s="219"/>
      <c r="K74" s="220">
        <v>10</v>
      </c>
      <c r="L74" s="221" t="s">
        <v>29</v>
      </c>
      <c r="M74" s="217" t="s">
        <v>112</v>
      </c>
      <c r="N74" s="222">
        <v>14037819083.290001</v>
      </c>
      <c r="O74" s="222">
        <v>14032730366</v>
      </c>
      <c r="P74" s="224">
        <f t="shared" si="65"/>
        <v>0.99963749943920721</v>
      </c>
      <c r="Q74" s="222">
        <v>14022253063</v>
      </c>
      <c r="R74" s="224">
        <f t="shared" si="65"/>
        <v>0.9988911368498451</v>
      </c>
      <c r="S74" s="222">
        <v>14022253063</v>
      </c>
      <c r="T74" s="224">
        <f t="shared" ref="T74" si="68">+S74/$N74</f>
        <v>0.9988911368498451</v>
      </c>
    </row>
    <row r="75" spans="1:20" ht="24.95" customHeight="1">
      <c r="A75" s="32" t="s">
        <v>394</v>
      </c>
      <c r="B75" s="210" t="s">
        <v>395</v>
      </c>
      <c r="C75" s="211" t="s">
        <v>23</v>
      </c>
      <c r="D75" s="212" t="s">
        <v>54</v>
      </c>
      <c r="E75" s="212" t="s">
        <v>54</v>
      </c>
      <c r="F75" s="212" t="s">
        <v>54</v>
      </c>
      <c r="G75" s="212" t="s">
        <v>46</v>
      </c>
      <c r="H75" s="212"/>
      <c r="I75" s="212"/>
      <c r="J75" s="212"/>
      <c r="K75" s="213" t="s">
        <v>28</v>
      </c>
      <c r="L75" s="214" t="s">
        <v>29</v>
      </c>
      <c r="M75" s="210" t="s">
        <v>113</v>
      </c>
      <c r="N75" s="215">
        <v>17909810621.849998</v>
      </c>
      <c r="O75" s="215">
        <v>16730647973.99</v>
      </c>
      <c r="P75" s="216">
        <f t="shared" si="65"/>
        <v>0.93416107669941417</v>
      </c>
      <c r="Q75" s="215">
        <v>15223666020.119999</v>
      </c>
      <c r="R75" s="216">
        <f t="shared" si="65"/>
        <v>0.85001825767756034</v>
      </c>
      <c r="S75" s="215">
        <v>15211733085.119999</v>
      </c>
      <c r="T75" s="216">
        <f t="shared" ref="T75" si="69">+S75/$N75</f>
        <v>0.84935197843810029</v>
      </c>
    </row>
    <row r="76" spans="1:20" ht="24.95" customHeight="1">
      <c r="A76" s="32" t="s">
        <v>598</v>
      </c>
      <c r="B76" s="217" t="s">
        <v>599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34</v>
      </c>
      <c r="I76" s="219"/>
      <c r="J76" s="219"/>
      <c r="K76" s="220">
        <v>10</v>
      </c>
      <c r="L76" s="221" t="s">
        <v>29</v>
      </c>
      <c r="M76" s="217" t="s">
        <v>114</v>
      </c>
      <c r="N76" s="222">
        <v>34783517</v>
      </c>
      <c r="O76" s="222">
        <v>28354180</v>
      </c>
      <c r="P76" s="224">
        <f t="shared" si="65"/>
        <v>0.81516138807930205</v>
      </c>
      <c r="Q76" s="222">
        <v>27564180</v>
      </c>
      <c r="R76" s="224">
        <f t="shared" si="65"/>
        <v>0.79244948117236103</v>
      </c>
      <c r="S76" s="222">
        <v>27564180</v>
      </c>
      <c r="T76" s="224">
        <f t="shared" ref="T76" si="70">+S76/$N76</f>
        <v>0.79244948117236103</v>
      </c>
    </row>
    <row r="77" spans="1:20" ht="24.95" customHeight="1">
      <c r="A77" s="32" t="s">
        <v>600</v>
      </c>
      <c r="B77" s="217" t="s">
        <v>601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36</v>
      </c>
      <c r="I77" s="219"/>
      <c r="J77" s="219"/>
      <c r="K77" s="220">
        <v>10</v>
      </c>
      <c r="L77" s="221" t="s">
        <v>29</v>
      </c>
      <c r="M77" s="217" t="s">
        <v>115</v>
      </c>
      <c r="N77" s="222">
        <v>7706759037</v>
      </c>
      <c r="O77" s="222">
        <v>7696401297</v>
      </c>
      <c r="P77" s="224">
        <f t="shared" si="65"/>
        <v>0.99865601870380627</v>
      </c>
      <c r="Q77" s="222">
        <v>7578355389</v>
      </c>
      <c r="R77" s="224">
        <f t="shared" si="65"/>
        <v>0.98333882668660888</v>
      </c>
      <c r="S77" s="222">
        <v>7578355389</v>
      </c>
      <c r="T77" s="224">
        <f t="shared" ref="T77" si="71">+S77/$N77</f>
        <v>0.98333882668660888</v>
      </c>
    </row>
    <row r="78" spans="1:20" ht="24" customHeight="1">
      <c r="A78" s="32" t="s">
        <v>602</v>
      </c>
      <c r="B78" s="217" t="s">
        <v>603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38</v>
      </c>
      <c r="I78" s="219"/>
      <c r="J78" s="219"/>
      <c r="K78" s="220">
        <v>10</v>
      </c>
      <c r="L78" s="221" t="s">
        <v>29</v>
      </c>
      <c r="M78" s="217" t="s">
        <v>116</v>
      </c>
      <c r="N78" s="223">
        <v>3856493283.8499999</v>
      </c>
      <c r="O78" s="222">
        <v>3103828264.1199999</v>
      </c>
      <c r="P78" s="224">
        <f t="shared" si="65"/>
        <v>0.80483175664224094</v>
      </c>
      <c r="Q78" s="222">
        <v>2306369105.1700001</v>
      </c>
      <c r="R78" s="224">
        <f t="shared" si="65"/>
        <v>0.59804826183115101</v>
      </c>
      <c r="S78" s="222">
        <v>2306369105.1700001</v>
      </c>
      <c r="T78" s="224">
        <f t="shared" ref="T78" si="72">+S78/$N78</f>
        <v>0.59804826183115101</v>
      </c>
    </row>
    <row r="79" spans="1:20" ht="24.95" customHeight="1">
      <c r="A79" s="32" t="s">
        <v>604</v>
      </c>
      <c r="B79" s="217" t="s">
        <v>605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40</v>
      </c>
      <c r="I79" s="219"/>
      <c r="J79" s="219"/>
      <c r="K79" s="220">
        <v>10</v>
      </c>
      <c r="L79" s="221" t="s">
        <v>29</v>
      </c>
      <c r="M79" s="217" t="s">
        <v>117</v>
      </c>
      <c r="N79" s="222">
        <v>5147772215</v>
      </c>
      <c r="O79" s="222">
        <v>4823281132.3100004</v>
      </c>
      <c r="P79" s="224">
        <f t="shared" si="65"/>
        <v>0.93696475501684573</v>
      </c>
      <c r="Q79" s="222">
        <v>4266213616.3899999</v>
      </c>
      <c r="R79" s="224">
        <f t="shared" si="65"/>
        <v>0.82874949360788686</v>
      </c>
      <c r="S79" s="222">
        <v>4254280681.3899999</v>
      </c>
      <c r="T79" s="224">
        <f t="shared" ref="T79" si="73">+S79/$N79</f>
        <v>0.82643141609753601</v>
      </c>
    </row>
    <row r="80" spans="1:20" ht="21" customHeight="1">
      <c r="A80" s="32" t="s">
        <v>606</v>
      </c>
      <c r="B80" s="217" t="s">
        <v>607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44</v>
      </c>
      <c r="I80" s="219"/>
      <c r="J80" s="219"/>
      <c r="K80" s="220">
        <v>10</v>
      </c>
      <c r="L80" s="221" t="s">
        <v>29</v>
      </c>
      <c r="M80" s="217" t="s">
        <v>118</v>
      </c>
      <c r="N80" s="222">
        <v>1029652569</v>
      </c>
      <c r="O80" s="222">
        <v>990365808.55999994</v>
      </c>
      <c r="P80" s="224">
        <f t="shared" si="65"/>
        <v>0.96184464388977786</v>
      </c>
      <c r="Q80" s="222">
        <v>976934337.55999994</v>
      </c>
      <c r="R80" s="224">
        <f t="shared" si="65"/>
        <v>0.94879998066609972</v>
      </c>
      <c r="S80" s="222">
        <v>976934337.55999994</v>
      </c>
      <c r="T80" s="224">
        <f t="shared" ref="T80" si="74">+S80/$N80</f>
        <v>0.94879998066609972</v>
      </c>
    </row>
    <row r="81" spans="1:43" s="250" customFormat="1" ht="21.75" customHeight="1">
      <c r="A81" s="32" t="s">
        <v>608</v>
      </c>
      <c r="B81" s="217" t="s">
        <v>609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48</v>
      </c>
      <c r="I81" s="219"/>
      <c r="J81" s="219"/>
      <c r="K81" s="220">
        <v>10</v>
      </c>
      <c r="L81" s="221" t="s">
        <v>29</v>
      </c>
      <c r="M81" s="217" t="s">
        <v>119</v>
      </c>
      <c r="N81" s="222">
        <v>134350000</v>
      </c>
      <c r="O81" s="222">
        <v>88417292</v>
      </c>
      <c r="P81" s="224">
        <f t="shared" si="65"/>
        <v>0.65811158913286194</v>
      </c>
      <c r="Q81" s="222">
        <v>68229392</v>
      </c>
      <c r="R81" s="224">
        <f t="shared" si="65"/>
        <v>0.50784809825083732</v>
      </c>
      <c r="S81" s="222">
        <v>68229392</v>
      </c>
      <c r="T81" s="224">
        <f t="shared" ref="T81" si="75">+S81/$N81</f>
        <v>0.50784809825083732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4.95" customHeight="1">
      <c r="A82" s="32" t="s">
        <v>396</v>
      </c>
      <c r="B82" s="210" t="s">
        <v>397</v>
      </c>
      <c r="C82" s="211" t="s">
        <v>23</v>
      </c>
      <c r="D82" s="212" t="s">
        <v>54</v>
      </c>
      <c r="E82" s="212" t="s">
        <v>54</v>
      </c>
      <c r="F82" s="212" t="s">
        <v>54</v>
      </c>
      <c r="G82" s="212" t="s">
        <v>48</v>
      </c>
      <c r="H82" s="212"/>
      <c r="I82" s="212"/>
      <c r="J82" s="212"/>
      <c r="K82" s="213" t="s">
        <v>28</v>
      </c>
      <c r="L82" s="214" t="s">
        <v>29</v>
      </c>
      <c r="M82" s="210" t="s">
        <v>120</v>
      </c>
      <c r="N82" s="215">
        <v>2183303224</v>
      </c>
      <c r="O82" s="215">
        <v>1199453875.97</v>
      </c>
      <c r="P82" s="216">
        <f t="shared" si="65"/>
        <v>0.54937576365251595</v>
      </c>
      <c r="Q82" s="215">
        <v>1126816162.97</v>
      </c>
      <c r="R82" s="216">
        <f t="shared" si="65"/>
        <v>0.51610612331968053</v>
      </c>
      <c r="S82" s="215">
        <v>1123234262.97</v>
      </c>
      <c r="T82" s="216">
        <f t="shared" ref="T82" si="76">+S82/$N82</f>
        <v>0.51446553580960586</v>
      </c>
    </row>
    <row r="83" spans="1:43" ht="24.95" customHeight="1">
      <c r="A83" s="32" t="s">
        <v>610</v>
      </c>
      <c r="B83" s="217" t="s">
        <v>611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34</v>
      </c>
      <c r="I83" s="219"/>
      <c r="J83" s="219"/>
      <c r="K83" s="220">
        <v>10</v>
      </c>
      <c r="L83" s="221" t="s">
        <v>29</v>
      </c>
      <c r="M83" s="217" t="s">
        <v>121</v>
      </c>
      <c r="N83" s="222">
        <v>680000000</v>
      </c>
      <c r="O83" s="222">
        <v>337930126</v>
      </c>
      <c r="P83" s="224">
        <f t="shared" si="65"/>
        <v>0.4969560676470588</v>
      </c>
      <c r="Q83" s="222">
        <v>337930126</v>
      </c>
      <c r="R83" s="224">
        <f t="shared" si="65"/>
        <v>0.4969560676470588</v>
      </c>
      <c r="S83" s="222">
        <v>337930126</v>
      </c>
      <c r="T83" s="224">
        <f t="shared" ref="T83" si="77">+S83/$N83</f>
        <v>0.4969560676470588</v>
      </c>
    </row>
    <row r="84" spans="1:43" ht="34.5" customHeight="1">
      <c r="A84" s="32" t="s">
        <v>612</v>
      </c>
      <c r="B84" s="217" t="s">
        <v>613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36</v>
      </c>
      <c r="I84" s="219"/>
      <c r="J84" s="219"/>
      <c r="K84" s="220">
        <v>10</v>
      </c>
      <c r="L84" s="221" t="s">
        <v>29</v>
      </c>
      <c r="M84" s="217" t="s">
        <v>122</v>
      </c>
      <c r="N84" s="222">
        <v>385517946</v>
      </c>
      <c r="O84" s="222">
        <v>207846421</v>
      </c>
      <c r="P84" s="224">
        <f t="shared" si="65"/>
        <v>0.53913552703977108</v>
      </c>
      <c r="Q84" s="222">
        <v>205719369</v>
      </c>
      <c r="R84" s="224">
        <f t="shared" si="65"/>
        <v>0.53361813927074619</v>
      </c>
      <c r="S84" s="222">
        <v>205719369</v>
      </c>
      <c r="T84" s="224">
        <f t="shared" ref="T84" si="78">+S84/$N84</f>
        <v>0.53361813927074619</v>
      </c>
    </row>
    <row r="85" spans="1:43" ht="66">
      <c r="A85" s="32" t="s">
        <v>614</v>
      </c>
      <c r="B85" s="217" t="s">
        <v>615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38</v>
      </c>
      <c r="I85" s="219"/>
      <c r="J85" s="219"/>
      <c r="K85" s="220">
        <v>10</v>
      </c>
      <c r="L85" s="221" t="s">
        <v>29</v>
      </c>
      <c r="M85" s="217" t="s">
        <v>123</v>
      </c>
      <c r="N85" s="222">
        <v>89350000</v>
      </c>
      <c r="O85" s="222">
        <v>79242050.969999999</v>
      </c>
      <c r="P85" s="224">
        <f t="shared" si="65"/>
        <v>0.88687242271964184</v>
      </c>
      <c r="Q85" s="222">
        <v>79242050.969999999</v>
      </c>
      <c r="R85" s="224">
        <f t="shared" si="65"/>
        <v>0.88687242271964184</v>
      </c>
      <c r="S85" s="222">
        <v>79242050.969999999</v>
      </c>
      <c r="T85" s="224">
        <f t="shared" ref="T85" si="79">+S85/$N85</f>
        <v>0.88687242271964184</v>
      </c>
    </row>
    <row r="86" spans="1:43" ht="24.95" customHeight="1">
      <c r="A86" s="32" t="s">
        <v>616</v>
      </c>
      <c r="B86" s="217" t="s">
        <v>617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42</v>
      </c>
      <c r="I86" s="219"/>
      <c r="J86" s="219"/>
      <c r="K86" s="220">
        <v>10</v>
      </c>
      <c r="L86" s="221" t="s">
        <v>29</v>
      </c>
      <c r="M86" s="217" t="s">
        <v>124</v>
      </c>
      <c r="N86" s="222">
        <v>1001369778</v>
      </c>
      <c r="O86" s="222">
        <v>547369778</v>
      </c>
      <c r="P86" s="224">
        <f t="shared" si="65"/>
        <v>0.54662102854076744</v>
      </c>
      <c r="Q86" s="222">
        <v>476859117</v>
      </c>
      <c r="R86" s="224">
        <f t="shared" si="65"/>
        <v>0.47620681937536963</v>
      </c>
      <c r="S86" s="222">
        <v>473277217</v>
      </c>
      <c r="T86" s="224">
        <f t="shared" ref="T86" si="80">+S86/$N86</f>
        <v>0.4726298190716916</v>
      </c>
    </row>
    <row r="87" spans="1:43" ht="24.95" customHeight="1">
      <c r="A87" s="32" t="s">
        <v>618</v>
      </c>
      <c r="B87" s="217" t="s">
        <v>619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44</v>
      </c>
      <c r="I87" s="219"/>
      <c r="J87" s="219"/>
      <c r="K87" s="220">
        <v>10</v>
      </c>
      <c r="L87" s="221" t="s">
        <v>29</v>
      </c>
      <c r="M87" s="217" t="s">
        <v>125</v>
      </c>
      <c r="N87" s="222">
        <v>27065500</v>
      </c>
      <c r="O87" s="222">
        <v>27065500</v>
      </c>
      <c r="P87" s="224">
        <f t="shared" si="65"/>
        <v>1</v>
      </c>
      <c r="Q87" s="222">
        <v>27065500</v>
      </c>
      <c r="R87" s="224">
        <f t="shared" si="65"/>
        <v>1</v>
      </c>
      <c r="S87" s="222">
        <v>27065500</v>
      </c>
      <c r="T87" s="224">
        <f t="shared" ref="T87" si="81">+S87/$N87</f>
        <v>1</v>
      </c>
    </row>
    <row r="88" spans="1:43" s="90" customFormat="1" ht="24.95" customHeight="1">
      <c r="A88" s="32" t="s">
        <v>398</v>
      </c>
      <c r="B88" s="251" t="s">
        <v>399</v>
      </c>
      <c r="C88" s="211" t="s">
        <v>23</v>
      </c>
      <c r="D88" s="212" t="s">
        <v>54</v>
      </c>
      <c r="E88" s="212" t="s">
        <v>54</v>
      </c>
      <c r="F88" s="212" t="s">
        <v>54</v>
      </c>
      <c r="G88" s="212" t="s">
        <v>50</v>
      </c>
      <c r="H88" s="212"/>
      <c r="I88" s="212"/>
      <c r="J88" s="212"/>
      <c r="K88" s="252" t="s">
        <v>28</v>
      </c>
      <c r="L88" s="253" t="s">
        <v>29</v>
      </c>
      <c r="M88" s="251" t="s">
        <v>126</v>
      </c>
      <c r="N88" s="254">
        <v>557801599</v>
      </c>
      <c r="O88" s="254">
        <v>494321696</v>
      </c>
      <c r="P88" s="255">
        <f t="shared" si="65"/>
        <v>0.88619626922224004</v>
      </c>
      <c r="Q88" s="254">
        <v>480041159</v>
      </c>
      <c r="R88" s="255">
        <f t="shared" si="65"/>
        <v>0.86059480621890438</v>
      </c>
      <c r="S88" s="254">
        <v>478037840</v>
      </c>
      <c r="T88" s="255">
        <f t="shared" ref="T88" si="82">+S88/$N88</f>
        <v>0.85700335183155329</v>
      </c>
    </row>
    <row r="89" spans="1:43" ht="35.1" customHeight="1">
      <c r="A89" s="32" t="s">
        <v>400</v>
      </c>
      <c r="B89" s="188" t="s">
        <v>401</v>
      </c>
      <c r="C89" s="189" t="s">
        <v>23</v>
      </c>
      <c r="D89" s="191" t="s">
        <v>65</v>
      </c>
      <c r="E89" s="191"/>
      <c r="F89" s="191"/>
      <c r="G89" s="191"/>
      <c r="H89" s="191"/>
      <c r="I89" s="191"/>
      <c r="J89" s="191"/>
      <c r="K89" s="192"/>
      <c r="L89" s="193"/>
      <c r="M89" s="188" t="s">
        <v>127</v>
      </c>
      <c r="N89" s="194">
        <v>6027094354513</v>
      </c>
      <c r="O89" s="194">
        <v>5972312407670.5</v>
      </c>
      <c r="P89" s="195">
        <f t="shared" si="65"/>
        <v>0.99091072022101656</v>
      </c>
      <c r="Q89" s="194">
        <v>5935660607744.5</v>
      </c>
      <c r="R89" s="195">
        <f t="shared" si="65"/>
        <v>0.98482954780689047</v>
      </c>
      <c r="S89" s="194">
        <v>5935660605234.5</v>
      </c>
      <c r="T89" s="195">
        <f t="shared" ref="T89" si="83">+S89/$N89</f>
        <v>0.98482954739043771</v>
      </c>
    </row>
    <row r="90" spans="1:43" ht="24.95" customHeight="1">
      <c r="A90" s="32" t="s">
        <v>620</v>
      </c>
      <c r="B90" s="196" t="s">
        <v>621</v>
      </c>
      <c r="C90" s="197" t="s">
        <v>23</v>
      </c>
      <c r="D90" s="198" t="s">
        <v>65</v>
      </c>
      <c r="E90" s="198" t="s">
        <v>65</v>
      </c>
      <c r="F90" s="198"/>
      <c r="G90" s="198"/>
      <c r="H90" s="198"/>
      <c r="I90" s="198"/>
      <c r="J90" s="198"/>
      <c r="K90" s="199"/>
      <c r="L90" s="200"/>
      <c r="M90" s="196" t="s">
        <v>128</v>
      </c>
      <c r="N90" s="201">
        <v>6023745354513</v>
      </c>
      <c r="O90" s="201">
        <v>5971458265138</v>
      </c>
      <c r="P90" s="202">
        <f t="shared" si="65"/>
        <v>0.99131983736068352</v>
      </c>
      <c r="Q90" s="201">
        <v>5934806465212</v>
      </c>
      <c r="R90" s="202">
        <f t="shared" si="65"/>
        <v>0.98523528401904192</v>
      </c>
      <c r="S90" s="201">
        <v>5934806462702</v>
      </c>
      <c r="T90" s="202">
        <f t="shared" ref="T90" si="84">+S90/$N90</f>
        <v>0.98523528360235768</v>
      </c>
    </row>
    <row r="91" spans="1:43" s="64" customFormat="1" ht="24.95" customHeight="1">
      <c r="A91" s="32" t="s">
        <v>622</v>
      </c>
      <c r="B91" s="203" t="s">
        <v>623</v>
      </c>
      <c r="C91" s="204" t="s">
        <v>23</v>
      </c>
      <c r="D91" s="205" t="s">
        <v>65</v>
      </c>
      <c r="E91" s="205" t="s">
        <v>65</v>
      </c>
      <c r="F91" s="256" t="s">
        <v>25</v>
      </c>
      <c r="G91" s="205"/>
      <c r="H91" s="205"/>
      <c r="I91" s="205"/>
      <c r="J91" s="205"/>
      <c r="K91" s="206"/>
      <c r="L91" s="207"/>
      <c r="M91" s="203" t="s">
        <v>129</v>
      </c>
      <c r="N91" s="208">
        <v>6023745354513</v>
      </c>
      <c r="O91" s="208">
        <v>5971458265138</v>
      </c>
      <c r="P91" s="209">
        <f t="shared" si="65"/>
        <v>0.99131983736068352</v>
      </c>
      <c r="Q91" s="208">
        <v>5934806465212</v>
      </c>
      <c r="R91" s="209">
        <f t="shared" si="65"/>
        <v>0.98523528401904192</v>
      </c>
      <c r="S91" s="208">
        <v>5934806462702</v>
      </c>
      <c r="T91" s="209">
        <f t="shared" ref="T91" si="85">+S91/$N91</f>
        <v>0.98523528360235768</v>
      </c>
      <c r="U91" s="13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</row>
    <row r="92" spans="1:43" s="64" customFormat="1" ht="24.95" customHeight="1">
      <c r="A92" s="32" t="s">
        <v>624</v>
      </c>
      <c r="B92" s="217" t="s">
        <v>625</v>
      </c>
      <c r="C92" s="218" t="s">
        <v>23</v>
      </c>
      <c r="D92" s="219" t="s">
        <v>65</v>
      </c>
      <c r="E92" s="219" t="s">
        <v>65</v>
      </c>
      <c r="F92" s="219" t="s">
        <v>25</v>
      </c>
      <c r="G92" s="225" t="s">
        <v>130</v>
      </c>
      <c r="H92" s="219"/>
      <c r="I92" s="219"/>
      <c r="J92" s="219"/>
      <c r="K92" s="220">
        <v>54</v>
      </c>
      <c r="L92" s="221" t="s">
        <v>29</v>
      </c>
      <c r="M92" s="217" t="s">
        <v>131</v>
      </c>
      <c r="N92" s="223">
        <v>2769805560913</v>
      </c>
      <c r="O92" s="223">
        <v>2769074728365</v>
      </c>
      <c r="P92" s="224">
        <f t="shared" si="65"/>
        <v>0.99973614301367819</v>
      </c>
      <c r="Q92" s="222">
        <v>2761670692357</v>
      </c>
      <c r="R92" s="224">
        <f t="shared" si="65"/>
        <v>0.99706301818770315</v>
      </c>
      <c r="S92" s="222">
        <v>2761670689847</v>
      </c>
      <c r="T92" s="224">
        <f t="shared" ref="T92" si="86">+S92/$N92</f>
        <v>0.99706301728150237</v>
      </c>
      <c r="U92" s="13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</row>
    <row r="93" spans="1:43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132</v>
      </c>
      <c r="N93" s="223">
        <v>3253939793600</v>
      </c>
      <c r="O93" s="223">
        <v>3202383536773</v>
      </c>
      <c r="P93" s="224">
        <f t="shared" si="65"/>
        <v>0.98415574346876267</v>
      </c>
      <c r="Q93" s="258">
        <v>3173135772855</v>
      </c>
      <c r="R93" s="224">
        <f t="shared" si="65"/>
        <v>0.9751673276488001</v>
      </c>
      <c r="S93" s="258">
        <v>3173135772855</v>
      </c>
      <c r="T93" s="224">
        <f t="shared" ref="T93" si="87">+S93/$N93</f>
        <v>0.9751673276488001</v>
      </c>
      <c r="U93" s="13"/>
      <c r="V93" s="257"/>
      <c r="W93" s="257"/>
      <c r="X93" s="257"/>
      <c r="Y93" s="257"/>
      <c r="Z93" s="257"/>
      <c r="AA93" s="257"/>
      <c r="AB93" s="257"/>
      <c r="AC93" s="257"/>
      <c r="AD93" s="257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</row>
    <row r="94" spans="1:43" ht="24.95" customHeight="1">
      <c r="A94" s="32" t="s">
        <v>626</v>
      </c>
      <c r="B94" s="217" t="s">
        <v>627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19" t="s">
        <v>134</v>
      </c>
      <c r="H94" s="219"/>
      <c r="I94" s="219"/>
      <c r="J94" s="219"/>
      <c r="K94" s="220" t="s">
        <v>28</v>
      </c>
      <c r="L94" s="221" t="s">
        <v>29</v>
      </c>
      <c r="M94" s="217" t="s">
        <v>135</v>
      </c>
      <c r="N94" s="223">
        <v>0</v>
      </c>
      <c r="O94" s="223">
        <v>0</v>
      </c>
      <c r="P94" s="224" t="e">
        <f t="shared" si="65"/>
        <v>#DIV/0!</v>
      </c>
      <c r="Q94" s="222">
        <v>0</v>
      </c>
      <c r="R94" s="224" t="e">
        <f t="shared" si="65"/>
        <v>#DIV/0!</v>
      </c>
      <c r="S94" s="222">
        <v>0</v>
      </c>
      <c r="T94" s="224" t="e">
        <f t="shared" ref="T94" si="88">+S94/$N94</f>
        <v>#DIV/0!</v>
      </c>
    </row>
    <row r="95" spans="1:43" ht="24.95" customHeight="1">
      <c r="A95" s="32" t="s">
        <v>402</v>
      </c>
      <c r="B95" s="196" t="s">
        <v>403</v>
      </c>
      <c r="C95" s="197" t="s">
        <v>23</v>
      </c>
      <c r="D95" s="198" t="s">
        <v>65</v>
      </c>
      <c r="E95" s="198" t="s">
        <v>136</v>
      </c>
      <c r="F95" s="198"/>
      <c r="G95" s="198"/>
      <c r="H95" s="198"/>
      <c r="I95" s="198"/>
      <c r="J95" s="198"/>
      <c r="K95" s="199"/>
      <c r="L95" s="200"/>
      <c r="M95" s="196" t="s">
        <v>137</v>
      </c>
      <c r="N95" s="201">
        <v>752000000</v>
      </c>
      <c r="O95" s="201">
        <v>292399630</v>
      </c>
      <c r="P95" s="202">
        <f t="shared" si="65"/>
        <v>0.38882929521276594</v>
      </c>
      <c r="Q95" s="201">
        <v>292399630</v>
      </c>
      <c r="R95" s="202">
        <f t="shared" si="65"/>
        <v>0.38882929521276594</v>
      </c>
      <c r="S95" s="201">
        <v>292399630</v>
      </c>
      <c r="T95" s="202">
        <f t="shared" ref="T95" si="89">+S95/$N95</f>
        <v>0.38882929521276594</v>
      </c>
    </row>
    <row r="96" spans="1:43" ht="24.95" customHeight="1">
      <c r="A96" s="32" t="s">
        <v>404</v>
      </c>
      <c r="B96" s="203" t="s">
        <v>405</v>
      </c>
      <c r="C96" s="204" t="s">
        <v>23</v>
      </c>
      <c r="D96" s="205" t="s">
        <v>65</v>
      </c>
      <c r="E96" s="205" t="s">
        <v>136</v>
      </c>
      <c r="F96" s="205" t="s">
        <v>54</v>
      </c>
      <c r="G96" s="205"/>
      <c r="H96" s="205"/>
      <c r="I96" s="205"/>
      <c r="J96" s="205"/>
      <c r="K96" s="206" t="s">
        <v>28</v>
      </c>
      <c r="L96" s="207" t="s">
        <v>29</v>
      </c>
      <c r="M96" s="203" t="s">
        <v>138</v>
      </c>
      <c r="N96" s="208">
        <v>752000000</v>
      </c>
      <c r="O96" s="208">
        <v>292399630</v>
      </c>
      <c r="P96" s="209">
        <f t="shared" si="65"/>
        <v>0.38882929521276594</v>
      </c>
      <c r="Q96" s="208">
        <v>292399630</v>
      </c>
      <c r="R96" s="209">
        <f t="shared" si="65"/>
        <v>0.38882929521276594</v>
      </c>
      <c r="S96" s="208">
        <v>292399630</v>
      </c>
      <c r="T96" s="209">
        <f t="shared" ref="T96" si="90">+S96/$N96</f>
        <v>0.38882929521276594</v>
      </c>
    </row>
    <row r="97" spans="1:43" s="64" customFormat="1" ht="24.95" customHeight="1">
      <c r="A97" s="32" t="s">
        <v>406</v>
      </c>
      <c r="B97" s="210" t="s">
        <v>407</v>
      </c>
      <c r="C97" s="211" t="s">
        <v>23</v>
      </c>
      <c r="D97" s="212" t="s">
        <v>65</v>
      </c>
      <c r="E97" s="212" t="s">
        <v>136</v>
      </c>
      <c r="F97" s="212" t="s">
        <v>54</v>
      </c>
      <c r="G97" s="212" t="s">
        <v>52</v>
      </c>
      <c r="H97" s="212"/>
      <c r="I97" s="212"/>
      <c r="J97" s="212"/>
      <c r="K97" s="213" t="s">
        <v>28</v>
      </c>
      <c r="L97" s="214" t="s">
        <v>29</v>
      </c>
      <c r="M97" s="210" t="s">
        <v>139</v>
      </c>
      <c r="N97" s="215">
        <v>752000000</v>
      </c>
      <c r="O97" s="215">
        <v>292399630</v>
      </c>
      <c r="P97" s="216">
        <f t="shared" si="65"/>
        <v>0.38882929521276594</v>
      </c>
      <c r="Q97" s="215">
        <v>292399630</v>
      </c>
      <c r="R97" s="216">
        <f t="shared" si="65"/>
        <v>0.38882929521276594</v>
      </c>
      <c r="S97" s="215">
        <v>292399630</v>
      </c>
      <c r="T97" s="216">
        <f t="shared" ref="T97" si="91">+S97/$N97</f>
        <v>0.38882929521276594</v>
      </c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4.95" customHeight="1">
      <c r="A98" s="32" t="s">
        <v>408</v>
      </c>
      <c r="B98" s="217" t="s">
        <v>409</v>
      </c>
      <c r="C98" s="218" t="s">
        <v>23</v>
      </c>
      <c r="D98" s="219" t="s">
        <v>65</v>
      </c>
      <c r="E98" s="219" t="s">
        <v>136</v>
      </c>
      <c r="F98" s="219" t="s">
        <v>54</v>
      </c>
      <c r="G98" s="219" t="s">
        <v>52</v>
      </c>
      <c r="H98" s="219" t="s">
        <v>31</v>
      </c>
      <c r="I98" s="219"/>
      <c r="J98" s="219"/>
      <c r="K98" s="220" t="s">
        <v>28</v>
      </c>
      <c r="L98" s="221" t="s">
        <v>29</v>
      </c>
      <c r="M98" s="217" t="s">
        <v>140</v>
      </c>
      <c r="N98" s="222">
        <v>402000000</v>
      </c>
      <c r="O98" s="222">
        <v>207314596</v>
      </c>
      <c r="P98" s="224">
        <f t="shared" si="65"/>
        <v>0.51570795024875626</v>
      </c>
      <c r="Q98" s="222">
        <v>207314596</v>
      </c>
      <c r="R98" s="224">
        <f t="shared" si="65"/>
        <v>0.51570795024875626</v>
      </c>
      <c r="S98" s="222">
        <v>207314596</v>
      </c>
      <c r="T98" s="224">
        <f t="shared" ref="T98" si="92">+S98/$N98</f>
        <v>0.51570795024875626</v>
      </c>
    </row>
    <row r="99" spans="1:43" ht="24.95" customHeight="1">
      <c r="A99" s="32" t="s">
        <v>410</v>
      </c>
      <c r="B99" s="217" t="s">
        <v>411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19" t="s">
        <v>52</v>
      </c>
      <c r="H99" s="219" t="s">
        <v>34</v>
      </c>
      <c r="I99" s="219"/>
      <c r="J99" s="219"/>
      <c r="K99" s="220" t="s">
        <v>28</v>
      </c>
      <c r="L99" s="221" t="s">
        <v>29</v>
      </c>
      <c r="M99" s="217" t="s">
        <v>141</v>
      </c>
      <c r="N99" s="222">
        <v>314000000</v>
      </c>
      <c r="O99" s="222">
        <v>49094160</v>
      </c>
      <c r="P99" s="224">
        <f t="shared" si="65"/>
        <v>0.1563508280254777</v>
      </c>
      <c r="Q99" s="222">
        <v>49094160</v>
      </c>
      <c r="R99" s="224">
        <f t="shared" si="65"/>
        <v>0.1563508280254777</v>
      </c>
      <c r="S99" s="222">
        <v>49094160</v>
      </c>
      <c r="T99" s="224">
        <f t="shared" ref="T99" si="93">+S99/$N99</f>
        <v>0.1563508280254777</v>
      </c>
    </row>
    <row r="100" spans="1:43" s="64" customFormat="1" ht="24.95" customHeight="1">
      <c r="A100" s="32" t="s">
        <v>412</v>
      </c>
      <c r="B100" s="217" t="s">
        <v>413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25" t="s">
        <v>142</v>
      </c>
      <c r="H100" s="219"/>
      <c r="I100" s="219"/>
      <c r="J100" s="219"/>
      <c r="K100" s="220" t="s">
        <v>28</v>
      </c>
      <c r="L100" s="221" t="s">
        <v>29</v>
      </c>
      <c r="M100" s="217" t="s">
        <v>260</v>
      </c>
      <c r="N100" s="223">
        <v>36000000</v>
      </c>
      <c r="O100" s="223">
        <v>35990874</v>
      </c>
      <c r="P100" s="224">
        <f t="shared" si="65"/>
        <v>0.99974649999999998</v>
      </c>
      <c r="Q100" s="222">
        <v>35990874</v>
      </c>
      <c r="R100" s="224">
        <f t="shared" si="65"/>
        <v>0.99974649999999998</v>
      </c>
      <c r="S100" s="222">
        <v>35990874</v>
      </c>
      <c r="T100" s="224">
        <f t="shared" ref="T100" si="94">+S100/$N100</f>
        <v>0.99974649999999998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4.95" customHeight="1">
      <c r="A101" s="32" t="s">
        <v>414</v>
      </c>
      <c r="B101" s="196" t="s">
        <v>415</v>
      </c>
      <c r="C101" s="197" t="s">
        <v>23</v>
      </c>
      <c r="D101" s="198" t="s">
        <v>65</v>
      </c>
      <c r="E101" s="198" t="s">
        <v>28</v>
      </c>
      <c r="F101" s="198"/>
      <c r="G101" s="198"/>
      <c r="H101" s="198"/>
      <c r="I101" s="198"/>
      <c r="J101" s="198"/>
      <c r="K101" s="199"/>
      <c r="L101" s="200"/>
      <c r="M101" s="196" t="s">
        <v>143</v>
      </c>
      <c r="N101" s="201">
        <v>2597000000</v>
      </c>
      <c r="O101" s="201">
        <v>561742902.5</v>
      </c>
      <c r="P101" s="202">
        <f t="shared" si="65"/>
        <v>0.21630454466692337</v>
      </c>
      <c r="Q101" s="201">
        <v>561742902.5</v>
      </c>
      <c r="R101" s="202">
        <f t="shared" si="65"/>
        <v>0.21630454466692337</v>
      </c>
      <c r="S101" s="201">
        <v>561742902.5</v>
      </c>
      <c r="T101" s="202">
        <f t="shared" ref="T101" si="95">+S101/$N101</f>
        <v>0.21630454466692337</v>
      </c>
    </row>
    <row r="102" spans="1:43" ht="16.5">
      <c r="A102" s="32" t="s">
        <v>416</v>
      </c>
      <c r="B102" s="203" t="s">
        <v>417</v>
      </c>
      <c r="C102" s="204" t="s">
        <v>23</v>
      </c>
      <c r="D102" s="205" t="s">
        <v>65</v>
      </c>
      <c r="E102" s="205" t="s">
        <v>28</v>
      </c>
      <c r="F102" s="205" t="s">
        <v>25</v>
      </c>
      <c r="G102" s="205"/>
      <c r="H102" s="205"/>
      <c r="I102" s="205"/>
      <c r="J102" s="205"/>
      <c r="K102" s="206" t="s">
        <v>144</v>
      </c>
      <c r="L102" s="207" t="s">
        <v>29</v>
      </c>
      <c r="M102" s="203" t="s">
        <v>145</v>
      </c>
      <c r="N102" s="208">
        <v>2597000000</v>
      </c>
      <c r="O102" s="208">
        <v>561742902.5</v>
      </c>
      <c r="P102" s="209">
        <f t="shared" si="65"/>
        <v>0.21630454466692337</v>
      </c>
      <c r="Q102" s="208">
        <v>561742902.5</v>
      </c>
      <c r="R102" s="209">
        <f t="shared" si="65"/>
        <v>0.21630454466692337</v>
      </c>
      <c r="S102" s="208">
        <v>561742902.5</v>
      </c>
      <c r="T102" s="209">
        <f t="shared" ref="T102" si="96">+S102/$N102</f>
        <v>0.21630454466692337</v>
      </c>
    </row>
    <row r="103" spans="1:43" ht="24.95" customHeight="1">
      <c r="A103" s="32" t="s">
        <v>628</v>
      </c>
      <c r="B103" s="217" t="s">
        <v>418</v>
      </c>
      <c r="C103" s="218" t="s">
        <v>23</v>
      </c>
      <c r="D103" s="219" t="s">
        <v>65</v>
      </c>
      <c r="E103" s="219" t="s">
        <v>28</v>
      </c>
      <c r="F103" s="219" t="s">
        <v>25</v>
      </c>
      <c r="G103" s="219" t="s">
        <v>31</v>
      </c>
      <c r="H103" s="219"/>
      <c r="I103" s="219"/>
      <c r="J103" s="219"/>
      <c r="K103" s="220">
        <v>10</v>
      </c>
      <c r="L103" s="221" t="s">
        <v>29</v>
      </c>
      <c r="M103" s="259" t="s">
        <v>146</v>
      </c>
      <c r="N103" s="223">
        <v>2597000000</v>
      </c>
      <c r="O103" s="223">
        <v>561742902.5</v>
      </c>
      <c r="P103" s="224">
        <f t="shared" si="65"/>
        <v>0.21630454466692337</v>
      </c>
      <c r="Q103" s="222">
        <v>561742902.5</v>
      </c>
      <c r="R103" s="224">
        <f t="shared" si="65"/>
        <v>0.21630454466692337</v>
      </c>
      <c r="S103" s="222">
        <v>561742902.5</v>
      </c>
      <c r="T103" s="224">
        <f t="shared" ref="T103" si="97">+S103/$N103</f>
        <v>0.21630454466692337</v>
      </c>
    </row>
    <row r="104" spans="1:43" ht="35.1" customHeight="1">
      <c r="A104" s="32" t="s">
        <v>420</v>
      </c>
      <c r="B104" s="188" t="s">
        <v>421</v>
      </c>
      <c r="C104" s="189" t="s">
        <v>23</v>
      </c>
      <c r="D104" s="191" t="s">
        <v>148</v>
      </c>
      <c r="E104" s="191"/>
      <c r="F104" s="191"/>
      <c r="G104" s="191"/>
      <c r="H104" s="191"/>
      <c r="I104" s="191"/>
      <c r="J104" s="191"/>
      <c r="K104" s="192"/>
      <c r="L104" s="193"/>
      <c r="M104" s="188" t="s">
        <v>149</v>
      </c>
      <c r="N104" s="194">
        <v>7197086800</v>
      </c>
      <c r="O104" s="194">
        <v>7178372562.7799997</v>
      </c>
      <c r="P104" s="195">
        <f t="shared" si="65"/>
        <v>0.9973997482953797</v>
      </c>
      <c r="Q104" s="194">
        <v>7178372562.7799997</v>
      </c>
      <c r="R104" s="195">
        <f t="shared" si="65"/>
        <v>0.9973997482953797</v>
      </c>
      <c r="S104" s="194">
        <v>7178372562.7799997</v>
      </c>
      <c r="T104" s="195">
        <f t="shared" ref="T104" si="98">+S104/$N104</f>
        <v>0.9973997482953797</v>
      </c>
    </row>
    <row r="105" spans="1:43" ht="24.95" customHeight="1">
      <c r="A105" s="32" t="s">
        <v>422</v>
      </c>
      <c r="B105" s="196" t="s">
        <v>423</v>
      </c>
      <c r="C105" s="197" t="s">
        <v>23</v>
      </c>
      <c r="D105" s="198" t="s">
        <v>148</v>
      </c>
      <c r="E105" s="198" t="s">
        <v>25</v>
      </c>
      <c r="F105" s="198"/>
      <c r="G105" s="198"/>
      <c r="H105" s="198"/>
      <c r="I105" s="198"/>
      <c r="J105" s="198"/>
      <c r="K105" s="199"/>
      <c r="L105" s="200"/>
      <c r="M105" s="196" t="s">
        <v>150</v>
      </c>
      <c r="N105" s="201">
        <v>135000000</v>
      </c>
      <c r="O105" s="201">
        <v>116285763.71000001</v>
      </c>
      <c r="P105" s="202">
        <f t="shared" si="65"/>
        <v>0.86137602748148157</v>
      </c>
      <c r="Q105" s="201">
        <v>116285763.71000001</v>
      </c>
      <c r="R105" s="202">
        <f t="shared" si="65"/>
        <v>0.86137602748148157</v>
      </c>
      <c r="S105" s="201">
        <v>116285763.71000001</v>
      </c>
      <c r="T105" s="202">
        <f t="shared" ref="T105" si="99">+S105/$N105</f>
        <v>0.86137602748148157</v>
      </c>
    </row>
    <row r="106" spans="1:43" ht="16.5">
      <c r="A106" s="32" t="s">
        <v>424</v>
      </c>
      <c r="B106" s="203" t="s">
        <v>425</v>
      </c>
      <c r="C106" s="204" t="s">
        <v>23</v>
      </c>
      <c r="D106" s="205" t="s">
        <v>148</v>
      </c>
      <c r="E106" s="205" t="s">
        <v>25</v>
      </c>
      <c r="F106" s="205" t="s">
        <v>54</v>
      </c>
      <c r="G106" s="205"/>
      <c r="H106" s="205"/>
      <c r="I106" s="205"/>
      <c r="J106" s="205"/>
      <c r="K106" s="206" t="s">
        <v>28</v>
      </c>
      <c r="L106" s="207" t="s">
        <v>29</v>
      </c>
      <c r="M106" s="203" t="s">
        <v>151</v>
      </c>
      <c r="N106" s="208">
        <v>135000000</v>
      </c>
      <c r="O106" s="208">
        <v>116285763.71000001</v>
      </c>
      <c r="P106" s="209">
        <f t="shared" si="65"/>
        <v>0.86137602748148157</v>
      </c>
      <c r="Q106" s="208">
        <v>116285763.71000001</v>
      </c>
      <c r="R106" s="209">
        <f t="shared" si="65"/>
        <v>0.86137602748148157</v>
      </c>
      <c r="S106" s="208">
        <v>116285763.71000001</v>
      </c>
      <c r="T106" s="209">
        <f t="shared" ref="T106" si="100">+S106/$N106</f>
        <v>0.86137602748148157</v>
      </c>
    </row>
    <row r="107" spans="1:43" ht="24.95" customHeight="1">
      <c r="A107" s="32" t="s">
        <v>426</v>
      </c>
      <c r="B107" s="217" t="s">
        <v>427</v>
      </c>
      <c r="C107" s="218" t="s">
        <v>23</v>
      </c>
      <c r="D107" s="219" t="s">
        <v>148</v>
      </c>
      <c r="E107" s="219" t="s">
        <v>25</v>
      </c>
      <c r="F107" s="219" t="s">
        <v>54</v>
      </c>
      <c r="G107" s="219" t="s">
        <v>31</v>
      </c>
      <c r="H107" s="219"/>
      <c r="I107" s="219"/>
      <c r="J107" s="219"/>
      <c r="K107" s="220" t="s">
        <v>28</v>
      </c>
      <c r="L107" s="221" t="s">
        <v>29</v>
      </c>
      <c r="M107" s="259" t="s">
        <v>152</v>
      </c>
      <c r="N107" s="222">
        <v>49978748</v>
      </c>
      <c r="O107" s="222">
        <v>49978748</v>
      </c>
      <c r="P107" s="224">
        <f t="shared" si="65"/>
        <v>1</v>
      </c>
      <c r="Q107" s="222">
        <v>49978748</v>
      </c>
      <c r="R107" s="224">
        <f t="shared" si="65"/>
        <v>1</v>
      </c>
      <c r="S107" s="222">
        <v>49978748</v>
      </c>
      <c r="T107" s="224">
        <f t="shared" ref="T107" si="101">+S107/$N107</f>
        <v>1</v>
      </c>
    </row>
    <row r="108" spans="1:43" ht="24.95" customHeight="1">
      <c r="A108" s="32" t="s">
        <v>428</v>
      </c>
      <c r="B108" s="217" t="s">
        <v>429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38</v>
      </c>
      <c r="H108" s="219"/>
      <c r="I108" s="219"/>
      <c r="J108" s="219"/>
      <c r="K108" s="220" t="s">
        <v>28</v>
      </c>
      <c r="L108" s="221" t="s">
        <v>29</v>
      </c>
      <c r="M108" s="259" t="s">
        <v>153</v>
      </c>
      <c r="N108" s="222">
        <v>52000000</v>
      </c>
      <c r="O108" s="222">
        <v>33743915.710000001</v>
      </c>
      <c r="P108" s="224">
        <f t="shared" si="65"/>
        <v>0.6489214559615385</v>
      </c>
      <c r="Q108" s="222">
        <v>33743915.710000001</v>
      </c>
      <c r="R108" s="224">
        <f t="shared" si="65"/>
        <v>0.6489214559615385</v>
      </c>
      <c r="S108" s="222">
        <v>33743915.710000001</v>
      </c>
      <c r="T108" s="224">
        <f t="shared" ref="T108" si="102">+S108/$N108</f>
        <v>0.6489214559615385</v>
      </c>
    </row>
    <row r="109" spans="1:43" ht="24.95" customHeight="1">
      <c r="A109" s="32" t="s">
        <v>430</v>
      </c>
      <c r="B109" s="217" t="s">
        <v>431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42</v>
      </c>
      <c r="H109" s="219"/>
      <c r="I109" s="219"/>
      <c r="J109" s="219"/>
      <c r="K109" s="220" t="s">
        <v>28</v>
      </c>
      <c r="L109" s="221" t="s">
        <v>29</v>
      </c>
      <c r="M109" s="259" t="s">
        <v>154</v>
      </c>
      <c r="N109" s="222">
        <v>33021252</v>
      </c>
      <c r="O109" s="222">
        <v>32563100</v>
      </c>
      <c r="P109" s="224">
        <f t="shared" si="65"/>
        <v>0.98612554121206553</v>
      </c>
      <c r="Q109" s="222">
        <v>32563100</v>
      </c>
      <c r="R109" s="224">
        <f t="shared" si="65"/>
        <v>0.98612554121206553</v>
      </c>
      <c r="S109" s="222">
        <v>32563100</v>
      </c>
      <c r="T109" s="224">
        <f t="shared" ref="T109" si="103">+S109/$N109</f>
        <v>0.98612554121206553</v>
      </c>
    </row>
    <row r="110" spans="1:43" ht="24.95" customHeight="1">
      <c r="A110" s="32" t="s">
        <v>629</v>
      </c>
      <c r="B110" s="196" t="s">
        <v>432</v>
      </c>
      <c r="C110" s="197" t="s">
        <v>23</v>
      </c>
      <c r="D110" s="198" t="s">
        <v>148</v>
      </c>
      <c r="E110" s="198" t="s">
        <v>136</v>
      </c>
      <c r="F110" s="198"/>
      <c r="G110" s="198"/>
      <c r="H110" s="198"/>
      <c r="I110" s="198"/>
      <c r="J110" s="198"/>
      <c r="K110" s="199"/>
      <c r="L110" s="200"/>
      <c r="M110" s="196" t="s">
        <v>155</v>
      </c>
      <c r="N110" s="201">
        <v>7062086800</v>
      </c>
      <c r="O110" s="201">
        <v>7062086799.0699997</v>
      </c>
      <c r="P110" s="202">
        <f t="shared" si="65"/>
        <v>0.99999999986831078</v>
      </c>
      <c r="Q110" s="201">
        <v>7062086799.0699997</v>
      </c>
      <c r="R110" s="202">
        <f t="shared" si="65"/>
        <v>0.99999999986831078</v>
      </c>
      <c r="S110" s="201">
        <v>7062086799.0699997</v>
      </c>
      <c r="T110" s="202">
        <f t="shared" ref="T110" si="104">+S110/$N110</f>
        <v>0.99999999986831078</v>
      </c>
    </row>
    <row r="111" spans="1:43" ht="24.95" customHeight="1">
      <c r="A111" s="32"/>
      <c r="B111" s="217" t="s">
        <v>434</v>
      </c>
      <c r="C111" s="218" t="s">
        <v>23</v>
      </c>
      <c r="D111" s="219" t="s">
        <v>148</v>
      </c>
      <c r="E111" s="219" t="s">
        <v>136</v>
      </c>
      <c r="F111" s="219" t="s">
        <v>25</v>
      </c>
      <c r="G111" s="219"/>
      <c r="H111" s="219"/>
      <c r="I111" s="219"/>
      <c r="J111" s="219"/>
      <c r="K111" s="220">
        <v>10</v>
      </c>
      <c r="L111" s="221" t="s">
        <v>156</v>
      </c>
      <c r="M111" s="259" t="s">
        <v>157</v>
      </c>
      <c r="N111" s="223">
        <v>1322086800</v>
      </c>
      <c r="O111" s="223">
        <v>1322086800</v>
      </c>
      <c r="P111" s="224">
        <f t="shared" si="65"/>
        <v>1</v>
      </c>
      <c r="Q111" s="222">
        <v>1322086800</v>
      </c>
      <c r="R111" s="224">
        <f t="shared" si="65"/>
        <v>1</v>
      </c>
      <c r="S111" s="222">
        <v>1322086800</v>
      </c>
      <c r="T111" s="224">
        <f t="shared" ref="T111" si="105">+S111/$N111</f>
        <v>1</v>
      </c>
    </row>
    <row r="112" spans="1:43" ht="24.95" customHeight="1" thickBot="1">
      <c r="A112" s="32" t="s">
        <v>433</v>
      </c>
      <c r="B112" s="217" t="s">
        <v>434</v>
      </c>
      <c r="C112" s="218" t="s">
        <v>23</v>
      </c>
      <c r="D112" s="219" t="s">
        <v>148</v>
      </c>
      <c r="E112" s="219" t="s">
        <v>136</v>
      </c>
      <c r="F112" s="219" t="s">
        <v>25</v>
      </c>
      <c r="G112" s="219"/>
      <c r="H112" s="219"/>
      <c r="I112" s="219"/>
      <c r="J112" s="219"/>
      <c r="K112" s="220" t="s">
        <v>144</v>
      </c>
      <c r="L112" s="221" t="s">
        <v>156</v>
      </c>
      <c r="M112" s="259" t="s">
        <v>157</v>
      </c>
      <c r="N112" s="223">
        <v>5740000000</v>
      </c>
      <c r="O112" s="223">
        <v>5739999999.0699997</v>
      </c>
      <c r="P112" s="224">
        <f t="shared" si="65"/>
        <v>0.99999999983797905</v>
      </c>
      <c r="Q112" s="222">
        <v>5739999999.0699997</v>
      </c>
      <c r="R112" s="224">
        <f t="shared" si="65"/>
        <v>0.99999999983797905</v>
      </c>
      <c r="S112" s="222">
        <v>5739999999.0699997</v>
      </c>
      <c r="T112" s="224">
        <f t="shared" ref="T112" si="106">+S112/$N112</f>
        <v>0.99999999983797905</v>
      </c>
    </row>
    <row r="113" spans="1:20" ht="35.1" customHeight="1" thickBot="1">
      <c r="A113" s="32" t="s">
        <v>435</v>
      </c>
      <c r="B113" s="260" t="s">
        <v>278</v>
      </c>
      <c r="C113" s="261" t="s">
        <v>167</v>
      </c>
      <c r="D113" s="262"/>
      <c r="E113" s="262"/>
      <c r="F113" s="262"/>
      <c r="G113" s="262"/>
      <c r="H113" s="262"/>
      <c r="I113" s="262"/>
      <c r="J113" s="262"/>
      <c r="K113" s="263"/>
      <c r="L113" s="264"/>
      <c r="M113" s="260" t="s">
        <v>168</v>
      </c>
      <c r="N113" s="265">
        <v>3066415372316</v>
      </c>
      <c r="O113" s="265">
        <v>3042858939664.3203</v>
      </c>
      <c r="P113" s="187">
        <f t="shared" si="65"/>
        <v>0.99231792507161609</v>
      </c>
      <c r="Q113" s="265">
        <v>2945066805353.3096</v>
      </c>
      <c r="R113" s="187">
        <f t="shared" si="65"/>
        <v>0.96042657232342321</v>
      </c>
      <c r="S113" s="265">
        <v>2942266491788.3096</v>
      </c>
      <c r="T113" s="187">
        <f t="shared" ref="T113" si="107">+S113/$N113</f>
        <v>0.95951335176293373</v>
      </c>
    </row>
    <row r="114" spans="1:20" ht="35.1" customHeight="1">
      <c r="A114" s="32" t="s">
        <v>436</v>
      </c>
      <c r="B114" s="188" t="s">
        <v>437</v>
      </c>
      <c r="C114" s="189" t="s">
        <v>167</v>
      </c>
      <c r="D114" s="191">
        <v>4101</v>
      </c>
      <c r="E114" s="191"/>
      <c r="F114" s="191"/>
      <c r="G114" s="191"/>
      <c r="H114" s="191"/>
      <c r="I114" s="191"/>
      <c r="J114" s="191"/>
      <c r="K114" s="192"/>
      <c r="L114" s="193"/>
      <c r="M114" s="188" t="s">
        <v>169</v>
      </c>
      <c r="N114" s="194">
        <v>184499832863</v>
      </c>
      <c r="O114" s="194">
        <v>184282827226</v>
      </c>
      <c r="P114" s="195">
        <f t="shared" si="65"/>
        <v>0.99882381662014219</v>
      </c>
      <c r="Q114" s="194">
        <v>163710219977</v>
      </c>
      <c r="R114" s="195">
        <f t="shared" si="65"/>
        <v>0.88731906927288495</v>
      </c>
      <c r="S114" s="194">
        <v>163710219977</v>
      </c>
      <c r="T114" s="195">
        <f t="shared" ref="T114" si="108">+S114/$N114</f>
        <v>0.88731906927288495</v>
      </c>
    </row>
    <row r="115" spans="1:20" ht="24.95" customHeight="1">
      <c r="A115" s="32" t="s">
        <v>438</v>
      </c>
      <c r="B115" s="196" t="s">
        <v>295</v>
      </c>
      <c r="C115" s="197" t="s">
        <v>167</v>
      </c>
      <c r="D115" s="198">
        <v>4101</v>
      </c>
      <c r="E115" s="198">
        <v>1500</v>
      </c>
      <c r="F115" s="198"/>
      <c r="G115" s="198"/>
      <c r="H115" s="198"/>
      <c r="I115" s="198"/>
      <c r="J115" s="198"/>
      <c r="K115" s="199"/>
      <c r="L115" s="200"/>
      <c r="M115" s="196" t="s">
        <v>170</v>
      </c>
      <c r="N115" s="201">
        <v>184499832863</v>
      </c>
      <c r="O115" s="201">
        <v>184282827226</v>
      </c>
      <c r="P115" s="202">
        <f t="shared" si="65"/>
        <v>0.99882381662014219</v>
      </c>
      <c r="Q115" s="201">
        <v>163710219977</v>
      </c>
      <c r="R115" s="202">
        <f t="shared" si="65"/>
        <v>0.88731906927288495</v>
      </c>
      <c r="S115" s="201">
        <v>163710219977</v>
      </c>
      <c r="T115" s="202">
        <f t="shared" ref="T115" si="109">+S115/$N115</f>
        <v>0.88731906927288495</v>
      </c>
    </row>
    <row r="116" spans="1:20" ht="36" customHeight="1">
      <c r="A116" s="32" t="s">
        <v>439</v>
      </c>
      <c r="B116" s="203" t="s">
        <v>440</v>
      </c>
      <c r="C116" s="227" t="s">
        <v>167</v>
      </c>
      <c r="D116" s="228" t="s">
        <v>171</v>
      </c>
      <c r="E116" s="228" t="s">
        <v>172</v>
      </c>
      <c r="F116" s="228" t="s">
        <v>261</v>
      </c>
      <c r="G116" s="228"/>
      <c r="H116" s="228"/>
      <c r="I116" s="228"/>
      <c r="J116" s="228"/>
      <c r="K116" s="229"/>
      <c r="L116" s="230"/>
      <c r="M116" s="231" t="s">
        <v>279</v>
      </c>
      <c r="N116" s="232">
        <v>61470787771</v>
      </c>
      <c r="O116" s="232">
        <v>61389314251</v>
      </c>
      <c r="P116" s="233">
        <f t="shared" si="65"/>
        <v>0.99867459775684808</v>
      </c>
      <c r="Q116" s="232">
        <v>45562325546</v>
      </c>
      <c r="R116" s="233">
        <f t="shared" si="65"/>
        <v>0.74120288999281192</v>
      </c>
      <c r="S116" s="232">
        <v>45562325546</v>
      </c>
      <c r="T116" s="233">
        <f t="shared" ref="T116" si="110">+S116/$N116</f>
        <v>0.74120288999281192</v>
      </c>
    </row>
    <row r="117" spans="1:20" ht="24.95" customHeight="1">
      <c r="A117" s="32" t="s">
        <v>630</v>
      </c>
      <c r="B117" s="210" t="s">
        <v>441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176</v>
      </c>
      <c r="I117" s="212"/>
      <c r="J117" s="212"/>
      <c r="K117" s="213">
        <v>11</v>
      </c>
      <c r="L117" s="214" t="s">
        <v>29</v>
      </c>
      <c r="M117" s="210" t="s">
        <v>177</v>
      </c>
      <c r="N117" s="215">
        <v>34759400000</v>
      </c>
      <c r="O117" s="215">
        <v>34759400000</v>
      </c>
      <c r="P117" s="216">
        <f t="shared" si="65"/>
        <v>1</v>
      </c>
      <c r="Q117" s="215">
        <v>19167145246</v>
      </c>
      <c r="R117" s="216">
        <f t="shared" si="65"/>
        <v>0.55142336306150275</v>
      </c>
      <c r="S117" s="215">
        <v>19167145246</v>
      </c>
      <c r="T117" s="216">
        <f t="shared" ref="T117" si="111">+S117/$N117</f>
        <v>0.55142336306150275</v>
      </c>
    </row>
    <row r="118" spans="1:20" ht="24.95" customHeight="1">
      <c r="A118" s="32" t="s">
        <v>631</v>
      </c>
      <c r="B118" s="217" t="s">
        <v>442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176</v>
      </c>
      <c r="I118" s="219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34759400000</v>
      </c>
      <c r="O118" s="222">
        <v>34759400000</v>
      </c>
      <c r="P118" s="224">
        <f t="shared" si="65"/>
        <v>1</v>
      </c>
      <c r="Q118" s="222">
        <v>19167145246</v>
      </c>
      <c r="R118" s="224">
        <f t="shared" si="65"/>
        <v>0.55142336306150275</v>
      </c>
      <c r="S118" s="222">
        <v>19167145246</v>
      </c>
      <c r="T118" s="224">
        <f t="shared" ref="T118" si="112">+S118/$N118</f>
        <v>0.55142336306150275</v>
      </c>
    </row>
    <row r="119" spans="1:20" ht="31.5" customHeight="1">
      <c r="A119" s="32" t="s">
        <v>632</v>
      </c>
      <c r="B119" s="210" t="s">
        <v>443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179</v>
      </c>
      <c r="I119" s="212"/>
      <c r="J119" s="212"/>
      <c r="K119" s="213">
        <v>11</v>
      </c>
      <c r="L119" s="214" t="s">
        <v>29</v>
      </c>
      <c r="M119" s="210" t="s">
        <v>180</v>
      </c>
      <c r="N119" s="215">
        <v>8799663116</v>
      </c>
      <c r="O119" s="215">
        <v>8799663116</v>
      </c>
      <c r="P119" s="216">
        <f t="shared" si="65"/>
        <v>1</v>
      </c>
      <c r="Q119" s="215">
        <v>8564929165</v>
      </c>
      <c r="R119" s="216">
        <f t="shared" si="65"/>
        <v>0.97332466619395974</v>
      </c>
      <c r="S119" s="215">
        <v>8564929165</v>
      </c>
      <c r="T119" s="216">
        <f t="shared" ref="T119" si="113">+S119/$N119</f>
        <v>0.97332466619395974</v>
      </c>
    </row>
    <row r="120" spans="1:20" ht="24.95" customHeight="1">
      <c r="A120" s="32" t="s">
        <v>633</v>
      </c>
      <c r="B120" s="217" t="s">
        <v>444</v>
      </c>
      <c r="C120" s="218" t="s">
        <v>167</v>
      </c>
      <c r="D120" s="219" t="s">
        <v>171</v>
      </c>
      <c r="E120" s="219" t="s">
        <v>172</v>
      </c>
      <c r="F120" s="219">
        <v>5</v>
      </c>
      <c r="G120" s="219" t="s">
        <v>175</v>
      </c>
      <c r="H120" s="219" t="s">
        <v>179</v>
      </c>
      <c r="I120" s="219" t="s">
        <v>54</v>
      </c>
      <c r="J120" s="219"/>
      <c r="K120" s="220">
        <v>11</v>
      </c>
      <c r="L120" s="221" t="s">
        <v>29</v>
      </c>
      <c r="M120" s="259" t="s">
        <v>178</v>
      </c>
      <c r="N120" s="222">
        <v>8799663116</v>
      </c>
      <c r="O120" s="222">
        <v>8799663116</v>
      </c>
      <c r="P120" s="224">
        <f t="shared" si="65"/>
        <v>1</v>
      </c>
      <c r="Q120" s="222">
        <v>8564929165</v>
      </c>
      <c r="R120" s="224">
        <f t="shared" si="65"/>
        <v>0.97332466619395974</v>
      </c>
      <c r="S120" s="222">
        <v>8564929165</v>
      </c>
      <c r="T120" s="224">
        <f t="shared" ref="T120" si="114">+S120/$N120</f>
        <v>0.97332466619395974</v>
      </c>
    </row>
    <row r="121" spans="1:20" ht="31.5" customHeight="1">
      <c r="A121" s="32" t="s">
        <v>634</v>
      </c>
      <c r="B121" s="210" t="s">
        <v>445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181</v>
      </c>
      <c r="I121" s="212"/>
      <c r="J121" s="212"/>
      <c r="K121" s="213">
        <v>11</v>
      </c>
      <c r="L121" s="214" t="s">
        <v>29</v>
      </c>
      <c r="M121" s="210" t="s">
        <v>182</v>
      </c>
      <c r="N121" s="215">
        <v>3094555494</v>
      </c>
      <c r="O121" s="215">
        <v>3013081974</v>
      </c>
      <c r="P121" s="216">
        <f t="shared" si="65"/>
        <v>0.97367197965653929</v>
      </c>
      <c r="Q121" s="215">
        <v>3013081974</v>
      </c>
      <c r="R121" s="216">
        <f t="shared" si="65"/>
        <v>0.97367197965653929</v>
      </c>
      <c r="S121" s="215">
        <v>3013081974</v>
      </c>
      <c r="T121" s="216">
        <f t="shared" ref="T121" si="115">+S121/$N121</f>
        <v>0.97367197965653929</v>
      </c>
    </row>
    <row r="122" spans="1:20" ht="24.95" customHeight="1">
      <c r="A122" s="32" t="s">
        <v>635</v>
      </c>
      <c r="B122" s="217" t="s">
        <v>446</v>
      </c>
      <c r="C122" s="218" t="s">
        <v>167</v>
      </c>
      <c r="D122" s="219" t="s">
        <v>171</v>
      </c>
      <c r="E122" s="219" t="s">
        <v>172</v>
      </c>
      <c r="F122" s="219" t="s">
        <v>261</v>
      </c>
      <c r="G122" s="219" t="s">
        <v>175</v>
      </c>
      <c r="H122" s="219" t="s">
        <v>181</v>
      </c>
      <c r="I122" s="225" t="s">
        <v>54</v>
      </c>
      <c r="J122" s="219"/>
      <c r="K122" s="220">
        <v>11</v>
      </c>
      <c r="L122" s="221" t="s">
        <v>29</v>
      </c>
      <c r="M122" s="217" t="s">
        <v>178</v>
      </c>
      <c r="N122" s="222">
        <v>3094555494</v>
      </c>
      <c r="O122" s="222">
        <v>3013081974</v>
      </c>
      <c r="P122" s="224">
        <f t="shared" si="65"/>
        <v>0.97367197965653929</v>
      </c>
      <c r="Q122" s="222">
        <v>3013081974</v>
      </c>
      <c r="R122" s="224">
        <f t="shared" si="65"/>
        <v>0.97367197965653929</v>
      </c>
      <c r="S122" s="222">
        <v>3013081974</v>
      </c>
      <c r="T122" s="224">
        <f t="shared" ref="T122" si="116">+S122/$N122</f>
        <v>0.97367197965653929</v>
      </c>
    </row>
    <row r="123" spans="1:20" ht="31.5" customHeight="1">
      <c r="A123" s="32" t="s">
        <v>636</v>
      </c>
      <c r="B123" s="210" t="s">
        <v>447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183</v>
      </c>
      <c r="I123" s="212"/>
      <c r="J123" s="212"/>
      <c r="K123" s="213">
        <v>11</v>
      </c>
      <c r="L123" s="214" t="s">
        <v>29</v>
      </c>
      <c r="M123" s="210" t="s">
        <v>184</v>
      </c>
      <c r="N123" s="215">
        <v>7027400000</v>
      </c>
      <c r="O123" s="215">
        <v>7027400000</v>
      </c>
      <c r="P123" s="216">
        <f t="shared" si="65"/>
        <v>1</v>
      </c>
      <c r="Q123" s="215">
        <v>7027400000</v>
      </c>
      <c r="R123" s="216">
        <f t="shared" si="65"/>
        <v>1</v>
      </c>
      <c r="S123" s="215">
        <v>7027400000</v>
      </c>
      <c r="T123" s="216">
        <f t="shared" ref="T123" si="117">+S123/$N123</f>
        <v>1</v>
      </c>
    </row>
    <row r="124" spans="1:20" ht="24.95" customHeight="1">
      <c r="A124" s="32" t="s">
        <v>637</v>
      </c>
      <c r="B124" s="217" t="s">
        <v>448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183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3">
        <v>7027400000</v>
      </c>
      <c r="O124" s="222">
        <v>7027400000</v>
      </c>
      <c r="P124" s="224">
        <f t="shared" si="65"/>
        <v>1</v>
      </c>
      <c r="Q124" s="222">
        <v>7027400000</v>
      </c>
      <c r="R124" s="224">
        <f t="shared" si="65"/>
        <v>1</v>
      </c>
      <c r="S124" s="222">
        <v>7027400000</v>
      </c>
      <c r="T124" s="224">
        <f t="shared" ref="T124" si="118">+S124/$N124</f>
        <v>1</v>
      </c>
    </row>
    <row r="125" spans="1:20" ht="24.95" customHeight="1">
      <c r="A125" s="32" t="s">
        <v>638</v>
      </c>
      <c r="B125" s="210" t="s">
        <v>449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185</v>
      </c>
      <c r="I125" s="212"/>
      <c r="J125" s="212"/>
      <c r="K125" s="213">
        <v>11</v>
      </c>
      <c r="L125" s="214" t="s">
        <v>29</v>
      </c>
      <c r="M125" s="210" t="s">
        <v>186</v>
      </c>
      <c r="N125" s="215">
        <v>5196200000</v>
      </c>
      <c r="O125" s="215">
        <v>5196200000</v>
      </c>
      <c r="P125" s="216">
        <f t="shared" si="65"/>
        <v>1</v>
      </c>
      <c r="Q125" s="215">
        <v>5196200000</v>
      </c>
      <c r="R125" s="216">
        <f t="shared" si="65"/>
        <v>1</v>
      </c>
      <c r="S125" s="215">
        <v>5196200000</v>
      </c>
      <c r="T125" s="216">
        <f t="shared" ref="T125" si="119">+S125/$N125</f>
        <v>1</v>
      </c>
    </row>
    <row r="126" spans="1:20" ht="24.95" customHeight="1">
      <c r="A126" s="32" t="s">
        <v>639</v>
      </c>
      <c r="B126" s="217" t="s">
        <v>450</v>
      </c>
      <c r="C126" s="218" t="s">
        <v>167</v>
      </c>
      <c r="D126" s="219" t="s">
        <v>171</v>
      </c>
      <c r="E126" s="219" t="s">
        <v>172</v>
      </c>
      <c r="F126" s="219">
        <v>5</v>
      </c>
      <c r="G126" s="219" t="s">
        <v>175</v>
      </c>
      <c r="H126" s="219" t="s">
        <v>185</v>
      </c>
      <c r="I126" s="219" t="s">
        <v>54</v>
      </c>
      <c r="J126" s="219"/>
      <c r="K126" s="220">
        <v>11</v>
      </c>
      <c r="L126" s="221" t="s">
        <v>29</v>
      </c>
      <c r="M126" s="259" t="s">
        <v>178</v>
      </c>
      <c r="N126" s="222">
        <v>5196200000</v>
      </c>
      <c r="O126" s="222">
        <v>5196200000</v>
      </c>
      <c r="P126" s="224">
        <f t="shared" si="65"/>
        <v>1</v>
      </c>
      <c r="Q126" s="222">
        <v>5196200000</v>
      </c>
      <c r="R126" s="224">
        <f t="shared" si="65"/>
        <v>1</v>
      </c>
      <c r="S126" s="222">
        <v>5196200000</v>
      </c>
      <c r="T126" s="224">
        <f t="shared" ref="T126" si="120">+S126/$N126</f>
        <v>1</v>
      </c>
    </row>
    <row r="127" spans="1:20" ht="31.5" customHeight="1">
      <c r="A127" s="32" t="s">
        <v>640</v>
      </c>
      <c r="B127" s="210" t="s">
        <v>451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187</v>
      </c>
      <c r="I127" s="212"/>
      <c r="J127" s="212"/>
      <c r="K127" s="213">
        <v>11</v>
      </c>
      <c r="L127" s="214" t="s">
        <v>29</v>
      </c>
      <c r="M127" s="210" t="s">
        <v>188</v>
      </c>
      <c r="N127" s="215">
        <v>2593569161</v>
      </c>
      <c r="O127" s="215">
        <v>2593569161</v>
      </c>
      <c r="P127" s="216">
        <f t="shared" si="65"/>
        <v>1</v>
      </c>
      <c r="Q127" s="215">
        <v>2593569161</v>
      </c>
      <c r="R127" s="216">
        <f t="shared" si="65"/>
        <v>1</v>
      </c>
      <c r="S127" s="215">
        <v>2593569161</v>
      </c>
      <c r="T127" s="216">
        <f t="shared" ref="T127" si="121">+S127/$N127</f>
        <v>1</v>
      </c>
    </row>
    <row r="128" spans="1:20" ht="24.95" customHeight="1">
      <c r="A128" s="32" t="s">
        <v>641</v>
      </c>
      <c r="B128" s="217" t="s">
        <v>452</v>
      </c>
      <c r="C128" s="218" t="s">
        <v>167</v>
      </c>
      <c r="D128" s="219" t="s">
        <v>171</v>
      </c>
      <c r="E128" s="219" t="s">
        <v>172</v>
      </c>
      <c r="F128" s="219" t="s">
        <v>261</v>
      </c>
      <c r="G128" s="219" t="s">
        <v>175</v>
      </c>
      <c r="H128" s="219" t="s">
        <v>187</v>
      </c>
      <c r="I128" s="219" t="s">
        <v>54</v>
      </c>
      <c r="J128" s="219"/>
      <c r="K128" s="220">
        <v>11</v>
      </c>
      <c r="L128" s="221" t="s">
        <v>29</v>
      </c>
      <c r="M128" s="217" t="s">
        <v>178</v>
      </c>
      <c r="N128" s="222">
        <v>2593569161</v>
      </c>
      <c r="O128" s="222">
        <v>2593569161</v>
      </c>
      <c r="P128" s="224">
        <f t="shared" si="65"/>
        <v>1</v>
      </c>
      <c r="Q128" s="222">
        <v>2593569161</v>
      </c>
      <c r="R128" s="224">
        <f t="shared" si="65"/>
        <v>1</v>
      </c>
      <c r="S128" s="222">
        <v>2593569161</v>
      </c>
      <c r="T128" s="224">
        <f t="shared" ref="T128" si="122">+S128/$N128</f>
        <v>1</v>
      </c>
    </row>
    <row r="129" spans="1:20" ht="52.5" customHeight="1">
      <c r="A129" s="32" t="s">
        <v>453</v>
      </c>
      <c r="B129" s="226" t="s">
        <v>454</v>
      </c>
      <c r="C129" s="227" t="s">
        <v>167</v>
      </c>
      <c r="D129" s="228" t="s">
        <v>171</v>
      </c>
      <c r="E129" s="228" t="s">
        <v>172</v>
      </c>
      <c r="F129" s="228" t="s">
        <v>173</v>
      </c>
      <c r="G129" s="228"/>
      <c r="H129" s="228"/>
      <c r="I129" s="228"/>
      <c r="J129" s="228"/>
      <c r="K129" s="229"/>
      <c r="L129" s="230"/>
      <c r="M129" s="231" t="s">
        <v>174</v>
      </c>
      <c r="N129" s="232">
        <v>123029045092</v>
      </c>
      <c r="O129" s="232">
        <v>122893512975</v>
      </c>
      <c r="P129" s="233">
        <f t="shared" si="65"/>
        <v>0.99889837300697037</v>
      </c>
      <c r="Q129" s="232">
        <v>118147894431</v>
      </c>
      <c r="R129" s="233">
        <f t="shared" si="65"/>
        <v>0.96032521704651186</v>
      </c>
      <c r="S129" s="232">
        <v>118147894431</v>
      </c>
      <c r="T129" s="233">
        <f t="shared" ref="T129" si="123">+S129/$N129</f>
        <v>0.96032521704651186</v>
      </c>
    </row>
    <row r="130" spans="1:20" ht="24.95" customHeight="1">
      <c r="A130" s="32" t="s">
        <v>455</v>
      </c>
      <c r="B130" s="210" t="s">
        <v>456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176</v>
      </c>
      <c r="I130" s="212"/>
      <c r="J130" s="212"/>
      <c r="K130" s="213" t="s">
        <v>144</v>
      </c>
      <c r="L130" s="214" t="s">
        <v>29</v>
      </c>
      <c r="M130" s="210" t="s">
        <v>177</v>
      </c>
      <c r="N130" s="215">
        <v>20350449949</v>
      </c>
      <c r="O130" s="215">
        <v>20262720109</v>
      </c>
      <c r="P130" s="216">
        <f t="shared" si="65"/>
        <v>0.9956890466687538</v>
      </c>
      <c r="Q130" s="215">
        <v>19836800109</v>
      </c>
      <c r="R130" s="216">
        <f t="shared" si="65"/>
        <v>0.97475977969591576</v>
      </c>
      <c r="S130" s="215">
        <v>19836800109</v>
      </c>
      <c r="T130" s="216">
        <f t="shared" ref="T130" si="124">+S130/$N130</f>
        <v>0.97475977969591576</v>
      </c>
    </row>
    <row r="131" spans="1:20" ht="24.95" customHeight="1">
      <c r="A131" s="32" t="s">
        <v>457</v>
      </c>
      <c r="B131" s="217" t="s">
        <v>458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176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20350449949</v>
      </c>
      <c r="O131" s="222">
        <v>20262720109</v>
      </c>
      <c r="P131" s="224">
        <f t="shared" si="65"/>
        <v>0.9956890466687538</v>
      </c>
      <c r="Q131" s="222">
        <v>19836800109</v>
      </c>
      <c r="R131" s="224">
        <f t="shared" si="65"/>
        <v>0.97475977969591576</v>
      </c>
      <c r="S131" s="222">
        <v>19836800109</v>
      </c>
      <c r="T131" s="224">
        <f t="shared" ref="T131" si="125">+S131/$N131</f>
        <v>0.97475977969591576</v>
      </c>
    </row>
    <row r="132" spans="1:20" ht="31.5" customHeight="1">
      <c r="A132" s="32" t="s">
        <v>459</v>
      </c>
      <c r="B132" s="210" t="s">
        <v>460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179</v>
      </c>
      <c r="I132" s="212"/>
      <c r="J132" s="212"/>
      <c r="K132" s="213" t="s">
        <v>144</v>
      </c>
      <c r="L132" s="214" t="s">
        <v>29</v>
      </c>
      <c r="M132" s="210" t="s">
        <v>180</v>
      </c>
      <c r="N132" s="215">
        <v>27327887861</v>
      </c>
      <c r="O132" s="215">
        <v>27327887861</v>
      </c>
      <c r="P132" s="216">
        <f t="shared" si="65"/>
        <v>1</v>
      </c>
      <c r="Q132" s="215">
        <v>26728189317</v>
      </c>
      <c r="R132" s="216">
        <f t="shared" si="65"/>
        <v>0.97805543746921486</v>
      </c>
      <c r="S132" s="215">
        <v>26728189317</v>
      </c>
      <c r="T132" s="216">
        <f t="shared" ref="T132" si="126">+S132/$N132</f>
        <v>0.97805543746921486</v>
      </c>
    </row>
    <row r="133" spans="1:20" ht="24.95" customHeight="1">
      <c r="A133" s="32" t="s">
        <v>461</v>
      </c>
      <c r="B133" s="217" t="s">
        <v>462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179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27327887861</v>
      </c>
      <c r="O133" s="222">
        <v>27327887861</v>
      </c>
      <c r="P133" s="224">
        <f t="shared" si="65"/>
        <v>1</v>
      </c>
      <c r="Q133" s="222">
        <v>26728189317</v>
      </c>
      <c r="R133" s="224">
        <f t="shared" si="65"/>
        <v>0.97805543746921486</v>
      </c>
      <c r="S133" s="222">
        <v>26728189317</v>
      </c>
      <c r="T133" s="224">
        <f t="shared" ref="T133" si="127">+S133/$N133</f>
        <v>0.97805543746921486</v>
      </c>
    </row>
    <row r="134" spans="1:20" ht="31.5" customHeight="1">
      <c r="A134" s="32" t="s">
        <v>463</v>
      </c>
      <c r="B134" s="210" t="s">
        <v>464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181</v>
      </c>
      <c r="I134" s="212"/>
      <c r="J134" s="212"/>
      <c r="K134" s="213" t="s">
        <v>144</v>
      </c>
      <c r="L134" s="214" t="s">
        <v>29</v>
      </c>
      <c r="M134" s="210" t="s">
        <v>182</v>
      </c>
      <c r="N134" s="215">
        <v>17722088000</v>
      </c>
      <c r="O134" s="215">
        <v>17722088000</v>
      </c>
      <c r="P134" s="216">
        <f t="shared" si="65"/>
        <v>1</v>
      </c>
      <c r="Q134" s="215">
        <v>17722088000</v>
      </c>
      <c r="R134" s="216">
        <f t="shared" si="65"/>
        <v>1</v>
      </c>
      <c r="S134" s="215">
        <v>17722088000</v>
      </c>
      <c r="T134" s="216">
        <f t="shared" ref="T134" si="128">+S134/$N134</f>
        <v>1</v>
      </c>
    </row>
    <row r="135" spans="1:20" ht="24.95" customHeight="1">
      <c r="A135" s="32" t="s">
        <v>465</v>
      </c>
      <c r="B135" s="217" t="s">
        <v>466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181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17722088000</v>
      </c>
      <c r="O135" s="222">
        <v>17722088000</v>
      </c>
      <c r="P135" s="224">
        <f t="shared" si="65"/>
        <v>1</v>
      </c>
      <c r="Q135" s="222">
        <v>17722088000</v>
      </c>
      <c r="R135" s="224">
        <f t="shared" si="65"/>
        <v>1</v>
      </c>
      <c r="S135" s="222">
        <v>17722088000</v>
      </c>
      <c r="T135" s="224">
        <f t="shared" ref="T135" si="129">+S135/$N135</f>
        <v>1</v>
      </c>
    </row>
    <row r="136" spans="1:20" ht="31.5" customHeight="1">
      <c r="A136" s="32" t="s">
        <v>467</v>
      </c>
      <c r="B136" s="210" t="s">
        <v>468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183</v>
      </c>
      <c r="I136" s="212"/>
      <c r="J136" s="212"/>
      <c r="K136" s="213" t="s">
        <v>144</v>
      </c>
      <c r="L136" s="214" t="s">
        <v>29</v>
      </c>
      <c r="M136" s="210" t="s">
        <v>184</v>
      </c>
      <c r="N136" s="215">
        <v>16142813942</v>
      </c>
      <c r="O136" s="215">
        <v>16098088473</v>
      </c>
      <c r="P136" s="216">
        <f t="shared" ref="P136:R199" si="130">+O136/$N136</f>
        <v>0.99722938831106545</v>
      </c>
      <c r="Q136" s="215">
        <v>16078088473</v>
      </c>
      <c r="R136" s="216">
        <f t="shared" si="130"/>
        <v>0.99599044694236372</v>
      </c>
      <c r="S136" s="215">
        <v>16078088473</v>
      </c>
      <c r="T136" s="216">
        <f t="shared" ref="T136" si="131">+S136/$N136</f>
        <v>0.99599044694236372</v>
      </c>
    </row>
    <row r="137" spans="1:20" ht="24.95" customHeight="1">
      <c r="A137" s="32" t="s">
        <v>469</v>
      </c>
      <c r="B137" s="217" t="s">
        <v>470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183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16142813942</v>
      </c>
      <c r="O137" s="222">
        <v>16098088473</v>
      </c>
      <c r="P137" s="224">
        <f t="shared" si="130"/>
        <v>0.99722938831106545</v>
      </c>
      <c r="Q137" s="222">
        <v>16078088473</v>
      </c>
      <c r="R137" s="224">
        <f t="shared" si="130"/>
        <v>0.99599044694236372</v>
      </c>
      <c r="S137" s="222">
        <v>16078088473</v>
      </c>
      <c r="T137" s="224">
        <f t="shared" ref="T137" si="132">+S137/$N137</f>
        <v>0.99599044694236372</v>
      </c>
    </row>
    <row r="138" spans="1:20" ht="24.95" customHeight="1">
      <c r="A138" s="32" t="s">
        <v>471</v>
      </c>
      <c r="B138" s="210" t="s">
        <v>472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185</v>
      </c>
      <c r="I138" s="212"/>
      <c r="J138" s="212"/>
      <c r="K138" s="213" t="s">
        <v>144</v>
      </c>
      <c r="L138" s="214" t="s">
        <v>29</v>
      </c>
      <c r="M138" s="210" t="s">
        <v>186</v>
      </c>
      <c r="N138" s="215">
        <v>25416707146</v>
      </c>
      <c r="O138" s="215">
        <v>25413630338</v>
      </c>
      <c r="P138" s="216">
        <f t="shared" si="130"/>
        <v>0.99987894545181144</v>
      </c>
      <c r="Q138" s="215">
        <v>23995414928</v>
      </c>
      <c r="R138" s="216">
        <f t="shared" si="130"/>
        <v>0.94408039523626186</v>
      </c>
      <c r="S138" s="215">
        <v>23995414928</v>
      </c>
      <c r="T138" s="216">
        <f t="shared" ref="T138" si="133">+S138/$N138</f>
        <v>0.94408039523626186</v>
      </c>
    </row>
    <row r="139" spans="1:20" ht="24.95" customHeight="1">
      <c r="A139" s="32" t="s">
        <v>473</v>
      </c>
      <c r="B139" s="217" t="s">
        <v>474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185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25416707146</v>
      </c>
      <c r="O139" s="222">
        <v>25413630338</v>
      </c>
      <c r="P139" s="224">
        <f t="shared" si="130"/>
        <v>0.99987894545181144</v>
      </c>
      <c r="Q139" s="222">
        <v>23995414928</v>
      </c>
      <c r="R139" s="224">
        <f t="shared" si="130"/>
        <v>0.94408039523626186</v>
      </c>
      <c r="S139" s="222">
        <v>23995414928</v>
      </c>
      <c r="T139" s="224">
        <f t="shared" ref="T139" si="134">+S139/$N139</f>
        <v>0.94408039523626186</v>
      </c>
    </row>
    <row r="140" spans="1:20" ht="31.5" customHeight="1">
      <c r="A140" s="32" t="s">
        <v>475</v>
      </c>
      <c r="B140" s="210" t="s">
        <v>476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187</v>
      </c>
      <c r="I140" s="212"/>
      <c r="J140" s="212"/>
      <c r="K140" s="213" t="s">
        <v>144</v>
      </c>
      <c r="L140" s="214" t="s">
        <v>29</v>
      </c>
      <c r="M140" s="210" t="s">
        <v>188</v>
      </c>
      <c r="N140" s="215">
        <v>16069098194</v>
      </c>
      <c r="O140" s="215">
        <v>16069098194</v>
      </c>
      <c r="P140" s="216">
        <f t="shared" si="130"/>
        <v>1</v>
      </c>
      <c r="Q140" s="215">
        <v>13787313604</v>
      </c>
      <c r="R140" s="216">
        <f t="shared" si="130"/>
        <v>0.85800170224536998</v>
      </c>
      <c r="S140" s="215">
        <v>13787313604</v>
      </c>
      <c r="T140" s="216">
        <f t="shared" ref="T140" si="135">+S140/$N140</f>
        <v>0.85800170224536998</v>
      </c>
    </row>
    <row r="141" spans="1:20" ht="24.95" customHeight="1">
      <c r="A141" s="32" t="s">
        <v>477</v>
      </c>
      <c r="B141" s="217" t="s">
        <v>478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187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4435143756</v>
      </c>
      <c r="O141" s="222">
        <v>4435143756</v>
      </c>
      <c r="P141" s="224">
        <f t="shared" si="130"/>
        <v>1</v>
      </c>
      <c r="Q141" s="222">
        <v>4435143756</v>
      </c>
      <c r="R141" s="224">
        <f t="shared" si="130"/>
        <v>1</v>
      </c>
      <c r="S141" s="222">
        <v>4435143756</v>
      </c>
      <c r="T141" s="224">
        <f t="shared" ref="T141" si="136">+S141/$N141</f>
        <v>1</v>
      </c>
    </row>
    <row r="142" spans="1:20" ht="24.95" customHeight="1">
      <c r="A142" s="32" t="s">
        <v>479</v>
      </c>
      <c r="B142" s="217" t="s">
        <v>480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187</v>
      </c>
      <c r="I142" s="225" t="s">
        <v>65</v>
      </c>
      <c r="J142" s="219"/>
      <c r="K142" s="220" t="s">
        <v>144</v>
      </c>
      <c r="L142" s="221" t="s">
        <v>29</v>
      </c>
      <c r="M142" s="259" t="s">
        <v>127</v>
      </c>
      <c r="N142" s="222">
        <v>11633954438</v>
      </c>
      <c r="O142" s="222">
        <v>11633954438</v>
      </c>
      <c r="P142" s="224">
        <f t="shared" si="130"/>
        <v>1</v>
      </c>
      <c r="Q142" s="222">
        <v>9352169848</v>
      </c>
      <c r="R142" s="224">
        <f t="shared" si="130"/>
        <v>0.80386852964225097</v>
      </c>
      <c r="S142" s="222">
        <v>9352169848</v>
      </c>
      <c r="T142" s="224">
        <f t="shared" ref="T142" si="137">+S142/$N142</f>
        <v>0.80386852964225097</v>
      </c>
    </row>
    <row r="143" spans="1:20" ht="35.1" customHeight="1">
      <c r="A143" s="32" t="s">
        <v>481</v>
      </c>
      <c r="B143" s="188" t="s">
        <v>482</v>
      </c>
      <c r="C143" s="189" t="s">
        <v>167</v>
      </c>
      <c r="D143" s="191">
        <v>4103</v>
      </c>
      <c r="E143" s="191"/>
      <c r="F143" s="191"/>
      <c r="G143" s="191"/>
      <c r="H143" s="191"/>
      <c r="I143" s="191"/>
      <c r="J143" s="191"/>
      <c r="K143" s="192"/>
      <c r="L143" s="193"/>
      <c r="M143" s="188" t="s">
        <v>189</v>
      </c>
      <c r="N143" s="194">
        <v>2878688990987</v>
      </c>
      <c r="O143" s="194">
        <v>2855376339972.7202</v>
      </c>
      <c r="P143" s="195">
        <f t="shared" si="130"/>
        <v>0.99190164304401407</v>
      </c>
      <c r="Q143" s="194">
        <v>2778175000170.5796</v>
      </c>
      <c r="R143" s="195">
        <f t="shared" si="130"/>
        <v>0.96508341431425082</v>
      </c>
      <c r="S143" s="194">
        <v>2775374686605.5796</v>
      </c>
      <c r="T143" s="195">
        <f t="shared" ref="T143" si="138">+S143/$N143</f>
        <v>0.96411064039745487</v>
      </c>
    </row>
    <row r="144" spans="1:20" ht="24.95" customHeight="1">
      <c r="A144" s="32" t="s">
        <v>483</v>
      </c>
      <c r="B144" s="196" t="s">
        <v>296</v>
      </c>
      <c r="C144" s="197" t="s">
        <v>167</v>
      </c>
      <c r="D144" s="198">
        <v>4103</v>
      </c>
      <c r="E144" s="198">
        <v>1500</v>
      </c>
      <c r="F144" s="198"/>
      <c r="G144" s="198"/>
      <c r="H144" s="198"/>
      <c r="I144" s="198"/>
      <c r="J144" s="198"/>
      <c r="K144" s="199"/>
      <c r="L144" s="200"/>
      <c r="M144" s="196" t="s">
        <v>170</v>
      </c>
      <c r="N144" s="201">
        <v>2878688990987</v>
      </c>
      <c r="O144" s="201">
        <v>2855376339972.7202</v>
      </c>
      <c r="P144" s="202">
        <f t="shared" si="130"/>
        <v>0.99190164304401407</v>
      </c>
      <c r="Q144" s="201">
        <v>2778175000170.5796</v>
      </c>
      <c r="R144" s="202">
        <f t="shared" si="130"/>
        <v>0.96508341431425082</v>
      </c>
      <c r="S144" s="201">
        <v>2775374686605.5796</v>
      </c>
      <c r="T144" s="202">
        <f t="shared" ref="T144" si="139">+S144/$N144</f>
        <v>0.96411064039745487</v>
      </c>
    </row>
    <row r="145" spans="1:43" ht="37.5" customHeight="1">
      <c r="A145" s="32" t="s">
        <v>484</v>
      </c>
      <c r="B145" s="203" t="s">
        <v>297</v>
      </c>
      <c r="C145" s="227" t="s">
        <v>167</v>
      </c>
      <c r="D145" s="228" t="s">
        <v>190</v>
      </c>
      <c r="E145" s="228" t="s">
        <v>172</v>
      </c>
      <c r="F145" s="228" t="s">
        <v>191</v>
      </c>
      <c r="G145" s="228"/>
      <c r="H145" s="228"/>
      <c r="I145" s="228"/>
      <c r="J145" s="228"/>
      <c r="K145" s="229"/>
      <c r="L145" s="230"/>
      <c r="M145" s="231" t="s">
        <v>280</v>
      </c>
      <c r="N145" s="232">
        <v>2212751517460</v>
      </c>
      <c r="O145" s="232">
        <v>2207724506514.52</v>
      </c>
      <c r="P145" s="233">
        <f t="shared" si="130"/>
        <v>0.99772816292032174</v>
      </c>
      <c r="Q145" s="232">
        <v>2199192522529.1797</v>
      </c>
      <c r="R145" s="233">
        <f t="shared" si="130"/>
        <v>0.99387233730320312</v>
      </c>
      <c r="S145" s="232">
        <v>2199136491189.1797</v>
      </c>
      <c r="T145" s="233">
        <f t="shared" ref="T145" si="140">+S145/$N145</f>
        <v>0.99384701528238073</v>
      </c>
    </row>
    <row r="146" spans="1:43" ht="31.5" customHeight="1">
      <c r="A146" s="32" t="s">
        <v>485</v>
      </c>
      <c r="B146" s="210" t="s">
        <v>486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 t="s">
        <v>193</v>
      </c>
      <c r="I146" s="212"/>
      <c r="J146" s="212"/>
      <c r="K146" s="213"/>
      <c r="L146" s="214"/>
      <c r="M146" s="210" t="s">
        <v>194</v>
      </c>
      <c r="N146" s="215">
        <v>2207640210442</v>
      </c>
      <c r="O146" s="215">
        <v>2202613199496.52</v>
      </c>
      <c r="P146" s="216">
        <f t="shared" si="130"/>
        <v>0.99772290297952426</v>
      </c>
      <c r="Q146" s="215">
        <v>2194081215511.1799</v>
      </c>
      <c r="R146" s="216">
        <f t="shared" si="130"/>
        <v>0.99385815004334177</v>
      </c>
      <c r="S146" s="215">
        <v>2194025184171.1799</v>
      </c>
      <c r="T146" s="216">
        <f t="shared" ref="T146" si="141">+S146/$N146</f>
        <v>0.99383276939493048</v>
      </c>
    </row>
    <row r="147" spans="1:43" s="64" customFormat="1" ht="24.95" customHeight="1">
      <c r="A147" s="32" t="s">
        <v>487</v>
      </c>
      <c r="B147" s="217" t="s">
        <v>488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 t="s">
        <v>193</v>
      </c>
      <c r="I147" s="267" t="s">
        <v>54</v>
      </c>
      <c r="J147" s="219"/>
      <c r="K147" s="220">
        <v>10</v>
      </c>
      <c r="L147" s="221" t="s">
        <v>29</v>
      </c>
      <c r="M147" s="259" t="s">
        <v>178</v>
      </c>
      <c r="N147" s="222">
        <v>83368265224.460022</v>
      </c>
      <c r="O147" s="222">
        <v>78364853796.690002</v>
      </c>
      <c r="P147" s="224">
        <f t="shared" si="130"/>
        <v>0.93998422044288821</v>
      </c>
      <c r="Q147" s="222">
        <v>70030508364.179993</v>
      </c>
      <c r="R147" s="224">
        <f t="shared" si="130"/>
        <v>0.84001398104698999</v>
      </c>
      <c r="S147" s="222">
        <v>69976509374.179993</v>
      </c>
      <c r="T147" s="224">
        <f t="shared" ref="T147" si="142">+S147/$N147</f>
        <v>0.83936626467848197</v>
      </c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4.95" customHeight="1">
      <c r="A148" s="32" t="s">
        <v>490</v>
      </c>
      <c r="B148" s="217" t="s">
        <v>491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 t="s">
        <v>193</v>
      </c>
      <c r="I148" s="267" t="s">
        <v>65</v>
      </c>
      <c r="J148" s="219"/>
      <c r="K148" s="220">
        <v>10</v>
      </c>
      <c r="L148" s="221" t="s">
        <v>29</v>
      </c>
      <c r="M148" s="259" t="s">
        <v>127</v>
      </c>
      <c r="N148" s="222">
        <v>149428434192.53998</v>
      </c>
      <c r="O148" s="222">
        <v>149420605041.82999</v>
      </c>
      <c r="P148" s="224">
        <f t="shared" si="130"/>
        <v>0.99994760601787536</v>
      </c>
      <c r="Q148" s="222">
        <v>149404966489</v>
      </c>
      <c r="R148" s="224">
        <f t="shared" si="130"/>
        <v>0.99984295021448366</v>
      </c>
      <c r="S148" s="222">
        <v>149402934139</v>
      </c>
      <c r="T148" s="224">
        <f t="shared" ref="T148" si="143">+S148/$N148</f>
        <v>0.99982934938937307</v>
      </c>
    </row>
    <row r="149" spans="1:43" ht="24.95" customHeight="1">
      <c r="A149" s="32" t="s">
        <v>492</v>
      </c>
      <c r="B149" s="217" t="s">
        <v>491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65</v>
      </c>
      <c r="J149" s="267"/>
      <c r="K149" s="268" t="s">
        <v>144</v>
      </c>
      <c r="L149" s="269" t="s">
        <v>29</v>
      </c>
      <c r="M149" s="259" t="s">
        <v>127</v>
      </c>
      <c r="N149" s="222">
        <v>1974843511025</v>
      </c>
      <c r="O149" s="222">
        <v>1974827740658</v>
      </c>
      <c r="P149" s="224">
        <f t="shared" si="130"/>
        <v>0.99999201437130991</v>
      </c>
      <c r="Q149" s="222">
        <v>1974645740658</v>
      </c>
      <c r="R149" s="224">
        <f t="shared" si="130"/>
        <v>0.99989985517034852</v>
      </c>
      <c r="S149" s="222">
        <v>1974645740658</v>
      </c>
      <c r="T149" s="224">
        <f t="shared" ref="T149" si="144">+S149/$N149</f>
        <v>0.99989985517034852</v>
      </c>
    </row>
    <row r="150" spans="1:43" ht="33" customHeight="1">
      <c r="A150" s="32" t="s">
        <v>493</v>
      </c>
      <c r="B150" s="210" t="s">
        <v>494</v>
      </c>
      <c r="C150" s="211" t="s">
        <v>167</v>
      </c>
      <c r="D150" s="212" t="s">
        <v>190</v>
      </c>
      <c r="E150" s="212" t="s">
        <v>172</v>
      </c>
      <c r="F150" s="212" t="s">
        <v>191</v>
      </c>
      <c r="G150" s="212" t="s">
        <v>175</v>
      </c>
      <c r="H150" s="212">
        <v>4103009</v>
      </c>
      <c r="I150" s="212"/>
      <c r="J150" s="212"/>
      <c r="K150" s="252">
        <v>10</v>
      </c>
      <c r="L150" s="214" t="s">
        <v>29</v>
      </c>
      <c r="M150" s="210" t="s">
        <v>195</v>
      </c>
      <c r="N150" s="215">
        <v>5111307018</v>
      </c>
      <c r="O150" s="215">
        <v>5111307018</v>
      </c>
      <c r="P150" s="216">
        <f t="shared" si="130"/>
        <v>1</v>
      </c>
      <c r="Q150" s="215">
        <v>5111307018</v>
      </c>
      <c r="R150" s="216">
        <f t="shared" si="130"/>
        <v>1</v>
      </c>
      <c r="S150" s="215">
        <v>5111307018</v>
      </c>
      <c r="T150" s="216">
        <f t="shared" ref="T150" si="145">+S150/$N150</f>
        <v>1</v>
      </c>
    </row>
    <row r="151" spans="1:43" ht="24.95" customHeight="1">
      <c r="A151" s="32" t="s">
        <v>495</v>
      </c>
      <c r="B151" s="217" t="s">
        <v>496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>
        <v>4103009</v>
      </c>
      <c r="I151" s="267" t="s">
        <v>54</v>
      </c>
      <c r="J151" s="219"/>
      <c r="K151" s="270">
        <v>10</v>
      </c>
      <c r="L151" s="221" t="s">
        <v>29</v>
      </c>
      <c r="M151" s="259" t="s">
        <v>178</v>
      </c>
      <c r="N151" s="222">
        <v>5111307018</v>
      </c>
      <c r="O151" s="222">
        <v>5111307018</v>
      </c>
      <c r="P151" s="224">
        <f t="shared" si="130"/>
        <v>1</v>
      </c>
      <c r="Q151" s="222">
        <v>5111307018</v>
      </c>
      <c r="R151" s="224">
        <f t="shared" si="130"/>
        <v>1</v>
      </c>
      <c r="S151" s="222">
        <v>5111307018</v>
      </c>
      <c r="T151" s="224">
        <f t="shared" ref="T151" si="146">+S151/$N151</f>
        <v>1</v>
      </c>
    </row>
    <row r="152" spans="1:43" s="64" customFormat="1" ht="36" customHeight="1">
      <c r="A152" s="32" t="s">
        <v>499</v>
      </c>
      <c r="B152" s="226" t="s">
        <v>298</v>
      </c>
      <c r="C152" s="227" t="s">
        <v>167</v>
      </c>
      <c r="D152" s="228" t="s">
        <v>190</v>
      </c>
      <c r="E152" s="228" t="s">
        <v>172</v>
      </c>
      <c r="F152" s="228" t="s">
        <v>22</v>
      </c>
      <c r="G152" s="228"/>
      <c r="H152" s="228"/>
      <c r="I152" s="228"/>
      <c r="J152" s="228"/>
      <c r="K152" s="229"/>
      <c r="L152" s="230"/>
      <c r="M152" s="231" t="s">
        <v>264</v>
      </c>
      <c r="N152" s="232">
        <v>27257211909</v>
      </c>
      <c r="O152" s="232">
        <v>27226168568</v>
      </c>
      <c r="P152" s="233">
        <f t="shared" si="130"/>
        <v>0.99886109624477959</v>
      </c>
      <c r="Q152" s="232">
        <v>20174824572</v>
      </c>
      <c r="R152" s="233">
        <f t="shared" si="130"/>
        <v>0.74016464484170219</v>
      </c>
      <c r="S152" s="232">
        <v>20174824572</v>
      </c>
      <c r="T152" s="233">
        <f t="shared" ref="T152" si="147">+S152/$N152</f>
        <v>0.74016464484170219</v>
      </c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32.25" customHeight="1">
      <c r="A153" s="32" t="s">
        <v>642</v>
      </c>
      <c r="B153" s="210" t="s">
        <v>500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197</v>
      </c>
      <c r="I153" s="212"/>
      <c r="J153" s="212"/>
      <c r="K153" s="213">
        <v>11</v>
      </c>
      <c r="L153" s="214" t="s">
        <v>29</v>
      </c>
      <c r="M153" s="210" t="s">
        <v>198</v>
      </c>
      <c r="N153" s="215">
        <v>7277170595</v>
      </c>
      <c r="O153" s="215">
        <v>7275903860</v>
      </c>
      <c r="P153" s="216">
        <f t="shared" si="130"/>
        <v>0.99982593028657729</v>
      </c>
      <c r="Q153" s="215">
        <v>4343031169</v>
      </c>
      <c r="R153" s="216">
        <f t="shared" si="130"/>
        <v>0.5968021653888409</v>
      </c>
      <c r="S153" s="215">
        <v>4343031169</v>
      </c>
      <c r="T153" s="216">
        <f t="shared" ref="T153" si="148">+S153/$N153</f>
        <v>0.5968021653888409</v>
      </c>
    </row>
    <row r="154" spans="1:43" ht="24.95" customHeight="1">
      <c r="A154" s="32" t="s">
        <v>643</v>
      </c>
      <c r="B154" s="217" t="s">
        <v>501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197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7277170595</v>
      </c>
      <c r="O154" s="222">
        <v>7275903860</v>
      </c>
      <c r="P154" s="224">
        <f t="shared" si="130"/>
        <v>0.99982593028657729</v>
      </c>
      <c r="Q154" s="222">
        <v>4343031169</v>
      </c>
      <c r="R154" s="224">
        <f t="shared" si="130"/>
        <v>0.5968021653888409</v>
      </c>
      <c r="S154" s="222">
        <v>4343031169</v>
      </c>
      <c r="T154" s="224">
        <f t="shared" ref="T154" si="149">+S154/$N154</f>
        <v>0.5968021653888409</v>
      </c>
    </row>
    <row r="155" spans="1:43" ht="32.25" customHeight="1">
      <c r="A155" s="32" t="s">
        <v>644</v>
      </c>
      <c r="B155" s="210" t="s">
        <v>502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199</v>
      </c>
      <c r="I155" s="212"/>
      <c r="J155" s="212"/>
      <c r="K155" s="213">
        <v>11</v>
      </c>
      <c r="L155" s="214" t="s">
        <v>29</v>
      </c>
      <c r="M155" s="210" t="s">
        <v>200</v>
      </c>
      <c r="N155" s="215">
        <v>4421682840</v>
      </c>
      <c r="O155" s="215">
        <v>4421682840</v>
      </c>
      <c r="P155" s="216">
        <f t="shared" si="130"/>
        <v>1</v>
      </c>
      <c r="Q155" s="215">
        <v>3823317745</v>
      </c>
      <c r="R155" s="216">
        <f t="shared" si="130"/>
        <v>0.86467480444617328</v>
      </c>
      <c r="S155" s="215">
        <v>3823317745</v>
      </c>
      <c r="T155" s="216">
        <f t="shared" ref="T155" si="150">+S155/$N155</f>
        <v>0.86467480444617328</v>
      </c>
    </row>
    <row r="156" spans="1:43" ht="24.95" customHeight="1">
      <c r="A156" s="32" t="s">
        <v>645</v>
      </c>
      <c r="B156" s="217" t="s">
        <v>503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199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4421682840</v>
      </c>
      <c r="O156" s="222">
        <v>4421682840</v>
      </c>
      <c r="P156" s="224">
        <f t="shared" si="130"/>
        <v>1</v>
      </c>
      <c r="Q156" s="222">
        <v>3823317745</v>
      </c>
      <c r="R156" s="224">
        <f t="shared" si="130"/>
        <v>0.86467480444617328</v>
      </c>
      <c r="S156" s="222">
        <v>3823317745</v>
      </c>
      <c r="T156" s="224">
        <f t="shared" ref="T156" si="151">+S156/$N156</f>
        <v>0.86467480444617328</v>
      </c>
    </row>
    <row r="157" spans="1:43" ht="32.25" customHeight="1">
      <c r="A157" s="32" t="s">
        <v>646</v>
      </c>
      <c r="B157" s="210" t="s">
        <v>504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201</v>
      </c>
      <c r="I157" s="212"/>
      <c r="J157" s="212"/>
      <c r="K157" s="213">
        <v>11</v>
      </c>
      <c r="L157" s="214" t="s">
        <v>29</v>
      </c>
      <c r="M157" s="210" t="s">
        <v>202</v>
      </c>
      <c r="N157" s="215">
        <v>2171371771</v>
      </c>
      <c r="O157" s="215">
        <v>2141595165</v>
      </c>
      <c r="P157" s="216">
        <f t="shared" si="130"/>
        <v>0.98628673062914196</v>
      </c>
      <c r="Q157" s="215">
        <v>1511126399</v>
      </c>
      <c r="R157" s="216">
        <f t="shared" si="130"/>
        <v>0.69593167746860241</v>
      </c>
      <c r="S157" s="215">
        <v>1511126399</v>
      </c>
      <c r="T157" s="216">
        <f t="shared" ref="T157" si="152">+S157/$N157</f>
        <v>0.69593167746860241</v>
      </c>
    </row>
    <row r="158" spans="1:43" ht="24.95" customHeight="1">
      <c r="A158" s="32" t="s">
        <v>647</v>
      </c>
      <c r="B158" s="217" t="s">
        <v>505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201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2171371771</v>
      </c>
      <c r="O158" s="222">
        <v>2141595165</v>
      </c>
      <c r="P158" s="224">
        <f t="shared" si="130"/>
        <v>0.98628673062914196</v>
      </c>
      <c r="Q158" s="222">
        <v>1511126399</v>
      </c>
      <c r="R158" s="224">
        <f t="shared" si="130"/>
        <v>0.69593167746860241</v>
      </c>
      <c r="S158" s="222">
        <v>1511126399</v>
      </c>
      <c r="T158" s="224">
        <f t="shared" ref="T158" si="153">+S158/$N158</f>
        <v>0.69593167746860241</v>
      </c>
    </row>
    <row r="159" spans="1:43" ht="32.25" customHeight="1">
      <c r="A159" s="32" t="s">
        <v>648</v>
      </c>
      <c r="B159" s="210" t="s">
        <v>506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203</v>
      </c>
      <c r="I159" s="212"/>
      <c r="J159" s="212"/>
      <c r="K159" s="213">
        <v>11</v>
      </c>
      <c r="L159" s="214" t="s">
        <v>29</v>
      </c>
      <c r="M159" s="210" t="s">
        <v>204</v>
      </c>
      <c r="N159" s="215">
        <v>13386986703</v>
      </c>
      <c r="O159" s="215">
        <v>13386986703</v>
      </c>
      <c r="P159" s="216">
        <f t="shared" si="130"/>
        <v>1</v>
      </c>
      <c r="Q159" s="215">
        <v>10497349259</v>
      </c>
      <c r="R159" s="216">
        <f t="shared" si="130"/>
        <v>0.78414578963072867</v>
      </c>
      <c r="S159" s="215">
        <v>10497349259</v>
      </c>
      <c r="T159" s="216">
        <f t="shared" ref="T159" si="154">+S159/$N159</f>
        <v>0.78414578963072867</v>
      </c>
    </row>
    <row r="160" spans="1:43" ht="24.95" customHeight="1">
      <c r="A160" s="32" t="s">
        <v>649</v>
      </c>
      <c r="B160" s="217" t="s">
        <v>507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203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13386986703</v>
      </c>
      <c r="O160" s="222">
        <v>13386986703</v>
      </c>
      <c r="P160" s="224">
        <f t="shared" si="130"/>
        <v>1</v>
      </c>
      <c r="Q160" s="222">
        <v>10497349259</v>
      </c>
      <c r="R160" s="224">
        <f t="shared" si="130"/>
        <v>0.78414578963072867</v>
      </c>
      <c r="S160" s="222">
        <v>10497349259</v>
      </c>
      <c r="T160" s="224">
        <f t="shared" ref="T160" si="155">+S160/$N160</f>
        <v>0.78414578963072867</v>
      </c>
    </row>
    <row r="161" spans="1:43" ht="44.25" customHeight="1">
      <c r="A161" s="32" t="s">
        <v>508</v>
      </c>
      <c r="B161" s="226" t="s">
        <v>299</v>
      </c>
      <c r="C161" s="227" t="s">
        <v>167</v>
      </c>
      <c r="D161" s="228" t="s">
        <v>190</v>
      </c>
      <c r="E161" s="228" t="s">
        <v>172</v>
      </c>
      <c r="F161" s="228" t="s">
        <v>205</v>
      </c>
      <c r="G161" s="228"/>
      <c r="H161" s="228"/>
      <c r="I161" s="228"/>
      <c r="J161" s="228"/>
      <c r="K161" s="229"/>
      <c r="L161" s="230"/>
      <c r="M161" s="231" t="s">
        <v>281</v>
      </c>
      <c r="N161" s="232">
        <v>300237981384</v>
      </c>
      <c r="O161" s="232">
        <v>290253220820.78998</v>
      </c>
      <c r="P161" s="233">
        <f t="shared" si="130"/>
        <v>0.966743845941198</v>
      </c>
      <c r="Q161" s="232">
        <v>242968226967.10999</v>
      </c>
      <c r="R161" s="233">
        <f t="shared" si="130"/>
        <v>0.80925213341465008</v>
      </c>
      <c r="S161" s="232">
        <v>240226944742.10999</v>
      </c>
      <c r="T161" s="233">
        <f t="shared" ref="T161" si="156">+S161/$N161</f>
        <v>0.80012176885396535</v>
      </c>
    </row>
    <row r="162" spans="1:43" ht="33.75" customHeight="1">
      <c r="A162" s="32" t="s">
        <v>509</v>
      </c>
      <c r="B162" s="210" t="s">
        <v>510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207</v>
      </c>
      <c r="I162" s="212"/>
      <c r="J162" s="212"/>
      <c r="K162" s="213"/>
      <c r="L162" s="214"/>
      <c r="M162" s="210" t="s">
        <v>208</v>
      </c>
      <c r="N162" s="215">
        <v>287596400551.78998</v>
      </c>
      <c r="O162" s="215">
        <v>278879057624.78998</v>
      </c>
      <c r="P162" s="216">
        <f t="shared" si="130"/>
        <v>0.969688970688525</v>
      </c>
      <c r="Q162" s="215">
        <v>231656670214.10999</v>
      </c>
      <c r="R162" s="216">
        <f t="shared" si="130"/>
        <v>0.80549224458180779</v>
      </c>
      <c r="S162" s="215">
        <v>228928385667.10999</v>
      </c>
      <c r="T162" s="216">
        <f t="shared" ref="T162" si="157">+S162/$N162</f>
        <v>0.79600574008534875</v>
      </c>
    </row>
    <row r="163" spans="1:43" ht="24.95" customHeight="1">
      <c r="A163" s="32" t="s">
        <v>512</v>
      </c>
      <c r="B163" s="217" t="s">
        <v>511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207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14374616956.139954</v>
      </c>
      <c r="O163" s="222">
        <v>13503315102.290001</v>
      </c>
      <c r="P163" s="224">
        <f t="shared" si="130"/>
        <v>0.93938608197293316</v>
      </c>
      <c r="Q163" s="222">
        <v>6604568506.0500002</v>
      </c>
      <c r="R163" s="224">
        <f t="shared" si="130"/>
        <v>0.45946048692650099</v>
      </c>
      <c r="S163" s="222">
        <v>6604568506.0500002</v>
      </c>
      <c r="T163" s="224">
        <f t="shared" ref="T163" si="158">+S163/$N163</f>
        <v>0.45946048692650099</v>
      </c>
    </row>
    <row r="164" spans="1:43" ht="24.95" customHeight="1">
      <c r="A164" s="32" t="s">
        <v>513</v>
      </c>
      <c r="B164" s="217" t="s">
        <v>514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207</v>
      </c>
      <c r="I164" s="267" t="s">
        <v>65</v>
      </c>
      <c r="J164" s="267"/>
      <c r="K164" s="271" t="s">
        <v>28</v>
      </c>
      <c r="L164" s="269" t="s">
        <v>29</v>
      </c>
      <c r="M164" s="259" t="s">
        <v>127</v>
      </c>
      <c r="N164" s="222">
        <v>0</v>
      </c>
      <c r="O164" s="222">
        <v>0</v>
      </c>
      <c r="P164" s="224" t="e">
        <f t="shared" si="130"/>
        <v>#DIV/0!</v>
      </c>
      <c r="Q164" s="222">
        <v>0</v>
      </c>
      <c r="R164" s="224" t="e">
        <f t="shared" si="130"/>
        <v>#DIV/0!</v>
      </c>
      <c r="S164" s="222">
        <v>0</v>
      </c>
      <c r="T164" s="224" t="e">
        <f t="shared" ref="T164" si="159">+S164/$N164</f>
        <v>#DIV/0!</v>
      </c>
    </row>
    <row r="165" spans="1:43" ht="24.95" customHeight="1">
      <c r="A165" s="32" t="s">
        <v>515</v>
      </c>
      <c r="B165" s="217" t="s">
        <v>514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207</v>
      </c>
      <c r="I165" s="272" t="s">
        <v>65</v>
      </c>
      <c r="J165" s="273"/>
      <c r="K165" s="268">
        <v>11</v>
      </c>
      <c r="L165" s="269" t="s">
        <v>29</v>
      </c>
      <c r="M165" s="259" t="s">
        <v>127</v>
      </c>
      <c r="N165" s="222">
        <v>273221783595.65002</v>
      </c>
      <c r="O165" s="222">
        <v>265375742522.5</v>
      </c>
      <c r="P165" s="224">
        <f t="shared" si="130"/>
        <v>0.97128325212618605</v>
      </c>
      <c r="Q165" s="222">
        <v>225052101708.06</v>
      </c>
      <c r="R165" s="224">
        <f t="shared" si="130"/>
        <v>0.82369750591015123</v>
      </c>
      <c r="S165" s="222">
        <v>222323817161.06</v>
      </c>
      <c r="T165" s="224">
        <f t="shared" ref="T165" si="160">+S165/$N165</f>
        <v>0.81371190186681597</v>
      </c>
    </row>
    <row r="166" spans="1:43" ht="34.5" customHeight="1">
      <c r="A166" s="32" t="s">
        <v>650</v>
      </c>
      <c r="B166" s="210" t="s">
        <v>516</v>
      </c>
      <c r="C166" s="211" t="s">
        <v>167</v>
      </c>
      <c r="D166" s="212" t="s">
        <v>190</v>
      </c>
      <c r="E166" s="212" t="s">
        <v>172</v>
      </c>
      <c r="F166" s="212" t="s">
        <v>205</v>
      </c>
      <c r="G166" s="212" t="s">
        <v>175</v>
      </c>
      <c r="H166" s="212" t="s">
        <v>209</v>
      </c>
      <c r="I166" s="212"/>
      <c r="J166" s="212"/>
      <c r="K166" s="213">
        <v>11</v>
      </c>
      <c r="L166" s="214" t="s">
        <v>29</v>
      </c>
      <c r="M166" s="210" t="s">
        <v>210</v>
      </c>
      <c r="N166" s="215">
        <v>12641580832.209999</v>
      </c>
      <c r="O166" s="215">
        <v>11374163196</v>
      </c>
      <c r="P166" s="216">
        <f t="shared" si="130"/>
        <v>0.89974215621983811</v>
      </c>
      <c r="Q166" s="215">
        <v>11311556753</v>
      </c>
      <c r="R166" s="216">
        <f t="shared" si="130"/>
        <v>0.89478973422207009</v>
      </c>
      <c r="S166" s="215">
        <v>11298559075</v>
      </c>
      <c r="T166" s="216">
        <f t="shared" ref="T166" si="161">+S166/$N166</f>
        <v>0.89376156550072761</v>
      </c>
    </row>
    <row r="167" spans="1:43" ht="24.95" customHeight="1">
      <c r="A167" s="32" t="s">
        <v>518</v>
      </c>
      <c r="B167" s="217" t="s">
        <v>517</v>
      </c>
      <c r="C167" s="266" t="s">
        <v>167</v>
      </c>
      <c r="D167" s="267" t="s">
        <v>190</v>
      </c>
      <c r="E167" s="267" t="s">
        <v>172</v>
      </c>
      <c r="F167" s="267" t="s">
        <v>205</v>
      </c>
      <c r="G167" s="267" t="s">
        <v>175</v>
      </c>
      <c r="H167" s="267" t="s">
        <v>209</v>
      </c>
      <c r="I167" s="267" t="s">
        <v>54</v>
      </c>
      <c r="J167" s="267"/>
      <c r="K167" s="268">
        <v>11</v>
      </c>
      <c r="L167" s="269" t="s">
        <v>29</v>
      </c>
      <c r="M167" s="259" t="s">
        <v>178</v>
      </c>
      <c r="N167" s="222">
        <v>12641580832.209999</v>
      </c>
      <c r="O167" s="222">
        <v>11374163196</v>
      </c>
      <c r="P167" s="224">
        <f t="shared" si="130"/>
        <v>0.89974215621983811</v>
      </c>
      <c r="Q167" s="222">
        <v>11311556753</v>
      </c>
      <c r="R167" s="224">
        <f t="shared" si="130"/>
        <v>0.89478973422207009</v>
      </c>
      <c r="S167" s="222">
        <v>11298559075</v>
      </c>
      <c r="T167" s="224">
        <f t="shared" ref="T167" si="162">+S167/$N167</f>
        <v>0.89376156550072761</v>
      </c>
    </row>
    <row r="168" spans="1:43" ht="40.5" customHeight="1">
      <c r="A168" s="32" t="s">
        <v>519</v>
      </c>
      <c r="B168" s="226" t="s">
        <v>520</v>
      </c>
      <c r="C168" s="227" t="s">
        <v>167</v>
      </c>
      <c r="D168" s="228" t="s">
        <v>190</v>
      </c>
      <c r="E168" s="228" t="s">
        <v>172</v>
      </c>
      <c r="F168" s="228" t="s">
        <v>211</v>
      </c>
      <c r="G168" s="228"/>
      <c r="H168" s="228"/>
      <c r="I168" s="228"/>
      <c r="J168" s="228"/>
      <c r="K168" s="229"/>
      <c r="L168" s="230"/>
      <c r="M168" s="231" t="s">
        <v>282</v>
      </c>
      <c r="N168" s="232">
        <v>1000000000</v>
      </c>
      <c r="O168" s="232">
        <v>1000000000</v>
      </c>
      <c r="P168" s="233">
        <f t="shared" si="130"/>
        <v>1</v>
      </c>
      <c r="Q168" s="232">
        <v>900000000</v>
      </c>
      <c r="R168" s="233">
        <f t="shared" si="130"/>
        <v>0.9</v>
      </c>
      <c r="S168" s="232">
        <v>900000000</v>
      </c>
      <c r="T168" s="233">
        <f t="shared" ref="T168" si="163">+S168/$N168</f>
        <v>0.9</v>
      </c>
    </row>
    <row r="169" spans="1:43" s="90" customFormat="1" ht="36" customHeight="1">
      <c r="A169" s="32" t="s">
        <v>521</v>
      </c>
      <c r="B169" s="210" t="s">
        <v>522</v>
      </c>
      <c r="C169" s="211" t="s">
        <v>167</v>
      </c>
      <c r="D169" s="212" t="s">
        <v>190</v>
      </c>
      <c r="E169" s="212" t="s">
        <v>172</v>
      </c>
      <c r="F169" s="212" t="s">
        <v>211</v>
      </c>
      <c r="G169" s="212" t="s">
        <v>175</v>
      </c>
      <c r="H169" s="212" t="s">
        <v>213</v>
      </c>
      <c r="I169" s="212"/>
      <c r="J169" s="212"/>
      <c r="K169" s="213" t="s">
        <v>144</v>
      </c>
      <c r="L169" s="214" t="s">
        <v>29</v>
      </c>
      <c r="M169" s="210" t="s">
        <v>214</v>
      </c>
      <c r="N169" s="215">
        <v>730000000</v>
      </c>
      <c r="O169" s="215">
        <v>730000000</v>
      </c>
      <c r="P169" s="216">
        <f t="shared" si="130"/>
        <v>1</v>
      </c>
      <c r="Q169" s="215">
        <v>730000000</v>
      </c>
      <c r="R169" s="216">
        <f t="shared" si="130"/>
        <v>1</v>
      </c>
      <c r="S169" s="215">
        <v>730000000</v>
      </c>
      <c r="T169" s="216">
        <f t="shared" ref="T169" si="164">+S169/$N169</f>
        <v>1</v>
      </c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s="90" customFormat="1" ht="24.95" customHeight="1">
      <c r="A170" s="32" t="s">
        <v>523</v>
      </c>
      <c r="B170" s="217" t="s">
        <v>524</v>
      </c>
      <c r="C170" s="218" t="s">
        <v>167</v>
      </c>
      <c r="D170" s="219" t="s">
        <v>190</v>
      </c>
      <c r="E170" s="219" t="s">
        <v>172</v>
      </c>
      <c r="F170" s="219" t="s">
        <v>211</v>
      </c>
      <c r="G170" s="219" t="s">
        <v>175</v>
      </c>
      <c r="H170" s="219" t="s">
        <v>213</v>
      </c>
      <c r="I170" s="219" t="s">
        <v>54</v>
      </c>
      <c r="J170" s="219"/>
      <c r="K170" s="220" t="s">
        <v>144</v>
      </c>
      <c r="L170" s="221" t="s">
        <v>29</v>
      </c>
      <c r="M170" s="259" t="s">
        <v>178</v>
      </c>
      <c r="N170" s="222">
        <v>730000000</v>
      </c>
      <c r="O170" s="222">
        <v>730000000</v>
      </c>
      <c r="P170" s="224">
        <f t="shared" si="130"/>
        <v>1</v>
      </c>
      <c r="Q170" s="222">
        <v>730000000</v>
      </c>
      <c r="R170" s="224">
        <f t="shared" si="130"/>
        <v>1</v>
      </c>
      <c r="S170" s="222">
        <v>730000000</v>
      </c>
      <c r="T170" s="224">
        <f t="shared" ref="T170" si="165">+S170/$N170</f>
        <v>1</v>
      </c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s="90" customFormat="1" ht="24.95" customHeight="1">
      <c r="A171" s="32" t="s">
        <v>525</v>
      </c>
      <c r="B171" s="210" t="s">
        <v>526</v>
      </c>
      <c r="C171" s="211" t="s">
        <v>167</v>
      </c>
      <c r="D171" s="212" t="s">
        <v>190</v>
      </c>
      <c r="E171" s="212" t="s">
        <v>172</v>
      </c>
      <c r="F171" s="212" t="s">
        <v>211</v>
      </c>
      <c r="G171" s="212" t="s">
        <v>175</v>
      </c>
      <c r="H171" s="212" t="s">
        <v>215</v>
      </c>
      <c r="I171" s="212"/>
      <c r="J171" s="212"/>
      <c r="K171" s="213" t="s">
        <v>144</v>
      </c>
      <c r="L171" s="214" t="s">
        <v>29</v>
      </c>
      <c r="M171" s="210" t="s">
        <v>216</v>
      </c>
      <c r="N171" s="215">
        <v>270000000</v>
      </c>
      <c r="O171" s="215">
        <v>270000000</v>
      </c>
      <c r="P171" s="216">
        <f t="shared" si="130"/>
        <v>1</v>
      </c>
      <c r="Q171" s="215">
        <v>170000000</v>
      </c>
      <c r="R171" s="216">
        <f t="shared" si="130"/>
        <v>0.62962962962962965</v>
      </c>
      <c r="S171" s="215">
        <v>170000000</v>
      </c>
      <c r="T171" s="216">
        <f t="shared" ref="T171" si="166">+S171/$N171</f>
        <v>0.62962962962962965</v>
      </c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s="90" customFormat="1" ht="24.95" customHeight="1">
      <c r="A172" s="32" t="s">
        <v>527</v>
      </c>
      <c r="B172" s="217" t="s">
        <v>528</v>
      </c>
      <c r="C172" s="218" t="s">
        <v>167</v>
      </c>
      <c r="D172" s="219" t="s">
        <v>190</v>
      </c>
      <c r="E172" s="219" t="s">
        <v>172</v>
      </c>
      <c r="F172" s="219" t="s">
        <v>211</v>
      </c>
      <c r="G172" s="219" t="s">
        <v>175</v>
      </c>
      <c r="H172" s="219" t="s">
        <v>215</v>
      </c>
      <c r="I172" s="219" t="s">
        <v>54</v>
      </c>
      <c r="J172" s="219"/>
      <c r="K172" s="220" t="s">
        <v>144</v>
      </c>
      <c r="L172" s="221" t="s">
        <v>29</v>
      </c>
      <c r="M172" s="259" t="s">
        <v>178</v>
      </c>
      <c r="N172" s="222">
        <v>270000000</v>
      </c>
      <c r="O172" s="222">
        <v>270000000</v>
      </c>
      <c r="P172" s="224">
        <f t="shared" si="130"/>
        <v>1</v>
      </c>
      <c r="Q172" s="222">
        <v>170000000</v>
      </c>
      <c r="R172" s="224">
        <f t="shared" si="130"/>
        <v>0.62962962962962965</v>
      </c>
      <c r="S172" s="222">
        <v>170000000</v>
      </c>
      <c r="T172" s="224">
        <f t="shared" ref="T172" si="167">+S172/$N172</f>
        <v>0.62962962962962965</v>
      </c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s="90" customFormat="1" ht="57" customHeight="1">
      <c r="A173" s="32" t="s">
        <v>529</v>
      </c>
      <c r="B173" s="226" t="s">
        <v>530</v>
      </c>
      <c r="C173" s="227" t="s">
        <v>167</v>
      </c>
      <c r="D173" s="228" t="s">
        <v>190</v>
      </c>
      <c r="E173" s="228" t="s">
        <v>172</v>
      </c>
      <c r="F173" s="228" t="s">
        <v>217</v>
      </c>
      <c r="G173" s="228"/>
      <c r="H173" s="228"/>
      <c r="I173" s="228"/>
      <c r="J173" s="228"/>
      <c r="K173" s="229"/>
      <c r="L173" s="230"/>
      <c r="M173" s="231" t="s">
        <v>283</v>
      </c>
      <c r="N173" s="232">
        <v>46109552424</v>
      </c>
      <c r="O173" s="232">
        <v>45834968067</v>
      </c>
      <c r="P173" s="233">
        <f t="shared" si="130"/>
        <v>0.99404495722545594</v>
      </c>
      <c r="Q173" s="232">
        <v>39394660626</v>
      </c>
      <c r="R173" s="233">
        <f t="shared" si="130"/>
        <v>0.85437091784684294</v>
      </c>
      <c r="S173" s="232">
        <v>39394660626</v>
      </c>
      <c r="T173" s="233">
        <f t="shared" ref="T173" si="168">+S173/$N173</f>
        <v>0.85437091784684294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s="90" customFormat="1" ht="24.95" customHeight="1">
      <c r="A174" s="32" t="s">
        <v>651</v>
      </c>
      <c r="B174" s="210" t="s">
        <v>531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219</v>
      </c>
      <c r="I174" s="212"/>
      <c r="J174" s="212"/>
      <c r="K174" s="213">
        <v>11</v>
      </c>
      <c r="L174" s="214" t="s">
        <v>29</v>
      </c>
      <c r="M174" s="210" t="s">
        <v>220</v>
      </c>
      <c r="N174" s="215">
        <v>18763441683</v>
      </c>
      <c r="O174" s="215">
        <v>18671608180</v>
      </c>
      <c r="P174" s="216">
        <f t="shared" si="130"/>
        <v>0.99510572183123513</v>
      </c>
      <c r="Q174" s="215">
        <v>12231300739</v>
      </c>
      <c r="R174" s="216">
        <f t="shared" si="130"/>
        <v>0.65186872140209584</v>
      </c>
      <c r="S174" s="215">
        <v>12231300739</v>
      </c>
      <c r="T174" s="216">
        <f t="shared" ref="T174" si="169">+S174/$N174</f>
        <v>0.65186872140209584</v>
      </c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s="90" customFormat="1" ht="24.95" customHeight="1">
      <c r="A175" s="32" t="s">
        <v>652</v>
      </c>
      <c r="B175" s="217" t="s">
        <v>532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219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18763441683</v>
      </c>
      <c r="O175" s="222">
        <v>18671608180</v>
      </c>
      <c r="P175" s="224">
        <f t="shared" si="130"/>
        <v>0.99510572183123513</v>
      </c>
      <c r="Q175" s="222">
        <v>12231300739</v>
      </c>
      <c r="R175" s="224">
        <f t="shared" si="130"/>
        <v>0.65186872140209584</v>
      </c>
      <c r="S175" s="222">
        <v>12231300739</v>
      </c>
      <c r="T175" s="224">
        <f t="shared" ref="T175" si="170">+S175/$N175</f>
        <v>0.65186872140209584</v>
      </c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s="90" customFormat="1" ht="38.25" customHeight="1">
      <c r="A176" s="32" t="s">
        <v>653</v>
      </c>
      <c r="B176" s="210" t="s">
        <v>533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221</v>
      </c>
      <c r="I176" s="212"/>
      <c r="J176" s="212"/>
      <c r="K176" s="213">
        <v>11</v>
      </c>
      <c r="L176" s="214" t="s">
        <v>29</v>
      </c>
      <c r="M176" s="210" t="s">
        <v>222</v>
      </c>
      <c r="N176" s="215">
        <v>23451451799</v>
      </c>
      <c r="O176" s="215">
        <v>23268700945</v>
      </c>
      <c r="P176" s="216">
        <f t="shared" si="130"/>
        <v>0.99220726906093748</v>
      </c>
      <c r="Q176" s="215">
        <v>23268700945</v>
      </c>
      <c r="R176" s="216">
        <f t="shared" si="130"/>
        <v>0.99220726906093748</v>
      </c>
      <c r="S176" s="215">
        <v>23268700945</v>
      </c>
      <c r="T176" s="216">
        <f t="shared" ref="T176" si="171">+S176/$N176</f>
        <v>0.99220726906093748</v>
      </c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s="90" customFormat="1" ht="24.95" customHeight="1">
      <c r="A177" s="32" t="s">
        <v>654</v>
      </c>
      <c r="B177" s="217" t="s">
        <v>535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221</v>
      </c>
      <c r="I177" s="274" t="s">
        <v>65</v>
      </c>
      <c r="J177" s="267"/>
      <c r="K177" s="268">
        <v>11</v>
      </c>
      <c r="L177" s="269" t="s">
        <v>29</v>
      </c>
      <c r="M177" s="259" t="s">
        <v>127</v>
      </c>
      <c r="N177" s="222">
        <v>23451451799</v>
      </c>
      <c r="O177" s="222">
        <v>23268700945</v>
      </c>
      <c r="P177" s="224">
        <f t="shared" si="130"/>
        <v>0.99220726906093748</v>
      </c>
      <c r="Q177" s="222">
        <v>23268700945</v>
      </c>
      <c r="R177" s="224">
        <f t="shared" si="130"/>
        <v>0.99220726906093748</v>
      </c>
      <c r="S177" s="222">
        <v>23268700945</v>
      </c>
      <c r="T177" s="224">
        <f t="shared" ref="T177" si="172">+S177/$N177</f>
        <v>0.99220726906093748</v>
      </c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s="90" customFormat="1" ht="36" customHeight="1">
      <c r="A178" s="32" t="s">
        <v>655</v>
      </c>
      <c r="B178" s="210" t="s">
        <v>536</v>
      </c>
      <c r="C178" s="211" t="s">
        <v>167</v>
      </c>
      <c r="D178" s="212" t="s">
        <v>190</v>
      </c>
      <c r="E178" s="212" t="s">
        <v>172</v>
      </c>
      <c r="F178" s="212" t="s">
        <v>217</v>
      </c>
      <c r="G178" s="212" t="s">
        <v>175</v>
      </c>
      <c r="H178" s="212" t="s">
        <v>223</v>
      </c>
      <c r="I178" s="212"/>
      <c r="J178" s="212"/>
      <c r="K178" s="213">
        <v>11</v>
      </c>
      <c r="L178" s="214" t="s">
        <v>29</v>
      </c>
      <c r="M178" s="210" t="s">
        <v>224</v>
      </c>
      <c r="N178" s="215">
        <v>2919317645</v>
      </c>
      <c r="O178" s="215">
        <v>2919317645</v>
      </c>
      <c r="P178" s="216">
        <f t="shared" si="130"/>
        <v>1</v>
      </c>
      <c r="Q178" s="215">
        <v>2919317645</v>
      </c>
      <c r="R178" s="216">
        <f t="shared" si="130"/>
        <v>1</v>
      </c>
      <c r="S178" s="215">
        <v>2919317645</v>
      </c>
      <c r="T178" s="216">
        <f t="shared" ref="T178" si="173">+S178/$N178</f>
        <v>1</v>
      </c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s="90" customFormat="1" ht="24.95" customHeight="1">
      <c r="A179" s="32" t="s">
        <v>538</v>
      </c>
      <c r="B179" s="217" t="s">
        <v>537</v>
      </c>
      <c r="C179" s="266" t="s">
        <v>167</v>
      </c>
      <c r="D179" s="267" t="s">
        <v>190</v>
      </c>
      <c r="E179" s="267" t="s">
        <v>172</v>
      </c>
      <c r="F179" s="267" t="s">
        <v>217</v>
      </c>
      <c r="G179" s="267" t="s">
        <v>175</v>
      </c>
      <c r="H179" s="267" t="s">
        <v>223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2919317645</v>
      </c>
      <c r="O179" s="222">
        <v>2919317645</v>
      </c>
      <c r="P179" s="224">
        <f t="shared" si="130"/>
        <v>1</v>
      </c>
      <c r="Q179" s="222">
        <v>2919317645</v>
      </c>
      <c r="R179" s="224">
        <f t="shared" si="130"/>
        <v>1</v>
      </c>
      <c r="S179" s="222">
        <v>2919317645</v>
      </c>
      <c r="T179" s="224">
        <f t="shared" ref="T179" si="174">+S179/$N179</f>
        <v>1</v>
      </c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s="90" customFormat="1" ht="36.75" customHeight="1">
      <c r="A180" s="32" t="s">
        <v>656</v>
      </c>
      <c r="B180" s="210" t="s">
        <v>540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225</v>
      </c>
      <c r="I180" s="212"/>
      <c r="J180" s="212"/>
      <c r="K180" s="213">
        <v>11</v>
      </c>
      <c r="L180" s="214" t="s">
        <v>29</v>
      </c>
      <c r="M180" s="210" t="s">
        <v>226</v>
      </c>
      <c r="N180" s="215">
        <v>975341297</v>
      </c>
      <c r="O180" s="215">
        <v>975341297</v>
      </c>
      <c r="P180" s="216">
        <f t="shared" si="130"/>
        <v>1</v>
      </c>
      <c r="Q180" s="215">
        <v>975341297</v>
      </c>
      <c r="R180" s="216">
        <f t="shared" si="130"/>
        <v>1</v>
      </c>
      <c r="S180" s="215">
        <v>975341297</v>
      </c>
      <c r="T180" s="216">
        <f t="shared" ref="T180" si="175">+S180/$N180</f>
        <v>1</v>
      </c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s="90" customFormat="1" ht="24.95" customHeight="1">
      <c r="A181" s="32" t="s">
        <v>542</v>
      </c>
      <c r="B181" s="217" t="s">
        <v>541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225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>
        <v>975341297</v>
      </c>
      <c r="O181" s="222">
        <v>975341297</v>
      </c>
      <c r="P181" s="224">
        <f t="shared" si="130"/>
        <v>1</v>
      </c>
      <c r="Q181" s="222">
        <v>975341297</v>
      </c>
      <c r="R181" s="224">
        <f t="shared" si="130"/>
        <v>1</v>
      </c>
      <c r="S181" s="222">
        <v>975341297</v>
      </c>
      <c r="T181" s="224">
        <f t="shared" ref="T181" si="176">+S181/$N181</f>
        <v>1</v>
      </c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s="90" customFormat="1" ht="42" customHeight="1">
      <c r="A182" s="32" t="s">
        <v>657</v>
      </c>
      <c r="B182" s="226" t="s">
        <v>658</v>
      </c>
      <c r="C182" s="227" t="s">
        <v>167</v>
      </c>
      <c r="D182" s="228" t="s">
        <v>190</v>
      </c>
      <c r="E182" s="228" t="s">
        <v>172</v>
      </c>
      <c r="F182" s="228">
        <v>18</v>
      </c>
      <c r="G182" s="228"/>
      <c r="H182" s="228"/>
      <c r="I182" s="228"/>
      <c r="J182" s="228"/>
      <c r="K182" s="229"/>
      <c r="L182" s="230"/>
      <c r="M182" s="231" t="s">
        <v>284</v>
      </c>
      <c r="N182" s="232">
        <v>7730254730</v>
      </c>
      <c r="O182" s="232">
        <v>7242206992.4099998</v>
      </c>
      <c r="P182" s="233">
        <f t="shared" si="130"/>
        <v>0.93686524511333924</v>
      </c>
      <c r="Q182" s="232">
        <v>5816665849.29</v>
      </c>
      <c r="R182" s="233">
        <f t="shared" si="130"/>
        <v>0.75245461533322588</v>
      </c>
      <c r="S182" s="232">
        <v>5816665849.29</v>
      </c>
      <c r="T182" s="233">
        <f t="shared" ref="T182" si="177">+S182/$N182</f>
        <v>0.75245461533322588</v>
      </c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s="90" customFormat="1" ht="36" customHeight="1">
      <c r="A183" s="32" t="s">
        <v>659</v>
      </c>
      <c r="B183" s="210" t="s">
        <v>660</v>
      </c>
      <c r="C183" s="211" t="s">
        <v>167</v>
      </c>
      <c r="D183" s="212" t="s">
        <v>190</v>
      </c>
      <c r="E183" s="212" t="s">
        <v>172</v>
      </c>
      <c r="F183" s="212">
        <v>18</v>
      </c>
      <c r="G183" s="212" t="s">
        <v>175</v>
      </c>
      <c r="H183" s="212">
        <v>4103050</v>
      </c>
      <c r="I183" s="212"/>
      <c r="J183" s="212"/>
      <c r="K183" s="213">
        <v>11</v>
      </c>
      <c r="L183" s="214" t="s">
        <v>29</v>
      </c>
      <c r="M183" s="210" t="s">
        <v>269</v>
      </c>
      <c r="N183" s="215">
        <v>7730254730</v>
      </c>
      <c r="O183" s="215">
        <v>7242206992.4099998</v>
      </c>
      <c r="P183" s="216">
        <f t="shared" si="130"/>
        <v>0.93686524511333924</v>
      </c>
      <c r="Q183" s="215">
        <v>5816665849.29</v>
      </c>
      <c r="R183" s="216">
        <f t="shared" si="130"/>
        <v>0.75245461533322588</v>
      </c>
      <c r="S183" s="215">
        <v>5816665849.29</v>
      </c>
      <c r="T183" s="216">
        <f t="shared" ref="T183" si="178">+S183/$N183</f>
        <v>0.75245461533322588</v>
      </c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s="90" customFormat="1" ht="24.95" customHeight="1">
      <c r="A184" s="32" t="s">
        <v>661</v>
      </c>
      <c r="B184" s="217" t="s">
        <v>662</v>
      </c>
      <c r="C184" s="266" t="s">
        <v>167</v>
      </c>
      <c r="D184" s="267" t="s">
        <v>190</v>
      </c>
      <c r="E184" s="267" t="s">
        <v>172</v>
      </c>
      <c r="F184" s="267">
        <v>18</v>
      </c>
      <c r="G184" s="267" t="s">
        <v>175</v>
      </c>
      <c r="H184" s="267">
        <v>4103050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7730254730</v>
      </c>
      <c r="O184" s="222">
        <v>7242206992.4099998</v>
      </c>
      <c r="P184" s="224">
        <f t="shared" si="130"/>
        <v>0.93686524511333924</v>
      </c>
      <c r="Q184" s="222">
        <v>5816665849.29</v>
      </c>
      <c r="R184" s="224">
        <f t="shared" si="130"/>
        <v>0.75245461533322588</v>
      </c>
      <c r="S184" s="222">
        <v>5816665849.29</v>
      </c>
      <c r="T184" s="224">
        <f t="shared" ref="T184" si="179">+S184/$N184</f>
        <v>0.75245461533322588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s="90" customFormat="1" ht="36" customHeight="1">
      <c r="A185" s="32" t="s">
        <v>663</v>
      </c>
      <c r="B185" s="226" t="s">
        <v>664</v>
      </c>
      <c r="C185" s="227" t="s">
        <v>167</v>
      </c>
      <c r="D185" s="228" t="s">
        <v>190</v>
      </c>
      <c r="E185" s="228" t="s">
        <v>172</v>
      </c>
      <c r="F185" s="228">
        <v>19</v>
      </c>
      <c r="G185" s="228"/>
      <c r="H185" s="228"/>
      <c r="I185" s="228"/>
      <c r="J185" s="228"/>
      <c r="K185" s="229"/>
      <c r="L185" s="230"/>
      <c r="M185" s="231" t="s">
        <v>285</v>
      </c>
      <c r="N185" s="232">
        <v>9421340803</v>
      </c>
      <c r="O185" s="232">
        <v>9387420694</v>
      </c>
      <c r="P185" s="233">
        <f t="shared" si="130"/>
        <v>0.99639965163034983</v>
      </c>
      <c r="Q185" s="232">
        <v>5519659311</v>
      </c>
      <c r="R185" s="233">
        <f t="shared" si="130"/>
        <v>0.58586770465222926</v>
      </c>
      <c r="S185" s="232">
        <v>5516659311</v>
      </c>
      <c r="T185" s="233">
        <f t="shared" ref="T185" si="180">+S185/$N185</f>
        <v>0.58554927863806305</v>
      </c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s="90" customFormat="1" ht="39.75" customHeight="1">
      <c r="A186" s="32" t="s">
        <v>665</v>
      </c>
      <c r="B186" s="210" t="s">
        <v>666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4103049</v>
      </c>
      <c r="I186" s="212"/>
      <c r="J186" s="212"/>
      <c r="K186" s="213">
        <v>11</v>
      </c>
      <c r="L186" s="214" t="s">
        <v>29</v>
      </c>
      <c r="M186" s="210" t="s">
        <v>228</v>
      </c>
      <c r="N186" s="215">
        <v>227159834</v>
      </c>
      <c r="O186" s="215">
        <v>223329434</v>
      </c>
      <c r="P186" s="216">
        <f t="shared" si="130"/>
        <v>0.9831378640644719</v>
      </c>
      <c r="Q186" s="215">
        <v>223329434</v>
      </c>
      <c r="R186" s="216">
        <f t="shared" si="130"/>
        <v>0.9831378640644719</v>
      </c>
      <c r="S186" s="215">
        <v>223329434</v>
      </c>
      <c r="T186" s="216">
        <f t="shared" ref="T186" si="181">+S186/$N186</f>
        <v>0.9831378640644719</v>
      </c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s="90" customFormat="1" ht="24.95" customHeight="1">
      <c r="A187" s="32" t="s">
        <v>667</v>
      </c>
      <c r="B187" s="217" t="s">
        <v>668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4103049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227159834</v>
      </c>
      <c r="O187" s="222">
        <v>223329434</v>
      </c>
      <c r="P187" s="224">
        <f t="shared" si="130"/>
        <v>0.9831378640644719</v>
      </c>
      <c r="Q187" s="222">
        <v>223329434</v>
      </c>
      <c r="R187" s="224">
        <f t="shared" si="130"/>
        <v>0.9831378640644719</v>
      </c>
      <c r="S187" s="222">
        <v>223329434</v>
      </c>
      <c r="T187" s="224">
        <f t="shared" ref="T187" si="182">+S187/$N187</f>
        <v>0.9831378640644719</v>
      </c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s="90" customFormat="1" ht="34.5" customHeight="1">
      <c r="A188" s="32" t="s">
        <v>669</v>
      </c>
      <c r="B188" s="210" t="s">
        <v>670</v>
      </c>
      <c r="C188" s="211" t="s">
        <v>167</v>
      </c>
      <c r="D188" s="212" t="s">
        <v>190</v>
      </c>
      <c r="E188" s="212" t="s">
        <v>172</v>
      </c>
      <c r="F188" s="212">
        <v>19</v>
      </c>
      <c r="G188" s="212" t="s">
        <v>175</v>
      </c>
      <c r="H188" s="212">
        <v>4103052</v>
      </c>
      <c r="I188" s="212"/>
      <c r="J188" s="212"/>
      <c r="K188" s="213">
        <v>11</v>
      </c>
      <c r="L188" s="214" t="s">
        <v>29</v>
      </c>
      <c r="M188" s="210" t="s">
        <v>229</v>
      </c>
      <c r="N188" s="215">
        <v>9194180969</v>
      </c>
      <c r="O188" s="215">
        <v>9164091260</v>
      </c>
      <c r="P188" s="216">
        <f t="shared" si="130"/>
        <v>0.99672730946873311</v>
      </c>
      <c r="Q188" s="215">
        <v>5296329877</v>
      </c>
      <c r="R188" s="216">
        <f t="shared" si="130"/>
        <v>0.57605238518337021</v>
      </c>
      <c r="S188" s="215">
        <v>5293329877</v>
      </c>
      <c r="T188" s="216">
        <f t="shared" ref="T188" si="183">+S188/$N188</f>
        <v>0.57572609184521262</v>
      </c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s="90" customFormat="1" ht="24.95" customHeight="1">
      <c r="A189" s="32" t="s">
        <v>671</v>
      </c>
      <c r="B189" s="217" t="s">
        <v>672</v>
      </c>
      <c r="C189" s="266" t="s">
        <v>167</v>
      </c>
      <c r="D189" s="267" t="s">
        <v>190</v>
      </c>
      <c r="E189" s="267" t="s">
        <v>172</v>
      </c>
      <c r="F189" s="267">
        <v>19</v>
      </c>
      <c r="G189" s="267" t="s">
        <v>175</v>
      </c>
      <c r="H189" s="267">
        <v>4103052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9194180969</v>
      </c>
      <c r="O189" s="222">
        <v>9164091260</v>
      </c>
      <c r="P189" s="224">
        <f t="shared" si="130"/>
        <v>0.99672730946873311</v>
      </c>
      <c r="Q189" s="222">
        <v>5296329877</v>
      </c>
      <c r="R189" s="224">
        <f t="shared" si="130"/>
        <v>0.57605238518337021</v>
      </c>
      <c r="S189" s="222">
        <v>5293329877</v>
      </c>
      <c r="T189" s="224">
        <f t="shared" ref="T189" si="184">+S189/$N189</f>
        <v>0.57572609184521262</v>
      </c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s="90" customFormat="1" ht="24.95" customHeight="1">
      <c r="A190" s="32" t="s">
        <v>673</v>
      </c>
      <c r="B190" s="210" t="s">
        <v>674</v>
      </c>
      <c r="C190" s="211" t="s">
        <v>167</v>
      </c>
      <c r="D190" s="212" t="s">
        <v>190</v>
      </c>
      <c r="E190" s="212" t="s">
        <v>172</v>
      </c>
      <c r="F190" s="212">
        <v>19</v>
      </c>
      <c r="G190" s="212" t="s">
        <v>175</v>
      </c>
      <c r="H190" s="212">
        <v>4103060</v>
      </c>
      <c r="I190" s="212"/>
      <c r="J190" s="212"/>
      <c r="K190" s="213">
        <v>11</v>
      </c>
      <c r="L190" s="214" t="s">
        <v>29</v>
      </c>
      <c r="M190" s="210" t="s">
        <v>216</v>
      </c>
      <c r="N190" s="215">
        <v>0</v>
      </c>
      <c r="O190" s="215">
        <v>0</v>
      </c>
      <c r="P190" s="216" t="e">
        <f t="shared" si="130"/>
        <v>#DIV/0!</v>
      </c>
      <c r="Q190" s="215">
        <v>0</v>
      </c>
      <c r="R190" s="216" t="e">
        <f t="shared" si="130"/>
        <v>#DIV/0!</v>
      </c>
      <c r="S190" s="215">
        <v>0</v>
      </c>
      <c r="T190" s="216" t="e">
        <f t="shared" ref="T190" si="185">+S190/$N190</f>
        <v>#DIV/0!</v>
      </c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s="90" customFormat="1" ht="24.95" customHeight="1">
      <c r="A191" s="32" t="s">
        <v>675</v>
      </c>
      <c r="B191" s="217" t="s">
        <v>676</v>
      </c>
      <c r="C191" s="266" t="s">
        <v>167</v>
      </c>
      <c r="D191" s="267" t="s">
        <v>190</v>
      </c>
      <c r="E191" s="267" t="s">
        <v>172</v>
      </c>
      <c r="F191" s="267">
        <v>19</v>
      </c>
      <c r="G191" s="267" t="s">
        <v>175</v>
      </c>
      <c r="H191" s="267">
        <v>4103060</v>
      </c>
      <c r="I191" s="267" t="s">
        <v>54</v>
      </c>
      <c r="J191" s="267"/>
      <c r="K191" s="268">
        <v>11</v>
      </c>
      <c r="L191" s="269" t="s">
        <v>29</v>
      </c>
      <c r="M191" s="259" t="s">
        <v>178</v>
      </c>
      <c r="N191" s="222">
        <v>0</v>
      </c>
      <c r="O191" s="222">
        <v>0</v>
      </c>
      <c r="P191" s="224" t="e">
        <f t="shared" si="130"/>
        <v>#DIV/0!</v>
      </c>
      <c r="Q191" s="222">
        <v>0</v>
      </c>
      <c r="R191" s="224" t="e">
        <f t="shared" si="130"/>
        <v>#DIV/0!</v>
      </c>
      <c r="S191" s="222">
        <v>0</v>
      </c>
      <c r="T191" s="224" t="e">
        <f t="shared" ref="T191" si="186">+S191/$N191</f>
        <v>#DIV/0!</v>
      </c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s="90" customFormat="1" ht="47.25" customHeight="1">
      <c r="A192" s="32" t="s">
        <v>677</v>
      </c>
      <c r="B192" s="226" t="s">
        <v>678</v>
      </c>
      <c r="C192" s="227" t="s">
        <v>167</v>
      </c>
      <c r="D192" s="228" t="s">
        <v>190</v>
      </c>
      <c r="E192" s="228" t="s">
        <v>172</v>
      </c>
      <c r="F192" s="228">
        <v>20</v>
      </c>
      <c r="G192" s="228"/>
      <c r="H192" s="228"/>
      <c r="I192" s="228"/>
      <c r="J192" s="228"/>
      <c r="K192" s="229"/>
      <c r="L192" s="230"/>
      <c r="M192" s="231" t="s">
        <v>286</v>
      </c>
      <c r="N192" s="232">
        <v>274181132277</v>
      </c>
      <c r="O192" s="232">
        <v>266707848316</v>
      </c>
      <c r="P192" s="233">
        <f t="shared" si="130"/>
        <v>0.97274325954183494</v>
      </c>
      <c r="Q192" s="232">
        <v>264208440316</v>
      </c>
      <c r="R192" s="233">
        <f t="shared" si="130"/>
        <v>0.96362735875302763</v>
      </c>
      <c r="S192" s="232">
        <v>264208440316</v>
      </c>
      <c r="T192" s="233">
        <f t="shared" ref="T192" si="187">+S192/$N192</f>
        <v>0.96362735875302763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s="90" customFormat="1" ht="36.75" customHeight="1">
      <c r="A193" s="32" t="s">
        <v>679</v>
      </c>
      <c r="B193" s="210" t="s">
        <v>680</v>
      </c>
      <c r="C193" s="211" t="s">
        <v>167</v>
      </c>
      <c r="D193" s="212" t="s">
        <v>190</v>
      </c>
      <c r="E193" s="212" t="s">
        <v>172</v>
      </c>
      <c r="F193" s="212">
        <v>20</v>
      </c>
      <c r="G193" s="212" t="s">
        <v>175</v>
      </c>
      <c r="H193" s="212">
        <v>4103061</v>
      </c>
      <c r="I193" s="212"/>
      <c r="J193" s="212"/>
      <c r="K193" s="213">
        <v>11</v>
      </c>
      <c r="L193" s="214" t="s">
        <v>29</v>
      </c>
      <c r="M193" s="210" t="s">
        <v>231</v>
      </c>
      <c r="N193" s="215">
        <v>274181132277</v>
      </c>
      <c r="O193" s="215">
        <v>266707848316</v>
      </c>
      <c r="P193" s="216">
        <f t="shared" si="130"/>
        <v>0.97274325954183494</v>
      </c>
      <c r="Q193" s="215">
        <v>264208440316</v>
      </c>
      <c r="R193" s="216">
        <f t="shared" si="130"/>
        <v>0.96362735875302763</v>
      </c>
      <c r="S193" s="215">
        <v>264208440316</v>
      </c>
      <c r="T193" s="216">
        <f t="shared" ref="T193" si="188">+S193/$N193</f>
        <v>0.96362735875302763</v>
      </c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s="90" customFormat="1" ht="24.95" customHeight="1">
      <c r="A194" s="32" t="s">
        <v>681</v>
      </c>
      <c r="B194" s="217" t="s">
        <v>682</v>
      </c>
      <c r="C194" s="266" t="s">
        <v>167</v>
      </c>
      <c r="D194" s="267" t="s">
        <v>190</v>
      </c>
      <c r="E194" s="267" t="s">
        <v>172</v>
      </c>
      <c r="F194" s="267">
        <v>20</v>
      </c>
      <c r="G194" s="267" t="s">
        <v>175</v>
      </c>
      <c r="H194" s="267">
        <v>4103061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14059907277</v>
      </c>
      <c r="O194" s="222">
        <v>9758448316</v>
      </c>
      <c r="P194" s="224">
        <f t="shared" si="130"/>
        <v>0.69406206767546952</v>
      </c>
      <c r="Q194" s="222">
        <v>7259040316</v>
      </c>
      <c r="R194" s="224">
        <f t="shared" si="130"/>
        <v>0.51629361225409742</v>
      </c>
      <c r="S194" s="222">
        <v>7259040316</v>
      </c>
      <c r="T194" s="224">
        <f t="shared" ref="T194" si="189">+S194/$N194</f>
        <v>0.51629361225409742</v>
      </c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s="90" customFormat="1" ht="24.95" customHeight="1">
      <c r="A195" s="32" t="s">
        <v>683</v>
      </c>
      <c r="B195" s="217" t="s">
        <v>684</v>
      </c>
      <c r="C195" s="266" t="s">
        <v>167</v>
      </c>
      <c r="D195" s="267" t="s">
        <v>190</v>
      </c>
      <c r="E195" s="267" t="s">
        <v>172</v>
      </c>
      <c r="F195" s="267">
        <v>20</v>
      </c>
      <c r="G195" s="267" t="s">
        <v>175</v>
      </c>
      <c r="H195" s="267">
        <v>4103061</v>
      </c>
      <c r="I195" s="274" t="s">
        <v>65</v>
      </c>
      <c r="J195" s="267"/>
      <c r="K195" s="268">
        <v>11</v>
      </c>
      <c r="L195" s="269" t="s">
        <v>29</v>
      </c>
      <c r="M195" s="259" t="s">
        <v>127</v>
      </c>
      <c r="N195" s="222">
        <v>260121225000</v>
      </c>
      <c r="O195" s="222">
        <v>256949400000</v>
      </c>
      <c r="P195" s="224">
        <f t="shared" si="130"/>
        <v>0.98780635836233666</v>
      </c>
      <c r="Q195" s="222">
        <v>256949400000</v>
      </c>
      <c r="R195" s="224">
        <f t="shared" si="130"/>
        <v>0.98780635836233666</v>
      </c>
      <c r="S195" s="222">
        <v>256949400000</v>
      </c>
      <c r="T195" s="224">
        <f t="shared" ref="T195" si="190">+S195/$N195</f>
        <v>0.98780635836233666</v>
      </c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s="90" customFormat="1" ht="43.5" customHeight="1">
      <c r="A196" s="32"/>
      <c r="B196" s="226" t="s">
        <v>685</v>
      </c>
      <c r="C196" s="227" t="s">
        <v>167</v>
      </c>
      <c r="D196" s="228" t="s">
        <v>190</v>
      </c>
      <c r="E196" s="228" t="s">
        <v>172</v>
      </c>
      <c r="F196" s="228">
        <v>23</v>
      </c>
      <c r="G196" s="228"/>
      <c r="H196" s="228"/>
      <c r="I196" s="228"/>
      <c r="J196" s="228"/>
      <c r="K196" s="229"/>
      <c r="L196" s="230"/>
      <c r="M196" s="231" t="s">
        <v>248</v>
      </c>
      <c r="N196" s="232">
        <v>0</v>
      </c>
      <c r="O196" s="232">
        <v>0</v>
      </c>
      <c r="P196" s="233" t="e">
        <f t="shared" si="130"/>
        <v>#DIV/0!</v>
      </c>
      <c r="Q196" s="232">
        <v>0</v>
      </c>
      <c r="R196" s="233" t="e">
        <f t="shared" si="130"/>
        <v>#DIV/0!</v>
      </c>
      <c r="S196" s="232">
        <v>0</v>
      </c>
      <c r="T196" s="233" t="e">
        <f t="shared" ref="T196" si="191">+S196/$N196</f>
        <v>#DIV/0!</v>
      </c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s="90" customFormat="1" ht="36" customHeight="1">
      <c r="A197" s="32"/>
      <c r="B197" s="210" t="s">
        <v>686</v>
      </c>
      <c r="C197" s="211" t="s">
        <v>167</v>
      </c>
      <c r="D197" s="212" t="s">
        <v>190</v>
      </c>
      <c r="E197" s="212" t="s">
        <v>172</v>
      </c>
      <c r="F197" s="212">
        <v>23</v>
      </c>
      <c r="G197" s="212"/>
      <c r="H197" s="212"/>
      <c r="I197" s="212"/>
      <c r="J197" s="212"/>
      <c r="K197" s="213">
        <v>11</v>
      </c>
      <c r="L197" s="214" t="s">
        <v>29</v>
      </c>
      <c r="M197" s="210" t="s">
        <v>248</v>
      </c>
      <c r="N197" s="215">
        <v>0</v>
      </c>
      <c r="O197" s="215">
        <v>0</v>
      </c>
      <c r="P197" s="216" t="e">
        <f t="shared" si="130"/>
        <v>#DIV/0!</v>
      </c>
      <c r="Q197" s="215">
        <v>0</v>
      </c>
      <c r="R197" s="216" t="e">
        <f t="shared" si="130"/>
        <v>#DIV/0!</v>
      </c>
      <c r="S197" s="215">
        <v>0</v>
      </c>
      <c r="T197" s="216" t="e">
        <f t="shared" ref="T197" si="192">+S197/$N197</f>
        <v>#DIV/0!</v>
      </c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s="90" customFormat="1" ht="34.5" customHeight="1">
      <c r="A198" s="32"/>
      <c r="B198" s="217" t="s">
        <v>687</v>
      </c>
      <c r="C198" s="266" t="s">
        <v>167</v>
      </c>
      <c r="D198" s="267" t="s">
        <v>190</v>
      </c>
      <c r="E198" s="267" t="s">
        <v>172</v>
      </c>
      <c r="F198" s="267">
        <v>23</v>
      </c>
      <c r="G198" s="267"/>
      <c r="H198" s="267"/>
      <c r="I198" s="267"/>
      <c r="J198" s="267"/>
      <c r="K198" s="268">
        <v>11</v>
      </c>
      <c r="L198" s="269" t="s">
        <v>29</v>
      </c>
      <c r="M198" s="259"/>
      <c r="N198" s="222">
        <v>0</v>
      </c>
      <c r="O198" s="222"/>
      <c r="P198" s="224" t="e">
        <f t="shared" si="130"/>
        <v>#DIV/0!</v>
      </c>
      <c r="Q198" s="222"/>
      <c r="R198" s="224" t="e">
        <f t="shared" si="130"/>
        <v>#DIV/0!</v>
      </c>
      <c r="S198" s="222"/>
      <c r="T198" s="224" t="e">
        <f t="shared" ref="T198" si="193">+S198/$N198</f>
        <v>#DIV/0!</v>
      </c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s="90" customFormat="1" ht="35.1" customHeight="1">
      <c r="A199" s="32" t="s">
        <v>543</v>
      </c>
      <c r="B199" s="188" t="s">
        <v>544</v>
      </c>
      <c r="C199" s="189" t="s">
        <v>167</v>
      </c>
      <c r="D199" s="191">
        <v>4199</v>
      </c>
      <c r="E199" s="191"/>
      <c r="F199" s="191"/>
      <c r="G199" s="191"/>
      <c r="H199" s="191"/>
      <c r="I199" s="191"/>
      <c r="J199" s="191"/>
      <c r="K199" s="192"/>
      <c r="L199" s="193"/>
      <c r="M199" s="188" t="s">
        <v>250</v>
      </c>
      <c r="N199" s="194">
        <v>3226548466</v>
      </c>
      <c r="O199" s="194">
        <v>3199772465.5999999</v>
      </c>
      <c r="P199" s="195">
        <f t="shared" si="130"/>
        <v>0.99170134876876814</v>
      </c>
      <c r="Q199" s="194">
        <v>3181585205.73</v>
      </c>
      <c r="R199" s="195">
        <f t="shared" si="130"/>
        <v>0.98606459480035591</v>
      </c>
      <c r="S199" s="194">
        <v>3181585205.73</v>
      </c>
      <c r="T199" s="195">
        <f t="shared" ref="T199" si="194">+S199/$N199</f>
        <v>0.98606459480035591</v>
      </c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s="90" customFormat="1" ht="24.95" customHeight="1">
      <c r="A200" s="32" t="s">
        <v>545</v>
      </c>
      <c r="B200" s="196" t="s">
        <v>300</v>
      </c>
      <c r="C200" s="197" t="s">
        <v>167</v>
      </c>
      <c r="D200" s="198">
        <v>4199</v>
      </c>
      <c r="E200" s="198">
        <v>1500</v>
      </c>
      <c r="F200" s="198"/>
      <c r="G200" s="198"/>
      <c r="H200" s="198"/>
      <c r="I200" s="198"/>
      <c r="J200" s="198"/>
      <c r="K200" s="199"/>
      <c r="L200" s="200"/>
      <c r="M200" s="196" t="s">
        <v>170</v>
      </c>
      <c r="N200" s="201">
        <v>3226548466</v>
      </c>
      <c r="O200" s="201">
        <v>3199772465.5999999</v>
      </c>
      <c r="P200" s="202">
        <f t="shared" ref="P200:R204" si="195">+O200/$N200</f>
        <v>0.99170134876876814</v>
      </c>
      <c r="Q200" s="201">
        <v>3181585205.73</v>
      </c>
      <c r="R200" s="202">
        <f t="shared" si="195"/>
        <v>0.98606459480035591</v>
      </c>
      <c r="S200" s="201">
        <v>3181585205.73</v>
      </c>
      <c r="T200" s="202">
        <f t="shared" ref="T200" si="196">+S200/$N200</f>
        <v>0.98606459480035591</v>
      </c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s="90" customFormat="1" ht="66">
      <c r="A201" s="32" t="s">
        <v>546</v>
      </c>
      <c r="B201" s="203" t="s">
        <v>547</v>
      </c>
      <c r="C201" s="227" t="s">
        <v>167</v>
      </c>
      <c r="D201" s="228" t="s">
        <v>251</v>
      </c>
      <c r="E201" s="228" t="s">
        <v>172</v>
      </c>
      <c r="F201" s="228" t="s">
        <v>252</v>
      </c>
      <c r="G201" s="228"/>
      <c r="H201" s="228"/>
      <c r="I201" s="228"/>
      <c r="J201" s="228"/>
      <c r="K201" s="229"/>
      <c r="L201" s="230"/>
      <c r="M201" s="231" t="s">
        <v>287</v>
      </c>
      <c r="N201" s="232">
        <v>3226548466</v>
      </c>
      <c r="O201" s="232">
        <v>3199772465.5999999</v>
      </c>
      <c r="P201" s="233">
        <f t="shared" si="195"/>
        <v>0.99170134876876814</v>
      </c>
      <c r="Q201" s="232">
        <v>3181585205.73</v>
      </c>
      <c r="R201" s="233">
        <f t="shared" si="195"/>
        <v>0.98606459480035591</v>
      </c>
      <c r="S201" s="232">
        <v>3181585205.73</v>
      </c>
      <c r="T201" s="233">
        <f t="shared" ref="T201" si="197">+S201/$N201</f>
        <v>0.98606459480035591</v>
      </c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s="90" customFormat="1" ht="24.95" customHeight="1">
      <c r="A202" s="32" t="s">
        <v>688</v>
      </c>
      <c r="B202" s="210" t="s">
        <v>548</v>
      </c>
      <c r="C202" s="211" t="s">
        <v>167</v>
      </c>
      <c r="D202" s="212" t="s">
        <v>251</v>
      </c>
      <c r="E202" s="212" t="s">
        <v>172</v>
      </c>
      <c r="F202" s="212" t="s">
        <v>252</v>
      </c>
      <c r="G202" s="212" t="s">
        <v>175</v>
      </c>
      <c r="H202" s="212" t="s">
        <v>254</v>
      </c>
      <c r="I202" s="212"/>
      <c r="J202" s="212"/>
      <c r="K202" s="213">
        <v>11</v>
      </c>
      <c r="L202" s="214" t="s">
        <v>29</v>
      </c>
      <c r="M202" s="210" t="s">
        <v>255</v>
      </c>
      <c r="N202" s="215">
        <v>3226548466</v>
      </c>
      <c r="O202" s="215">
        <v>3199772465.5999999</v>
      </c>
      <c r="P202" s="216">
        <f t="shared" si="195"/>
        <v>0.99170134876876814</v>
      </c>
      <c r="Q202" s="215">
        <v>3181585205.73</v>
      </c>
      <c r="R202" s="216">
        <f t="shared" si="195"/>
        <v>0.98606459480035591</v>
      </c>
      <c r="S202" s="215">
        <v>3181585205.73</v>
      </c>
      <c r="T202" s="216">
        <f t="shared" ref="T202" si="198">+S202/$N202</f>
        <v>0.98606459480035591</v>
      </c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s="90" customFormat="1" ht="24.95" customHeight="1" thickBot="1">
      <c r="A203" s="32" t="s">
        <v>689</v>
      </c>
      <c r="B203" s="217" t="s">
        <v>549</v>
      </c>
      <c r="C203" s="218" t="s">
        <v>167</v>
      </c>
      <c r="D203" s="219" t="s">
        <v>251</v>
      </c>
      <c r="E203" s="219" t="s">
        <v>172</v>
      </c>
      <c r="F203" s="219" t="s">
        <v>252</v>
      </c>
      <c r="G203" s="219" t="s">
        <v>175</v>
      </c>
      <c r="H203" s="219" t="s">
        <v>254</v>
      </c>
      <c r="I203" s="219" t="s">
        <v>54</v>
      </c>
      <c r="J203" s="219"/>
      <c r="K203" s="275">
        <v>11</v>
      </c>
      <c r="L203" s="276" t="s">
        <v>29</v>
      </c>
      <c r="M203" s="217" t="s">
        <v>178</v>
      </c>
      <c r="N203" s="222">
        <v>3226548466</v>
      </c>
      <c r="O203" s="222">
        <v>3199772465.5999999</v>
      </c>
      <c r="P203" s="224">
        <f t="shared" si="195"/>
        <v>0.99170134876876814</v>
      </c>
      <c r="Q203" s="222">
        <v>3181585205.73</v>
      </c>
      <c r="R203" s="224">
        <f t="shared" si="195"/>
        <v>0.98606459480035591</v>
      </c>
      <c r="S203" s="222">
        <v>3181585205.73</v>
      </c>
      <c r="T203" s="224">
        <f t="shared" ref="T203" si="199">+S203/$N203</f>
        <v>0.98606459480035591</v>
      </c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s="90" customFormat="1" ht="35.1" customHeight="1" thickBot="1">
      <c r="A204" s="32"/>
      <c r="B204" s="277" t="s">
        <v>288</v>
      </c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60" t="s">
        <v>256</v>
      </c>
      <c r="N204" s="265">
        <v>9242805406167</v>
      </c>
      <c r="O204" s="265">
        <v>9160289949787.3105</v>
      </c>
      <c r="P204" s="187">
        <f t="shared" si="195"/>
        <v>0.99107246633964263</v>
      </c>
      <c r="Q204" s="265">
        <v>9023315956619.0313</v>
      </c>
      <c r="R204" s="187">
        <f t="shared" si="195"/>
        <v>0.97625294054102663</v>
      </c>
      <c r="S204" s="265">
        <v>9020498122390.0313</v>
      </c>
      <c r="T204" s="187">
        <f t="shared" ref="T204" si="200">+S204/$N204</f>
        <v>0.97594807268920314</v>
      </c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s="90" customFormat="1" ht="16.5">
      <c r="A205" s="32"/>
      <c r="B205" s="279"/>
      <c r="C205" s="82"/>
      <c r="D205" s="82"/>
      <c r="E205" s="82"/>
      <c r="F205" s="82"/>
      <c r="G205" s="82"/>
      <c r="H205" s="83"/>
      <c r="I205" s="84"/>
      <c r="J205" s="84"/>
      <c r="K205" s="84"/>
      <c r="L205" s="84"/>
      <c r="M205" s="84"/>
      <c r="N205" s="86"/>
      <c r="O205" s="86"/>
      <c r="P205" s="87"/>
      <c r="Q205" s="86"/>
      <c r="R205" s="86"/>
      <c r="S205" s="86"/>
      <c r="T205" s="89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s="90" customFormat="1" ht="16.5">
      <c r="A206" s="32" t="s">
        <v>550</v>
      </c>
      <c r="B206" s="279"/>
      <c r="C206" s="82"/>
      <c r="D206" s="82"/>
      <c r="E206" s="82"/>
      <c r="F206" s="82"/>
      <c r="G206" s="82"/>
      <c r="H206" s="83"/>
      <c r="I206" s="84"/>
      <c r="J206" s="84"/>
      <c r="K206" s="84"/>
      <c r="L206" s="84"/>
      <c r="M206" s="84"/>
      <c r="N206" s="86" t="e">
        <f>+N204-#REF!</f>
        <v>#REF!</v>
      </c>
      <c r="O206" s="86"/>
      <c r="P206" s="87"/>
      <c r="Q206" s="86"/>
      <c r="R206" s="86"/>
      <c r="S206" s="86"/>
      <c r="T206" s="89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s="8" customFormat="1" ht="16.5">
      <c r="A207" s="32"/>
      <c r="B207" s="280"/>
      <c r="C207" s="94"/>
      <c r="D207" s="93"/>
      <c r="E207" s="93"/>
      <c r="F207" s="93"/>
      <c r="G207" s="93"/>
      <c r="H207" s="93"/>
      <c r="I207" s="93"/>
      <c r="J207" s="93"/>
      <c r="K207" s="93"/>
      <c r="L207" s="93"/>
      <c r="M207" s="97" t="s">
        <v>289</v>
      </c>
      <c r="N207" s="281">
        <v>9242805406167</v>
      </c>
      <c r="O207" s="281">
        <v>9160289949787.3105</v>
      </c>
      <c r="P207" s="282">
        <v>0.99107246633964263</v>
      </c>
      <c r="Q207" s="281">
        <v>9023315956619.0293</v>
      </c>
      <c r="R207" s="281"/>
      <c r="S207" s="281">
        <v>9020498122390.0293</v>
      </c>
      <c r="T207" s="282">
        <v>0.9847393665305838</v>
      </c>
    </row>
    <row r="208" spans="1:43" s="289" customFormat="1" ht="16.5">
      <c r="A208" s="22"/>
      <c r="B208" s="283"/>
      <c r="C208" s="284"/>
      <c r="D208" s="285"/>
      <c r="E208" s="285"/>
      <c r="F208" s="285"/>
      <c r="G208" s="285"/>
      <c r="H208" s="285"/>
      <c r="I208" s="285"/>
      <c r="J208" s="285"/>
      <c r="K208" s="285"/>
      <c r="L208" s="285"/>
      <c r="M208" s="286" t="s">
        <v>290</v>
      </c>
      <c r="N208" s="98">
        <v>0</v>
      </c>
      <c r="O208" s="98">
        <v>0</v>
      </c>
      <c r="P208" s="287"/>
      <c r="Q208" s="98">
        <v>0</v>
      </c>
      <c r="R208" s="98"/>
      <c r="S208" s="98">
        <v>0</v>
      </c>
      <c r="T208" s="28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</row>
  </sheetData>
  <sheetProtection selectLockedCells="1" selectUnlockedCells="1"/>
  <autoFilter ref="A6:T207" xr:uid="{00000000-0009-0000-0000-000002000000}"/>
  <mergeCells count="3">
    <mergeCell ref="O5:P5"/>
    <mergeCell ref="Q5:R5"/>
    <mergeCell ref="S5:T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8E278-6088-4A98-B9B8-05153FF2E1B6}">
  <sheetPr>
    <tabColor theme="7" tint="0.59999389629810485"/>
    <pageSetUpPr fitToPage="1"/>
  </sheetPr>
  <dimension ref="A1:BC256"/>
  <sheetViews>
    <sheetView showGridLines="0" zoomScale="80" zoomScaleNormal="80" workbookViewId="0">
      <selection activeCell="H193" sqref="H193"/>
    </sheetView>
  </sheetViews>
  <sheetFormatPr baseColWidth="10" defaultColWidth="11.42578125" defaultRowHeight="12.75" outlineLevelCol="1"/>
  <cols>
    <col min="1" max="1" width="5.7109375" style="109" customWidth="1"/>
    <col min="2" max="2" width="25.8554687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50.5703125" style="9" customWidth="1"/>
    <col min="14" max="14" width="20" style="13" bestFit="1" customWidth="1"/>
    <col min="15" max="15" width="18.85546875" style="13" customWidth="1"/>
    <col min="16" max="16" width="18.42578125" style="13" customWidth="1"/>
    <col min="17" max="17" width="21.85546875" style="13" customWidth="1"/>
    <col min="18" max="19" width="19.140625" style="13" customWidth="1"/>
    <col min="20" max="20" width="23.710937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911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784" t="s">
        <v>7</v>
      </c>
      <c r="V5" s="791"/>
      <c r="W5" s="79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912</v>
      </c>
      <c r="Z6" s="178" t="s">
        <v>879</v>
      </c>
      <c r="AA6" s="175" t="s">
        <v>18</v>
      </c>
      <c r="AB6" s="658" t="s">
        <v>913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0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179300000000</v>
      </c>
      <c r="O8" s="186">
        <v>0</v>
      </c>
      <c r="P8" s="186">
        <v>0</v>
      </c>
      <c r="Q8" s="186">
        <v>184500</v>
      </c>
      <c r="R8" s="186">
        <v>184500</v>
      </c>
      <c r="S8" s="186">
        <v>22607000000</v>
      </c>
      <c r="T8" s="186">
        <v>156693000000</v>
      </c>
      <c r="U8" s="186">
        <v>41503730300.870003</v>
      </c>
      <c r="V8" s="186">
        <v>115189269699.13</v>
      </c>
      <c r="W8" s="187">
        <v>0.26487290626173476</v>
      </c>
      <c r="X8" s="186">
        <v>7722152094</v>
      </c>
      <c r="Y8" s="186">
        <v>33781578206.870003</v>
      </c>
      <c r="Z8" s="187">
        <v>0.81394077019052602</v>
      </c>
      <c r="AA8" s="186">
        <v>7690775999</v>
      </c>
      <c r="AB8" s="186">
        <v>31376095</v>
      </c>
      <c r="AC8" s="187">
        <v>0.18530324728037242</v>
      </c>
    </row>
    <row r="9" spans="1:29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105148000000</v>
      </c>
      <c r="O9" s="194">
        <v>0</v>
      </c>
      <c r="P9" s="194">
        <v>0</v>
      </c>
      <c r="Q9" s="194">
        <v>0</v>
      </c>
      <c r="R9" s="194">
        <v>0</v>
      </c>
      <c r="S9" s="194">
        <v>0</v>
      </c>
      <c r="T9" s="194">
        <v>105148000000</v>
      </c>
      <c r="U9" s="194">
        <v>12476395511</v>
      </c>
      <c r="V9" s="194">
        <v>92671604489</v>
      </c>
      <c r="W9" s="195">
        <v>0.11865556654429946</v>
      </c>
      <c r="X9" s="194">
        <v>6273895511</v>
      </c>
      <c r="Y9" s="194">
        <v>6202500000</v>
      </c>
      <c r="Z9" s="195">
        <v>0.49713877654258987</v>
      </c>
      <c r="AA9" s="194">
        <v>6253362125</v>
      </c>
      <c r="AB9" s="194">
        <v>20533386</v>
      </c>
      <c r="AC9" s="195">
        <v>0.50121544475619018</v>
      </c>
    </row>
    <row r="10" spans="1:29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105148000000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105148000000</v>
      </c>
      <c r="U10" s="201">
        <v>12476395511</v>
      </c>
      <c r="V10" s="201">
        <v>92671604489</v>
      </c>
      <c r="W10" s="202">
        <v>0.11865556654429946</v>
      </c>
      <c r="X10" s="201">
        <v>6273895511</v>
      </c>
      <c r="Y10" s="201">
        <v>6202500000</v>
      </c>
      <c r="Z10" s="202">
        <v>0.49713877654258987</v>
      </c>
      <c r="AA10" s="201">
        <v>6253362125</v>
      </c>
      <c r="AB10" s="201">
        <v>20533386</v>
      </c>
      <c r="AC10" s="202">
        <v>0.50121544475619018</v>
      </c>
    </row>
    <row r="11" spans="1:29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69237000000</v>
      </c>
      <c r="O11" s="208">
        <v>0</v>
      </c>
      <c r="P11" s="208">
        <v>0</v>
      </c>
      <c r="Q11" s="208">
        <v>0</v>
      </c>
      <c r="R11" s="208">
        <v>0</v>
      </c>
      <c r="S11" s="208">
        <v>0</v>
      </c>
      <c r="T11" s="208">
        <v>69237000000</v>
      </c>
      <c r="U11" s="208">
        <v>4414832448</v>
      </c>
      <c r="V11" s="208">
        <v>64822167552</v>
      </c>
      <c r="W11" s="209">
        <v>6.3764063260973183E-2</v>
      </c>
      <c r="X11" s="208">
        <v>4414832448</v>
      </c>
      <c r="Y11" s="208">
        <v>0</v>
      </c>
      <c r="Z11" s="209">
        <v>0</v>
      </c>
      <c r="AA11" s="208">
        <v>4394299062</v>
      </c>
      <c r="AB11" s="208">
        <v>20533386</v>
      </c>
      <c r="AC11" s="209">
        <v>0.99534899993559167</v>
      </c>
    </row>
    <row r="12" spans="1:29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69237000000</v>
      </c>
      <c r="O12" s="215">
        <v>0</v>
      </c>
      <c r="P12" s="215">
        <v>0</v>
      </c>
      <c r="Q12" s="215">
        <v>0</v>
      </c>
      <c r="R12" s="215">
        <v>0</v>
      </c>
      <c r="S12" s="215">
        <v>0</v>
      </c>
      <c r="T12" s="215">
        <v>69237000000</v>
      </c>
      <c r="U12" s="215">
        <v>4414832448</v>
      </c>
      <c r="V12" s="215">
        <v>64822167552</v>
      </c>
      <c r="W12" s="216">
        <v>6.3764063260973183E-2</v>
      </c>
      <c r="X12" s="215">
        <v>4414832448</v>
      </c>
      <c r="Y12" s="215">
        <v>0</v>
      </c>
      <c r="Z12" s="216">
        <v>0</v>
      </c>
      <c r="AA12" s="215">
        <v>4394299062</v>
      </c>
      <c r="AB12" s="215">
        <v>20533386</v>
      </c>
      <c r="AC12" s="216">
        <v>0.99534899993559167</v>
      </c>
    </row>
    <row r="13" spans="1:29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57000000000</v>
      </c>
      <c r="O13" s="222"/>
      <c r="P13" s="222"/>
      <c r="Q13" s="222"/>
      <c r="R13" s="223"/>
      <c r="S13" s="223"/>
      <c r="T13" s="222">
        <v>57000000000</v>
      </c>
      <c r="U13" s="222">
        <v>4066184347</v>
      </c>
      <c r="V13" s="222">
        <v>52933815653</v>
      </c>
      <c r="W13" s="224">
        <v>7.1336567491228076E-2</v>
      </c>
      <c r="X13" s="222">
        <v>4066184347</v>
      </c>
      <c r="Y13" s="222">
        <v>0</v>
      </c>
      <c r="Z13" s="224">
        <v>0</v>
      </c>
      <c r="AA13" s="222">
        <v>4046203123</v>
      </c>
      <c r="AB13" s="222">
        <v>19981224</v>
      </c>
      <c r="AC13" s="224">
        <v>0.99508600144635795</v>
      </c>
    </row>
    <row r="14" spans="1:29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276000000</v>
      </c>
      <c r="O14" s="222"/>
      <c r="P14" s="222"/>
      <c r="Q14" s="222"/>
      <c r="R14" s="222"/>
      <c r="S14" s="222"/>
      <c r="T14" s="222">
        <v>276000000</v>
      </c>
      <c r="U14" s="222">
        <v>16163771</v>
      </c>
      <c r="V14" s="222">
        <v>259836229</v>
      </c>
      <c r="W14" s="224">
        <v>5.8564387681159423E-2</v>
      </c>
      <c r="X14" s="222">
        <v>16163771</v>
      </c>
      <c r="Y14" s="222">
        <v>0</v>
      </c>
      <c r="Z14" s="224">
        <v>0</v>
      </c>
      <c r="AA14" s="222">
        <v>16163771</v>
      </c>
      <c r="AB14" s="222">
        <v>0</v>
      </c>
      <c r="AC14" s="224">
        <v>1</v>
      </c>
    </row>
    <row r="15" spans="1:29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540000000</v>
      </c>
      <c r="O15" s="222"/>
      <c r="P15" s="222"/>
      <c r="Q15" s="222"/>
      <c r="R15" s="222"/>
      <c r="S15" s="222"/>
      <c r="T15" s="222">
        <v>540000000</v>
      </c>
      <c r="U15" s="222">
        <v>36105632</v>
      </c>
      <c r="V15" s="222">
        <v>503894368</v>
      </c>
      <c r="W15" s="224">
        <v>6.6862281481481475E-2</v>
      </c>
      <c r="X15" s="222">
        <v>36105632</v>
      </c>
      <c r="Y15" s="222">
        <v>0</v>
      </c>
      <c r="Z15" s="224">
        <v>0</v>
      </c>
      <c r="AA15" s="222">
        <v>36105632</v>
      </c>
      <c r="AB15" s="222">
        <v>0</v>
      </c>
      <c r="AC15" s="224">
        <v>1</v>
      </c>
    </row>
    <row r="16" spans="1:29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96000000</v>
      </c>
      <c r="O16" s="222"/>
      <c r="P16" s="222"/>
      <c r="Q16" s="222"/>
      <c r="R16" s="222"/>
      <c r="S16" s="222"/>
      <c r="T16" s="222">
        <v>96000000</v>
      </c>
      <c r="U16" s="222">
        <v>6274903</v>
      </c>
      <c r="V16" s="222">
        <v>89725097</v>
      </c>
      <c r="W16" s="224">
        <v>6.5363572916666668E-2</v>
      </c>
      <c r="X16" s="222">
        <v>6274903</v>
      </c>
      <c r="Y16" s="222">
        <v>0</v>
      </c>
      <c r="Z16" s="224">
        <v>0</v>
      </c>
      <c r="AA16" s="222">
        <v>6063391</v>
      </c>
      <c r="AB16" s="222">
        <v>211512</v>
      </c>
      <c r="AC16" s="224">
        <v>0.96629238730861655</v>
      </c>
    </row>
    <row r="17" spans="1:55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80000000</v>
      </c>
      <c r="O17" s="222"/>
      <c r="P17" s="222"/>
      <c r="Q17" s="222"/>
      <c r="R17" s="222"/>
      <c r="S17" s="222"/>
      <c r="T17" s="222">
        <v>80000000</v>
      </c>
      <c r="U17" s="222">
        <v>6734987</v>
      </c>
      <c r="V17" s="222">
        <v>73265013</v>
      </c>
      <c r="W17" s="224">
        <v>8.4187337500000001E-2</v>
      </c>
      <c r="X17" s="222">
        <v>6734987</v>
      </c>
      <c r="Y17" s="222">
        <v>0</v>
      </c>
      <c r="Z17" s="224">
        <v>0</v>
      </c>
      <c r="AA17" s="222">
        <v>6394337</v>
      </c>
      <c r="AB17" s="222">
        <v>340650</v>
      </c>
      <c r="AC17" s="224">
        <v>0.94942083778335429</v>
      </c>
    </row>
    <row r="18" spans="1:55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2448300000</v>
      </c>
      <c r="O18" s="222"/>
      <c r="P18" s="222"/>
      <c r="Q18" s="222"/>
      <c r="R18" s="222"/>
      <c r="S18" s="222"/>
      <c r="T18" s="222">
        <v>2448300000</v>
      </c>
      <c r="U18" s="222">
        <v>8191774</v>
      </c>
      <c r="V18" s="222">
        <v>2440108226</v>
      </c>
      <c r="W18" s="224">
        <v>3.3459028713801412E-3</v>
      </c>
      <c r="X18" s="222">
        <v>8191774</v>
      </c>
      <c r="Y18" s="222">
        <v>0</v>
      </c>
      <c r="Z18" s="224">
        <v>0</v>
      </c>
      <c r="AA18" s="222">
        <v>8191774</v>
      </c>
      <c r="AB18" s="222">
        <v>0</v>
      </c>
      <c r="AC18" s="224">
        <v>1</v>
      </c>
    </row>
    <row r="19" spans="1:55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1757500000</v>
      </c>
      <c r="O19" s="222"/>
      <c r="P19" s="222"/>
      <c r="Q19" s="222"/>
      <c r="R19" s="222"/>
      <c r="S19" s="222"/>
      <c r="T19" s="222">
        <v>1757500000</v>
      </c>
      <c r="U19" s="222">
        <v>167660922</v>
      </c>
      <c r="V19" s="222">
        <v>1589839078</v>
      </c>
      <c r="W19" s="224">
        <v>9.5397395163584642E-2</v>
      </c>
      <c r="X19" s="222">
        <v>167660922</v>
      </c>
      <c r="Y19" s="222">
        <v>0</v>
      </c>
      <c r="Z19" s="224">
        <v>0</v>
      </c>
      <c r="AA19" s="222">
        <v>167660922</v>
      </c>
      <c r="AB19" s="222">
        <v>0</v>
      </c>
      <c r="AC19" s="224">
        <v>1</v>
      </c>
    </row>
    <row r="20" spans="1:55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210000000</v>
      </c>
      <c r="O20" s="222"/>
      <c r="P20" s="222"/>
      <c r="Q20" s="222"/>
      <c r="R20" s="222"/>
      <c r="S20" s="222"/>
      <c r="T20" s="222">
        <v>210000000</v>
      </c>
      <c r="U20" s="222">
        <v>0</v>
      </c>
      <c r="V20" s="222">
        <v>210000000</v>
      </c>
      <c r="W20" s="224">
        <v>0</v>
      </c>
      <c r="X20" s="222">
        <v>0</v>
      </c>
      <c r="Y20" s="222">
        <v>0</v>
      </c>
      <c r="Z20" s="224">
        <v>0</v>
      </c>
      <c r="AA20" s="222">
        <v>0</v>
      </c>
      <c r="AB20" s="222">
        <v>0</v>
      </c>
      <c r="AC20" s="224">
        <v>0</v>
      </c>
    </row>
    <row r="21" spans="1:55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5100500000</v>
      </c>
      <c r="O21" s="222"/>
      <c r="P21" s="222"/>
      <c r="Q21" s="222"/>
      <c r="R21" s="222"/>
      <c r="S21" s="222"/>
      <c r="T21" s="222">
        <v>5100500000</v>
      </c>
      <c r="U21" s="222">
        <v>1163329</v>
      </c>
      <c r="V21" s="222">
        <v>5099336671</v>
      </c>
      <c r="W21" s="224">
        <v>2.2808136457210077E-4</v>
      </c>
      <c r="X21" s="222">
        <v>1163329</v>
      </c>
      <c r="Y21" s="222">
        <v>0</v>
      </c>
      <c r="Z21" s="224">
        <v>0</v>
      </c>
      <c r="AA21" s="222">
        <v>1163329</v>
      </c>
      <c r="AB21" s="222">
        <v>0</v>
      </c>
      <c r="AC21" s="224">
        <v>1</v>
      </c>
    </row>
    <row r="22" spans="1:55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1676700000</v>
      </c>
      <c r="O22" s="222"/>
      <c r="P22" s="222"/>
      <c r="Q22" s="222"/>
      <c r="R22" s="222"/>
      <c r="S22" s="222"/>
      <c r="T22" s="222">
        <v>1676700000</v>
      </c>
      <c r="U22" s="222">
        <v>103712723</v>
      </c>
      <c r="V22" s="222">
        <v>1572987277</v>
      </c>
      <c r="W22" s="224">
        <v>6.1855265104073479E-2</v>
      </c>
      <c r="X22" s="222">
        <v>103712723</v>
      </c>
      <c r="Y22" s="222">
        <v>0</v>
      </c>
      <c r="Z22" s="224">
        <v>0</v>
      </c>
      <c r="AA22" s="222">
        <v>103712723</v>
      </c>
      <c r="AB22" s="222">
        <v>0</v>
      </c>
      <c r="AC22" s="224">
        <v>1</v>
      </c>
    </row>
    <row r="23" spans="1:55" s="64" customFormat="1" ht="24.95" customHeight="1">
      <c r="A23" s="32" t="s">
        <v>552</v>
      </c>
      <c r="B23" s="217" t="s">
        <v>553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52000000</v>
      </c>
      <c r="O23" s="222"/>
      <c r="P23" s="222"/>
      <c r="Q23" s="222"/>
      <c r="R23" s="222"/>
      <c r="S23" s="222"/>
      <c r="T23" s="222">
        <v>52000000</v>
      </c>
      <c r="U23" s="222">
        <v>2640060</v>
      </c>
      <c r="V23" s="222">
        <v>49359940</v>
      </c>
      <c r="W23" s="224">
        <v>5.0770384615384613E-2</v>
      </c>
      <c r="X23" s="222">
        <v>2640060</v>
      </c>
      <c r="Y23" s="222">
        <v>0</v>
      </c>
      <c r="Z23" s="224">
        <v>0</v>
      </c>
      <c r="AA23" s="222">
        <v>2640060</v>
      </c>
      <c r="AB23" s="222">
        <v>0</v>
      </c>
      <c r="AC23" s="224"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">
        <v>330</v>
      </c>
      <c r="B24" s="226" t="s">
        <v>331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v>28758000000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28758000000</v>
      </c>
      <c r="U24" s="232">
        <v>7671616000</v>
      </c>
      <c r="V24" s="232">
        <v>21086384000</v>
      </c>
      <c r="W24" s="233">
        <v>0.26676458724528829</v>
      </c>
      <c r="X24" s="232">
        <v>1469116000</v>
      </c>
      <c r="Y24" s="232">
        <v>6202500000</v>
      </c>
      <c r="Z24" s="233">
        <v>0.80849979978142805</v>
      </c>
      <c r="AA24" s="232">
        <v>1469116000</v>
      </c>
      <c r="AB24" s="232">
        <v>0</v>
      </c>
      <c r="AC24" s="233">
        <v>0.19150020021857195</v>
      </c>
    </row>
    <row r="25" spans="1:55" ht="24.95" customHeight="1">
      <c r="A25" s="32" t="s">
        <v>332</v>
      </c>
      <c r="B25" s="217" t="s">
        <v>333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7690200000</v>
      </c>
      <c r="O25" s="222"/>
      <c r="P25" s="222"/>
      <c r="Q25" s="222"/>
      <c r="R25" s="222"/>
      <c r="S25" s="222"/>
      <c r="T25" s="222">
        <v>7690200000</v>
      </c>
      <c r="U25" s="222">
        <v>598113700</v>
      </c>
      <c r="V25" s="222">
        <v>7092086300</v>
      </c>
      <c r="W25" s="224">
        <v>7.7776091649111853E-2</v>
      </c>
      <c r="X25" s="222">
        <v>598113700</v>
      </c>
      <c r="Y25" s="222">
        <v>0</v>
      </c>
      <c r="Z25" s="224">
        <v>0</v>
      </c>
      <c r="AA25" s="222">
        <v>598113700</v>
      </c>
      <c r="AB25" s="222">
        <v>0</v>
      </c>
      <c r="AC25" s="224">
        <v>1</v>
      </c>
    </row>
    <row r="26" spans="1:55" ht="24.95" customHeight="1">
      <c r="A26" s="32" t="s">
        <v>334</v>
      </c>
      <c r="B26" s="217" t="s">
        <v>335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5447200000</v>
      </c>
      <c r="O26" s="222"/>
      <c r="P26" s="222"/>
      <c r="Q26" s="222"/>
      <c r="R26" s="222"/>
      <c r="S26" s="222"/>
      <c r="T26" s="222">
        <v>5447200000</v>
      </c>
      <c r="U26" s="222">
        <v>423582000</v>
      </c>
      <c r="V26" s="222">
        <v>5023618000</v>
      </c>
      <c r="W26" s="224">
        <v>7.7761418710530175E-2</v>
      </c>
      <c r="X26" s="222">
        <v>423582000</v>
      </c>
      <c r="Y26" s="222">
        <v>0</v>
      </c>
      <c r="Z26" s="224">
        <v>0</v>
      </c>
      <c r="AA26" s="222">
        <v>423582000</v>
      </c>
      <c r="AB26" s="222">
        <v>0</v>
      </c>
      <c r="AC26" s="224">
        <v>1</v>
      </c>
    </row>
    <row r="27" spans="1:55" ht="24.95" customHeight="1">
      <c r="A27" s="32" t="s">
        <v>336</v>
      </c>
      <c r="B27" s="217" t="s">
        <v>337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8895400000</v>
      </c>
      <c r="O27" s="222"/>
      <c r="P27" s="222"/>
      <c r="Q27" s="222"/>
      <c r="R27" s="222"/>
      <c r="S27" s="222"/>
      <c r="T27" s="222">
        <v>8895400000</v>
      </c>
      <c r="U27" s="222">
        <v>6200000000</v>
      </c>
      <c r="V27" s="222">
        <v>2695400000</v>
      </c>
      <c r="W27" s="224">
        <v>0.69698945522404843</v>
      </c>
      <c r="X27" s="222">
        <v>0</v>
      </c>
      <c r="Y27" s="222">
        <v>6200000000</v>
      </c>
      <c r="Z27" s="224">
        <v>1</v>
      </c>
      <c r="AA27" s="222">
        <v>0</v>
      </c>
      <c r="AB27" s="222">
        <v>0</v>
      </c>
      <c r="AC27" s="224">
        <v>0</v>
      </c>
    </row>
    <row r="28" spans="1:55" ht="24.95" customHeight="1">
      <c r="A28" s="32" t="s">
        <v>338</v>
      </c>
      <c r="B28" s="217" t="s">
        <v>339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2732300000</v>
      </c>
      <c r="O28" s="222"/>
      <c r="P28" s="222"/>
      <c r="Q28" s="222"/>
      <c r="R28" s="222"/>
      <c r="S28" s="222"/>
      <c r="T28" s="222">
        <v>2732300000</v>
      </c>
      <c r="U28" s="222">
        <v>181894200</v>
      </c>
      <c r="V28" s="222">
        <v>2550405800</v>
      </c>
      <c r="W28" s="224">
        <v>6.6571825934194639E-2</v>
      </c>
      <c r="X28" s="222">
        <v>181894200</v>
      </c>
      <c r="Y28" s="222">
        <v>0</v>
      </c>
      <c r="Z28" s="224">
        <v>0</v>
      </c>
      <c r="AA28" s="222">
        <v>181894200</v>
      </c>
      <c r="AB28" s="222">
        <v>0</v>
      </c>
      <c r="AC28" s="224">
        <v>1</v>
      </c>
    </row>
    <row r="29" spans="1:55" ht="24.95" customHeight="1">
      <c r="A29" s="32" t="s">
        <v>340</v>
      </c>
      <c r="B29" s="217" t="s">
        <v>341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540000000</v>
      </c>
      <c r="O29" s="222"/>
      <c r="P29" s="222"/>
      <c r="Q29" s="222"/>
      <c r="R29" s="222"/>
      <c r="S29" s="222"/>
      <c r="T29" s="222">
        <v>540000000</v>
      </c>
      <c r="U29" s="222">
        <v>40381300</v>
      </c>
      <c r="V29" s="222">
        <v>499618700</v>
      </c>
      <c r="W29" s="224">
        <v>7.4780185185185186E-2</v>
      </c>
      <c r="X29" s="222">
        <v>37881300</v>
      </c>
      <c r="Y29" s="222">
        <v>2500000</v>
      </c>
      <c r="Z29" s="224">
        <v>6.1909844408179031E-2</v>
      </c>
      <c r="AA29" s="222">
        <v>37881300</v>
      </c>
      <c r="AB29" s="222">
        <v>0</v>
      </c>
      <c r="AC29" s="224">
        <v>0.93809015559182096</v>
      </c>
    </row>
    <row r="30" spans="1:55" ht="24.95" customHeight="1">
      <c r="A30" s="32" t="s">
        <v>342</v>
      </c>
      <c r="B30" s="217" t="s">
        <v>343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2071700000</v>
      </c>
      <c r="O30" s="222"/>
      <c r="P30" s="222"/>
      <c r="Q30" s="222"/>
      <c r="R30" s="222"/>
      <c r="S30" s="222"/>
      <c r="T30" s="222">
        <v>2071700000</v>
      </c>
      <c r="U30" s="222">
        <v>136442800</v>
      </c>
      <c r="V30" s="222">
        <v>1935257200</v>
      </c>
      <c r="W30" s="224">
        <v>6.5860307959646661E-2</v>
      </c>
      <c r="X30" s="222">
        <v>136442800</v>
      </c>
      <c r="Y30" s="222">
        <v>0</v>
      </c>
      <c r="Z30" s="224">
        <v>0</v>
      </c>
      <c r="AA30" s="222">
        <v>136442800</v>
      </c>
      <c r="AB30" s="222">
        <v>0</v>
      </c>
      <c r="AC30" s="224">
        <v>1</v>
      </c>
    </row>
    <row r="31" spans="1:55" ht="24.95" customHeight="1">
      <c r="A31" s="32" t="s">
        <v>344</v>
      </c>
      <c r="B31" s="217" t="s">
        <v>345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345300000</v>
      </c>
      <c r="O31" s="222"/>
      <c r="P31" s="222"/>
      <c r="Q31" s="222"/>
      <c r="R31" s="222"/>
      <c r="S31" s="222"/>
      <c r="T31" s="222">
        <v>345300000</v>
      </c>
      <c r="U31" s="222">
        <v>22893600</v>
      </c>
      <c r="V31" s="222">
        <v>322406400</v>
      </c>
      <c r="W31" s="224">
        <v>6.6300608166811464E-2</v>
      </c>
      <c r="X31" s="222">
        <v>22893600</v>
      </c>
      <c r="Y31" s="222">
        <v>0</v>
      </c>
      <c r="Z31" s="224">
        <v>0</v>
      </c>
      <c r="AA31" s="222">
        <v>22893600</v>
      </c>
      <c r="AB31" s="222">
        <v>0</v>
      </c>
      <c r="AC31" s="224">
        <v>1</v>
      </c>
    </row>
    <row r="32" spans="1:55" ht="24.95" customHeight="1">
      <c r="A32" s="32" t="s">
        <v>346</v>
      </c>
      <c r="B32" s="217" t="s">
        <v>347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345300000</v>
      </c>
      <c r="O32" s="222"/>
      <c r="P32" s="222"/>
      <c r="Q32" s="222"/>
      <c r="R32" s="222"/>
      <c r="S32" s="222"/>
      <c r="T32" s="222">
        <v>345300000</v>
      </c>
      <c r="U32" s="222">
        <v>22787400</v>
      </c>
      <c r="V32" s="222">
        <v>322512600</v>
      </c>
      <c r="W32" s="224">
        <v>6.5993049522154651E-2</v>
      </c>
      <c r="X32" s="222">
        <v>22787400</v>
      </c>
      <c r="Y32" s="222">
        <v>0</v>
      </c>
      <c r="Z32" s="224">
        <v>0</v>
      </c>
      <c r="AA32" s="222">
        <v>22787400</v>
      </c>
      <c r="AB32" s="222">
        <v>0</v>
      </c>
      <c r="AC32" s="224">
        <v>1</v>
      </c>
    </row>
    <row r="33" spans="1:29" ht="24.95" customHeight="1">
      <c r="A33" s="32" t="s">
        <v>348</v>
      </c>
      <c r="B33" s="217" t="s">
        <v>349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690600000</v>
      </c>
      <c r="O33" s="222"/>
      <c r="P33" s="222"/>
      <c r="Q33" s="222"/>
      <c r="R33" s="222"/>
      <c r="S33" s="222"/>
      <c r="T33" s="222">
        <v>690600000</v>
      </c>
      <c r="U33" s="222">
        <v>45521000</v>
      </c>
      <c r="V33" s="222">
        <v>645079000</v>
      </c>
      <c r="W33" s="224">
        <v>6.5915146249637999E-2</v>
      </c>
      <c r="X33" s="222">
        <v>45521000</v>
      </c>
      <c r="Y33" s="222">
        <v>0</v>
      </c>
      <c r="Z33" s="224">
        <v>0</v>
      </c>
      <c r="AA33" s="222">
        <v>45521000</v>
      </c>
      <c r="AB33" s="222">
        <v>0</v>
      </c>
      <c r="AC33" s="224">
        <v>1</v>
      </c>
    </row>
    <row r="34" spans="1:29" ht="24.95" customHeight="1">
      <c r="A34" s="32" t="s">
        <v>350</v>
      </c>
      <c r="B34" s="226" t="s">
        <v>351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v>7153000000</v>
      </c>
      <c r="O34" s="232">
        <v>0</v>
      </c>
      <c r="P34" s="232">
        <v>0</v>
      </c>
      <c r="Q34" s="232">
        <v>0</v>
      </c>
      <c r="R34" s="232">
        <v>0</v>
      </c>
      <c r="S34" s="232">
        <v>0</v>
      </c>
      <c r="T34" s="232">
        <v>7153000000</v>
      </c>
      <c r="U34" s="232">
        <v>389947063</v>
      </c>
      <c r="V34" s="232">
        <v>6763052937</v>
      </c>
      <c r="W34" s="233">
        <v>5.4515177268279043E-2</v>
      </c>
      <c r="X34" s="232">
        <v>389947063</v>
      </c>
      <c r="Y34" s="232">
        <v>0</v>
      </c>
      <c r="Z34" s="233">
        <v>0</v>
      </c>
      <c r="AA34" s="232">
        <v>389947063</v>
      </c>
      <c r="AB34" s="232">
        <v>0</v>
      </c>
      <c r="AC34" s="233">
        <v>1</v>
      </c>
    </row>
    <row r="35" spans="1:29" ht="24.95" customHeight="1">
      <c r="A35" s="32" t="s">
        <v>352</v>
      </c>
      <c r="B35" s="210" t="s">
        <v>353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v>3551000000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3551000000</v>
      </c>
      <c r="U35" s="215">
        <v>153830644</v>
      </c>
      <c r="V35" s="215">
        <v>3397169356</v>
      </c>
      <c r="W35" s="216">
        <v>4.3320372852717545E-2</v>
      </c>
      <c r="X35" s="215">
        <v>153830644</v>
      </c>
      <c r="Y35" s="215">
        <v>0</v>
      </c>
      <c r="Z35" s="216">
        <v>0</v>
      </c>
      <c r="AA35" s="215">
        <v>153830644</v>
      </c>
      <c r="AB35" s="215">
        <v>0</v>
      </c>
      <c r="AC35" s="216">
        <v>1</v>
      </c>
    </row>
    <row r="36" spans="1:29" ht="24.95" customHeight="1">
      <c r="A36" s="32" t="s">
        <v>354</v>
      </c>
      <c r="B36" s="217" t="s">
        <v>355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2801000000</v>
      </c>
      <c r="O36" s="222"/>
      <c r="P36" s="222"/>
      <c r="Q36" s="222"/>
      <c r="R36" s="222"/>
      <c r="S36" s="222"/>
      <c r="T36" s="222">
        <v>2801000000</v>
      </c>
      <c r="U36" s="222">
        <v>114454876</v>
      </c>
      <c r="V36" s="222">
        <v>2686545124</v>
      </c>
      <c r="W36" s="224">
        <v>4.0862147804355591E-2</v>
      </c>
      <c r="X36" s="222">
        <v>114454876</v>
      </c>
      <c r="Y36" s="222">
        <v>0</v>
      </c>
      <c r="Z36" s="224">
        <v>0</v>
      </c>
      <c r="AA36" s="222">
        <v>114454876</v>
      </c>
      <c r="AB36" s="222">
        <v>0</v>
      </c>
      <c r="AC36" s="224">
        <v>1</v>
      </c>
    </row>
    <row r="37" spans="1:29" ht="24.95" customHeight="1">
      <c r="A37" s="32" t="s">
        <v>356</v>
      </c>
      <c r="B37" s="217" t="s">
        <v>357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400000000</v>
      </c>
      <c r="O37" s="222"/>
      <c r="P37" s="222"/>
      <c r="Q37" s="222"/>
      <c r="R37" s="222"/>
      <c r="S37" s="222"/>
      <c r="T37" s="222">
        <v>400000000</v>
      </c>
      <c r="U37" s="222">
        <v>26716536</v>
      </c>
      <c r="V37" s="222">
        <v>373283464</v>
      </c>
      <c r="W37" s="224">
        <v>6.6791340000000005E-2</v>
      </c>
      <c r="X37" s="222">
        <v>26716536</v>
      </c>
      <c r="Y37" s="222">
        <v>0</v>
      </c>
      <c r="Z37" s="224">
        <v>0</v>
      </c>
      <c r="AA37" s="222">
        <v>26716536</v>
      </c>
      <c r="AB37" s="222">
        <v>0</v>
      </c>
      <c r="AC37" s="224">
        <v>1</v>
      </c>
    </row>
    <row r="38" spans="1:29" ht="24.95" customHeight="1">
      <c r="A38" s="32" t="s">
        <v>358</v>
      </c>
      <c r="B38" s="234" t="s">
        <v>359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350000000</v>
      </c>
      <c r="O38" s="239"/>
      <c r="P38" s="239"/>
      <c r="Q38" s="639"/>
      <c r="R38" s="639"/>
      <c r="S38" s="239"/>
      <c r="T38" s="239">
        <v>350000000</v>
      </c>
      <c r="U38" s="239">
        <v>12659232</v>
      </c>
      <c r="V38" s="239">
        <v>337340768</v>
      </c>
      <c r="W38" s="240">
        <v>3.6169234285714287E-2</v>
      </c>
      <c r="X38" s="239">
        <v>12659232</v>
      </c>
      <c r="Y38" s="239">
        <v>0</v>
      </c>
      <c r="Z38" s="240">
        <v>0</v>
      </c>
      <c r="AA38" s="239">
        <v>12659232</v>
      </c>
      <c r="AB38" s="239">
        <v>0</v>
      </c>
      <c r="AC38" s="240">
        <v>1</v>
      </c>
    </row>
    <row r="39" spans="1:29" ht="24.95" customHeight="1">
      <c r="A39" s="32" t="s">
        <v>360</v>
      </c>
      <c r="B39" s="217" t="s">
        <v>361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2"/>
      <c r="R39" s="222"/>
      <c r="S39" s="223"/>
      <c r="T39" s="222">
        <v>2160000000</v>
      </c>
      <c r="U39" s="222">
        <v>172955661</v>
      </c>
      <c r="V39" s="222">
        <v>1987044339</v>
      </c>
      <c r="W39" s="224">
        <v>8.0072065277777785E-2</v>
      </c>
      <c r="X39" s="222">
        <v>172955661</v>
      </c>
      <c r="Y39" s="222">
        <v>0</v>
      </c>
      <c r="Z39" s="224">
        <v>0</v>
      </c>
      <c r="AA39" s="222">
        <v>172955661</v>
      </c>
      <c r="AB39" s="222">
        <v>0</v>
      </c>
      <c r="AC39" s="224">
        <v>1</v>
      </c>
    </row>
    <row r="40" spans="1:29" ht="24.95" customHeight="1">
      <c r="A40" s="32" t="s">
        <v>362</v>
      </c>
      <c r="B40" s="217" t="s">
        <v>363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12000000</v>
      </c>
      <c r="O40" s="222"/>
      <c r="P40" s="222"/>
      <c r="Q40" s="223"/>
      <c r="R40" s="222"/>
      <c r="S40" s="223"/>
      <c r="T40" s="222">
        <v>12000000</v>
      </c>
      <c r="U40" s="222">
        <v>348451</v>
      </c>
      <c r="V40" s="222">
        <v>11651549</v>
      </c>
      <c r="W40" s="224">
        <v>2.9037583333333332E-2</v>
      </c>
      <c r="X40" s="222">
        <v>348451</v>
      </c>
      <c r="Y40" s="222">
        <v>0</v>
      </c>
      <c r="Z40" s="224">
        <v>0</v>
      </c>
      <c r="AA40" s="222">
        <v>348451</v>
      </c>
      <c r="AB40" s="222">
        <v>0</v>
      </c>
      <c r="AC40" s="224">
        <v>1</v>
      </c>
    </row>
    <row r="41" spans="1:29" ht="24.95" customHeight="1">
      <c r="A41" s="32" t="s">
        <v>365</v>
      </c>
      <c r="B41" s="217" t="s">
        <v>366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v>30000000</v>
      </c>
      <c r="U41" s="222">
        <v>0</v>
      </c>
      <c r="V41" s="222">
        <v>30000000</v>
      </c>
      <c r="W41" s="224">
        <v>0</v>
      </c>
      <c r="X41" s="222">
        <v>0</v>
      </c>
      <c r="Y41" s="222">
        <v>0</v>
      </c>
      <c r="Z41" s="224">
        <v>0</v>
      </c>
      <c r="AA41" s="222">
        <v>0</v>
      </c>
      <c r="AB41" s="222">
        <v>0</v>
      </c>
      <c r="AC41" s="224">
        <v>0</v>
      </c>
    </row>
    <row r="42" spans="1:29" ht="24.95" customHeight="1">
      <c r="A42" s="32" t="s">
        <v>367</v>
      </c>
      <c r="B42" s="217" t="s">
        <v>368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840000000</v>
      </c>
      <c r="O42" s="222"/>
      <c r="P42" s="222"/>
      <c r="Q42" s="222"/>
      <c r="R42" s="222"/>
      <c r="S42" s="223"/>
      <c r="T42" s="222">
        <v>840000000</v>
      </c>
      <c r="U42" s="222">
        <v>62812307</v>
      </c>
      <c r="V42" s="222">
        <v>777187693</v>
      </c>
      <c r="W42" s="224">
        <v>7.4776555952380946E-2</v>
      </c>
      <c r="X42" s="222">
        <v>62812307</v>
      </c>
      <c r="Y42" s="222">
        <v>0</v>
      </c>
      <c r="Z42" s="224">
        <v>0</v>
      </c>
      <c r="AA42" s="222">
        <v>62812307</v>
      </c>
      <c r="AB42" s="222">
        <v>0</v>
      </c>
      <c r="AC42" s="224">
        <v>1</v>
      </c>
    </row>
    <row r="43" spans="1:29" ht="24.95" customHeight="1">
      <c r="A43" s="32" t="s">
        <v>369</v>
      </c>
      <c r="B43" s="217" t="s">
        <v>370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560000000</v>
      </c>
      <c r="O43" s="222"/>
      <c r="P43" s="222"/>
      <c r="Q43" s="223"/>
      <c r="R43" s="222"/>
      <c r="S43" s="223"/>
      <c r="T43" s="222">
        <v>560000000</v>
      </c>
      <c r="U43" s="222">
        <v>0</v>
      </c>
      <c r="V43" s="222">
        <v>560000000</v>
      </c>
      <c r="W43" s="224">
        <v>0</v>
      </c>
      <c r="X43" s="222">
        <v>0</v>
      </c>
      <c r="Y43" s="222">
        <v>0</v>
      </c>
      <c r="Z43" s="224">
        <v>0</v>
      </c>
      <c r="AA43" s="222">
        <v>0</v>
      </c>
      <c r="AB43" s="222">
        <v>0</v>
      </c>
      <c r="AC43" s="224">
        <v>0</v>
      </c>
    </row>
    <row r="44" spans="1:29" ht="35.1" customHeight="1">
      <c r="A44" s="32" t="s">
        <v>371</v>
      </c>
      <c r="B44" s="188" t="s">
        <v>372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v>42289000000</v>
      </c>
      <c r="O44" s="194">
        <v>0</v>
      </c>
      <c r="P44" s="194">
        <v>0</v>
      </c>
      <c r="Q44" s="194">
        <v>184500</v>
      </c>
      <c r="R44" s="194">
        <v>184500</v>
      </c>
      <c r="S44" s="194">
        <v>0</v>
      </c>
      <c r="T44" s="194">
        <v>42289000000</v>
      </c>
      <c r="U44" s="194">
        <v>28966662206.870003</v>
      </c>
      <c r="V44" s="194">
        <v>13322337793.130001</v>
      </c>
      <c r="W44" s="195">
        <v>0.6849691930967865</v>
      </c>
      <c r="X44" s="194">
        <v>1408695693</v>
      </c>
      <c r="Y44" s="194">
        <v>27557966513.870003</v>
      </c>
      <c r="Z44" s="195">
        <v>0.95136838055625539</v>
      </c>
      <c r="AA44" s="194">
        <v>1398060167</v>
      </c>
      <c r="AB44" s="194">
        <v>10635526</v>
      </c>
      <c r="AC44" s="195">
        <v>4.8264455083417347E-2</v>
      </c>
    </row>
    <row r="45" spans="1:29" ht="24.95" customHeight="1">
      <c r="A45" s="32" t="s">
        <v>376</v>
      </c>
      <c r="B45" s="196" t="s">
        <v>377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v>42289000000</v>
      </c>
      <c r="O45" s="201">
        <v>0</v>
      </c>
      <c r="P45" s="201">
        <v>0</v>
      </c>
      <c r="Q45" s="201">
        <v>184500</v>
      </c>
      <c r="R45" s="201">
        <v>184500</v>
      </c>
      <c r="S45" s="201">
        <v>0</v>
      </c>
      <c r="T45" s="201">
        <v>42289000000</v>
      </c>
      <c r="U45" s="201">
        <v>28966662206.870003</v>
      </c>
      <c r="V45" s="201">
        <v>13322337793.130001</v>
      </c>
      <c r="W45" s="202">
        <v>0.6849691930967865</v>
      </c>
      <c r="X45" s="201">
        <v>1408695693</v>
      </c>
      <c r="Y45" s="201">
        <v>27557966513.870003</v>
      </c>
      <c r="Z45" s="202">
        <v>0.95136838055625539</v>
      </c>
      <c r="AA45" s="201">
        <v>1398060167</v>
      </c>
      <c r="AB45" s="201">
        <v>10635526</v>
      </c>
      <c r="AC45" s="202">
        <v>4.8264455083417347E-2</v>
      </c>
    </row>
    <row r="46" spans="1:29" ht="24.95" customHeight="1">
      <c r="A46" s="32" t="s">
        <v>378</v>
      </c>
      <c r="B46" s="203" t="s">
        <v>379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v>655883077</v>
      </c>
      <c r="O46" s="208">
        <v>0</v>
      </c>
      <c r="P46" s="208">
        <v>0</v>
      </c>
      <c r="Q46" s="208">
        <v>0</v>
      </c>
      <c r="R46" s="208">
        <v>0</v>
      </c>
      <c r="S46" s="208">
        <v>0</v>
      </c>
      <c r="T46" s="208">
        <v>655883077</v>
      </c>
      <c r="U46" s="208">
        <v>41220582</v>
      </c>
      <c r="V46" s="208">
        <v>614662495</v>
      </c>
      <c r="W46" s="209">
        <v>6.284745474535243E-2</v>
      </c>
      <c r="X46" s="208">
        <v>0</v>
      </c>
      <c r="Y46" s="208">
        <v>41220582</v>
      </c>
      <c r="Z46" s="209">
        <v>1</v>
      </c>
      <c r="AA46" s="208">
        <v>0</v>
      </c>
      <c r="AB46" s="208">
        <v>0</v>
      </c>
      <c r="AC46" s="209">
        <v>0</v>
      </c>
    </row>
    <row r="47" spans="1:29" ht="24.95" customHeight="1">
      <c r="A47" s="32" t="s">
        <v>380</v>
      </c>
      <c r="B47" s="210" t="s">
        <v>381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v>23000000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23000000</v>
      </c>
      <c r="U47" s="215">
        <v>0</v>
      </c>
      <c r="V47" s="215">
        <v>23000000</v>
      </c>
      <c r="W47" s="216">
        <v>0</v>
      </c>
      <c r="X47" s="215">
        <v>0</v>
      </c>
      <c r="Y47" s="215">
        <v>0</v>
      </c>
      <c r="Z47" s="216">
        <v>0</v>
      </c>
      <c r="AA47" s="215">
        <v>0</v>
      </c>
      <c r="AB47" s="215">
        <v>0</v>
      </c>
      <c r="AC47" s="216">
        <v>0</v>
      </c>
    </row>
    <row r="48" spans="1:29" ht="24.95" customHeight="1">
      <c r="A48" s="32" t="s">
        <v>554</v>
      </c>
      <c r="B48" s="217" t="s">
        <v>555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11000000</v>
      </c>
      <c r="O48" s="222"/>
      <c r="P48" s="222"/>
      <c r="Q48" s="222"/>
      <c r="R48" s="223"/>
      <c r="S48" s="223"/>
      <c r="T48" s="222">
        <v>11000000</v>
      </c>
      <c r="U48" s="222">
        <v>0</v>
      </c>
      <c r="V48" s="222">
        <v>11000000</v>
      </c>
      <c r="W48" s="224">
        <v>0</v>
      </c>
      <c r="X48" s="222">
        <v>0</v>
      </c>
      <c r="Y48" s="222">
        <v>0</v>
      </c>
      <c r="Z48" s="224">
        <v>0</v>
      </c>
      <c r="AA48" s="222">
        <v>0</v>
      </c>
      <c r="AB48" s="222">
        <v>0</v>
      </c>
      <c r="AC48" s="224">
        <v>0</v>
      </c>
    </row>
    <row r="49" spans="1:52" ht="24.95" customHeight="1">
      <c r="A49" s="32" t="s">
        <v>556</v>
      </c>
      <c r="B49" s="217" t="s">
        <v>557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12000000</v>
      </c>
      <c r="O49" s="222"/>
      <c r="P49" s="222"/>
      <c r="Q49" s="222"/>
      <c r="R49" s="223"/>
      <c r="S49" s="223"/>
      <c r="T49" s="222">
        <v>12000000</v>
      </c>
      <c r="U49" s="222">
        <v>0</v>
      </c>
      <c r="V49" s="222">
        <v>12000000</v>
      </c>
      <c r="W49" s="224">
        <v>0</v>
      </c>
      <c r="X49" s="222">
        <v>0</v>
      </c>
      <c r="Y49" s="222">
        <v>0</v>
      </c>
      <c r="Z49" s="224">
        <v>0</v>
      </c>
      <c r="AA49" s="222">
        <v>0</v>
      </c>
      <c r="AB49" s="222">
        <v>0</v>
      </c>
      <c r="AC49" s="224">
        <v>0</v>
      </c>
    </row>
    <row r="50" spans="1:52" ht="49.5">
      <c r="A50" s="32" t="s">
        <v>382</v>
      </c>
      <c r="B50" s="210" t="s">
        <v>383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v>141060000</v>
      </c>
      <c r="O50" s="215">
        <v>0</v>
      </c>
      <c r="P50" s="215">
        <v>0</v>
      </c>
      <c r="Q50" s="215">
        <v>0</v>
      </c>
      <c r="R50" s="215">
        <v>0</v>
      </c>
      <c r="S50" s="215">
        <v>0</v>
      </c>
      <c r="T50" s="215">
        <v>141060000</v>
      </c>
      <c r="U50" s="215">
        <v>0</v>
      </c>
      <c r="V50" s="215">
        <v>141060000</v>
      </c>
      <c r="W50" s="216">
        <v>0</v>
      </c>
      <c r="X50" s="215">
        <v>0</v>
      </c>
      <c r="Y50" s="215">
        <v>0</v>
      </c>
      <c r="Z50" s="216">
        <v>0</v>
      </c>
      <c r="AA50" s="215">
        <v>0</v>
      </c>
      <c r="AB50" s="215">
        <v>0</v>
      </c>
      <c r="AC50" s="216">
        <v>0</v>
      </c>
    </row>
    <row r="51" spans="1:52" ht="24.95" customHeight="1">
      <c r="A51" s="32" t="s">
        <v>558</v>
      </c>
      <c r="B51" s="217" t="s">
        <v>559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141060000</v>
      </c>
      <c r="O51" s="222"/>
      <c r="P51" s="222"/>
      <c r="Q51" s="222"/>
      <c r="R51" s="223"/>
      <c r="S51" s="223"/>
      <c r="T51" s="222">
        <v>141060000</v>
      </c>
      <c r="U51" s="222">
        <v>0</v>
      </c>
      <c r="V51" s="222">
        <v>141060000</v>
      </c>
      <c r="W51" s="224">
        <v>0</v>
      </c>
      <c r="X51" s="222">
        <v>0</v>
      </c>
      <c r="Y51" s="222">
        <v>0</v>
      </c>
      <c r="Z51" s="224">
        <v>0</v>
      </c>
      <c r="AA51" s="222">
        <v>0</v>
      </c>
      <c r="AB51" s="222">
        <v>0</v>
      </c>
      <c r="AC51" s="224">
        <v>0</v>
      </c>
    </row>
    <row r="52" spans="1:52" ht="33">
      <c r="A52" s="32" t="s">
        <v>384</v>
      </c>
      <c r="B52" s="210" t="s">
        <v>385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v>418823077</v>
      </c>
      <c r="O52" s="215">
        <v>0</v>
      </c>
      <c r="P52" s="215">
        <v>0</v>
      </c>
      <c r="Q52" s="215">
        <v>0</v>
      </c>
      <c r="R52" s="215">
        <v>0</v>
      </c>
      <c r="S52" s="215">
        <v>0</v>
      </c>
      <c r="T52" s="215">
        <v>418823077</v>
      </c>
      <c r="U52" s="215">
        <v>41220582</v>
      </c>
      <c r="V52" s="215">
        <v>377602495</v>
      </c>
      <c r="W52" s="216">
        <v>9.8420035245574591E-2</v>
      </c>
      <c r="X52" s="215">
        <v>0</v>
      </c>
      <c r="Y52" s="215">
        <v>41220582</v>
      </c>
      <c r="Z52" s="216">
        <v>1</v>
      </c>
      <c r="AA52" s="215">
        <v>0</v>
      </c>
      <c r="AB52" s="215">
        <v>0</v>
      </c>
      <c r="AC52" s="216">
        <v>0</v>
      </c>
    </row>
    <row r="53" spans="1:52" ht="27" customHeight="1">
      <c r="A53" s="32" t="s">
        <v>560</v>
      </c>
      <c r="B53" s="217" t="s">
        <v>561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195500000</v>
      </c>
      <c r="O53" s="222"/>
      <c r="P53" s="222"/>
      <c r="Q53" s="222"/>
      <c r="R53" s="223"/>
      <c r="S53" s="223"/>
      <c r="T53" s="222">
        <v>195500000</v>
      </c>
      <c r="U53" s="222">
        <v>0</v>
      </c>
      <c r="V53" s="222">
        <v>195500000</v>
      </c>
      <c r="W53" s="224">
        <v>0</v>
      </c>
      <c r="X53" s="222">
        <v>0</v>
      </c>
      <c r="Y53" s="222">
        <v>0</v>
      </c>
      <c r="Z53" s="224">
        <v>0</v>
      </c>
      <c r="AA53" s="222">
        <v>0</v>
      </c>
      <c r="AB53" s="222">
        <v>0</v>
      </c>
      <c r="AC53" s="224">
        <v>0</v>
      </c>
    </row>
    <row r="54" spans="1:52" ht="27" customHeight="1">
      <c r="A54" s="32" t="s">
        <v>562</v>
      </c>
      <c r="B54" s="217" t="s">
        <v>563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84823077</v>
      </c>
      <c r="O54" s="222"/>
      <c r="P54" s="222"/>
      <c r="Q54" s="222"/>
      <c r="R54" s="223"/>
      <c r="S54" s="223"/>
      <c r="T54" s="222">
        <v>84823077</v>
      </c>
      <c r="U54" s="222">
        <v>41220582</v>
      </c>
      <c r="V54" s="222">
        <v>43602495</v>
      </c>
      <c r="W54" s="224">
        <v>0.48595952254832725</v>
      </c>
      <c r="X54" s="222">
        <v>0</v>
      </c>
      <c r="Y54" s="222">
        <v>41220582</v>
      </c>
      <c r="Z54" s="224">
        <v>1</v>
      </c>
      <c r="AA54" s="222">
        <v>0</v>
      </c>
      <c r="AB54" s="222">
        <v>0</v>
      </c>
      <c r="AC54" s="224">
        <v>0</v>
      </c>
    </row>
    <row r="55" spans="1:52" ht="26.25" customHeight="1">
      <c r="A55" s="32" t="s">
        <v>564</v>
      </c>
      <c r="B55" s="217" t="s">
        <v>565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26000000</v>
      </c>
      <c r="O55" s="222"/>
      <c r="P55" s="222"/>
      <c r="Q55" s="222"/>
      <c r="R55" s="223"/>
      <c r="S55" s="223"/>
      <c r="T55" s="222">
        <v>26000000</v>
      </c>
      <c r="U55" s="222">
        <v>0</v>
      </c>
      <c r="V55" s="222">
        <v>26000000</v>
      </c>
      <c r="W55" s="224">
        <v>0</v>
      </c>
      <c r="X55" s="222">
        <v>0</v>
      </c>
      <c r="Y55" s="222">
        <v>0</v>
      </c>
      <c r="Z55" s="224">
        <v>0</v>
      </c>
      <c r="AA55" s="222">
        <v>0</v>
      </c>
      <c r="AB55" s="222">
        <v>0</v>
      </c>
      <c r="AC55" s="224">
        <v>0</v>
      </c>
    </row>
    <row r="56" spans="1:52" ht="24" customHeight="1">
      <c r="A56" s="32" t="s">
        <v>566</v>
      </c>
      <c r="B56" s="217" t="s">
        <v>567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20000000</v>
      </c>
      <c r="O56" s="222"/>
      <c r="P56" s="222"/>
      <c r="Q56" s="222"/>
      <c r="R56" s="223"/>
      <c r="S56" s="223"/>
      <c r="T56" s="222">
        <v>20000000</v>
      </c>
      <c r="U56" s="222">
        <v>0</v>
      </c>
      <c r="V56" s="222">
        <v>20000000</v>
      </c>
      <c r="W56" s="224">
        <v>0</v>
      </c>
      <c r="X56" s="222">
        <v>0</v>
      </c>
      <c r="Y56" s="222">
        <v>0</v>
      </c>
      <c r="Z56" s="224">
        <v>0</v>
      </c>
      <c r="AA56" s="222">
        <v>0</v>
      </c>
      <c r="AB56" s="222">
        <v>0</v>
      </c>
      <c r="AC56" s="224">
        <v>0</v>
      </c>
    </row>
    <row r="57" spans="1:52" ht="24" customHeight="1">
      <c r="A57" s="32" t="s">
        <v>568</v>
      </c>
      <c r="B57" s="217" t="s">
        <v>569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/>
      <c r="O57" s="222"/>
      <c r="P57" s="222"/>
      <c r="Q57" s="222"/>
      <c r="R57" s="223"/>
      <c r="S57" s="223"/>
      <c r="T57" s="222">
        <v>0</v>
      </c>
      <c r="U57" s="222">
        <v>0</v>
      </c>
      <c r="V57" s="222">
        <v>0</v>
      </c>
      <c r="W57" s="224">
        <v>0</v>
      </c>
      <c r="X57" s="222">
        <v>0</v>
      </c>
      <c r="Y57" s="222">
        <v>0</v>
      </c>
      <c r="Z57" s="224">
        <v>0</v>
      </c>
      <c r="AA57" s="222">
        <v>0</v>
      </c>
      <c r="AB57" s="222">
        <v>0</v>
      </c>
      <c r="AC57" s="224">
        <v>0</v>
      </c>
    </row>
    <row r="58" spans="1:52" ht="24" customHeight="1">
      <c r="A58" s="32" t="s">
        <v>570</v>
      </c>
      <c r="B58" s="217" t="s">
        <v>571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92500000</v>
      </c>
      <c r="O58" s="222"/>
      <c r="P58" s="222"/>
      <c r="Q58" s="222"/>
      <c r="R58" s="223"/>
      <c r="S58" s="223"/>
      <c r="T58" s="222">
        <v>92500000</v>
      </c>
      <c r="U58" s="222">
        <v>0</v>
      </c>
      <c r="V58" s="222">
        <v>92500000</v>
      </c>
      <c r="W58" s="224">
        <v>0</v>
      </c>
      <c r="X58" s="222">
        <v>0</v>
      </c>
      <c r="Y58" s="222">
        <v>0</v>
      </c>
      <c r="Z58" s="224">
        <v>0</v>
      </c>
      <c r="AA58" s="222">
        <v>0</v>
      </c>
      <c r="AB58" s="222">
        <v>0</v>
      </c>
      <c r="AC58" s="224">
        <v>0</v>
      </c>
    </row>
    <row r="59" spans="1:52" ht="24.95" customHeight="1">
      <c r="A59" s="32" t="s">
        <v>386</v>
      </c>
      <c r="B59" s="210" t="s">
        <v>387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v>73000000</v>
      </c>
      <c r="O59" s="215">
        <v>0</v>
      </c>
      <c r="P59" s="215">
        <v>0</v>
      </c>
      <c r="Q59" s="215">
        <v>0</v>
      </c>
      <c r="R59" s="215">
        <v>0</v>
      </c>
      <c r="S59" s="215">
        <v>0</v>
      </c>
      <c r="T59" s="215">
        <v>73000000</v>
      </c>
      <c r="U59" s="215">
        <v>0</v>
      </c>
      <c r="V59" s="215">
        <v>73000000</v>
      </c>
      <c r="W59" s="216">
        <v>0</v>
      </c>
      <c r="X59" s="215">
        <v>0</v>
      </c>
      <c r="Y59" s="215">
        <v>0</v>
      </c>
      <c r="Z59" s="216">
        <v>0</v>
      </c>
      <c r="AA59" s="215">
        <v>0</v>
      </c>
      <c r="AB59" s="215">
        <v>0</v>
      </c>
      <c r="AC59" s="216">
        <v>0</v>
      </c>
    </row>
    <row r="60" spans="1:52" ht="24.95" customHeight="1">
      <c r="A60" s="32" t="s">
        <v>572</v>
      </c>
      <c r="B60" s="217" t="s">
        <v>573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/>
      <c r="O60" s="222"/>
      <c r="P60" s="222"/>
      <c r="Q60" s="222"/>
      <c r="R60" s="223"/>
      <c r="S60" s="223"/>
      <c r="T60" s="222">
        <v>0</v>
      </c>
      <c r="U60" s="222">
        <v>0</v>
      </c>
      <c r="V60" s="222">
        <v>0</v>
      </c>
      <c r="W60" s="224">
        <v>0</v>
      </c>
      <c r="X60" s="222">
        <v>0</v>
      </c>
      <c r="Y60" s="222">
        <v>0</v>
      </c>
      <c r="Z60" s="224">
        <v>0</v>
      </c>
      <c r="AA60" s="222">
        <v>0</v>
      </c>
      <c r="AB60" s="222">
        <v>0</v>
      </c>
      <c r="AC60" s="224">
        <v>0</v>
      </c>
    </row>
    <row r="61" spans="1:52" s="64" customFormat="1" ht="24.95" customHeight="1">
      <c r="A61" s="32" t="s">
        <v>574</v>
      </c>
      <c r="B61" s="217" t="s">
        <v>575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10000000</v>
      </c>
      <c r="O61" s="222"/>
      <c r="P61" s="222"/>
      <c r="Q61" s="222"/>
      <c r="R61" s="223"/>
      <c r="S61" s="223"/>
      <c r="T61" s="222">
        <v>10000000</v>
      </c>
      <c r="U61" s="222">
        <v>0</v>
      </c>
      <c r="V61" s="222">
        <v>10000000</v>
      </c>
      <c r="W61" s="224">
        <v>0</v>
      </c>
      <c r="X61" s="222">
        <v>0</v>
      </c>
      <c r="Y61" s="222">
        <v>0</v>
      </c>
      <c r="Z61" s="224">
        <v>0</v>
      </c>
      <c r="AA61" s="222">
        <v>0</v>
      </c>
      <c r="AB61" s="222">
        <v>0</v>
      </c>
      <c r="AC61" s="224"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">
        <v>576</v>
      </c>
      <c r="B62" s="217" t="s">
        <v>577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28000000</v>
      </c>
      <c r="O62" s="222"/>
      <c r="P62" s="222"/>
      <c r="Q62" s="222"/>
      <c r="R62" s="223"/>
      <c r="S62" s="223"/>
      <c r="T62" s="222">
        <v>28000000</v>
      </c>
      <c r="U62" s="222">
        <v>0</v>
      </c>
      <c r="V62" s="222">
        <v>28000000</v>
      </c>
      <c r="W62" s="224">
        <v>0</v>
      </c>
      <c r="X62" s="222">
        <v>0</v>
      </c>
      <c r="Y62" s="222">
        <v>0</v>
      </c>
      <c r="Z62" s="224">
        <v>0</v>
      </c>
      <c r="AA62" s="222">
        <v>0</v>
      </c>
      <c r="AB62" s="222">
        <v>0</v>
      </c>
      <c r="AC62" s="224">
        <v>0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">
        <v>578</v>
      </c>
      <c r="B63" s="217" t="s">
        <v>579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35000000</v>
      </c>
      <c r="O63" s="222"/>
      <c r="P63" s="222"/>
      <c r="Q63" s="222"/>
      <c r="R63" s="222"/>
      <c r="S63" s="223"/>
      <c r="T63" s="222">
        <v>35000000</v>
      </c>
      <c r="U63" s="222">
        <v>0</v>
      </c>
      <c r="V63" s="222">
        <v>35000000</v>
      </c>
      <c r="W63" s="224">
        <v>0</v>
      </c>
      <c r="X63" s="222">
        <v>0</v>
      </c>
      <c r="Y63" s="222">
        <v>0</v>
      </c>
      <c r="Z63" s="224">
        <v>0</v>
      </c>
      <c r="AA63" s="222">
        <v>0</v>
      </c>
      <c r="AB63" s="222">
        <v>0</v>
      </c>
      <c r="AC63" s="224">
        <v>0</v>
      </c>
    </row>
    <row r="64" spans="1:52" s="64" customFormat="1" ht="27.75" customHeight="1">
      <c r="A64" s="241" t="s">
        <v>580</v>
      </c>
      <c r="B64" s="242" t="s">
        <v>581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/>
      <c r="O64" s="222"/>
      <c r="P64" s="222"/>
      <c r="Q64" s="222"/>
      <c r="R64" s="222"/>
      <c r="S64" s="223"/>
      <c r="T64" s="222">
        <v>0</v>
      </c>
      <c r="U64" s="222">
        <v>0</v>
      </c>
      <c r="V64" s="222">
        <v>0</v>
      </c>
      <c r="W64" s="224">
        <v>0</v>
      </c>
      <c r="X64" s="222">
        <v>0</v>
      </c>
      <c r="Y64" s="222">
        <v>0</v>
      </c>
      <c r="Z64" s="224">
        <v>0</v>
      </c>
      <c r="AA64" s="222">
        <v>0</v>
      </c>
      <c r="AB64" s="222">
        <v>0</v>
      </c>
      <c r="AC64" s="224">
        <v>0</v>
      </c>
    </row>
    <row r="65" spans="1:29" ht="24.95" customHeight="1">
      <c r="A65" s="32" t="s">
        <v>388</v>
      </c>
      <c r="B65" s="203" t="s">
        <v>389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v>41633116923</v>
      </c>
      <c r="O65" s="208">
        <v>0</v>
      </c>
      <c r="P65" s="208">
        <v>0</v>
      </c>
      <c r="Q65" s="208">
        <v>184500</v>
      </c>
      <c r="R65" s="208">
        <v>184500</v>
      </c>
      <c r="S65" s="208">
        <v>0</v>
      </c>
      <c r="T65" s="208">
        <v>41633116923</v>
      </c>
      <c r="U65" s="208">
        <v>28925441624.870003</v>
      </c>
      <c r="V65" s="208">
        <v>12707675298.130001</v>
      </c>
      <c r="W65" s="209">
        <v>0.69477002354561379</v>
      </c>
      <c r="X65" s="208">
        <v>1408695693</v>
      </c>
      <c r="Y65" s="208">
        <v>27516745931.870003</v>
      </c>
      <c r="Z65" s="209">
        <v>0.95129907742570785</v>
      </c>
      <c r="AA65" s="208">
        <v>1398060167</v>
      </c>
      <c r="AB65" s="208">
        <v>10635526</v>
      </c>
      <c r="AC65" s="209">
        <v>4.8333234981551752E-2</v>
      </c>
    </row>
    <row r="66" spans="1:29" ht="54" customHeight="1">
      <c r="A66" s="32" t="s">
        <v>390</v>
      </c>
      <c r="B66" s="210" t="s">
        <v>391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v>4648096573</v>
      </c>
      <c r="O66" s="215">
        <v>0</v>
      </c>
      <c r="P66" s="215">
        <v>0</v>
      </c>
      <c r="Q66" s="215">
        <v>184500</v>
      </c>
      <c r="R66" s="215">
        <v>0</v>
      </c>
      <c r="S66" s="215">
        <v>0</v>
      </c>
      <c r="T66" s="215">
        <v>4648281073</v>
      </c>
      <c r="U66" s="215">
        <v>2705250357</v>
      </c>
      <c r="V66" s="215">
        <v>1943030716</v>
      </c>
      <c r="W66" s="216">
        <v>0.58198940952897926</v>
      </c>
      <c r="X66" s="215">
        <v>69061000</v>
      </c>
      <c r="Y66" s="215">
        <v>2636189357</v>
      </c>
      <c r="Z66" s="216">
        <v>0.9744714939889757</v>
      </c>
      <c r="AA66" s="215">
        <v>64726936</v>
      </c>
      <c r="AB66" s="215">
        <v>4334064</v>
      </c>
      <c r="AC66" s="216">
        <v>2.3926412515764064E-2</v>
      </c>
    </row>
    <row r="67" spans="1:29" ht="24.95" customHeight="1">
      <c r="A67" s="32" t="s">
        <v>582</v>
      </c>
      <c r="B67" s="217" t="s">
        <v>583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v>12000000</v>
      </c>
      <c r="U67" s="222"/>
      <c r="V67" s="222">
        <v>12000000</v>
      </c>
      <c r="W67" s="224">
        <v>0</v>
      </c>
      <c r="X67" s="222"/>
      <c r="Y67" s="222">
        <v>0</v>
      </c>
      <c r="Z67" s="224">
        <v>0</v>
      </c>
      <c r="AA67" s="222"/>
      <c r="AB67" s="222">
        <v>0</v>
      </c>
      <c r="AC67" s="224">
        <v>0</v>
      </c>
    </row>
    <row r="68" spans="1:29" ht="24.95" customHeight="1">
      <c r="A68" s="32" t="s">
        <v>584</v>
      </c>
      <c r="B68" s="217" t="s">
        <v>585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1885720708</v>
      </c>
      <c r="O68" s="222"/>
      <c r="P68" s="222"/>
      <c r="Q68" s="222">
        <v>184500</v>
      </c>
      <c r="R68" s="223"/>
      <c r="S68" s="223"/>
      <c r="T68" s="222">
        <v>1885905208</v>
      </c>
      <c r="U68" s="222">
        <v>1368178923</v>
      </c>
      <c r="V68" s="222">
        <v>517726285</v>
      </c>
      <c r="W68" s="224">
        <v>0.72547597683923459</v>
      </c>
      <c r="X68" s="222">
        <v>0</v>
      </c>
      <c r="Y68" s="222">
        <v>1368178923</v>
      </c>
      <c r="Z68" s="224">
        <v>1</v>
      </c>
      <c r="AA68" s="222">
        <v>0</v>
      </c>
      <c r="AB68" s="222">
        <v>0</v>
      </c>
      <c r="AC68" s="224">
        <v>0</v>
      </c>
    </row>
    <row r="69" spans="1:29" ht="24.95" customHeight="1">
      <c r="A69" s="32" t="s">
        <v>586</v>
      </c>
      <c r="B69" s="217" t="s">
        <v>587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62000000</v>
      </c>
      <c r="O69" s="222"/>
      <c r="P69" s="222"/>
      <c r="Q69" s="223"/>
      <c r="R69" s="223"/>
      <c r="S69" s="223"/>
      <c r="T69" s="222">
        <v>62000000</v>
      </c>
      <c r="U69" s="222">
        <v>0</v>
      </c>
      <c r="V69" s="222">
        <v>62000000</v>
      </c>
      <c r="W69" s="224">
        <v>0</v>
      </c>
      <c r="X69" s="222">
        <v>0</v>
      </c>
      <c r="Y69" s="222">
        <v>0</v>
      </c>
      <c r="Z69" s="224">
        <v>0</v>
      </c>
      <c r="AA69" s="222">
        <v>0</v>
      </c>
      <c r="AB69" s="222">
        <v>0</v>
      </c>
      <c r="AC69" s="224">
        <v>0</v>
      </c>
    </row>
    <row r="70" spans="1:29" ht="24.95" customHeight="1">
      <c r="A70" s="32" t="s">
        <v>588</v>
      </c>
      <c r="B70" s="217" t="s">
        <v>589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/>
      <c r="O70" s="222"/>
      <c r="P70" s="222"/>
      <c r="Q70" s="223"/>
      <c r="R70" s="223"/>
      <c r="S70" s="223"/>
      <c r="T70" s="222">
        <v>0</v>
      </c>
      <c r="U70" s="222">
        <v>0</v>
      </c>
      <c r="V70" s="222">
        <v>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</row>
    <row r="71" spans="1:29" ht="24.95" customHeight="1">
      <c r="A71" s="32" t="s">
        <v>590</v>
      </c>
      <c r="B71" s="217" t="s">
        <v>591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1588375865</v>
      </c>
      <c r="O71" s="222"/>
      <c r="P71" s="222"/>
      <c r="Q71" s="222"/>
      <c r="R71" s="223"/>
      <c r="S71" s="223"/>
      <c r="T71" s="222">
        <v>1588375865</v>
      </c>
      <c r="U71" s="222">
        <v>1266622112</v>
      </c>
      <c r="V71" s="222">
        <v>321753753</v>
      </c>
      <c r="W71" s="224">
        <v>0.79743223245210915</v>
      </c>
      <c r="X71" s="222">
        <v>0</v>
      </c>
      <c r="Y71" s="222">
        <v>1266622112</v>
      </c>
      <c r="Z71" s="224">
        <v>1</v>
      </c>
      <c r="AA71" s="222">
        <v>0</v>
      </c>
      <c r="AB71" s="222">
        <v>0</v>
      </c>
      <c r="AC71" s="224">
        <v>0</v>
      </c>
    </row>
    <row r="72" spans="1:29" ht="27" customHeight="1">
      <c r="A72" s="32" t="s">
        <v>592</v>
      </c>
      <c r="B72" s="217" t="s">
        <v>593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1100000000</v>
      </c>
      <c r="O72" s="222"/>
      <c r="P72" s="222"/>
      <c r="Q72" s="223"/>
      <c r="R72" s="223"/>
      <c r="S72" s="223"/>
      <c r="T72" s="222">
        <v>1100000000</v>
      </c>
      <c r="U72" s="222">
        <v>70449322</v>
      </c>
      <c r="V72" s="222">
        <v>1029550678</v>
      </c>
      <c r="W72" s="224">
        <v>6.4044838181818178E-2</v>
      </c>
      <c r="X72" s="222">
        <v>69061000</v>
      </c>
      <c r="Y72" s="222">
        <v>1388322</v>
      </c>
      <c r="Z72" s="224">
        <v>1.9706676524154483E-2</v>
      </c>
      <c r="AA72" s="222">
        <v>64726936</v>
      </c>
      <c r="AB72" s="222">
        <v>4334064</v>
      </c>
      <c r="AC72" s="224">
        <v>0.91877301530311395</v>
      </c>
    </row>
    <row r="73" spans="1:29" ht="43.5" customHeight="1">
      <c r="A73" s="32" t="s">
        <v>392</v>
      </c>
      <c r="B73" s="210" t="s">
        <v>393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v>15081981155</v>
      </c>
      <c r="O73" s="215">
        <v>0</v>
      </c>
      <c r="P73" s="215">
        <v>0</v>
      </c>
      <c r="Q73" s="215">
        <v>0</v>
      </c>
      <c r="R73" s="215">
        <v>0</v>
      </c>
      <c r="S73" s="215">
        <v>0</v>
      </c>
      <c r="T73" s="215">
        <v>15081981155</v>
      </c>
      <c r="U73" s="215">
        <v>14365339239</v>
      </c>
      <c r="V73" s="215">
        <v>716641916</v>
      </c>
      <c r="W73" s="216">
        <v>0.95248356905933296</v>
      </c>
      <c r="X73" s="215">
        <v>1200148479</v>
      </c>
      <c r="Y73" s="215">
        <v>13165190760</v>
      </c>
      <c r="Z73" s="216">
        <v>0.91645526367092289</v>
      </c>
      <c r="AA73" s="215">
        <v>1194315312</v>
      </c>
      <c r="AB73" s="215">
        <v>5833167</v>
      </c>
      <c r="AC73" s="216">
        <v>8.3138677905885541E-2</v>
      </c>
    </row>
    <row r="74" spans="1:29" ht="24.95" customHeight="1">
      <c r="A74" s="32" t="s">
        <v>594</v>
      </c>
      <c r="B74" s="217" t="s">
        <v>595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520000000</v>
      </c>
      <c r="O74" s="222"/>
      <c r="P74" s="222"/>
      <c r="Q74" s="222"/>
      <c r="R74" s="223"/>
      <c r="S74" s="223"/>
      <c r="T74" s="222">
        <v>520000000</v>
      </c>
      <c r="U74" s="222"/>
      <c r="V74" s="222">
        <v>520000000</v>
      </c>
      <c r="W74" s="224">
        <v>0</v>
      </c>
      <c r="X74" s="222"/>
      <c r="Y74" s="222">
        <v>0</v>
      </c>
      <c r="Z74" s="224">
        <v>0</v>
      </c>
      <c r="AA74" s="222"/>
      <c r="AB74" s="222">
        <v>0</v>
      </c>
      <c r="AC74" s="224">
        <v>0</v>
      </c>
    </row>
    <row r="75" spans="1:29" ht="24.95" customHeight="1">
      <c r="A75" s="32" t="s">
        <v>596</v>
      </c>
      <c r="B75" s="217" t="s">
        <v>597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14561981155</v>
      </c>
      <c r="O75" s="222"/>
      <c r="P75" s="222"/>
      <c r="Q75" s="222"/>
      <c r="R75" s="223"/>
      <c r="S75" s="223"/>
      <c r="T75" s="222">
        <v>14561981155</v>
      </c>
      <c r="U75" s="222">
        <v>14365339239</v>
      </c>
      <c r="V75" s="222">
        <v>196641916</v>
      </c>
      <c r="W75" s="224">
        <v>0.98649621133917753</v>
      </c>
      <c r="X75" s="222">
        <v>1200148479</v>
      </c>
      <c r="Y75" s="222">
        <v>13165190760</v>
      </c>
      <c r="Z75" s="224">
        <v>0.91645526367092289</v>
      </c>
      <c r="AA75" s="222">
        <v>1194315312</v>
      </c>
      <c r="AB75" s="222">
        <v>5833167</v>
      </c>
      <c r="AC75" s="224">
        <v>8.3138677905885541E-2</v>
      </c>
    </row>
    <row r="76" spans="1:29" ht="24.95" customHeight="1">
      <c r="A76" s="32" t="s">
        <v>394</v>
      </c>
      <c r="B76" s="210" t="s">
        <v>395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v>18842006651</v>
      </c>
      <c r="O76" s="215">
        <v>0</v>
      </c>
      <c r="P76" s="215">
        <v>0</v>
      </c>
      <c r="Q76" s="215">
        <v>0</v>
      </c>
      <c r="R76" s="215">
        <v>0</v>
      </c>
      <c r="S76" s="215">
        <v>0</v>
      </c>
      <c r="T76" s="215">
        <v>18842006651</v>
      </c>
      <c r="U76" s="215">
        <v>10870791916.870001</v>
      </c>
      <c r="V76" s="215">
        <v>7971214734.1300001</v>
      </c>
      <c r="W76" s="216">
        <v>0.5769444899486359</v>
      </c>
      <c r="X76" s="215">
        <v>137178090</v>
      </c>
      <c r="Y76" s="215">
        <v>10733613826.870001</v>
      </c>
      <c r="Z76" s="216">
        <v>0.98738103984980907</v>
      </c>
      <c r="AA76" s="215">
        <v>136914402</v>
      </c>
      <c r="AB76" s="215">
        <v>263688</v>
      </c>
      <c r="AC76" s="216">
        <v>1.2594703591697615E-2</v>
      </c>
    </row>
    <row r="77" spans="1:29" ht="24.95" customHeight="1">
      <c r="A77" s="32" t="s">
        <v>598</v>
      </c>
      <c r="B77" s="217" t="s">
        <v>599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49955000</v>
      </c>
      <c r="O77" s="222"/>
      <c r="P77" s="222"/>
      <c r="Q77" s="223"/>
      <c r="R77" s="223"/>
      <c r="S77" s="223"/>
      <c r="T77" s="222">
        <v>49955000</v>
      </c>
      <c r="U77" s="222">
        <v>0</v>
      </c>
      <c r="V77" s="222">
        <v>49955000</v>
      </c>
      <c r="W77" s="224">
        <v>0</v>
      </c>
      <c r="X77" s="222">
        <v>0</v>
      </c>
      <c r="Y77" s="222">
        <v>0</v>
      </c>
      <c r="Z77" s="224">
        <v>0</v>
      </c>
      <c r="AA77" s="222">
        <v>0</v>
      </c>
      <c r="AB77" s="222">
        <v>0</v>
      </c>
      <c r="AC77" s="224">
        <v>0</v>
      </c>
    </row>
    <row r="78" spans="1:29" ht="24.95" customHeight="1">
      <c r="A78" s="32" t="s">
        <v>600</v>
      </c>
      <c r="B78" s="217" t="s">
        <v>601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10819632797</v>
      </c>
      <c r="O78" s="222"/>
      <c r="P78" s="222"/>
      <c r="Q78" s="222"/>
      <c r="R78" s="223"/>
      <c r="S78" s="223"/>
      <c r="T78" s="222">
        <v>10819632797</v>
      </c>
      <c r="U78" s="222">
        <v>8983627188</v>
      </c>
      <c r="V78" s="222">
        <v>1836005609</v>
      </c>
      <c r="W78" s="224">
        <v>0.83030795559817183</v>
      </c>
      <c r="X78" s="222">
        <v>0</v>
      </c>
      <c r="Y78" s="222">
        <v>8983627188</v>
      </c>
      <c r="Z78" s="224">
        <v>1</v>
      </c>
      <c r="AA78" s="222">
        <v>0</v>
      </c>
      <c r="AB78" s="222">
        <v>0</v>
      </c>
      <c r="AC78" s="224">
        <v>0</v>
      </c>
    </row>
    <row r="79" spans="1:29" ht="24" customHeight="1">
      <c r="A79" s="32" t="s">
        <v>602</v>
      </c>
      <c r="B79" s="217" t="s">
        <v>603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2518099374</v>
      </c>
      <c r="O79" s="222"/>
      <c r="P79" s="222"/>
      <c r="Q79" s="222"/>
      <c r="R79" s="223"/>
      <c r="S79" s="223"/>
      <c r="T79" s="223">
        <v>2518099374</v>
      </c>
      <c r="U79" s="222">
        <v>302275693.87</v>
      </c>
      <c r="V79" s="222">
        <v>2215823680.1300001</v>
      </c>
      <c r="W79" s="224">
        <v>0.1200412092513391</v>
      </c>
      <c r="X79" s="222">
        <v>137178090</v>
      </c>
      <c r="Y79" s="222">
        <v>165097603.87</v>
      </c>
      <c r="Z79" s="224">
        <v>0.54618220127551398</v>
      </c>
      <c r="AA79" s="222">
        <v>136914402</v>
      </c>
      <c r="AB79" s="222">
        <v>263688</v>
      </c>
      <c r="AC79" s="224">
        <v>0.45294545600772951</v>
      </c>
    </row>
    <row r="80" spans="1:29" ht="24.95" customHeight="1">
      <c r="A80" s="32" t="s">
        <v>604</v>
      </c>
      <c r="B80" s="217" t="s">
        <v>605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4954700583</v>
      </c>
      <c r="O80" s="222"/>
      <c r="P80" s="222"/>
      <c r="Q80" s="223"/>
      <c r="R80" s="222"/>
      <c r="S80" s="223"/>
      <c r="T80" s="222">
        <v>4954700583</v>
      </c>
      <c r="U80" s="222">
        <v>1503770138</v>
      </c>
      <c r="V80" s="222">
        <v>3450930445</v>
      </c>
      <c r="W80" s="224">
        <v>0.3035037360601695</v>
      </c>
      <c r="X80" s="222">
        <v>0</v>
      </c>
      <c r="Y80" s="222">
        <v>1503770138</v>
      </c>
      <c r="Z80" s="224">
        <v>1</v>
      </c>
      <c r="AA80" s="222">
        <v>0</v>
      </c>
      <c r="AB80" s="222">
        <v>0</v>
      </c>
      <c r="AC80" s="224">
        <v>0</v>
      </c>
    </row>
    <row r="81" spans="1:52" ht="28.5" customHeight="1">
      <c r="A81" s="32" t="s">
        <v>606</v>
      </c>
      <c r="B81" s="217" t="s">
        <v>607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396618897</v>
      </c>
      <c r="O81" s="222"/>
      <c r="P81" s="222"/>
      <c r="Q81" s="223"/>
      <c r="R81" s="223"/>
      <c r="S81" s="223"/>
      <c r="T81" s="222">
        <v>396618897</v>
      </c>
      <c r="U81" s="222">
        <v>81118897</v>
      </c>
      <c r="V81" s="222">
        <v>315500000</v>
      </c>
      <c r="W81" s="224">
        <v>0.20452605161674886</v>
      </c>
      <c r="X81" s="222">
        <v>0</v>
      </c>
      <c r="Y81" s="222">
        <v>81118897</v>
      </c>
      <c r="Z81" s="224">
        <v>1</v>
      </c>
      <c r="AA81" s="222">
        <v>0</v>
      </c>
      <c r="AB81" s="222">
        <v>0</v>
      </c>
      <c r="AC81" s="224">
        <v>0</v>
      </c>
    </row>
    <row r="82" spans="1:52" s="250" customFormat="1" ht="28.5" customHeight="1">
      <c r="A82" s="32" t="s">
        <v>608</v>
      </c>
      <c r="B82" s="217" t="s">
        <v>609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103000000</v>
      </c>
      <c r="O82" s="222"/>
      <c r="P82" s="222"/>
      <c r="Q82" s="223"/>
      <c r="R82" s="223"/>
      <c r="S82" s="223"/>
      <c r="T82" s="222">
        <v>103000000</v>
      </c>
      <c r="U82" s="222">
        <v>0</v>
      </c>
      <c r="V82" s="222">
        <v>103000000</v>
      </c>
      <c r="W82" s="224">
        <v>0</v>
      </c>
      <c r="X82" s="222">
        <v>0</v>
      </c>
      <c r="Y82" s="222">
        <v>0</v>
      </c>
      <c r="Z82" s="224">
        <v>0</v>
      </c>
      <c r="AA82" s="222">
        <v>0</v>
      </c>
      <c r="AB82" s="222">
        <v>0</v>
      </c>
      <c r="AC82" s="224">
        <v>0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">
        <v>396</v>
      </c>
      <c r="B83" s="210" t="s">
        <v>397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v>2327016750</v>
      </c>
      <c r="O83" s="215">
        <v>0</v>
      </c>
      <c r="P83" s="215">
        <v>0</v>
      </c>
      <c r="Q83" s="215">
        <v>0</v>
      </c>
      <c r="R83" s="215">
        <v>0</v>
      </c>
      <c r="S83" s="215">
        <v>0</v>
      </c>
      <c r="T83" s="215">
        <v>2327016750</v>
      </c>
      <c r="U83" s="215">
        <v>938925413</v>
      </c>
      <c r="V83" s="215">
        <v>1388091337</v>
      </c>
      <c r="W83" s="216">
        <v>0.40348889323637227</v>
      </c>
      <c r="X83" s="215">
        <v>2308124</v>
      </c>
      <c r="Y83" s="215">
        <v>936617289</v>
      </c>
      <c r="Z83" s="216">
        <v>0.99754173870677842</v>
      </c>
      <c r="AA83" s="215">
        <v>2103517</v>
      </c>
      <c r="AB83" s="215">
        <v>204607</v>
      </c>
      <c r="AC83" s="216">
        <v>2.2403451550842197E-3</v>
      </c>
    </row>
    <row r="84" spans="1:52" ht="24.95" customHeight="1">
      <c r="A84" s="32" t="s">
        <v>610</v>
      </c>
      <c r="B84" s="217" t="s">
        <v>611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992069874</v>
      </c>
      <c r="O84" s="222"/>
      <c r="P84" s="222"/>
      <c r="Q84" s="223"/>
      <c r="R84" s="223"/>
      <c r="S84" s="223"/>
      <c r="T84" s="222">
        <v>992069874</v>
      </c>
      <c r="U84" s="222">
        <v>342069874</v>
      </c>
      <c r="V84" s="222">
        <v>650000000</v>
      </c>
      <c r="W84" s="224">
        <v>0.34480421486924417</v>
      </c>
      <c r="X84" s="222">
        <v>0</v>
      </c>
      <c r="Y84" s="222">
        <v>342069874</v>
      </c>
      <c r="Z84" s="224">
        <v>1</v>
      </c>
      <c r="AA84" s="222">
        <v>0</v>
      </c>
      <c r="AB84" s="222">
        <v>0</v>
      </c>
      <c r="AC84" s="224">
        <v>0</v>
      </c>
    </row>
    <row r="85" spans="1:52" ht="34.5" customHeight="1">
      <c r="A85" s="32" t="s">
        <v>612</v>
      </c>
      <c r="B85" s="217" t="s">
        <v>613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364946876</v>
      </c>
      <c r="O85" s="222"/>
      <c r="P85" s="222"/>
      <c r="Q85" s="223"/>
      <c r="R85" s="223"/>
      <c r="S85" s="223"/>
      <c r="T85" s="222">
        <v>364946876</v>
      </c>
      <c r="U85" s="222">
        <v>139946876</v>
      </c>
      <c r="V85" s="222">
        <v>225000000</v>
      </c>
      <c r="W85" s="224">
        <v>0.38347191112823775</v>
      </c>
      <c r="X85" s="222">
        <v>0</v>
      </c>
      <c r="Y85" s="222">
        <v>139946876</v>
      </c>
      <c r="Z85" s="224">
        <v>1</v>
      </c>
      <c r="AA85" s="222">
        <v>0</v>
      </c>
      <c r="AB85" s="222">
        <v>0</v>
      </c>
      <c r="AC85" s="224">
        <v>0</v>
      </c>
    </row>
    <row r="86" spans="1:52" ht="49.5">
      <c r="A86" s="32" t="s">
        <v>614</v>
      </c>
      <c r="B86" s="217" t="s">
        <v>615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115000000</v>
      </c>
      <c r="O86" s="222"/>
      <c r="P86" s="222"/>
      <c r="Q86" s="223"/>
      <c r="R86" s="223"/>
      <c r="S86" s="223"/>
      <c r="T86" s="222">
        <v>115000000</v>
      </c>
      <c r="U86" s="222">
        <v>6908663</v>
      </c>
      <c r="V86" s="222">
        <v>108091337</v>
      </c>
      <c r="W86" s="224">
        <v>6.0075330434782609E-2</v>
      </c>
      <c r="X86" s="222">
        <v>2308124</v>
      </c>
      <c r="Y86" s="222">
        <v>4600539</v>
      </c>
      <c r="Z86" s="224">
        <v>0.66590872937354162</v>
      </c>
      <c r="AA86" s="222">
        <v>2103517</v>
      </c>
      <c r="AB86" s="222">
        <v>204607</v>
      </c>
      <c r="AC86" s="224">
        <v>0.30447526532991986</v>
      </c>
    </row>
    <row r="87" spans="1:52" ht="24.95" customHeight="1">
      <c r="A87" s="32" t="s">
        <v>616</v>
      </c>
      <c r="B87" s="217" t="s">
        <v>617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830000000</v>
      </c>
      <c r="O87" s="222"/>
      <c r="P87" s="222"/>
      <c r="Q87" s="223"/>
      <c r="R87" s="223"/>
      <c r="S87" s="223"/>
      <c r="T87" s="222">
        <v>830000000</v>
      </c>
      <c r="U87" s="222">
        <v>450000000</v>
      </c>
      <c r="V87" s="222">
        <v>380000000</v>
      </c>
      <c r="W87" s="224">
        <v>0.54216867469879515</v>
      </c>
      <c r="X87" s="222">
        <v>0</v>
      </c>
      <c r="Y87" s="222">
        <v>450000000</v>
      </c>
      <c r="Z87" s="224">
        <v>1</v>
      </c>
      <c r="AA87" s="222">
        <v>0</v>
      </c>
      <c r="AB87" s="222">
        <v>0</v>
      </c>
      <c r="AC87" s="224">
        <v>0</v>
      </c>
    </row>
    <row r="88" spans="1:52" ht="24.95" customHeight="1">
      <c r="A88" s="32" t="s">
        <v>618</v>
      </c>
      <c r="B88" s="217" t="s">
        <v>619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25000000</v>
      </c>
      <c r="O88" s="222"/>
      <c r="P88" s="222"/>
      <c r="Q88" s="223"/>
      <c r="R88" s="223"/>
      <c r="S88" s="223"/>
      <c r="T88" s="222">
        <v>25000000</v>
      </c>
      <c r="U88" s="222">
        <v>0</v>
      </c>
      <c r="V88" s="222">
        <v>25000000</v>
      </c>
      <c r="W88" s="224">
        <v>0</v>
      </c>
      <c r="X88" s="222">
        <v>0</v>
      </c>
      <c r="Y88" s="222">
        <v>0</v>
      </c>
      <c r="Z88" s="224">
        <v>0</v>
      </c>
      <c r="AA88" s="222">
        <v>0</v>
      </c>
      <c r="AB88" s="222">
        <v>0</v>
      </c>
      <c r="AC88" s="224">
        <v>0</v>
      </c>
    </row>
    <row r="89" spans="1:52" s="90" customFormat="1" ht="24.95" customHeight="1">
      <c r="A89" s="32" t="s">
        <v>398</v>
      </c>
      <c r="B89" s="251" t="s">
        <v>399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734015794</v>
      </c>
      <c r="O89" s="254"/>
      <c r="P89" s="254"/>
      <c r="Q89" s="254"/>
      <c r="R89" s="254">
        <v>184500</v>
      </c>
      <c r="S89" s="254"/>
      <c r="T89" s="254">
        <v>733831294</v>
      </c>
      <c r="U89" s="254">
        <v>45134699</v>
      </c>
      <c r="V89" s="254">
        <v>688696595</v>
      </c>
      <c r="W89" s="255">
        <v>6.1505552255720512E-2</v>
      </c>
      <c r="X89" s="254">
        <v>0</v>
      </c>
      <c r="Y89" s="254">
        <v>45134699</v>
      </c>
      <c r="Z89" s="255">
        <v>1</v>
      </c>
      <c r="AA89" s="254">
        <v>0</v>
      </c>
      <c r="AB89" s="254">
        <v>0</v>
      </c>
      <c r="AC89" s="255">
        <v>0</v>
      </c>
    </row>
    <row r="90" spans="1:52" ht="35.1" customHeight="1">
      <c r="A90" s="32" t="s">
        <v>400</v>
      </c>
      <c r="B90" s="188" t="s">
        <v>401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v>25816000000</v>
      </c>
      <c r="O90" s="194">
        <v>0</v>
      </c>
      <c r="P90" s="194">
        <v>0</v>
      </c>
      <c r="Q90" s="194">
        <v>0</v>
      </c>
      <c r="R90" s="194">
        <v>0</v>
      </c>
      <c r="S90" s="194">
        <v>22607000000</v>
      </c>
      <c r="T90" s="194">
        <v>3209000000</v>
      </c>
      <c r="U90" s="194">
        <v>57999190</v>
      </c>
      <c r="V90" s="194">
        <v>3151000810</v>
      </c>
      <c r="W90" s="195">
        <v>1.8073913991897787E-2</v>
      </c>
      <c r="X90" s="194">
        <v>36923751</v>
      </c>
      <c r="Y90" s="194">
        <v>21075439</v>
      </c>
      <c r="Z90" s="195">
        <v>0.36337471264684901</v>
      </c>
      <c r="AA90" s="194">
        <v>36923751</v>
      </c>
      <c r="AB90" s="194">
        <v>0</v>
      </c>
      <c r="AC90" s="195">
        <v>0.63662528735315094</v>
      </c>
    </row>
    <row r="91" spans="1:52" ht="24.95" customHeight="1">
      <c r="A91" s="32" t="s">
        <v>620</v>
      </c>
      <c r="B91" s="196" t="s">
        <v>621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v>22607000000</v>
      </c>
      <c r="O91" s="201">
        <v>0</v>
      </c>
      <c r="P91" s="201">
        <v>0</v>
      </c>
      <c r="Q91" s="201">
        <v>0</v>
      </c>
      <c r="R91" s="201">
        <v>0</v>
      </c>
      <c r="S91" s="201">
        <v>22607000000</v>
      </c>
      <c r="T91" s="201">
        <v>0</v>
      </c>
      <c r="U91" s="201">
        <v>0</v>
      </c>
      <c r="V91" s="201">
        <v>0</v>
      </c>
      <c r="W91" s="202">
        <v>0</v>
      </c>
      <c r="X91" s="201">
        <v>0</v>
      </c>
      <c r="Y91" s="201">
        <v>0</v>
      </c>
      <c r="Z91" s="202">
        <v>0</v>
      </c>
      <c r="AA91" s="201">
        <v>0</v>
      </c>
      <c r="AB91" s="201">
        <v>0</v>
      </c>
      <c r="AC91" s="202">
        <v>0</v>
      </c>
    </row>
    <row r="92" spans="1:52" s="64" customFormat="1" ht="24.95" customHeight="1">
      <c r="A92" s="32" t="s">
        <v>622</v>
      </c>
      <c r="B92" s="203" t="s">
        <v>623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v>22607000000</v>
      </c>
      <c r="O92" s="208">
        <v>0</v>
      </c>
      <c r="P92" s="208">
        <v>0</v>
      </c>
      <c r="Q92" s="208">
        <v>0</v>
      </c>
      <c r="R92" s="208">
        <v>0</v>
      </c>
      <c r="S92" s="208">
        <v>22607000000</v>
      </c>
      <c r="T92" s="208">
        <v>0</v>
      </c>
      <c r="U92" s="208">
        <v>0</v>
      </c>
      <c r="V92" s="208">
        <v>0</v>
      </c>
      <c r="W92" s="209">
        <v>0</v>
      </c>
      <c r="X92" s="208">
        <v>0</v>
      </c>
      <c r="Y92" s="208">
        <v>0</v>
      </c>
      <c r="Z92" s="209">
        <v>0</v>
      </c>
      <c r="AA92" s="208">
        <v>0</v>
      </c>
      <c r="AB92" s="208">
        <v>0</v>
      </c>
      <c r="AC92" s="209">
        <v>0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3"/>
      <c r="O93" s="222"/>
      <c r="P93" s="222"/>
      <c r="Q93" s="222"/>
      <c r="R93" s="222"/>
      <c r="S93" s="222"/>
      <c r="T93" s="223">
        <v>0</v>
      </c>
      <c r="U93" s="223"/>
      <c r="V93" s="222">
        <v>0</v>
      </c>
      <c r="W93" s="224">
        <v>0</v>
      </c>
      <c r="X93" s="222"/>
      <c r="Y93" s="222">
        <v>0</v>
      </c>
      <c r="Z93" s="224">
        <v>0</v>
      </c>
      <c r="AA93" s="222"/>
      <c r="AB93" s="222">
        <v>0</v>
      </c>
      <c r="AC93" s="224">
        <v>0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19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132</v>
      </c>
      <c r="N94" s="223"/>
      <c r="O94" s="222"/>
      <c r="P94" s="222"/>
      <c r="Q94" s="222"/>
      <c r="R94" s="222"/>
      <c r="S94" s="222"/>
      <c r="T94" s="223">
        <v>0</v>
      </c>
      <c r="U94" s="223"/>
      <c r="V94" s="222">
        <v>0</v>
      </c>
      <c r="W94" s="224">
        <v>0</v>
      </c>
      <c r="X94" s="222"/>
      <c r="Y94" s="222">
        <v>0</v>
      </c>
      <c r="Z94" s="224">
        <v>0</v>
      </c>
      <c r="AA94" s="222"/>
      <c r="AB94" s="222">
        <v>0</v>
      </c>
      <c r="AC94" s="224">
        <v>0</v>
      </c>
    </row>
    <row r="95" spans="1:52" ht="24.95" customHeight="1">
      <c r="A95" s="32" t="s">
        <v>626</v>
      </c>
      <c r="B95" s="217" t="s">
        <v>627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3">
        <v>11607000000</v>
      </c>
      <c r="O95" s="222"/>
      <c r="P95" s="222"/>
      <c r="Q95" s="222"/>
      <c r="R95" s="222"/>
      <c r="S95" s="222">
        <v>11607000000</v>
      </c>
      <c r="T95" s="223">
        <v>0</v>
      </c>
      <c r="U95" s="223"/>
      <c r="V95" s="222">
        <v>0</v>
      </c>
      <c r="W95" s="224">
        <v>0</v>
      </c>
      <c r="X95" s="222"/>
      <c r="Y95" s="222">
        <v>0</v>
      </c>
      <c r="Z95" s="224">
        <v>0</v>
      </c>
      <c r="AA95" s="222"/>
      <c r="AB95" s="222">
        <v>0</v>
      </c>
      <c r="AC95" s="224">
        <v>0</v>
      </c>
    </row>
    <row r="96" spans="1:52" ht="24.95" customHeight="1">
      <c r="A96" s="32" t="s">
        <v>780</v>
      </c>
      <c r="B96" s="217" t="s">
        <v>627</v>
      </c>
      <c r="C96" s="218" t="s">
        <v>23</v>
      </c>
      <c r="D96" s="219" t="s">
        <v>65</v>
      </c>
      <c r="E96" s="219" t="s">
        <v>65</v>
      </c>
      <c r="F96" s="219" t="s">
        <v>25</v>
      </c>
      <c r="G96" s="219" t="s">
        <v>134</v>
      </c>
      <c r="H96" s="219"/>
      <c r="I96" s="219"/>
      <c r="J96" s="219"/>
      <c r="K96" s="220">
        <v>11</v>
      </c>
      <c r="L96" s="221" t="s">
        <v>29</v>
      </c>
      <c r="M96" s="217" t="s">
        <v>135</v>
      </c>
      <c r="N96" s="223">
        <v>11000000000</v>
      </c>
      <c r="O96" s="222"/>
      <c r="P96" s="222"/>
      <c r="Q96" s="222"/>
      <c r="R96" s="222"/>
      <c r="S96" s="222">
        <v>11000000000</v>
      </c>
      <c r="T96" s="223">
        <v>0</v>
      </c>
      <c r="U96" s="223"/>
      <c r="V96" s="222">
        <v>0</v>
      </c>
      <c r="W96" s="224">
        <v>0</v>
      </c>
      <c r="X96" s="222"/>
      <c r="Y96" s="222">
        <v>0</v>
      </c>
      <c r="Z96" s="224">
        <v>0</v>
      </c>
      <c r="AA96" s="222"/>
      <c r="AB96" s="222">
        <v>0</v>
      </c>
      <c r="AC96" s="224">
        <v>0</v>
      </c>
    </row>
    <row r="97" spans="1:52" ht="24.95" customHeight="1">
      <c r="A97" s="32" t="s">
        <v>402</v>
      </c>
      <c r="B97" s="196" t="s">
        <v>403</v>
      </c>
      <c r="C97" s="197" t="s">
        <v>23</v>
      </c>
      <c r="D97" s="198" t="s">
        <v>65</v>
      </c>
      <c r="E97" s="198" t="s">
        <v>136</v>
      </c>
      <c r="F97" s="198"/>
      <c r="G97" s="198"/>
      <c r="H97" s="198"/>
      <c r="I97" s="198"/>
      <c r="J97" s="198"/>
      <c r="K97" s="199"/>
      <c r="L97" s="200"/>
      <c r="M97" s="196" t="s">
        <v>137</v>
      </c>
      <c r="N97" s="201">
        <v>534000000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534000000</v>
      </c>
      <c r="U97" s="201">
        <v>57999190</v>
      </c>
      <c r="V97" s="201">
        <v>476000810</v>
      </c>
      <c r="W97" s="202">
        <v>0.10861271535580524</v>
      </c>
      <c r="X97" s="201">
        <v>36923751</v>
      </c>
      <c r="Y97" s="201">
        <v>21075439</v>
      </c>
      <c r="Z97" s="202">
        <v>0.36337471264684901</v>
      </c>
      <c r="AA97" s="201">
        <v>36923751</v>
      </c>
      <c r="AB97" s="201">
        <v>0</v>
      </c>
      <c r="AC97" s="202">
        <v>0.63662528735315094</v>
      </c>
    </row>
    <row r="98" spans="1:52" ht="24.95" customHeight="1">
      <c r="A98" s="32" t="s">
        <v>404</v>
      </c>
      <c r="B98" s="203" t="s">
        <v>405</v>
      </c>
      <c r="C98" s="204" t="s">
        <v>23</v>
      </c>
      <c r="D98" s="205" t="s">
        <v>65</v>
      </c>
      <c r="E98" s="205" t="s">
        <v>136</v>
      </c>
      <c r="F98" s="205" t="s">
        <v>54</v>
      </c>
      <c r="G98" s="205"/>
      <c r="H98" s="205"/>
      <c r="I98" s="205"/>
      <c r="J98" s="205"/>
      <c r="K98" s="206" t="s">
        <v>28</v>
      </c>
      <c r="L98" s="207" t="s">
        <v>29</v>
      </c>
      <c r="M98" s="203" t="s">
        <v>138</v>
      </c>
      <c r="N98" s="208">
        <v>534000000</v>
      </c>
      <c r="O98" s="208">
        <v>0</v>
      </c>
      <c r="P98" s="208">
        <v>0</v>
      </c>
      <c r="Q98" s="208">
        <v>0</v>
      </c>
      <c r="R98" s="208">
        <v>0</v>
      </c>
      <c r="S98" s="208">
        <v>0</v>
      </c>
      <c r="T98" s="208">
        <v>534000000</v>
      </c>
      <c r="U98" s="208">
        <v>57999190</v>
      </c>
      <c r="V98" s="208">
        <v>476000810</v>
      </c>
      <c r="W98" s="209">
        <v>0.10861271535580524</v>
      </c>
      <c r="X98" s="208">
        <v>36923751</v>
      </c>
      <c r="Y98" s="208">
        <v>21075439</v>
      </c>
      <c r="Z98" s="209">
        <v>0.36337471264684901</v>
      </c>
      <c r="AA98" s="208">
        <v>36923751</v>
      </c>
      <c r="AB98" s="208">
        <v>0</v>
      </c>
      <c r="AC98" s="209">
        <v>0.63662528735315094</v>
      </c>
    </row>
    <row r="99" spans="1:52" s="64" customFormat="1" ht="24.95" customHeight="1">
      <c r="A99" s="32" t="s">
        <v>406</v>
      </c>
      <c r="B99" s="210" t="s">
        <v>407</v>
      </c>
      <c r="C99" s="211" t="s">
        <v>23</v>
      </c>
      <c r="D99" s="212" t="s">
        <v>65</v>
      </c>
      <c r="E99" s="212" t="s">
        <v>136</v>
      </c>
      <c r="F99" s="212" t="s">
        <v>54</v>
      </c>
      <c r="G99" s="212" t="s">
        <v>52</v>
      </c>
      <c r="H99" s="212"/>
      <c r="I99" s="212"/>
      <c r="J99" s="212"/>
      <c r="K99" s="213" t="s">
        <v>28</v>
      </c>
      <c r="L99" s="214" t="s">
        <v>29</v>
      </c>
      <c r="M99" s="210" t="s">
        <v>139</v>
      </c>
      <c r="N99" s="215">
        <v>534000000</v>
      </c>
      <c r="O99" s="215">
        <v>0</v>
      </c>
      <c r="P99" s="215">
        <v>0</v>
      </c>
      <c r="Q99" s="215">
        <v>0</v>
      </c>
      <c r="R99" s="215">
        <v>0</v>
      </c>
      <c r="S99" s="215">
        <v>0</v>
      </c>
      <c r="T99" s="215">
        <v>534000000</v>
      </c>
      <c r="U99" s="215">
        <v>57999190</v>
      </c>
      <c r="V99" s="215">
        <v>476000810</v>
      </c>
      <c r="W99" s="216">
        <v>0.10861271535580524</v>
      </c>
      <c r="X99" s="215">
        <v>36923751</v>
      </c>
      <c r="Y99" s="215">
        <v>21075439</v>
      </c>
      <c r="Z99" s="216">
        <v>0.36337471264684901</v>
      </c>
      <c r="AA99" s="215">
        <v>36923751</v>
      </c>
      <c r="AB99" s="215">
        <v>0</v>
      </c>
      <c r="AC99" s="216">
        <v>0.63662528735315094</v>
      </c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ht="24.95" customHeight="1">
      <c r="A100" s="32" t="s">
        <v>408</v>
      </c>
      <c r="B100" s="217" t="s">
        <v>409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31</v>
      </c>
      <c r="I100" s="219"/>
      <c r="J100" s="219"/>
      <c r="K100" s="220" t="s">
        <v>28</v>
      </c>
      <c r="L100" s="221" t="s">
        <v>29</v>
      </c>
      <c r="M100" s="217" t="s">
        <v>140</v>
      </c>
      <c r="N100" s="222">
        <v>367000000</v>
      </c>
      <c r="O100" s="222"/>
      <c r="P100" s="222"/>
      <c r="Q100" s="222"/>
      <c r="R100" s="222"/>
      <c r="S100" s="222"/>
      <c r="T100" s="222">
        <v>367000000</v>
      </c>
      <c r="U100" s="222">
        <v>16656281</v>
      </c>
      <c r="V100" s="222">
        <v>350343719</v>
      </c>
      <c r="W100" s="224">
        <v>4.5384961852861033E-2</v>
      </c>
      <c r="X100" s="222">
        <v>15930472</v>
      </c>
      <c r="Y100" s="222">
        <v>725809</v>
      </c>
      <c r="Z100" s="224">
        <v>4.3575693757808238E-2</v>
      </c>
      <c r="AA100" s="222">
        <v>15930472</v>
      </c>
      <c r="AB100" s="222">
        <v>0</v>
      </c>
      <c r="AC100" s="224">
        <v>0.95642430624219177</v>
      </c>
    </row>
    <row r="101" spans="1:52" ht="24.95" customHeight="1">
      <c r="A101" s="32" t="s">
        <v>410</v>
      </c>
      <c r="B101" s="217" t="s">
        <v>411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19" t="s">
        <v>52</v>
      </c>
      <c r="H101" s="219" t="s">
        <v>34</v>
      </c>
      <c r="I101" s="219"/>
      <c r="J101" s="219"/>
      <c r="K101" s="220" t="s">
        <v>28</v>
      </c>
      <c r="L101" s="221" t="s">
        <v>29</v>
      </c>
      <c r="M101" s="217" t="s">
        <v>141</v>
      </c>
      <c r="N101" s="222">
        <v>167000000</v>
      </c>
      <c r="O101" s="222"/>
      <c r="P101" s="222"/>
      <c r="Q101" s="223"/>
      <c r="R101" s="223"/>
      <c r="S101" s="223"/>
      <c r="T101" s="222">
        <v>167000000</v>
      </c>
      <c r="U101" s="222">
        <v>41342909</v>
      </c>
      <c r="V101" s="222">
        <v>125657091</v>
      </c>
      <c r="W101" s="224">
        <v>0.24756232934131736</v>
      </c>
      <c r="X101" s="222">
        <v>20993279</v>
      </c>
      <c r="Y101" s="222">
        <v>20349630</v>
      </c>
      <c r="Z101" s="224">
        <v>0.49221572676465508</v>
      </c>
      <c r="AA101" s="222">
        <v>20993279</v>
      </c>
      <c r="AB101" s="222">
        <v>0</v>
      </c>
      <c r="AC101" s="224">
        <v>0.50778427323534492</v>
      </c>
    </row>
    <row r="102" spans="1:52" s="64" customFormat="1" ht="24.95" customHeight="1">
      <c r="A102" s="32" t="s">
        <v>412</v>
      </c>
      <c r="B102" s="217" t="s">
        <v>413</v>
      </c>
      <c r="C102" s="218" t="s">
        <v>23</v>
      </c>
      <c r="D102" s="219" t="s">
        <v>65</v>
      </c>
      <c r="E102" s="219" t="s">
        <v>136</v>
      </c>
      <c r="F102" s="219" t="s">
        <v>54</v>
      </c>
      <c r="G102" s="225" t="s">
        <v>142</v>
      </c>
      <c r="H102" s="219"/>
      <c r="I102" s="219"/>
      <c r="J102" s="219"/>
      <c r="K102" s="220" t="s">
        <v>28</v>
      </c>
      <c r="L102" s="221" t="s">
        <v>29</v>
      </c>
      <c r="M102" s="217" t="s">
        <v>260</v>
      </c>
      <c r="N102" s="222">
        <v>0</v>
      </c>
      <c r="O102" s="222"/>
      <c r="P102" s="222"/>
      <c r="Q102" s="223"/>
      <c r="R102" s="223"/>
      <c r="S102" s="223"/>
      <c r="T102" s="223">
        <v>0</v>
      </c>
      <c r="U102" s="223">
        <v>0</v>
      </c>
      <c r="V102" s="222">
        <v>0</v>
      </c>
      <c r="W102" s="224">
        <v>0</v>
      </c>
      <c r="X102" s="222">
        <v>0</v>
      </c>
      <c r="Y102" s="222">
        <v>0</v>
      </c>
      <c r="Z102" s="224">
        <v>0</v>
      </c>
      <c r="AA102" s="222">
        <v>0</v>
      </c>
      <c r="AB102" s="222">
        <v>0</v>
      </c>
      <c r="AC102" s="224">
        <v>0</v>
      </c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</row>
    <row r="103" spans="1:52" ht="24.95" customHeight="1">
      <c r="A103" s="32" t="s">
        <v>414</v>
      </c>
      <c r="B103" s="196" t="s">
        <v>415</v>
      </c>
      <c r="C103" s="197" t="s">
        <v>23</v>
      </c>
      <c r="D103" s="198" t="s">
        <v>65</v>
      </c>
      <c r="E103" s="198" t="s">
        <v>28</v>
      </c>
      <c r="F103" s="198"/>
      <c r="G103" s="198"/>
      <c r="H103" s="198"/>
      <c r="I103" s="198"/>
      <c r="J103" s="198"/>
      <c r="K103" s="199"/>
      <c r="L103" s="200"/>
      <c r="M103" s="196" t="s">
        <v>143</v>
      </c>
      <c r="N103" s="201">
        <v>2675000000</v>
      </c>
      <c r="O103" s="201">
        <v>0</v>
      </c>
      <c r="P103" s="201">
        <v>0</v>
      </c>
      <c r="Q103" s="201">
        <v>0</v>
      </c>
      <c r="R103" s="201">
        <v>0</v>
      </c>
      <c r="S103" s="201">
        <v>0</v>
      </c>
      <c r="T103" s="201">
        <v>2675000000</v>
      </c>
      <c r="U103" s="201">
        <v>0</v>
      </c>
      <c r="V103" s="201">
        <v>2675000000</v>
      </c>
      <c r="W103" s="202">
        <v>0</v>
      </c>
      <c r="X103" s="201">
        <v>0</v>
      </c>
      <c r="Y103" s="201">
        <v>0</v>
      </c>
      <c r="Z103" s="202">
        <v>0</v>
      </c>
      <c r="AA103" s="201">
        <v>0</v>
      </c>
      <c r="AB103" s="201">
        <v>0</v>
      </c>
      <c r="AC103" s="202">
        <v>0</v>
      </c>
    </row>
    <row r="104" spans="1:52" ht="16.5">
      <c r="A104" s="32" t="s">
        <v>416</v>
      </c>
      <c r="B104" s="203" t="s">
        <v>417</v>
      </c>
      <c r="C104" s="204" t="s">
        <v>23</v>
      </c>
      <c r="D104" s="205" t="s">
        <v>65</v>
      </c>
      <c r="E104" s="205" t="s">
        <v>28</v>
      </c>
      <c r="F104" s="205" t="s">
        <v>25</v>
      </c>
      <c r="G104" s="205"/>
      <c r="H104" s="205"/>
      <c r="I104" s="205"/>
      <c r="J104" s="205"/>
      <c r="K104" s="206" t="s">
        <v>144</v>
      </c>
      <c r="L104" s="207" t="s">
        <v>29</v>
      </c>
      <c r="M104" s="203" t="s">
        <v>145</v>
      </c>
      <c r="N104" s="208">
        <v>2675000000</v>
      </c>
      <c r="O104" s="208">
        <v>0</v>
      </c>
      <c r="P104" s="208">
        <v>0</v>
      </c>
      <c r="Q104" s="208">
        <v>0</v>
      </c>
      <c r="R104" s="208">
        <v>0</v>
      </c>
      <c r="S104" s="208">
        <v>0</v>
      </c>
      <c r="T104" s="208">
        <v>2675000000</v>
      </c>
      <c r="U104" s="208">
        <v>0</v>
      </c>
      <c r="V104" s="208">
        <v>2675000000</v>
      </c>
      <c r="W104" s="209">
        <v>0</v>
      </c>
      <c r="X104" s="208">
        <v>0</v>
      </c>
      <c r="Y104" s="208">
        <v>0</v>
      </c>
      <c r="Z104" s="209">
        <v>0</v>
      </c>
      <c r="AA104" s="208">
        <v>0</v>
      </c>
      <c r="AB104" s="208">
        <v>0</v>
      </c>
      <c r="AC104" s="209">
        <v>0</v>
      </c>
    </row>
    <row r="105" spans="1:52" ht="24.95" customHeight="1">
      <c r="A105" s="32" t="s">
        <v>628</v>
      </c>
      <c r="B105" s="217" t="s">
        <v>418</v>
      </c>
      <c r="C105" s="218" t="s">
        <v>23</v>
      </c>
      <c r="D105" s="219" t="s">
        <v>65</v>
      </c>
      <c r="E105" s="219" t="s">
        <v>28</v>
      </c>
      <c r="F105" s="219" t="s">
        <v>25</v>
      </c>
      <c r="G105" s="219" t="s">
        <v>31</v>
      </c>
      <c r="H105" s="219"/>
      <c r="I105" s="219"/>
      <c r="J105" s="219"/>
      <c r="K105" s="220">
        <v>10</v>
      </c>
      <c r="L105" s="221" t="s">
        <v>29</v>
      </c>
      <c r="M105" s="259" t="s">
        <v>146</v>
      </c>
      <c r="N105" s="222">
        <v>2675000000</v>
      </c>
      <c r="O105" s="222"/>
      <c r="P105" s="222"/>
      <c r="Q105" s="222"/>
      <c r="R105" s="222"/>
      <c r="S105" s="222"/>
      <c r="T105" s="223">
        <v>2675000000</v>
      </c>
      <c r="U105" s="223">
        <v>0</v>
      </c>
      <c r="V105" s="222">
        <v>2675000000</v>
      </c>
      <c r="W105" s="224">
        <v>0</v>
      </c>
      <c r="X105" s="222">
        <v>0</v>
      </c>
      <c r="Y105" s="222">
        <v>0</v>
      </c>
      <c r="Z105" s="224">
        <v>0</v>
      </c>
      <c r="AA105" s="222">
        <v>0</v>
      </c>
      <c r="AB105" s="222">
        <v>0</v>
      </c>
      <c r="AC105" s="224">
        <v>0</v>
      </c>
    </row>
    <row r="106" spans="1:52" ht="35.1" customHeight="1">
      <c r="A106" s="32" t="s">
        <v>420</v>
      </c>
      <c r="B106" s="188" t="s">
        <v>421</v>
      </c>
      <c r="C106" s="189" t="s">
        <v>23</v>
      </c>
      <c r="D106" s="191" t="s">
        <v>148</v>
      </c>
      <c r="E106" s="191"/>
      <c r="F106" s="191"/>
      <c r="G106" s="191"/>
      <c r="H106" s="191"/>
      <c r="I106" s="191"/>
      <c r="J106" s="191"/>
      <c r="K106" s="192"/>
      <c r="L106" s="193"/>
      <c r="M106" s="188" t="s">
        <v>149</v>
      </c>
      <c r="N106" s="194">
        <v>6047000000</v>
      </c>
      <c r="O106" s="194">
        <v>0</v>
      </c>
      <c r="P106" s="194">
        <v>0</v>
      </c>
      <c r="Q106" s="194">
        <v>0</v>
      </c>
      <c r="R106" s="194">
        <v>0</v>
      </c>
      <c r="S106" s="194">
        <v>0</v>
      </c>
      <c r="T106" s="194">
        <v>6047000000</v>
      </c>
      <c r="U106" s="194">
        <v>2673393</v>
      </c>
      <c r="V106" s="194">
        <v>6044326607</v>
      </c>
      <c r="W106" s="195">
        <v>4.4210236480899621E-4</v>
      </c>
      <c r="X106" s="194">
        <v>2637139</v>
      </c>
      <c r="Y106" s="194">
        <v>36254</v>
      </c>
      <c r="Z106" s="195">
        <v>1.3561043961737013E-2</v>
      </c>
      <c r="AA106" s="194">
        <v>2429956</v>
      </c>
      <c r="AB106" s="194">
        <v>207183</v>
      </c>
      <c r="AC106" s="195">
        <v>0.90894081042330854</v>
      </c>
    </row>
    <row r="107" spans="1:52" ht="24.95" customHeight="1">
      <c r="A107" s="32" t="s">
        <v>422</v>
      </c>
      <c r="B107" s="196" t="s">
        <v>423</v>
      </c>
      <c r="C107" s="197" t="s">
        <v>23</v>
      </c>
      <c r="D107" s="198" t="s">
        <v>148</v>
      </c>
      <c r="E107" s="198" t="s">
        <v>25</v>
      </c>
      <c r="F107" s="198"/>
      <c r="G107" s="198"/>
      <c r="H107" s="198"/>
      <c r="I107" s="198"/>
      <c r="J107" s="198"/>
      <c r="K107" s="199"/>
      <c r="L107" s="200"/>
      <c r="M107" s="196" t="s">
        <v>150</v>
      </c>
      <c r="N107" s="201">
        <v>134000000</v>
      </c>
      <c r="O107" s="201">
        <v>0</v>
      </c>
      <c r="P107" s="201">
        <v>0</v>
      </c>
      <c r="Q107" s="201">
        <v>0</v>
      </c>
      <c r="R107" s="201">
        <v>0</v>
      </c>
      <c r="S107" s="201">
        <v>0</v>
      </c>
      <c r="T107" s="201">
        <v>134000000</v>
      </c>
      <c r="U107" s="201">
        <v>2673393</v>
      </c>
      <c r="V107" s="201">
        <v>131326607</v>
      </c>
      <c r="W107" s="202">
        <v>1.9950694029850745E-2</v>
      </c>
      <c r="X107" s="201">
        <v>2637139</v>
      </c>
      <c r="Y107" s="201">
        <v>36254</v>
      </c>
      <c r="Z107" s="202">
        <v>1.3561043961737013E-2</v>
      </c>
      <c r="AA107" s="201">
        <v>2429956</v>
      </c>
      <c r="AB107" s="201">
        <v>207183</v>
      </c>
      <c r="AC107" s="202">
        <v>0.90894081042330854</v>
      </c>
    </row>
    <row r="108" spans="1:52" ht="16.5">
      <c r="A108" s="32" t="s">
        <v>424</v>
      </c>
      <c r="B108" s="203" t="s">
        <v>425</v>
      </c>
      <c r="C108" s="204" t="s">
        <v>23</v>
      </c>
      <c r="D108" s="205" t="s">
        <v>148</v>
      </c>
      <c r="E108" s="205" t="s">
        <v>25</v>
      </c>
      <c r="F108" s="205" t="s">
        <v>54</v>
      </c>
      <c r="G108" s="205"/>
      <c r="H108" s="205"/>
      <c r="I108" s="205"/>
      <c r="J108" s="205"/>
      <c r="K108" s="206" t="s">
        <v>28</v>
      </c>
      <c r="L108" s="207" t="s">
        <v>29</v>
      </c>
      <c r="M108" s="203" t="s">
        <v>151</v>
      </c>
      <c r="N108" s="208">
        <v>134000000</v>
      </c>
      <c r="O108" s="208">
        <v>0</v>
      </c>
      <c r="P108" s="208">
        <v>0</v>
      </c>
      <c r="Q108" s="208">
        <v>0</v>
      </c>
      <c r="R108" s="208">
        <v>0</v>
      </c>
      <c r="S108" s="208">
        <v>0</v>
      </c>
      <c r="T108" s="208">
        <v>134000000</v>
      </c>
      <c r="U108" s="208">
        <v>2673393</v>
      </c>
      <c r="V108" s="208">
        <v>131326607</v>
      </c>
      <c r="W108" s="209">
        <v>1.9950694029850745E-2</v>
      </c>
      <c r="X108" s="208">
        <v>2637139</v>
      </c>
      <c r="Y108" s="208">
        <v>36254</v>
      </c>
      <c r="Z108" s="209">
        <v>1.3561043961737013E-2</v>
      </c>
      <c r="AA108" s="208">
        <v>2429956</v>
      </c>
      <c r="AB108" s="208">
        <v>207183</v>
      </c>
      <c r="AC108" s="209">
        <v>0.90894081042330854</v>
      </c>
    </row>
    <row r="109" spans="1:52" ht="24.95" customHeight="1">
      <c r="A109" s="32" t="s">
        <v>426</v>
      </c>
      <c r="B109" s="217" t="s">
        <v>427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31</v>
      </c>
      <c r="H109" s="219"/>
      <c r="I109" s="219"/>
      <c r="J109" s="219"/>
      <c r="K109" s="220" t="s">
        <v>28</v>
      </c>
      <c r="L109" s="221" t="s">
        <v>29</v>
      </c>
      <c r="M109" s="259" t="s">
        <v>152</v>
      </c>
      <c r="N109" s="222">
        <v>60000000</v>
      </c>
      <c r="O109" s="222"/>
      <c r="P109" s="222"/>
      <c r="Q109" s="222"/>
      <c r="R109" s="222"/>
      <c r="S109" s="222"/>
      <c r="T109" s="222">
        <v>60000000</v>
      </c>
      <c r="U109" s="222">
        <v>0</v>
      </c>
      <c r="V109" s="222">
        <v>60000000</v>
      </c>
      <c r="W109" s="224">
        <v>0</v>
      </c>
      <c r="X109" s="222">
        <v>0</v>
      </c>
      <c r="Y109" s="222">
        <v>0</v>
      </c>
      <c r="Z109" s="224">
        <v>0</v>
      </c>
      <c r="AA109" s="222">
        <v>0</v>
      </c>
      <c r="AB109" s="222">
        <v>0</v>
      </c>
      <c r="AC109" s="224">
        <v>0</v>
      </c>
    </row>
    <row r="110" spans="1:52" ht="24.95" customHeight="1">
      <c r="A110" s="32" t="s">
        <v>428</v>
      </c>
      <c r="B110" s="217" t="s">
        <v>429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38</v>
      </c>
      <c r="H110" s="219"/>
      <c r="I110" s="219"/>
      <c r="J110" s="219"/>
      <c r="K110" s="220" t="s">
        <v>28</v>
      </c>
      <c r="L110" s="221" t="s">
        <v>29</v>
      </c>
      <c r="M110" s="259" t="s">
        <v>153</v>
      </c>
      <c r="N110" s="222">
        <v>59000000</v>
      </c>
      <c r="O110" s="223"/>
      <c r="P110" s="222"/>
      <c r="Q110" s="223"/>
      <c r="R110" s="222"/>
      <c r="S110" s="222"/>
      <c r="T110" s="222">
        <v>59000000</v>
      </c>
      <c r="U110" s="222">
        <v>2673393</v>
      </c>
      <c r="V110" s="222">
        <v>56326607</v>
      </c>
      <c r="W110" s="224">
        <v>4.5311745762711866E-2</v>
      </c>
      <c r="X110" s="222">
        <v>2637139</v>
      </c>
      <c r="Y110" s="222">
        <v>36254</v>
      </c>
      <c r="Z110" s="224">
        <v>1.3561043961737013E-2</v>
      </c>
      <c r="AA110" s="222">
        <v>2429956</v>
      </c>
      <c r="AB110" s="222">
        <v>207183</v>
      </c>
      <c r="AC110" s="224">
        <v>0.90894081042330854</v>
      </c>
    </row>
    <row r="111" spans="1:52" ht="24.95" customHeight="1">
      <c r="A111" s="32" t="s">
        <v>430</v>
      </c>
      <c r="B111" s="217" t="s">
        <v>431</v>
      </c>
      <c r="C111" s="218" t="s">
        <v>23</v>
      </c>
      <c r="D111" s="219" t="s">
        <v>148</v>
      </c>
      <c r="E111" s="219" t="s">
        <v>25</v>
      </c>
      <c r="F111" s="219" t="s">
        <v>54</v>
      </c>
      <c r="G111" s="219" t="s">
        <v>42</v>
      </c>
      <c r="H111" s="219"/>
      <c r="I111" s="219"/>
      <c r="J111" s="219"/>
      <c r="K111" s="220" t="s">
        <v>28</v>
      </c>
      <c r="L111" s="221" t="s">
        <v>29</v>
      </c>
      <c r="M111" s="259" t="s">
        <v>154</v>
      </c>
      <c r="N111" s="222">
        <v>15000000</v>
      </c>
      <c r="O111" s="222"/>
      <c r="P111" s="222"/>
      <c r="Q111" s="222"/>
      <c r="R111" s="222"/>
      <c r="S111" s="222"/>
      <c r="T111" s="222">
        <v>15000000</v>
      </c>
      <c r="U111" s="222">
        <v>0</v>
      </c>
      <c r="V111" s="222">
        <v>15000000</v>
      </c>
      <c r="W111" s="224">
        <v>0</v>
      </c>
      <c r="X111" s="222">
        <v>0</v>
      </c>
      <c r="Y111" s="222">
        <v>0</v>
      </c>
      <c r="Z111" s="224">
        <v>0</v>
      </c>
      <c r="AA111" s="222">
        <v>0</v>
      </c>
      <c r="AB111" s="222">
        <v>0</v>
      </c>
      <c r="AC111" s="224">
        <v>0</v>
      </c>
    </row>
    <row r="112" spans="1:52" ht="24.95" customHeight="1">
      <c r="A112" s="32" t="s">
        <v>629</v>
      </c>
      <c r="B112" s="196" t="s">
        <v>432</v>
      </c>
      <c r="C112" s="197" t="s">
        <v>23</v>
      </c>
      <c r="D112" s="198" t="s">
        <v>148</v>
      </c>
      <c r="E112" s="198" t="s">
        <v>136</v>
      </c>
      <c r="F112" s="198"/>
      <c r="G112" s="198"/>
      <c r="H112" s="198"/>
      <c r="I112" s="198"/>
      <c r="J112" s="198"/>
      <c r="K112" s="199"/>
      <c r="L112" s="200"/>
      <c r="M112" s="196" t="s">
        <v>155</v>
      </c>
      <c r="N112" s="201">
        <v>5913000000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5913000000</v>
      </c>
      <c r="U112" s="201">
        <v>0</v>
      </c>
      <c r="V112" s="201">
        <v>5913000000</v>
      </c>
      <c r="W112" s="202">
        <v>0</v>
      </c>
      <c r="X112" s="201">
        <v>0</v>
      </c>
      <c r="Y112" s="201">
        <v>0</v>
      </c>
      <c r="Z112" s="202">
        <v>0</v>
      </c>
      <c r="AA112" s="201">
        <v>0</v>
      </c>
      <c r="AB112" s="201">
        <v>0</v>
      </c>
      <c r="AC112" s="202">
        <v>0</v>
      </c>
    </row>
    <row r="113" spans="1:29" ht="24.95" customHeight="1">
      <c r="A113" s="32"/>
      <c r="B113" s="217" t="s">
        <v>434</v>
      </c>
      <c r="C113" s="218" t="s">
        <v>23</v>
      </c>
      <c r="D113" s="219" t="s">
        <v>148</v>
      </c>
      <c r="E113" s="219" t="s">
        <v>136</v>
      </c>
      <c r="F113" s="219" t="s">
        <v>25</v>
      </c>
      <c r="G113" s="219"/>
      <c r="H113" s="219"/>
      <c r="I113" s="219"/>
      <c r="J113" s="219"/>
      <c r="K113" s="220">
        <v>10</v>
      </c>
      <c r="L113" s="221" t="s">
        <v>156</v>
      </c>
      <c r="M113" s="259" t="s">
        <v>157</v>
      </c>
      <c r="N113" s="222">
        <v>0</v>
      </c>
      <c r="O113" s="223"/>
      <c r="P113" s="222"/>
      <c r="Q113" s="222"/>
      <c r="R113" s="222"/>
      <c r="S113" s="222"/>
      <c r="T113" s="223">
        <v>0</v>
      </c>
      <c r="U113" s="223">
        <v>0</v>
      </c>
      <c r="V113" s="222">
        <v>0</v>
      </c>
      <c r="W113" s="224">
        <v>0</v>
      </c>
      <c r="X113" s="222">
        <v>0</v>
      </c>
      <c r="Y113" s="222">
        <v>0</v>
      </c>
      <c r="Z113" s="224">
        <v>0</v>
      </c>
      <c r="AA113" s="222">
        <v>0</v>
      </c>
      <c r="AB113" s="222">
        <v>0</v>
      </c>
      <c r="AC113" s="224">
        <v>0</v>
      </c>
    </row>
    <row r="114" spans="1:29" ht="24.95" customHeight="1" thickBot="1">
      <c r="A114" s="32" t="s">
        <v>433</v>
      </c>
      <c r="B114" s="217" t="s">
        <v>434</v>
      </c>
      <c r="C114" s="218" t="s">
        <v>23</v>
      </c>
      <c r="D114" s="219" t="s">
        <v>148</v>
      </c>
      <c r="E114" s="219" t="s">
        <v>136</v>
      </c>
      <c r="F114" s="219" t="s">
        <v>25</v>
      </c>
      <c r="G114" s="219"/>
      <c r="H114" s="219"/>
      <c r="I114" s="219"/>
      <c r="J114" s="219"/>
      <c r="K114" s="220" t="s">
        <v>144</v>
      </c>
      <c r="L114" s="221" t="s">
        <v>156</v>
      </c>
      <c r="M114" s="259" t="s">
        <v>157</v>
      </c>
      <c r="N114" s="222">
        <v>5913000000</v>
      </c>
      <c r="O114" s="223"/>
      <c r="P114" s="222"/>
      <c r="Q114" s="222"/>
      <c r="R114" s="222"/>
      <c r="S114" s="222"/>
      <c r="T114" s="223">
        <v>5913000000</v>
      </c>
      <c r="U114" s="223">
        <v>0</v>
      </c>
      <c r="V114" s="222">
        <v>5913000000</v>
      </c>
      <c r="W114" s="224">
        <v>0</v>
      </c>
      <c r="X114" s="222">
        <v>0</v>
      </c>
      <c r="Y114" s="222">
        <v>0</v>
      </c>
      <c r="Z114" s="224">
        <v>0</v>
      </c>
      <c r="AA114" s="222">
        <v>0</v>
      </c>
      <c r="AB114" s="222">
        <v>0</v>
      </c>
      <c r="AC114" s="224">
        <v>0</v>
      </c>
    </row>
    <row r="115" spans="1:29" ht="35.1" customHeight="1" thickBot="1">
      <c r="A115" s="32" t="s">
        <v>435</v>
      </c>
      <c r="B115" s="260" t="s">
        <v>278</v>
      </c>
      <c r="C115" s="261" t="s">
        <v>167</v>
      </c>
      <c r="D115" s="262"/>
      <c r="E115" s="262"/>
      <c r="F115" s="262"/>
      <c r="G115" s="262"/>
      <c r="H115" s="262"/>
      <c r="I115" s="262"/>
      <c r="J115" s="262"/>
      <c r="K115" s="263"/>
      <c r="L115" s="264"/>
      <c r="M115" s="260" t="s">
        <v>168</v>
      </c>
      <c r="N115" s="265">
        <v>6230508633098</v>
      </c>
      <c r="O115" s="265">
        <v>0</v>
      </c>
      <c r="P115" s="265">
        <v>0</v>
      </c>
      <c r="Q115" s="265">
        <v>18738203590.09</v>
      </c>
      <c r="R115" s="265">
        <v>18738203590.09</v>
      </c>
      <c r="S115" s="265">
        <v>526000000000</v>
      </c>
      <c r="T115" s="265">
        <v>5704508633098</v>
      </c>
      <c r="U115" s="265">
        <v>546449808942.30994</v>
      </c>
      <c r="V115" s="265">
        <v>5158058824155.6895</v>
      </c>
      <c r="W115" s="187">
        <v>9.5792616698266692E-2</v>
      </c>
      <c r="X115" s="265">
        <v>208512270000</v>
      </c>
      <c r="Y115" s="265">
        <v>337937538942.31</v>
      </c>
      <c r="Z115" s="187">
        <v>0.61842374800425071</v>
      </c>
      <c r="AA115" s="265">
        <v>208512270000</v>
      </c>
      <c r="AB115" s="265">
        <v>0</v>
      </c>
      <c r="AC115" s="187">
        <v>0.38157625199574946</v>
      </c>
    </row>
    <row r="116" spans="1:29" ht="35.1" customHeight="1">
      <c r="A116" s="32" t="s">
        <v>436</v>
      </c>
      <c r="B116" s="188" t="s">
        <v>437</v>
      </c>
      <c r="C116" s="189" t="s">
        <v>167</v>
      </c>
      <c r="D116" s="191">
        <v>4101</v>
      </c>
      <c r="E116" s="191"/>
      <c r="F116" s="191"/>
      <c r="G116" s="191"/>
      <c r="H116" s="191"/>
      <c r="I116" s="191"/>
      <c r="J116" s="191"/>
      <c r="K116" s="192"/>
      <c r="L116" s="193"/>
      <c r="M116" s="188" t="s">
        <v>169</v>
      </c>
      <c r="N116" s="194">
        <v>10248574078</v>
      </c>
      <c r="O116" s="194">
        <v>0</v>
      </c>
      <c r="P116" s="194">
        <v>0</v>
      </c>
      <c r="Q116" s="194">
        <v>0</v>
      </c>
      <c r="R116" s="194">
        <v>0</v>
      </c>
      <c r="S116" s="194">
        <v>0</v>
      </c>
      <c r="T116" s="194">
        <v>10248574078</v>
      </c>
      <c r="U116" s="194">
        <v>10248574078</v>
      </c>
      <c r="V116" s="194">
        <v>0</v>
      </c>
      <c r="W116" s="195">
        <v>1</v>
      </c>
      <c r="X116" s="194">
        <v>0</v>
      </c>
      <c r="Y116" s="194">
        <v>10248574078</v>
      </c>
      <c r="Z116" s="195">
        <v>1</v>
      </c>
      <c r="AA116" s="194">
        <v>0</v>
      </c>
      <c r="AB116" s="194">
        <v>0</v>
      </c>
      <c r="AC116" s="195">
        <v>0</v>
      </c>
    </row>
    <row r="117" spans="1:29" ht="24.95" customHeight="1">
      <c r="A117" s="32" t="s">
        <v>438</v>
      </c>
      <c r="B117" s="196" t="s">
        <v>295</v>
      </c>
      <c r="C117" s="197" t="s">
        <v>167</v>
      </c>
      <c r="D117" s="198">
        <v>4101</v>
      </c>
      <c r="E117" s="198">
        <v>1500</v>
      </c>
      <c r="F117" s="198"/>
      <c r="G117" s="198"/>
      <c r="H117" s="198"/>
      <c r="I117" s="198"/>
      <c r="J117" s="198"/>
      <c r="K117" s="199"/>
      <c r="L117" s="200"/>
      <c r="M117" s="196" t="s">
        <v>170</v>
      </c>
      <c r="N117" s="201">
        <v>10248574078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10248574078</v>
      </c>
      <c r="U117" s="201">
        <v>10248574078</v>
      </c>
      <c r="V117" s="201">
        <v>0</v>
      </c>
      <c r="W117" s="202">
        <v>1</v>
      </c>
      <c r="X117" s="201">
        <v>0</v>
      </c>
      <c r="Y117" s="201">
        <v>10248574078</v>
      </c>
      <c r="Z117" s="202">
        <v>1</v>
      </c>
      <c r="AA117" s="201">
        <v>0</v>
      </c>
      <c r="AB117" s="201">
        <v>0</v>
      </c>
      <c r="AC117" s="202">
        <v>0</v>
      </c>
    </row>
    <row r="118" spans="1:29" ht="36" hidden="1" customHeight="1">
      <c r="A118" s="32" t="s">
        <v>439</v>
      </c>
      <c r="B118" s="203" t="s">
        <v>440</v>
      </c>
      <c r="C118" s="227" t="s">
        <v>167</v>
      </c>
      <c r="D118" s="228" t="s">
        <v>171</v>
      </c>
      <c r="E118" s="228" t="s">
        <v>172</v>
      </c>
      <c r="F118" s="228" t="s">
        <v>261</v>
      </c>
      <c r="G118" s="228"/>
      <c r="H118" s="228"/>
      <c r="I118" s="228"/>
      <c r="J118" s="228"/>
      <c r="K118" s="229"/>
      <c r="L118" s="230"/>
      <c r="M118" s="231" t="s">
        <v>279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3">
        <v>0</v>
      </c>
      <c r="X118" s="232">
        <v>0</v>
      </c>
      <c r="Y118" s="232">
        <v>0</v>
      </c>
      <c r="Z118" s="233">
        <v>0</v>
      </c>
      <c r="AA118" s="232">
        <v>0</v>
      </c>
      <c r="AB118" s="232">
        <v>0</v>
      </c>
      <c r="AC118" s="233">
        <v>0</v>
      </c>
    </row>
    <row r="119" spans="1:29" ht="24.95" hidden="1" customHeight="1">
      <c r="A119" s="32" t="s">
        <v>630</v>
      </c>
      <c r="B119" s="210" t="s">
        <v>441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176</v>
      </c>
      <c r="I119" s="212"/>
      <c r="J119" s="212"/>
      <c r="K119" s="213">
        <v>11</v>
      </c>
      <c r="L119" s="214" t="s">
        <v>29</v>
      </c>
      <c r="M119" s="210" t="s">
        <v>177</v>
      </c>
      <c r="N119" s="215">
        <v>0</v>
      </c>
      <c r="O119" s="215">
        <v>0</v>
      </c>
      <c r="P119" s="215">
        <v>0</v>
      </c>
      <c r="Q119" s="215">
        <v>0</v>
      </c>
      <c r="R119" s="215">
        <v>0</v>
      </c>
      <c r="S119" s="215">
        <v>0</v>
      </c>
      <c r="T119" s="215">
        <v>0</v>
      </c>
      <c r="U119" s="215">
        <v>0</v>
      </c>
      <c r="V119" s="215">
        <v>0</v>
      </c>
      <c r="W119" s="216">
        <v>0</v>
      </c>
      <c r="X119" s="215">
        <v>0</v>
      </c>
      <c r="Y119" s="215">
        <v>0</v>
      </c>
      <c r="Z119" s="216">
        <v>0</v>
      </c>
      <c r="AA119" s="215">
        <v>0</v>
      </c>
      <c r="AB119" s="215">
        <v>0</v>
      </c>
      <c r="AC119" s="216">
        <v>0</v>
      </c>
    </row>
    <row r="120" spans="1:29" ht="24.95" hidden="1" customHeight="1">
      <c r="A120" s="32" t="s">
        <v>631</v>
      </c>
      <c r="B120" s="217" t="s">
        <v>442</v>
      </c>
      <c r="C120" s="218" t="s">
        <v>167</v>
      </c>
      <c r="D120" s="219" t="s">
        <v>171</v>
      </c>
      <c r="E120" s="219" t="s">
        <v>172</v>
      </c>
      <c r="F120" s="219" t="s">
        <v>261</v>
      </c>
      <c r="G120" s="219" t="s">
        <v>175</v>
      </c>
      <c r="H120" s="219" t="s">
        <v>176</v>
      </c>
      <c r="I120" s="219" t="s">
        <v>54</v>
      </c>
      <c r="J120" s="219"/>
      <c r="K120" s="220">
        <v>11</v>
      </c>
      <c r="L120" s="221" t="s">
        <v>29</v>
      </c>
      <c r="M120" s="217" t="s">
        <v>178</v>
      </c>
      <c r="N120" s="222"/>
      <c r="O120" s="222"/>
      <c r="P120" s="222"/>
      <c r="Q120" s="222"/>
      <c r="R120" s="223"/>
      <c r="S120" s="222"/>
      <c r="T120" s="222">
        <v>0</v>
      </c>
      <c r="U120" s="222"/>
      <c r="V120" s="222">
        <v>0</v>
      </c>
      <c r="W120" s="224">
        <v>0</v>
      </c>
      <c r="X120" s="222"/>
      <c r="Y120" s="222">
        <v>0</v>
      </c>
      <c r="Z120" s="224">
        <v>0</v>
      </c>
      <c r="AA120" s="222"/>
      <c r="AB120" s="222">
        <v>0</v>
      </c>
      <c r="AC120" s="224">
        <v>0</v>
      </c>
    </row>
    <row r="121" spans="1:29" ht="31.5" hidden="1" customHeight="1">
      <c r="A121" s="32" t="s">
        <v>632</v>
      </c>
      <c r="B121" s="210" t="s">
        <v>443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179</v>
      </c>
      <c r="I121" s="212"/>
      <c r="J121" s="212"/>
      <c r="K121" s="213">
        <v>11</v>
      </c>
      <c r="L121" s="214" t="s">
        <v>29</v>
      </c>
      <c r="M121" s="210" t="s">
        <v>180</v>
      </c>
      <c r="N121" s="215">
        <v>0</v>
      </c>
      <c r="O121" s="215">
        <v>0</v>
      </c>
      <c r="P121" s="215">
        <v>0</v>
      </c>
      <c r="Q121" s="215">
        <v>0</v>
      </c>
      <c r="R121" s="215">
        <v>0</v>
      </c>
      <c r="S121" s="215">
        <v>0</v>
      </c>
      <c r="T121" s="215">
        <v>0</v>
      </c>
      <c r="U121" s="215">
        <v>0</v>
      </c>
      <c r="V121" s="215">
        <v>0</v>
      </c>
      <c r="W121" s="216">
        <v>0</v>
      </c>
      <c r="X121" s="215">
        <v>0</v>
      </c>
      <c r="Y121" s="215">
        <v>0</v>
      </c>
      <c r="Z121" s="216">
        <v>0</v>
      </c>
      <c r="AA121" s="215">
        <v>0</v>
      </c>
      <c r="AB121" s="215">
        <v>0</v>
      </c>
      <c r="AC121" s="216">
        <v>0</v>
      </c>
    </row>
    <row r="122" spans="1:29" ht="24.95" hidden="1" customHeight="1">
      <c r="A122" s="32" t="s">
        <v>633</v>
      </c>
      <c r="B122" s="217" t="s">
        <v>444</v>
      </c>
      <c r="C122" s="218" t="s">
        <v>167</v>
      </c>
      <c r="D122" s="219" t="s">
        <v>171</v>
      </c>
      <c r="E122" s="219" t="s">
        <v>172</v>
      </c>
      <c r="F122" s="219">
        <v>5</v>
      </c>
      <c r="G122" s="219" t="s">
        <v>175</v>
      </c>
      <c r="H122" s="219" t="s">
        <v>179</v>
      </c>
      <c r="I122" s="219" t="s">
        <v>54</v>
      </c>
      <c r="J122" s="219"/>
      <c r="K122" s="220">
        <v>11</v>
      </c>
      <c r="L122" s="221" t="s">
        <v>29</v>
      </c>
      <c r="M122" s="259" t="s">
        <v>178</v>
      </c>
      <c r="N122" s="222"/>
      <c r="O122" s="222"/>
      <c r="P122" s="222"/>
      <c r="Q122" s="222"/>
      <c r="R122" s="636"/>
      <c r="S122" s="636"/>
      <c r="T122" s="222">
        <v>0</v>
      </c>
      <c r="U122" s="222"/>
      <c r="V122" s="222">
        <v>0</v>
      </c>
      <c r="W122" s="224">
        <v>0</v>
      </c>
      <c r="X122" s="222"/>
      <c r="Y122" s="222">
        <v>0</v>
      </c>
      <c r="Z122" s="224">
        <v>0</v>
      </c>
      <c r="AA122" s="222"/>
      <c r="AB122" s="222">
        <v>0</v>
      </c>
      <c r="AC122" s="224">
        <v>0</v>
      </c>
    </row>
    <row r="123" spans="1:29" ht="31.5" hidden="1" customHeight="1">
      <c r="A123" s="32" t="s">
        <v>634</v>
      </c>
      <c r="B123" s="210" t="s">
        <v>445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181</v>
      </c>
      <c r="I123" s="212"/>
      <c r="J123" s="212"/>
      <c r="K123" s="213">
        <v>11</v>
      </c>
      <c r="L123" s="214" t="s">
        <v>29</v>
      </c>
      <c r="M123" s="210" t="s">
        <v>182</v>
      </c>
      <c r="N123" s="215">
        <v>0</v>
      </c>
      <c r="O123" s="215">
        <v>0</v>
      </c>
      <c r="P123" s="215">
        <v>0</v>
      </c>
      <c r="Q123" s="215">
        <v>0</v>
      </c>
      <c r="R123" s="215">
        <v>0</v>
      </c>
      <c r="S123" s="215">
        <v>0</v>
      </c>
      <c r="T123" s="215">
        <v>0</v>
      </c>
      <c r="U123" s="215">
        <v>0</v>
      </c>
      <c r="V123" s="215">
        <v>0</v>
      </c>
      <c r="W123" s="216">
        <v>0</v>
      </c>
      <c r="X123" s="215">
        <v>0</v>
      </c>
      <c r="Y123" s="215">
        <v>0</v>
      </c>
      <c r="Z123" s="216">
        <v>0</v>
      </c>
      <c r="AA123" s="215">
        <v>0</v>
      </c>
      <c r="AB123" s="215">
        <v>0</v>
      </c>
      <c r="AC123" s="216">
        <v>0</v>
      </c>
    </row>
    <row r="124" spans="1:29" ht="24.95" hidden="1" customHeight="1">
      <c r="A124" s="32" t="s">
        <v>635</v>
      </c>
      <c r="B124" s="217" t="s">
        <v>446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181</v>
      </c>
      <c r="I124" s="225" t="s">
        <v>54</v>
      </c>
      <c r="J124" s="219"/>
      <c r="K124" s="220">
        <v>11</v>
      </c>
      <c r="L124" s="221" t="s">
        <v>29</v>
      </c>
      <c r="M124" s="217" t="s">
        <v>178</v>
      </c>
      <c r="N124" s="222"/>
      <c r="O124" s="222"/>
      <c r="P124" s="222"/>
      <c r="Q124" s="222"/>
      <c r="R124" s="223"/>
      <c r="S124" s="222"/>
      <c r="T124" s="222">
        <v>0</v>
      </c>
      <c r="U124" s="222"/>
      <c r="V124" s="222">
        <v>0</v>
      </c>
      <c r="W124" s="224">
        <v>0</v>
      </c>
      <c r="X124" s="222"/>
      <c r="Y124" s="222">
        <v>0</v>
      </c>
      <c r="Z124" s="224">
        <v>0</v>
      </c>
      <c r="AA124" s="222"/>
      <c r="AB124" s="222">
        <v>0</v>
      </c>
      <c r="AC124" s="224">
        <v>0</v>
      </c>
    </row>
    <row r="125" spans="1:29" ht="31.5" hidden="1" customHeight="1">
      <c r="A125" s="32" t="s">
        <v>636</v>
      </c>
      <c r="B125" s="210" t="s">
        <v>447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183</v>
      </c>
      <c r="I125" s="212"/>
      <c r="J125" s="212"/>
      <c r="K125" s="213">
        <v>11</v>
      </c>
      <c r="L125" s="214" t="s">
        <v>29</v>
      </c>
      <c r="M125" s="210" t="s">
        <v>184</v>
      </c>
      <c r="N125" s="215">
        <v>0</v>
      </c>
      <c r="O125" s="215">
        <v>0</v>
      </c>
      <c r="P125" s="215">
        <v>0</v>
      </c>
      <c r="Q125" s="215">
        <v>0</v>
      </c>
      <c r="R125" s="215">
        <v>0</v>
      </c>
      <c r="S125" s="215">
        <v>0</v>
      </c>
      <c r="T125" s="215">
        <v>0</v>
      </c>
      <c r="U125" s="215">
        <v>0</v>
      </c>
      <c r="V125" s="215">
        <v>0</v>
      </c>
      <c r="W125" s="216">
        <v>0</v>
      </c>
      <c r="X125" s="215">
        <v>0</v>
      </c>
      <c r="Y125" s="215">
        <v>0</v>
      </c>
      <c r="Z125" s="216">
        <v>0</v>
      </c>
      <c r="AA125" s="215">
        <v>0</v>
      </c>
      <c r="AB125" s="215">
        <v>0</v>
      </c>
      <c r="AC125" s="216">
        <v>0</v>
      </c>
    </row>
    <row r="126" spans="1:29" ht="24.95" hidden="1" customHeight="1">
      <c r="A126" s="32" t="s">
        <v>637</v>
      </c>
      <c r="B126" s="217" t="s">
        <v>448</v>
      </c>
      <c r="C126" s="218" t="s">
        <v>167</v>
      </c>
      <c r="D126" s="219" t="s">
        <v>171</v>
      </c>
      <c r="E126" s="219" t="s">
        <v>172</v>
      </c>
      <c r="F126" s="219" t="s">
        <v>261</v>
      </c>
      <c r="G126" s="219" t="s">
        <v>175</v>
      </c>
      <c r="H126" s="219" t="s">
        <v>183</v>
      </c>
      <c r="I126" s="219" t="s">
        <v>54</v>
      </c>
      <c r="J126" s="219"/>
      <c r="K126" s="220">
        <v>11</v>
      </c>
      <c r="L126" s="221" t="s">
        <v>29</v>
      </c>
      <c r="M126" s="217" t="s">
        <v>178</v>
      </c>
      <c r="N126" s="222"/>
      <c r="O126" s="222"/>
      <c r="P126" s="222"/>
      <c r="Q126" s="222"/>
      <c r="R126" s="223"/>
      <c r="S126" s="222"/>
      <c r="T126" s="223">
        <v>0</v>
      </c>
      <c r="U126" s="222"/>
      <c r="V126" s="222">
        <v>0</v>
      </c>
      <c r="W126" s="224">
        <v>0</v>
      </c>
      <c r="X126" s="222"/>
      <c r="Y126" s="222">
        <v>0</v>
      </c>
      <c r="Z126" s="224">
        <v>0</v>
      </c>
      <c r="AA126" s="222"/>
      <c r="AB126" s="222">
        <v>0</v>
      </c>
      <c r="AC126" s="224">
        <v>0</v>
      </c>
    </row>
    <row r="127" spans="1:29" ht="24.95" hidden="1" customHeight="1">
      <c r="A127" s="32" t="s">
        <v>638</v>
      </c>
      <c r="B127" s="210" t="s">
        <v>449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185</v>
      </c>
      <c r="I127" s="212"/>
      <c r="J127" s="212"/>
      <c r="K127" s="213">
        <v>11</v>
      </c>
      <c r="L127" s="214" t="s">
        <v>29</v>
      </c>
      <c r="M127" s="210" t="s">
        <v>186</v>
      </c>
      <c r="N127" s="215">
        <v>0</v>
      </c>
      <c r="O127" s="215">
        <v>0</v>
      </c>
      <c r="P127" s="215">
        <v>0</v>
      </c>
      <c r="Q127" s="215">
        <v>0</v>
      </c>
      <c r="R127" s="215">
        <v>0</v>
      </c>
      <c r="S127" s="215">
        <v>0</v>
      </c>
      <c r="T127" s="215">
        <v>0</v>
      </c>
      <c r="U127" s="215">
        <v>0</v>
      </c>
      <c r="V127" s="215">
        <v>0</v>
      </c>
      <c r="W127" s="216">
        <v>0</v>
      </c>
      <c r="X127" s="215">
        <v>0</v>
      </c>
      <c r="Y127" s="215">
        <v>0</v>
      </c>
      <c r="Z127" s="216">
        <v>0</v>
      </c>
      <c r="AA127" s="215">
        <v>0</v>
      </c>
      <c r="AB127" s="215">
        <v>0</v>
      </c>
      <c r="AC127" s="216">
        <v>0</v>
      </c>
    </row>
    <row r="128" spans="1:29" ht="24.95" hidden="1" customHeight="1">
      <c r="A128" s="32" t="s">
        <v>639</v>
      </c>
      <c r="B128" s="217" t="s">
        <v>450</v>
      </c>
      <c r="C128" s="218" t="s">
        <v>167</v>
      </c>
      <c r="D128" s="219" t="s">
        <v>171</v>
      </c>
      <c r="E128" s="219" t="s">
        <v>172</v>
      </c>
      <c r="F128" s="219">
        <v>5</v>
      </c>
      <c r="G128" s="219" t="s">
        <v>175</v>
      </c>
      <c r="H128" s="219" t="s">
        <v>185</v>
      </c>
      <c r="I128" s="219" t="s">
        <v>54</v>
      </c>
      <c r="J128" s="219"/>
      <c r="K128" s="220">
        <v>11</v>
      </c>
      <c r="L128" s="221" t="s">
        <v>29</v>
      </c>
      <c r="M128" s="259" t="s">
        <v>178</v>
      </c>
      <c r="N128" s="222"/>
      <c r="O128" s="222"/>
      <c r="P128" s="222"/>
      <c r="Q128" s="222"/>
      <c r="R128" s="222"/>
      <c r="S128" s="222"/>
      <c r="T128" s="222">
        <v>0</v>
      </c>
      <c r="U128" s="222"/>
      <c r="V128" s="222">
        <v>0</v>
      </c>
      <c r="W128" s="224">
        <v>0</v>
      </c>
      <c r="X128" s="222"/>
      <c r="Y128" s="222">
        <v>0</v>
      </c>
      <c r="Z128" s="224">
        <v>0</v>
      </c>
      <c r="AA128" s="222"/>
      <c r="AB128" s="222">
        <v>0</v>
      </c>
      <c r="AC128" s="224">
        <v>0</v>
      </c>
    </row>
    <row r="129" spans="1:29" ht="31.5" hidden="1" customHeight="1">
      <c r="A129" s="32" t="s">
        <v>640</v>
      </c>
      <c r="B129" s="210" t="s">
        <v>451</v>
      </c>
      <c r="C129" s="211" t="s">
        <v>167</v>
      </c>
      <c r="D129" s="212" t="s">
        <v>171</v>
      </c>
      <c r="E129" s="212" t="s">
        <v>172</v>
      </c>
      <c r="F129" s="212" t="s">
        <v>261</v>
      </c>
      <c r="G129" s="212" t="s">
        <v>175</v>
      </c>
      <c r="H129" s="212" t="s">
        <v>187</v>
      </c>
      <c r="I129" s="212"/>
      <c r="J129" s="212"/>
      <c r="K129" s="213">
        <v>11</v>
      </c>
      <c r="L129" s="214" t="s">
        <v>29</v>
      </c>
      <c r="M129" s="210" t="s">
        <v>188</v>
      </c>
      <c r="N129" s="215">
        <v>0</v>
      </c>
      <c r="O129" s="215">
        <v>0</v>
      </c>
      <c r="P129" s="215">
        <v>0</v>
      </c>
      <c r="Q129" s="215">
        <v>0</v>
      </c>
      <c r="R129" s="215">
        <v>0</v>
      </c>
      <c r="S129" s="215">
        <v>0</v>
      </c>
      <c r="T129" s="215">
        <v>0</v>
      </c>
      <c r="U129" s="215">
        <v>0</v>
      </c>
      <c r="V129" s="215">
        <v>0</v>
      </c>
      <c r="W129" s="216">
        <v>0</v>
      </c>
      <c r="X129" s="215">
        <v>0</v>
      </c>
      <c r="Y129" s="215">
        <v>0</v>
      </c>
      <c r="Z129" s="216">
        <v>0</v>
      </c>
      <c r="AA129" s="215">
        <v>0</v>
      </c>
      <c r="AB129" s="215">
        <v>0</v>
      </c>
      <c r="AC129" s="216">
        <v>0</v>
      </c>
    </row>
    <row r="130" spans="1:29" ht="24.95" hidden="1" customHeight="1">
      <c r="A130" s="32" t="s">
        <v>641</v>
      </c>
      <c r="B130" s="217" t="s">
        <v>452</v>
      </c>
      <c r="C130" s="218" t="s">
        <v>167</v>
      </c>
      <c r="D130" s="219" t="s">
        <v>171</v>
      </c>
      <c r="E130" s="219" t="s">
        <v>172</v>
      </c>
      <c r="F130" s="219" t="s">
        <v>261</v>
      </c>
      <c r="G130" s="219" t="s">
        <v>175</v>
      </c>
      <c r="H130" s="219" t="s">
        <v>187</v>
      </c>
      <c r="I130" s="219" t="s">
        <v>54</v>
      </c>
      <c r="J130" s="219"/>
      <c r="K130" s="220">
        <v>11</v>
      </c>
      <c r="L130" s="221" t="s">
        <v>29</v>
      </c>
      <c r="M130" s="217" t="s">
        <v>178</v>
      </c>
      <c r="N130" s="222"/>
      <c r="O130" s="222"/>
      <c r="P130" s="222"/>
      <c r="Q130" s="222"/>
      <c r="R130" s="222"/>
      <c r="S130" s="222"/>
      <c r="T130" s="222">
        <v>0</v>
      </c>
      <c r="U130" s="222"/>
      <c r="V130" s="222">
        <v>0</v>
      </c>
      <c r="W130" s="224">
        <v>0</v>
      </c>
      <c r="X130" s="222"/>
      <c r="Y130" s="222">
        <v>0</v>
      </c>
      <c r="Z130" s="224">
        <v>0</v>
      </c>
      <c r="AA130" s="222"/>
      <c r="AB130" s="222">
        <v>0</v>
      </c>
      <c r="AC130" s="224">
        <v>0</v>
      </c>
    </row>
    <row r="131" spans="1:29" ht="60.75" customHeight="1">
      <c r="A131" s="32" t="s">
        <v>453</v>
      </c>
      <c r="B131" s="226" t="s">
        <v>454</v>
      </c>
      <c r="C131" s="227" t="s">
        <v>167</v>
      </c>
      <c r="D131" s="228" t="s">
        <v>171</v>
      </c>
      <c r="E131" s="228" t="s">
        <v>172</v>
      </c>
      <c r="F131" s="228" t="s">
        <v>173</v>
      </c>
      <c r="G131" s="228"/>
      <c r="H131" s="228"/>
      <c r="I131" s="228"/>
      <c r="J131" s="228"/>
      <c r="K131" s="229"/>
      <c r="L131" s="230"/>
      <c r="M131" s="231" t="s">
        <v>174</v>
      </c>
      <c r="N131" s="232">
        <v>10248574078</v>
      </c>
      <c r="O131" s="232">
        <v>0</v>
      </c>
      <c r="P131" s="232">
        <v>0</v>
      </c>
      <c r="Q131" s="232">
        <v>0</v>
      </c>
      <c r="R131" s="232">
        <v>0</v>
      </c>
      <c r="S131" s="232">
        <v>0</v>
      </c>
      <c r="T131" s="232">
        <v>10248574078</v>
      </c>
      <c r="U131" s="232">
        <v>10248574078</v>
      </c>
      <c r="V131" s="232">
        <v>0</v>
      </c>
      <c r="W131" s="233">
        <v>1</v>
      </c>
      <c r="X131" s="232">
        <v>0</v>
      </c>
      <c r="Y131" s="232">
        <v>10248574078</v>
      </c>
      <c r="Z131" s="233">
        <v>1</v>
      </c>
      <c r="AA131" s="232">
        <v>0</v>
      </c>
      <c r="AB131" s="232">
        <v>0</v>
      </c>
      <c r="AC131" s="233">
        <v>0</v>
      </c>
    </row>
    <row r="132" spans="1:29" ht="24.95" customHeight="1">
      <c r="A132" s="32" t="s">
        <v>455</v>
      </c>
      <c r="B132" s="210" t="s">
        <v>456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176</v>
      </c>
      <c r="I132" s="212"/>
      <c r="J132" s="212"/>
      <c r="K132" s="213" t="s">
        <v>144</v>
      </c>
      <c r="L132" s="214" t="s">
        <v>29</v>
      </c>
      <c r="M132" s="210" t="s">
        <v>177</v>
      </c>
      <c r="N132" s="215">
        <v>1189683575</v>
      </c>
      <c r="O132" s="215">
        <v>0</v>
      </c>
      <c r="P132" s="215">
        <v>0</v>
      </c>
      <c r="Q132" s="215">
        <v>0</v>
      </c>
      <c r="R132" s="215">
        <v>0</v>
      </c>
      <c r="S132" s="215">
        <v>0</v>
      </c>
      <c r="T132" s="215">
        <v>1189683575</v>
      </c>
      <c r="U132" s="215">
        <v>1189683575</v>
      </c>
      <c r="V132" s="215">
        <v>0</v>
      </c>
      <c r="W132" s="216">
        <v>1</v>
      </c>
      <c r="X132" s="215">
        <v>0</v>
      </c>
      <c r="Y132" s="215">
        <v>1189683575</v>
      </c>
      <c r="Z132" s="216">
        <v>1</v>
      </c>
      <c r="AA132" s="215">
        <v>0</v>
      </c>
      <c r="AB132" s="215">
        <v>0</v>
      </c>
      <c r="AC132" s="216">
        <v>0</v>
      </c>
    </row>
    <row r="133" spans="1:29" ht="24.95" customHeight="1">
      <c r="A133" s="32" t="s">
        <v>457</v>
      </c>
      <c r="B133" s="217" t="s">
        <v>458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176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1189683575</v>
      </c>
      <c r="O133" s="222"/>
      <c r="P133" s="222"/>
      <c r="Q133" s="223"/>
      <c r="R133" s="222"/>
      <c r="S133" s="222"/>
      <c r="T133" s="222">
        <v>1189683575</v>
      </c>
      <c r="U133" s="222">
        <v>1189683575</v>
      </c>
      <c r="V133" s="222">
        <v>0</v>
      </c>
      <c r="W133" s="224">
        <v>1</v>
      </c>
      <c r="X133" s="222">
        <v>0</v>
      </c>
      <c r="Y133" s="222">
        <v>1189683575</v>
      </c>
      <c r="Z133" s="224">
        <v>1</v>
      </c>
      <c r="AA133" s="222">
        <v>0</v>
      </c>
      <c r="AB133" s="222">
        <v>0</v>
      </c>
      <c r="AC133" s="224">
        <v>0</v>
      </c>
    </row>
    <row r="134" spans="1:29" ht="31.5" customHeight="1">
      <c r="A134" s="32" t="s">
        <v>459</v>
      </c>
      <c r="B134" s="210" t="s">
        <v>460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179</v>
      </c>
      <c r="I134" s="212"/>
      <c r="J134" s="212"/>
      <c r="K134" s="213" t="s">
        <v>144</v>
      </c>
      <c r="L134" s="214" t="s">
        <v>29</v>
      </c>
      <c r="M134" s="210" t="s">
        <v>180</v>
      </c>
      <c r="N134" s="215">
        <v>115014864</v>
      </c>
      <c r="O134" s="215">
        <v>0</v>
      </c>
      <c r="P134" s="215">
        <v>0</v>
      </c>
      <c r="Q134" s="215">
        <v>0</v>
      </c>
      <c r="R134" s="215">
        <v>0</v>
      </c>
      <c r="S134" s="215">
        <v>0</v>
      </c>
      <c r="T134" s="215">
        <v>115014864</v>
      </c>
      <c r="U134" s="215">
        <v>115014864</v>
      </c>
      <c r="V134" s="215">
        <v>0</v>
      </c>
      <c r="W134" s="216">
        <v>1</v>
      </c>
      <c r="X134" s="215">
        <v>0</v>
      </c>
      <c r="Y134" s="215">
        <v>115014864</v>
      </c>
      <c r="Z134" s="216">
        <v>1</v>
      </c>
      <c r="AA134" s="215">
        <v>0</v>
      </c>
      <c r="AB134" s="215">
        <v>0</v>
      </c>
      <c r="AC134" s="216">
        <v>0</v>
      </c>
    </row>
    <row r="135" spans="1:29" ht="24.95" customHeight="1">
      <c r="A135" s="32" t="s">
        <v>461</v>
      </c>
      <c r="B135" s="217" t="s">
        <v>462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179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115014864</v>
      </c>
      <c r="O135" s="222"/>
      <c r="P135" s="222"/>
      <c r="Q135" s="222"/>
      <c r="R135" s="222"/>
      <c r="S135" s="222"/>
      <c r="T135" s="222">
        <v>115014864</v>
      </c>
      <c r="U135" s="222">
        <v>115014864</v>
      </c>
      <c r="V135" s="222">
        <v>0</v>
      </c>
      <c r="W135" s="224">
        <v>1</v>
      </c>
      <c r="X135" s="222">
        <v>0</v>
      </c>
      <c r="Y135" s="222">
        <v>115014864</v>
      </c>
      <c r="Z135" s="224">
        <v>1</v>
      </c>
      <c r="AA135" s="222">
        <v>0</v>
      </c>
      <c r="AB135" s="222">
        <v>0</v>
      </c>
      <c r="AC135" s="224">
        <v>0</v>
      </c>
    </row>
    <row r="136" spans="1:29" ht="31.5" customHeight="1">
      <c r="A136" s="32" t="s">
        <v>463</v>
      </c>
      <c r="B136" s="210" t="s">
        <v>464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181</v>
      </c>
      <c r="I136" s="212"/>
      <c r="J136" s="212"/>
      <c r="K136" s="213" t="s">
        <v>144</v>
      </c>
      <c r="L136" s="214" t="s">
        <v>29</v>
      </c>
      <c r="M136" s="210" t="s">
        <v>182</v>
      </c>
      <c r="N136" s="215">
        <v>0</v>
      </c>
      <c r="O136" s="215">
        <v>0</v>
      </c>
      <c r="P136" s="215">
        <v>0</v>
      </c>
      <c r="Q136" s="215">
        <v>0</v>
      </c>
      <c r="R136" s="215">
        <v>0</v>
      </c>
      <c r="S136" s="215">
        <v>0</v>
      </c>
      <c r="T136" s="215">
        <v>0</v>
      </c>
      <c r="U136" s="215">
        <v>0</v>
      </c>
      <c r="V136" s="215">
        <v>0</v>
      </c>
      <c r="W136" s="216">
        <v>0</v>
      </c>
      <c r="X136" s="215">
        <v>0</v>
      </c>
      <c r="Y136" s="215">
        <v>0</v>
      </c>
      <c r="Z136" s="216">
        <v>0</v>
      </c>
      <c r="AA136" s="215">
        <v>0</v>
      </c>
      <c r="AB136" s="215">
        <v>0</v>
      </c>
      <c r="AC136" s="216">
        <v>0</v>
      </c>
    </row>
    <row r="137" spans="1:29" ht="24.95" customHeight="1">
      <c r="A137" s="32" t="s">
        <v>465</v>
      </c>
      <c r="B137" s="217" t="s">
        <v>466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181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/>
      <c r="O137" s="222"/>
      <c r="P137" s="222"/>
      <c r="Q137" s="222"/>
      <c r="R137" s="222"/>
      <c r="S137" s="222"/>
      <c r="T137" s="222">
        <v>0</v>
      </c>
      <c r="U137" s="222"/>
      <c r="V137" s="222">
        <v>0</v>
      </c>
      <c r="W137" s="224">
        <v>0</v>
      </c>
      <c r="X137" s="222"/>
      <c r="Y137" s="222">
        <v>0</v>
      </c>
      <c r="Z137" s="224">
        <v>0</v>
      </c>
      <c r="AA137" s="222"/>
      <c r="AB137" s="222">
        <v>0</v>
      </c>
      <c r="AC137" s="224">
        <v>0</v>
      </c>
    </row>
    <row r="138" spans="1:29" ht="31.5" customHeight="1">
      <c r="A138" s="32" t="s">
        <v>467</v>
      </c>
      <c r="B138" s="210" t="s">
        <v>468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183</v>
      </c>
      <c r="I138" s="212"/>
      <c r="J138" s="212"/>
      <c r="K138" s="213" t="s">
        <v>144</v>
      </c>
      <c r="L138" s="214" t="s">
        <v>29</v>
      </c>
      <c r="M138" s="210" t="s">
        <v>184</v>
      </c>
      <c r="N138" s="215">
        <v>0</v>
      </c>
      <c r="O138" s="215">
        <v>0</v>
      </c>
      <c r="P138" s="215">
        <v>0</v>
      </c>
      <c r="Q138" s="215">
        <v>0</v>
      </c>
      <c r="R138" s="215">
        <v>0</v>
      </c>
      <c r="S138" s="215">
        <v>0</v>
      </c>
      <c r="T138" s="215">
        <v>0</v>
      </c>
      <c r="U138" s="215">
        <v>0</v>
      </c>
      <c r="V138" s="215">
        <v>0</v>
      </c>
      <c r="W138" s="216">
        <v>0</v>
      </c>
      <c r="X138" s="215">
        <v>0</v>
      </c>
      <c r="Y138" s="215">
        <v>0</v>
      </c>
      <c r="Z138" s="216">
        <v>0</v>
      </c>
      <c r="AA138" s="215">
        <v>0</v>
      </c>
      <c r="AB138" s="215">
        <v>0</v>
      </c>
      <c r="AC138" s="216">
        <v>0</v>
      </c>
    </row>
    <row r="139" spans="1:29" ht="24.95" customHeight="1">
      <c r="A139" s="32" t="s">
        <v>469</v>
      </c>
      <c r="B139" s="217" t="s">
        <v>470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183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0</v>
      </c>
      <c r="O139" s="222"/>
      <c r="P139" s="222"/>
      <c r="Q139" s="222"/>
      <c r="R139" s="222"/>
      <c r="S139" s="222"/>
      <c r="T139" s="222">
        <v>0</v>
      </c>
      <c r="U139" s="222">
        <v>0</v>
      </c>
      <c r="V139" s="222">
        <v>0</v>
      </c>
      <c r="W139" s="224">
        <v>0</v>
      </c>
      <c r="X139" s="222">
        <v>0</v>
      </c>
      <c r="Y139" s="222">
        <v>0</v>
      </c>
      <c r="Z139" s="224">
        <v>0</v>
      </c>
      <c r="AA139" s="222">
        <v>0</v>
      </c>
      <c r="AB139" s="222">
        <v>0</v>
      </c>
      <c r="AC139" s="224">
        <v>0</v>
      </c>
    </row>
    <row r="140" spans="1:29" ht="24.95" customHeight="1">
      <c r="A140" s="32" t="s">
        <v>471</v>
      </c>
      <c r="B140" s="210" t="s">
        <v>472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185</v>
      </c>
      <c r="I140" s="212"/>
      <c r="J140" s="212"/>
      <c r="K140" s="213" t="s">
        <v>144</v>
      </c>
      <c r="L140" s="214" t="s">
        <v>29</v>
      </c>
      <c r="M140" s="210" t="s">
        <v>186</v>
      </c>
      <c r="N140" s="215">
        <v>8943875639</v>
      </c>
      <c r="O140" s="215">
        <v>0</v>
      </c>
      <c r="P140" s="215">
        <v>0</v>
      </c>
      <c r="Q140" s="215">
        <v>0</v>
      </c>
      <c r="R140" s="215">
        <v>0</v>
      </c>
      <c r="S140" s="215">
        <v>0</v>
      </c>
      <c r="T140" s="215">
        <v>8943875639</v>
      </c>
      <c r="U140" s="215">
        <v>8943875639</v>
      </c>
      <c r="V140" s="215">
        <v>0</v>
      </c>
      <c r="W140" s="216">
        <v>1</v>
      </c>
      <c r="X140" s="215">
        <v>0</v>
      </c>
      <c r="Y140" s="215">
        <v>8943875639</v>
      </c>
      <c r="Z140" s="216">
        <v>1</v>
      </c>
      <c r="AA140" s="215">
        <v>0</v>
      </c>
      <c r="AB140" s="215">
        <v>0</v>
      </c>
      <c r="AC140" s="216">
        <v>0</v>
      </c>
    </row>
    <row r="141" spans="1:29" ht="24.95" customHeight="1">
      <c r="A141" s="32" t="s">
        <v>473</v>
      </c>
      <c r="B141" s="217" t="s">
        <v>474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185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8943875639</v>
      </c>
      <c r="O141" s="222"/>
      <c r="P141" s="222"/>
      <c r="Q141" s="222"/>
      <c r="R141" s="222"/>
      <c r="S141" s="222"/>
      <c r="T141" s="222">
        <v>8943875639</v>
      </c>
      <c r="U141" s="222">
        <v>8943875639</v>
      </c>
      <c r="V141" s="222">
        <v>0</v>
      </c>
      <c r="W141" s="224">
        <v>1</v>
      </c>
      <c r="X141" s="222">
        <v>0</v>
      </c>
      <c r="Y141" s="222">
        <v>8943875639</v>
      </c>
      <c r="Z141" s="224">
        <v>1</v>
      </c>
      <c r="AA141" s="222">
        <v>0</v>
      </c>
      <c r="AB141" s="222">
        <v>0</v>
      </c>
      <c r="AC141" s="224">
        <v>0</v>
      </c>
    </row>
    <row r="142" spans="1:29" ht="31.5" customHeight="1">
      <c r="A142" s="32" t="s">
        <v>475</v>
      </c>
      <c r="B142" s="210" t="s">
        <v>476</v>
      </c>
      <c r="C142" s="211" t="s">
        <v>167</v>
      </c>
      <c r="D142" s="212" t="s">
        <v>171</v>
      </c>
      <c r="E142" s="212" t="s">
        <v>172</v>
      </c>
      <c r="F142" s="212" t="s">
        <v>173</v>
      </c>
      <c r="G142" s="212" t="s">
        <v>175</v>
      </c>
      <c r="H142" s="212" t="s">
        <v>187</v>
      </c>
      <c r="I142" s="212"/>
      <c r="J142" s="212"/>
      <c r="K142" s="213" t="s">
        <v>144</v>
      </c>
      <c r="L142" s="214" t="s">
        <v>29</v>
      </c>
      <c r="M142" s="210" t="s">
        <v>188</v>
      </c>
      <c r="N142" s="215">
        <v>0</v>
      </c>
      <c r="O142" s="215">
        <v>0</v>
      </c>
      <c r="P142" s="215">
        <v>0</v>
      </c>
      <c r="Q142" s="215">
        <v>0</v>
      </c>
      <c r="R142" s="215">
        <v>0</v>
      </c>
      <c r="S142" s="215">
        <v>0</v>
      </c>
      <c r="T142" s="215">
        <v>0</v>
      </c>
      <c r="U142" s="215">
        <v>0</v>
      </c>
      <c r="V142" s="215">
        <v>0</v>
      </c>
      <c r="W142" s="216">
        <v>0</v>
      </c>
      <c r="X142" s="215">
        <v>0</v>
      </c>
      <c r="Y142" s="215">
        <v>0</v>
      </c>
      <c r="Z142" s="216">
        <v>0</v>
      </c>
      <c r="AA142" s="215">
        <v>0</v>
      </c>
      <c r="AB142" s="215">
        <v>0</v>
      </c>
      <c r="AC142" s="216">
        <v>0</v>
      </c>
    </row>
    <row r="143" spans="1:29" ht="24.95" customHeight="1">
      <c r="A143" s="32" t="s">
        <v>477</v>
      </c>
      <c r="B143" s="217" t="s">
        <v>478</v>
      </c>
      <c r="C143" s="218" t="s">
        <v>167</v>
      </c>
      <c r="D143" s="219" t="s">
        <v>171</v>
      </c>
      <c r="E143" s="219" t="s">
        <v>172</v>
      </c>
      <c r="F143" s="219" t="s">
        <v>173</v>
      </c>
      <c r="G143" s="219" t="s">
        <v>175</v>
      </c>
      <c r="H143" s="219" t="s">
        <v>187</v>
      </c>
      <c r="I143" s="219" t="s">
        <v>54</v>
      </c>
      <c r="J143" s="219"/>
      <c r="K143" s="220" t="s">
        <v>144</v>
      </c>
      <c r="L143" s="221" t="s">
        <v>29</v>
      </c>
      <c r="M143" s="259" t="s">
        <v>178</v>
      </c>
      <c r="N143" s="222">
        <v>0</v>
      </c>
      <c r="O143" s="222"/>
      <c r="P143" s="222"/>
      <c r="Q143" s="222"/>
      <c r="R143" s="222"/>
      <c r="S143" s="222"/>
      <c r="T143" s="222">
        <v>0</v>
      </c>
      <c r="U143" s="222">
        <v>0</v>
      </c>
      <c r="V143" s="222">
        <v>0</v>
      </c>
      <c r="W143" s="224">
        <v>0</v>
      </c>
      <c r="X143" s="222">
        <v>0</v>
      </c>
      <c r="Y143" s="222">
        <v>0</v>
      </c>
      <c r="Z143" s="224">
        <v>0</v>
      </c>
      <c r="AA143" s="222">
        <v>0</v>
      </c>
      <c r="AB143" s="222">
        <v>0</v>
      </c>
      <c r="AC143" s="224">
        <v>0</v>
      </c>
    </row>
    <row r="144" spans="1:29" ht="24.95" customHeight="1">
      <c r="A144" s="32" t="s">
        <v>479</v>
      </c>
      <c r="B144" s="217" t="s">
        <v>480</v>
      </c>
      <c r="C144" s="218" t="s">
        <v>167</v>
      </c>
      <c r="D144" s="219" t="s">
        <v>171</v>
      </c>
      <c r="E144" s="219" t="s">
        <v>172</v>
      </c>
      <c r="F144" s="219" t="s">
        <v>173</v>
      </c>
      <c r="G144" s="219" t="s">
        <v>175</v>
      </c>
      <c r="H144" s="219" t="s">
        <v>187</v>
      </c>
      <c r="I144" s="225" t="s">
        <v>65</v>
      </c>
      <c r="J144" s="219"/>
      <c r="K144" s="220" t="s">
        <v>144</v>
      </c>
      <c r="L144" s="221" t="s">
        <v>29</v>
      </c>
      <c r="M144" s="259" t="s">
        <v>127</v>
      </c>
      <c r="N144" s="222">
        <v>0</v>
      </c>
      <c r="O144" s="222"/>
      <c r="P144" s="222"/>
      <c r="Q144" s="222"/>
      <c r="R144" s="222"/>
      <c r="S144" s="222"/>
      <c r="T144" s="222">
        <v>0</v>
      </c>
      <c r="U144" s="222">
        <v>0</v>
      </c>
      <c r="V144" s="222">
        <v>0</v>
      </c>
      <c r="W144" s="224">
        <v>0</v>
      </c>
      <c r="X144" s="222">
        <v>0</v>
      </c>
      <c r="Y144" s="222">
        <v>0</v>
      </c>
      <c r="Z144" s="224">
        <v>0</v>
      </c>
      <c r="AA144" s="222">
        <v>0</v>
      </c>
      <c r="AB144" s="222">
        <v>0</v>
      </c>
      <c r="AC144" s="224">
        <v>0</v>
      </c>
    </row>
    <row r="145" spans="1:52" ht="35.1" customHeight="1">
      <c r="A145" s="32" t="s">
        <v>481</v>
      </c>
      <c r="B145" s="188" t="s">
        <v>482</v>
      </c>
      <c r="C145" s="189" t="s">
        <v>167</v>
      </c>
      <c r="D145" s="191">
        <v>4103</v>
      </c>
      <c r="E145" s="191"/>
      <c r="F145" s="191"/>
      <c r="G145" s="191"/>
      <c r="H145" s="191"/>
      <c r="I145" s="191"/>
      <c r="J145" s="191"/>
      <c r="K145" s="192"/>
      <c r="L145" s="193"/>
      <c r="M145" s="188" t="s">
        <v>189</v>
      </c>
      <c r="N145" s="194">
        <v>6217033510554</v>
      </c>
      <c r="O145" s="194">
        <v>0</v>
      </c>
      <c r="P145" s="194">
        <v>0</v>
      </c>
      <c r="Q145" s="194">
        <v>18738203590.09</v>
      </c>
      <c r="R145" s="194">
        <v>18738203590.09</v>
      </c>
      <c r="S145" s="194">
        <v>526000000000</v>
      </c>
      <c r="T145" s="194">
        <v>5691033510554</v>
      </c>
      <c r="U145" s="194">
        <v>535618288455.30994</v>
      </c>
      <c r="V145" s="194">
        <v>5155415222098.6895</v>
      </c>
      <c r="W145" s="195">
        <v>9.4116171950491573E-2</v>
      </c>
      <c r="X145" s="194">
        <v>208512270000</v>
      </c>
      <c r="Y145" s="194">
        <v>327106018455.31</v>
      </c>
      <c r="Z145" s="195">
        <v>0.61070733674659161</v>
      </c>
      <c r="AA145" s="194">
        <v>208512270000</v>
      </c>
      <c r="AB145" s="194">
        <v>0</v>
      </c>
      <c r="AC145" s="195">
        <v>0.3892926632534085</v>
      </c>
    </row>
    <row r="146" spans="1:52" ht="24.95" customHeight="1">
      <c r="A146" s="32" t="s">
        <v>483</v>
      </c>
      <c r="B146" s="196" t="s">
        <v>296</v>
      </c>
      <c r="C146" s="197" t="s">
        <v>167</v>
      </c>
      <c r="D146" s="198">
        <v>4103</v>
      </c>
      <c r="E146" s="198">
        <v>1500</v>
      </c>
      <c r="F146" s="198"/>
      <c r="G146" s="198"/>
      <c r="H146" s="198"/>
      <c r="I146" s="198"/>
      <c r="J146" s="198"/>
      <c r="K146" s="199"/>
      <c r="L146" s="200"/>
      <c r="M146" s="196" t="s">
        <v>170</v>
      </c>
      <c r="N146" s="201">
        <v>6217033510554</v>
      </c>
      <c r="O146" s="201">
        <v>0</v>
      </c>
      <c r="P146" s="201">
        <v>0</v>
      </c>
      <c r="Q146" s="201">
        <v>18738203590.09</v>
      </c>
      <c r="R146" s="201">
        <v>18738203590.09</v>
      </c>
      <c r="S146" s="201">
        <v>526000000000</v>
      </c>
      <c r="T146" s="201">
        <v>5691033510554</v>
      </c>
      <c r="U146" s="201">
        <v>535618288455.30994</v>
      </c>
      <c r="V146" s="201">
        <v>5155415222098.6895</v>
      </c>
      <c r="W146" s="202">
        <v>9.4116171950491573E-2</v>
      </c>
      <c r="X146" s="201">
        <v>208512270000</v>
      </c>
      <c r="Y146" s="201">
        <v>327106018455.31</v>
      </c>
      <c r="Z146" s="202">
        <v>0.61070733674659161</v>
      </c>
      <c r="AA146" s="201">
        <v>208512270000</v>
      </c>
      <c r="AB146" s="201">
        <v>0</v>
      </c>
      <c r="AC146" s="202">
        <v>0.3892926632534085</v>
      </c>
    </row>
    <row r="147" spans="1:52" ht="45" customHeight="1">
      <c r="A147" s="32" t="s">
        <v>484</v>
      </c>
      <c r="B147" s="203" t="s">
        <v>297</v>
      </c>
      <c r="C147" s="227" t="s">
        <v>167</v>
      </c>
      <c r="D147" s="228" t="s">
        <v>190</v>
      </c>
      <c r="E147" s="228" t="s">
        <v>172</v>
      </c>
      <c r="F147" s="228" t="s">
        <v>191</v>
      </c>
      <c r="G147" s="228"/>
      <c r="H147" s="228"/>
      <c r="I147" s="228"/>
      <c r="J147" s="228"/>
      <c r="K147" s="229"/>
      <c r="L147" s="230"/>
      <c r="M147" s="231" t="s">
        <v>280</v>
      </c>
      <c r="N147" s="232">
        <v>2404147573733</v>
      </c>
      <c r="O147" s="232">
        <v>0</v>
      </c>
      <c r="P147" s="232">
        <v>0</v>
      </c>
      <c r="Q147" s="232">
        <v>4142452774.0900002</v>
      </c>
      <c r="R147" s="232">
        <v>4142452774.0900002</v>
      </c>
      <c r="S147" s="232">
        <v>0</v>
      </c>
      <c r="T147" s="232">
        <v>2404147573733</v>
      </c>
      <c r="U147" s="232">
        <v>17161526146.02</v>
      </c>
      <c r="V147" s="232">
        <v>2386986047586.98</v>
      </c>
      <c r="W147" s="233">
        <v>7.1382998005287699E-3</v>
      </c>
      <c r="X147" s="232">
        <v>0</v>
      </c>
      <c r="Y147" s="232">
        <v>17161526146.02</v>
      </c>
      <c r="Z147" s="233">
        <v>1</v>
      </c>
      <c r="AA147" s="232">
        <v>0</v>
      </c>
      <c r="AB147" s="232">
        <v>0</v>
      </c>
      <c r="AC147" s="233">
        <v>0</v>
      </c>
    </row>
    <row r="148" spans="1:52" ht="31.5" customHeight="1">
      <c r="A148" s="32" t="s">
        <v>485</v>
      </c>
      <c r="B148" s="210" t="s">
        <v>486</v>
      </c>
      <c r="C148" s="211" t="s">
        <v>167</v>
      </c>
      <c r="D148" s="212" t="s">
        <v>190</v>
      </c>
      <c r="E148" s="212" t="s">
        <v>172</v>
      </c>
      <c r="F148" s="212" t="s">
        <v>191</v>
      </c>
      <c r="G148" s="212" t="s">
        <v>175</v>
      </c>
      <c r="H148" s="212" t="s">
        <v>193</v>
      </c>
      <c r="I148" s="212"/>
      <c r="J148" s="212"/>
      <c r="K148" s="213"/>
      <c r="L148" s="214"/>
      <c r="M148" s="210" t="s">
        <v>194</v>
      </c>
      <c r="N148" s="215">
        <v>2398883573733</v>
      </c>
      <c r="O148" s="215">
        <v>0</v>
      </c>
      <c r="P148" s="215">
        <v>0</v>
      </c>
      <c r="Q148" s="215">
        <v>4142452774.0900002</v>
      </c>
      <c r="R148" s="215">
        <v>4142452774.0900002</v>
      </c>
      <c r="S148" s="215">
        <v>0</v>
      </c>
      <c r="T148" s="215">
        <v>2398883573733</v>
      </c>
      <c r="U148" s="215">
        <v>17161526146.02</v>
      </c>
      <c r="V148" s="215">
        <v>2381722047586.98</v>
      </c>
      <c r="W148" s="216">
        <v>7.1539637579468912E-3</v>
      </c>
      <c r="X148" s="215">
        <v>0</v>
      </c>
      <c r="Y148" s="215">
        <v>17161526146.02</v>
      </c>
      <c r="Z148" s="216">
        <v>1</v>
      </c>
      <c r="AA148" s="215">
        <v>0</v>
      </c>
      <c r="AB148" s="215">
        <v>0</v>
      </c>
      <c r="AC148" s="216">
        <v>0</v>
      </c>
    </row>
    <row r="149" spans="1:52" s="64" customFormat="1" ht="24.95" customHeight="1">
      <c r="A149" s="32" t="s">
        <v>487</v>
      </c>
      <c r="B149" s="217" t="s">
        <v>488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54</v>
      </c>
      <c r="J149" s="219"/>
      <c r="K149" s="220">
        <v>10</v>
      </c>
      <c r="L149" s="221" t="s">
        <v>29</v>
      </c>
      <c r="M149" s="259" t="s">
        <v>178</v>
      </c>
      <c r="N149" s="222">
        <v>0</v>
      </c>
      <c r="O149" s="637"/>
      <c r="P149" s="638"/>
      <c r="Q149" s="223"/>
      <c r="R149" s="223"/>
      <c r="S149" s="223"/>
      <c r="T149" s="222">
        <v>0</v>
      </c>
      <c r="U149" s="222">
        <v>0</v>
      </c>
      <c r="V149" s="222">
        <v>0</v>
      </c>
      <c r="W149" s="224">
        <v>0</v>
      </c>
      <c r="X149" s="222">
        <v>0</v>
      </c>
      <c r="Y149" s="222">
        <v>0</v>
      </c>
      <c r="Z149" s="224">
        <v>0</v>
      </c>
      <c r="AA149" s="222">
        <v>0</v>
      </c>
      <c r="AB149" s="222">
        <v>0</v>
      </c>
      <c r="AC149" s="224">
        <v>0</v>
      </c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</row>
    <row r="150" spans="1:52" s="64" customFormat="1" ht="24.95" customHeight="1">
      <c r="A150" s="32" t="s">
        <v>489</v>
      </c>
      <c r="B150" s="217" t="s">
        <v>488</v>
      </c>
      <c r="C150" s="266" t="s">
        <v>167</v>
      </c>
      <c r="D150" s="267" t="s">
        <v>190</v>
      </c>
      <c r="E150" s="267" t="s">
        <v>172</v>
      </c>
      <c r="F150" s="267" t="s">
        <v>191</v>
      </c>
      <c r="G150" s="267" t="s">
        <v>175</v>
      </c>
      <c r="H150" s="267" t="s">
        <v>193</v>
      </c>
      <c r="I150" s="267" t="s">
        <v>54</v>
      </c>
      <c r="J150" s="219"/>
      <c r="K150" s="220">
        <v>11</v>
      </c>
      <c r="L150" s="221" t="s">
        <v>29</v>
      </c>
      <c r="M150" s="259" t="s">
        <v>178</v>
      </c>
      <c r="N150" s="223">
        <v>137428156966</v>
      </c>
      <c r="O150" s="637"/>
      <c r="P150" s="638"/>
      <c r="Q150" s="222">
        <v>4142452774.0900002</v>
      </c>
      <c r="R150" s="223"/>
      <c r="S150" s="223"/>
      <c r="T150" s="222">
        <v>141570609740.09</v>
      </c>
      <c r="U150" s="222">
        <v>17161526146.02</v>
      </c>
      <c r="V150" s="222">
        <v>124409083594.06999</v>
      </c>
      <c r="W150" s="224">
        <v>0.1212223792602639</v>
      </c>
      <c r="X150" s="222">
        <v>0</v>
      </c>
      <c r="Y150" s="222">
        <v>17161526146.02</v>
      </c>
      <c r="Z150" s="224">
        <v>1</v>
      </c>
      <c r="AA150" s="222">
        <v>0</v>
      </c>
      <c r="AB150" s="222">
        <v>0</v>
      </c>
      <c r="AC150" s="224">
        <v>0</v>
      </c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</row>
    <row r="151" spans="1:52" ht="24.95" customHeight="1">
      <c r="A151" s="32" t="s">
        <v>490</v>
      </c>
      <c r="B151" s="217" t="s">
        <v>491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 t="s">
        <v>193</v>
      </c>
      <c r="I151" s="267" t="s">
        <v>65</v>
      </c>
      <c r="J151" s="219"/>
      <c r="K151" s="220">
        <v>10</v>
      </c>
      <c r="L151" s="221" t="s">
        <v>29</v>
      </c>
      <c r="M151" s="259" t="s">
        <v>127</v>
      </c>
      <c r="N151" s="222">
        <v>0</v>
      </c>
      <c r="O151" s="637"/>
      <c r="P151" s="638"/>
      <c r="Q151" s="223"/>
      <c r="R151" s="223"/>
      <c r="S151" s="223"/>
      <c r="T151" s="222">
        <v>0</v>
      </c>
      <c r="U151" s="222">
        <v>0</v>
      </c>
      <c r="V151" s="222">
        <v>0</v>
      </c>
      <c r="W151" s="224">
        <v>0</v>
      </c>
      <c r="X151" s="222">
        <v>0</v>
      </c>
      <c r="Y151" s="222">
        <v>0</v>
      </c>
      <c r="Z151" s="224">
        <v>0</v>
      </c>
      <c r="AA151" s="222">
        <v>0</v>
      </c>
      <c r="AB151" s="222">
        <v>0</v>
      </c>
      <c r="AC151" s="224">
        <v>0</v>
      </c>
    </row>
    <row r="152" spans="1:52" ht="24.95" customHeight="1">
      <c r="A152" s="32" t="s">
        <v>492</v>
      </c>
      <c r="B152" s="217" t="s">
        <v>491</v>
      </c>
      <c r="C152" s="266" t="s">
        <v>167</v>
      </c>
      <c r="D152" s="267" t="s">
        <v>190</v>
      </c>
      <c r="E152" s="267" t="s">
        <v>172</v>
      </c>
      <c r="F152" s="267" t="s">
        <v>191</v>
      </c>
      <c r="G152" s="267" t="s">
        <v>175</v>
      </c>
      <c r="H152" s="267" t="s">
        <v>193</v>
      </c>
      <c r="I152" s="267" t="s">
        <v>65</v>
      </c>
      <c r="J152" s="267"/>
      <c r="K152" s="268" t="s">
        <v>144</v>
      </c>
      <c r="L152" s="269" t="s">
        <v>29</v>
      </c>
      <c r="M152" s="259" t="s">
        <v>127</v>
      </c>
      <c r="N152" s="223">
        <v>2261455416767</v>
      </c>
      <c r="O152" s="223"/>
      <c r="P152" s="638"/>
      <c r="Q152" s="223"/>
      <c r="R152" s="222">
        <v>4142452774.0900002</v>
      </c>
      <c r="S152" s="638"/>
      <c r="T152" s="222">
        <v>2257312963992.9102</v>
      </c>
      <c r="U152" s="222">
        <v>0</v>
      </c>
      <c r="V152" s="222">
        <v>2257312963992.9102</v>
      </c>
      <c r="W152" s="224">
        <v>0</v>
      </c>
      <c r="X152" s="222">
        <v>0</v>
      </c>
      <c r="Y152" s="222">
        <v>0</v>
      </c>
      <c r="Z152" s="224">
        <v>0</v>
      </c>
      <c r="AA152" s="222">
        <v>0</v>
      </c>
      <c r="AB152" s="222">
        <v>0</v>
      </c>
      <c r="AC152" s="224">
        <v>0</v>
      </c>
    </row>
    <row r="153" spans="1:52" ht="33" customHeight="1">
      <c r="A153" s="32" t="s">
        <v>493</v>
      </c>
      <c r="B153" s="210" t="s">
        <v>494</v>
      </c>
      <c r="C153" s="211" t="s">
        <v>167</v>
      </c>
      <c r="D153" s="212" t="s">
        <v>190</v>
      </c>
      <c r="E153" s="212" t="s">
        <v>172</v>
      </c>
      <c r="F153" s="212" t="s">
        <v>191</v>
      </c>
      <c r="G153" s="212" t="s">
        <v>175</v>
      </c>
      <c r="H153" s="212">
        <v>4103009</v>
      </c>
      <c r="I153" s="212"/>
      <c r="J153" s="212"/>
      <c r="K153" s="252">
        <v>10</v>
      </c>
      <c r="L153" s="214" t="s">
        <v>29</v>
      </c>
      <c r="M153" s="210" t="s">
        <v>195</v>
      </c>
      <c r="N153" s="215">
        <v>5264000000</v>
      </c>
      <c r="O153" s="215">
        <v>0</v>
      </c>
      <c r="P153" s="215">
        <v>0</v>
      </c>
      <c r="Q153" s="215">
        <v>0</v>
      </c>
      <c r="R153" s="215">
        <v>0</v>
      </c>
      <c r="S153" s="215">
        <v>0</v>
      </c>
      <c r="T153" s="215">
        <v>5264000000</v>
      </c>
      <c r="U153" s="215">
        <v>0</v>
      </c>
      <c r="V153" s="215">
        <v>5264000000</v>
      </c>
      <c r="W153" s="216">
        <v>0</v>
      </c>
      <c r="X153" s="215">
        <v>0</v>
      </c>
      <c r="Y153" s="215">
        <v>0</v>
      </c>
      <c r="Z153" s="216">
        <v>0</v>
      </c>
      <c r="AA153" s="215">
        <v>0</v>
      </c>
      <c r="AB153" s="215">
        <v>0</v>
      </c>
      <c r="AC153" s="216">
        <v>0</v>
      </c>
    </row>
    <row r="154" spans="1:52" ht="24.95" customHeight="1">
      <c r="A154" s="32" t="s">
        <v>495</v>
      </c>
      <c r="B154" s="217" t="s">
        <v>496</v>
      </c>
      <c r="C154" s="266" t="s">
        <v>167</v>
      </c>
      <c r="D154" s="267" t="s">
        <v>190</v>
      </c>
      <c r="E154" s="267" t="s">
        <v>172</v>
      </c>
      <c r="F154" s="267" t="s">
        <v>191</v>
      </c>
      <c r="G154" s="267" t="s">
        <v>175</v>
      </c>
      <c r="H154" s="267">
        <v>4103009</v>
      </c>
      <c r="I154" s="267" t="s">
        <v>54</v>
      </c>
      <c r="J154" s="219"/>
      <c r="K154" s="270">
        <v>10</v>
      </c>
      <c r="L154" s="221" t="s">
        <v>29</v>
      </c>
      <c r="M154" s="259" t="s">
        <v>178</v>
      </c>
      <c r="N154" s="222">
        <v>0</v>
      </c>
      <c r="O154" s="222"/>
      <c r="P154" s="636"/>
      <c r="Q154" s="222"/>
      <c r="R154" s="223"/>
      <c r="S154" s="222"/>
      <c r="T154" s="222">
        <v>0</v>
      </c>
      <c r="U154" s="222">
        <v>0</v>
      </c>
      <c r="V154" s="222">
        <v>0</v>
      </c>
      <c r="W154" s="224">
        <v>0</v>
      </c>
      <c r="X154" s="222">
        <v>0</v>
      </c>
      <c r="Y154" s="222">
        <v>0</v>
      </c>
      <c r="Z154" s="224">
        <v>0</v>
      </c>
      <c r="AA154" s="222">
        <v>0</v>
      </c>
      <c r="AB154" s="222">
        <v>0</v>
      </c>
      <c r="AC154" s="224">
        <v>0</v>
      </c>
    </row>
    <row r="155" spans="1:52" ht="24.95" customHeight="1">
      <c r="A155" s="32" t="s">
        <v>781</v>
      </c>
      <c r="B155" s="217" t="s">
        <v>496</v>
      </c>
      <c r="C155" s="266" t="s">
        <v>167</v>
      </c>
      <c r="D155" s="267" t="s">
        <v>190</v>
      </c>
      <c r="E155" s="267" t="s">
        <v>172</v>
      </c>
      <c r="F155" s="267" t="s">
        <v>191</v>
      </c>
      <c r="G155" s="267" t="s">
        <v>175</v>
      </c>
      <c r="H155" s="267">
        <v>4103009</v>
      </c>
      <c r="I155" s="267" t="s">
        <v>54</v>
      </c>
      <c r="J155" s="219"/>
      <c r="K155" s="270">
        <v>11</v>
      </c>
      <c r="L155" s="221" t="s">
        <v>29</v>
      </c>
      <c r="M155" s="259" t="s">
        <v>178</v>
      </c>
      <c r="N155" s="222">
        <v>5264000000</v>
      </c>
      <c r="O155" s="222"/>
      <c r="P155" s="636"/>
      <c r="Q155" s="222"/>
      <c r="R155" s="223"/>
      <c r="S155" s="222"/>
      <c r="T155" s="222">
        <v>5264000000</v>
      </c>
      <c r="U155" s="222">
        <v>0</v>
      </c>
      <c r="V155" s="222">
        <v>5264000000</v>
      </c>
      <c r="W155" s="224">
        <v>0</v>
      </c>
      <c r="X155" s="222">
        <v>0</v>
      </c>
      <c r="Y155" s="222">
        <v>0</v>
      </c>
      <c r="Z155" s="224">
        <v>0</v>
      </c>
      <c r="AA155" s="222">
        <v>0</v>
      </c>
      <c r="AB155" s="222">
        <v>0</v>
      </c>
      <c r="AC155" s="224">
        <v>0</v>
      </c>
    </row>
    <row r="156" spans="1:52" s="64" customFormat="1" ht="50.25" customHeight="1">
      <c r="A156" s="32" t="s">
        <v>499</v>
      </c>
      <c r="B156" s="226" t="s">
        <v>298</v>
      </c>
      <c r="C156" s="227" t="s">
        <v>167</v>
      </c>
      <c r="D156" s="228" t="s">
        <v>190</v>
      </c>
      <c r="E156" s="228" t="s">
        <v>172</v>
      </c>
      <c r="F156" s="228" t="s">
        <v>22</v>
      </c>
      <c r="G156" s="228"/>
      <c r="H156" s="228"/>
      <c r="I156" s="228"/>
      <c r="J156" s="228"/>
      <c r="K156" s="229"/>
      <c r="L156" s="230"/>
      <c r="M156" s="231" t="s">
        <v>264</v>
      </c>
      <c r="N156" s="232">
        <v>26000000000</v>
      </c>
      <c r="O156" s="232">
        <v>0</v>
      </c>
      <c r="P156" s="232">
        <v>0</v>
      </c>
      <c r="Q156" s="232">
        <v>0</v>
      </c>
      <c r="R156" s="232">
        <v>0</v>
      </c>
      <c r="S156" s="232">
        <v>0</v>
      </c>
      <c r="T156" s="232">
        <v>26000000000</v>
      </c>
      <c r="U156" s="232">
        <v>1181901511</v>
      </c>
      <c r="V156" s="232">
        <v>24818098489</v>
      </c>
      <c r="W156" s="233">
        <v>4.5457750423076926E-2</v>
      </c>
      <c r="X156" s="232">
        <v>0</v>
      </c>
      <c r="Y156" s="232">
        <v>1181901511</v>
      </c>
      <c r="Z156" s="233">
        <v>1</v>
      </c>
      <c r="AA156" s="232">
        <v>0</v>
      </c>
      <c r="AB156" s="232">
        <v>0</v>
      </c>
      <c r="AC156" s="233">
        <v>0</v>
      </c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</row>
    <row r="157" spans="1:52" ht="32.25" customHeight="1">
      <c r="A157" s="32" t="s">
        <v>642</v>
      </c>
      <c r="B157" s="210" t="s">
        <v>500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197</v>
      </c>
      <c r="I157" s="212"/>
      <c r="J157" s="212"/>
      <c r="K157" s="213">
        <v>11</v>
      </c>
      <c r="L157" s="214" t="s">
        <v>29</v>
      </c>
      <c r="M157" s="210" t="s">
        <v>198</v>
      </c>
      <c r="N157" s="215">
        <v>2722234333</v>
      </c>
      <c r="O157" s="215">
        <v>0</v>
      </c>
      <c r="P157" s="215">
        <v>0</v>
      </c>
      <c r="Q157" s="215">
        <v>0</v>
      </c>
      <c r="R157" s="215">
        <v>0</v>
      </c>
      <c r="S157" s="215">
        <v>0</v>
      </c>
      <c r="T157" s="215">
        <v>2722234333</v>
      </c>
      <c r="U157" s="215">
        <v>0</v>
      </c>
      <c r="V157" s="215">
        <v>2722234333</v>
      </c>
      <c r="W157" s="216">
        <v>0</v>
      </c>
      <c r="X157" s="215">
        <v>0</v>
      </c>
      <c r="Y157" s="215">
        <v>0</v>
      </c>
      <c r="Z157" s="216">
        <v>0</v>
      </c>
      <c r="AA157" s="215">
        <v>0</v>
      </c>
      <c r="AB157" s="215">
        <v>0</v>
      </c>
      <c r="AC157" s="216">
        <v>0</v>
      </c>
    </row>
    <row r="158" spans="1:52" ht="24.95" customHeight="1">
      <c r="A158" s="32" t="s">
        <v>643</v>
      </c>
      <c r="B158" s="217" t="s">
        <v>501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197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2722234333</v>
      </c>
      <c r="O158" s="222"/>
      <c r="P158" s="222"/>
      <c r="Q158" s="222"/>
      <c r="R158" s="222"/>
      <c r="S158" s="222"/>
      <c r="T158" s="222">
        <v>2722234333</v>
      </c>
      <c r="U158" s="222">
        <v>0</v>
      </c>
      <c r="V158" s="222">
        <v>2722234333</v>
      </c>
      <c r="W158" s="224">
        <v>0</v>
      </c>
      <c r="X158" s="222">
        <v>0</v>
      </c>
      <c r="Y158" s="222">
        <v>0</v>
      </c>
      <c r="Z158" s="224">
        <v>0</v>
      </c>
      <c r="AA158" s="222">
        <v>0</v>
      </c>
      <c r="AB158" s="222">
        <v>0</v>
      </c>
      <c r="AC158" s="224">
        <v>0</v>
      </c>
    </row>
    <row r="159" spans="1:52" ht="32.25" customHeight="1">
      <c r="A159" s="32" t="s">
        <v>644</v>
      </c>
      <c r="B159" s="210" t="s">
        <v>502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199</v>
      </c>
      <c r="I159" s="212"/>
      <c r="J159" s="212"/>
      <c r="K159" s="213">
        <v>11</v>
      </c>
      <c r="L159" s="214" t="s">
        <v>29</v>
      </c>
      <c r="M159" s="210" t="s">
        <v>200</v>
      </c>
      <c r="N159" s="215">
        <v>2304259288</v>
      </c>
      <c r="O159" s="215">
        <v>0</v>
      </c>
      <c r="P159" s="215">
        <v>0</v>
      </c>
      <c r="Q159" s="215">
        <v>0</v>
      </c>
      <c r="R159" s="215">
        <v>0</v>
      </c>
      <c r="S159" s="215">
        <v>0</v>
      </c>
      <c r="T159" s="215">
        <v>2304259288</v>
      </c>
      <c r="U159" s="215">
        <v>0</v>
      </c>
      <c r="V159" s="215">
        <v>2304259288</v>
      </c>
      <c r="W159" s="216">
        <v>0</v>
      </c>
      <c r="X159" s="215">
        <v>0</v>
      </c>
      <c r="Y159" s="215">
        <v>0</v>
      </c>
      <c r="Z159" s="216">
        <v>0</v>
      </c>
      <c r="AA159" s="215">
        <v>0</v>
      </c>
      <c r="AB159" s="215">
        <v>0</v>
      </c>
      <c r="AC159" s="216">
        <v>0</v>
      </c>
    </row>
    <row r="160" spans="1:52" ht="24.95" customHeight="1">
      <c r="A160" s="32" t="s">
        <v>645</v>
      </c>
      <c r="B160" s="217" t="s">
        <v>503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199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2304259288</v>
      </c>
      <c r="O160" s="222"/>
      <c r="P160" s="222"/>
      <c r="Q160" s="222"/>
      <c r="R160" s="222"/>
      <c r="S160" s="222"/>
      <c r="T160" s="222">
        <v>2304259288</v>
      </c>
      <c r="U160" s="222">
        <v>0</v>
      </c>
      <c r="V160" s="222">
        <v>2304259288</v>
      </c>
      <c r="W160" s="224">
        <v>0</v>
      </c>
      <c r="X160" s="222">
        <v>0</v>
      </c>
      <c r="Y160" s="222">
        <v>0</v>
      </c>
      <c r="Z160" s="224">
        <v>0</v>
      </c>
      <c r="AA160" s="222">
        <v>0</v>
      </c>
      <c r="AB160" s="222">
        <v>0</v>
      </c>
      <c r="AC160" s="224">
        <v>0</v>
      </c>
    </row>
    <row r="161" spans="1:52" ht="32.25" customHeight="1">
      <c r="A161" s="32" t="s">
        <v>646</v>
      </c>
      <c r="B161" s="210" t="s">
        <v>504</v>
      </c>
      <c r="C161" s="211" t="s">
        <v>167</v>
      </c>
      <c r="D161" s="212" t="s">
        <v>190</v>
      </c>
      <c r="E161" s="212" t="s">
        <v>172</v>
      </c>
      <c r="F161" s="212" t="s">
        <v>22</v>
      </c>
      <c r="G161" s="212" t="s">
        <v>175</v>
      </c>
      <c r="H161" s="212" t="s">
        <v>201</v>
      </c>
      <c r="I161" s="212"/>
      <c r="J161" s="212"/>
      <c r="K161" s="213">
        <v>11</v>
      </c>
      <c r="L161" s="214" t="s">
        <v>29</v>
      </c>
      <c r="M161" s="210" t="s">
        <v>202</v>
      </c>
      <c r="N161" s="215">
        <v>2444410079</v>
      </c>
      <c r="O161" s="215">
        <v>0</v>
      </c>
      <c r="P161" s="215">
        <v>0</v>
      </c>
      <c r="Q161" s="215">
        <v>0</v>
      </c>
      <c r="R161" s="215">
        <v>0</v>
      </c>
      <c r="S161" s="215">
        <v>0</v>
      </c>
      <c r="T161" s="215">
        <v>2444410079</v>
      </c>
      <c r="U161" s="215">
        <v>1181901511</v>
      </c>
      <c r="V161" s="215">
        <v>1262508568</v>
      </c>
      <c r="W161" s="216">
        <v>0.48351196108776967</v>
      </c>
      <c r="X161" s="215">
        <v>0</v>
      </c>
      <c r="Y161" s="215">
        <v>1181901511</v>
      </c>
      <c r="Z161" s="216">
        <v>1</v>
      </c>
      <c r="AA161" s="215">
        <v>0</v>
      </c>
      <c r="AB161" s="215">
        <v>0</v>
      </c>
      <c r="AC161" s="216">
        <v>0</v>
      </c>
    </row>
    <row r="162" spans="1:52" ht="24.95" customHeight="1">
      <c r="A162" s="32" t="s">
        <v>647</v>
      </c>
      <c r="B162" s="217" t="s">
        <v>505</v>
      </c>
      <c r="C162" s="218" t="s">
        <v>167</v>
      </c>
      <c r="D162" s="219" t="s">
        <v>190</v>
      </c>
      <c r="E162" s="219" t="s">
        <v>172</v>
      </c>
      <c r="F162" s="219" t="s">
        <v>22</v>
      </c>
      <c r="G162" s="219" t="s">
        <v>175</v>
      </c>
      <c r="H162" s="219" t="s">
        <v>201</v>
      </c>
      <c r="I162" s="219" t="s">
        <v>54</v>
      </c>
      <c r="J162" s="219"/>
      <c r="K162" s="220">
        <v>11</v>
      </c>
      <c r="L162" s="221" t="s">
        <v>29</v>
      </c>
      <c r="M162" s="259" t="s">
        <v>178</v>
      </c>
      <c r="N162" s="222">
        <v>2444410079</v>
      </c>
      <c r="O162" s="222"/>
      <c r="P162" s="222"/>
      <c r="Q162" s="222"/>
      <c r="R162" s="222"/>
      <c r="S162" s="222"/>
      <c r="T162" s="222">
        <v>2444410079</v>
      </c>
      <c r="U162" s="222">
        <v>1181901511</v>
      </c>
      <c r="V162" s="222">
        <v>1262508568</v>
      </c>
      <c r="W162" s="224">
        <v>0.48351196108776967</v>
      </c>
      <c r="X162" s="222">
        <v>0</v>
      </c>
      <c r="Y162" s="222">
        <v>1181901511</v>
      </c>
      <c r="Z162" s="224">
        <v>1</v>
      </c>
      <c r="AA162" s="222">
        <v>0</v>
      </c>
      <c r="AB162" s="222">
        <v>0</v>
      </c>
      <c r="AC162" s="224">
        <v>0</v>
      </c>
    </row>
    <row r="163" spans="1:52" ht="32.25" customHeight="1">
      <c r="A163" s="32" t="s">
        <v>648</v>
      </c>
      <c r="B163" s="210" t="s">
        <v>506</v>
      </c>
      <c r="C163" s="211" t="s">
        <v>167</v>
      </c>
      <c r="D163" s="212" t="s">
        <v>190</v>
      </c>
      <c r="E163" s="212" t="s">
        <v>172</v>
      </c>
      <c r="F163" s="212" t="s">
        <v>22</v>
      </c>
      <c r="G163" s="212" t="s">
        <v>175</v>
      </c>
      <c r="H163" s="212" t="s">
        <v>203</v>
      </c>
      <c r="I163" s="212"/>
      <c r="J163" s="212"/>
      <c r="K163" s="213">
        <v>11</v>
      </c>
      <c r="L163" s="214" t="s">
        <v>29</v>
      </c>
      <c r="M163" s="210" t="s">
        <v>204</v>
      </c>
      <c r="N163" s="215">
        <v>18529096300</v>
      </c>
      <c r="O163" s="215">
        <v>0</v>
      </c>
      <c r="P163" s="215">
        <v>0</v>
      </c>
      <c r="Q163" s="215">
        <v>0</v>
      </c>
      <c r="R163" s="215">
        <v>0</v>
      </c>
      <c r="S163" s="215">
        <v>0</v>
      </c>
      <c r="T163" s="215">
        <v>18529096300</v>
      </c>
      <c r="U163" s="215">
        <v>0</v>
      </c>
      <c r="V163" s="215">
        <v>18529096300</v>
      </c>
      <c r="W163" s="216">
        <v>0</v>
      </c>
      <c r="X163" s="215">
        <v>0</v>
      </c>
      <c r="Y163" s="215">
        <v>0</v>
      </c>
      <c r="Z163" s="216">
        <v>0</v>
      </c>
      <c r="AA163" s="215">
        <v>0</v>
      </c>
      <c r="AB163" s="215">
        <v>0</v>
      </c>
      <c r="AC163" s="216">
        <v>0</v>
      </c>
    </row>
    <row r="164" spans="1:52" ht="24.95" customHeight="1">
      <c r="A164" s="32" t="s">
        <v>649</v>
      </c>
      <c r="B164" s="217" t="s">
        <v>507</v>
      </c>
      <c r="C164" s="218" t="s">
        <v>167</v>
      </c>
      <c r="D164" s="219" t="s">
        <v>190</v>
      </c>
      <c r="E164" s="219" t="s">
        <v>172</v>
      </c>
      <c r="F164" s="219" t="s">
        <v>22</v>
      </c>
      <c r="G164" s="219" t="s">
        <v>175</v>
      </c>
      <c r="H164" s="219" t="s">
        <v>203</v>
      </c>
      <c r="I164" s="219" t="s">
        <v>54</v>
      </c>
      <c r="J164" s="219"/>
      <c r="K164" s="220">
        <v>11</v>
      </c>
      <c r="L164" s="221" t="s">
        <v>29</v>
      </c>
      <c r="M164" s="259" t="s">
        <v>178</v>
      </c>
      <c r="N164" s="222">
        <v>18529096300</v>
      </c>
      <c r="O164" s="222"/>
      <c r="P164" s="222"/>
      <c r="Q164" s="222"/>
      <c r="R164" s="222"/>
      <c r="S164" s="222"/>
      <c r="T164" s="222">
        <v>18529096300</v>
      </c>
      <c r="U164" s="222">
        <v>0</v>
      </c>
      <c r="V164" s="222">
        <v>18529096300</v>
      </c>
      <c r="W164" s="224">
        <v>0</v>
      </c>
      <c r="X164" s="222">
        <v>0</v>
      </c>
      <c r="Y164" s="222">
        <v>0</v>
      </c>
      <c r="Z164" s="224">
        <v>0</v>
      </c>
      <c r="AA164" s="222">
        <v>0</v>
      </c>
      <c r="AB164" s="222">
        <v>0</v>
      </c>
      <c r="AC164" s="224">
        <v>0</v>
      </c>
    </row>
    <row r="165" spans="1:52" ht="44.25" customHeight="1">
      <c r="A165" s="32" t="s">
        <v>508</v>
      </c>
      <c r="B165" s="226" t="s">
        <v>299</v>
      </c>
      <c r="C165" s="227" t="s">
        <v>167</v>
      </c>
      <c r="D165" s="228" t="s">
        <v>190</v>
      </c>
      <c r="E165" s="228" t="s">
        <v>172</v>
      </c>
      <c r="F165" s="228" t="s">
        <v>205</v>
      </c>
      <c r="G165" s="228"/>
      <c r="H165" s="228"/>
      <c r="I165" s="228"/>
      <c r="J165" s="228"/>
      <c r="K165" s="229"/>
      <c r="L165" s="230"/>
      <c r="M165" s="231" t="s">
        <v>281</v>
      </c>
      <c r="N165" s="232">
        <v>881000000000</v>
      </c>
      <c r="O165" s="232">
        <v>0</v>
      </c>
      <c r="P165" s="232">
        <v>0</v>
      </c>
      <c r="Q165" s="232">
        <v>0</v>
      </c>
      <c r="R165" s="232">
        <v>0</v>
      </c>
      <c r="S165" s="232">
        <v>526000000000</v>
      </c>
      <c r="T165" s="232">
        <v>355000000000</v>
      </c>
      <c r="U165" s="232">
        <v>252555685925.19998</v>
      </c>
      <c r="V165" s="232">
        <v>102444314074.79999</v>
      </c>
      <c r="W165" s="233">
        <v>0.71142446739492948</v>
      </c>
      <c r="X165" s="232">
        <v>0</v>
      </c>
      <c r="Y165" s="232">
        <v>252555685925.19998</v>
      </c>
      <c r="Z165" s="233">
        <v>1</v>
      </c>
      <c r="AA165" s="232">
        <v>0</v>
      </c>
      <c r="AB165" s="232">
        <v>0</v>
      </c>
      <c r="AC165" s="233">
        <v>0</v>
      </c>
    </row>
    <row r="166" spans="1:52" ht="44.25" hidden="1" customHeight="1">
      <c r="A166" s="32"/>
      <c r="B166" s="226"/>
      <c r="C166" s="227"/>
      <c r="D166" s="228"/>
      <c r="E166" s="228"/>
      <c r="F166" s="228"/>
      <c r="G166" s="228"/>
      <c r="H166" s="228"/>
      <c r="I166" s="228"/>
      <c r="J166" s="228"/>
      <c r="K166" s="229"/>
      <c r="L166" s="230"/>
      <c r="M166" s="231"/>
      <c r="N166" s="682">
        <v>526000000000</v>
      </c>
      <c r="O166" s="232"/>
      <c r="P166" s="232"/>
      <c r="Q166" s="232"/>
      <c r="R166" s="232"/>
      <c r="S166" s="682">
        <v>526000000000</v>
      </c>
      <c r="T166" s="232">
        <v>0</v>
      </c>
      <c r="U166" s="232"/>
      <c r="V166" s="232"/>
      <c r="W166" s="233"/>
      <c r="X166" s="232"/>
      <c r="Y166" s="232"/>
      <c r="Z166" s="233"/>
      <c r="AA166" s="232"/>
      <c r="AB166" s="232"/>
      <c r="AC166" s="233"/>
    </row>
    <row r="167" spans="1:52" ht="33.75" customHeight="1">
      <c r="A167" s="32" t="s">
        <v>509</v>
      </c>
      <c r="B167" s="210" t="s">
        <v>510</v>
      </c>
      <c r="C167" s="211" t="s">
        <v>167</v>
      </c>
      <c r="D167" s="212" t="s">
        <v>190</v>
      </c>
      <c r="E167" s="212" t="s">
        <v>172</v>
      </c>
      <c r="F167" s="212" t="s">
        <v>205</v>
      </c>
      <c r="G167" s="212" t="s">
        <v>175</v>
      </c>
      <c r="H167" s="212" t="s">
        <v>207</v>
      </c>
      <c r="I167" s="212"/>
      <c r="J167" s="212"/>
      <c r="K167" s="213"/>
      <c r="L167" s="214"/>
      <c r="M167" s="210" t="s">
        <v>208</v>
      </c>
      <c r="N167" s="215">
        <v>331786185933</v>
      </c>
      <c r="O167" s="215">
        <v>0</v>
      </c>
      <c r="P167" s="215">
        <v>0</v>
      </c>
      <c r="Q167" s="215">
        <v>0</v>
      </c>
      <c r="R167" s="215">
        <v>0</v>
      </c>
      <c r="S167" s="215">
        <v>0</v>
      </c>
      <c r="T167" s="215">
        <v>331786185933</v>
      </c>
      <c r="U167" s="215">
        <v>241407007816.19998</v>
      </c>
      <c r="V167" s="215">
        <v>90379178116.799988</v>
      </c>
      <c r="W167" s="216">
        <v>0.72759812810575863</v>
      </c>
      <c r="X167" s="215">
        <v>0</v>
      </c>
      <c r="Y167" s="215">
        <v>241407007816.19998</v>
      </c>
      <c r="Z167" s="216">
        <v>1</v>
      </c>
      <c r="AA167" s="215">
        <v>0</v>
      </c>
      <c r="AB167" s="215">
        <v>0</v>
      </c>
      <c r="AC167" s="216">
        <v>0</v>
      </c>
    </row>
    <row r="168" spans="1:52" ht="24.95" customHeight="1">
      <c r="A168" s="32" t="s">
        <v>512</v>
      </c>
      <c r="B168" s="217" t="s">
        <v>511</v>
      </c>
      <c r="C168" s="266" t="s">
        <v>167</v>
      </c>
      <c r="D168" s="267" t="s">
        <v>190</v>
      </c>
      <c r="E168" s="267" t="s">
        <v>172</v>
      </c>
      <c r="F168" s="267" t="s">
        <v>205</v>
      </c>
      <c r="G168" s="267" t="s">
        <v>175</v>
      </c>
      <c r="H168" s="267" t="s">
        <v>207</v>
      </c>
      <c r="I168" s="267" t="s">
        <v>54</v>
      </c>
      <c r="J168" s="267"/>
      <c r="K168" s="268">
        <v>11</v>
      </c>
      <c r="L168" s="269" t="s">
        <v>29</v>
      </c>
      <c r="M168" s="259" t="s">
        <v>178</v>
      </c>
      <c r="N168" s="222">
        <v>27122315285.709999</v>
      </c>
      <c r="O168" s="222"/>
      <c r="P168" s="223"/>
      <c r="Q168" s="222"/>
      <c r="R168" s="223"/>
      <c r="S168" s="223"/>
      <c r="T168" s="222">
        <v>27122315285.709999</v>
      </c>
      <c r="U168" s="222">
        <v>26554370589.709999</v>
      </c>
      <c r="V168" s="222">
        <v>567944696</v>
      </c>
      <c r="W168" s="224">
        <v>0.97905987412884199</v>
      </c>
      <c r="X168" s="222">
        <v>0</v>
      </c>
      <c r="Y168" s="222">
        <v>26554370589.709999</v>
      </c>
      <c r="Z168" s="224">
        <v>1</v>
      </c>
      <c r="AA168" s="222">
        <v>0</v>
      </c>
      <c r="AB168" s="222">
        <v>0</v>
      </c>
      <c r="AC168" s="224">
        <v>0</v>
      </c>
    </row>
    <row r="169" spans="1:52" ht="24.95" customHeight="1">
      <c r="A169" s="32" t="s">
        <v>513</v>
      </c>
      <c r="B169" s="217" t="s">
        <v>514</v>
      </c>
      <c r="C169" s="266" t="s">
        <v>167</v>
      </c>
      <c r="D169" s="267" t="s">
        <v>190</v>
      </c>
      <c r="E169" s="267" t="s">
        <v>172</v>
      </c>
      <c r="F169" s="267" t="s">
        <v>205</v>
      </c>
      <c r="G169" s="267" t="s">
        <v>175</v>
      </c>
      <c r="H169" s="267" t="s">
        <v>207</v>
      </c>
      <c r="I169" s="267" t="s">
        <v>65</v>
      </c>
      <c r="J169" s="267"/>
      <c r="K169" s="271" t="s">
        <v>28</v>
      </c>
      <c r="L169" s="269" t="s">
        <v>29</v>
      </c>
      <c r="M169" s="259" t="s">
        <v>127</v>
      </c>
      <c r="N169" s="222"/>
      <c r="O169" s="222"/>
      <c r="P169" s="223"/>
      <c r="Q169" s="223"/>
      <c r="R169" s="223"/>
      <c r="S169" s="223"/>
      <c r="T169" s="222">
        <v>0</v>
      </c>
      <c r="U169" s="222"/>
      <c r="V169" s="222">
        <v>0</v>
      </c>
      <c r="W169" s="224">
        <v>0</v>
      </c>
      <c r="X169" s="222"/>
      <c r="Y169" s="222">
        <v>0</v>
      </c>
      <c r="Z169" s="224">
        <v>0</v>
      </c>
      <c r="AA169" s="222"/>
      <c r="AB169" s="222">
        <v>0</v>
      </c>
      <c r="AC169" s="224">
        <v>0</v>
      </c>
    </row>
    <row r="170" spans="1:52" ht="24.95" customHeight="1">
      <c r="A170" s="32" t="s">
        <v>515</v>
      </c>
      <c r="B170" s="217" t="s">
        <v>514</v>
      </c>
      <c r="C170" s="266" t="s">
        <v>167</v>
      </c>
      <c r="D170" s="267" t="s">
        <v>190</v>
      </c>
      <c r="E170" s="267" t="s">
        <v>172</v>
      </c>
      <c r="F170" s="267" t="s">
        <v>205</v>
      </c>
      <c r="G170" s="267" t="s">
        <v>175</v>
      </c>
      <c r="H170" s="267" t="s">
        <v>207</v>
      </c>
      <c r="I170" s="272" t="s">
        <v>65</v>
      </c>
      <c r="J170" s="273"/>
      <c r="K170" s="268">
        <v>11</v>
      </c>
      <c r="L170" s="269" t="s">
        <v>29</v>
      </c>
      <c r="M170" s="259" t="s">
        <v>127</v>
      </c>
      <c r="N170" s="222">
        <v>304663870647.28998</v>
      </c>
      <c r="O170" s="222"/>
      <c r="P170" s="223"/>
      <c r="Q170" s="223"/>
      <c r="R170" s="223"/>
      <c r="S170" s="223"/>
      <c r="T170" s="222">
        <v>304663870647.28998</v>
      </c>
      <c r="U170" s="222">
        <v>214852637226.48999</v>
      </c>
      <c r="V170" s="222">
        <v>89811233420.799988</v>
      </c>
      <c r="W170" s="224">
        <v>0.70521206459437835</v>
      </c>
      <c r="X170" s="222">
        <v>0</v>
      </c>
      <c r="Y170" s="222">
        <v>214852637226.48999</v>
      </c>
      <c r="Z170" s="224">
        <v>1</v>
      </c>
      <c r="AA170" s="222">
        <v>0</v>
      </c>
      <c r="AB170" s="222">
        <v>0</v>
      </c>
      <c r="AC170" s="224">
        <v>0</v>
      </c>
    </row>
    <row r="171" spans="1:52" ht="34.5" customHeight="1">
      <c r="A171" s="32" t="s">
        <v>650</v>
      </c>
      <c r="B171" s="210" t="s">
        <v>516</v>
      </c>
      <c r="C171" s="211" t="s">
        <v>167</v>
      </c>
      <c r="D171" s="212" t="s">
        <v>190</v>
      </c>
      <c r="E171" s="212" t="s">
        <v>172</v>
      </c>
      <c r="F171" s="212" t="s">
        <v>205</v>
      </c>
      <c r="G171" s="212" t="s">
        <v>175</v>
      </c>
      <c r="H171" s="212" t="s">
        <v>209</v>
      </c>
      <c r="I171" s="212"/>
      <c r="J171" s="212"/>
      <c r="K171" s="213">
        <v>11</v>
      </c>
      <c r="L171" s="214" t="s">
        <v>29</v>
      </c>
      <c r="M171" s="210" t="s">
        <v>210</v>
      </c>
      <c r="N171" s="215">
        <v>23213814067</v>
      </c>
      <c r="O171" s="215">
        <v>0</v>
      </c>
      <c r="P171" s="215">
        <v>0</v>
      </c>
      <c r="Q171" s="215">
        <v>0</v>
      </c>
      <c r="R171" s="215">
        <v>0</v>
      </c>
      <c r="S171" s="215">
        <v>0</v>
      </c>
      <c r="T171" s="215">
        <v>23213814067</v>
      </c>
      <c r="U171" s="215">
        <v>11148678109</v>
      </c>
      <c r="V171" s="215">
        <v>12065135958</v>
      </c>
      <c r="W171" s="216">
        <v>0.48026050681816207</v>
      </c>
      <c r="X171" s="215">
        <v>0</v>
      </c>
      <c r="Y171" s="215">
        <v>11148678109</v>
      </c>
      <c r="Z171" s="216">
        <v>1</v>
      </c>
      <c r="AA171" s="215">
        <v>0</v>
      </c>
      <c r="AB171" s="215">
        <v>0</v>
      </c>
      <c r="AC171" s="216">
        <v>0</v>
      </c>
    </row>
    <row r="172" spans="1:52" ht="24.95" customHeight="1">
      <c r="A172" s="32" t="s">
        <v>518</v>
      </c>
      <c r="B172" s="217" t="s">
        <v>517</v>
      </c>
      <c r="C172" s="266" t="s">
        <v>167</v>
      </c>
      <c r="D172" s="267" t="s">
        <v>190</v>
      </c>
      <c r="E172" s="267" t="s">
        <v>172</v>
      </c>
      <c r="F172" s="267" t="s">
        <v>205</v>
      </c>
      <c r="G172" s="267" t="s">
        <v>175</v>
      </c>
      <c r="H172" s="267" t="s">
        <v>209</v>
      </c>
      <c r="I172" s="267" t="s">
        <v>54</v>
      </c>
      <c r="J172" s="267"/>
      <c r="K172" s="268">
        <v>11</v>
      </c>
      <c r="L172" s="269" t="s">
        <v>29</v>
      </c>
      <c r="M172" s="259" t="s">
        <v>178</v>
      </c>
      <c r="N172" s="222">
        <v>23213814067</v>
      </c>
      <c r="O172" s="222"/>
      <c r="P172" s="222"/>
      <c r="Q172" s="222"/>
      <c r="R172" s="223"/>
      <c r="S172" s="222"/>
      <c r="T172" s="222">
        <v>23213814067</v>
      </c>
      <c r="U172" s="222">
        <v>11148678109</v>
      </c>
      <c r="V172" s="222">
        <v>12065135958</v>
      </c>
      <c r="W172" s="224">
        <v>0.48026050681816207</v>
      </c>
      <c r="X172" s="222">
        <v>0</v>
      </c>
      <c r="Y172" s="222">
        <v>11148678109</v>
      </c>
      <c r="Z172" s="224">
        <v>1</v>
      </c>
      <c r="AA172" s="222">
        <v>0</v>
      </c>
      <c r="AB172" s="222">
        <v>0</v>
      </c>
      <c r="AC172" s="224">
        <v>0</v>
      </c>
    </row>
    <row r="173" spans="1:52" ht="40.5" customHeight="1">
      <c r="A173" s="32" t="s">
        <v>519</v>
      </c>
      <c r="B173" s="226" t="s">
        <v>520</v>
      </c>
      <c r="C173" s="227" t="s">
        <v>167</v>
      </c>
      <c r="D173" s="228" t="s">
        <v>190</v>
      </c>
      <c r="E173" s="228" t="s">
        <v>172</v>
      </c>
      <c r="F173" s="228" t="s">
        <v>211</v>
      </c>
      <c r="G173" s="228"/>
      <c r="H173" s="228"/>
      <c r="I173" s="228"/>
      <c r="J173" s="228"/>
      <c r="K173" s="229"/>
      <c r="L173" s="230"/>
      <c r="M173" s="231" t="s">
        <v>282</v>
      </c>
      <c r="N173" s="232">
        <v>1500000000</v>
      </c>
      <c r="O173" s="232">
        <v>0</v>
      </c>
      <c r="P173" s="232">
        <v>0</v>
      </c>
      <c r="Q173" s="232">
        <v>0</v>
      </c>
      <c r="R173" s="232">
        <v>0</v>
      </c>
      <c r="S173" s="232">
        <v>0</v>
      </c>
      <c r="T173" s="232">
        <v>1500000000</v>
      </c>
      <c r="U173" s="232">
        <v>0</v>
      </c>
      <c r="V173" s="232">
        <v>1500000000</v>
      </c>
      <c r="W173" s="233">
        <v>0</v>
      </c>
      <c r="X173" s="232">
        <v>0</v>
      </c>
      <c r="Y173" s="232">
        <v>0</v>
      </c>
      <c r="Z173" s="233">
        <v>0</v>
      </c>
      <c r="AA173" s="232">
        <v>0</v>
      </c>
      <c r="AB173" s="232">
        <v>0</v>
      </c>
      <c r="AC173" s="233">
        <v>0</v>
      </c>
    </row>
    <row r="174" spans="1:52" s="90" customFormat="1" ht="36" customHeight="1">
      <c r="A174" s="32" t="s">
        <v>521</v>
      </c>
      <c r="B174" s="210" t="s">
        <v>522</v>
      </c>
      <c r="C174" s="211" t="s">
        <v>167</v>
      </c>
      <c r="D174" s="212" t="s">
        <v>190</v>
      </c>
      <c r="E174" s="212" t="s">
        <v>172</v>
      </c>
      <c r="F174" s="212" t="s">
        <v>211</v>
      </c>
      <c r="G174" s="212" t="s">
        <v>175</v>
      </c>
      <c r="H174" s="212" t="s">
        <v>213</v>
      </c>
      <c r="I174" s="212"/>
      <c r="J174" s="212"/>
      <c r="K174" s="213" t="s">
        <v>144</v>
      </c>
      <c r="L174" s="214" t="s">
        <v>29</v>
      </c>
      <c r="M174" s="210" t="s">
        <v>214</v>
      </c>
      <c r="N174" s="215">
        <v>1095000000</v>
      </c>
      <c r="O174" s="215">
        <v>0</v>
      </c>
      <c r="P174" s="215">
        <v>0</v>
      </c>
      <c r="Q174" s="215">
        <v>0</v>
      </c>
      <c r="R174" s="215">
        <v>0</v>
      </c>
      <c r="S174" s="215">
        <v>0</v>
      </c>
      <c r="T174" s="215">
        <v>1095000000</v>
      </c>
      <c r="U174" s="215">
        <v>0</v>
      </c>
      <c r="V174" s="215">
        <v>1095000000</v>
      </c>
      <c r="W174" s="216">
        <v>0</v>
      </c>
      <c r="X174" s="215">
        <v>0</v>
      </c>
      <c r="Y174" s="215">
        <v>0</v>
      </c>
      <c r="Z174" s="216">
        <v>0</v>
      </c>
      <c r="AA174" s="215">
        <v>0</v>
      </c>
      <c r="AB174" s="215">
        <v>0</v>
      </c>
      <c r="AC174" s="216">
        <v>0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24.95" customHeight="1">
      <c r="A175" s="32" t="s">
        <v>523</v>
      </c>
      <c r="B175" s="217" t="s">
        <v>524</v>
      </c>
      <c r="C175" s="218" t="s">
        <v>167</v>
      </c>
      <c r="D175" s="219" t="s">
        <v>190</v>
      </c>
      <c r="E175" s="219" t="s">
        <v>172</v>
      </c>
      <c r="F175" s="219" t="s">
        <v>211</v>
      </c>
      <c r="G175" s="219" t="s">
        <v>175</v>
      </c>
      <c r="H175" s="219" t="s">
        <v>213</v>
      </c>
      <c r="I175" s="219" t="s">
        <v>54</v>
      </c>
      <c r="J175" s="219"/>
      <c r="K175" s="220" t="s">
        <v>144</v>
      </c>
      <c r="L175" s="221" t="s">
        <v>29</v>
      </c>
      <c r="M175" s="259" t="s">
        <v>178</v>
      </c>
      <c r="N175" s="222">
        <v>1095000000</v>
      </c>
      <c r="O175" s="222"/>
      <c r="P175" s="222"/>
      <c r="Q175" s="222"/>
      <c r="R175" s="222"/>
      <c r="S175" s="222"/>
      <c r="T175" s="222">
        <v>1095000000</v>
      </c>
      <c r="U175" s="222"/>
      <c r="V175" s="222">
        <v>1095000000</v>
      </c>
      <c r="W175" s="224">
        <v>0</v>
      </c>
      <c r="X175" s="222"/>
      <c r="Y175" s="222">
        <v>0</v>
      </c>
      <c r="Z175" s="224">
        <v>0</v>
      </c>
      <c r="AA175" s="222"/>
      <c r="AB175" s="222">
        <v>0</v>
      </c>
      <c r="AC175" s="224">
        <v>0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24.95" customHeight="1">
      <c r="A176" s="32" t="s">
        <v>525</v>
      </c>
      <c r="B176" s="210" t="s">
        <v>526</v>
      </c>
      <c r="C176" s="211" t="s">
        <v>167</v>
      </c>
      <c r="D176" s="212" t="s">
        <v>190</v>
      </c>
      <c r="E176" s="212" t="s">
        <v>172</v>
      </c>
      <c r="F176" s="212" t="s">
        <v>211</v>
      </c>
      <c r="G176" s="212" t="s">
        <v>175</v>
      </c>
      <c r="H176" s="212" t="s">
        <v>215</v>
      </c>
      <c r="I176" s="212"/>
      <c r="J176" s="212"/>
      <c r="K176" s="213" t="s">
        <v>144</v>
      </c>
      <c r="L176" s="214" t="s">
        <v>29</v>
      </c>
      <c r="M176" s="210" t="s">
        <v>216</v>
      </c>
      <c r="N176" s="215">
        <v>405000000</v>
      </c>
      <c r="O176" s="215">
        <v>0</v>
      </c>
      <c r="P176" s="215">
        <v>0</v>
      </c>
      <c r="Q176" s="215">
        <v>0</v>
      </c>
      <c r="R176" s="215">
        <v>0</v>
      </c>
      <c r="S176" s="215">
        <v>0</v>
      </c>
      <c r="T176" s="215">
        <v>405000000</v>
      </c>
      <c r="U176" s="215">
        <v>0</v>
      </c>
      <c r="V176" s="215">
        <v>405000000</v>
      </c>
      <c r="W176" s="216">
        <v>0</v>
      </c>
      <c r="X176" s="215">
        <v>0</v>
      </c>
      <c r="Y176" s="215">
        <v>0</v>
      </c>
      <c r="Z176" s="216">
        <v>0</v>
      </c>
      <c r="AA176" s="215">
        <v>0</v>
      </c>
      <c r="AB176" s="215">
        <v>0</v>
      </c>
      <c r="AC176" s="216">
        <v>0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">
        <v>527</v>
      </c>
      <c r="B177" s="217" t="s">
        <v>528</v>
      </c>
      <c r="C177" s="218" t="s">
        <v>167</v>
      </c>
      <c r="D177" s="219" t="s">
        <v>190</v>
      </c>
      <c r="E177" s="219" t="s">
        <v>172</v>
      </c>
      <c r="F177" s="219" t="s">
        <v>211</v>
      </c>
      <c r="G177" s="219" t="s">
        <v>175</v>
      </c>
      <c r="H177" s="219" t="s">
        <v>215</v>
      </c>
      <c r="I177" s="219" t="s">
        <v>54</v>
      </c>
      <c r="J177" s="219"/>
      <c r="K177" s="220" t="s">
        <v>144</v>
      </c>
      <c r="L177" s="221" t="s">
        <v>29</v>
      </c>
      <c r="M177" s="259" t="s">
        <v>178</v>
      </c>
      <c r="N177" s="222">
        <v>405000000</v>
      </c>
      <c r="O177" s="222"/>
      <c r="P177" s="222"/>
      <c r="Q177" s="222"/>
      <c r="R177" s="222"/>
      <c r="S177" s="222"/>
      <c r="T177" s="222">
        <v>405000000</v>
      </c>
      <c r="U177" s="222"/>
      <c r="V177" s="222">
        <v>405000000</v>
      </c>
      <c r="W177" s="224">
        <v>0</v>
      </c>
      <c r="X177" s="222"/>
      <c r="Y177" s="222">
        <v>0</v>
      </c>
      <c r="Z177" s="224">
        <v>0</v>
      </c>
      <c r="AA177" s="222"/>
      <c r="AB177" s="222">
        <v>0</v>
      </c>
      <c r="AC177" s="224">
        <v>0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57" hidden="1" customHeight="1">
      <c r="A178" s="32" t="s">
        <v>529</v>
      </c>
      <c r="B178" s="226" t="s">
        <v>530</v>
      </c>
      <c r="C178" s="227" t="s">
        <v>167</v>
      </c>
      <c r="D178" s="228" t="s">
        <v>190</v>
      </c>
      <c r="E178" s="228" t="s">
        <v>172</v>
      </c>
      <c r="F178" s="228" t="s">
        <v>217</v>
      </c>
      <c r="G178" s="228"/>
      <c r="H178" s="228"/>
      <c r="I178" s="228"/>
      <c r="J178" s="228"/>
      <c r="K178" s="229"/>
      <c r="L178" s="230"/>
      <c r="M178" s="231" t="s">
        <v>283</v>
      </c>
      <c r="N178" s="232">
        <v>0</v>
      </c>
      <c r="O178" s="232">
        <v>0</v>
      </c>
      <c r="P178" s="232">
        <v>0</v>
      </c>
      <c r="Q178" s="232">
        <v>0</v>
      </c>
      <c r="R178" s="232">
        <v>0</v>
      </c>
      <c r="S178" s="232">
        <v>0</v>
      </c>
      <c r="T178" s="232">
        <v>0</v>
      </c>
      <c r="U178" s="232">
        <v>0</v>
      </c>
      <c r="V178" s="232">
        <v>0</v>
      </c>
      <c r="W178" s="233">
        <v>0</v>
      </c>
      <c r="X178" s="232">
        <v>0</v>
      </c>
      <c r="Y178" s="232">
        <v>0</v>
      </c>
      <c r="Z178" s="233">
        <v>0</v>
      </c>
      <c r="AA178" s="232">
        <v>0</v>
      </c>
      <c r="AB178" s="232">
        <v>0</v>
      </c>
      <c r="AC178" s="233">
        <v>0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24.95" hidden="1" customHeight="1">
      <c r="A179" s="32" t="s">
        <v>651</v>
      </c>
      <c r="B179" s="210" t="s">
        <v>531</v>
      </c>
      <c r="C179" s="211" t="s">
        <v>167</v>
      </c>
      <c r="D179" s="212" t="s">
        <v>190</v>
      </c>
      <c r="E179" s="212" t="s">
        <v>172</v>
      </c>
      <c r="F179" s="212" t="s">
        <v>217</v>
      </c>
      <c r="G179" s="212" t="s">
        <v>175</v>
      </c>
      <c r="H179" s="212" t="s">
        <v>219</v>
      </c>
      <c r="I179" s="212"/>
      <c r="J179" s="212"/>
      <c r="K179" s="213">
        <v>11</v>
      </c>
      <c r="L179" s="214" t="s">
        <v>29</v>
      </c>
      <c r="M179" s="210" t="s">
        <v>220</v>
      </c>
      <c r="N179" s="215">
        <v>0</v>
      </c>
      <c r="O179" s="215">
        <v>0</v>
      </c>
      <c r="P179" s="215">
        <v>0</v>
      </c>
      <c r="Q179" s="215">
        <v>0</v>
      </c>
      <c r="R179" s="215">
        <v>0</v>
      </c>
      <c r="S179" s="215">
        <v>0</v>
      </c>
      <c r="T179" s="215">
        <v>0</v>
      </c>
      <c r="U179" s="215">
        <v>0</v>
      </c>
      <c r="V179" s="215">
        <v>0</v>
      </c>
      <c r="W179" s="216">
        <v>0</v>
      </c>
      <c r="X179" s="215">
        <v>0</v>
      </c>
      <c r="Y179" s="215">
        <v>0</v>
      </c>
      <c r="Z179" s="216">
        <v>0</v>
      </c>
      <c r="AA179" s="215">
        <v>0</v>
      </c>
      <c r="AB179" s="215">
        <v>0</v>
      </c>
      <c r="AC179" s="216">
        <v>0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24.95" hidden="1" customHeight="1">
      <c r="A180" s="32" t="s">
        <v>652</v>
      </c>
      <c r="B180" s="217" t="s">
        <v>532</v>
      </c>
      <c r="C180" s="266" t="s">
        <v>167</v>
      </c>
      <c r="D180" s="267" t="s">
        <v>190</v>
      </c>
      <c r="E180" s="267" t="s">
        <v>172</v>
      </c>
      <c r="F180" s="267" t="s">
        <v>217</v>
      </c>
      <c r="G180" s="267" t="s">
        <v>175</v>
      </c>
      <c r="H180" s="267" t="s">
        <v>219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/>
      <c r="O180" s="222"/>
      <c r="P180" s="222"/>
      <c r="Q180" s="222"/>
      <c r="R180" s="222"/>
      <c r="S180" s="222"/>
      <c r="T180" s="222">
        <v>0</v>
      </c>
      <c r="U180" s="222"/>
      <c r="V180" s="222">
        <v>0</v>
      </c>
      <c r="W180" s="224">
        <v>0</v>
      </c>
      <c r="X180" s="222"/>
      <c r="Y180" s="222">
        <v>0</v>
      </c>
      <c r="Z180" s="224">
        <v>0</v>
      </c>
      <c r="AA180" s="222"/>
      <c r="AB180" s="222">
        <v>0</v>
      </c>
      <c r="AC180" s="224">
        <v>0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38.25" hidden="1" customHeight="1">
      <c r="A181" s="32" t="s">
        <v>653</v>
      </c>
      <c r="B181" s="210" t="s">
        <v>533</v>
      </c>
      <c r="C181" s="211" t="s">
        <v>167</v>
      </c>
      <c r="D181" s="212" t="s">
        <v>190</v>
      </c>
      <c r="E181" s="212" t="s">
        <v>172</v>
      </c>
      <c r="F181" s="212" t="s">
        <v>217</v>
      </c>
      <c r="G181" s="212" t="s">
        <v>175</v>
      </c>
      <c r="H181" s="212" t="s">
        <v>221</v>
      </c>
      <c r="I181" s="212"/>
      <c r="J181" s="212"/>
      <c r="K181" s="213">
        <v>11</v>
      </c>
      <c r="L181" s="214" t="s">
        <v>29</v>
      </c>
      <c r="M181" s="210" t="s">
        <v>222</v>
      </c>
      <c r="N181" s="215">
        <v>0</v>
      </c>
      <c r="O181" s="215">
        <v>0</v>
      </c>
      <c r="P181" s="215">
        <v>0</v>
      </c>
      <c r="Q181" s="215">
        <v>0</v>
      </c>
      <c r="R181" s="215">
        <v>0</v>
      </c>
      <c r="S181" s="215">
        <v>0</v>
      </c>
      <c r="T181" s="215">
        <v>0</v>
      </c>
      <c r="U181" s="215">
        <v>0</v>
      </c>
      <c r="V181" s="215">
        <v>0</v>
      </c>
      <c r="W181" s="216">
        <v>0</v>
      </c>
      <c r="X181" s="215">
        <v>0</v>
      </c>
      <c r="Y181" s="215">
        <v>0</v>
      </c>
      <c r="Z181" s="216">
        <v>0</v>
      </c>
      <c r="AA181" s="215">
        <v>0</v>
      </c>
      <c r="AB181" s="215">
        <v>0</v>
      </c>
      <c r="AC181" s="216">
        <v>0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24.95" hidden="1" customHeight="1">
      <c r="A182" s="32" t="s">
        <v>654</v>
      </c>
      <c r="B182" s="217" t="s">
        <v>535</v>
      </c>
      <c r="C182" s="266" t="s">
        <v>167</v>
      </c>
      <c r="D182" s="267" t="s">
        <v>190</v>
      </c>
      <c r="E182" s="267" t="s">
        <v>172</v>
      </c>
      <c r="F182" s="267" t="s">
        <v>217</v>
      </c>
      <c r="G182" s="267" t="s">
        <v>175</v>
      </c>
      <c r="H182" s="267" t="s">
        <v>221</v>
      </c>
      <c r="I182" s="274" t="s">
        <v>65</v>
      </c>
      <c r="J182" s="267"/>
      <c r="K182" s="268">
        <v>11</v>
      </c>
      <c r="L182" s="269" t="s">
        <v>29</v>
      </c>
      <c r="M182" s="259" t="s">
        <v>127</v>
      </c>
      <c r="N182" s="222"/>
      <c r="O182" s="222"/>
      <c r="P182" s="222"/>
      <c r="Q182" s="222"/>
      <c r="R182" s="222"/>
      <c r="S182" s="222"/>
      <c r="T182" s="222">
        <v>0</v>
      </c>
      <c r="U182" s="222"/>
      <c r="V182" s="222">
        <v>0</v>
      </c>
      <c r="W182" s="224">
        <v>0</v>
      </c>
      <c r="X182" s="222"/>
      <c r="Y182" s="222">
        <v>0</v>
      </c>
      <c r="Z182" s="224">
        <v>0</v>
      </c>
      <c r="AA182" s="222"/>
      <c r="AB182" s="222">
        <v>0</v>
      </c>
      <c r="AC182" s="224">
        <v>0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36" hidden="1" customHeight="1">
      <c r="A183" s="32" t="s">
        <v>655</v>
      </c>
      <c r="B183" s="210" t="s">
        <v>536</v>
      </c>
      <c r="C183" s="211" t="s">
        <v>167</v>
      </c>
      <c r="D183" s="212" t="s">
        <v>190</v>
      </c>
      <c r="E183" s="212" t="s">
        <v>172</v>
      </c>
      <c r="F183" s="212" t="s">
        <v>217</v>
      </c>
      <c r="G183" s="212" t="s">
        <v>175</v>
      </c>
      <c r="H183" s="212" t="s">
        <v>223</v>
      </c>
      <c r="I183" s="212"/>
      <c r="J183" s="212"/>
      <c r="K183" s="213">
        <v>11</v>
      </c>
      <c r="L183" s="214" t="s">
        <v>29</v>
      </c>
      <c r="M183" s="210" t="s">
        <v>224</v>
      </c>
      <c r="N183" s="215">
        <v>0</v>
      </c>
      <c r="O183" s="215">
        <v>0</v>
      </c>
      <c r="P183" s="215">
        <v>0</v>
      </c>
      <c r="Q183" s="215">
        <v>0</v>
      </c>
      <c r="R183" s="215">
        <v>0</v>
      </c>
      <c r="S183" s="215">
        <v>0</v>
      </c>
      <c r="T183" s="215">
        <v>0</v>
      </c>
      <c r="U183" s="215">
        <v>0</v>
      </c>
      <c r="V183" s="215">
        <v>0</v>
      </c>
      <c r="W183" s="216">
        <v>0</v>
      </c>
      <c r="X183" s="215">
        <v>0</v>
      </c>
      <c r="Y183" s="215">
        <v>0</v>
      </c>
      <c r="Z183" s="216">
        <v>0</v>
      </c>
      <c r="AA183" s="215">
        <v>0</v>
      </c>
      <c r="AB183" s="215">
        <v>0</v>
      </c>
      <c r="AC183" s="216">
        <v>0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24.95" hidden="1" customHeight="1">
      <c r="A184" s="32" t="s">
        <v>538</v>
      </c>
      <c r="B184" s="217" t="s">
        <v>537</v>
      </c>
      <c r="C184" s="266" t="s">
        <v>167</v>
      </c>
      <c r="D184" s="267" t="s">
        <v>190</v>
      </c>
      <c r="E184" s="267" t="s">
        <v>172</v>
      </c>
      <c r="F184" s="267" t="s">
        <v>217</v>
      </c>
      <c r="G184" s="267" t="s">
        <v>175</v>
      </c>
      <c r="H184" s="267" t="s">
        <v>223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/>
      <c r="O184" s="222"/>
      <c r="P184" s="222"/>
      <c r="Q184" s="223"/>
      <c r="R184" s="222"/>
      <c r="S184" s="222"/>
      <c r="T184" s="222">
        <v>0</v>
      </c>
      <c r="U184" s="222"/>
      <c r="V184" s="222">
        <v>0</v>
      </c>
      <c r="W184" s="224">
        <v>0</v>
      </c>
      <c r="X184" s="222"/>
      <c r="Y184" s="222">
        <v>0</v>
      </c>
      <c r="Z184" s="224">
        <v>0</v>
      </c>
      <c r="AA184" s="222"/>
      <c r="AB184" s="222">
        <v>0</v>
      </c>
      <c r="AC184" s="224">
        <v>0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36.75" hidden="1" customHeight="1">
      <c r="A185" s="32" t="s">
        <v>656</v>
      </c>
      <c r="B185" s="210" t="s">
        <v>540</v>
      </c>
      <c r="C185" s="211" t="s">
        <v>167</v>
      </c>
      <c r="D185" s="212" t="s">
        <v>190</v>
      </c>
      <c r="E185" s="212" t="s">
        <v>172</v>
      </c>
      <c r="F185" s="212" t="s">
        <v>217</v>
      </c>
      <c r="G185" s="212" t="s">
        <v>175</v>
      </c>
      <c r="H185" s="212" t="s">
        <v>225</v>
      </c>
      <c r="I185" s="212"/>
      <c r="J185" s="212"/>
      <c r="K185" s="213">
        <v>11</v>
      </c>
      <c r="L185" s="214" t="s">
        <v>29</v>
      </c>
      <c r="M185" s="210" t="s">
        <v>226</v>
      </c>
      <c r="N185" s="215">
        <v>0</v>
      </c>
      <c r="O185" s="215">
        <v>0</v>
      </c>
      <c r="P185" s="215">
        <v>0</v>
      </c>
      <c r="Q185" s="215">
        <v>0</v>
      </c>
      <c r="R185" s="215">
        <v>0</v>
      </c>
      <c r="S185" s="215">
        <v>0</v>
      </c>
      <c r="T185" s="215">
        <v>0</v>
      </c>
      <c r="U185" s="215">
        <v>0</v>
      </c>
      <c r="V185" s="215">
        <v>0</v>
      </c>
      <c r="W185" s="216">
        <v>0</v>
      </c>
      <c r="X185" s="215">
        <v>0</v>
      </c>
      <c r="Y185" s="215">
        <v>0</v>
      </c>
      <c r="Z185" s="216">
        <v>0</v>
      </c>
      <c r="AA185" s="215">
        <v>0</v>
      </c>
      <c r="AB185" s="215">
        <v>0</v>
      </c>
      <c r="AC185" s="216">
        <v>0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24.95" hidden="1" customHeight="1">
      <c r="A186" s="32" t="s">
        <v>542</v>
      </c>
      <c r="B186" s="217" t="s">
        <v>541</v>
      </c>
      <c r="C186" s="266" t="s">
        <v>167</v>
      </c>
      <c r="D186" s="267" t="s">
        <v>190</v>
      </c>
      <c r="E186" s="267" t="s">
        <v>172</v>
      </c>
      <c r="F186" s="267" t="s">
        <v>217</v>
      </c>
      <c r="G186" s="267" t="s">
        <v>175</v>
      </c>
      <c r="H186" s="267" t="s">
        <v>225</v>
      </c>
      <c r="I186" s="267" t="s">
        <v>54</v>
      </c>
      <c r="J186" s="267"/>
      <c r="K186" s="268">
        <v>11</v>
      </c>
      <c r="L186" s="269" t="s">
        <v>29</v>
      </c>
      <c r="M186" s="259" t="s">
        <v>178</v>
      </c>
      <c r="N186" s="222"/>
      <c r="O186" s="222"/>
      <c r="P186" s="222"/>
      <c r="Q186" s="222"/>
      <c r="R186" s="222"/>
      <c r="S186" s="222"/>
      <c r="T186" s="222">
        <v>0</v>
      </c>
      <c r="U186" s="222"/>
      <c r="V186" s="222">
        <v>0</v>
      </c>
      <c r="W186" s="224">
        <v>0</v>
      </c>
      <c r="X186" s="222"/>
      <c r="Y186" s="222">
        <v>0</v>
      </c>
      <c r="Z186" s="224">
        <v>0</v>
      </c>
      <c r="AA186" s="222"/>
      <c r="AB186" s="222">
        <v>0</v>
      </c>
      <c r="AC186" s="224">
        <v>0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42" hidden="1" customHeight="1">
      <c r="A187" s="32" t="s">
        <v>657</v>
      </c>
      <c r="B187" s="226" t="s">
        <v>658</v>
      </c>
      <c r="C187" s="227" t="s">
        <v>167</v>
      </c>
      <c r="D187" s="228" t="s">
        <v>190</v>
      </c>
      <c r="E187" s="228" t="s">
        <v>172</v>
      </c>
      <c r="F187" s="228">
        <v>18</v>
      </c>
      <c r="G187" s="228"/>
      <c r="H187" s="228"/>
      <c r="I187" s="228"/>
      <c r="J187" s="228"/>
      <c r="K187" s="229"/>
      <c r="L187" s="230"/>
      <c r="M187" s="231" t="s">
        <v>284</v>
      </c>
      <c r="N187" s="232">
        <v>0</v>
      </c>
      <c r="O187" s="232">
        <v>0</v>
      </c>
      <c r="P187" s="232">
        <v>0</v>
      </c>
      <c r="Q187" s="232">
        <v>0</v>
      </c>
      <c r="R187" s="232">
        <v>0</v>
      </c>
      <c r="S187" s="232">
        <v>0</v>
      </c>
      <c r="T187" s="232">
        <v>0</v>
      </c>
      <c r="U187" s="232">
        <v>0</v>
      </c>
      <c r="V187" s="232">
        <v>0</v>
      </c>
      <c r="W187" s="233">
        <v>0</v>
      </c>
      <c r="X187" s="232">
        <v>0</v>
      </c>
      <c r="Y187" s="232">
        <v>0</v>
      </c>
      <c r="Z187" s="233">
        <v>0</v>
      </c>
      <c r="AA187" s="232">
        <v>0</v>
      </c>
      <c r="AB187" s="232">
        <v>0</v>
      </c>
      <c r="AC187" s="233">
        <v>0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36" hidden="1" customHeight="1">
      <c r="A188" s="32" t="s">
        <v>659</v>
      </c>
      <c r="B188" s="210" t="s">
        <v>660</v>
      </c>
      <c r="C188" s="211" t="s">
        <v>167</v>
      </c>
      <c r="D188" s="212" t="s">
        <v>190</v>
      </c>
      <c r="E188" s="212" t="s">
        <v>172</v>
      </c>
      <c r="F188" s="212">
        <v>18</v>
      </c>
      <c r="G188" s="212" t="s">
        <v>175</v>
      </c>
      <c r="H188" s="212">
        <v>4103050</v>
      </c>
      <c r="I188" s="212"/>
      <c r="J188" s="212"/>
      <c r="K188" s="213">
        <v>11</v>
      </c>
      <c r="L188" s="214" t="s">
        <v>29</v>
      </c>
      <c r="M188" s="210" t="s">
        <v>269</v>
      </c>
      <c r="N188" s="215">
        <v>0</v>
      </c>
      <c r="O188" s="215">
        <v>0</v>
      </c>
      <c r="P188" s="215">
        <v>0</v>
      </c>
      <c r="Q188" s="215">
        <v>0</v>
      </c>
      <c r="R188" s="215">
        <v>0</v>
      </c>
      <c r="S188" s="215">
        <v>0</v>
      </c>
      <c r="T188" s="215">
        <v>0</v>
      </c>
      <c r="U188" s="215">
        <v>0</v>
      </c>
      <c r="V188" s="215">
        <v>0</v>
      </c>
      <c r="W188" s="216">
        <v>0</v>
      </c>
      <c r="X188" s="215">
        <v>0</v>
      </c>
      <c r="Y188" s="215">
        <v>0</v>
      </c>
      <c r="Z188" s="216">
        <v>0</v>
      </c>
      <c r="AA188" s="215">
        <v>0</v>
      </c>
      <c r="AB188" s="215">
        <v>0</v>
      </c>
      <c r="AC188" s="216">
        <v>0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24.95" hidden="1" customHeight="1">
      <c r="A189" s="32" t="s">
        <v>661</v>
      </c>
      <c r="B189" s="217" t="s">
        <v>662</v>
      </c>
      <c r="C189" s="266" t="s">
        <v>167</v>
      </c>
      <c r="D189" s="267" t="s">
        <v>190</v>
      </c>
      <c r="E189" s="267" t="s">
        <v>172</v>
      </c>
      <c r="F189" s="267">
        <v>18</v>
      </c>
      <c r="G189" s="267" t="s">
        <v>175</v>
      </c>
      <c r="H189" s="267">
        <v>4103050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/>
      <c r="O189" s="222"/>
      <c r="P189" s="222"/>
      <c r="Q189" s="222"/>
      <c r="R189" s="223"/>
      <c r="S189" s="222"/>
      <c r="T189" s="222">
        <v>0</v>
      </c>
      <c r="U189" s="222"/>
      <c r="V189" s="222">
        <v>0</v>
      </c>
      <c r="W189" s="224">
        <v>0</v>
      </c>
      <c r="X189" s="222"/>
      <c r="Y189" s="222">
        <v>0</v>
      </c>
      <c r="Z189" s="224">
        <v>0</v>
      </c>
      <c r="AA189" s="222"/>
      <c r="AB189" s="222">
        <v>0</v>
      </c>
      <c r="AC189" s="224">
        <v>0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36" customHeight="1">
      <c r="A190" s="32" t="s">
        <v>663</v>
      </c>
      <c r="B190" s="226" t="s">
        <v>664</v>
      </c>
      <c r="C190" s="227" t="s">
        <v>167</v>
      </c>
      <c r="D190" s="228" t="s">
        <v>190</v>
      </c>
      <c r="E190" s="228" t="s">
        <v>172</v>
      </c>
      <c r="F190" s="228">
        <v>19</v>
      </c>
      <c r="G190" s="228"/>
      <c r="H190" s="228"/>
      <c r="I190" s="228"/>
      <c r="J190" s="228"/>
      <c r="K190" s="229"/>
      <c r="L190" s="230"/>
      <c r="M190" s="683" t="s">
        <v>285</v>
      </c>
      <c r="N190" s="232">
        <v>12733806741</v>
      </c>
      <c r="O190" s="232">
        <v>0</v>
      </c>
      <c r="P190" s="232">
        <v>0</v>
      </c>
      <c r="Q190" s="232">
        <v>0</v>
      </c>
      <c r="R190" s="232">
        <v>0</v>
      </c>
      <c r="S190" s="232">
        <v>0</v>
      </c>
      <c r="T190" s="232">
        <v>12733806741</v>
      </c>
      <c r="U190" s="232">
        <v>8124459337</v>
      </c>
      <c r="V190" s="232">
        <v>4609347404</v>
      </c>
      <c r="W190" s="233">
        <v>0.63802282398719501</v>
      </c>
      <c r="X190" s="232">
        <v>0</v>
      </c>
      <c r="Y190" s="232">
        <v>8124459337</v>
      </c>
      <c r="Z190" s="233">
        <v>1</v>
      </c>
      <c r="AA190" s="232">
        <v>0</v>
      </c>
      <c r="AB190" s="232">
        <v>0</v>
      </c>
      <c r="AC190" s="233"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39.75" customHeight="1">
      <c r="A191" s="32" t="s">
        <v>665</v>
      </c>
      <c r="B191" s="210" t="s">
        <v>666</v>
      </c>
      <c r="C191" s="211" t="s">
        <v>167</v>
      </c>
      <c r="D191" s="212" t="s">
        <v>190</v>
      </c>
      <c r="E191" s="212" t="s">
        <v>172</v>
      </c>
      <c r="F191" s="212">
        <v>19</v>
      </c>
      <c r="G191" s="212" t="s">
        <v>175</v>
      </c>
      <c r="H191" s="212">
        <v>4103049</v>
      </c>
      <c r="I191" s="212"/>
      <c r="J191" s="212"/>
      <c r="K191" s="213">
        <v>11</v>
      </c>
      <c r="L191" s="214" t="s">
        <v>29</v>
      </c>
      <c r="M191" s="210" t="s">
        <v>228</v>
      </c>
      <c r="N191" s="215">
        <v>380000000</v>
      </c>
      <c r="O191" s="215">
        <v>0</v>
      </c>
      <c r="P191" s="215">
        <v>0</v>
      </c>
      <c r="Q191" s="215">
        <v>0</v>
      </c>
      <c r="R191" s="215">
        <v>0</v>
      </c>
      <c r="S191" s="215">
        <v>0</v>
      </c>
      <c r="T191" s="215">
        <v>380000000</v>
      </c>
      <c r="U191" s="215">
        <v>49180440</v>
      </c>
      <c r="V191" s="215">
        <v>330819560</v>
      </c>
      <c r="W191" s="216">
        <v>0.12942221052631578</v>
      </c>
      <c r="X191" s="215">
        <v>0</v>
      </c>
      <c r="Y191" s="215">
        <v>49180440</v>
      </c>
      <c r="Z191" s="216">
        <v>1</v>
      </c>
      <c r="AA191" s="215">
        <v>0</v>
      </c>
      <c r="AB191" s="215">
        <v>0</v>
      </c>
      <c r="AC191" s="216"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24.95" customHeight="1">
      <c r="A192" s="32" t="s">
        <v>667</v>
      </c>
      <c r="B192" s="217" t="s">
        <v>668</v>
      </c>
      <c r="C192" s="266" t="s">
        <v>167</v>
      </c>
      <c r="D192" s="267" t="s">
        <v>190</v>
      </c>
      <c r="E192" s="267" t="s">
        <v>172</v>
      </c>
      <c r="F192" s="267">
        <v>19</v>
      </c>
      <c r="G192" s="267" t="s">
        <v>175</v>
      </c>
      <c r="H192" s="267">
        <v>4103049</v>
      </c>
      <c r="I192" s="267" t="s">
        <v>54</v>
      </c>
      <c r="J192" s="267"/>
      <c r="K192" s="268">
        <v>11</v>
      </c>
      <c r="L192" s="269" t="s">
        <v>29</v>
      </c>
      <c r="M192" s="259" t="s">
        <v>178</v>
      </c>
      <c r="N192" s="222">
        <v>380000000</v>
      </c>
      <c r="O192" s="222"/>
      <c r="P192" s="222"/>
      <c r="Q192" s="222"/>
      <c r="R192" s="223"/>
      <c r="S192" s="222"/>
      <c r="T192" s="222">
        <v>380000000</v>
      </c>
      <c r="U192" s="222">
        <v>49180440</v>
      </c>
      <c r="V192" s="222">
        <v>330819560</v>
      </c>
      <c r="W192" s="224">
        <v>0.12942221052631578</v>
      </c>
      <c r="X192" s="222">
        <v>0</v>
      </c>
      <c r="Y192" s="222">
        <v>49180440</v>
      </c>
      <c r="Z192" s="224">
        <v>1</v>
      </c>
      <c r="AA192" s="222">
        <v>0</v>
      </c>
      <c r="AB192" s="222">
        <v>0</v>
      </c>
      <c r="AC192" s="224">
        <v>0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34.5" customHeight="1">
      <c r="A193" s="32" t="s">
        <v>669</v>
      </c>
      <c r="B193" s="210" t="s">
        <v>670</v>
      </c>
      <c r="C193" s="211" t="s">
        <v>167</v>
      </c>
      <c r="D193" s="212" t="s">
        <v>190</v>
      </c>
      <c r="E193" s="212" t="s">
        <v>172</v>
      </c>
      <c r="F193" s="212">
        <v>19</v>
      </c>
      <c r="G193" s="212" t="s">
        <v>175</v>
      </c>
      <c r="H193" s="212">
        <v>4103052</v>
      </c>
      <c r="I193" s="212"/>
      <c r="J193" s="212"/>
      <c r="K193" s="213">
        <v>11</v>
      </c>
      <c r="L193" s="214" t="s">
        <v>29</v>
      </c>
      <c r="M193" s="210" t="s">
        <v>229</v>
      </c>
      <c r="N193" s="215">
        <v>12353806741</v>
      </c>
      <c r="O193" s="215">
        <v>0</v>
      </c>
      <c r="P193" s="215">
        <v>0</v>
      </c>
      <c r="Q193" s="215">
        <v>0</v>
      </c>
      <c r="R193" s="215">
        <v>0</v>
      </c>
      <c r="S193" s="215">
        <v>0</v>
      </c>
      <c r="T193" s="215">
        <v>12353806741</v>
      </c>
      <c r="U193" s="215">
        <v>8075278897</v>
      </c>
      <c r="V193" s="215">
        <v>4278527844</v>
      </c>
      <c r="W193" s="216">
        <v>0.65366725142296767</v>
      </c>
      <c r="X193" s="215">
        <v>0</v>
      </c>
      <c r="Y193" s="215">
        <v>8075278897</v>
      </c>
      <c r="Z193" s="216">
        <v>1</v>
      </c>
      <c r="AA193" s="215">
        <v>0</v>
      </c>
      <c r="AB193" s="215">
        <v>0</v>
      </c>
      <c r="AC193" s="216">
        <v>0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24.95" customHeight="1">
      <c r="A194" s="32" t="s">
        <v>671</v>
      </c>
      <c r="B194" s="217" t="s">
        <v>672</v>
      </c>
      <c r="C194" s="266" t="s">
        <v>167</v>
      </c>
      <c r="D194" s="267" t="s">
        <v>190</v>
      </c>
      <c r="E194" s="267" t="s">
        <v>172</v>
      </c>
      <c r="F194" s="267">
        <v>19</v>
      </c>
      <c r="G194" s="267" t="s">
        <v>175</v>
      </c>
      <c r="H194" s="267">
        <v>4103052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12353806741</v>
      </c>
      <c r="O194" s="222"/>
      <c r="P194" s="222"/>
      <c r="Q194" s="222"/>
      <c r="R194" s="223"/>
      <c r="S194" s="222"/>
      <c r="T194" s="222">
        <v>12353806741</v>
      </c>
      <c r="U194" s="222">
        <v>8075278897</v>
      </c>
      <c r="V194" s="222">
        <v>4278527844</v>
      </c>
      <c r="W194" s="224">
        <v>0.65366725142296767</v>
      </c>
      <c r="X194" s="222">
        <v>0</v>
      </c>
      <c r="Y194" s="222">
        <v>8075278897</v>
      </c>
      <c r="Z194" s="224">
        <v>1</v>
      </c>
      <c r="AA194" s="222">
        <v>0</v>
      </c>
      <c r="AB194" s="222">
        <v>0</v>
      </c>
      <c r="AC194" s="224">
        <v>0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">
        <v>673</v>
      </c>
      <c r="B195" s="210" t="s">
        <v>674</v>
      </c>
      <c r="C195" s="211" t="s">
        <v>167</v>
      </c>
      <c r="D195" s="212" t="s">
        <v>190</v>
      </c>
      <c r="E195" s="212" t="s">
        <v>172</v>
      </c>
      <c r="F195" s="212">
        <v>19</v>
      </c>
      <c r="G195" s="212" t="s">
        <v>175</v>
      </c>
      <c r="H195" s="212">
        <v>4103060</v>
      </c>
      <c r="I195" s="212"/>
      <c r="J195" s="212"/>
      <c r="K195" s="213">
        <v>11</v>
      </c>
      <c r="L195" s="214" t="s">
        <v>29</v>
      </c>
      <c r="M195" s="210" t="s">
        <v>216</v>
      </c>
      <c r="N195" s="215">
        <v>0</v>
      </c>
      <c r="O195" s="215">
        <v>0</v>
      </c>
      <c r="P195" s="215">
        <v>0</v>
      </c>
      <c r="Q195" s="215">
        <v>0</v>
      </c>
      <c r="R195" s="215">
        <v>0</v>
      </c>
      <c r="S195" s="215">
        <v>0</v>
      </c>
      <c r="T195" s="215">
        <v>0</v>
      </c>
      <c r="U195" s="215">
        <v>0</v>
      </c>
      <c r="V195" s="215">
        <v>0</v>
      </c>
      <c r="W195" s="216">
        <v>0</v>
      </c>
      <c r="X195" s="215">
        <v>0</v>
      </c>
      <c r="Y195" s="215">
        <v>0</v>
      </c>
      <c r="Z195" s="216">
        <v>0</v>
      </c>
      <c r="AA195" s="215">
        <v>0</v>
      </c>
      <c r="AB195" s="215">
        <v>0</v>
      </c>
      <c r="AC195" s="216">
        <v>0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24.95" customHeight="1">
      <c r="A196" s="32" t="s">
        <v>675</v>
      </c>
      <c r="B196" s="217" t="s">
        <v>676</v>
      </c>
      <c r="C196" s="266" t="s">
        <v>167</v>
      </c>
      <c r="D196" s="267" t="s">
        <v>190</v>
      </c>
      <c r="E196" s="267" t="s">
        <v>172</v>
      </c>
      <c r="F196" s="267">
        <v>19</v>
      </c>
      <c r="G196" s="267" t="s">
        <v>175</v>
      </c>
      <c r="H196" s="267">
        <v>4103060</v>
      </c>
      <c r="I196" s="267" t="s">
        <v>54</v>
      </c>
      <c r="J196" s="267"/>
      <c r="K196" s="268">
        <v>11</v>
      </c>
      <c r="L196" s="269" t="s">
        <v>29</v>
      </c>
      <c r="M196" s="259" t="s">
        <v>178</v>
      </c>
      <c r="N196" s="222"/>
      <c r="O196" s="222"/>
      <c r="P196" s="222"/>
      <c r="Q196" s="222"/>
      <c r="R196" s="222"/>
      <c r="S196" s="222"/>
      <c r="T196" s="222">
        <v>0</v>
      </c>
      <c r="U196" s="222">
        <v>0</v>
      </c>
      <c r="V196" s="222">
        <v>0</v>
      </c>
      <c r="W196" s="224">
        <v>0</v>
      </c>
      <c r="X196" s="222">
        <v>0</v>
      </c>
      <c r="Y196" s="222">
        <v>0</v>
      </c>
      <c r="Z196" s="224">
        <v>0</v>
      </c>
      <c r="AA196" s="222">
        <v>0</v>
      </c>
      <c r="AB196" s="222">
        <v>0</v>
      </c>
      <c r="AC196" s="224">
        <v>0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47.25" customHeight="1">
      <c r="A197" s="32" t="s">
        <v>677</v>
      </c>
      <c r="B197" s="226" t="s">
        <v>678</v>
      </c>
      <c r="C197" s="227" t="s">
        <v>167</v>
      </c>
      <c r="D197" s="228" t="s">
        <v>190</v>
      </c>
      <c r="E197" s="228" t="s">
        <v>172</v>
      </c>
      <c r="F197" s="228">
        <v>20</v>
      </c>
      <c r="G197" s="228"/>
      <c r="H197" s="228"/>
      <c r="I197" s="228"/>
      <c r="J197" s="228"/>
      <c r="K197" s="229"/>
      <c r="L197" s="230"/>
      <c r="M197" s="231" t="s">
        <v>777</v>
      </c>
      <c r="N197" s="232">
        <v>960000000000</v>
      </c>
      <c r="O197" s="232">
        <v>0</v>
      </c>
      <c r="P197" s="232">
        <v>0</v>
      </c>
      <c r="Q197" s="232">
        <v>0</v>
      </c>
      <c r="R197" s="232">
        <v>0</v>
      </c>
      <c r="S197" s="232">
        <v>0</v>
      </c>
      <c r="T197" s="232">
        <v>960000000000</v>
      </c>
      <c r="U197" s="232">
        <v>328331090</v>
      </c>
      <c r="V197" s="232">
        <v>959671668910</v>
      </c>
      <c r="W197" s="233">
        <v>3.4201155208333334E-4</v>
      </c>
      <c r="X197" s="232">
        <v>0</v>
      </c>
      <c r="Y197" s="232">
        <v>328331090</v>
      </c>
      <c r="Z197" s="233">
        <v>1</v>
      </c>
      <c r="AA197" s="232">
        <v>0</v>
      </c>
      <c r="AB197" s="232">
        <v>0</v>
      </c>
      <c r="AC197" s="233">
        <v>0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6.75" customHeight="1">
      <c r="A198" s="32" t="s">
        <v>679</v>
      </c>
      <c r="B198" s="210" t="s">
        <v>680</v>
      </c>
      <c r="C198" s="211" t="s">
        <v>167</v>
      </c>
      <c r="D198" s="212" t="s">
        <v>190</v>
      </c>
      <c r="E198" s="212" t="s">
        <v>172</v>
      </c>
      <c r="F198" s="212">
        <v>20</v>
      </c>
      <c r="G198" s="212" t="s">
        <v>175</v>
      </c>
      <c r="H198" s="212">
        <v>4103061</v>
      </c>
      <c r="I198" s="212"/>
      <c r="J198" s="212"/>
      <c r="K198" s="213">
        <v>11</v>
      </c>
      <c r="L198" s="214" t="s">
        <v>29</v>
      </c>
      <c r="M198" s="684" t="s">
        <v>231</v>
      </c>
      <c r="N198" s="215">
        <v>960000000000</v>
      </c>
      <c r="O198" s="215">
        <v>0</v>
      </c>
      <c r="P198" s="215">
        <v>0</v>
      </c>
      <c r="Q198" s="215">
        <v>0</v>
      </c>
      <c r="R198" s="215">
        <v>0</v>
      </c>
      <c r="S198" s="215">
        <v>0</v>
      </c>
      <c r="T198" s="215">
        <v>960000000000</v>
      </c>
      <c r="U198" s="215">
        <v>328331090</v>
      </c>
      <c r="V198" s="215">
        <v>959671668910</v>
      </c>
      <c r="W198" s="216">
        <v>3.4201155208333334E-4</v>
      </c>
      <c r="X198" s="215">
        <v>0</v>
      </c>
      <c r="Y198" s="215">
        <v>328331090</v>
      </c>
      <c r="Z198" s="216">
        <v>1</v>
      </c>
      <c r="AA198" s="215">
        <v>0</v>
      </c>
      <c r="AB198" s="215">
        <v>0</v>
      </c>
      <c r="AC198" s="216">
        <v>0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24.95" customHeight="1">
      <c r="A199" s="32" t="s">
        <v>681</v>
      </c>
      <c r="B199" s="217" t="s">
        <v>682</v>
      </c>
      <c r="C199" s="266" t="s">
        <v>167</v>
      </c>
      <c r="D199" s="267" t="s">
        <v>190</v>
      </c>
      <c r="E199" s="267" t="s">
        <v>172</v>
      </c>
      <c r="F199" s="267">
        <v>20</v>
      </c>
      <c r="G199" s="267" t="s">
        <v>175</v>
      </c>
      <c r="H199" s="267">
        <v>4103061</v>
      </c>
      <c r="I199" s="267" t="s">
        <v>54</v>
      </c>
      <c r="J199" s="267"/>
      <c r="K199" s="268">
        <v>11</v>
      </c>
      <c r="L199" s="269" t="s">
        <v>29</v>
      </c>
      <c r="M199" s="259" t="s">
        <v>178</v>
      </c>
      <c r="N199" s="222">
        <v>52278387000</v>
      </c>
      <c r="O199" s="222"/>
      <c r="P199" s="222"/>
      <c r="Q199" s="222"/>
      <c r="R199" s="223"/>
      <c r="S199" s="222"/>
      <c r="T199" s="222">
        <v>52278387000</v>
      </c>
      <c r="U199" s="222">
        <v>328331090</v>
      </c>
      <c r="V199" s="222">
        <v>51950055910</v>
      </c>
      <c r="W199" s="224">
        <v>6.2804365023733421E-3</v>
      </c>
      <c r="X199" s="222">
        <v>0</v>
      </c>
      <c r="Y199" s="222">
        <v>328331090</v>
      </c>
      <c r="Z199" s="224">
        <v>1</v>
      </c>
      <c r="AA199" s="222">
        <v>0</v>
      </c>
      <c r="AB199" s="222">
        <v>0</v>
      </c>
      <c r="AC199" s="224">
        <v>0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>
      <c r="A200" s="32" t="s">
        <v>683</v>
      </c>
      <c r="B200" s="217" t="s">
        <v>684</v>
      </c>
      <c r="C200" s="266" t="s">
        <v>167</v>
      </c>
      <c r="D200" s="267" t="s">
        <v>190</v>
      </c>
      <c r="E200" s="267" t="s">
        <v>172</v>
      </c>
      <c r="F200" s="267">
        <v>20</v>
      </c>
      <c r="G200" s="267" t="s">
        <v>175</v>
      </c>
      <c r="H200" s="267">
        <v>4103061</v>
      </c>
      <c r="I200" s="274" t="s">
        <v>65</v>
      </c>
      <c r="J200" s="267"/>
      <c r="K200" s="268">
        <v>11</v>
      </c>
      <c r="L200" s="269" t="s">
        <v>29</v>
      </c>
      <c r="M200" s="259" t="s">
        <v>127</v>
      </c>
      <c r="N200" s="222">
        <v>907721613000</v>
      </c>
      <c r="O200" s="222"/>
      <c r="P200" s="222"/>
      <c r="Q200" s="222"/>
      <c r="R200" s="223"/>
      <c r="S200" s="222"/>
      <c r="T200" s="222">
        <v>907721613000</v>
      </c>
      <c r="U200" s="222">
        <v>0</v>
      </c>
      <c r="V200" s="222">
        <v>907721613000</v>
      </c>
      <c r="W200" s="224">
        <v>0</v>
      </c>
      <c r="X200" s="222">
        <v>0</v>
      </c>
      <c r="Y200" s="222">
        <v>0</v>
      </c>
      <c r="Z200" s="224">
        <v>0</v>
      </c>
      <c r="AA200" s="222">
        <v>0</v>
      </c>
      <c r="AB200" s="222">
        <v>0</v>
      </c>
      <c r="AC200" s="224">
        <v>0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ht="52.5" customHeight="1">
      <c r="A201" s="32" t="s">
        <v>782</v>
      </c>
      <c r="B201" s="226" t="s">
        <v>692</v>
      </c>
      <c r="C201" s="227" t="s">
        <v>167</v>
      </c>
      <c r="D201" s="228">
        <v>4103</v>
      </c>
      <c r="E201" s="228" t="s">
        <v>172</v>
      </c>
      <c r="F201" s="228">
        <v>21</v>
      </c>
      <c r="G201" s="228"/>
      <c r="H201" s="228"/>
      <c r="I201" s="228"/>
      <c r="J201" s="228"/>
      <c r="K201" s="229"/>
      <c r="L201" s="230"/>
      <c r="M201" s="231" t="s">
        <v>914</v>
      </c>
      <c r="N201" s="232">
        <v>25000000000</v>
      </c>
      <c r="O201" s="232">
        <v>0</v>
      </c>
      <c r="P201" s="232">
        <v>0</v>
      </c>
      <c r="Q201" s="232">
        <v>14595750816</v>
      </c>
      <c r="R201" s="232">
        <v>14595750816</v>
      </c>
      <c r="S201" s="232">
        <v>0</v>
      </c>
      <c r="T201" s="232">
        <v>25000000000</v>
      </c>
      <c r="U201" s="232">
        <v>1051947141</v>
      </c>
      <c r="V201" s="232">
        <v>23948052859</v>
      </c>
      <c r="W201" s="233">
        <v>4.207788564E-2</v>
      </c>
      <c r="X201" s="232">
        <v>0</v>
      </c>
      <c r="Y201" s="232">
        <v>1051947141</v>
      </c>
      <c r="Z201" s="233">
        <v>1</v>
      </c>
      <c r="AA201" s="232">
        <v>0</v>
      </c>
      <c r="AB201" s="232">
        <v>0</v>
      </c>
      <c r="AC201" s="233">
        <v>0</v>
      </c>
    </row>
    <row r="202" spans="1:52" ht="24.95" customHeight="1">
      <c r="A202" s="32" t="s">
        <v>783</v>
      </c>
      <c r="B202" s="210" t="s">
        <v>693</v>
      </c>
      <c r="C202" s="211" t="s">
        <v>167</v>
      </c>
      <c r="D202" s="212">
        <v>4103</v>
      </c>
      <c r="E202" s="212" t="s">
        <v>172</v>
      </c>
      <c r="F202" s="212">
        <v>21</v>
      </c>
      <c r="G202" s="212" t="s">
        <v>175</v>
      </c>
      <c r="H202" s="212" t="s">
        <v>219</v>
      </c>
      <c r="I202" s="212"/>
      <c r="J202" s="212"/>
      <c r="K202" s="213" t="s">
        <v>144</v>
      </c>
      <c r="L202" s="214" t="s">
        <v>29</v>
      </c>
      <c r="M202" s="210" t="s">
        <v>233</v>
      </c>
      <c r="N202" s="215">
        <v>2606454177</v>
      </c>
      <c r="O202" s="215">
        <v>0</v>
      </c>
      <c r="P202" s="215">
        <v>0</v>
      </c>
      <c r="Q202" s="215">
        <v>0</v>
      </c>
      <c r="R202" s="215">
        <v>0</v>
      </c>
      <c r="S202" s="215">
        <v>0</v>
      </c>
      <c r="T202" s="215">
        <v>2606454177</v>
      </c>
      <c r="U202" s="215">
        <v>0</v>
      </c>
      <c r="V202" s="215">
        <v>2606454177</v>
      </c>
      <c r="W202" s="216">
        <v>0</v>
      </c>
      <c r="X202" s="215">
        <v>0</v>
      </c>
      <c r="Y202" s="215">
        <v>0</v>
      </c>
      <c r="Z202" s="216">
        <v>0</v>
      </c>
      <c r="AA202" s="215">
        <v>0</v>
      </c>
      <c r="AB202" s="215">
        <v>0</v>
      </c>
      <c r="AC202" s="216">
        <v>0</v>
      </c>
    </row>
    <row r="203" spans="1:52" ht="24.95" customHeight="1">
      <c r="A203" s="32" t="s">
        <v>784</v>
      </c>
      <c r="B203" s="217" t="s">
        <v>694</v>
      </c>
      <c r="C203" s="218" t="s">
        <v>167</v>
      </c>
      <c r="D203" s="219">
        <v>4103</v>
      </c>
      <c r="E203" s="219" t="s">
        <v>172</v>
      </c>
      <c r="F203" s="219">
        <v>21</v>
      </c>
      <c r="G203" s="219" t="s">
        <v>175</v>
      </c>
      <c r="H203" s="219" t="s">
        <v>219</v>
      </c>
      <c r="I203" s="219" t="s">
        <v>54</v>
      </c>
      <c r="J203" s="219"/>
      <c r="K203" s="220" t="s">
        <v>144</v>
      </c>
      <c r="L203" s="221" t="s">
        <v>29</v>
      </c>
      <c r="M203" s="259" t="s">
        <v>178</v>
      </c>
      <c r="N203" s="222">
        <v>2606454177</v>
      </c>
      <c r="O203" s="222"/>
      <c r="P203" s="222"/>
      <c r="Q203" s="223"/>
      <c r="R203" s="222"/>
      <c r="S203" s="222"/>
      <c r="T203" s="222">
        <v>2606454177</v>
      </c>
      <c r="U203" s="222"/>
      <c r="V203" s="222">
        <v>2606454177</v>
      </c>
      <c r="W203" s="224">
        <v>0</v>
      </c>
      <c r="X203" s="222">
        <v>0</v>
      </c>
      <c r="Y203" s="222">
        <v>0</v>
      </c>
      <c r="Z203" s="224">
        <v>0</v>
      </c>
      <c r="AA203" s="222">
        <v>0</v>
      </c>
      <c r="AB203" s="222">
        <v>0</v>
      </c>
      <c r="AC203" s="224">
        <v>0</v>
      </c>
    </row>
    <row r="204" spans="1:52" ht="29.25" customHeight="1">
      <c r="A204" s="32" t="s">
        <v>785</v>
      </c>
      <c r="B204" s="210" t="s">
        <v>695</v>
      </c>
      <c r="C204" s="211" t="s">
        <v>167</v>
      </c>
      <c r="D204" s="212">
        <v>4103</v>
      </c>
      <c r="E204" s="212" t="s">
        <v>172</v>
      </c>
      <c r="F204" s="212">
        <v>21</v>
      </c>
      <c r="G204" s="212" t="s">
        <v>175</v>
      </c>
      <c r="H204" s="212" t="s">
        <v>234</v>
      </c>
      <c r="I204" s="212"/>
      <c r="J204" s="212"/>
      <c r="K204" s="213" t="s">
        <v>144</v>
      </c>
      <c r="L204" s="214" t="s">
        <v>29</v>
      </c>
      <c r="M204" s="210" t="s">
        <v>235</v>
      </c>
      <c r="N204" s="215">
        <v>1252740115</v>
      </c>
      <c r="O204" s="215">
        <v>0</v>
      </c>
      <c r="P204" s="215">
        <v>0</v>
      </c>
      <c r="Q204" s="215">
        <v>0</v>
      </c>
      <c r="R204" s="215">
        <v>0</v>
      </c>
      <c r="S204" s="215">
        <v>0</v>
      </c>
      <c r="T204" s="215">
        <v>1252740115</v>
      </c>
      <c r="U204" s="215">
        <v>0</v>
      </c>
      <c r="V204" s="215">
        <v>1252740115</v>
      </c>
      <c r="W204" s="216">
        <v>0</v>
      </c>
      <c r="X204" s="215">
        <v>0</v>
      </c>
      <c r="Y204" s="215">
        <v>0</v>
      </c>
      <c r="Z204" s="216">
        <v>0</v>
      </c>
      <c r="AA204" s="215">
        <v>0</v>
      </c>
      <c r="AB204" s="215">
        <v>0</v>
      </c>
      <c r="AC204" s="216">
        <v>0</v>
      </c>
    </row>
    <row r="205" spans="1:52" ht="24.95" customHeight="1">
      <c r="A205" s="32" t="s">
        <v>786</v>
      </c>
      <c r="B205" s="217" t="s">
        <v>696</v>
      </c>
      <c r="C205" s="218" t="s">
        <v>167</v>
      </c>
      <c r="D205" s="219">
        <v>4103</v>
      </c>
      <c r="E205" s="219" t="s">
        <v>172</v>
      </c>
      <c r="F205" s="219">
        <v>21</v>
      </c>
      <c r="G205" s="219" t="s">
        <v>175</v>
      </c>
      <c r="H205" s="219" t="s">
        <v>234</v>
      </c>
      <c r="I205" s="219" t="s">
        <v>54</v>
      </c>
      <c r="J205" s="219"/>
      <c r="K205" s="220" t="s">
        <v>144</v>
      </c>
      <c r="L205" s="221" t="s">
        <v>29</v>
      </c>
      <c r="M205" s="259" t="s">
        <v>178</v>
      </c>
      <c r="N205" s="222">
        <v>1252740115</v>
      </c>
      <c r="O205" s="222"/>
      <c r="P205" s="222"/>
      <c r="Q205" s="222"/>
      <c r="R205" s="222"/>
      <c r="S205" s="222"/>
      <c r="T205" s="222">
        <v>1252740115</v>
      </c>
      <c r="U205" s="222"/>
      <c r="V205" s="222">
        <v>1252740115</v>
      </c>
      <c r="W205" s="224">
        <v>0</v>
      </c>
      <c r="X205" s="222">
        <v>0</v>
      </c>
      <c r="Y205" s="222">
        <v>0</v>
      </c>
      <c r="Z205" s="224">
        <v>0</v>
      </c>
      <c r="AA205" s="222">
        <v>0</v>
      </c>
      <c r="AB205" s="222">
        <v>0</v>
      </c>
      <c r="AC205" s="224">
        <v>0</v>
      </c>
    </row>
    <row r="206" spans="1:52" ht="31.5" customHeight="1">
      <c r="A206" s="32" t="s">
        <v>787</v>
      </c>
      <c r="B206" s="210" t="s">
        <v>697</v>
      </c>
      <c r="C206" s="211" t="s">
        <v>167</v>
      </c>
      <c r="D206" s="212">
        <v>4103</v>
      </c>
      <c r="E206" s="212" t="s">
        <v>172</v>
      </c>
      <c r="F206" s="212">
        <v>21</v>
      </c>
      <c r="G206" s="212" t="s">
        <v>175</v>
      </c>
      <c r="H206" s="212" t="s">
        <v>197</v>
      </c>
      <c r="I206" s="212"/>
      <c r="J206" s="212"/>
      <c r="K206" s="213" t="s">
        <v>144</v>
      </c>
      <c r="L206" s="214" t="s">
        <v>29</v>
      </c>
      <c r="M206" s="210" t="s">
        <v>236</v>
      </c>
      <c r="N206" s="215">
        <v>1722076323</v>
      </c>
      <c r="O206" s="215">
        <v>0</v>
      </c>
      <c r="P206" s="215">
        <v>0</v>
      </c>
      <c r="Q206" s="215">
        <v>0</v>
      </c>
      <c r="R206" s="215">
        <v>0</v>
      </c>
      <c r="S206" s="215">
        <v>0</v>
      </c>
      <c r="T206" s="215">
        <v>1722076323</v>
      </c>
      <c r="U206" s="215">
        <v>0</v>
      </c>
      <c r="V206" s="215">
        <v>1722076323</v>
      </c>
      <c r="W206" s="216">
        <v>0</v>
      </c>
      <c r="X206" s="215">
        <v>0</v>
      </c>
      <c r="Y206" s="215">
        <v>0</v>
      </c>
      <c r="Z206" s="216">
        <v>0</v>
      </c>
      <c r="AA206" s="215">
        <v>0</v>
      </c>
      <c r="AB206" s="215">
        <v>0</v>
      </c>
      <c r="AC206" s="216">
        <v>0</v>
      </c>
    </row>
    <row r="207" spans="1:52" ht="24.95" customHeight="1">
      <c r="A207" s="32" t="s">
        <v>788</v>
      </c>
      <c r="B207" s="217" t="s">
        <v>698</v>
      </c>
      <c r="C207" s="218" t="s">
        <v>167</v>
      </c>
      <c r="D207" s="219">
        <v>4103</v>
      </c>
      <c r="E207" s="219" t="s">
        <v>172</v>
      </c>
      <c r="F207" s="219">
        <v>21</v>
      </c>
      <c r="G207" s="219" t="s">
        <v>175</v>
      </c>
      <c r="H207" s="219" t="s">
        <v>197</v>
      </c>
      <c r="I207" s="219" t="s">
        <v>54</v>
      </c>
      <c r="J207" s="219"/>
      <c r="K207" s="220" t="s">
        <v>144</v>
      </c>
      <c r="L207" s="221" t="s">
        <v>29</v>
      </c>
      <c r="M207" s="259" t="s">
        <v>178</v>
      </c>
      <c r="N207" s="222">
        <v>1722076323</v>
      </c>
      <c r="O207" s="222"/>
      <c r="P207" s="222"/>
      <c r="Q207" s="222"/>
      <c r="R207" s="222"/>
      <c r="S207" s="222"/>
      <c r="T207" s="222">
        <v>1722076323</v>
      </c>
      <c r="U207" s="222"/>
      <c r="V207" s="222">
        <v>1722076323</v>
      </c>
      <c r="W207" s="224">
        <v>0</v>
      </c>
      <c r="X207" s="222"/>
      <c r="Y207" s="222">
        <v>0</v>
      </c>
      <c r="Z207" s="224">
        <v>0</v>
      </c>
      <c r="AA207" s="222"/>
      <c r="AB207" s="222">
        <v>0</v>
      </c>
      <c r="AC207" s="224">
        <v>0</v>
      </c>
    </row>
    <row r="208" spans="1:52" ht="31.5" customHeight="1">
      <c r="A208" s="32" t="s">
        <v>789</v>
      </c>
      <c r="B208" s="210" t="s">
        <v>699</v>
      </c>
      <c r="C208" s="211" t="s">
        <v>167</v>
      </c>
      <c r="D208" s="212">
        <v>4103</v>
      </c>
      <c r="E208" s="212" t="s">
        <v>172</v>
      </c>
      <c r="F208" s="212">
        <v>21</v>
      </c>
      <c r="G208" s="212" t="s">
        <v>175</v>
      </c>
      <c r="H208" s="212" t="s">
        <v>203</v>
      </c>
      <c r="I208" s="212"/>
      <c r="J208" s="212"/>
      <c r="K208" s="213" t="s">
        <v>144</v>
      </c>
      <c r="L208" s="214" t="s">
        <v>29</v>
      </c>
      <c r="M208" s="210" t="s">
        <v>237</v>
      </c>
      <c r="N208" s="215">
        <v>4822978569</v>
      </c>
      <c r="O208" s="215">
        <v>0</v>
      </c>
      <c r="P208" s="215">
        <v>0</v>
      </c>
      <c r="Q208" s="215">
        <v>0</v>
      </c>
      <c r="R208" s="215">
        <v>0</v>
      </c>
      <c r="S208" s="215">
        <v>0</v>
      </c>
      <c r="T208" s="215">
        <v>4822978569</v>
      </c>
      <c r="U208" s="215">
        <v>0</v>
      </c>
      <c r="V208" s="215">
        <v>4822978569</v>
      </c>
      <c r="W208" s="216">
        <v>0</v>
      </c>
      <c r="X208" s="215">
        <v>0</v>
      </c>
      <c r="Y208" s="215">
        <v>0</v>
      </c>
      <c r="Z208" s="216">
        <v>0</v>
      </c>
      <c r="AA208" s="215">
        <v>0</v>
      </c>
      <c r="AB208" s="215">
        <v>0</v>
      </c>
      <c r="AC208" s="216">
        <v>0</v>
      </c>
    </row>
    <row r="209" spans="1:29" ht="24.95" customHeight="1">
      <c r="A209" s="32" t="s">
        <v>790</v>
      </c>
      <c r="B209" s="217" t="s">
        <v>700</v>
      </c>
      <c r="C209" s="218" t="s">
        <v>167</v>
      </c>
      <c r="D209" s="219">
        <v>4103</v>
      </c>
      <c r="E209" s="219" t="s">
        <v>172</v>
      </c>
      <c r="F209" s="219">
        <v>21</v>
      </c>
      <c r="G209" s="219" t="s">
        <v>175</v>
      </c>
      <c r="H209" s="219" t="s">
        <v>203</v>
      </c>
      <c r="I209" s="219" t="s">
        <v>54</v>
      </c>
      <c r="J209" s="219"/>
      <c r="K209" s="220" t="s">
        <v>144</v>
      </c>
      <c r="L209" s="221" t="s">
        <v>29</v>
      </c>
      <c r="M209" s="259" t="s">
        <v>178</v>
      </c>
      <c r="N209" s="222">
        <v>4822978569</v>
      </c>
      <c r="O209" s="222"/>
      <c r="P209" s="222"/>
      <c r="Q209" s="222"/>
      <c r="R209" s="222"/>
      <c r="S209" s="222"/>
      <c r="T209" s="222">
        <v>4822978569</v>
      </c>
      <c r="U209" s="222">
        <v>0</v>
      </c>
      <c r="V209" s="222">
        <v>4822978569</v>
      </c>
      <c r="W209" s="224">
        <v>0</v>
      </c>
      <c r="X209" s="222">
        <v>0</v>
      </c>
      <c r="Y209" s="222">
        <v>0</v>
      </c>
      <c r="Z209" s="224">
        <v>0</v>
      </c>
      <c r="AA209" s="222">
        <v>0</v>
      </c>
      <c r="AB209" s="222">
        <v>0</v>
      </c>
      <c r="AC209" s="224">
        <v>0</v>
      </c>
    </row>
    <row r="210" spans="1:29" ht="31.5" customHeight="1">
      <c r="A210" s="32" t="s">
        <v>791</v>
      </c>
      <c r="B210" s="210" t="s">
        <v>701</v>
      </c>
      <c r="C210" s="211" t="s">
        <v>167</v>
      </c>
      <c r="D210" s="212">
        <v>4103</v>
      </c>
      <c r="E210" s="212" t="s">
        <v>172</v>
      </c>
      <c r="F210" s="212">
        <v>21</v>
      </c>
      <c r="G210" s="212" t="s">
        <v>175</v>
      </c>
      <c r="H210" s="212" t="s">
        <v>223</v>
      </c>
      <c r="I210" s="212"/>
      <c r="J210" s="212"/>
      <c r="K210" s="213" t="s">
        <v>144</v>
      </c>
      <c r="L210" s="214" t="s">
        <v>29</v>
      </c>
      <c r="M210" s="210" t="s">
        <v>238</v>
      </c>
      <c r="N210" s="215">
        <v>14595750816</v>
      </c>
      <c r="O210" s="215">
        <v>0</v>
      </c>
      <c r="P210" s="215">
        <v>0</v>
      </c>
      <c r="Q210" s="215">
        <v>14595750816</v>
      </c>
      <c r="R210" s="215">
        <v>14595750816</v>
      </c>
      <c r="S210" s="215">
        <v>0</v>
      </c>
      <c r="T210" s="215">
        <v>14595750816</v>
      </c>
      <c r="U210" s="215">
        <v>1051947141</v>
      </c>
      <c r="V210" s="215">
        <v>13543803675</v>
      </c>
      <c r="W210" s="216">
        <v>7.2072149919608489E-2</v>
      </c>
      <c r="X210" s="215">
        <v>0</v>
      </c>
      <c r="Y210" s="215">
        <v>1051947141</v>
      </c>
      <c r="Z210" s="216">
        <v>1</v>
      </c>
      <c r="AA210" s="215">
        <v>0</v>
      </c>
      <c r="AB210" s="215">
        <v>0</v>
      </c>
      <c r="AC210" s="216">
        <v>0</v>
      </c>
    </row>
    <row r="211" spans="1:29" ht="24.95" customHeight="1">
      <c r="A211" s="32" t="s">
        <v>792</v>
      </c>
      <c r="B211" s="217" t="s">
        <v>702</v>
      </c>
      <c r="C211" s="218" t="s">
        <v>167</v>
      </c>
      <c r="D211" s="219">
        <v>4103</v>
      </c>
      <c r="E211" s="219" t="s">
        <v>172</v>
      </c>
      <c r="F211" s="219">
        <v>21</v>
      </c>
      <c r="G211" s="219" t="s">
        <v>175</v>
      </c>
      <c r="H211" s="219" t="s">
        <v>223</v>
      </c>
      <c r="I211" s="219" t="s">
        <v>54</v>
      </c>
      <c r="J211" s="219"/>
      <c r="K211" s="220" t="s">
        <v>144</v>
      </c>
      <c r="L211" s="221" t="s">
        <v>29</v>
      </c>
      <c r="M211" s="259" t="s">
        <v>178</v>
      </c>
      <c r="N211" s="223">
        <v>0</v>
      </c>
      <c r="O211" s="222"/>
      <c r="P211" s="222"/>
      <c r="Q211" s="222">
        <v>14595750816</v>
      </c>
      <c r="R211" s="222"/>
      <c r="S211" s="222"/>
      <c r="T211" s="222">
        <v>14595750816</v>
      </c>
      <c r="U211" s="222">
        <v>1051947141</v>
      </c>
      <c r="V211" s="222">
        <v>13543803675</v>
      </c>
      <c r="W211" s="224">
        <v>7.2072149919608489E-2</v>
      </c>
      <c r="X211" s="222">
        <v>0</v>
      </c>
      <c r="Y211" s="222">
        <v>1051947141</v>
      </c>
      <c r="Z211" s="224">
        <v>1</v>
      </c>
      <c r="AA211" s="222">
        <v>0</v>
      </c>
      <c r="AB211" s="222">
        <v>0</v>
      </c>
      <c r="AC211" s="224">
        <v>0</v>
      </c>
    </row>
    <row r="212" spans="1:29" ht="24.95" customHeight="1">
      <c r="A212" s="32" t="s">
        <v>793</v>
      </c>
      <c r="B212" s="217" t="s">
        <v>703</v>
      </c>
      <c r="C212" s="218" t="s">
        <v>167</v>
      </c>
      <c r="D212" s="219">
        <v>4103</v>
      </c>
      <c r="E212" s="219" t="s">
        <v>172</v>
      </c>
      <c r="F212" s="219">
        <v>21</v>
      </c>
      <c r="G212" s="219" t="s">
        <v>175</v>
      </c>
      <c r="H212" s="219" t="s">
        <v>223</v>
      </c>
      <c r="I212" s="225" t="s">
        <v>65</v>
      </c>
      <c r="J212" s="219"/>
      <c r="K212" s="220" t="s">
        <v>144</v>
      </c>
      <c r="L212" s="221" t="s">
        <v>29</v>
      </c>
      <c r="M212" s="259" t="s">
        <v>127</v>
      </c>
      <c r="N212" s="223">
        <v>14595750816</v>
      </c>
      <c r="O212" s="222"/>
      <c r="P212" s="222"/>
      <c r="Q212" s="222"/>
      <c r="R212" s="222">
        <v>14595750816</v>
      </c>
      <c r="S212" s="222"/>
      <c r="T212" s="222">
        <v>0</v>
      </c>
      <c r="U212" s="222">
        <v>0</v>
      </c>
      <c r="V212" s="222">
        <v>0</v>
      </c>
      <c r="W212" s="224">
        <v>0</v>
      </c>
      <c r="X212" s="222">
        <v>0</v>
      </c>
      <c r="Y212" s="222">
        <v>0</v>
      </c>
      <c r="Z212" s="224">
        <v>0</v>
      </c>
      <c r="AA212" s="222">
        <v>0</v>
      </c>
      <c r="AB212" s="222">
        <v>0</v>
      </c>
      <c r="AC212" s="224">
        <v>0</v>
      </c>
    </row>
    <row r="213" spans="1:29" ht="71.25" customHeight="1">
      <c r="A213" s="32" t="s">
        <v>794</v>
      </c>
      <c r="B213" s="226" t="s">
        <v>704</v>
      </c>
      <c r="C213" s="227" t="s">
        <v>167</v>
      </c>
      <c r="D213" s="228">
        <v>4103</v>
      </c>
      <c r="E213" s="228" t="s">
        <v>172</v>
      </c>
      <c r="F213" s="228">
        <v>22</v>
      </c>
      <c r="G213" s="228"/>
      <c r="H213" s="228"/>
      <c r="I213" s="228"/>
      <c r="J213" s="228"/>
      <c r="K213" s="229"/>
      <c r="L213" s="230"/>
      <c r="M213" s="683" t="s">
        <v>915</v>
      </c>
      <c r="N213" s="232">
        <v>137284000000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137284000000</v>
      </c>
      <c r="U213" s="232">
        <v>88398653074</v>
      </c>
      <c r="V213" s="232">
        <v>48885346926</v>
      </c>
      <c r="W213" s="233">
        <v>0.64391082044520842</v>
      </c>
      <c r="X213" s="232">
        <v>76052670000</v>
      </c>
      <c r="Y213" s="232">
        <v>12345983074</v>
      </c>
      <c r="Z213" s="233">
        <v>0.13966257001297258</v>
      </c>
      <c r="AA213" s="232">
        <v>76052670000</v>
      </c>
      <c r="AB213" s="232">
        <v>0</v>
      </c>
      <c r="AC213" s="233">
        <v>0.86033742998702745</v>
      </c>
    </row>
    <row r="214" spans="1:29" ht="31.5" customHeight="1">
      <c r="A214" s="32" t="s">
        <v>795</v>
      </c>
      <c r="B214" s="210" t="s">
        <v>705</v>
      </c>
      <c r="C214" s="211" t="s">
        <v>167</v>
      </c>
      <c r="D214" s="212">
        <v>4103</v>
      </c>
      <c r="E214" s="212" t="s">
        <v>172</v>
      </c>
      <c r="F214" s="212">
        <v>22</v>
      </c>
      <c r="G214" s="212" t="s">
        <v>175</v>
      </c>
      <c r="H214" s="212" t="s">
        <v>219</v>
      </c>
      <c r="I214" s="212"/>
      <c r="J214" s="212"/>
      <c r="K214" s="213" t="s">
        <v>144</v>
      </c>
      <c r="L214" s="214" t="s">
        <v>29</v>
      </c>
      <c r="M214" s="210" t="s">
        <v>240</v>
      </c>
      <c r="N214" s="215">
        <v>8350333435</v>
      </c>
      <c r="O214" s="215">
        <v>0</v>
      </c>
      <c r="P214" s="215">
        <v>0</v>
      </c>
      <c r="Q214" s="215">
        <v>0</v>
      </c>
      <c r="R214" s="215">
        <v>0</v>
      </c>
      <c r="S214" s="215">
        <v>0</v>
      </c>
      <c r="T214" s="215">
        <v>8350333435</v>
      </c>
      <c r="U214" s="215">
        <v>5812280682</v>
      </c>
      <c r="V214" s="215">
        <v>2538052753</v>
      </c>
      <c r="W214" s="216">
        <v>0.69605372375169117</v>
      </c>
      <c r="X214" s="215">
        <v>0</v>
      </c>
      <c r="Y214" s="215">
        <v>5812280682</v>
      </c>
      <c r="Z214" s="216">
        <v>1</v>
      </c>
      <c r="AA214" s="215">
        <v>0</v>
      </c>
      <c r="AB214" s="215">
        <v>0</v>
      </c>
      <c r="AC214" s="216">
        <v>0</v>
      </c>
    </row>
    <row r="215" spans="1:29" ht="24.95" customHeight="1">
      <c r="A215" s="32" t="s">
        <v>796</v>
      </c>
      <c r="B215" s="217" t="s">
        <v>706</v>
      </c>
      <c r="C215" s="218" t="s">
        <v>167</v>
      </c>
      <c r="D215" s="219">
        <v>4103</v>
      </c>
      <c r="E215" s="219" t="s">
        <v>172</v>
      </c>
      <c r="F215" s="219">
        <v>22</v>
      </c>
      <c r="G215" s="219" t="s">
        <v>175</v>
      </c>
      <c r="H215" s="219" t="s">
        <v>219</v>
      </c>
      <c r="I215" s="225" t="s">
        <v>54</v>
      </c>
      <c r="J215" s="219"/>
      <c r="K215" s="220" t="s">
        <v>144</v>
      </c>
      <c r="L215" s="221" t="s">
        <v>29</v>
      </c>
      <c r="M215" s="259" t="s">
        <v>178</v>
      </c>
      <c r="N215" s="223">
        <v>8350333435</v>
      </c>
      <c r="O215" s="222"/>
      <c r="P215" s="222"/>
      <c r="Q215" s="222"/>
      <c r="R215" s="222"/>
      <c r="S215" s="222"/>
      <c r="T215" s="222">
        <v>8350333435</v>
      </c>
      <c r="U215" s="222">
        <v>5812280682</v>
      </c>
      <c r="V215" s="222">
        <v>2538052753</v>
      </c>
      <c r="W215" s="224">
        <v>0.69605372375169117</v>
      </c>
      <c r="X215" s="222">
        <v>0</v>
      </c>
      <c r="Y215" s="222">
        <v>5812280682</v>
      </c>
      <c r="Z215" s="224">
        <v>1</v>
      </c>
      <c r="AA215" s="222">
        <v>0</v>
      </c>
      <c r="AB215" s="222">
        <v>0</v>
      </c>
      <c r="AC215" s="224">
        <v>0</v>
      </c>
    </row>
    <row r="216" spans="1:29" ht="31.5" customHeight="1">
      <c r="A216" s="32" t="s">
        <v>797</v>
      </c>
      <c r="B216" s="210" t="s">
        <v>707</v>
      </c>
      <c r="C216" s="211" t="s">
        <v>167</v>
      </c>
      <c r="D216" s="212">
        <v>4103</v>
      </c>
      <c r="E216" s="212" t="s">
        <v>172</v>
      </c>
      <c r="F216" s="212">
        <v>22</v>
      </c>
      <c r="G216" s="212" t="s">
        <v>175</v>
      </c>
      <c r="H216" s="212" t="s">
        <v>234</v>
      </c>
      <c r="I216" s="212"/>
      <c r="J216" s="212"/>
      <c r="K216" s="213" t="s">
        <v>144</v>
      </c>
      <c r="L216" s="214" t="s">
        <v>29</v>
      </c>
      <c r="M216" s="210" t="s">
        <v>241</v>
      </c>
      <c r="N216" s="215">
        <v>8986673675</v>
      </c>
      <c r="O216" s="215">
        <v>0</v>
      </c>
      <c r="P216" s="215">
        <v>0</v>
      </c>
      <c r="Q216" s="215">
        <v>0</v>
      </c>
      <c r="R216" s="215">
        <v>0</v>
      </c>
      <c r="S216" s="215">
        <v>0</v>
      </c>
      <c r="T216" s="215">
        <v>8986673675</v>
      </c>
      <c r="U216" s="215">
        <v>289656489</v>
      </c>
      <c r="V216" s="215">
        <v>8697017186</v>
      </c>
      <c r="W216" s="216">
        <v>3.2231780019540988E-2</v>
      </c>
      <c r="X216" s="215">
        <v>0</v>
      </c>
      <c r="Y216" s="215">
        <v>289656489</v>
      </c>
      <c r="Z216" s="216">
        <v>1</v>
      </c>
      <c r="AA216" s="215">
        <v>0</v>
      </c>
      <c r="AB216" s="215">
        <v>0</v>
      </c>
      <c r="AC216" s="216">
        <v>0</v>
      </c>
    </row>
    <row r="217" spans="1:29" ht="24.95" customHeight="1">
      <c r="A217" s="32" t="s">
        <v>798</v>
      </c>
      <c r="B217" s="217" t="s">
        <v>708</v>
      </c>
      <c r="C217" s="218" t="s">
        <v>167</v>
      </c>
      <c r="D217" s="219">
        <v>4103</v>
      </c>
      <c r="E217" s="219" t="s">
        <v>172</v>
      </c>
      <c r="F217" s="219">
        <v>22</v>
      </c>
      <c r="G217" s="219" t="s">
        <v>175</v>
      </c>
      <c r="H217" s="219" t="s">
        <v>234</v>
      </c>
      <c r="I217" s="225" t="s">
        <v>54</v>
      </c>
      <c r="J217" s="219"/>
      <c r="K217" s="220" t="s">
        <v>144</v>
      </c>
      <c r="L217" s="221" t="s">
        <v>29</v>
      </c>
      <c r="M217" s="259" t="s">
        <v>178</v>
      </c>
      <c r="N217" s="223">
        <v>5871010369</v>
      </c>
      <c r="O217" s="222"/>
      <c r="P217" s="222"/>
      <c r="Q217" s="222"/>
      <c r="R217" s="222"/>
      <c r="S217" s="222"/>
      <c r="T217" s="222">
        <v>5871010369</v>
      </c>
      <c r="U217" s="222">
        <v>289656489</v>
      </c>
      <c r="V217" s="222">
        <v>5581353880</v>
      </c>
      <c r="W217" s="224">
        <v>4.9336736063257329E-2</v>
      </c>
      <c r="X217" s="222">
        <v>0</v>
      </c>
      <c r="Y217" s="222">
        <v>289656489</v>
      </c>
      <c r="Z217" s="224">
        <v>1</v>
      </c>
      <c r="AA217" s="222">
        <v>0</v>
      </c>
      <c r="AB217" s="222">
        <v>0</v>
      </c>
      <c r="AC217" s="224">
        <v>0</v>
      </c>
    </row>
    <row r="218" spans="1:29" ht="24.95" customHeight="1">
      <c r="A218" s="32" t="s">
        <v>799</v>
      </c>
      <c r="B218" s="217" t="s">
        <v>709</v>
      </c>
      <c r="C218" s="218" t="s">
        <v>167</v>
      </c>
      <c r="D218" s="219">
        <v>4103</v>
      </c>
      <c r="E218" s="219" t="s">
        <v>172</v>
      </c>
      <c r="F218" s="219">
        <v>22</v>
      </c>
      <c r="G218" s="219" t="s">
        <v>175</v>
      </c>
      <c r="H218" s="219" t="s">
        <v>234</v>
      </c>
      <c r="I218" s="225" t="s">
        <v>65</v>
      </c>
      <c r="J218" s="219"/>
      <c r="K218" s="220" t="s">
        <v>144</v>
      </c>
      <c r="L218" s="221" t="s">
        <v>29</v>
      </c>
      <c r="M218" s="259" t="s">
        <v>127</v>
      </c>
      <c r="N218" s="223">
        <v>3115663306</v>
      </c>
      <c r="O218" s="222"/>
      <c r="P218" s="222"/>
      <c r="Q218" s="222"/>
      <c r="R218" s="222"/>
      <c r="S218" s="222"/>
      <c r="T218" s="222">
        <v>3115663306</v>
      </c>
      <c r="U218" s="222">
        <v>0</v>
      </c>
      <c r="V218" s="222">
        <v>3115663306</v>
      </c>
      <c r="W218" s="224">
        <v>0</v>
      </c>
      <c r="X218" s="222">
        <v>0</v>
      </c>
      <c r="Y218" s="222">
        <v>0</v>
      </c>
      <c r="Z218" s="224">
        <v>0</v>
      </c>
      <c r="AA218" s="222">
        <v>0</v>
      </c>
      <c r="AB218" s="222">
        <v>0</v>
      </c>
      <c r="AC218" s="224">
        <v>0</v>
      </c>
    </row>
    <row r="219" spans="1:29" ht="31.5" customHeight="1">
      <c r="A219" s="32" t="s">
        <v>800</v>
      </c>
      <c r="B219" s="210" t="s">
        <v>710</v>
      </c>
      <c r="C219" s="211" t="s">
        <v>167</v>
      </c>
      <c r="D219" s="212">
        <v>4103</v>
      </c>
      <c r="E219" s="212" t="s">
        <v>172</v>
      </c>
      <c r="F219" s="212">
        <v>22</v>
      </c>
      <c r="G219" s="212" t="s">
        <v>175</v>
      </c>
      <c r="H219" s="212">
        <v>4103051</v>
      </c>
      <c r="I219" s="212"/>
      <c r="J219" s="212"/>
      <c r="K219" s="213" t="s">
        <v>144</v>
      </c>
      <c r="L219" s="214" t="s">
        <v>29</v>
      </c>
      <c r="M219" s="210" t="s">
        <v>242</v>
      </c>
      <c r="N219" s="215">
        <v>1038023922</v>
      </c>
      <c r="O219" s="215">
        <v>0</v>
      </c>
      <c r="P219" s="215">
        <v>0</v>
      </c>
      <c r="Q219" s="215">
        <v>0</v>
      </c>
      <c r="R219" s="215">
        <v>0</v>
      </c>
      <c r="S219" s="215">
        <v>0</v>
      </c>
      <c r="T219" s="215">
        <v>1038023922</v>
      </c>
      <c r="U219" s="215">
        <v>0</v>
      </c>
      <c r="V219" s="215">
        <v>1038023922</v>
      </c>
      <c r="W219" s="216">
        <v>0</v>
      </c>
      <c r="X219" s="215">
        <v>0</v>
      </c>
      <c r="Y219" s="215">
        <v>0</v>
      </c>
      <c r="Z219" s="216">
        <v>0</v>
      </c>
      <c r="AA219" s="215">
        <v>0</v>
      </c>
      <c r="AB219" s="215">
        <v>0</v>
      </c>
      <c r="AC219" s="216">
        <v>0</v>
      </c>
    </row>
    <row r="220" spans="1:29" ht="24.95" customHeight="1">
      <c r="A220" s="32" t="s">
        <v>801</v>
      </c>
      <c r="B220" s="217" t="s">
        <v>711</v>
      </c>
      <c r="C220" s="218" t="s">
        <v>167</v>
      </c>
      <c r="D220" s="219">
        <v>4103</v>
      </c>
      <c r="E220" s="219" t="s">
        <v>172</v>
      </c>
      <c r="F220" s="219">
        <v>22</v>
      </c>
      <c r="G220" s="219" t="s">
        <v>175</v>
      </c>
      <c r="H220" s="219">
        <v>4103051</v>
      </c>
      <c r="I220" s="225" t="s">
        <v>54</v>
      </c>
      <c r="J220" s="219"/>
      <c r="K220" s="220" t="s">
        <v>144</v>
      </c>
      <c r="L220" s="221" t="s">
        <v>29</v>
      </c>
      <c r="M220" s="259" t="s">
        <v>178</v>
      </c>
      <c r="N220" s="223">
        <v>1038023922</v>
      </c>
      <c r="O220" s="222"/>
      <c r="P220" s="222"/>
      <c r="Q220" s="222"/>
      <c r="R220" s="222"/>
      <c r="S220" s="222"/>
      <c r="T220" s="222">
        <v>1038023922</v>
      </c>
      <c r="U220" s="222">
        <v>0</v>
      </c>
      <c r="V220" s="222">
        <v>1038023922</v>
      </c>
      <c r="W220" s="224">
        <v>0</v>
      </c>
      <c r="X220" s="222">
        <v>0</v>
      </c>
      <c r="Y220" s="222">
        <v>0</v>
      </c>
      <c r="Z220" s="224">
        <v>0</v>
      </c>
      <c r="AA220" s="222">
        <v>0</v>
      </c>
      <c r="AB220" s="222">
        <v>0</v>
      </c>
      <c r="AC220" s="224">
        <v>0</v>
      </c>
    </row>
    <row r="221" spans="1:29" ht="31.5" customHeight="1">
      <c r="A221" s="32" t="s">
        <v>802</v>
      </c>
      <c r="B221" s="210" t="s">
        <v>712</v>
      </c>
      <c r="C221" s="211" t="s">
        <v>167</v>
      </c>
      <c r="D221" s="212">
        <v>4103</v>
      </c>
      <c r="E221" s="212" t="s">
        <v>172</v>
      </c>
      <c r="F221" s="212">
        <v>22</v>
      </c>
      <c r="G221" s="212" t="s">
        <v>175</v>
      </c>
      <c r="H221" s="212">
        <v>4103055</v>
      </c>
      <c r="I221" s="212"/>
      <c r="J221" s="212"/>
      <c r="K221" s="213" t="s">
        <v>144</v>
      </c>
      <c r="L221" s="214" t="s">
        <v>29</v>
      </c>
      <c r="M221" s="210" t="s">
        <v>243</v>
      </c>
      <c r="N221" s="215">
        <v>4550769145</v>
      </c>
      <c r="O221" s="215">
        <v>0</v>
      </c>
      <c r="P221" s="215">
        <v>0</v>
      </c>
      <c r="Q221" s="215">
        <v>0</v>
      </c>
      <c r="R221" s="215">
        <v>0</v>
      </c>
      <c r="S221" s="215">
        <v>0</v>
      </c>
      <c r="T221" s="215">
        <v>4550769145</v>
      </c>
      <c r="U221" s="215">
        <v>0</v>
      </c>
      <c r="V221" s="215">
        <v>4550769145</v>
      </c>
      <c r="W221" s="216">
        <v>0</v>
      </c>
      <c r="X221" s="215">
        <v>0</v>
      </c>
      <c r="Y221" s="215">
        <v>0</v>
      </c>
      <c r="Z221" s="216">
        <v>0</v>
      </c>
      <c r="AA221" s="215">
        <v>0</v>
      </c>
      <c r="AB221" s="215">
        <v>0</v>
      </c>
      <c r="AC221" s="216">
        <v>0</v>
      </c>
    </row>
    <row r="222" spans="1:29" ht="24.95" customHeight="1">
      <c r="A222" s="32" t="s">
        <v>803</v>
      </c>
      <c r="B222" s="217" t="s">
        <v>713</v>
      </c>
      <c r="C222" s="218" t="s">
        <v>167</v>
      </c>
      <c r="D222" s="219">
        <v>4103</v>
      </c>
      <c r="E222" s="219" t="s">
        <v>172</v>
      </c>
      <c r="F222" s="219">
        <v>22</v>
      </c>
      <c r="G222" s="219" t="s">
        <v>175</v>
      </c>
      <c r="H222" s="219" t="s">
        <v>203</v>
      </c>
      <c r="I222" s="225" t="s">
        <v>54</v>
      </c>
      <c r="J222" s="219"/>
      <c r="K222" s="220" t="s">
        <v>144</v>
      </c>
      <c r="L222" s="221" t="s">
        <v>29</v>
      </c>
      <c r="M222" s="259" t="s">
        <v>178</v>
      </c>
      <c r="N222" s="223">
        <v>396551404</v>
      </c>
      <c r="O222" s="222"/>
      <c r="P222" s="222"/>
      <c r="Q222" s="222"/>
      <c r="R222" s="222"/>
      <c r="S222" s="222"/>
      <c r="T222" s="222">
        <v>396551404</v>
      </c>
      <c r="U222" s="222">
        <v>0</v>
      </c>
      <c r="V222" s="222">
        <v>396551404</v>
      </c>
      <c r="W222" s="224">
        <v>0</v>
      </c>
      <c r="X222" s="222">
        <v>0</v>
      </c>
      <c r="Y222" s="222">
        <v>0</v>
      </c>
      <c r="Z222" s="224">
        <v>0</v>
      </c>
      <c r="AA222" s="222">
        <v>0</v>
      </c>
      <c r="AB222" s="222">
        <v>0</v>
      </c>
      <c r="AC222" s="224">
        <v>0</v>
      </c>
    </row>
    <row r="223" spans="1:29" ht="24.95" customHeight="1">
      <c r="A223" s="32" t="s">
        <v>804</v>
      </c>
      <c r="B223" s="217" t="s">
        <v>714</v>
      </c>
      <c r="C223" s="218" t="s">
        <v>167</v>
      </c>
      <c r="D223" s="219">
        <v>4103</v>
      </c>
      <c r="E223" s="219" t="s">
        <v>172</v>
      </c>
      <c r="F223" s="219">
        <v>22</v>
      </c>
      <c r="G223" s="219" t="s">
        <v>175</v>
      </c>
      <c r="H223" s="219" t="s">
        <v>203</v>
      </c>
      <c r="I223" s="225" t="s">
        <v>65</v>
      </c>
      <c r="J223" s="219"/>
      <c r="K223" s="220" t="s">
        <v>144</v>
      </c>
      <c r="L223" s="221" t="s">
        <v>29</v>
      </c>
      <c r="M223" s="259" t="s">
        <v>127</v>
      </c>
      <c r="N223" s="223">
        <v>4154217741</v>
      </c>
      <c r="O223" s="222"/>
      <c r="P223" s="222"/>
      <c r="Q223" s="222"/>
      <c r="R223" s="222"/>
      <c r="S223" s="222"/>
      <c r="T223" s="222">
        <v>4154217741</v>
      </c>
      <c r="U223" s="222">
        <v>0</v>
      </c>
      <c r="V223" s="222">
        <v>4154217741</v>
      </c>
      <c r="W223" s="224">
        <v>0</v>
      </c>
      <c r="X223" s="222">
        <v>0</v>
      </c>
      <c r="Y223" s="222">
        <v>0</v>
      </c>
      <c r="Z223" s="224">
        <v>0</v>
      </c>
      <c r="AA223" s="222">
        <v>0</v>
      </c>
      <c r="AB223" s="222">
        <v>0</v>
      </c>
      <c r="AC223" s="224">
        <v>0</v>
      </c>
    </row>
    <row r="224" spans="1:29" ht="31.5" customHeight="1">
      <c r="A224" s="32" t="s">
        <v>805</v>
      </c>
      <c r="B224" s="210" t="s">
        <v>715</v>
      </c>
      <c r="C224" s="211" t="s">
        <v>167</v>
      </c>
      <c r="D224" s="212">
        <v>4103</v>
      </c>
      <c r="E224" s="212" t="s">
        <v>172</v>
      </c>
      <c r="F224" s="212">
        <v>22</v>
      </c>
      <c r="G224" s="212" t="s">
        <v>175</v>
      </c>
      <c r="H224" s="212">
        <v>4103057</v>
      </c>
      <c r="I224" s="212"/>
      <c r="J224" s="212"/>
      <c r="K224" s="213" t="s">
        <v>144</v>
      </c>
      <c r="L224" s="214" t="s">
        <v>29</v>
      </c>
      <c r="M224" s="210" t="s">
        <v>244</v>
      </c>
      <c r="N224" s="215">
        <v>102633231456</v>
      </c>
      <c r="O224" s="215">
        <v>0</v>
      </c>
      <c r="P224" s="215">
        <v>0</v>
      </c>
      <c r="Q224" s="215">
        <v>0</v>
      </c>
      <c r="R224" s="215">
        <v>0</v>
      </c>
      <c r="S224" s="215">
        <v>0</v>
      </c>
      <c r="T224" s="215">
        <v>102633231456</v>
      </c>
      <c r="U224" s="215">
        <v>82296715903</v>
      </c>
      <c r="V224" s="215">
        <v>20336515553</v>
      </c>
      <c r="W224" s="216">
        <v>0.80185252608246593</v>
      </c>
      <c r="X224" s="215">
        <v>76052670000</v>
      </c>
      <c r="Y224" s="215">
        <v>6244045903</v>
      </c>
      <c r="Z224" s="216">
        <v>7.5872358143180565E-2</v>
      </c>
      <c r="AA224" s="215">
        <v>76052670000</v>
      </c>
      <c r="AB224" s="215">
        <v>0</v>
      </c>
      <c r="AC224" s="216">
        <v>0.92412764185681939</v>
      </c>
    </row>
    <row r="225" spans="1:52" ht="24.95" customHeight="1">
      <c r="A225" s="32" t="s">
        <v>806</v>
      </c>
      <c r="B225" s="217" t="s">
        <v>716</v>
      </c>
      <c r="C225" s="218" t="s">
        <v>167</v>
      </c>
      <c r="D225" s="219">
        <v>4103</v>
      </c>
      <c r="E225" s="219" t="s">
        <v>172</v>
      </c>
      <c r="F225" s="219">
        <v>22</v>
      </c>
      <c r="G225" s="219" t="s">
        <v>175</v>
      </c>
      <c r="H225" s="219" t="s">
        <v>221</v>
      </c>
      <c r="I225" s="225" t="s">
        <v>54</v>
      </c>
      <c r="J225" s="219"/>
      <c r="K225" s="220" t="s">
        <v>144</v>
      </c>
      <c r="L225" s="221" t="s">
        <v>29</v>
      </c>
      <c r="M225" s="259" t="s">
        <v>178</v>
      </c>
      <c r="N225" s="223">
        <v>6561199369</v>
      </c>
      <c r="O225" s="222"/>
      <c r="P225" s="222"/>
      <c r="Q225" s="222"/>
      <c r="R225" s="222"/>
      <c r="S225" s="222"/>
      <c r="T225" s="222">
        <v>6561199369</v>
      </c>
      <c r="U225" s="222">
        <v>4821731903</v>
      </c>
      <c r="V225" s="222">
        <v>1739467466</v>
      </c>
      <c r="W225" s="224">
        <v>0.73488574753290659</v>
      </c>
      <c r="X225" s="222">
        <v>0</v>
      </c>
      <c r="Y225" s="222">
        <v>4821731903</v>
      </c>
      <c r="Z225" s="224">
        <v>1</v>
      </c>
      <c r="AA225" s="222">
        <v>0</v>
      </c>
      <c r="AB225" s="222">
        <v>0</v>
      </c>
      <c r="AC225" s="224">
        <v>0</v>
      </c>
    </row>
    <row r="226" spans="1:52" ht="24.95" customHeight="1">
      <c r="A226" s="32" t="s">
        <v>807</v>
      </c>
      <c r="B226" s="217" t="s">
        <v>717</v>
      </c>
      <c r="C226" s="218" t="s">
        <v>167</v>
      </c>
      <c r="D226" s="219">
        <v>4103</v>
      </c>
      <c r="E226" s="219" t="s">
        <v>172</v>
      </c>
      <c r="F226" s="219">
        <v>22</v>
      </c>
      <c r="G226" s="219" t="s">
        <v>175</v>
      </c>
      <c r="H226" s="219" t="s">
        <v>221</v>
      </c>
      <c r="I226" s="225" t="s">
        <v>65</v>
      </c>
      <c r="J226" s="219"/>
      <c r="K226" s="220" t="s">
        <v>144</v>
      </c>
      <c r="L226" s="221" t="s">
        <v>29</v>
      </c>
      <c r="M226" s="259" t="s">
        <v>127</v>
      </c>
      <c r="N226" s="223">
        <v>96072032087</v>
      </c>
      <c r="O226" s="222"/>
      <c r="P226" s="222"/>
      <c r="Q226" s="222"/>
      <c r="R226" s="222"/>
      <c r="S226" s="222"/>
      <c r="T226" s="222">
        <v>96072032087</v>
      </c>
      <c r="U226" s="222">
        <v>77474984000</v>
      </c>
      <c r="V226" s="222">
        <v>18597048087</v>
      </c>
      <c r="W226" s="224">
        <v>0.80642599429812145</v>
      </c>
      <c r="X226" s="222">
        <v>76052670000</v>
      </c>
      <c r="Y226" s="222">
        <v>1422314000</v>
      </c>
      <c r="Z226" s="224">
        <v>1.8358364552872965E-2</v>
      </c>
      <c r="AA226" s="222">
        <v>76052670000</v>
      </c>
      <c r="AB226" s="222">
        <v>0</v>
      </c>
      <c r="AC226" s="224">
        <v>0.98164163544712701</v>
      </c>
    </row>
    <row r="227" spans="1:52" ht="31.5" customHeight="1">
      <c r="A227" s="32" t="s">
        <v>808</v>
      </c>
      <c r="B227" s="210" t="s">
        <v>718</v>
      </c>
      <c r="C227" s="211" t="s">
        <v>167</v>
      </c>
      <c r="D227" s="212">
        <v>4103</v>
      </c>
      <c r="E227" s="212" t="s">
        <v>172</v>
      </c>
      <c r="F227" s="212">
        <v>22</v>
      </c>
      <c r="G227" s="212" t="s">
        <v>175</v>
      </c>
      <c r="H227" s="212">
        <v>4103062</v>
      </c>
      <c r="I227" s="212"/>
      <c r="J227" s="212"/>
      <c r="K227" s="213" t="s">
        <v>144</v>
      </c>
      <c r="L227" s="214" t="s">
        <v>29</v>
      </c>
      <c r="M227" s="210" t="s">
        <v>245</v>
      </c>
      <c r="N227" s="215">
        <v>11724968367</v>
      </c>
      <c r="O227" s="215">
        <v>0</v>
      </c>
      <c r="P227" s="215">
        <v>0</v>
      </c>
      <c r="Q227" s="215">
        <v>0</v>
      </c>
      <c r="R227" s="215">
        <v>0</v>
      </c>
      <c r="S227" s="215">
        <v>0</v>
      </c>
      <c r="T227" s="215">
        <v>11724968367</v>
      </c>
      <c r="U227" s="215">
        <v>0</v>
      </c>
      <c r="V227" s="215">
        <v>11724968367</v>
      </c>
      <c r="W227" s="216">
        <v>0</v>
      </c>
      <c r="X227" s="215">
        <v>0</v>
      </c>
      <c r="Y227" s="215">
        <v>0</v>
      </c>
      <c r="Z227" s="216">
        <v>0</v>
      </c>
      <c r="AA227" s="215">
        <v>0</v>
      </c>
      <c r="AB227" s="215">
        <v>0</v>
      </c>
      <c r="AC227" s="216">
        <v>0</v>
      </c>
    </row>
    <row r="228" spans="1:52" ht="24.95" customHeight="1">
      <c r="A228" s="32" t="s">
        <v>809</v>
      </c>
      <c r="B228" s="217" t="s">
        <v>719</v>
      </c>
      <c r="C228" s="218" t="s">
        <v>167</v>
      </c>
      <c r="D228" s="219">
        <v>4103</v>
      </c>
      <c r="E228" s="219" t="s">
        <v>172</v>
      </c>
      <c r="F228" s="219">
        <v>22</v>
      </c>
      <c r="G228" s="219" t="s">
        <v>175</v>
      </c>
      <c r="H228" s="219" t="s">
        <v>246</v>
      </c>
      <c r="I228" s="225" t="s">
        <v>54</v>
      </c>
      <c r="J228" s="219"/>
      <c r="K228" s="220" t="s">
        <v>144</v>
      </c>
      <c r="L228" s="221" t="s">
        <v>29</v>
      </c>
      <c r="M228" s="259" t="s">
        <v>178</v>
      </c>
      <c r="N228" s="223">
        <v>1706379915</v>
      </c>
      <c r="O228" s="222"/>
      <c r="P228" s="222"/>
      <c r="Q228" s="222"/>
      <c r="R228" s="222"/>
      <c r="S228" s="222"/>
      <c r="T228" s="222">
        <v>1706379915</v>
      </c>
      <c r="U228" s="222">
        <v>0</v>
      </c>
      <c r="V228" s="222">
        <v>1706379915</v>
      </c>
      <c r="W228" s="224">
        <v>0</v>
      </c>
      <c r="X228" s="222">
        <v>0</v>
      </c>
      <c r="Y228" s="222">
        <v>0</v>
      </c>
      <c r="Z228" s="224">
        <v>0</v>
      </c>
      <c r="AA228" s="222">
        <v>0</v>
      </c>
      <c r="AB228" s="222">
        <v>0</v>
      </c>
      <c r="AC228" s="224">
        <v>0</v>
      </c>
    </row>
    <row r="229" spans="1:52" ht="24.95" customHeight="1">
      <c r="A229" s="32" t="s">
        <v>810</v>
      </c>
      <c r="B229" s="217" t="s">
        <v>720</v>
      </c>
      <c r="C229" s="218" t="s">
        <v>167</v>
      </c>
      <c r="D229" s="219">
        <v>4103</v>
      </c>
      <c r="E229" s="219" t="s">
        <v>172</v>
      </c>
      <c r="F229" s="219">
        <v>22</v>
      </c>
      <c r="G229" s="219" t="s">
        <v>175</v>
      </c>
      <c r="H229" s="219" t="s">
        <v>246</v>
      </c>
      <c r="I229" s="225" t="s">
        <v>65</v>
      </c>
      <c r="J229" s="219"/>
      <c r="K229" s="220" t="s">
        <v>144</v>
      </c>
      <c r="L229" s="221" t="s">
        <v>29</v>
      </c>
      <c r="M229" s="259" t="s">
        <v>127</v>
      </c>
      <c r="N229" s="223">
        <v>10018588452</v>
      </c>
      <c r="O229" s="222"/>
      <c r="P229" s="222"/>
      <c r="Q229" s="222"/>
      <c r="R229" s="222"/>
      <c r="S229" s="222"/>
      <c r="T229" s="222">
        <v>10018588452</v>
      </c>
      <c r="U229" s="222">
        <v>0</v>
      </c>
      <c r="V229" s="222">
        <v>10018588452</v>
      </c>
      <c r="W229" s="224">
        <v>0</v>
      </c>
      <c r="X229" s="222">
        <v>0</v>
      </c>
      <c r="Y229" s="222">
        <v>0</v>
      </c>
      <c r="Z229" s="224">
        <v>0</v>
      </c>
      <c r="AA229" s="222">
        <v>0</v>
      </c>
      <c r="AB229" s="222">
        <v>0</v>
      </c>
      <c r="AC229" s="224">
        <v>0</v>
      </c>
    </row>
    <row r="230" spans="1:52" s="90" customFormat="1" ht="50.25" customHeight="1">
      <c r="A230" s="32"/>
      <c r="B230" s="226" t="s">
        <v>685</v>
      </c>
      <c r="C230" s="227" t="s">
        <v>167</v>
      </c>
      <c r="D230" s="228" t="s">
        <v>190</v>
      </c>
      <c r="E230" s="228" t="s">
        <v>172</v>
      </c>
      <c r="F230" s="228">
        <v>23</v>
      </c>
      <c r="G230" s="228"/>
      <c r="H230" s="228"/>
      <c r="I230" s="228"/>
      <c r="J230" s="228"/>
      <c r="K230" s="229"/>
      <c r="L230" s="230"/>
      <c r="M230" s="683" t="s">
        <v>779</v>
      </c>
      <c r="N230" s="232">
        <v>1769368130080</v>
      </c>
      <c r="O230" s="232">
        <v>0</v>
      </c>
      <c r="P230" s="232">
        <v>0</v>
      </c>
      <c r="Q230" s="232">
        <v>0</v>
      </c>
      <c r="R230" s="232">
        <v>0</v>
      </c>
      <c r="S230" s="232">
        <v>0</v>
      </c>
      <c r="T230" s="232">
        <v>1769368130080</v>
      </c>
      <c r="U230" s="232">
        <v>166815784231.09</v>
      </c>
      <c r="V230" s="232">
        <v>1602552345848.9102</v>
      </c>
      <c r="W230" s="233">
        <v>9.4279862621662353E-2</v>
      </c>
      <c r="X230" s="232">
        <v>132459600000</v>
      </c>
      <c r="Y230" s="232">
        <v>34356184231.09</v>
      </c>
      <c r="Z230" s="233">
        <v>0.20595283827276417</v>
      </c>
      <c r="AA230" s="232">
        <v>132459600000</v>
      </c>
      <c r="AB230" s="232">
        <v>0</v>
      </c>
      <c r="AC230" s="233">
        <v>0.79404716172723588</v>
      </c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1:52" s="90" customFormat="1" ht="36" customHeight="1">
      <c r="A231" s="32"/>
      <c r="B231" s="210" t="s">
        <v>721</v>
      </c>
      <c r="C231" s="211" t="s">
        <v>167</v>
      </c>
      <c r="D231" s="212" t="s">
        <v>190</v>
      </c>
      <c r="E231" s="212" t="s">
        <v>172</v>
      </c>
      <c r="F231" s="212">
        <v>23</v>
      </c>
      <c r="G231" s="212" t="s">
        <v>175</v>
      </c>
      <c r="H231" s="212">
        <v>4103065</v>
      </c>
      <c r="I231" s="212"/>
      <c r="J231" s="212"/>
      <c r="K231" s="213">
        <v>11</v>
      </c>
      <c r="L231" s="214" t="s">
        <v>276</v>
      </c>
      <c r="M231" s="684" t="s">
        <v>248</v>
      </c>
      <c r="N231" s="215">
        <v>1769368130080</v>
      </c>
      <c r="O231" s="215">
        <v>0</v>
      </c>
      <c r="P231" s="215">
        <v>0</v>
      </c>
      <c r="Q231" s="215">
        <v>0</v>
      </c>
      <c r="R231" s="215">
        <v>0</v>
      </c>
      <c r="S231" s="215">
        <v>0</v>
      </c>
      <c r="T231" s="215">
        <v>1769368130080</v>
      </c>
      <c r="U231" s="215">
        <v>166815784231.09</v>
      </c>
      <c r="V231" s="215">
        <v>1602552345848.9102</v>
      </c>
      <c r="W231" s="216">
        <v>9.4279862621662353E-2</v>
      </c>
      <c r="X231" s="215">
        <v>132459600000</v>
      </c>
      <c r="Y231" s="215">
        <v>34356184231.09</v>
      </c>
      <c r="Z231" s="216">
        <v>0.20595283827276417</v>
      </c>
      <c r="AA231" s="215">
        <v>132459600000</v>
      </c>
      <c r="AB231" s="215">
        <v>0</v>
      </c>
      <c r="AC231" s="216">
        <v>0.79404716172723588</v>
      </c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1:52" s="90" customFormat="1" ht="27" customHeight="1">
      <c r="A232" s="32"/>
      <c r="B232" s="217" t="s">
        <v>722</v>
      </c>
      <c r="C232" s="266" t="s">
        <v>167</v>
      </c>
      <c r="D232" s="267" t="s">
        <v>190</v>
      </c>
      <c r="E232" s="267" t="s">
        <v>172</v>
      </c>
      <c r="F232" s="267">
        <v>23</v>
      </c>
      <c r="G232" s="267" t="s">
        <v>175</v>
      </c>
      <c r="H232" s="267">
        <v>4103065</v>
      </c>
      <c r="I232" s="267" t="s">
        <v>54</v>
      </c>
      <c r="J232" s="267"/>
      <c r="K232" s="268">
        <v>11</v>
      </c>
      <c r="L232" s="269" t="s">
        <v>29</v>
      </c>
      <c r="M232" s="259" t="s">
        <v>178</v>
      </c>
      <c r="N232" s="222">
        <v>19400000000</v>
      </c>
      <c r="O232" s="222"/>
      <c r="P232" s="222"/>
      <c r="Q232" s="222"/>
      <c r="R232" s="222"/>
      <c r="S232" s="222"/>
      <c r="T232" s="222">
        <v>19400000000</v>
      </c>
      <c r="U232" s="222">
        <v>152834398.5</v>
      </c>
      <c r="V232" s="222">
        <v>19247165601.5</v>
      </c>
      <c r="W232" s="224">
        <v>7.8780617783505147E-3</v>
      </c>
      <c r="X232" s="222">
        <v>0</v>
      </c>
      <c r="Y232" s="222">
        <v>152834398.5</v>
      </c>
      <c r="Z232" s="224">
        <v>1</v>
      </c>
      <c r="AA232" s="222">
        <v>0</v>
      </c>
      <c r="AB232" s="222">
        <v>0</v>
      </c>
      <c r="AC232" s="224">
        <v>0</v>
      </c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1:52" s="90" customFormat="1" ht="27" customHeight="1">
      <c r="A233" s="32"/>
      <c r="B233" s="217" t="s">
        <v>722</v>
      </c>
      <c r="C233" s="266" t="s">
        <v>167</v>
      </c>
      <c r="D233" s="267" t="s">
        <v>190</v>
      </c>
      <c r="E233" s="267" t="s">
        <v>172</v>
      </c>
      <c r="F233" s="267">
        <v>23</v>
      </c>
      <c r="G233" s="267" t="s">
        <v>175</v>
      </c>
      <c r="H233" s="267">
        <v>4103065</v>
      </c>
      <c r="I233" s="267" t="s">
        <v>54</v>
      </c>
      <c r="J233" s="267"/>
      <c r="K233" s="268">
        <v>16</v>
      </c>
      <c r="L233" s="269" t="s">
        <v>156</v>
      </c>
      <c r="M233" s="259" t="s">
        <v>178</v>
      </c>
      <c r="N233" s="222">
        <v>68256379176</v>
      </c>
      <c r="O233" s="222"/>
      <c r="P233" s="222"/>
      <c r="Q233" s="222"/>
      <c r="R233" s="222"/>
      <c r="S233" s="222"/>
      <c r="T233" s="222">
        <v>68256379176</v>
      </c>
      <c r="U233" s="222">
        <v>34203349832.59</v>
      </c>
      <c r="V233" s="222">
        <v>34053029343.41</v>
      </c>
      <c r="W233" s="224">
        <v>0.50110114608330159</v>
      </c>
      <c r="X233" s="222">
        <v>0</v>
      </c>
      <c r="Y233" s="222">
        <v>34203349832.59</v>
      </c>
      <c r="Z233" s="224">
        <v>1</v>
      </c>
      <c r="AA233" s="222">
        <v>0</v>
      </c>
      <c r="AB233" s="222">
        <v>0</v>
      </c>
      <c r="AC233" s="224">
        <v>0</v>
      </c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1:52" s="90" customFormat="1" ht="27" customHeight="1">
      <c r="A234" s="32"/>
      <c r="B234" s="217" t="s">
        <v>723</v>
      </c>
      <c r="C234" s="266" t="s">
        <v>167</v>
      </c>
      <c r="D234" s="267" t="s">
        <v>190</v>
      </c>
      <c r="E234" s="267" t="s">
        <v>172</v>
      </c>
      <c r="F234" s="267">
        <v>23</v>
      </c>
      <c r="G234" s="267" t="s">
        <v>175</v>
      </c>
      <c r="H234" s="267">
        <v>4103065</v>
      </c>
      <c r="I234" s="274" t="s">
        <v>65</v>
      </c>
      <c r="J234" s="267"/>
      <c r="K234" s="268">
        <v>11</v>
      </c>
      <c r="L234" s="269" t="s">
        <v>29</v>
      </c>
      <c r="M234" s="259" t="s">
        <v>127</v>
      </c>
      <c r="N234" s="222">
        <v>368600000000</v>
      </c>
      <c r="O234" s="222"/>
      <c r="P234" s="222"/>
      <c r="Q234" s="222"/>
      <c r="R234" s="222"/>
      <c r="S234" s="222"/>
      <c r="T234" s="222">
        <v>368600000000</v>
      </c>
      <c r="U234" s="222">
        <v>0</v>
      </c>
      <c r="V234" s="222">
        <v>368600000000</v>
      </c>
      <c r="W234" s="224">
        <v>0</v>
      </c>
      <c r="X234" s="222">
        <v>0</v>
      </c>
      <c r="Y234" s="222">
        <v>0</v>
      </c>
      <c r="Z234" s="224">
        <v>0</v>
      </c>
      <c r="AA234" s="222">
        <v>0</v>
      </c>
      <c r="AB234" s="222">
        <v>0</v>
      </c>
      <c r="AC234" s="224">
        <v>0</v>
      </c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1:52" s="90" customFormat="1" ht="27" customHeight="1">
      <c r="A235" s="32"/>
      <c r="B235" s="217" t="s">
        <v>723</v>
      </c>
      <c r="C235" s="266" t="s">
        <v>167</v>
      </c>
      <c r="D235" s="267" t="s">
        <v>190</v>
      </c>
      <c r="E235" s="267" t="s">
        <v>172</v>
      </c>
      <c r="F235" s="267">
        <v>23</v>
      </c>
      <c r="G235" s="267" t="s">
        <v>175</v>
      </c>
      <c r="H235" s="267">
        <v>4103065</v>
      </c>
      <c r="I235" s="274" t="s">
        <v>65</v>
      </c>
      <c r="J235" s="267"/>
      <c r="K235" s="268">
        <v>16</v>
      </c>
      <c r="L235" s="269" t="s">
        <v>156</v>
      </c>
      <c r="M235" s="259" t="s">
        <v>127</v>
      </c>
      <c r="N235" s="222">
        <v>1313111750904</v>
      </c>
      <c r="O235" s="222"/>
      <c r="P235" s="222"/>
      <c r="Q235" s="222"/>
      <c r="R235" s="222"/>
      <c r="S235" s="222"/>
      <c r="T235" s="222">
        <v>1313111750904</v>
      </c>
      <c r="U235" s="222">
        <v>132459600000</v>
      </c>
      <c r="V235" s="222">
        <v>1180652150904</v>
      </c>
      <c r="W235" s="224">
        <v>0.1008745827678485</v>
      </c>
      <c r="X235" s="222">
        <v>132459600000</v>
      </c>
      <c r="Y235" s="222">
        <v>0</v>
      </c>
      <c r="Z235" s="224">
        <v>0</v>
      </c>
      <c r="AA235" s="222">
        <v>132459600000</v>
      </c>
      <c r="AB235" s="222">
        <v>0</v>
      </c>
      <c r="AC235" s="224">
        <v>1</v>
      </c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1:52" s="90" customFormat="1" ht="35.1" customHeight="1">
      <c r="A236" s="32" t="s">
        <v>543</v>
      </c>
      <c r="B236" s="188" t="s">
        <v>544</v>
      </c>
      <c r="C236" s="189" t="s">
        <v>167</v>
      </c>
      <c r="D236" s="191">
        <v>4199</v>
      </c>
      <c r="E236" s="191"/>
      <c r="F236" s="191"/>
      <c r="G236" s="191"/>
      <c r="H236" s="191"/>
      <c r="I236" s="191"/>
      <c r="J236" s="191"/>
      <c r="K236" s="192"/>
      <c r="L236" s="193"/>
      <c r="M236" s="188" t="s">
        <v>250</v>
      </c>
      <c r="N236" s="194">
        <v>3226548466</v>
      </c>
      <c r="O236" s="194">
        <v>0</v>
      </c>
      <c r="P236" s="194">
        <v>0</v>
      </c>
      <c r="Q236" s="194">
        <v>0</v>
      </c>
      <c r="R236" s="194">
        <v>0</v>
      </c>
      <c r="S236" s="194">
        <v>0</v>
      </c>
      <c r="T236" s="194">
        <v>3226548466</v>
      </c>
      <c r="U236" s="194">
        <v>582946409</v>
      </c>
      <c r="V236" s="194">
        <v>2643602057</v>
      </c>
      <c r="W236" s="195">
        <v>0.18067182785036151</v>
      </c>
      <c r="X236" s="194">
        <v>0</v>
      </c>
      <c r="Y236" s="194">
        <v>582946409</v>
      </c>
      <c r="Z236" s="195">
        <v>1</v>
      </c>
      <c r="AA236" s="194">
        <v>0</v>
      </c>
      <c r="AB236" s="194">
        <v>0</v>
      </c>
      <c r="AC236" s="195">
        <v>0</v>
      </c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1:52" s="90" customFormat="1" ht="24.95" customHeight="1">
      <c r="A237" s="32" t="s">
        <v>545</v>
      </c>
      <c r="B237" s="196" t="s">
        <v>300</v>
      </c>
      <c r="C237" s="197" t="s">
        <v>167</v>
      </c>
      <c r="D237" s="198">
        <v>4199</v>
      </c>
      <c r="E237" s="198">
        <v>1500</v>
      </c>
      <c r="F237" s="198"/>
      <c r="G237" s="198"/>
      <c r="H237" s="198"/>
      <c r="I237" s="198"/>
      <c r="J237" s="198"/>
      <c r="K237" s="199"/>
      <c r="L237" s="200"/>
      <c r="M237" s="196" t="s">
        <v>170</v>
      </c>
      <c r="N237" s="201">
        <v>3226548466</v>
      </c>
      <c r="O237" s="201">
        <v>0</v>
      </c>
      <c r="P237" s="201">
        <v>0</v>
      </c>
      <c r="Q237" s="201">
        <v>0</v>
      </c>
      <c r="R237" s="201">
        <v>0</v>
      </c>
      <c r="S237" s="201">
        <v>0</v>
      </c>
      <c r="T237" s="201">
        <v>3226548466</v>
      </c>
      <c r="U237" s="201">
        <v>582946409</v>
      </c>
      <c r="V237" s="201">
        <v>2643602057</v>
      </c>
      <c r="W237" s="202">
        <v>0.18067182785036151</v>
      </c>
      <c r="X237" s="201">
        <v>0</v>
      </c>
      <c r="Y237" s="201">
        <v>582946409</v>
      </c>
      <c r="Z237" s="202">
        <v>1</v>
      </c>
      <c r="AA237" s="201">
        <v>0</v>
      </c>
      <c r="AB237" s="201">
        <v>0</v>
      </c>
      <c r="AC237" s="202">
        <v>0</v>
      </c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1:52" s="90" customFormat="1" ht="49.5">
      <c r="A238" s="32" t="s">
        <v>546</v>
      </c>
      <c r="B238" s="203" t="s">
        <v>547</v>
      </c>
      <c r="C238" s="227" t="s">
        <v>167</v>
      </c>
      <c r="D238" s="228" t="s">
        <v>251</v>
      </c>
      <c r="E238" s="228" t="s">
        <v>172</v>
      </c>
      <c r="F238" s="228" t="s">
        <v>252</v>
      </c>
      <c r="G238" s="228"/>
      <c r="H238" s="228"/>
      <c r="I238" s="228"/>
      <c r="J238" s="228"/>
      <c r="K238" s="229"/>
      <c r="L238" s="230"/>
      <c r="M238" s="231" t="s">
        <v>287</v>
      </c>
      <c r="N238" s="232">
        <v>3226548466</v>
      </c>
      <c r="O238" s="232">
        <v>0</v>
      </c>
      <c r="P238" s="232">
        <v>0</v>
      </c>
      <c r="Q238" s="232">
        <v>0</v>
      </c>
      <c r="R238" s="232">
        <v>0</v>
      </c>
      <c r="S238" s="232">
        <v>0</v>
      </c>
      <c r="T238" s="232">
        <v>3226548466</v>
      </c>
      <c r="U238" s="232">
        <v>582946409</v>
      </c>
      <c r="V238" s="232">
        <v>2643602057</v>
      </c>
      <c r="W238" s="233">
        <v>0.18067182785036151</v>
      </c>
      <c r="X238" s="232">
        <v>0</v>
      </c>
      <c r="Y238" s="232">
        <v>582946409</v>
      </c>
      <c r="Z238" s="233">
        <v>1</v>
      </c>
      <c r="AA238" s="232">
        <v>0</v>
      </c>
      <c r="AB238" s="232">
        <v>0</v>
      </c>
      <c r="AC238" s="233">
        <v>0</v>
      </c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1:52" s="90" customFormat="1" ht="24.95" customHeight="1">
      <c r="A239" s="32" t="s">
        <v>688</v>
      </c>
      <c r="B239" s="210" t="s">
        <v>548</v>
      </c>
      <c r="C239" s="211" t="s">
        <v>167</v>
      </c>
      <c r="D239" s="212" t="s">
        <v>251</v>
      </c>
      <c r="E239" s="212" t="s">
        <v>172</v>
      </c>
      <c r="F239" s="212" t="s">
        <v>252</v>
      </c>
      <c r="G239" s="212" t="s">
        <v>175</v>
      </c>
      <c r="H239" s="212" t="s">
        <v>254</v>
      </c>
      <c r="I239" s="212"/>
      <c r="J239" s="212"/>
      <c r="K239" s="213">
        <v>11</v>
      </c>
      <c r="L239" s="214" t="s">
        <v>29</v>
      </c>
      <c r="M239" s="210" t="s">
        <v>255</v>
      </c>
      <c r="N239" s="215">
        <v>3226548466</v>
      </c>
      <c r="O239" s="215">
        <v>0</v>
      </c>
      <c r="P239" s="215">
        <v>0</v>
      </c>
      <c r="Q239" s="215">
        <v>0</v>
      </c>
      <c r="R239" s="215">
        <v>0</v>
      </c>
      <c r="S239" s="215">
        <v>0</v>
      </c>
      <c r="T239" s="215">
        <v>3226548466</v>
      </c>
      <c r="U239" s="215">
        <v>582946409</v>
      </c>
      <c r="V239" s="215">
        <v>2643602057</v>
      </c>
      <c r="W239" s="216">
        <v>0.18067182785036151</v>
      </c>
      <c r="X239" s="215">
        <v>0</v>
      </c>
      <c r="Y239" s="215">
        <v>582946409</v>
      </c>
      <c r="Z239" s="216">
        <v>1</v>
      </c>
      <c r="AA239" s="215">
        <v>0</v>
      </c>
      <c r="AB239" s="215">
        <v>0</v>
      </c>
      <c r="AC239" s="216">
        <v>0</v>
      </c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1:52" s="90" customFormat="1" ht="24.95" customHeight="1" thickBot="1">
      <c r="A240" s="32" t="s">
        <v>689</v>
      </c>
      <c r="B240" s="217" t="s">
        <v>549</v>
      </c>
      <c r="C240" s="218" t="s">
        <v>167</v>
      </c>
      <c r="D240" s="219" t="s">
        <v>251</v>
      </c>
      <c r="E240" s="219" t="s">
        <v>172</v>
      </c>
      <c r="F240" s="219" t="s">
        <v>252</v>
      </c>
      <c r="G240" s="219" t="s">
        <v>175</v>
      </c>
      <c r="H240" s="219" t="s">
        <v>254</v>
      </c>
      <c r="I240" s="219" t="s">
        <v>54</v>
      </c>
      <c r="J240" s="219"/>
      <c r="K240" s="275">
        <v>11</v>
      </c>
      <c r="L240" s="276" t="s">
        <v>29</v>
      </c>
      <c r="M240" s="217" t="s">
        <v>178</v>
      </c>
      <c r="N240" s="222">
        <v>3226548466</v>
      </c>
      <c r="O240" s="222"/>
      <c r="P240" s="222"/>
      <c r="Q240" s="222"/>
      <c r="R240" s="222"/>
      <c r="S240" s="222"/>
      <c r="T240" s="222">
        <v>3226548466</v>
      </c>
      <c r="U240" s="222">
        <v>582946409</v>
      </c>
      <c r="V240" s="222">
        <v>2643602057</v>
      </c>
      <c r="W240" s="224">
        <v>0.18067182785036151</v>
      </c>
      <c r="X240" s="222">
        <v>0</v>
      </c>
      <c r="Y240" s="222">
        <v>582946409</v>
      </c>
      <c r="Z240" s="224">
        <v>1</v>
      </c>
      <c r="AA240" s="222">
        <v>0</v>
      </c>
      <c r="AB240" s="222">
        <v>0</v>
      </c>
      <c r="AC240" s="224">
        <v>0</v>
      </c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1:52" s="90" customFormat="1" ht="35.1" customHeight="1" thickBot="1">
      <c r="A241" s="32"/>
      <c r="B241" s="277" t="s">
        <v>288</v>
      </c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60" t="s">
        <v>256</v>
      </c>
      <c r="N241" s="265">
        <v>6409808633098</v>
      </c>
      <c r="O241" s="265">
        <v>0</v>
      </c>
      <c r="P241" s="265">
        <v>0</v>
      </c>
      <c r="Q241" s="265">
        <v>18738388090.09</v>
      </c>
      <c r="R241" s="265">
        <v>18738388090.09</v>
      </c>
      <c r="S241" s="265">
        <v>548607000000</v>
      </c>
      <c r="T241" s="265">
        <v>5861201633098</v>
      </c>
      <c r="U241" s="265">
        <v>587953539243.17993</v>
      </c>
      <c r="V241" s="265">
        <v>5273248093854.8193</v>
      </c>
      <c r="W241" s="187">
        <v>0.10031279864576351</v>
      </c>
      <c r="X241" s="265">
        <v>216234422094</v>
      </c>
      <c r="Y241" s="265">
        <v>371719117149.17999</v>
      </c>
      <c r="Z241" s="187">
        <v>0.63222532451741131</v>
      </c>
      <c r="AA241" s="265">
        <v>216203045999</v>
      </c>
      <c r="AB241" s="265">
        <v>31376095</v>
      </c>
      <c r="AC241" s="187">
        <v>0.36772131056018281</v>
      </c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1:52" s="90" customFormat="1" ht="16.5">
      <c r="A242" s="32"/>
      <c r="B242" s="279"/>
      <c r="C242" s="82"/>
      <c r="D242" s="82"/>
      <c r="E242" s="82"/>
      <c r="F242" s="82"/>
      <c r="G242" s="82"/>
      <c r="H242" s="83"/>
      <c r="I242" s="84"/>
      <c r="J242" s="84"/>
      <c r="K242" s="84"/>
      <c r="L242" s="84"/>
      <c r="M242" s="84"/>
      <c r="N242" s="86"/>
      <c r="O242" s="86"/>
      <c r="P242" s="86"/>
      <c r="Q242" s="86"/>
      <c r="R242" s="86"/>
      <c r="S242" s="86"/>
      <c r="T242" s="86"/>
      <c r="U242" s="86"/>
      <c r="V242" s="86"/>
      <c r="W242" s="87"/>
      <c r="X242" s="86"/>
      <c r="Y242" s="86"/>
      <c r="Z242" s="87"/>
      <c r="AA242" s="86"/>
      <c r="AB242" s="86"/>
      <c r="AC242" s="89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1:52" s="90" customFormat="1" ht="16.5">
      <c r="A243" s="32" t="s">
        <v>550</v>
      </c>
      <c r="B243" s="279"/>
      <c r="C243" s="82"/>
      <c r="D243" s="82"/>
      <c r="E243" s="82"/>
      <c r="F243" s="82"/>
      <c r="G243" s="82"/>
      <c r="H243" s="83"/>
      <c r="I243" s="84"/>
      <c r="J243" s="84"/>
      <c r="K243" s="84"/>
      <c r="L243" s="84"/>
      <c r="M243" s="84"/>
      <c r="N243" s="86"/>
      <c r="O243" s="86"/>
      <c r="P243" s="86"/>
      <c r="Q243" s="86"/>
      <c r="R243" s="86"/>
      <c r="S243" s="86"/>
      <c r="T243" s="86"/>
      <c r="U243" s="86"/>
      <c r="V243" s="86"/>
      <c r="W243" s="87"/>
      <c r="X243" s="86"/>
      <c r="Y243" s="86"/>
      <c r="Z243" s="87"/>
      <c r="AA243" s="86"/>
      <c r="AB243" s="86"/>
      <c r="AC243" s="89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1:52" s="8" customFormat="1" ht="16.5">
      <c r="A244" s="32"/>
      <c r="B244" s="280"/>
      <c r="C244" s="94"/>
      <c r="D244" s="93"/>
      <c r="E244" s="93"/>
      <c r="F244" s="93"/>
      <c r="G244" s="93"/>
      <c r="H244" s="93"/>
      <c r="I244" s="93"/>
      <c r="J244" s="93"/>
      <c r="K244" s="93"/>
      <c r="L244" s="93"/>
      <c r="M244" s="97" t="s">
        <v>289</v>
      </c>
      <c r="N244" s="281">
        <v>6409808633098</v>
      </c>
      <c r="O244" s="281"/>
      <c r="P244" s="281"/>
      <c r="Q244" s="635">
        <v>18738388090.09</v>
      </c>
      <c r="R244" s="635">
        <v>18738388090.09</v>
      </c>
      <c r="S244" s="281">
        <v>548607000000</v>
      </c>
      <c r="T244" s="281">
        <v>5861201633098</v>
      </c>
      <c r="U244" s="281">
        <v>587953539243.18005</v>
      </c>
      <c r="V244" s="281">
        <v>5273248093854.8203</v>
      </c>
      <c r="W244" s="282">
        <v>0.10031279864576353</v>
      </c>
      <c r="X244" s="281">
        <v>216234422094</v>
      </c>
      <c r="Y244" s="281">
        <v>371719117149.17999</v>
      </c>
      <c r="Z244" s="282">
        <v>0.6322253245174112</v>
      </c>
      <c r="AA244" s="281">
        <v>216203045999</v>
      </c>
      <c r="AB244" s="281">
        <v>31376095</v>
      </c>
      <c r="AC244" s="282">
        <v>0.36772131056018276</v>
      </c>
    </row>
    <row r="245" spans="1:52" s="289" customFormat="1" ht="16.5">
      <c r="A245" s="22"/>
      <c r="B245" s="283"/>
      <c r="C245" s="284"/>
      <c r="D245" s="285"/>
      <c r="E245" s="285"/>
      <c r="F245" s="285"/>
      <c r="G245" s="285"/>
      <c r="H245" s="285"/>
      <c r="I245" s="285"/>
      <c r="J245" s="285"/>
      <c r="K245" s="285"/>
      <c r="L245" s="285"/>
      <c r="M245" s="286" t="s">
        <v>290</v>
      </c>
      <c r="N245" s="98">
        <v>0</v>
      </c>
      <c r="O245" s="98">
        <v>0</v>
      </c>
      <c r="P245" s="98">
        <v>0</v>
      </c>
      <c r="Q245" s="98">
        <v>0</v>
      </c>
      <c r="R245" s="98">
        <v>0</v>
      </c>
      <c r="S245" s="98">
        <v>0</v>
      </c>
      <c r="T245" s="98">
        <v>0</v>
      </c>
      <c r="U245" s="98">
        <v>0</v>
      </c>
      <c r="V245" s="98">
        <v>0</v>
      </c>
      <c r="W245" s="287"/>
      <c r="X245" s="98">
        <v>0</v>
      </c>
      <c r="Y245" s="98">
        <v>0</v>
      </c>
      <c r="Z245" s="287"/>
      <c r="AA245" s="98">
        <v>0</v>
      </c>
      <c r="AB245" s="98">
        <v>0</v>
      </c>
      <c r="AC245" s="28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</row>
    <row r="246" spans="1:52" ht="18">
      <c r="A246" s="30"/>
      <c r="B246" s="279"/>
      <c r="C246" s="312"/>
      <c r="D246" s="317"/>
      <c r="E246" s="312"/>
      <c r="F246" s="312"/>
      <c r="G246" s="312"/>
      <c r="H246" s="312"/>
      <c r="I246" s="312"/>
      <c r="J246" s="312"/>
      <c r="K246" s="312"/>
      <c r="L246" s="312"/>
      <c r="M246" s="312"/>
      <c r="N246" s="335"/>
      <c r="O246" s="632"/>
      <c r="P246" s="332"/>
      <c r="Q246" s="332"/>
      <c r="R246" s="633"/>
      <c r="S246" s="633"/>
      <c r="T246" s="359"/>
      <c r="U246" s="332"/>
      <c r="V246" s="332"/>
      <c r="W246" s="333"/>
      <c r="X246" s="332"/>
      <c r="Y246" s="332"/>
      <c r="Z246" s="333"/>
      <c r="AA246" s="332"/>
      <c r="AB246" s="332"/>
      <c r="AC246" s="333"/>
    </row>
    <row r="247" spans="1:52" ht="18">
      <c r="A247" s="30"/>
      <c r="B247" s="279"/>
      <c r="C247" s="312"/>
      <c r="D247" s="317"/>
      <c r="E247" s="312"/>
      <c r="F247" s="312"/>
      <c r="G247" s="312"/>
      <c r="H247" s="312"/>
      <c r="I247" s="312"/>
      <c r="J247" s="312"/>
      <c r="K247" s="312"/>
      <c r="L247" s="312"/>
      <c r="M247" s="312"/>
      <c r="N247" s="332"/>
      <c r="O247" s="632"/>
      <c r="P247" s="332"/>
      <c r="Q247" s="359"/>
      <c r="R247" s="633"/>
      <c r="S247" s="633"/>
      <c r="T247" s="332"/>
      <c r="U247" s="332"/>
      <c r="V247" s="332"/>
      <c r="W247" s="333"/>
      <c r="X247" s="332"/>
      <c r="Y247" s="332"/>
      <c r="Z247" s="333"/>
      <c r="AA247" s="332"/>
      <c r="AB247" s="332"/>
      <c r="AC247" s="333"/>
    </row>
    <row r="248" spans="1:52" ht="18">
      <c r="A248" s="1"/>
      <c r="B248" s="156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32"/>
      <c r="O248" s="632"/>
      <c r="P248" s="332"/>
      <c r="Q248" s="332"/>
      <c r="R248" s="332"/>
      <c r="S248" s="332"/>
      <c r="T248" s="332"/>
      <c r="U248" s="332"/>
      <c r="V248" s="332"/>
      <c r="W248" s="333"/>
      <c r="X248" s="332"/>
      <c r="Y248" s="631"/>
      <c r="Z248" s="333"/>
      <c r="AA248" s="332"/>
      <c r="AB248" s="332"/>
      <c r="AC248" s="333"/>
    </row>
    <row r="249" spans="1:52" ht="30">
      <c r="A249" s="1"/>
      <c r="B249" s="156"/>
      <c r="C249" s="318"/>
      <c r="D249" s="318"/>
      <c r="E249" s="318"/>
      <c r="F249" s="318"/>
      <c r="G249" s="318"/>
      <c r="H249" s="318"/>
      <c r="I249" s="312"/>
      <c r="J249" s="312"/>
      <c r="K249" s="312"/>
      <c r="L249" s="312"/>
      <c r="M249" s="336" t="s">
        <v>738</v>
      </c>
      <c r="N249" s="628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20"/>
      <c r="AA249" s="319"/>
      <c r="AB249" s="319"/>
      <c r="AC249" s="319"/>
    </row>
    <row r="250" spans="1:52" ht="30">
      <c r="A250" s="1"/>
      <c r="B250" s="156"/>
      <c r="C250" s="321"/>
      <c r="D250" s="322"/>
      <c r="E250" s="322"/>
      <c r="F250" s="322"/>
      <c r="G250" s="322"/>
      <c r="H250" s="322"/>
      <c r="I250" s="322"/>
      <c r="J250" s="322"/>
      <c r="K250" s="322"/>
      <c r="L250" s="322"/>
      <c r="M250" s="337" t="s">
        <v>739</v>
      </c>
      <c r="N250" s="628"/>
      <c r="P250" s="323"/>
      <c r="Q250" s="323"/>
      <c r="R250" s="323"/>
      <c r="S250" s="323"/>
      <c r="T250" s="360"/>
      <c r="U250" s="323"/>
      <c r="V250" s="323"/>
      <c r="W250" s="323"/>
      <c r="X250" s="323"/>
      <c r="Y250" s="323"/>
      <c r="Z250" s="324"/>
      <c r="AA250" s="323"/>
      <c r="AB250" s="323"/>
      <c r="AC250" s="323"/>
    </row>
    <row r="251" spans="1:52" ht="30">
      <c r="A251" s="325"/>
      <c r="B251" s="314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628"/>
      <c r="P251" s="309"/>
      <c r="Q251" s="309"/>
      <c r="R251" s="630"/>
      <c r="S251" s="630"/>
      <c r="T251" s="334"/>
      <c r="U251" s="334"/>
      <c r="V251" s="629"/>
      <c r="W251" s="329"/>
      <c r="X251" s="329"/>
      <c r="Y251" s="329"/>
      <c r="Z251" s="329"/>
    </row>
    <row r="252" spans="1:52" ht="16.5">
      <c r="N252" s="628"/>
      <c r="O252" s="628"/>
    </row>
    <row r="253" spans="1:52" ht="16.5">
      <c r="N253" s="628"/>
      <c r="O253" s="628"/>
    </row>
    <row r="254" spans="1:52" ht="16.5">
      <c r="N254" s="628"/>
    </row>
    <row r="255" spans="1:52" ht="16.5">
      <c r="N255" s="628"/>
    </row>
    <row r="256" spans="1:52" ht="16.5">
      <c r="N256" s="628"/>
    </row>
  </sheetData>
  <sheetProtection selectLockedCells="1" selectUnlockedCells="1"/>
  <autoFilter ref="A6:AC244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9E8EB-4752-44A8-AFC4-DED7E1DCDAB3}">
  <sheetPr>
    <tabColor theme="7" tint="0.59999389629810485"/>
    <pageSetUpPr fitToPage="1"/>
  </sheetPr>
  <dimension ref="A1:BC25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6" style="9" bestFit="1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67.7109375" style="9" customWidth="1"/>
    <col min="14" max="14" width="20" style="13" bestFit="1" customWidth="1"/>
    <col min="15" max="15" width="18.85546875" style="13" customWidth="1"/>
    <col min="16" max="16" width="18.42578125" style="13" customWidth="1"/>
    <col min="17" max="17" width="21.85546875" style="13" customWidth="1"/>
    <col min="18" max="19" width="19.140625" style="13" customWidth="1"/>
    <col min="20" max="20" width="23.710937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916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784" t="s">
        <v>7</v>
      </c>
      <c r="V5" s="791"/>
      <c r="W5" s="79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912</v>
      </c>
      <c r="Z6" s="178" t="s">
        <v>879</v>
      </c>
      <c r="AA6" s="175" t="s">
        <v>18</v>
      </c>
      <c r="AB6" s="658" t="s">
        <v>913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179300000000</v>
      </c>
      <c r="O8" s="186">
        <v>3803514274200</v>
      </c>
      <c r="P8" s="186">
        <v>0</v>
      </c>
      <c r="Q8" s="186">
        <v>71882268</v>
      </c>
      <c r="R8" s="186">
        <v>71882268</v>
      </c>
      <c r="S8" s="186">
        <v>22607000000</v>
      </c>
      <c r="T8" s="186">
        <v>3960207274200</v>
      </c>
      <c r="U8" s="186">
        <v>1292186556768.01</v>
      </c>
      <c r="V8" s="186">
        <v>2668020717431.9902</v>
      </c>
      <c r="W8" s="187">
        <v>0.32629265775717364</v>
      </c>
      <c r="X8" s="186">
        <v>1255514548274.3101</v>
      </c>
      <c r="Y8" s="186">
        <v>36672008493.699997</v>
      </c>
      <c r="Z8" s="187">
        <v>2.8379809634781573E-2</v>
      </c>
      <c r="AA8" s="186">
        <v>1255475088990.3101</v>
      </c>
      <c r="AB8" s="186">
        <v>39459284</v>
      </c>
      <c r="AC8" s="187">
        <v>0.97158965353306115</v>
      </c>
    </row>
    <row r="9" spans="1:29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105148000000</v>
      </c>
      <c r="O9" s="194">
        <v>0</v>
      </c>
      <c r="P9" s="194">
        <v>0</v>
      </c>
      <c r="Q9" s="194">
        <v>0</v>
      </c>
      <c r="R9" s="194">
        <v>0</v>
      </c>
      <c r="S9" s="194">
        <v>0</v>
      </c>
      <c r="T9" s="194">
        <v>105148000000</v>
      </c>
      <c r="U9" s="194">
        <v>19244028310</v>
      </c>
      <c r="V9" s="194">
        <v>85903971690</v>
      </c>
      <c r="W9" s="195">
        <v>0.18301849117434474</v>
      </c>
      <c r="X9" s="194">
        <v>13815930597</v>
      </c>
      <c r="Y9" s="194">
        <v>5428097713</v>
      </c>
      <c r="Z9" s="195">
        <v>0.28206660401654748</v>
      </c>
      <c r="AA9" s="194">
        <v>13815930597</v>
      </c>
      <c r="AB9" s="194">
        <v>0</v>
      </c>
      <c r="AC9" s="195">
        <v>0.71793339598345252</v>
      </c>
    </row>
    <row r="10" spans="1:29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105148000000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105148000000</v>
      </c>
      <c r="U10" s="201">
        <v>19244028310</v>
      </c>
      <c r="V10" s="201">
        <v>85903971690</v>
      </c>
      <c r="W10" s="202">
        <v>0.18301849117434474</v>
      </c>
      <c r="X10" s="201">
        <v>13815930597</v>
      </c>
      <c r="Y10" s="201">
        <v>5428097713</v>
      </c>
      <c r="Z10" s="202">
        <v>0.28206660401654748</v>
      </c>
      <c r="AA10" s="201">
        <v>13815930597</v>
      </c>
      <c r="AB10" s="201">
        <v>0</v>
      </c>
      <c r="AC10" s="202">
        <v>0.71793339598345252</v>
      </c>
    </row>
    <row r="11" spans="1:29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69237000000</v>
      </c>
      <c r="O11" s="208">
        <v>0</v>
      </c>
      <c r="P11" s="208">
        <v>0</v>
      </c>
      <c r="Q11" s="208">
        <v>0</v>
      </c>
      <c r="R11" s="208">
        <v>0</v>
      </c>
      <c r="S11" s="208">
        <v>0</v>
      </c>
      <c r="T11" s="208">
        <v>69237000000</v>
      </c>
      <c r="U11" s="208">
        <v>9267971259</v>
      </c>
      <c r="V11" s="208">
        <v>59969028741</v>
      </c>
      <c r="W11" s="209">
        <v>0.13385864868495168</v>
      </c>
      <c r="X11" s="208">
        <v>9267971259</v>
      </c>
      <c r="Y11" s="208">
        <v>0</v>
      </c>
      <c r="Z11" s="209">
        <v>0</v>
      </c>
      <c r="AA11" s="208">
        <v>9267971259</v>
      </c>
      <c r="AB11" s="208">
        <v>0</v>
      </c>
      <c r="AC11" s="209">
        <v>1</v>
      </c>
    </row>
    <row r="12" spans="1:29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69237000000</v>
      </c>
      <c r="O12" s="215">
        <v>0</v>
      </c>
      <c r="P12" s="215">
        <v>0</v>
      </c>
      <c r="Q12" s="215">
        <v>0</v>
      </c>
      <c r="R12" s="215">
        <v>0</v>
      </c>
      <c r="S12" s="215">
        <v>0</v>
      </c>
      <c r="T12" s="215">
        <v>69237000000</v>
      </c>
      <c r="U12" s="215">
        <v>9267971259</v>
      </c>
      <c r="V12" s="215">
        <v>59969028741</v>
      </c>
      <c r="W12" s="216">
        <v>0.13385864868495168</v>
      </c>
      <c r="X12" s="215">
        <v>9267971259</v>
      </c>
      <c r="Y12" s="215">
        <v>0</v>
      </c>
      <c r="Z12" s="216">
        <v>0</v>
      </c>
      <c r="AA12" s="215">
        <v>9267971259</v>
      </c>
      <c r="AB12" s="215">
        <v>0</v>
      </c>
      <c r="AC12" s="216">
        <v>1</v>
      </c>
    </row>
    <row r="13" spans="1:29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57000000000</v>
      </c>
      <c r="O13" s="222"/>
      <c r="P13" s="222"/>
      <c r="Q13" s="222"/>
      <c r="R13" s="223"/>
      <c r="S13" s="223"/>
      <c r="T13" s="222">
        <v>57000000000</v>
      </c>
      <c r="U13" s="222">
        <v>8618867163</v>
      </c>
      <c r="V13" s="222">
        <v>48381132837</v>
      </c>
      <c r="W13" s="224">
        <v>0.15120819584210526</v>
      </c>
      <c r="X13" s="222">
        <v>8618867163</v>
      </c>
      <c r="Y13" s="222">
        <v>0</v>
      </c>
      <c r="Z13" s="224">
        <v>0</v>
      </c>
      <c r="AA13" s="222">
        <v>8618867163</v>
      </c>
      <c r="AB13" s="222">
        <v>0</v>
      </c>
      <c r="AC13" s="224">
        <v>1</v>
      </c>
    </row>
    <row r="14" spans="1:29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276000000</v>
      </c>
      <c r="O14" s="222"/>
      <c r="P14" s="222"/>
      <c r="Q14" s="222"/>
      <c r="R14" s="222"/>
      <c r="S14" s="222"/>
      <c r="T14" s="222">
        <v>276000000</v>
      </c>
      <c r="U14" s="222">
        <v>32327542</v>
      </c>
      <c r="V14" s="222">
        <v>243672458</v>
      </c>
      <c r="W14" s="224">
        <v>0.11712877536231885</v>
      </c>
      <c r="X14" s="222">
        <v>32327542</v>
      </c>
      <c r="Y14" s="222">
        <v>0</v>
      </c>
      <c r="Z14" s="224">
        <v>0</v>
      </c>
      <c r="AA14" s="222">
        <v>32327542</v>
      </c>
      <c r="AB14" s="222">
        <v>0</v>
      </c>
      <c r="AC14" s="224">
        <v>1</v>
      </c>
    </row>
    <row r="15" spans="1:29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540000000</v>
      </c>
      <c r="O15" s="222"/>
      <c r="P15" s="222"/>
      <c r="Q15" s="222"/>
      <c r="R15" s="222"/>
      <c r="S15" s="222"/>
      <c r="T15" s="222">
        <v>540000000</v>
      </c>
      <c r="U15" s="222">
        <v>77743375</v>
      </c>
      <c r="V15" s="222">
        <v>462256625</v>
      </c>
      <c r="W15" s="224">
        <v>0.14396921296296297</v>
      </c>
      <c r="X15" s="222">
        <v>77743375</v>
      </c>
      <c r="Y15" s="222">
        <v>0</v>
      </c>
      <c r="Z15" s="224">
        <v>0</v>
      </c>
      <c r="AA15" s="222">
        <v>77743375</v>
      </c>
      <c r="AB15" s="222">
        <v>0</v>
      </c>
      <c r="AC15" s="224">
        <v>1</v>
      </c>
    </row>
    <row r="16" spans="1:29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96000000</v>
      </c>
      <c r="O16" s="222"/>
      <c r="P16" s="222"/>
      <c r="Q16" s="222"/>
      <c r="R16" s="222"/>
      <c r="S16" s="222"/>
      <c r="T16" s="222">
        <v>96000000</v>
      </c>
      <c r="U16" s="222">
        <v>13840923</v>
      </c>
      <c r="V16" s="222">
        <v>82159077</v>
      </c>
      <c r="W16" s="224">
        <v>0.14417628125000001</v>
      </c>
      <c r="X16" s="222">
        <v>13840923</v>
      </c>
      <c r="Y16" s="222">
        <v>0</v>
      </c>
      <c r="Z16" s="224">
        <v>0</v>
      </c>
      <c r="AA16" s="222">
        <v>13840923</v>
      </c>
      <c r="AB16" s="222">
        <v>0</v>
      </c>
      <c r="AC16" s="224">
        <v>1</v>
      </c>
    </row>
    <row r="17" spans="1:55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80000000</v>
      </c>
      <c r="O17" s="222"/>
      <c r="P17" s="222"/>
      <c r="Q17" s="222"/>
      <c r="R17" s="222"/>
      <c r="S17" s="222"/>
      <c r="T17" s="222">
        <v>80000000</v>
      </c>
      <c r="U17" s="222">
        <v>15648737</v>
      </c>
      <c r="V17" s="222">
        <v>64351263</v>
      </c>
      <c r="W17" s="224">
        <v>0.19560921249999999</v>
      </c>
      <c r="X17" s="222">
        <v>15648737</v>
      </c>
      <c r="Y17" s="222">
        <v>0</v>
      </c>
      <c r="Z17" s="224">
        <v>0</v>
      </c>
      <c r="AA17" s="222">
        <v>15648737</v>
      </c>
      <c r="AB17" s="222">
        <v>0</v>
      </c>
      <c r="AC17" s="224">
        <v>1</v>
      </c>
    </row>
    <row r="18" spans="1:55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2448300000</v>
      </c>
      <c r="O18" s="222"/>
      <c r="P18" s="222"/>
      <c r="Q18" s="222"/>
      <c r="R18" s="222"/>
      <c r="S18" s="222"/>
      <c r="T18" s="222">
        <v>2448300000</v>
      </c>
      <c r="U18" s="222">
        <v>10643722</v>
      </c>
      <c r="V18" s="222">
        <v>2437656278</v>
      </c>
      <c r="W18" s="224">
        <v>4.3473928848588817E-3</v>
      </c>
      <c r="X18" s="222">
        <v>10643722</v>
      </c>
      <c r="Y18" s="222">
        <v>0</v>
      </c>
      <c r="Z18" s="224">
        <v>0</v>
      </c>
      <c r="AA18" s="222">
        <v>10643722</v>
      </c>
      <c r="AB18" s="222">
        <v>0</v>
      </c>
      <c r="AC18" s="224">
        <v>1</v>
      </c>
    </row>
    <row r="19" spans="1:55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1757500000</v>
      </c>
      <c r="O19" s="222"/>
      <c r="P19" s="222"/>
      <c r="Q19" s="222"/>
      <c r="R19" s="222"/>
      <c r="S19" s="222"/>
      <c r="T19" s="222">
        <v>1757500000</v>
      </c>
      <c r="U19" s="222">
        <v>300990325</v>
      </c>
      <c r="V19" s="222">
        <v>1456509675</v>
      </c>
      <c r="W19" s="224">
        <v>0.17126049786628733</v>
      </c>
      <c r="X19" s="222">
        <v>300990325</v>
      </c>
      <c r="Y19" s="222">
        <v>0</v>
      </c>
      <c r="Z19" s="224">
        <v>0</v>
      </c>
      <c r="AA19" s="222">
        <v>300990325</v>
      </c>
      <c r="AB19" s="222">
        <v>0</v>
      </c>
      <c r="AC19" s="224">
        <v>1</v>
      </c>
    </row>
    <row r="20" spans="1:55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210000000</v>
      </c>
      <c r="O20" s="222"/>
      <c r="P20" s="222"/>
      <c r="Q20" s="222"/>
      <c r="R20" s="222"/>
      <c r="S20" s="222"/>
      <c r="T20" s="222">
        <v>210000000</v>
      </c>
      <c r="U20" s="222">
        <v>6376410</v>
      </c>
      <c r="V20" s="222">
        <v>203623590</v>
      </c>
      <c r="W20" s="224">
        <v>3.0363857142857144E-2</v>
      </c>
      <c r="X20" s="222">
        <v>6376410</v>
      </c>
      <c r="Y20" s="222">
        <v>0</v>
      </c>
      <c r="Z20" s="224">
        <v>0</v>
      </c>
      <c r="AA20" s="222">
        <v>6376410</v>
      </c>
      <c r="AB20" s="222">
        <v>0</v>
      </c>
      <c r="AC20" s="224">
        <v>1</v>
      </c>
    </row>
    <row r="21" spans="1:55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5100500000</v>
      </c>
      <c r="O21" s="222"/>
      <c r="P21" s="222"/>
      <c r="Q21" s="222"/>
      <c r="R21" s="222"/>
      <c r="S21" s="222"/>
      <c r="T21" s="222">
        <v>5100500000</v>
      </c>
      <c r="U21" s="222">
        <v>2496692</v>
      </c>
      <c r="V21" s="222">
        <v>5098003308</v>
      </c>
      <c r="W21" s="224">
        <v>4.8949946083717279E-4</v>
      </c>
      <c r="X21" s="222">
        <v>2496692</v>
      </c>
      <c r="Y21" s="222">
        <v>0</v>
      </c>
      <c r="Z21" s="224">
        <v>0</v>
      </c>
      <c r="AA21" s="222">
        <v>2496692</v>
      </c>
      <c r="AB21" s="222">
        <v>0</v>
      </c>
      <c r="AC21" s="224">
        <v>1</v>
      </c>
    </row>
    <row r="22" spans="1:55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1676700000</v>
      </c>
      <c r="O22" s="222"/>
      <c r="P22" s="222"/>
      <c r="Q22" s="222"/>
      <c r="R22" s="222"/>
      <c r="S22" s="222"/>
      <c r="T22" s="222">
        <v>1676700000</v>
      </c>
      <c r="U22" s="222">
        <v>184189163</v>
      </c>
      <c r="V22" s="222">
        <v>1492510837</v>
      </c>
      <c r="W22" s="224">
        <v>0.1098521876304646</v>
      </c>
      <c r="X22" s="222">
        <v>184189163</v>
      </c>
      <c r="Y22" s="222">
        <v>0</v>
      </c>
      <c r="Z22" s="224">
        <v>0</v>
      </c>
      <c r="AA22" s="222">
        <v>184189163</v>
      </c>
      <c r="AB22" s="222">
        <v>0</v>
      </c>
      <c r="AC22" s="224">
        <v>1</v>
      </c>
    </row>
    <row r="23" spans="1:55" s="64" customFormat="1" ht="24.95" customHeight="1">
      <c r="A23" s="32" t="s">
        <v>552</v>
      </c>
      <c r="B23" s="217" t="s">
        <v>553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52000000</v>
      </c>
      <c r="O23" s="222"/>
      <c r="P23" s="222"/>
      <c r="Q23" s="222"/>
      <c r="R23" s="222"/>
      <c r="S23" s="222"/>
      <c r="T23" s="222">
        <v>52000000</v>
      </c>
      <c r="U23" s="222">
        <v>4847207</v>
      </c>
      <c r="V23" s="222">
        <v>47152793</v>
      </c>
      <c r="W23" s="224">
        <v>9.3215519230769234E-2</v>
      </c>
      <c r="X23" s="222">
        <v>4847207</v>
      </c>
      <c r="Y23" s="222">
        <v>0</v>
      </c>
      <c r="Z23" s="224">
        <v>0</v>
      </c>
      <c r="AA23" s="222">
        <v>4847207</v>
      </c>
      <c r="AB23" s="222">
        <v>0</v>
      </c>
      <c r="AC23" s="224"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">
        <v>330</v>
      </c>
      <c r="B24" s="226" t="s">
        <v>331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v>28758000000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28758000000</v>
      </c>
      <c r="U24" s="232">
        <v>9180983800</v>
      </c>
      <c r="V24" s="232">
        <v>19577016200</v>
      </c>
      <c r="W24" s="233">
        <v>0.31924973224841785</v>
      </c>
      <c r="X24" s="232">
        <v>3752886087</v>
      </c>
      <c r="Y24" s="232">
        <v>5428097713</v>
      </c>
      <c r="Z24" s="233">
        <v>0.59123268608751933</v>
      </c>
      <c r="AA24" s="232">
        <v>3752886087</v>
      </c>
      <c r="AB24" s="232">
        <v>0</v>
      </c>
      <c r="AC24" s="233">
        <v>0.40876731391248072</v>
      </c>
    </row>
    <row r="25" spans="1:55" ht="24.95" customHeight="1">
      <c r="A25" s="32" t="s">
        <v>332</v>
      </c>
      <c r="B25" s="217" t="s">
        <v>333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7690200000</v>
      </c>
      <c r="O25" s="222"/>
      <c r="P25" s="222"/>
      <c r="Q25" s="222"/>
      <c r="R25" s="222"/>
      <c r="S25" s="222"/>
      <c r="T25" s="222">
        <v>7690200000</v>
      </c>
      <c r="U25" s="222">
        <v>1191843900</v>
      </c>
      <c r="V25" s="222">
        <v>6498356100</v>
      </c>
      <c r="W25" s="224">
        <v>0.15498217211515955</v>
      </c>
      <c r="X25" s="222">
        <v>1191843900</v>
      </c>
      <c r="Y25" s="222">
        <v>0</v>
      </c>
      <c r="Z25" s="224">
        <v>0</v>
      </c>
      <c r="AA25" s="222">
        <v>1191843900</v>
      </c>
      <c r="AB25" s="222">
        <v>0</v>
      </c>
      <c r="AC25" s="224">
        <v>1</v>
      </c>
    </row>
    <row r="26" spans="1:55" ht="24.95" customHeight="1">
      <c r="A26" s="32" t="s">
        <v>334</v>
      </c>
      <c r="B26" s="217" t="s">
        <v>335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5447200000</v>
      </c>
      <c r="O26" s="222"/>
      <c r="P26" s="222"/>
      <c r="Q26" s="222"/>
      <c r="R26" s="222"/>
      <c r="S26" s="222"/>
      <c r="T26" s="222">
        <v>5447200000</v>
      </c>
      <c r="U26" s="222">
        <v>845135800</v>
      </c>
      <c r="V26" s="222">
        <v>4602064200</v>
      </c>
      <c r="W26" s="224">
        <v>0.15515049933911002</v>
      </c>
      <c r="X26" s="222">
        <v>845135800</v>
      </c>
      <c r="Y26" s="222">
        <v>0</v>
      </c>
      <c r="Z26" s="224">
        <v>0</v>
      </c>
      <c r="AA26" s="222">
        <v>845135800</v>
      </c>
      <c r="AB26" s="222">
        <v>0</v>
      </c>
      <c r="AC26" s="224">
        <v>1</v>
      </c>
    </row>
    <row r="27" spans="1:55" ht="24.95" customHeight="1">
      <c r="A27" s="32" t="s">
        <v>336</v>
      </c>
      <c r="B27" s="217" t="s">
        <v>337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8895400000</v>
      </c>
      <c r="O27" s="222"/>
      <c r="P27" s="222"/>
      <c r="Q27" s="222"/>
      <c r="R27" s="222"/>
      <c r="S27" s="222"/>
      <c r="T27" s="222">
        <v>8895400000</v>
      </c>
      <c r="U27" s="222">
        <v>6200000000</v>
      </c>
      <c r="V27" s="222">
        <v>2695400000</v>
      </c>
      <c r="W27" s="224">
        <v>0.69698945522404843</v>
      </c>
      <c r="X27" s="222">
        <v>774306287</v>
      </c>
      <c r="Y27" s="222">
        <v>5425693713</v>
      </c>
      <c r="Z27" s="224">
        <v>0.87511188919354843</v>
      </c>
      <c r="AA27" s="222">
        <v>774306287</v>
      </c>
      <c r="AB27" s="222">
        <v>0</v>
      </c>
      <c r="AC27" s="224">
        <v>0.12488811080645161</v>
      </c>
    </row>
    <row r="28" spans="1:55" ht="24.95" customHeight="1">
      <c r="A28" s="32" t="s">
        <v>338</v>
      </c>
      <c r="B28" s="217" t="s">
        <v>339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2732300000</v>
      </c>
      <c r="O28" s="222"/>
      <c r="P28" s="222"/>
      <c r="Q28" s="222"/>
      <c r="R28" s="222"/>
      <c r="S28" s="222"/>
      <c r="T28" s="222">
        <v>2732300000</v>
      </c>
      <c r="U28" s="222">
        <v>381998000</v>
      </c>
      <c r="V28" s="222">
        <v>2350302000</v>
      </c>
      <c r="W28" s="224">
        <v>0.13980822018080005</v>
      </c>
      <c r="X28" s="222">
        <v>381998000</v>
      </c>
      <c r="Y28" s="222">
        <v>0</v>
      </c>
      <c r="Z28" s="224">
        <v>0</v>
      </c>
      <c r="AA28" s="222">
        <v>381998000</v>
      </c>
      <c r="AB28" s="222">
        <v>0</v>
      </c>
      <c r="AC28" s="224">
        <v>1</v>
      </c>
    </row>
    <row r="29" spans="1:55" ht="24.95" customHeight="1">
      <c r="A29" s="32" t="s">
        <v>340</v>
      </c>
      <c r="B29" s="217" t="s">
        <v>341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540000000</v>
      </c>
      <c r="O29" s="222"/>
      <c r="P29" s="222"/>
      <c r="Q29" s="222"/>
      <c r="R29" s="222"/>
      <c r="S29" s="222"/>
      <c r="T29" s="222">
        <v>540000000</v>
      </c>
      <c r="U29" s="222">
        <v>84056700</v>
      </c>
      <c r="V29" s="222">
        <v>455943300</v>
      </c>
      <c r="W29" s="224">
        <v>0.15566055555555555</v>
      </c>
      <c r="X29" s="222">
        <v>81652700</v>
      </c>
      <c r="Y29" s="222">
        <v>2404000</v>
      </c>
      <c r="Z29" s="224">
        <v>2.8599742792662572E-2</v>
      </c>
      <c r="AA29" s="222">
        <v>81652700</v>
      </c>
      <c r="AB29" s="222">
        <v>0</v>
      </c>
      <c r="AC29" s="224">
        <v>0.97140025720733747</v>
      </c>
    </row>
    <row r="30" spans="1:55" ht="24.95" customHeight="1">
      <c r="A30" s="32" t="s">
        <v>342</v>
      </c>
      <c r="B30" s="217" t="s">
        <v>343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2071700000</v>
      </c>
      <c r="O30" s="222"/>
      <c r="P30" s="222"/>
      <c r="Q30" s="222"/>
      <c r="R30" s="222"/>
      <c r="S30" s="222"/>
      <c r="T30" s="222">
        <v>2071700000</v>
      </c>
      <c r="U30" s="222">
        <v>286544500</v>
      </c>
      <c r="V30" s="222">
        <v>1785155500</v>
      </c>
      <c r="W30" s="224">
        <v>0.1383137037215813</v>
      </c>
      <c r="X30" s="222">
        <v>286544500</v>
      </c>
      <c r="Y30" s="222">
        <v>0</v>
      </c>
      <c r="Z30" s="224">
        <v>0</v>
      </c>
      <c r="AA30" s="222">
        <v>286544500</v>
      </c>
      <c r="AB30" s="222">
        <v>0</v>
      </c>
      <c r="AC30" s="224">
        <v>1</v>
      </c>
    </row>
    <row r="31" spans="1:55" ht="24.95" customHeight="1">
      <c r="A31" s="32" t="s">
        <v>344</v>
      </c>
      <c r="B31" s="217" t="s">
        <v>345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345300000</v>
      </c>
      <c r="O31" s="222"/>
      <c r="P31" s="222"/>
      <c r="Q31" s="222"/>
      <c r="R31" s="222"/>
      <c r="S31" s="222"/>
      <c r="T31" s="222">
        <v>345300000</v>
      </c>
      <c r="U31" s="222">
        <v>47956900</v>
      </c>
      <c r="V31" s="222">
        <v>297343100</v>
      </c>
      <c r="W31" s="224">
        <v>0.13888473790906458</v>
      </c>
      <c r="X31" s="222">
        <v>47956900</v>
      </c>
      <c r="Y31" s="222">
        <v>0</v>
      </c>
      <c r="Z31" s="224">
        <v>0</v>
      </c>
      <c r="AA31" s="222">
        <v>47956900</v>
      </c>
      <c r="AB31" s="222">
        <v>0</v>
      </c>
      <c r="AC31" s="224">
        <v>1</v>
      </c>
    </row>
    <row r="32" spans="1:55" ht="24.95" customHeight="1">
      <c r="A32" s="32" t="s">
        <v>346</v>
      </c>
      <c r="B32" s="217" t="s">
        <v>347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345300000</v>
      </c>
      <c r="O32" s="222"/>
      <c r="P32" s="222"/>
      <c r="Q32" s="222"/>
      <c r="R32" s="222"/>
      <c r="S32" s="222"/>
      <c r="T32" s="222">
        <v>345300000</v>
      </c>
      <c r="U32" s="222">
        <v>47850700</v>
      </c>
      <c r="V32" s="222">
        <v>297449300</v>
      </c>
      <c r="W32" s="224">
        <v>0.13857717926440777</v>
      </c>
      <c r="X32" s="222">
        <v>47850700</v>
      </c>
      <c r="Y32" s="222">
        <v>0</v>
      </c>
      <c r="Z32" s="224">
        <v>0</v>
      </c>
      <c r="AA32" s="222">
        <v>47850700</v>
      </c>
      <c r="AB32" s="222">
        <v>0</v>
      </c>
      <c r="AC32" s="224">
        <v>1</v>
      </c>
    </row>
    <row r="33" spans="1:29" ht="24.95" customHeight="1">
      <c r="A33" s="32" t="s">
        <v>348</v>
      </c>
      <c r="B33" s="217" t="s">
        <v>349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690600000</v>
      </c>
      <c r="O33" s="222"/>
      <c r="P33" s="222"/>
      <c r="Q33" s="222"/>
      <c r="R33" s="222"/>
      <c r="S33" s="222"/>
      <c r="T33" s="222">
        <v>690600000</v>
      </c>
      <c r="U33" s="222">
        <v>95597300</v>
      </c>
      <c r="V33" s="222">
        <v>595002700</v>
      </c>
      <c r="W33" s="224">
        <v>0.13842644077613669</v>
      </c>
      <c r="X33" s="222">
        <v>95597300</v>
      </c>
      <c r="Y33" s="222">
        <v>0</v>
      </c>
      <c r="Z33" s="224">
        <v>0</v>
      </c>
      <c r="AA33" s="222">
        <v>95597300</v>
      </c>
      <c r="AB33" s="222">
        <v>0</v>
      </c>
      <c r="AC33" s="224">
        <v>1</v>
      </c>
    </row>
    <row r="34" spans="1:29" ht="24.95" customHeight="1">
      <c r="A34" s="32" t="s">
        <v>350</v>
      </c>
      <c r="B34" s="226" t="s">
        <v>351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v>7153000000</v>
      </c>
      <c r="O34" s="232">
        <v>0</v>
      </c>
      <c r="P34" s="232">
        <v>0</v>
      </c>
      <c r="Q34" s="232">
        <v>0</v>
      </c>
      <c r="R34" s="232">
        <v>0</v>
      </c>
      <c r="S34" s="232">
        <v>0</v>
      </c>
      <c r="T34" s="232">
        <v>7153000000</v>
      </c>
      <c r="U34" s="232">
        <v>795073251</v>
      </c>
      <c r="V34" s="232">
        <v>6357926749</v>
      </c>
      <c r="W34" s="233">
        <v>0.11115241870543828</v>
      </c>
      <c r="X34" s="232">
        <v>795073251</v>
      </c>
      <c r="Y34" s="232">
        <v>0</v>
      </c>
      <c r="Z34" s="233">
        <v>0</v>
      </c>
      <c r="AA34" s="232">
        <v>795073251</v>
      </c>
      <c r="AB34" s="232">
        <v>0</v>
      </c>
      <c r="AC34" s="233">
        <v>1</v>
      </c>
    </row>
    <row r="35" spans="1:29" ht="24.95" customHeight="1">
      <c r="A35" s="32" t="s">
        <v>352</v>
      </c>
      <c r="B35" s="210" t="s">
        <v>353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v>3551000000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3551000000</v>
      </c>
      <c r="U35" s="215">
        <v>284871324</v>
      </c>
      <c r="V35" s="215">
        <v>3266128676</v>
      </c>
      <c r="W35" s="216">
        <v>8.0222845395663198E-2</v>
      </c>
      <c r="X35" s="215">
        <v>284871324</v>
      </c>
      <c r="Y35" s="215">
        <v>0</v>
      </c>
      <c r="Z35" s="216">
        <v>0</v>
      </c>
      <c r="AA35" s="215">
        <v>284871324</v>
      </c>
      <c r="AB35" s="215">
        <v>0</v>
      </c>
      <c r="AC35" s="216">
        <v>1</v>
      </c>
    </row>
    <row r="36" spans="1:29" ht="24.95" customHeight="1">
      <c r="A36" s="32" t="s">
        <v>354</v>
      </c>
      <c r="B36" s="217" t="s">
        <v>355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2801000000</v>
      </c>
      <c r="O36" s="222"/>
      <c r="P36" s="222"/>
      <c r="Q36" s="222"/>
      <c r="R36" s="222"/>
      <c r="S36" s="222"/>
      <c r="T36" s="222">
        <v>2801000000</v>
      </c>
      <c r="U36" s="222">
        <v>216995224</v>
      </c>
      <c r="V36" s="222">
        <v>2584004776</v>
      </c>
      <c r="W36" s="224">
        <v>7.7470626204926812E-2</v>
      </c>
      <c r="X36" s="222">
        <v>216995224</v>
      </c>
      <c r="Y36" s="222">
        <v>0</v>
      </c>
      <c r="Z36" s="224">
        <v>0</v>
      </c>
      <c r="AA36" s="222">
        <v>216995224</v>
      </c>
      <c r="AB36" s="222">
        <v>0</v>
      </c>
      <c r="AC36" s="224">
        <v>1</v>
      </c>
    </row>
    <row r="37" spans="1:29" ht="24.95" customHeight="1">
      <c r="A37" s="32" t="s">
        <v>356</v>
      </c>
      <c r="B37" s="217" t="s">
        <v>357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400000000</v>
      </c>
      <c r="O37" s="222"/>
      <c r="P37" s="222"/>
      <c r="Q37" s="222"/>
      <c r="R37" s="222"/>
      <c r="S37" s="222"/>
      <c r="T37" s="222">
        <v>400000000</v>
      </c>
      <c r="U37" s="222">
        <v>45271506</v>
      </c>
      <c r="V37" s="222">
        <v>354728494</v>
      </c>
      <c r="W37" s="224">
        <v>0.113178765</v>
      </c>
      <c r="X37" s="222">
        <v>45271506</v>
      </c>
      <c r="Y37" s="222">
        <v>0</v>
      </c>
      <c r="Z37" s="224">
        <v>0</v>
      </c>
      <c r="AA37" s="222">
        <v>45271506</v>
      </c>
      <c r="AB37" s="222">
        <v>0</v>
      </c>
      <c r="AC37" s="224">
        <v>1</v>
      </c>
    </row>
    <row r="38" spans="1:29" ht="24.95" customHeight="1">
      <c r="A38" s="32" t="s">
        <v>358</v>
      </c>
      <c r="B38" s="234" t="s">
        <v>359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350000000</v>
      </c>
      <c r="O38" s="239"/>
      <c r="P38" s="239"/>
      <c r="Q38" s="639"/>
      <c r="R38" s="639"/>
      <c r="S38" s="239"/>
      <c r="T38" s="239">
        <v>350000000</v>
      </c>
      <c r="U38" s="239">
        <v>22604594</v>
      </c>
      <c r="V38" s="239">
        <v>327395406</v>
      </c>
      <c r="W38" s="240">
        <v>6.4584554285714288E-2</v>
      </c>
      <c r="X38" s="239">
        <v>22604594</v>
      </c>
      <c r="Y38" s="239">
        <v>0</v>
      </c>
      <c r="Z38" s="240">
        <v>0</v>
      </c>
      <c r="AA38" s="239">
        <v>22604594</v>
      </c>
      <c r="AB38" s="239">
        <v>0</v>
      </c>
      <c r="AC38" s="240">
        <v>1</v>
      </c>
    </row>
    <row r="39" spans="1:29" ht="24.95" customHeight="1">
      <c r="A39" s="32" t="s">
        <v>360</v>
      </c>
      <c r="B39" s="217" t="s">
        <v>361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2"/>
      <c r="R39" s="222"/>
      <c r="S39" s="223"/>
      <c r="T39" s="222">
        <v>2160000000</v>
      </c>
      <c r="U39" s="222">
        <v>369646951</v>
      </c>
      <c r="V39" s="222">
        <v>1790353049</v>
      </c>
      <c r="W39" s="224">
        <v>0.17113284768518519</v>
      </c>
      <c r="X39" s="222">
        <v>369646951</v>
      </c>
      <c r="Y39" s="222">
        <v>0</v>
      </c>
      <c r="Z39" s="224">
        <v>0</v>
      </c>
      <c r="AA39" s="222">
        <v>369646951</v>
      </c>
      <c r="AB39" s="222">
        <v>0</v>
      </c>
      <c r="AC39" s="224">
        <v>1</v>
      </c>
    </row>
    <row r="40" spans="1:29" ht="24.95" customHeight="1">
      <c r="A40" s="32" t="s">
        <v>362</v>
      </c>
      <c r="B40" s="217" t="s">
        <v>363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12000000</v>
      </c>
      <c r="O40" s="222"/>
      <c r="P40" s="222"/>
      <c r="Q40" s="223"/>
      <c r="R40" s="222"/>
      <c r="S40" s="223"/>
      <c r="T40" s="222">
        <v>12000000</v>
      </c>
      <c r="U40" s="222">
        <v>696902</v>
      </c>
      <c r="V40" s="222">
        <v>11303098</v>
      </c>
      <c r="W40" s="224">
        <v>5.8075166666666664E-2</v>
      </c>
      <c r="X40" s="222">
        <v>696902</v>
      </c>
      <c r="Y40" s="222">
        <v>0</v>
      </c>
      <c r="Z40" s="224">
        <v>0</v>
      </c>
      <c r="AA40" s="222">
        <v>696902</v>
      </c>
      <c r="AB40" s="222">
        <v>0</v>
      </c>
      <c r="AC40" s="224">
        <v>1</v>
      </c>
    </row>
    <row r="41" spans="1:29" ht="24.95" customHeight="1">
      <c r="A41" s="32" t="s">
        <v>365</v>
      </c>
      <c r="B41" s="217" t="s">
        <v>366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v>30000000</v>
      </c>
      <c r="U41" s="222">
        <v>0</v>
      </c>
      <c r="V41" s="222">
        <v>30000000</v>
      </c>
      <c r="W41" s="224">
        <v>0</v>
      </c>
      <c r="X41" s="222">
        <v>0</v>
      </c>
      <c r="Y41" s="222">
        <v>0</v>
      </c>
      <c r="Z41" s="224">
        <v>0</v>
      </c>
      <c r="AA41" s="222">
        <v>0</v>
      </c>
      <c r="AB41" s="222">
        <v>0</v>
      </c>
      <c r="AC41" s="224">
        <v>0</v>
      </c>
    </row>
    <row r="42" spans="1:29" ht="24.95" customHeight="1">
      <c r="A42" s="32" t="s">
        <v>367</v>
      </c>
      <c r="B42" s="217" t="s">
        <v>368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840000000</v>
      </c>
      <c r="O42" s="222"/>
      <c r="P42" s="222"/>
      <c r="Q42" s="222"/>
      <c r="R42" s="222"/>
      <c r="S42" s="223"/>
      <c r="T42" s="222">
        <v>840000000</v>
      </c>
      <c r="U42" s="222">
        <v>139858074</v>
      </c>
      <c r="V42" s="222">
        <v>700141926</v>
      </c>
      <c r="W42" s="224">
        <v>0.16649770714285714</v>
      </c>
      <c r="X42" s="222">
        <v>139858074</v>
      </c>
      <c r="Y42" s="222">
        <v>0</v>
      </c>
      <c r="Z42" s="224">
        <v>0</v>
      </c>
      <c r="AA42" s="222">
        <v>139858074</v>
      </c>
      <c r="AB42" s="222">
        <v>0</v>
      </c>
      <c r="AC42" s="224">
        <v>1</v>
      </c>
    </row>
    <row r="43" spans="1:29" ht="24.95" customHeight="1">
      <c r="A43" s="32" t="s">
        <v>369</v>
      </c>
      <c r="B43" s="217" t="s">
        <v>370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560000000</v>
      </c>
      <c r="O43" s="222"/>
      <c r="P43" s="222"/>
      <c r="Q43" s="223"/>
      <c r="R43" s="222"/>
      <c r="S43" s="223"/>
      <c r="T43" s="222">
        <v>560000000</v>
      </c>
      <c r="U43" s="222">
        <v>0</v>
      </c>
      <c r="V43" s="222">
        <v>560000000</v>
      </c>
      <c r="W43" s="224">
        <v>0</v>
      </c>
      <c r="X43" s="222">
        <v>0</v>
      </c>
      <c r="Y43" s="222">
        <v>0</v>
      </c>
      <c r="Z43" s="224">
        <v>0</v>
      </c>
      <c r="AA43" s="222">
        <v>0</v>
      </c>
      <c r="AB43" s="222">
        <v>0</v>
      </c>
      <c r="AC43" s="224">
        <v>0</v>
      </c>
    </row>
    <row r="44" spans="1:29" ht="35.1" customHeight="1">
      <c r="A44" s="32" t="s">
        <v>371</v>
      </c>
      <c r="B44" s="188" t="s">
        <v>372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v>42289000000</v>
      </c>
      <c r="O44" s="194">
        <v>0</v>
      </c>
      <c r="P44" s="194">
        <v>0</v>
      </c>
      <c r="Q44" s="194">
        <v>71882268</v>
      </c>
      <c r="R44" s="194">
        <v>71882268</v>
      </c>
      <c r="S44" s="194">
        <v>0</v>
      </c>
      <c r="T44" s="194">
        <v>42289000000</v>
      </c>
      <c r="U44" s="194">
        <v>31390626419.010002</v>
      </c>
      <c r="V44" s="194">
        <v>10898373580.99</v>
      </c>
      <c r="W44" s="195">
        <v>0.74228821724349126</v>
      </c>
      <c r="X44" s="194">
        <v>4081850961.3099999</v>
      </c>
      <c r="Y44" s="194">
        <v>27308775457.700001</v>
      </c>
      <c r="Z44" s="195">
        <v>0.86996592846461795</v>
      </c>
      <c r="AA44" s="194">
        <v>4042737907.3099999</v>
      </c>
      <c r="AB44" s="194">
        <v>39113054</v>
      </c>
      <c r="AC44" s="195">
        <v>0.12878806091176756</v>
      </c>
    </row>
    <row r="45" spans="1:29" ht="24.95" customHeight="1">
      <c r="A45" s="32" t="s">
        <v>376</v>
      </c>
      <c r="B45" s="196" t="s">
        <v>377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v>42289000000</v>
      </c>
      <c r="O45" s="201">
        <v>0</v>
      </c>
      <c r="P45" s="201">
        <v>0</v>
      </c>
      <c r="Q45" s="201">
        <v>71882268</v>
      </c>
      <c r="R45" s="201">
        <v>71882268</v>
      </c>
      <c r="S45" s="201">
        <v>0</v>
      </c>
      <c r="T45" s="201">
        <v>42289000000</v>
      </c>
      <c r="U45" s="201">
        <v>31390626419.010002</v>
      </c>
      <c r="V45" s="201">
        <v>10898373580.99</v>
      </c>
      <c r="W45" s="202">
        <v>0.74228821724349126</v>
      </c>
      <c r="X45" s="201">
        <v>4081850961.3099999</v>
      </c>
      <c r="Y45" s="201">
        <v>27308775457.700001</v>
      </c>
      <c r="Z45" s="202">
        <v>0.86996592846461795</v>
      </c>
      <c r="AA45" s="201">
        <v>4042737907.3099999</v>
      </c>
      <c r="AB45" s="201">
        <v>39113054</v>
      </c>
      <c r="AC45" s="202">
        <v>0.12878806091176756</v>
      </c>
    </row>
    <row r="46" spans="1:29" ht="24.95" customHeight="1">
      <c r="A46" s="32" t="s">
        <v>378</v>
      </c>
      <c r="B46" s="203" t="s">
        <v>379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v>655883077</v>
      </c>
      <c r="O46" s="208">
        <v>0</v>
      </c>
      <c r="P46" s="208">
        <v>0</v>
      </c>
      <c r="Q46" s="208">
        <v>0</v>
      </c>
      <c r="R46" s="208">
        <v>0</v>
      </c>
      <c r="S46" s="208">
        <v>0</v>
      </c>
      <c r="T46" s="208">
        <v>655883077</v>
      </c>
      <c r="U46" s="208">
        <v>42220582</v>
      </c>
      <c r="V46" s="208">
        <v>613662495</v>
      </c>
      <c r="W46" s="209">
        <v>6.4372116739337668E-2</v>
      </c>
      <c r="X46" s="208">
        <v>3869010</v>
      </c>
      <c r="Y46" s="208">
        <v>38351572</v>
      </c>
      <c r="Z46" s="209">
        <v>0.90836199273614937</v>
      </c>
      <c r="AA46" s="208">
        <v>3869010</v>
      </c>
      <c r="AB46" s="208">
        <v>0</v>
      </c>
      <c r="AC46" s="209">
        <v>9.1638007263850602E-2</v>
      </c>
    </row>
    <row r="47" spans="1:29" ht="24.95" customHeight="1">
      <c r="A47" s="32" t="s">
        <v>380</v>
      </c>
      <c r="B47" s="210" t="s">
        <v>381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v>23000000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23000000</v>
      </c>
      <c r="U47" s="215">
        <v>0</v>
      </c>
      <c r="V47" s="215">
        <v>23000000</v>
      </c>
      <c r="W47" s="216">
        <v>0</v>
      </c>
      <c r="X47" s="215">
        <v>0</v>
      </c>
      <c r="Y47" s="215">
        <v>0</v>
      </c>
      <c r="Z47" s="216">
        <v>0</v>
      </c>
      <c r="AA47" s="215">
        <v>0</v>
      </c>
      <c r="AB47" s="215">
        <v>0</v>
      </c>
      <c r="AC47" s="216">
        <v>0</v>
      </c>
    </row>
    <row r="48" spans="1:29" ht="24.95" customHeight="1">
      <c r="A48" s="32" t="s">
        <v>554</v>
      </c>
      <c r="B48" s="217" t="s">
        <v>555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11000000</v>
      </c>
      <c r="O48" s="222"/>
      <c r="P48" s="222"/>
      <c r="Q48" s="222"/>
      <c r="R48" s="223"/>
      <c r="S48" s="223"/>
      <c r="T48" s="222">
        <v>11000000</v>
      </c>
      <c r="U48" s="222">
        <v>0</v>
      </c>
      <c r="V48" s="222">
        <v>11000000</v>
      </c>
      <c r="W48" s="224">
        <v>0</v>
      </c>
      <c r="X48" s="222">
        <v>0</v>
      </c>
      <c r="Y48" s="222">
        <v>0</v>
      </c>
      <c r="Z48" s="224">
        <v>0</v>
      </c>
      <c r="AA48" s="222">
        <v>0</v>
      </c>
      <c r="AB48" s="222">
        <v>0</v>
      </c>
      <c r="AC48" s="224">
        <v>0</v>
      </c>
    </row>
    <row r="49" spans="1:52" ht="24.95" customHeight="1">
      <c r="A49" s="32" t="s">
        <v>556</v>
      </c>
      <c r="B49" s="217" t="s">
        <v>557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12000000</v>
      </c>
      <c r="O49" s="222"/>
      <c r="P49" s="222"/>
      <c r="Q49" s="222"/>
      <c r="R49" s="223"/>
      <c r="S49" s="223"/>
      <c r="T49" s="222">
        <v>12000000</v>
      </c>
      <c r="U49" s="222">
        <v>0</v>
      </c>
      <c r="V49" s="222">
        <v>12000000</v>
      </c>
      <c r="W49" s="224">
        <v>0</v>
      </c>
      <c r="X49" s="222">
        <v>0</v>
      </c>
      <c r="Y49" s="222">
        <v>0</v>
      </c>
      <c r="Z49" s="224">
        <v>0</v>
      </c>
      <c r="AA49" s="222">
        <v>0</v>
      </c>
      <c r="AB49" s="222">
        <v>0</v>
      </c>
      <c r="AC49" s="224">
        <v>0</v>
      </c>
    </row>
    <row r="50" spans="1:52" ht="33">
      <c r="A50" s="32" t="s">
        <v>382</v>
      </c>
      <c r="B50" s="210" t="s">
        <v>383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v>141060000</v>
      </c>
      <c r="O50" s="215">
        <v>0</v>
      </c>
      <c r="P50" s="215">
        <v>0</v>
      </c>
      <c r="Q50" s="215">
        <v>0</v>
      </c>
      <c r="R50" s="215">
        <v>0</v>
      </c>
      <c r="S50" s="215">
        <v>0</v>
      </c>
      <c r="T50" s="215">
        <v>141060000</v>
      </c>
      <c r="U50" s="215">
        <v>0</v>
      </c>
      <c r="V50" s="215">
        <v>141060000</v>
      </c>
      <c r="W50" s="216">
        <v>0</v>
      </c>
      <c r="X50" s="215">
        <v>0</v>
      </c>
      <c r="Y50" s="215">
        <v>0</v>
      </c>
      <c r="Z50" s="216">
        <v>0</v>
      </c>
      <c r="AA50" s="215">
        <v>0</v>
      </c>
      <c r="AB50" s="215">
        <v>0</v>
      </c>
      <c r="AC50" s="216">
        <v>0</v>
      </c>
    </row>
    <row r="51" spans="1:52" ht="24.95" customHeight="1">
      <c r="A51" s="32" t="s">
        <v>558</v>
      </c>
      <c r="B51" s="217" t="s">
        <v>559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141060000</v>
      </c>
      <c r="O51" s="222"/>
      <c r="P51" s="222"/>
      <c r="Q51" s="222"/>
      <c r="R51" s="223"/>
      <c r="S51" s="223"/>
      <c r="T51" s="222">
        <v>141060000</v>
      </c>
      <c r="U51" s="222">
        <v>0</v>
      </c>
      <c r="V51" s="222">
        <v>141060000</v>
      </c>
      <c r="W51" s="224">
        <v>0</v>
      </c>
      <c r="X51" s="222">
        <v>0</v>
      </c>
      <c r="Y51" s="222">
        <v>0</v>
      </c>
      <c r="Z51" s="224">
        <v>0</v>
      </c>
      <c r="AA51" s="222">
        <v>0</v>
      </c>
      <c r="AB51" s="222">
        <v>0</v>
      </c>
      <c r="AC51" s="224">
        <v>0</v>
      </c>
    </row>
    <row r="52" spans="1:52" ht="33">
      <c r="A52" s="32" t="s">
        <v>384</v>
      </c>
      <c r="B52" s="210" t="s">
        <v>385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v>418823077</v>
      </c>
      <c r="O52" s="215">
        <v>0</v>
      </c>
      <c r="P52" s="215">
        <v>0</v>
      </c>
      <c r="Q52" s="215">
        <v>0</v>
      </c>
      <c r="R52" s="215">
        <v>0</v>
      </c>
      <c r="S52" s="215">
        <v>0</v>
      </c>
      <c r="T52" s="215">
        <v>418823077</v>
      </c>
      <c r="U52" s="215">
        <v>42220582</v>
      </c>
      <c r="V52" s="215">
        <v>376602495</v>
      </c>
      <c r="W52" s="216">
        <v>0.10080767827413674</v>
      </c>
      <c r="X52" s="215">
        <v>3869010</v>
      </c>
      <c r="Y52" s="215">
        <v>38351572</v>
      </c>
      <c r="Z52" s="216">
        <v>0.90836199273614937</v>
      </c>
      <c r="AA52" s="215">
        <v>3869010</v>
      </c>
      <c r="AB52" s="215">
        <v>0</v>
      </c>
      <c r="AC52" s="216">
        <v>9.1638007263850602E-2</v>
      </c>
    </row>
    <row r="53" spans="1:52" ht="27" customHeight="1">
      <c r="A53" s="32" t="s">
        <v>560</v>
      </c>
      <c r="B53" s="217" t="s">
        <v>561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195500000</v>
      </c>
      <c r="O53" s="222"/>
      <c r="P53" s="222"/>
      <c r="Q53" s="222"/>
      <c r="R53" s="223"/>
      <c r="S53" s="223"/>
      <c r="T53" s="222">
        <v>195500000</v>
      </c>
      <c r="U53" s="222">
        <v>500000</v>
      </c>
      <c r="V53" s="222">
        <v>195000000</v>
      </c>
      <c r="W53" s="224">
        <v>2.5575447570332483E-3</v>
      </c>
      <c r="X53" s="222">
        <v>500000</v>
      </c>
      <c r="Y53" s="222">
        <v>0</v>
      </c>
      <c r="Z53" s="224">
        <v>0</v>
      </c>
      <c r="AA53" s="222">
        <v>500000</v>
      </c>
      <c r="AB53" s="222">
        <v>0</v>
      </c>
      <c r="AC53" s="224">
        <v>1</v>
      </c>
    </row>
    <row r="54" spans="1:52" ht="27" customHeight="1">
      <c r="A54" s="32" t="s">
        <v>562</v>
      </c>
      <c r="B54" s="217" t="s">
        <v>563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84823077</v>
      </c>
      <c r="O54" s="222"/>
      <c r="P54" s="222"/>
      <c r="Q54" s="222"/>
      <c r="R54" s="223"/>
      <c r="S54" s="223"/>
      <c r="T54" s="222">
        <v>84823077</v>
      </c>
      <c r="U54" s="222">
        <v>41220582</v>
      </c>
      <c r="V54" s="222">
        <v>43602495</v>
      </c>
      <c r="W54" s="224">
        <v>0.48595952254832725</v>
      </c>
      <c r="X54" s="222">
        <v>2869010</v>
      </c>
      <c r="Y54" s="222">
        <v>38351572</v>
      </c>
      <c r="Z54" s="224">
        <v>0.9303986052404597</v>
      </c>
      <c r="AA54" s="222">
        <v>2869010</v>
      </c>
      <c r="AB54" s="222">
        <v>0</v>
      </c>
      <c r="AC54" s="224">
        <v>6.9601394759540275E-2</v>
      </c>
    </row>
    <row r="55" spans="1:52" ht="26.25" customHeight="1">
      <c r="A55" s="32" t="s">
        <v>564</v>
      </c>
      <c r="B55" s="217" t="s">
        <v>565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26000000</v>
      </c>
      <c r="O55" s="222"/>
      <c r="P55" s="222"/>
      <c r="Q55" s="222"/>
      <c r="R55" s="223"/>
      <c r="S55" s="223"/>
      <c r="T55" s="222">
        <v>26000000</v>
      </c>
      <c r="U55" s="222">
        <v>0</v>
      </c>
      <c r="V55" s="222">
        <v>26000000</v>
      </c>
      <c r="W55" s="224">
        <v>0</v>
      </c>
      <c r="X55" s="222">
        <v>0</v>
      </c>
      <c r="Y55" s="222">
        <v>0</v>
      </c>
      <c r="Z55" s="224">
        <v>0</v>
      </c>
      <c r="AA55" s="222">
        <v>0</v>
      </c>
      <c r="AB55" s="222">
        <v>0</v>
      </c>
      <c r="AC55" s="224">
        <v>0</v>
      </c>
    </row>
    <row r="56" spans="1:52" ht="24" customHeight="1">
      <c r="A56" s="32" t="s">
        <v>566</v>
      </c>
      <c r="B56" s="217" t="s">
        <v>567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20000000</v>
      </c>
      <c r="O56" s="222"/>
      <c r="P56" s="222"/>
      <c r="Q56" s="222"/>
      <c r="R56" s="223"/>
      <c r="S56" s="223"/>
      <c r="T56" s="222">
        <v>20000000</v>
      </c>
      <c r="U56" s="222">
        <v>0</v>
      </c>
      <c r="V56" s="222">
        <v>20000000</v>
      </c>
      <c r="W56" s="224">
        <v>0</v>
      </c>
      <c r="X56" s="222">
        <v>0</v>
      </c>
      <c r="Y56" s="222">
        <v>0</v>
      </c>
      <c r="Z56" s="224">
        <v>0</v>
      </c>
      <c r="AA56" s="222">
        <v>0</v>
      </c>
      <c r="AB56" s="222">
        <v>0</v>
      </c>
      <c r="AC56" s="224">
        <v>0</v>
      </c>
    </row>
    <row r="57" spans="1:52" ht="24" customHeight="1">
      <c r="A57" s="32" t="s">
        <v>568</v>
      </c>
      <c r="B57" s="217" t="s">
        <v>569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/>
      <c r="O57" s="222"/>
      <c r="P57" s="222"/>
      <c r="Q57" s="222"/>
      <c r="R57" s="223"/>
      <c r="S57" s="223"/>
      <c r="T57" s="222">
        <v>0</v>
      </c>
      <c r="U57" s="222">
        <v>0</v>
      </c>
      <c r="V57" s="222">
        <v>0</v>
      </c>
      <c r="W57" s="224">
        <v>0</v>
      </c>
      <c r="X57" s="222">
        <v>0</v>
      </c>
      <c r="Y57" s="222">
        <v>0</v>
      </c>
      <c r="Z57" s="224">
        <v>0</v>
      </c>
      <c r="AA57" s="222">
        <v>0</v>
      </c>
      <c r="AB57" s="222">
        <v>0</v>
      </c>
      <c r="AC57" s="224">
        <v>0</v>
      </c>
    </row>
    <row r="58" spans="1:52" ht="24" customHeight="1">
      <c r="A58" s="32" t="s">
        <v>570</v>
      </c>
      <c r="B58" s="217" t="s">
        <v>571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92500000</v>
      </c>
      <c r="O58" s="222"/>
      <c r="P58" s="222"/>
      <c r="Q58" s="222"/>
      <c r="R58" s="223"/>
      <c r="S58" s="223"/>
      <c r="T58" s="222">
        <v>92500000</v>
      </c>
      <c r="U58" s="222">
        <v>500000</v>
      </c>
      <c r="V58" s="222">
        <v>92000000</v>
      </c>
      <c r="W58" s="224">
        <v>5.4054054054054057E-3</v>
      </c>
      <c r="X58" s="222">
        <v>500000</v>
      </c>
      <c r="Y58" s="222">
        <v>0</v>
      </c>
      <c r="Z58" s="224">
        <v>0</v>
      </c>
      <c r="AA58" s="222">
        <v>500000</v>
      </c>
      <c r="AB58" s="222">
        <v>0</v>
      </c>
      <c r="AC58" s="224">
        <v>1</v>
      </c>
    </row>
    <row r="59" spans="1:52" ht="24.95" customHeight="1">
      <c r="A59" s="32" t="s">
        <v>386</v>
      </c>
      <c r="B59" s="210" t="s">
        <v>387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v>73000000</v>
      </c>
      <c r="O59" s="215">
        <v>0</v>
      </c>
      <c r="P59" s="215">
        <v>0</v>
      </c>
      <c r="Q59" s="215">
        <v>0</v>
      </c>
      <c r="R59" s="215">
        <v>0</v>
      </c>
      <c r="S59" s="215">
        <v>0</v>
      </c>
      <c r="T59" s="215">
        <v>73000000</v>
      </c>
      <c r="U59" s="215">
        <v>0</v>
      </c>
      <c r="V59" s="215">
        <v>73000000</v>
      </c>
      <c r="W59" s="216">
        <v>0</v>
      </c>
      <c r="X59" s="215">
        <v>0</v>
      </c>
      <c r="Y59" s="215">
        <v>0</v>
      </c>
      <c r="Z59" s="216">
        <v>0</v>
      </c>
      <c r="AA59" s="215">
        <v>0</v>
      </c>
      <c r="AB59" s="215">
        <v>0</v>
      </c>
      <c r="AC59" s="216">
        <v>0</v>
      </c>
    </row>
    <row r="60" spans="1:52" ht="24.95" customHeight="1">
      <c r="A60" s="32" t="s">
        <v>572</v>
      </c>
      <c r="B60" s="217" t="s">
        <v>573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/>
      <c r="O60" s="222"/>
      <c r="P60" s="222"/>
      <c r="Q60" s="222"/>
      <c r="R60" s="223"/>
      <c r="S60" s="223"/>
      <c r="T60" s="222">
        <v>0</v>
      </c>
      <c r="U60" s="222">
        <v>0</v>
      </c>
      <c r="V60" s="222">
        <v>0</v>
      </c>
      <c r="W60" s="224">
        <v>0</v>
      </c>
      <c r="X60" s="222">
        <v>0</v>
      </c>
      <c r="Y60" s="222">
        <v>0</v>
      </c>
      <c r="Z60" s="224">
        <v>0</v>
      </c>
      <c r="AA60" s="222">
        <v>0</v>
      </c>
      <c r="AB60" s="222">
        <v>0</v>
      </c>
      <c r="AC60" s="224">
        <v>0</v>
      </c>
    </row>
    <row r="61" spans="1:52" s="64" customFormat="1" ht="24.95" customHeight="1">
      <c r="A61" s="32" t="s">
        <v>574</v>
      </c>
      <c r="B61" s="217" t="s">
        <v>575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10000000</v>
      </c>
      <c r="O61" s="222"/>
      <c r="P61" s="222"/>
      <c r="Q61" s="222"/>
      <c r="R61" s="223"/>
      <c r="S61" s="223"/>
      <c r="T61" s="222">
        <v>10000000</v>
      </c>
      <c r="U61" s="222">
        <v>0</v>
      </c>
      <c r="V61" s="222">
        <v>10000000</v>
      </c>
      <c r="W61" s="224">
        <v>0</v>
      </c>
      <c r="X61" s="222">
        <v>0</v>
      </c>
      <c r="Y61" s="222">
        <v>0</v>
      </c>
      <c r="Z61" s="224">
        <v>0</v>
      </c>
      <c r="AA61" s="222">
        <v>0</v>
      </c>
      <c r="AB61" s="222">
        <v>0</v>
      </c>
      <c r="AC61" s="224"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">
        <v>576</v>
      </c>
      <c r="B62" s="217" t="s">
        <v>577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28000000</v>
      </c>
      <c r="O62" s="222"/>
      <c r="P62" s="222"/>
      <c r="Q62" s="222"/>
      <c r="R62" s="223"/>
      <c r="S62" s="223"/>
      <c r="T62" s="222">
        <v>28000000</v>
      </c>
      <c r="U62" s="222">
        <v>0</v>
      </c>
      <c r="V62" s="222">
        <v>28000000</v>
      </c>
      <c r="W62" s="224">
        <v>0</v>
      </c>
      <c r="X62" s="222">
        <v>0</v>
      </c>
      <c r="Y62" s="222">
        <v>0</v>
      </c>
      <c r="Z62" s="224">
        <v>0</v>
      </c>
      <c r="AA62" s="222">
        <v>0</v>
      </c>
      <c r="AB62" s="222">
        <v>0</v>
      </c>
      <c r="AC62" s="224">
        <v>0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">
        <v>578</v>
      </c>
      <c r="B63" s="217" t="s">
        <v>579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35000000</v>
      </c>
      <c r="O63" s="222"/>
      <c r="P63" s="222"/>
      <c r="Q63" s="222"/>
      <c r="R63" s="222"/>
      <c r="S63" s="223"/>
      <c r="T63" s="222">
        <v>35000000</v>
      </c>
      <c r="U63" s="222">
        <v>0</v>
      </c>
      <c r="V63" s="222">
        <v>35000000</v>
      </c>
      <c r="W63" s="224">
        <v>0</v>
      </c>
      <c r="X63" s="222">
        <v>0</v>
      </c>
      <c r="Y63" s="222">
        <v>0</v>
      </c>
      <c r="Z63" s="224">
        <v>0</v>
      </c>
      <c r="AA63" s="222">
        <v>0</v>
      </c>
      <c r="AB63" s="222">
        <v>0</v>
      </c>
      <c r="AC63" s="224">
        <v>0</v>
      </c>
    </row>
    <row r="64" spans="1:52" s="64" customFormat="1" ht="27.75" customHeight="1">
      <c r="A64" s="241" t="s">
        <v>580</v>
      </c>
      <c r="B64" s="242" t="s">
        <v>581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/>
      <c r="O64" s="222"/>
      <c r="P64" s="222"/>
      <c r="Q64" s="222"/>
      <c r="R64" s="222"/>
      <c r="S64" s="223"/>
      <c r="T64" s="222">
        <v>0</v>
      </c>
      <c r="U64" s="222">
        <v>0</v>
      </c>
      <c r="V64" s="222">
        <v>0</v>
      </c>
      <c r="W64" s="224">
        <v>0</v>
      </c>
      <c r="X64" s="222">
        <v>0</v>
      </c>
      <c r="Y64" s="222">
        <v>0</v>
      </c>
      <c r="Z64" s="224">
        <v>0</v>
      </c>
      <c r="AA64" s="222">
        <v>0</v>
      </c>
      <c r="AB64" s="222">
        <v>0</v>
      </c>
      <c r="AC64" s="224">
        <v>0</v>
      </c>
    </row>
    <row r="65" spans="1:29" ht="24.95" customHeight="1">
      <c r="A65" s="32" t="s">
        <v>388</v>
      </c>
      <c r="B65" s="203" t="s">
        <v>389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v>41633116923</v>
      </c>
      <c r="O65" s="208">
        <v>0</v>
      </c>
      <c r="P65" s="208">
        <v>0</v>
      </c>
      <c r="Q65" s="208">
        <v>71882268</v>
      </c>
      <c r="R65" s="208">
        <v>71882268</v>
      </c>
      <c r="S65" s="208">
        <v>0</v>
      </c>
      <c r="T65" s="208">
        <v>41633116923</v>
      </c>
      <c r="U65" s="208">
        <v>31348405837.010002</v>
      </c>
      <c r="V65" s="208">
        <v>10284711085.99</v>
      </c>
      <c r="W65" s="209">
        <v>0.75296802530996032</v>
      </c>
      <c r="X65" s="208">
        <v>4077981951.3099999</v>
      </c>
      <c r="Y65" s="208">
        <v>27270423885.700001</v>
      </c>
      <c r="Z65" s="209">
        <v>0.86991421597280949</v>
      </c>
      <c r="AA65" s="208">
        <v>4038868897.3099999</v>
      </c>
      <c r="AB65" s="208">
        <v>39113054</v>
      </c>
      <c r="AC65" s="209">
        <v>0.12883809525464615</v>
      </c>
    </row>
    <row r="66" spans="1:29" ht="54" customHeight="1">
      <c r="A66" s="32" t="s">
        <v>390</v>
      </c>
      <c r="B66" s="210" t="s">
        <v>391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v>4648096573</v>
      </c>
      <c r="O66" s="215">
        <v>0</v>
      </c>
      <c r="P66" s="215">
        <v>0</v>
      </c>
      <c r="Q66" s="215">
        <v>65926405</v>
      </c>
      <c r="R66" s="215">
        <v>0</v>
      </c>
      <c r="S66" s="215">
        <v>0</v>
      </c>
      <c r="T66" s="215">
        <v>4714022978</v>
      </c>
      <c r="U66" s="215">
        <v>2992957938</v>
      </c>
      <c r="V66" s="215">
        <v>1721065040</v>
      </c>
      <c r="W66" s="216">
        <v>0.63490525013728516</v>
      </c>
      <c r="X66" s="215">
        <v>688528985</v>
      </c>
      <c r="Y66" s="215">
        <v>2304428953</v>
      </c>
      <c r="Z66" s="216">
        <v>0.76995033032101368</v>
      </c>
      <c r="AA66" s="215">
        <v>652004653</v>
      </c>
      <c r="AB66" s="215">
        <v>36524332</v>
      </c>
      <c r="AC66" s="216">
        <v>0.21784624659165525</v>
      </c>
    </row>
    <row r="67" spans="1:29" ht="24.95" customHeight="1">
      <c r="A67" s="32" t="s">
        <v>582</v>
      </c>
      <c r="B67" s="217" t="s">
        <v>583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v>12000000</v>
      </c>
      <c r="U67" s="222">
        <v>2000000</v>
      </c>
      <c r="V67" s="222">
        <v>10000000</v>
      </c>
      <c r="W67" s="224">
        <v>0.16666666666666666</v>
      </c>
      <c r="X67" s="222">
        <v>2000000</v>
      </c>
      <c r="Y67" s="222">
        <v>0</v>
      </c>
      <c r="Z67" s="224">
        <v>0</v>
      </c>
      <c r="AA67" s="222">
        <v>2000000</v>
      </c>
      <c r="AB67" s="222">
        <v>0</v>
      </c>
      <c r="AC67" s="224">
        <v>1</v>
      </c>
    </row>
    <row r="68" spans="1:29" ht="24.95" customHeight="1">
      <c r="A68" s="32" t="s">
        <v>584</v>
      </c>
      <c r="B68" s="217" t="s">
        <v>585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1885720708</v>
      </c>
      <c r="O68" s="222"/>
      <c r="P68" s="222"/>
      <c r="Q68" s="222">
        <v>65926405</v>
      </c>
      <c r="R68" s="223"/>
      <c r="S68" s="223"/>
      <c r="T68" s="222">
        <v>1951647113</v>
      </c>
      <c r="U68" s="222">
        <v>1541296423</v>
      </c>
      <c r="V68" s="222">
        <v>410350690</v>
      </c>
      <c r="W68" s="224">
        <v>0.78974134859389411</v>
      </c>
      <c r="X68" s="222">
        <v>362911059</v>
      </c>
      <c r="Y68" s="222">
        <v>1178385364</v>
      </c>
      <c r="Z68" s="224">
        <v>0.76454168478920814</v>
      </c>
      <c r="AA68" s="222">
        <v>362911059</v>
      </c>
      <c r="AB68" s="222">
        <v>0</v>
      </c>
      <c r="AC68" s="224">
        <v>0.23545831521079186</v>
      </c>
    </row>
    <row r="69" spans="1:29" ht="24.95" customHeight="1">
      <c r="A69" s="32" t="s">
        <v>586</v>
      </c>
      <c r="B69" s="217" t="s">
        <v>587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62000000</v>
      </c>
      <c r="O69" s="222"/>
      <c r="P69" s="222"/>
      <c r="Q69" s="223"/>
      <c r="R69" s="223"/>
      <c r="S69" s="223"/>
      <c r="T69" s="222">
        <v>62000000</v>
      </c>
      <c r="U69" s="222">
        <v>50000000</v>
      </c>
      <c r="V69" s="222">
        <v>12000000</v>
      </c>
      <c r="W69" s="224">
        <v>0.80645161290322576</v>
      </c>
      <c r="X69" s="222">
        <v>0</v>
      </c>
      <c r="Y69" s="222">
        <v>50000000</v>
      </c>
      <c r="Z69" s="224">
        <v>1</v>
      </c>
      <c r="AA69" s="222">
        <v>0</v>
      </c>
      <c r="AB69" s="222">
        <v>0</v>
      </c>
      <c r="AC69" s="224">
        <v>0</v>
      </c>
    </row>
    <row r="70" spans="1:29" ht="24.95" customHeight="1">
      <c r="A70" s="32" t="s">
        <v>588</v>
      </c>
      <c r="B70" s="217" t="s">
        <v>589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/>
      <c r="O70" s="222"/>
      <c r="P70" s="222"/>
      <c r="Q70" s="223"/>
      <c r="R70" s="223"/>
      <c r="S70" s="223"/>
      <c r="T70" s="222">
        <v>0</v>
      </c>
      <c r="U70" s="222">
        <v>0</v>
      </c>
      <c r="V70" s="222">
        <v>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</row>
    <row r="71" spans="1:29" ht="24.95" customHeight="1">
      <c r="A71" s="32" t="s">
        <v>590</v>
      </c>
      <c r="B71" s="217" t="s">
        <v>591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1588375865</v>
      </c>
      <c r="O71" s="222"/>
      <c r="P71" s="222"/>
      <c r="Q71" s="222"/>
      <c r="R71" s="223"/>
      <c r="S71" s="223"/>
      <c r="T71" s="222">
        <v>1588375865</v>
      </c>
      <c r="U71" s="222">
        <v>1267622112</v>
      </c>
      <c r="V71" s="222">
        <v>320753753</v>
      </c>
      <c r="W71" s="224">
        <v>0.79806180635966795</v>
      </c>
      <c r="X71" s="222">
        <v>191578523</v>
      </c>
      <c r="Y71" s="222">
        <v>1076043589</v>
      </c>
      <c r="Z71" s="224">
        <v>0.84886779649359734</v>
      </c>
      <c r="AA71" s="222">
        <v>191578523</v>
      </c>
      <c r="AB71" s="222">
        <v>0</v>
      </c>
      <c r="AC71" s="224">
        <v>0.15113220350640269</v>
      </c>
    </row>
    <row r="72" spans="1:29" ht="27" customHeight="1">
      <c r="A72" s="32" t="s">
        <v>592</v>
      </c>
      <c r="B72" s="217" t="s">
        <v>593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1100000000</v>
      </c>
      <c r="O72" s="222"/>
      <c r="P72" s="222"/>
      <c r="Q72" s="223"/>
      <c r="R72" s="223"/>
      <c r="S72" s="223"/>
      <c r="T72" s="222">
        <v>1100000000</v>
      </c>
      <c r="U72" s="222">
        <v>132039403</v>
      </c>
      <c r="V72" s="222">
        <v>967960597</v>
      </c>
      <c r="W72" s="224">
        <v>0.12003582090909092</v>
      </c>
      <c r="X72" s="222">
        <v>132039403</v>
      </c>
      <c r="Y72" s="222">
        <v>0</v>
      </c>
      <c r="Z72" s="224">
        <v>0</v>
      </c>
      <c r="AA72" s="222">
        <v>95515071</v>
      </c>
      <c r="AB72" s="222">
        <v>36524332</v>
      </c>
      <c r="AC72" s="224">
        <v>0.72338308739551027</v>
      </c>
    </row>
    <row r="73" spans="1:29" ht="43.5" customHeight="1">
      <c r="A73" s="32" t="s">
        <v>392</v>
      </c>
      <c r="B73" s="210" t="s">
        <v>393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v>15081981155</v>
      </c>
      <c r="O73" s="215">
        <v>0</v>
      </c>
      <c r="P73" s="215">
        <v>0</v>
      </c>
      <c r="Q73" s="215">
        <v>0</v>
      </c>
      <c r="R73" s="215">
        <v>0</v>
      </c>
      <c r="S73" s="215">
        <v>0</v>
      </c>
      <c r="T73" s="215">
        <v>15081981155</v>
      </c>
      <c r="U73" s="215">
        <v>14373876653</v>
      </c>
      <c r="V73" s="215">
        <v>708104502</v>
      </c>
      <c r="W73" s="216">
        <v>0.9530496362034474</v>
      </c>
      <c r="X73" s="215">
        <v>2419950635</v>
      </c>
      <c r="Y73" s="215">
        <v>11953926018</v>
      </c>
      <c r="Z73" s="216">
        <v>0.83164245155151462</v>
      </c>
      <c r="AA73" s="215">
        <v>2419950635</v>
      </c>
      <c r="AB73" s="215">
        <v>0</v>
      </c>
      <c r="AC73" s="216">
        <v>0.16835754844848536</v>
      </c>
    </row>
    <row r="74" spans="1:29" ht="24.95" customHeight="1">
      <c r="A74" s="32" t="s">
        <v>594</v>
      </c>
      <c r="B74" s="217" t="s">
        <v>595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520000000</v>
      </c>
      <c r="O74" s="222"/>
      <c r="P74" s="222"/>
      <c r="Q74" s="222"/>
      <c r="R74" s="223"/>
      <c r="S74" s="223"/>
      <c r="T74" s="222">
        <v>520000000</v>
      </c>
      <c r="U74" s="222">
        <v>8537414</v>
      </c>
      <c r="V74" s="222">
        <v>511462586</v>
      </c>
      <c r="W74" s="224">
        <v>1.6418103846153845E-2</v>
      </c>
      <c r="X74" s="222">
        <v>0</v>
      </c>
      <c r="Y74" s="222">
        <v>8537414</v>
      </c>
      <c r="Z74" s="224">
        <v>1</v>
      </c>
      <c r="AA74" s="222">
        <v>0</v>
      </c>
      <c r="AB74" s="222">
        <v>0</v>
      </c>
      <c r="AC74" s="224">
        <v>0</v>
      </c>
    </row>
    <row r="75" spans="1:29" ht="24.95" customHeight="1">
      <c r="A75" s="32" t="s">
        <v>596</v>
      </c>
      <c r="B75" s="217" t="s">
        <v>597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14561981155</v>
      </c>
      <c r="O75" s="222"/>
      <c r="P75" s="222"/>
      <c r="Q75" s="222"/>
      <c r="R75" s="223"/>
      <c r="S75" s="223"/>
      <c r="T75" s="222">
        <v>14561981155</v>
      </c>
      <c r="U75" s="222">
        <v>14365339239</v>
      </c>
      <c r="V75" s="222">
        <v>196641916</v>
      </c>
      <c r="W75" s="224">
        <v>0.98649621133917753</v>
      </c>
      <c r="X75" s="222">
        <v>2419950635</v>
      </c>
      <c r="Y75" s="222">
        <v>11945388604</v>
      </c>
      <c r="Z75" s="224">
        <v>0.83154239557182519</v>
      </c>
      <c r="AA75" s="222">
        <v>2419950635</v>
      </c>
      <c r="AB75" s="222">
        <v>0</v>
      </c>
      <c r="AC75" s="224">
        <v>0.16845760442817484</v>
      </c>
    </row>
    <row r="76" spans="1:29" ht="24.95" customHeight="1">
      <c r="A76" s="32" t="s">
        <v>394</v>
      </c>
      <c r="B76" s="210" t="s">
        <v>395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v>18842006651</v>
      </c>
      <c r="O76" s="215">
        <v>0</v>
      </c>
      <c r="P76" s="215">
        <v>0</v>
      </c>
      <c r="Q76" s="215">
        <v>5955863</v>
      </c>
      <c r="R76" s="215">
        <v>5955863</v>
      </c>
      <c r="S76" s="215">
        <v>0</v>
      </c>
      <c r="T76" s="215">
        <v>18842006651</v>
      </c>
      <c r="U76" s="215">
        <v>12920362563.01</v>
      </c>
      <c r="V76" s="215">
        <v>5921644087.9899998</v>
      </c>
      <c r="W76" s="216">
        <v>0.6857211549877188</v>
      </c>
      <c r="X76" s="215">
        <v>864199308.30999994</v>
      </c>
      <c r="Y76" s="215">
        <v>12056163254.700001</v>
      </c>
      <c r="Z76" s="216">
        <v>0.93311338562710811</v>
      </c>
      <c r="AA76" s="215">
        <v>862023278.30999994</v>
      </c>
      <c r="AB76" s="215">
        <v>2176030</v>
      </c>
      <c r="AC76" s="216">
        <v>6.6718195724468757E-2</v>
      </c>
    </row>
    <row r="77" spans="1:29" ht="24.95" customHeight="1">
      <c r="A77" s="32" t="s">
        <v>598</v>
      </c>
      <c r="B77" s="217" t="s">
        <v>599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49955000</v>
      </c>
      <c r="O77" s="222"/>
      <c r="P77" s="222"/>
      <c r="Q77" s="223"/>
      <c r="R77" s="223"/>
      <c r="S77" s="223"/>
      <c r="T77" s="222">
        <v>49955000</v>
      </c>
      <c r="U77" s="222">
        <v>19045950</v>
      </c>
      <c r="V77" s="222">
        <v>30909050</v>
      </c>
      <c r="W77" s="224">
        <v>0.3812621359223301</v>
      </c>
      <c r="X77" s="222">
        <v>0</v>
      </c>
      <c r="Y77" s="222">
        <v>19045950</v>
      </c>
      <c r="Z77" s="224">
        <v>1</v>
      </c>
      <c r="AA77" s="222">
        <v>0</v>
      </c>
      <c r="AB77" s="222">
        <v>0</v>
      </c>
      <c r="AC77" s="224">
        <v>0</v>
      </c>
    </row>
    <row r="78" spans="1:29" ht="24.95" customHeight="1">
      <c r="A78" s="32" t="s">
        <v>600</v>
      </c>
      <c r="B78" s="217" t="s">
        <v>601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10819632797</v>
      </c>
      <c r="O78" s="222"/>
      <c r="P78" s="222"/>
      <c r="Q78" s="222"/>
      <c r="R78" s="222">
        <v>5955863</v>
      </c>
      <c r="S78" s="223"/>
      <c r="T78" s="222">
        <v>10813676934</v>
      </c>
      <c r="U78" s="222">
        <v>9221161585</v>
      </c>
      <c r="V78" s="222">
        <v>1592515349</v>
      </c>
      <c r="W78" s="224">
        <v>0.85273137354484241</v>
      </c>
      <c r="X78" s="222">
        <v>259211793</v>
      </c>
      <c r="Y78" s="222">
        <v>8961949792</v>
      </c>
      <c r="Z78" s="224">
        <v>0.97188946418402877</v>
      </c>
      <c r="AA78" s="222">
        <v>259211793</v>
      </c>
      <c r="AB78" s="222">
        <v>0</v>
      </c>
      <c r="AC78" s="224">
        <v>2.8110535815971172E-2</v>
      </c>
    </row>
    <row r="79" spans="1:29" ht="24" customHeight="1">
      <c r="A79" s="32" t="s">
        <v>602</v>
      </c>
      <c r="B79" s="217" t="s">
        <v>603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2518099374</v>
      </c>
      <c r="O79" s="222"/>
      <c r="P79" s="222"/>
      <c r="Q79" s="222"/>
      <c r="R79" s="223"/>
      <c r="S79" s="223"/>
      <c r="T79" s="223">
        <v>2518099374</v>
      </c>
      <c r="U79" s="222">
        <v>439314822.87</v>
      </c>
      <c r="V79" s="222">
        <v>2078784551.1300001</v>
      </c>
      <c r="W79" s="224">
        <v>0.17446286171468625</v>
      </c>
      <c r="X79" s="222">
        <v>322094589</v>
      </c>
      <c r="Y79" s="222">
        <v>117220233.87</v>
      </c>
      <c r="Z79" s="224">
        <v>0.2668251280578513</v>
      </c>
      <c r="AA79" s="222">
        <v>321808709</v>
      </c>
      <c r="AB79" s="222">
        <v>285880</v>
      </c>
      <c r="AC79" s="224">
        <v>0.73252413132262584</v>
      </c>
    </row>
    <row r="80" spans="1:29" ht="24.95" customHeight="1">
      <c r="A80" s="32" t="s">
        <v>604</v>
      </c>
      <c r="B80" s="217" t="s">
        <v>605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4954700583</v>
      </c>
      <c r="O80" s="222"/>
      <c r="P80" s="222"/>
      <c r="Q80" s="222">
        <v>5955863</v>
      </c>
      <c r="R80" s="222"/>
      <c r="S80" s="223"/>
      <c r="T80" s="222">
        <v>4960656446</v>
      </c>
      <c r="U80" s="222">
        <v>3078221308.1399999</v>
      </c>
      <c r="V80" s="222">
        <v>1882435137.8600001</v>
      </c>
      <c r="W80" s="224">
        <v>0.62052700920703907</v>
      </c>
      <c r="X80" s="222">
        <v>281392926.31</v>
      </c>
      <c r="Y80" s="222">
        <v>2796828381.8299999</v>
      </c>
      <c r="Z80" s="224">
        <v>0.90858586886982784</v>
      </c>
      <c r="AA80" s="222">
        <v>279502776.31</v>
      </c>
      <c r="AB80" s="222">
        <v>1890150</v>
      </c>
      <c r="AC80" s="224">
        <v>9.080009145894978E-2</v>
      </c>
    </row>
    <row r="81" spans="1:52" ht="28.5" customHeight="1">
      <c r="A81" s="32" t="s">
        <v>606</v>
      </c>
      <c r="B81" s="217" t="s">
        <v>607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396618897</v>
      </c>
      <c r="O81" s="222"/>
      <c r="P81" s="222"/>
      <c r="Q81" s="223"/>
      <c r="R81" s="223"/>
      <c r="S81" s="223"/>
      <c r="T81" s="222">
        <v>396618897</v>
      </c>
      <c r="U81" s="222">
        <v>81618897</v>
      </c>
      <c r="V81" s="222">
        <v>315000000</v>
      </c>
      <c r="W81" s="224">
        <v>0.20578670763637366</v>
      </c>
      <c r="X81" s="222">
        <v>500000</v>
      </c>
      <c r="Y81" s="222">
        <v>81118897</v>
      </c>
      <c r="Z81" s="224">
        <v>0.9938739676915751</v>
      </c>
      <c r="AA81" s="222">
        <v>500000</v>
      </c>
      <c r="AB81" s="222">
        <v>0</v>
      </c>
      <c r="AC81" s="224">
        <v>6.126032308424849E-3</v>
      </c>
    </row>
    <row r="82" spans="1:52" s="250" customFormat="1" ht="28.5" customHeight="1">
      <c r="A82" s="32" t="s">
        <v>608</v>
      </c>
      <c r="B82" s="217" t="s">
        <v>609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103000000</v>
      </c>
      <c r="O82" s="222"/>
      <c r="P82" s="222"/>
      <c r="Q82" s="223"/>
      <c r="R82" s="223"/>
      <c r="S82" s="223"/>
      <c r="T82" s="222">
        <v>103000000</v>
      </c>
      <c r="U82" s="222">
        <v>81000000</v>
      </c>
      <c r="V82" s="222">
        <v>22000000</v>
      </c>
      <c r="W82" s="224">
        <v>0.78640776699029125</v>
      </c>
      <c r="X82" s="222">
        <v>1000000</v>
      </c>
      <c r="Y82" s="222">
        <v>80000000</v>
      </c>
      <c r="Z82" s="224">
        <v>0.98765432098765427</v>
      </c>
      <c r="AA82" s="222">
        <v>1000000</v>
      </c>
      <c r="AB82" s="222">
        <v>0</v>
      </c>
      <c r="AC82" s="224">
        <v>1.2345679012345678E-2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">
        <v>396</v>
      </c>
      <c r="B83" s="210" t="s">
        <v>397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v>2327016750</v>
      </c>
      <c r="O83" s="215">
        <v>0</v>
      </c>
      <c r="P83" s="215">
        <v>0</v>
      </c>
      <c r="Q83" s="215">
        <v>0</v>
      </c>
      <c r="R83" s="215">
        <v>0</v>
      </c>
      <c r="S83" s="215">
        <v>0</v>
      </c>
      <c r="T83" s="215">
        <v>2327016750</v>
      </c>
      <c r="U83" s="215">
        <v>941510994</v>
      </c>
      <c r="V83" s="215">
        <v>1385505756</v>
      </c>
      <c r="W83" s="216">
        <v>0.4046000072840043</v>
      </c>
      <c r="X83" s="215">
        <v>80594988</v>
      </c>
      <c r="Y83" s="215">
        <v>860916006</v>
      </c>
      <c r="Z83" s="216">
        <v>0.91439825077602865</v>
      </c>
      <c r="AA83" s="215">
        <v>80182296</v>
      </c>
      <c r="AB83" s="215">
        <v>412692</v>
      </c>
      <c r="AC83" s="216">
        <v>8.516341976990234E-2</v>
      </c>
    </row>
    <row r="84" spans="1:52" ht="24.95" customHeight="1">
      <c r="A84" s="32" t="s">
        <v>610</v>
      </c>
      <c r="B84" s="217" t="s">
        <v>611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992069874</v>
      </c>
      <c r="O84" s="222"/>
      <c r="P84" s="222"/>
      <c r="Q84" s="223"/>
      <c r="R84" s="223"/>
      <c r="S84" s="223"/>
      <c r="T84" s="222">
        <v>992069874</v>
      </c>
      <c r="U84" s="222">
        <v>342069874</v>
      </c>
      <c r="V84" s="222">
        <v>650000000</v>
      </c>
      <c r="W84" s="224">
        <v>0.34480421486924417</v>
      </c>
      <c r="X84" s="222">
        <v>0</v>
      </c>
      <c r="Y84" s="222">
        <v>342069874</v>
      </c>
      <c r="Z84" s="224">
        <v>1</v>
      </c>
      <c r="AA84" s="222">
        <v>0</v>
      </c>
      <c r="AB84" s="222">
        <v>0</v>
      </c>
      <c r="AC84" s="224">
        <v>0</v>
      </c>
    </row>
    <row r="85" spans="1:52" ht="34.5" customHeight="1">
      <c r="A85" s="32" t="s">
        <v>612</v>
      </c>
      <c r="B85" s="217" t="s">
        <v>613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364946876</v>
      </c>
      <c r="O85" s="222"/>
      <c r="P85" s="222"/>
      <c r="Q85" s="223"/>
      <c r="R85" s="223"/>
      <c r="S85" s="223"/>
      <c r="T85" s="222">
        <v>364946876</v>
      </c>
      <c r="U85" s="222">
        <v>139946876</v>
      </c>
      <c r="V85" s="222">
        <v>225000000</v>
      </c>
      <c r="W85" s="224">
        <v>0.38347191112823775</v>
      </c>
      <c r="X85" s="222">
        <v>3080916</v>
      </c>
      <c r="Y85" s="222">
        <v>136865960</v>
      </c>
      <c r="Z85" s="224">
        <v>0.97798510343310552</v>
      </c>
      <c r="AA85" s="222">
        <v>3080916</v>
      </c>
      <c r="AB85" s="222">
        <v>0</v>
      </c>
      <c r="AC85" s="224">
        <v>2.2014896566894426E-2</v>
      </c>
    </row>
    <row r="86" spans="1:52" ht="49.5">
      <c r="A86" s="32" t="s">
        <v>614</v>
      </c>
      <c r="B86" s="217" t="s">
        <v>615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115000000</v>
      </c>
      <c r="O86" s="222"/>
      <c r="P86" s="222"/>
      <c r="Q86" s="223"/>
      <c r="R86" s="223"/>
      <c r="S86" s="223"/>
      <c r="T86" s="222">
        <v>115000000</v>
      </c>
      <c r="U86" s="222">
        <v>9494244</v>
      </c>
      <c r="V86" s="222">
        <v>105505756</v>
      </c>
      <c r="W86" s="224">
        <v>8.2558643478260876E-2</v>
      </c>
      <c r="X86" s="222">
        <v>9494244</v>
      </c>
      <c r="Y86" s="222">
        <v>0</v>
      </c>
      <c r="Z86" s="224">
        <v>0</v>
      </c>
      <c r="AA86" s="222">
        <v>9081552</v>
      </c>
      <c r="AB86" s="222">
        <v>412692</v>
      </c>
      <c r="AC86" s="224">
        <v>0.95653240005207363</v>
      </c>
    </row>
    <row r="87" spans="1:52" ht="24.95" customHeight="1">
      <c r="A87" s="32" t="s">
        <v>616</v>
      </c>
      <c r="B87" s="217" t="s">
        <v>617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830000000</v>
      </c>
      <c r="O87" s="222"/>
      <c r="P87" s="222"/>
      <c r="Q87" s="223"/>
      <c r="R87" s="223"/>
      <c r="S87" s="223"/>
      <c r="T87" s="222">
        <v>830000000</v>
      </c>
      <c r="U87" s="222">
        <v>450000000</v>
      </c>
      <c r="V87" s="222">
        <v>380000000</v>
      </c>
      <c r="W87" s="224">
        <v>0.54216867469879515</v>
      </c>
      <c r="X87" s="222">
        <v>68019828</v>
      </c>
      <c r="Y87" s="222">
        <v>381980172</v>
      </c>
      <c r="Z87" s="224">
        <v>0.84884482666666672</v>
      </c>
      <c r="AA87" s="222">
        <v>68019828</v>
      </c>
      <c r="AB87" s="222">
        <v>0</v>
      </c>
      <c r="AC87" s="224">
        <v>0.15115517333333334</v>
      </c>
    </row>
    <row r="88" spans="1:52" ht="24.95" customHeight="1">
      <c r="A88" s="32" t="s">
        <v>618</v>
      </c>
      <c r="B88" s="217" t="s">
        <v>619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25000000</v>
      </c>
      <c r="O88" s="222"/>
      <c r="P88" s="222"/>
      <c r="Q88" s="223"/>
      <c r="R88" s="223"/>
      <c r="S88" s="223"/>
      <c r="T88" s="222">
        <v>25000000</v>
      </c>
      <c r="U88" s="222">
        <v>0</v>
      </c>
      <c r="V88" s="222">
        <v>25000000</v>
      </c>
      <c r="W88" s="224">
        <v>0</v>
      </c>
      <c r="X88" s="222">
        <v>0</v>
      </c>
      <c r="Y88" s="222">
        <v>0</v>
      </c>
      <c r="Z88" s="224">
        <v>0</v>
      </c>
      <c r="AA88" s="222">
        <v>0</v>
      </c>
      <c r="AB88" s="222">
        <v>0</v>
      </c>
      <c r="AC88" s="224">
        <v>0</v>
      </c>
    </row>
    <row r="89" spans="1:52" s="90" customFormat="1" ht="24.95" customHeight="1">
      <c r="A89" s="32" t="s">
        <v>398</v>
      </c>
      <c r="B89" s="251" t="s">
        <v>399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734015794</v>
      </c>
      <c r="O89" s="254"/>
      <c r="P89" s="254"/>
      <c r="Q89" s="254"/>
      <c r="R89" s="254">
        <v>65926405</v>
      </c>
      <c r="S89" s="254"/>
      <c r="T89" s="254">
        <v>668089389</v>
      </c>
      <c r="U89" s="254">
        <v>119697689</v>
      </c>
      <c r="V89" s="254">
        <v>548391700</v>
      </c>
      <c r="W89" s="255">
        <v>0.17916418217502927</v>
      </c>
      <c r="X89" s="254">
        <v>24708035</v>
      </c>
      <c r="Y89" s="254">
        <v>94989654</v>
      </c>
      <c r="Z89" s="255">
        <v>0.79357968222761599</v>
      </c>
      <c r="AA89" s="254">
        <v>24708035</v>
      </c>
      <c r="AB89" s="254">
        <v>0</v>
      </c>
      <c r="AC89" s="255">
        <v>0.20642031777238407</v>
      </c>
    </row>
    <row r="90" spans="1:52" ht="35.1" customHeight="1">
      <c r="A90" s="32" t="s">
        <v>400</v>
      </c>
      <c r="B90" s="188" t="s">
        <v>401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v>25816000000</v>
      </c>
      <c r="O90" s="194">
        <v>3803514274200</v>
      </c>
      <c r="P90" s="194">
        <v>0</v>
      </c>
      <c r="Q90" s="194">
        <v>0</v>
      </c>
      <c r="R90" s="194">
        <v>0</v>
      </c>
      <c r="S90" s="194">
        <v>22607000000</v>
      </c>
      <c r="T90" s="194">
        <v>3806723274200</v>
      </c>
      <c r="U90" s="194">
        <v>1241546730502</v>
      </c>
      <c r="V90" s="194">
        <v>2565176543698</v>
      </c>
      <c r="W90" s="195">
        <v>0.32614577973570108</v>
      </c>
      <c r="X90" s="194">
        <v>1237611595179</v>
      </c>
      <c r="Y90" s="194">
        <v>3935135323</v>
      </c>
      <c r="Z90" s="195">
        <v>3.169542657012104E-3</v>
      </c>
      <c r="AA90" s="194">
        <v>1237611595179</v>
      </c>
      <c r="AB90" s="194">
        <v>0</v>
      </c>
      <c r="AC90" s="195">
        <v>0.99683045734298792</v>
      </c>
    </row>
    <row r="91" spans="1:52" ht="24.95" customHeight="1">
      <c r="A91" s="32" t="s">
        <v>620</v>
      </c>
      <c r="B91" s="196" t="s">
        <v>621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v>22607000000</v>
      </c>
      <c r="O91" s="201">
        <v>3803514274200</v>
      </c>
      <c r="P91" s="201">
        <v>0</v>
      </c>
      <c r="Q91" s="201">
        <v>0</v>
      </c>
      <c r="R91" s="201">
        <v>0</v>
      </c>
      <c r="S91" s="201">
        <v>22607000000</v>
      </c>
      <c r="T91" s="201">
        <v>3803514274200</v>
      </c>
      <c r="U91" s="201">
        <v>1241403613200</v>
      </c>
      <c r="V91" s="201">
        <v>2562110661000</v>
      </c>
      <c r="W91" s="202">
        <v>0.3263833191374329</v>
      </c>
      <c r="X91" s="201">
        <v>1237503920000</v>
      </c>
      <c r="Y91" s="201">
        <v>3899693200</v>
      </c>
      <c r="Z91" s="202">
        <v>3.1413580229138001E-3</v>
      </c>
      <c r="AA91" s="201">
        <v>1237503920000</v>
      </c>
      <c r="AB91" s="201">
        <v>0</v>
      </c>
      <c r="AC91" s="202">
        <v>0.99685864197708618</v>
      </c>
    </row>
    <row r="92" spans="1:52" s="64" customFormat="1" ht="24.95" customHeight="1">
      <c r="A92" s="32" t="s">
        <v>622</v>
      </c>
      <c r="B92" s="203" t="s">
        <v>623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v>22607000000</v>
      </c>
      <c r="O92" s="208">
        <v>3803514274200</v>
      </c>
      <c r="P92" s="208">
        <v>0</v>
      </c>
      <c r="Q92" s="208">
        <v>0</v>
      </c>
      <c r="R92" s="208">
        <v>0</v>
      </c>
      <c r="S92" s="208">
        <v>22607000000</v>
      </c>
      <c r="T92" s="208">
        <v>3803514274200</v>
      </c>
      <c r="U92" s="208">
        <v>1241403613200</v>
      </c>
      <c r="V92" s="208">
        <v>2562110661000</v>
      </c>
      <c r="W92" s="209">
        <v>0.3263833191374329</v>
      </c>
      <c r="X92" s="208">
        <v>1237503920000</v>
      </c>
      <c r="Y92" s="208">
        <v>3899693200</v>
      </c>
      <c r="Z92" s="209">
        <v>3.1413580229138001E-3</v>
      </c>
      <c r="AA92" s="208">
        <v>1237503920000</v>
      </c>
      <c r="AB92" s="208">
        <v>0</v>
      </c>
      <c r="AC92" s="209">
        <v>0.99685864197708618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3"/>
      <c r="O93" s="222"/>
      <c r="P93" s="222"/>
      <c r="Q93" s="222"/>
      <c r="R93" s="222"/>
      <c r="S93" s="222"/>
      <c r="T93" s="223">
        <v>0</v>
      </c>
      <c r="U93" s="223"/>
      <c r="V93" s="222">
        <v>0</v>
      </c>
      <c r="W93" s="224">
        <v>0</v>
      </c>
      <c r="X93" s="222"/>
      <c r="Y93" s="222">
        <v>0</v>
      </c>
      <c r="Z93" s="224">
        <v>0</v>
      </c>
      <c r="AA93" s="222"/>
      <c r="AB93" s="222">
        <v>0</v>
      </c>
      <c r="AC93" s="224">
        <v>0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19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132</v>
      </c>
      <c r="N94" s="223"/>
      <c r="O94" s="222">
        <v>2985799234200</v>
      </c>
      <c r="P94" s="222"/>
      <c r="Q94" s="222"/>
      <c r="R94" s="222"/>
      <c r="S94" s="222"/>
      <c r="T94" s="223">
        <v>2985799234200</v>
      </c>
      <c r="U94" s="223">
        <v>965664013200</v>
      </c>
      <c r="V94" s="222">
        <v>2020135221000</v>
      </c>
      <c r="W94" s="224">
        <v>0.32341893659127258</v>
      </c>
      <c r="X94" s="222">
        <v>961764320000</v>
      </c>
      <c r="Y94" s="222">
        <v>3899693200</v>
      </c>
      <c r="Z94" s="224">
        <v>4.0383540721138263E-3</v>
      </c>
      <c r="AA94" s="222">
        <v>961764320000</v>
      </c>
      <c r="AB94" s="222">
        <v>0</v>
      </c>
      <c r="AC94" s="224">
        <v>0.99596164592788616</v>
      </c>
    </row>
    <row r="95" spans="1:52" ht="24.95" customHeight="1">
      <c r="A95" s="32" t="s">
        <v>624</v>
      </c>
      <c r="B95" s="217" t="s">
        <v>625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130</v>
      </c>
      <c r="H95" s="219"/>
      <c r="I95" s="219"/>
      <c r="J95" s="219"/>
      <c r="K95" s="220">
        <v>54</v>
      </c>
      <c r="L95" s="221" t="s">
        <v>29</v>
      </c>
      <c r="M95" s="217" t="s">
        <v>133</v>
      </c>
      <c r="N95" s="223"/>
      <c r="O95" s="222">
        <v>817715040000</v>
      </c>
      <c r="P95" s="222"/>
      <c r="Q95" s="222"/>
      <c r="R95" s="222"/>
      <c r="S95" s="222"/>
      <c r="T95" s="223">
        <v>817715040000</v>
      </c>
      <c r="U95" s="223">
        <v>275739600000</v>
      </c>
      <c r="V95" s="222">
        <v>541975440000</v>
      </c>
      <c r="W95" s="224">
        <v>0.33720744576252382</v>
      </c>
      <c r="X95" s="222">
        <v>275739600000</v>
      </c>
      <c r="Y95" s="222">
        <v>0</v>
      </c>
      <c r="Z95" s="224">
        <v>0</v>
      </c>
      <c r="AA95" s="222">
        <v>275739600000</v>
      </c>
      <c r="AB95" s="222">
        <v>0</v>
      </c>
      <c r="AC95" s="224">
        <v>1</v>
      </c>
    </row>
    <row r="96" spans="1:52" ht="24.95" customHeight="1">
      <c r="A96" s="32" t="s">
        <v>626</v>
      </c>
      <c r="B96" s="217" t="s">
        <v>627</v>
      </c>
      <c r="C96" s="218" t="s">
        <v>23</v>
      </c>
      <c r="D96" s="219" t="s">
        <v>65</v>
      </c>
      <c r="E96" s="219" t="s">
        <v>65</v>
      </c>
      <c r="F96" s="219" t="s">
        <v>25</v>
      </c>
      <c r="G96" s="219" t="s">
        <v>134</v>
      </c>
      <c r="H96" s="219"/>
      <c r="I96" s="219"/>
      <c r="J96" s="219"/>
      <c r="K96" s="220" t="s">
        <v>28</v>
      </c>
      <c r="L96" s="221" t="s">
        <v>29</v>
      </c>
      <c r="M96" s="217" t="s">
        <v>135</v>
      </c>
      <c r="N96" s="223">
        <v>11607000000</v>
      </c>
      <c r="O96" s="222"/>
      <c r="P96" s="222"/>
      <c r="Q96" s="222"/>
      <c r="R96" s="222"/>
      <c r="S96" s="222">
        <v>11607000000</v>
      </c>
      <c r="T96" s="223">
        <v>0</v>
      </c>
      <c r="U96" s="223"/>
      <c r="V96" s="222">
        <v>0</v>
      </c>
      <c r="W96" s="224">
        <v>0</v>
      </c>
      <c r="X96" s="222"/>
      <c r="Y96" s="222">
        <v>0</v>
      </c>
      <c r="Z96" s="224">
        <v>0</v>
      </c>
      <c r="AA96" s="222"/>
      <c r="AB96" s="222">
        <v>0</v>
      </c>
      <c r="AC96" s="224">
        <v>0</v>
      </c>
    </row>
    <row r="97" spans="1:52" ht="24.95" customHeight="1">
      <c r="A97" s="32" t="s">
        <v>780</v>
      </c>
      <c r="B97" s="217" t="s">
        <v>627</v>
      </c>
      <c r="C97" s="218" t="s">
        <v>23</v>
      </c>
      <c r="D97" s="219" t="s">
        <v>65</v>
      </c>
      <c r="E97" s="219" t="s">
        <v>65</v>
      </c>
      <c r="F97" s="219" t="s">
        <v>25</v>
      </c>
      <c r="G97" s="219" t="s">
        <v>134</v>
      </c>
      <c r="H97" s="219"/>
      <c r="I97" s="219"/>
      <c r="J97" s="219"/>
      <c r="K97" s="220">
        <v>11</v>
      </c>
      <c r="L97" s="221" t="s">
        <v>29</v>
      </c>
      <c r="M97" s="217" t="s">
        <v>135</v>
      </c>
      <c r="N97" s="223">
        <v>11000000000</v>
      </c>
      <c r="O97" s="222"/>
      <c r="P97" s="222"/>
      <c r="Q97" s="222"/>
      <c r="R97" s="222"/>
      <c r="S97" s="222">
        <v>11000000000</v>
      </c>
      <c r="T97" s="223">
        <v>0</v>
      </c>
      <c r="U97" s="223"/>
      <c r="V97" s="222">
        <v>0</v>
      </c>
      <c r="W97" s="224">
        <v>0</v>
      </c>
      <c r="X97" s="222"/>
      <c r="Y97" s="222">
        <v>0</v>
      </c>
      <c r="Z97" s="224">
        <v>0</v>
      </c>
      <c r="AA97" s="222"/>
      <c r="AB97" s="222">
        <v>0</v>
      </c>
      <c r="AC97" s="224">
        <v>0</v>
      </c>
    </row>
    <row r="98" spans="1:52" ht="24.95" customHeight="1">
      <c r="A98" s="32" t="s">
        <v>402</v>
      </c>
      <c r="B98" s="196" t="s">
        <v>403</v>
      </c>
      <c r="C98" s="197" t="s">
        <v>23</v>
      </c>
      <c r="D98" s="198" t="s">
        <v>65</v>
      </c>
      <c r="E98" s="198" t="s">
        <v>136</v>
      </c>
      <c r="F98" s="198"/>
      <c r="G98" s="198"/>
      <c r="H98" s="198"/>
      <c r="I98" s="198"/>
      <c r="J98" s="198"/>
      <c r="K98" s="199"/>
      <c r="L98" s="200"/>
      <c r="M98" s="196" t="s">
        <v>137</v>
      </c>
      <c r="N98" s="201">
        <v>534000000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534000000</v>
      </c>
      <c r="U98" s="201">
        <v>95869130</v>
      </c>
      <c r="V98" s="201">
        <v>438130870</v>
      </c>
      <c r="W98" s="202">
        <v>0.17953020599250935</v>
      </c>
      <c r="X98" s="201">
        <v>60427007</v>
      </c>
      <c r="Y98" s="201">
        <v>35442123</v>
      </c>
      <c r="Z98" s="202">
        <v>0.36969275719931954</v>
      </c>
      <c r="AA98" s="201">
        <v>60427007</v>
      </c>
      <c r="AB98" s="201">
        <v>0</v>
      </c>
      <c r="AC98" s="202">
        <v>0.63030724280068051</v>
      </c>
    </row>
    <row r="99" spans="1:52" ht="24.95" customHeight="1">
      <c r="A99" s="32" t="s">
        <v>404</v>
      </c>
      <c r="B99" s="203" t="s">
        <v>405</v>
      </c>
      <c r="C99" s="204" t="s">
        <v>23</v>
      </c>
      <c r="D99" s="205" t="s">
        <v>65</v>
      </c>
      <c r="E99" s="205" t="s">
        <v>136</v>
      </c>
      <c r="F99" s="205" t="s">
        <v>54</v>
      </c>
      <c r="G99" s="205"/>
      <c r="H99" s="205"/>
      <c r="I99" s="205"/>
      <c r="J99" s="205"/>
      <c r="K99" s="206" t="s">
        <v>28</v>
      </c>
      <c r="L99" s="207" t="s">
        <v>29</v>
      </c>
      <c r="M99" s="203" t="s">
        <v>138</v>
      </c>
      <c r="N99" s="208">
        <v>534000000</v>
      </c>
      <c r="O99" s="208">
        <v>0</v>
      </c>
      <c r="P99" s="208">
        <v>0</v>
      </c>
      <c r="Q99" s="208">
        <v>0</v>
      </c>
      <c r="R99" s="208">
        <v>0</v>
      </c>
      <c r="S99" s="208">
        <v>0</v>
      </c>
      <c r="T99" s="208">
        <v>534000000</v>
      </c>
      <c r="U99" s="208">
        <v>95869130</v>
      </c>
      <c r="V99" s="208">
        <v>438130870</v>
      </c>
      <c r="W99" s="209">
        <v>0.17953020599250935</v>
      </c>
      <c r="X99" s="208">
        <v>60427007</v>
      </c>
      <c r="Y99" s="208">
        <v>35442123</v>
      </c>
      <c r="Z99" s="209">
        <v>0.36969275719931954</v>
      </c>
      <c r="AA99" s="208">
        <v>60427007</v>
      </c>
      <c r="AB99" s="208">
        <v>0</v>
      </c>
      <c r="AC99" s="209">
        <v>0.63030724280068051</v>
      </c>
    </row>
    <row r="100" spans="1:52" s="64" customFormat="1" ht="24.95" customHeight="1">
      <c r="A100" s="32" t="s">
        <v>406</v>
      </c>
      <c r="B100" s="210" t="s">
        <v>407</v>
      </c>
      <c r="C100" s="211" t="s">
        <v>23</v>
      </c>
      <c r="D100" s="212" t="s">
        <v>65</v>
      </c>
      <c r="E100" s="212" t="s">
        <v>136</v>
      </c>
      <c r="F100" s="212" t="s">
        <v>54</v>
      </c>
      <c r="G100" s="212" t="s">
        <v>52</v>
      </c>
      <c r="H100" s="212"/>
      <c r="I100" s="212"/>
      <c r="J100" s="212"/>
      <c r="K100" s="213" t="s">
        <v>28</v>
      </c>
      <c r="L100" s="214" t="s">
        <v>29</v>
      </c>
      <c r="M100" s="210" t="s">
        <v>139</v>
      </c>
      <c r="N100" s="215">
        <v>534000000</v>
      </c>
      <c r="O100" s="215">
        <v>0</v>
      </c>
      <c r="P100" s="215">
        <v>0</v>
      </c>
      <c r="Q100" s="215">
        <v>0</v>
      </c>
      <c r="R100" s="215">
        <v>0</v>
      </c>
      <c r="S100" s="215">
        <v>0</v>
      </c>
      <c r="T100" s="215">
        <v>534000000</v>
      </c>
      <c r="U100" s="215">
        <v>95869130</v>
      </c>
      <c r="V100" s="215">
        <v>438130870</v>
      </c>
      <c r="W100" s="216">
        <v>0.17953020599250935</v>
      </c>
      <c r="X100" s="215">
        <v>60427007</v>
      </c>
      <c r="Y100" s="215">
        <v>35442123</v>
      </c>
      <c r="Z100" s="216">
        <v>0.36969275719931954</v>
      </c>
      <c r="AA100" s="215">
        <v>60427007</v>
      </c>
      <c r="AB100" s="215">
        <v>0</v>
      </c>
      <c r="AC100" s="216">
        <v>0.63030724280068051</v>
      </c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</row>
    <row r="101" spans="1:52" ht="24.95" customHeight="1">
      <c r="A101" s="32" t="s">
        <v>408</v>
      </c>
      <c r="B101" s="217" t="s">
        <v>409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19" t="s">
        <v>52</v>
      </c>
      <c r="H101" s="219" t="s">
        <v>31</v>
      </c>
      <c r="I101" s="219"/>
      <c r="J101" s="219"/>
      <c r="K101" s="220" t="s">
        <v>28</v>
      </c>
      <c r="L101" s="221" t="s">
        <v>29</v>
      </c>
      <c r="M101" s="217" t="s">
        <v>140</v>
      </c>
      <c r="N101" s="222">
        <v>367000000</v>
      </c>
      <c r="O101" s="222"/>
      <c r="P101" s="222"/>
      <c r="Q101" s="222"/>
      <c r="R101" s="222"/>
      <c r="S101" s="222"/>
      <c r="T101" s="222">
        <v>367000000</v>
      </c>
      <c r="U101" s="222">
        <v>35517844</v>
      </c>
      <c r="V101" s="222">
        <v>331482156</v>
      </c>
      <c r="W101" s="224">
        <v>9.6778866485013618E-2</v>
      </c>
      <c r="X101" s="222">
        <v>32057791</v>
      </c>
      <c r="Y101" s="222">
        <v>3460053</v>
      </c>
      <c r="Z101" s="224">
        <v>9.7417315082525838E-2</v>
      </c>
      <c r="AA101" s="222">
        <v>32057791</v>
      </c>
      <c r="AB101" s="222">
        <v>0</v>
      </c>
      <c r="AC101" s="224">
        <v>0.90258268491747418</v>
      </c>
    </row>
    <row r="102" spans="1:52" ht="24.95" customHeight="1">
      <c r="A102" s="32" t="s">
        <v>410</v>
      </c>
      <c r="B102" s="217" t="s">
        <v>411</v>
      </c>
      <c r="C102" s="218" t="s">
        <v>23</v>
      </c>
      <c r="D102" s="219" t="s">
        <v>65</v>
      </c>
      <c r="E102" s="219" t="s">
        <v>136</v>
      </c>
      <c r="F102" s="219" t="s">
        <v>54</v>
      </c>
      <c r="G102" s="219" t="s">
        <v>52</v>
      </c>
      <c r="H102" s="219" t="s">
        <v>34</v>
      </c>
      <c r="I102" s="219"/>
      <c r="J102" s="219"/>
      <c r="K102" s="220" t="s">
        <v>28</v>
      </c>
      <c r="L102" s="221" t="s">
        <v>29</v>
      </c>
      <c r="M102" s="217" t="s">
        <v>141</v>
      </c>
      <c r="N102" s="222">
        <v>167000000</v>
      </c>
      <c r="O102" s="222"/>
      <c r="P102" s="222"/>
      <c r="Q102" s="223"/>
      <c r="R102" s="223"/>
      <c r="S102" s="223"/>
      <c r="T102" s="222">
        <v>167000000</v>
      </c>
      <c r="U102" s="222">
        <v>60351286</v>
      </c>
      <c r="V102" s="222">
        <v>106648714</v>
      </c>
      <c r="W102" s="224">
        <v>0.36138494610778443</v>
      </c>
      <c r="X102" s="222">
        <v>28369216</v>
      </c>
      <c r="Y102" s="222">
        <v>31982070</v>
      </c>
      <c r="Z102" s="224">
        <v>0.52993187253706575</v>
      </c>
      <c r="AA102" s="222">
        <v>28369216</v>
      </c>
      <c r="AB102" s="222">
        <v>0</v>
      </c>
      <c r="AC102" s="224">
        <v>0.47006812746293425</v>
      </c>
    </row>
    <row r="103" spans="1:52" s="64" customFormat="1" ht="24.95" customHeight="1">
      <c r="A103" s="32" t="s">
        <v>412</v>
      </c>
      <c r="B103" s="217" t="s">
        <v>413</v>
      </c>
      <c r="C103" s="218" t="s">
        <v>23</v>
      </c>
      <c r="D103" s="219" t="s">
        <v>65</v>
      </c>
      <c r="E103" s="219" t="s">
        <v>136</v>
      </c>
      <c r="F103" s="219" t="s">
        <v>54</v>
      </c>
      <c r="G103" s="225" t="s">
        <v>142</v>
      </c>
      <c r="H103" s="219"/>
      <c r="I103" s="219"/>
      <c r="J103" s="219"/>
      <c r="K103" s="220" t="s">
        <v>28</v>
      </c>
      <c r="L103" s="221" t="s">
        <v>29</v>
      </c>
      <c r="M103" s="217" t="s">
        <v>260</v>
      </c>
      <c r="N103" s="222">
        <v>0</v>
      </c>
      <c r="O103" s="222"/>
      <c r="P103" s="222"/>
      <c r="Q103" s="223"/>
      <c r="R103" s="223"/>
      <c r="S103" s="223"/>
      <c r="T103" s="223">
        <v>0</v>
      </c>
      <c r="U103" s="223">
        <v>0</v>
      </c>
      <c r="V103" s="222">
        <v>0</v>
      </c>
      <c r="W103" s="224">
        <v>0</v>
      </c>
      <c r="X103" s="222">
        <v>0</v>
      </c>
      <c r="Y103" s="222">
        <v>0</v>
      </c>
      <c r="Z103" s="224">
        <v>0</v>
      </c>
      <c r="AA103" s="222">
        <v>0</v>
      </c>
      <c r="AB103" s="222">
        <v>0</v>
      </c>
      <c r="AC103" s="224">
        <v>0</v>
      </c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</row>
    <row r="104" spans="1:52" ht="24.95" customHeight="1">
      <c r="A104" s="32" t="s">
        <v>414</v>
      </c>
      <c r="B104" s="196" t="s">
        <v>415</v>
      </c>
      <c r="C104" s="197" t="s">
        <v>23</v>
      </c>
      <c r="D104" s="198" t="s">
        <v>65</v>
      </c>
      <c r="E104" s="198" t="s">
        <v>28</v>
      </c>
      <c r="F104" s="198"/>
      <c r="G104" s="198"/>
      <c r="H104" s="198"/>
      <c r="I104" s="198"/>
      <c r="J104" s="198"/>
      <c r="K104" s="199"/>
      <c r="L104" s="200"/>
      <c r="M104" s="196" t="s">
        <v>143</v>
      </c>
      <c r="N104" s="201">
        <v>2675000000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1">
        <v>2675000000</v>
      </c>
      <c r="U104" s="201">
        <v>47248172</v>
      </c>
      <c r="V104" s="201">
        <v>2627751828</v>
      </c>
      <c r="W104" s="202">
        <v>1.7662868037383178E-2</v>
      </c>
      <c r="X104" s="201">
        <v>47248172</v>
      </c>
      <c r="Y104" s="201">
        <v>0</v>
      </c>
      <c r="Z104" s="202">
        <v>0</v>
      </c>
      <c r="AA104" s="201">
        <v>47248172</v>
      </c>
      <c r="AB104" s="201">
        <v>0</v>
      </c>
      <c r="AC104" s="202">
        <v>1</v>
      </c>
    </row>
    <row r="105" spans="1:52" ht="16.5">
      <c r="A105" s="32" t="s">
        <v>416</v>
      </c>
      <c r="B105" s="203" t="s">
        <v>417</v>
      </c>
      <c r="C105" s="204" t="s">
        <v>23</v>
      </c>
      <c r="D105" s="205" t="s">
        <v>65</v>
      </c>
      <c r="E105" s="205" t="s">
        <v>28</v>
      </c>
      <c r="F105" s="205" t="s">
        <v>25</v>
      </c>
      <c r="G105" s="205"/>
      <c r="H105" s="205"/>
      <c r="I105" s="205"/>
      <c r="J105" s="205"/>
      <c r="K105" s="206" t="s">
        <v>144</v>
      </c>
      <c r="L105" s="207" t="s">
        <v>29</v>
      </c>
      <c r="M105" s="203" t="s">
        <v>145</v>
      </c>
      <c r="N105" s="208">
        <v>2675000000</v>
      </c>
      <c r="O105" s="208">
        <v>0</v>
      </c>
      <c r="P105" s="208">
        <v>0</v>
      </c>
      <c r="Q105" s="208">
        <v>0</v>
      </c>
      <c r="R105" s="208">
        <v>0</v>
      </c>
      <c r="S105" s="208">
        <v>0</v>
      </c>
      <c r="T105" s="208">
        <v>2675000000</v>
      </c>
      <c r="U105" s="208">
        <v>47248172</v>
      </c>
      <c r="V105" s="208">
        <v>2627751828</v>
      </c>
      <c r="W105" s="209">
        <v>1.7662868037383178E-2</v>
      </c>
      <c r="X105" s="208">
        <v>47248172</v>
      </c>
      <c r="Y105" s="208">
        <v>0</v>
      </c>
      <c r="Z105" s="209">
        <v>0</v>
      </c>
      <c r="AA105" s="208">
        <v>47248172</v>
      </c>
      <c r="AB105" s="208">
        <v>0</v>
      </c>
      <c r="AC105" s="209">
        <v>1</v>
      </c>
    </row>
    <row r="106" spans="1:52" ht="24.95" customHeight="1">
      <c r="A106" s="32" t="s">
        <v>628</v>
      </c>
      <c r="B106" s="217" t="s">
        <v>418</v>
      </c>
      <c r="C106" s="218" t="s">
        <v>23</v>
      </c>
      <c r="D106" s="219" t="s">
        <v>65</v>
      </c>
      <c r="E106" s="219" t="s">
        <v>28</v>
      </c>
      <c r="F106" s="219" t="s">
        <v>25</v>
      </c>
      <c r="G106" s="219" t="s">
        <v>31</v>
      </c>
      <c r="H106" s="219"/>
      <c r="I106" s="219"/>
      <c r="J106" s="219"/>
      <c r="K106" s="220">
        <v>10</v>
      </c>
      <c r="L106" s="221" t="s">
        <v>29</v>
      </c>
      <c r="M106" s="259" t="s">
        <v>146</v>
      </c>
      <c r="N106" s="222">
        <v>2675000000</v>
      </c>
      <c r="O106" s="222"/>
      <c r="P106" s="222"/>
      <c r="Q106" s="222"/>
      <c r="R106" s="222"/>
      <c r="S106" s="222"/>
      <c r="T106" s="223">
        <v>2675000000</v>
      </c>
      <c r="U106" s="223">
        <v>47248172</v>
      </c>
      <c r="V106" s="222">
        <v>2627751828</v>
      </c>
      <c r="W106" s="224">
        <v>1.7662868037383178E-2</v>
      </c>
      <c r="X106" s="222">
        <v>47248172</v>
      </c>
      <c r="Y106" s="222">
        <v>0</v>
      </c>
      <c r="Z106" s="224">
        <v>0</v>
      </c>
      <c r="AA106" s="222">
        <v>47248172</v>
      </c>
      <c r="AB106" s="222">
        <v>0</v>
      </c>
      <c r="AC106" s="224">
        <v>1</v>
      </c>
    </row>
    <row r="107" spans="1:52" ht="35.1" customHeight="1">
      <c r="A107" s="32" t="s">
        <v>420</v>
      </c>
      <c r="B107" s="188" t="s">
        <v>421</v>
      </c>
      <c r="C107" s="189" t="s">
        <v>23</v>
      </c>
      <c r="D107" s="191" t="s">
        <v>148</v>
      </c>
      <c r="E107" s="191"/>
      <c r="F107" s="191"/>
      <c r="G107" s="191"/>
      <c r="H107" s="191"/>
      <c r="I107" s="191"/>
      <c r="J107" s="191"/>
      <c r="K107" s="192"/>
      <c r="L107" s="193"/>
      <c r="M107" s="188" t="s">
        <v>149</v>
      </c>
      <c r="N107" s="194">
        <v>6047000000</v>
      </c>
      <c r="O107" s="194">
        <v>0</v>
      </c>
      <c r="P107" s="194">
        <v>0</v>
      </c>
      <c r="Q107" s="194">
        <v>0</v>
      </c>
      <c r="R107" s="194">
        <v>0</v>
      </c>
      <c r="S107" s="194">
        <v>0</v>
      </c>
      <c r="T107" s="194">
        <v>6047000000</v>
      </c>
      <c r="U107" s="194">
        <v>5171537</v>
      </c>
      <c r="V107" s="194">
        <v>6041828463</v>
      </c>
      <c r="W107" s="195">
        <v>8.5522358194145857E-4</v>
      </c>
      <c r="X107" s="194">
        <v>5171537</v>
      </c>
      <c r="Y107" s="194">
        <v>0</v>
      </c>
      <c r="Z107" s="195">
        <v>0</v>
      </c>
      <c r="AA107" s="194">
        <v>4825307</v>
      </c>
      <c r="AB107" s="194">
        <v>346230</v>
      </c>
      <c r="AC107" s="195">
        <v>0.93305085122662756</v>
      </c>
    </row>
    <row r="108" spans="1:52" ht="24.95" customHeight="1">
      <c r="A108" s="32" t="s">
        <v>422</v>
      </c>
      <c r="B108" s="196" t="s">
        <v>423</v>
      </c>
      <c r="C108" s="197" t="s">
        <v>23</v>
      </c>
      <c r="D108" s="198" t="s">
        <v>148</v>
      </c>
      <c r="E108" s="198" t="s">
        <v>25</v>
      </c>
      <c r="F108" s="198"/>
      <c r="G108" s="198"/>
      <c r="H108" s="198"/>
      <c r="I108" s="198"/>
      <c r="J108" s="198"/>
      <c r="K108" s="199"/>
      <c r="L108" s="200"/>
      <c r="M108" s="196" t="s">
        <v>150</v>
      </c>
      <c r="N108" s="201">
        <v>134000000</v>
      </c>
      <c r="O108" s="201">
        <v>0</v>
      </c>
      <c r="P108" s="201">
        <v>0</v>
      </c>
      <c r="Q108" s="201">
        <v>0</v>
      </c>
      <c r="R108" s="201">
        <v>0</v>
      </c>
      <c r="S108" s="201">
        <v>0</v>
      </c>
      <c r="T108" s="201">
        <v>134000000</v>
      </c>
      <c r="U108" s="201">
        <v>5171537</v>
      </c>
      <c r="V108" s="201">
        <v>128828463</v>
      </c>
      <c r="W108" s="202">
        <v>3.8593559701492537E-2</v>
      </c>
      <c r="X108" s="201">
        <v>5171537</v>
      </c>
      <c r="Y108" s="201">
        <v>0</v>
      </c>
      <c r="Z108" s="202">
        <v>0</v>
      </c>
      <c r="AA108" s="201">
        <v>4825307</v>
      </c>
      <c r="AB108" s="201">
        <v>346230</v>
      </c>
      <c r="AC108" s="202">
        <v>0.93305085122662756</v>
      </c>
    </row>
    <row r="109" spans="1:52" ht="16.5">
      <c r="A109" s="32" t="s">
        <v>424</v>
      </c>
      <c r="B109" s="203" t="s">
        <v>425</v>
      </c>
      <c r="C109" s="204" t="s">
        <v>23</v>
      </c>
      <c r="D109" s="205" t="s">
        <v>148</v>
      </c>
      <c r="E109" s="205" t="s">
        <v>25</v>
      </c>
      <c r="F109" s="205" t="s">
        <v>54</v>
      </c>
      <c r="G109" s="205"/>
      <c r="H109" s="205"/>
      <c r="I109" s="205"/>
      <c r="J109" s="205"/>
      <c r="K109" s="206" t="s">
        <v>28</v>
      </c>
      <c r="L109" s="207" t="s">
        <v>29</v>
      </c>
      <c r="M109" s="203" t="s">
        <v>151</v>
      </c>
      <c r="N109" s="208">
        <v>134000000</v>
      </c>
      <c r="O109" s="208">
        <v>0</v>
      </c>
      <c r="P109" s="208">
        <v>0</v>
      </c>
      <c r="Q109" s="208">
        <v>0</v>
      </c>
      <c r="R109" s="208">
        <v>0</v>
      </c>
      <c r="S109" s="208">
        <v>0</v>
      </c>
      <c r="T109" s="208">
        <v>134000000</v>
      </c>
      <c r="U109" s="208">
        <v>5171537</v>
      </c>
      <c r="V109" s="208">
        <v>128828463</v>
      </c>
      <c r="W109" s="209">
        <v>3.8593559701492537E-2</v>
      </c>
      <c r="X109" s="208">
        <v>5171537</v>
      </c>
      <c r="Y109" s="208">
        <v>0</v>
      </c>
      <c r="Z109" s="209">
        <v>0</v>
      </c>
      <c r="AA109" s="208">
        <v>4825307</v>
      </c>
      <c r="AB109" s="208">
        <v>346230</v>
      </c>
      <c r="AC109" s="209">
        <v>0.93305085122662756</v>
      </c>
    </row>
    <row r="110" spans="1:52" ht="24.95" customHeight="1">
      <c r="A110" s="32" t="s">
        <v>426</v>
      </c>
      <c r="B110" s="217" t="s">
        <v>427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31</v>
      </c>
      <c r="H110" s="219"/>
      <c r="I110" s="219"/>
      <c r="J110" s="219"/>
      <c r="K110" s="220" t="s">
        <v>28</v>
      </c>
      <c r="L110" s="221" t="s">
        <v>29</v>
      </c>
      <c r="M110" s="259" t="s">
        <v>152</v>
      </c>
      <c r="N110" s="222">
        <v>60000000</v>
      </c>
      <c r="O110" s="222"/>
      <c r="P110" s="222"/>
      <c r="Q110" s="222"/>
      <c r="R110" s="222"/>
      <c r="S110" s="222"/>
      <c r="T110" s="222">
        <v>60000000</v>
      </c>
      <c r="U110" s="222">
        <v>0</v>
      </c>
      <c r="V110" s="222">
        <v>60000000</v>
      </c>
      <c r="W110" s="224">
        <v>0</v>
      </c>
      <c r="X110" s="222">
        <v>0</v>
      </c>
      <c r="Y110" s="222">
        <v>0</v>
      </c>
      <c r="Z110" s="224">
        <v>0</v>
      </c>
      <c r="AA110" s="222">
        <v>0</v>
      </c>
      <c r="AB110" s="222">
        <v>0</v>
      </c>
      <c r="AC110" s="224">
        <v>0</v>
      </c>
    </row>
    <row r="111" spans="1:52" ht="24.95" customHeight="1">
      <c r="A111" s="32" t="s">
        <v>428</v>
      </c>
      <c r="B111" s="217" t="s">
        <v>429</v>
      </c>
      <c r="C111" s="218" t="s">
        <v>23</v>
      </c>
      <c r="D111" s="219" t="s">
        <v>148</v>
      </c>
      <c r="E111" s="219" t="s">
        <v>25</v>
      </c>
      <c r="F111" s="219" t="s">
        <v>54</v>
      </c>
      <c r="G111" s="219" t="s">
        <v>38</v>
      </c>
      <c r="H111" s="219"/>
      <c r="I111" s="219"/>
      <c r="J111" s="219"/>
      <c r="K111" s="220" t="s">
        <v>28</v>
      </c>
      <c r="L111" s="221" t="s">
        <v>29</v>
      </c>
      <c r="M111" s="259" t="s">
        <v>153</v>
      </c>
      <c r="N111" s="222">
        <v>59000000</v>
      </c>
      <c r="O111" s="223"/>
      <c r="P111" s="222"/>
      <c r="Q111" s="223"/>
      <c r="R111" s="222"/>
      <c r="S111" s="222"/>
      <c r="T111" s="222">
        <v>59000000</v>
      </c>
      <c r="U111" s="222">
        <v>5171537</v>
      </c>
      <c r="V111" s="222">
        <v>53828463</v>
      </c>
      <c r="W111" s="224">
        <v>8.7653169491525421E-2</v>
      </c>
      <c r="X111" s="222">
        <v>5171537</v>
      </c>
      <c r="Y111" s="222">
        <v>0</v>
      </c>
      <c r="Z111" s="224">
        <v>0</v>
      </c>
      <c r="AA111" s="222">
        <v>4825307</v>
      </c>
      <c r="AB111" s="222">
        <v>346230</v>
      </c>
      <c r="AC111" s="224">
        <v>0.93305085122662756</v>
      </c>
    </row>
    <row r="112" spans="1:52" ht="24.95" customHeight="1">
      <c r="A112" s="32" t="s">
        <v>430</v>
      </c>
      <c r="B112" s="217" t="s">
        <v>431</v>
      </c>
      <c r="C112" s="218" t="s">
        <v>23</v>
      </c>
      <c r="D112" s="219" t="s">
        <v>148</v>
      </c>
      <c r="E112" s="219" t="s">
        <v>25</v>
      </c>
      <c r="F112" s="219" t="s">
        <v>54</v>
      </c>
      <c r="G112" s="219" t="s">
        <v>42</v>
      </c>
      <c r="H112" s="219"/>
      <c r="I112" s="219"/>
      <c r="J112" s="219"/>
      <c r="K112" s="220" t="s">
        <v>28</v>
      </c>
      <c r="L112" s="221" t="s">
        <v>29</v>
      </c>
      <c r="M112" s="259" t="s">
        <v>154</v>
      </c>
      <c r="N112" s="222">
        <v>15000000</v>
      </c>
      <c r="O112" s="222"/>
      <c r="P112" s="222"/>
      <c r="Q112" s="222"/>
      <c r="R112" s="222"/>
      <c r="S112" s="222"/>
      <c r="T112" s="222">
        <v>15000000</v>
      </c>
      <c r="U112" s="222">
        <v>0</v>
      </c>
      <c r="V112" s="222">
        <v>15000000</v>
      </c>
      <c r="W112" s="224">
        <v>0</v>
      </c>
      <c r="X112" s="222">
        <v>0</v>
      </c>
      <c r="Y112" s="222">
        <v>0</v>
      </c>
      <c r="Z112" s="224">
        <v>0</v>
      </c>
      <c r="AA112" s="222">
        <v>0</v>
      </c>
      <c r="AB112" s="222">
        <v>0</v>
      </c>
      <c r="AC112" s="224">
        <v>0</v>
      </c>
    </row>
    <row r="113" spans="1:29" ht="24.95" customHeight="1">
      <c r="A113" s="32" t="s">
        <v>629</v>
      </c>
      <c r="B113" s="196" t="s">
        <v>432</v>
      </c>
      <c r="C113" s="197" t="s">
        <v>23</v>
      </c>
      <c r="D113" s="198" t="s">
        <v>148</v>
      </c>
      <c r="E113" s="198" t="s">
        <v>136</v>
      </c>
      <c r="F113" s="198"/>
      <c r="G113" s="198"/>
      <c r="H113" s="198"/>
      <c r="I113" s="198"/>
      <c r="J113" s="198"/>
      <c r="K113" s="199"/>
      <c r="L113" s="200"/>
      <c r="M113" s="196" t="s">
        <v>155</v>
      </c>
      <c r="N113" s="201">
        <v>5913000000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5913000000</v>
      </c>
      <c r="U113" s="201">
        <v>0</v>
      </c>
      <c r="V113" s="201">
        <v>5913000000</v>
      </c>
      <c r="W113" s="202">
        <v>0</v>
      </c>
      <c r="X113" s="201">
        <v>0</v>
      </c>
      <c r="Y113" s="201">
        <v>0</v>
      </c>
      <c r="Z113" s="202">
        <v>0</v>
      </c>
      <c r="AA113" s="201">
        <v>0</v>
      </c>
      <c r="AB113" s="201">
        <v>0</v>
      </c>
      <c r="AC113" s="202">
        <v>0</v>
      </c>
    </row>
    <row r="114" spans="1:29" ht="24.95" customHeight="1">
      <c r="A114" s="32"/>
      <c r="B114" s="217" t="s">
        <v>434</v>
      </c>
      <c r="C114" s="218" t="s">
        <v>23</v>
      </c>
      <c r="D114" s="219" t="s">
        <v>148</v>
      </c>
      <c r="E114" s="219" t="s">
        <v>136</v>
      </c>
      <c r="F114" s="219" t="s">
        <v>25</v>
      </c>
      <c r="G114" s="219"/>
      <c r="H114" s="219"/>
      <c r="I114" s="219"/>
      <c r="J114" s="219"/>
      <c r="K114" s="220">
        <v>10</v>
      </c>
      <c r="L114" s="221" t="s">
        <v>156</v>
      </c>
      <c r="M114" s="259" t="s">
        <v>157</v>
      </c>
      <c r="N114" s="222">
        <v>0</v>
      </c>
      <c r="O114" s="223"/>
      <c r="P114" s="222"/>
      <c r="Q114" s="222"/>
      <c r="R114" s="222"/>
      <c r="S114" s="222"/>
      <c r="T114" s="223">
        <v>0</v>
      </c>
      <c r="U114" s="223">
        <v>0</v>
      </c>
      <c r="V114" s="222">
        <v>0</v>
      </c>
      <c r="W114" s="224">
        <v>0</v>
      </c>
      <c r="X114" s="222">
        <v>0</v>
      </c>
      <c r="Y114" s="222">
        <v>0</v>
      </c>
      <c r="Z114" s="224">
        <v>0</v>
      </c>
      <c r="AA114" s="222">
        <v>0</v>
      </c>
      <c r="AB114" s="222">
        <v>0</v>
      </c>
      <c r="AC114" s="224">
        <v>0</v>
      </c>
    </row>
    <row r="115" spans="1:29" ht="24.95" customHeight="1" thickBot="1">
      <c r="A115" s="32" t="s">
        <v>433</v>
      </c>
      <c r="B115" s="217" t="s">
        <v>434</v>
      </c>
      <c r="C115" s="218" t="s">
        <v>23</v>
      </c>
      <c r="D115" s="219" t="s">
        <v>148</v>
      </c>
      <c r="E115" s="219" t="s">
        <v>136</v>
      </c>
      <c r="F115" s="219" t="s">
        <v>25</v>
      </c>
      <c r="G115" s="219"/>
      <c r="H115" s="219"/>
      <c r="I115" s="219"/>
      <c r="J115" s="219"/>
      <c r="K115" s="220" t="s">
        <v>144</v>
      </c>
      <c r="L115" s="221" t="s">
        <v>156</v>
      </c>
      <c r="M115" s="259" t="s">
        <v>157</v>
      </c>
      <c r="N115" s="222">
        <v>5913000000</v>
      </c>
      <c r="O115" s="223"/>
      <c r="P115" s="222"/>
      <c r="Q115" s="222"/>
      <c r="R115" s="222"/>
      <c r="S115" s="222"/>
      <c r="T115" s="223">
        <v>5913000000</v>
      </c>
      <c r="U115" s="223">
        <v>0</v>
      </c>
      <c r="V115" s="222">
        <v>5913000000</v>
      </c>
      <c r="W115" s="224">
        <v>0</v>
      </c>
      <c r="X115" s="222">
        <v>0</v>
      </c>
      <c r="Y115" s="222">
        <v>0</v>
      </c>
      <c r="Z115" s="224">
        <v>0</v>
      </c>
      <c r="AA115" s="222">
        <v>0</v>
      </c>
      <c r="AB115" s="222">
        <v>0</v>
      </c>
      <c r="AC115" s="224">
        <v>0</v>
      </c>
    </row>
    <row r="116" spans="1:29" ht="35.1" customHeight="1" thickBot="1">
      <c r="A116" s="32" t="s">
        <v>435</v>
      </c>
      <c r="B116" s="260" t="s">
        <v>278</v>
      </c>
      <c r="C116" s="261" t="s">
        <v>167</v>
      </c>
      <c r="D116" s="262"/>
      <c r="E116" s="262"/>
      <c r="F116" s="262"/>
      <c r="G116" s="262"/>
      <c r="H116" s="262"/>
      <c r="I116" s="262"/>
      <c r="J116" s="262"/>
      <c r="K116" s="263"/>
      <c r="L116" s="264"/>
      <c r="M116" s="260" t="s">
        <v>168</v>
      </c>
      <c r="N116" s="265">
        <v>6230508633098</v>
      </c>
      <c r="O116" s="265">
        <v>0</v>
      </c>
      <c r="P116" s="265">
        <v>0</v>
      </c>
      <c r="Q116" s="265">
        <v>37287647920.089996</v>
      </c>
      <c r="R116" s="265">
        <v>37287647920.089996</v>
      </c>
      <c r="S116" s="265">
        <v>526000000000</v>
      </c>
      <c r="T116" s="265">
        <v>5704508633098</v>
      </c>
      <c r="U116" s="265">
        <v>728229982750.40991</v>
      </c>
      <c r="V116" s="265">
        <v>4976278650347.5898</v>
      </c>
      <c r="W116" s="187">
        <v>0.12765866958727404</v>
      </c>
      <c r="X116" s="265">
        <v>369280401195.52002</v>
      </c>
      <c r="Y116" s="265">
        <v>358949581554.89008</v>
      </c>
      <c r="Z116" s="187">
        <v>0.49290689762483281</v>
      </c>
      <c r="AA116" s="265">
        <v>366321225146.04999</v>
      </c>
      <c r="AB116" s="265">
        <v>2959176049.4700003</v>
      </c>
      <c r="AC116" s="187">
        <v>0.50302958381706897</v>
      </c>
    </row>
    <row r="117" spans="1:29" ht="35.1" customHeight="1">
      <c r="A117" s="32" t="s">
        <v>436</v>
      </c>
      <c r="B117" s="188" t="s">
        <v>437</v>
      </c>
      <c r="C117" s="189" t="s">
        <v>167</v>
      </c>
      <c r="D117" s="191">
        <v>4101</v>
      </c>
      <c r="E117" s="191"/>
      <c r="F117" s="191"/>
      <c r="G117" s="191"/>
      <c r="H117" s="191"/>
      <c r="I117" s="191"/>
      <c r="J117" s="191"/>
      <c r="K117" s="192"/>
      <c r="L117" s="193"/>
      <c r="M117" s="188" t="s">
        <v>169</v>
      </c>
      <c r="N117" s="194">
        <v>10248574078</v>
      </c>
      <c r="O117" s="194">
        <v>0</v>
      </c>
      <c r="P117" s="194">
        <v>0</v>
      </c>
      <c r="Q117" s="194">
        <v>0</v>
      </c>
      <c r="R117" s="194">
        <v>0</v>
      </c>
      <c r="S117" s="194">
        <v>0</v>
      </c>
      <c r="T117" s="194">
        <v>10248574078</v>
      </c>
      <c r="U117" s="194">
        <v>10248574078</v>
      </c>
      <c r="V117" s="194">
        <v>0</v>
      </c>
      <c r="W117" s="195">
        <v>1</v>
      </c>
      <c r="X117" s="194">
        <v>3434250590</v>
      </c>
      <c r="Y117" s="194">
        <v>6814323488</v>
      </c>
      <c r="Z117" s="195">
        <v>0.66490454536772092</v>
      </c>
      <c r="AA117" s="194">
        <v>1776065593</v>
      </c>
      <c r="AB117" s="194">
        <v>1658184997</v>
      </c>
      <c r="AC117" s="195">
        <v>0.17329880034848688</v>
      </c>
    </row>
    <row r="118" spans="1:29" ht="24.95" customHeight="1">
      <c r="A118" s="32" t="s">
        <v>438</v>
      </c>
      <c r="B118" s="196" t="s">
        <v>295</v>
      </c>
      <c r="C118" s="197" t="s">
        <v>167</v>
      </c>
      <c r="D118" s="198">
        <v>4101</v>
      </c>
      <c r="E118" s="198">
        <v>1500</v>
      </c>
      <c r="F118" s="198"/>
      <c r="G118" s="198"/>
      <c r="H118" s="198"/>
      <c r="I118" s="198"/>
      <c r="J118" s="198"/>
      <c r="K118" s="199"/>
      <c r="L118" s="200"/>
      <c r="M118" s="196" t="s">
        <v>170</v>
      </c>
      <c r="N118" s="201">
        <v>10248574078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10248574078</v>
      </c>
      <c r="U118" s="201">
        <v>10248574078</v>
      </c>
      <c r="V118" s="201">
        <v>0</v>
      </c>
      <c r="W118" s="202">
        <v>1</v>
      </c>
      <c r="X118" s="201">
        <v>3434250590</v>
      </c>
      <c r="Y118" s="201">
        <v>6814323488</v>
      </c>
      <c r="Z118" s="202">
        <v>0.66490454536772092</v>
      </c>
      <c r="AA118" s="201">
        <v>1776065593</v>
      </c>
      <c r="AB118" s="201">
        <v>1658184997</v>
      </c>
      <c r="AC118" s="202">
        <v>0.17329880034848688</v>
      </c>
    </row>
    <row r="119" spans="1:29" ht="36" hidden="1" customHeight="1">
      <c r="A119" s="32" t="s">
        <v>439</v>
      </c>
      <c r="B119" s="203" t="s">
        <v>440</v>
      </c>
      <c r="C119" s="227" t="s">
        <v>167</v>
      </c>
      <c r="D119" s="228" t="s">
        <v>171</v>
      </c>
      <c r="E119" s="228" t="s">
        <v>172</v>
      </c>
      <c r="F119" s="228" t="s">
        <v>261</v>
      </c>
      <c r="G119" s="228"/>
      <c r="H119" s="228"/>
      <c r="I119" s="228"/>
      <c r="J119" s="228"/>
      <c r="K119" s="229"/>
      <c r="L119" s="230"/>
      <c r="M119" s="231" t="s">
        <v>279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3">
        <v>0</v>
      </c>
      <c r="X119" s="232">
        <v>0</v>
      </c>
      <c r="Y119" s="232">
        <v>0</v>
      </c>
      <c r="Z119" s="233">
        <v>0</v>
      </c>
      <c r="AA119" s="232">
        <v>0</v>
      </c>
      <c r="AB119" s="232">
        <v>0</v>
      </c>
      <c r="AC119" s="233">
        <v>0</v>
      </c>
    </row>
    <row r="120" spans="1:29" ht="24.95" hidden="1" customHeight="1">
      <c r="A120" s="32" t="s">
        <v>630</v>
      </c>
      <c r="B120" s="210" t="s">
        <v>441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176</v>
      </c>
      <c r="I120" s="212"/>
      <c r="J120" s="212"/>
      <c r="K120" s="213">
        <v>11</v>
      </c>
      <c r="L120" s="214" t="s">
        <v>29</v>
      </c>
      <c r="M120" s="210" t="s">
        <v>177</v>
      </c>
      <c r="N120" s="215">
        <v>0</v>
      </c>
      <c r="O120" s="215">
        <v>0</v>
      </c>
      <c r="P120" s="215">
        <v>0</v>
      </c>
      <c r="Q120" s="215">
        <v>0</v>
      </c>
      <c r="R120" s="215">
        <v>0</v>
      </c>
      <c r="S120" s="215">
        <v>0</v>
      </c>
      <c r="T120" s="215">
        <v>0</v>
      </c>
      <c r="U120" s="215">
        <v>0</v>
      </c>
      <c r="V120" s="215">
        <v>0</v>
      </c>
      <c r="W120" s="216">
        <v>0</v>
      </c>
      <c r="X120" s="215">
        <v>0</v>
      </c>
      <c r="Y120" s="215">
        <v>0</v>
      </c>
      <c r="Z120" s="216">
        <v>0</v>
      </c>
      <c r="AA120" s="215">
        <v>0</v>
      </c>
      <c r="AB120" s="215">
        <v>0</v>
      </c>
      <c r="AC120" s="216">
        <v>0</v>
      </c>
    </row>
    <row r="121" spans="1:29" ht="24.95" hidden="1" customHeight="1">
      <c r="A121" s="32" t="s">
        <v>631</v>
      </c>
      <c r="B121" s="217" t="s">
        <v>442</v>
      </c>
      <c r="C121" s="218" t="s">
        <v>167</v>
      </c>
      <c r="D121" s="219" t="s">
        <v>171</v>
      </c>
      <c r="E121" s="219" t="s">
        <v>172</v>
      </c>
      <c r="F121" s="219" t="s">
        <v>261</v>
      </c>
      <c r="G121" s="219" t="s">
        <v>175</v>
      </c>
      <c r="H121" s="219" t="s">
        <v>176</v>
      </c>
      <c r="I121" s="219" t="s">
        <v>54</v>
      </c>
      <c r="J121" s="219"/>
      <c r="K121" s="220">
        <v>11</v>
      </c>
      <c r="L121" s="221" t="s">
        <v>29</v>
      </c>
      <c r="M121" s="217" t="s">
        <v>178</v>
      </c>
      <c r="N121" s="222"/>
      <c r="O121" s="222"/>
      <c r="P121" s="222"/>
      <c r="Q121" s="222"/>
      <c r="R121" s="223"/>
      <c r="S121" s="222"/>
      <c r="T121" s="222">
        <v>0</v>
      </c>
      <c r="U121" s="222"/>
      <c r="V121" s="222">
        <v>0</v>
      </c>
      <c r="W121" s="224">
        <v>0</v>
      </c>
      <c r="X121" s="222"/>
      <c r="Y121" s="222">
        <v>0</v>
      </c>
      <c r="Z121" s="224">
        <v>0</v>
      </c>
      <c r="AA121" s="222"/>
      <c r="AB121" s="222">
        <v>0</v>
      </c>
      <c r="AC121" s="224">
        <v>0</v>
      </c>
    </row>
    <row r="122" spans="1:29" ht="31.5" hidden="1" customHeight="1">
      <c r="A122" s="32" t="s">
        <v>632</v>
      </c>
      <c r="B122" s="210" t="s">
        <v>443</v>
      </c>
      <c r="C122" s="211" t="s">
        <v>167</v>
      </c>
      <c r="D122" s="212" t="s">
        <v>171</v>
      </c>
      <c r="E122" s="212" t="s">
        <v>172</v>
      </c>
      <c r="F122" s="212" t="s">
        <v>261</v>
      </c>
      <c r="G122" s="212" t="s">
        <v>175</v>
      </c>
      <c r="H122" s="212" t="s">
        <v>179</v>
      </c>
      <c r="I122" s="212"/>
      <c r="J122" s="212"/>
      <c r="K122" s="213">
        <v>11</v>
      </c>
      <c r="L122" s="214" t="s">
        <v>29</v>
      </c>
      <c r="M122" s="210" t="s">
        <v>180</v>
      </c>
      <c r="N122" s="215">
        <v>0</v>
      </c>
      <c r="O122" s="215">
        <v>0</v>
      </c>
      <c r="P122" s="215">
        <v>0</v>
      </c>
      <c r="Q122" s="215">
        <v>0</v>
      </c>
      <c r="R122" s="215">
        <v>0</v>
      </c>
      <c r="S122" s="215">
        <v>0</v>
      </c>
      <c r="T122" s="215">
        <v>0</v>
      </c>
      <c r="U122" s="215">
        <v>0</v>
      </c>
      <c r="V122" s="215">
        <v>0</v>
      </c>
      <c r="W122" s="216">
        <v>0</v>
      </c>
      <c r="X122" s="215">
        <v>0</v>
      </c>
      <c r="Y122" s="215">
        <v>0</v>
      </c>
      <c r="Z122" s="216">
        <v>0</v>
      </c>
      <c r="AA122" s="215">
        <v>0</v>
      </c>
      <c r="AB122" s="215">
        <v>0</v>
      </c>
      <c r="AC122" s="216">
        <v>0</v>
      </c>
    </row>
    <row r="123" spans="1:29" ht="24.95" hidden="1" customHeight="1">
      <c r="A123" s="32" t="s">
        <v>633</v>
      </c>
      <c r="B123" s="217" t="s">
        <v>444</v>
      </c>
      <c r="C123" s="218" t="s">
        <v>167</v>
      </c>
      <c r="D123" s="219" t="s">
        <v>171</v>
      </c>
      <c r="E123" s="219" t="s">
        <v>172</v>
      </c>
      <c r="F123" s="219">
        <v>5</v>
      </c>
      <c r="G123" s="219" t="s">
        <v>175</v>
      </c>
      <c r="H123" s="219" t="s">
        <v>179</v>
      </c>
      <c r="I123" s="219" t="s">
        <v>54</v>
      </c>
      <c r="J123" s="219"/>
      <c r="K123" s="220">
        <v>11</v>
      </c>
      <c r="L123" s="221" t="s">
        <v>29</v>
      </c>
      <c r="M123" s="259" t="s">
        <v>178</v>
      </c>
      <c r="N123" s="222"/>
      <c r="O123" s="222"/>
      <c r="P123" s="222"/>
      <c r="Q123" s="222"/>
      <c r="R123" s="636"/>
      <c r="S123" s="636"/>
      <c r="T123" s="222">
        <v>0</v>
      </c>
      <c r="U123" s="222"/>
      <c r="V123" s="222">
        <v>0</v>
      </c>
      <c r="W123" s="224">
        <v>0</v>
      </c>
      <c r="X123" s="222"/>
      <c r="Y123" s="222">
        <v>0</v>
      </c>
      <c r="Z123" s="224">
        <v>0</v>
      </c>
      <c r="AA123" s="222"/>
      <c r="AB123" s="222">
        <v>0</v>
      </c>
      <c r="AC123" s="224">
        <v>0</v>
      </c>
    </row>
    <row r="124" spans="1:29" ht="31.5" hidden="1" customHeight="1">
      <c r="A124" s="32" t="s">
        <v>634</v>
      </c>
      <c r="B124" s="210" t="s">
        <v>445</v>
      </c>
      <c r="C124" s="211" t="s">
        <v>167</v>
      </c>
      <c r="D124" s="212" t="s">
        <v>171</v>
      </c>
      <c r="E124" s="212" t="s">
        <v>172</v>
      </c>
      <c r="F124" s="212" t="s">
        <v>261</v>
      </c>
      <c r="G124" s="212" t="s">
        <v>175</v>
      </c>
      <c r="H124" s="212" t="s">
        <v>181</v>
      </c>
      <c r="I124" s="212"/>
      <c r="J124" s="212"/>
      <c r="K124" s="213">
        <v>11</v>
      </c>
      <c r="L124" s="214" t="s">
        <v>29</v>
      </c>
      <c r="M124" s="210" t="s">
        <v>182</v>
      </c>
      <c r="N124" s="215">
        <v>0</v>
      </c>
      <c r="O124" s="215">
        <v>0</v>
      </c>
      <c r="P124" s="215">
        <v>0</v>
      </c>
      <c r="Q124" s="215">
        <v>0</v>
      </c>
      <c r="R124" s="215">
        <v>0</v>
      </c>
      <c r="S124" s="215">
        <v>0</v>
      </c>
      <c r="T124" s="215">
        <v>0</v>
      </c>
      <c r="U124" s="215">
        <v>0</v>
      </c>
      <c r="V124" s="215">
        <v>0</v>
      </c>
      <c r="W124" s="216">
        <v>0</v>
      </c>
      <c r="X124" s="215">
        <v>0</v>
      </c>
      <c r="Y124" s="215">
        <v>0</v>
      </c>
      <c r="Z124" s="216">
        <v>0</v>
      </c>
      <c r="AA124" s="215">
        <v>0</v>
      </c>
      <c r="AB124" s="215">
        <v>0</v>
      </c>
      <c r="AC124" s="216">
        <v>0</v>
      </c>
    </row>
    <row r="125" spans="1:29" ht="24.95" hidden="1" customHeight="1">
      <c r="A125" s="32" t="s">
        <v>635</v>
      </c>
      <c r="B125" s="217" t="s">
        <v>446</v>
      </c>
      <c r="C125" s="218" t="s">
        <v>167</v>
      </c>
      <c r="D125" s="219" t="s">
        <v>171</v>
      </c>
      <c r="E125" s="219" t="s">
        <v>172</v>
      </c>
      <c r="F125" s="219" t="s">
        <v>261</v>
      </c>
      <c r="G125" s="219" t="s">
        <v>175</v>
      </c>
      <c r="H125" s="219" t="s">
        <v>181</v>
      </c>
      <c r="I125" s="225" t="s">
        <v>54</v>
      </c>
      <c r="J125" s="219"/>
      <c r="K125" s="220">
        <v>11</v>
      </c>
      <c r="L125" s="221" t="s">
        <v>29</v>
      </c>
      <c r="M125" s="217" t="s">
        <v>178</v>
      </c>
      <c r="N125" s="222"/>
      <c r="O125" s="222"/>
      <c r="P125" s="222"/>
      <c r="Q125" s="222"/>
      <c r="R125" s="223"/>
      <c r="S125" s="222"/>
      <c r="T125" s="222">
        <v>0</v>
      </c>
      <c r="U125" s="222"/>
      <c r="V125" s="222">
        <v>0</v>
      </c>
      <c r="W125" s="224">
        <v>0</v>
      </c>
      <c r="X125" s="222"/>
      <c r="Y125" s="222">
        <v>0</v>
      </c>
      <c r="Z125" s="224">
        <v>0</v>
      </c>
      <c r="AA125" s="222"/>
      <c r="AB125" s="222">
        <v>0</v>
      </c>
      <c r="AC125" s="224">
        <v>0</v>
      </c>
    </row>
    <row r="126" spans="1:29" ht="31.5" hidden="1" customHeight="1">
      <c r="A126" s="32" t="s">
        <v>636</v>
      </c>
      <c r="B126" s="210" t="s">
        <v>447</v>
      </c>
      <c r="C126" s="211" t="s">
        <v>167</v>
      </c>
      <c r="D126" s="212" t="s">
        <v>171</v>
      </c>
      <c r="E126" s="212" t="s">
        <v>172</v>
      </c>
      <c r="F126" s="212" t="s">
        <v>261</v>
      </c>
      <c r="G126" s="212" t="s">
        <v>175</v>
      </c>
      <c r="H126" s="212" t="s">
        <v>183</v>
      </c>
      <c r="I126" s="212"/>
      <c r="J126" s="212"/>
      <c r="K126" s="213">
        <v>11</v>
      </c>
      <c r="L126" s="214" t="s">
        <v>29</v>
      </c>
      <c r="M126" s="210" t="s">
        <v>184</v>
      </c>
      <c r="N126" s="215">
        <v>0</v>
      </c>
      <c r="O126" s="215">
        <v>0</v>
      </c>
      <c r="P126" s="215">
        <v>0</v>
      </c>
      <c r="Q126" s="215">
        <v>0</v>
      </c>
      <c r="R126" s="215">
        <v>0</v>
      </c>
      <c r="S126" s="215">
        <v>0</v>
      </c>
      <c r="T126" s="215">
        <v>0</v>
      </c>
      <c r="U126" s="215">
        <v>0</v>
      </c>
      <c r="V126" s="215">
        <v>0</v>
      </c>
      <c r="W126" s="216">
        <v>0</v>
      </c>
      <c r="X126" s="215">
        <v>0</v>
      </c>
      <c r="Y126" s="215">
        <v>0</v>
      </c>
      <c r="Z126" s="216">
        <v>0</v>
      </c>
      <c r="AA126" s="215">
        <v>0</v>
      </c>
      <c r="AB126" s="215">
        <v>0</v>
      </c>
      <c r="AC126" s="216">
        <v>0</v>
      </c>
    </row>
    <row r="127" spans="1:29" ht="24.95" hidden="1" customHeight="1">
      <c r="A127" s="32" t="s">
        <v>637</v>
      </c>
      <c r="B127" s="217" t="s">
        <v>448</v>
      </c>
      <c r="C127" s="218" t="s">
        <v>167</v>
      </c>
      <c r="D127" s="219" t="s">
        <v>171</v>
      </c>
      <c r="E127" s="219" t="s">
        <v>172</v>
      </c>
      <c r="F127" s="219" t="s">
        <v>261</v>
      </c>
      <c r="G127" s="219" t="s">
        <v>175</v>
      </c>
      <c r="H127" s="219" t="s">
        <v>183</v>
      </c>
      <c r="I127" s="219" t="s">
        <v>54</v>
      </c>
      <c r="J127" s="219"/>
      <c r="K127" s="220">
        <v>11</v>
      </c>
      <c r="L127" s="221" t="s">
        <v>29</v>
      </c>
      <c r="M127" s="217" t="s">
        <v>178</v>
      </c>
      <c r="N127" s="222"/>
      <c r="O127" s="222"/>
      <c r="P127" s="222"/>
      <c r="Q127" s="222"/>
      <c r="R127" s="223"/>
      <c r="S127" s="222"/>
      <c r="T127" s="223">
        <v>0</v>
      </c>
      <c r="U127" s="222"/>
      <c r="V127" s="222">
        <v>0</v>
      </c>
      <c r="W127" s="224">
        <v>0</v>
      </c>
      <c r="X127" s="222"/>
      <c r="Y127" s="222">
        <v>0</v>
      </c>
      <c r="Z127" s="224">
        <v>0</v>
      </c>
      <c r="AA127" s="222"/>
      <c r="AB127" s="222">
        <v>0</v>
      </c>
      <c r="AC127" s="224">
        <v>0</v>
      </c>
    </row>
    <row r="128" spans="1:29" ht="24.95" hidden="1" customHeight="1">
      <c r="A128" s="32" t="s">
        <v>638</v>
      </c>
      <c r="B128" s="210" t="s">
        <v>449</v>
      </c>
      <c r="C128" s="211" t="s">
        <v>167</v>
      </c>
      <c r="D128" s="212" t="s">
        <v>171</v>
      </c>
      <c r="E128" s="212" t="s">
        <v>172</v>
      </c>
      <c r="F128" s="212" t="s">
        <v>261</v>
      </c>
      <c r="G128" s="212" t="s">
        <v>175</v>
      </c>
      <c r="H128" s="212" t="s">
        <v>185</v>
      </c>
      <c r="I128" s="212"/>
      <c r="J128" s="212"/>
      <c r="K128" s="213">
        <v>11</v>
      </c>
      <c r="L128" s="214" t="s">
        <v>29</v>
      </c>
      <c r="M128" s="210" t="s">
        <v>186</v>
      </c>
      <c r="N128" s="215">
        <v>0</v>
      </c>
      <c r="O128" s="215">
        <v>0</v>
      </c>
      <c r="P128" s="215">
        <v>0</v>
      </c>
      <c r="Q128" s="215">
        <v>0</v>
      </c>
      <c r="R128" s="215">
        <v>0</v>
      </c>
      <c r="S128" s="215">
        <v>0</v>
      </c>
      <c r="T128" s="215">
        <v>0</v>
      </c>
      <c r="U128" s="215">
        <v>0</v>
      </c>
      <c r="V128" s="215">
        <v>0</v>
      </c>
      <c r="W128" s="216">
        <v>0</v>
      </c>
      <c r="X128" s="215">
        <v>0</v>
      </c>
      <c r="Y128" s="215">
        <v>0</v>
      </c>
      <c r="Z128" s="216">
        <v>0</v>
      </c>
      <c r="AA128" s="215">
        <v>0</v>
      </c>
      <c r="AB128" s="215">
        <v>0</v>
      </c>
      <c r="AC128" s="216">
        <v>0</v>
      </c>
    </row>
    <row r="129" spans="1:29" ht="24.95" hidden="1" customHeight="1">
      <c r="A129" s="32" t="s">
        <v>639</v>
      </c>
      <c r="B129" s="217" t="s">
        <v>450</v>
      </c>
      <c r="C129" s="218" t="s">
        <v>167</v>
      </c>
      <c r="D129" s="219" t="s">
        <v>171</v>
      </c>
      <c r="E129" s="219" t="s">
        <v>172</v>
      </c>
      <c r="F129" s="219">
        <v>5</v>
      </c>
      <c r="G129" s="219" t="s">
        <v>175</v>
      </c>
      <c r="H129" s="219" t="s">
        <v>185</v>
      </c>
      <c r="I129" s="219" t="s">
        <v>54</v>
      </c>
      <c r="J129" s="219"/>
      <c r="K129" s="220">
        <v>11</v>
      </c>
      <c r="L129" s="221" t="s">
        <v>29</v>
      </c>
      <c r="M129" s="259" t="s">
        <v>178</v>
      </c>
      <c r="N129" s="222"/>
      <c r="O129" s="222"/>
      <c r="P129" s="222"/>
      <c r="Q129" s="222"/>
      <c r="R129" s="222"/>
      <c r="S129" s="222"/>
      <c r="T129" s="222">
        <v>0</v>
      </c>
      <c r="U129" s="222"/>
      <c r="V129" s="222">
        <v>0</v>
      </c>
      <c r="W129" s="224">
        <v>0</v>
      </c>
      <c r="X129" s="222"/>
      <c r="Y129" s="222">
        <v>0</v>
      </c>
      <c r="Z129" s="224">
        <v>0</v>
      </c>
      <c r="AA129" s="222"/>
      <c r="AB129" s="222">
        <v>0</v>
      </c>
      <c r="AC129" s="224">
        <v>0</v>
      </c>
    </row>
    <row r="130" spans="1:29" ht="31.5" hidden="1" customHeight="1">
      <c r="A130" s="32" t="s">
        <v>640</v>
      </c>
      <c r="B130" s="210" t="s">
        <v>451</v>
      </c>
      <c r="C130" s="211" t="s">
        <v>167</v>
      </c>
      <c r="D130" s="212" t="s">
        <v>171</v>
      </c>
      <c r="E130" s="212" t="s">
        <v>172</v>
      </c>
      <c r="F130" s="212" t="s">
        <v>261</v>
      </c>
      <c r="G130" s="212" t="s">
        <v>175</v>
      </c>
      <c r="H130" s="212" t="s">
        <v>187</v>
      </c>
      <c r="I130" s="212"/>
      <c r="J130" s="212"/>
      <c r="K130" s="213">
        <v>11</v>
      </c>
      <c r="L130" s="214" t="s">
        <v>29</v>
      </c>
      <c r="M130" s="210" t="s">
        <v>188</v>
      </c>
      <c r="N130" s="215">
        <v>0</v>
      </c>
      <c r="O130" s="215">
        <v>0</v>
      </c>
      <c r="P130" s="215">
        <v>0</v>
      </c>
      <c r="Q130" s="215">
        <v>0</v>
      </c>
      <c r="R130" s="215">
        <v>0</v>
      </c>
      <c r="S130" s="215">
        <v>0</v>
      </c>
      <c r="T130" s="215">
        <v>0</v>
      </c>
      <c r="U130" s="215">
        <v>0</v>
      </c>
      <c r="V130" s="215">
        <v>0</v>
      </c>
      <c r="W130" s="216">
        <v>0</v>
      </c>
      <c r="X130" s="215">
        <v>0</v>
      </c>
      <c r="Y130" s="215">
        <v>0</v>
      </c>
      <c r="Z130" s="216">
        <v>0</v>
      </c>
      <c r="AA130" s="215">
        <v>0</v>
      </c>
      <c r="AB130" s="215">
        <v>0</v>
      </c>
      <c r="AC130" s="216">
        <v>0</v>
      </c>
    </row>
    <row r="131" spans="1:29" ht="24.95" hidden="1" customHeight="1">
      <c r="A131" s="32" t="s">
        <v>641</v>
      </c>
      <c r="B131" s="217" t="s">
        <v>452</v>
      </c>
      <c r="C131" s="218" t="s">
        <v>167</v>
      </c>
      <c r="D131" s="219" t="s">
        <v>171</v>
      </c>
      <c r="E131" s="219" t="s">
        <v>172</v>
      </c>
      <c r="F131" s="219" t="s">
        <v>261</v>
      </c>
      <c r="G131" s="219" t="s">
        <v>175</v>
      </c>
      <c r="H131" s="219" t="s">
        <v>187</v>
      </c>
      <c r="I131" s="219" t="s">
        <v>54</v>
      </c>
      <c r="J131" s="219"/>
      <c r="K131" s="220">
        <v>11</v>
      </c>
      <c r="L131" s="221" t="s">
        <v>29</v>
      </c>
      <c r="M131" s="217" t="s">
        <v>178</v>
      </c>
      <c r="N131" s="222"/>
      <c r="O131" s="222"/>
      <c r="P131" s="222"/>
      <c r="Q131" s="222"/>
      <c r="R131" s="222"/>
      <c r="S131" s="222"/>
      <c r="T131" s="222">
        <v>0</v>
      </c>
      <c r="U131" s="222"/>
      <c r="V131" s="222">
        <v>0</v>
      </c>
      <c r="W131" s="224">
        <v>0</v>
      </c>
      <c r="X131" s="222"/>
      <c r="Y131" s="222">
        <v>0</v>
      </c>
      <c r="Z131" s="224">
        <v>0</v>
      </c>
      <c r="AA131" s="222"/>
      <c r="AB131" s="222">
        <v>0</v>
      </c>
      <c r="AC131" s="224">
        <v>0</v>
      </c>
    </row>
    <row r="132" spans="1:29" ht="60.75" customHeight="1">
      <c r="A132" s="32" t="s">
        <v>453</v>
      </c>
      <c r="B132" s="226" t="s">
        <v>454</v>
      </c>
      <c r="C132" s="227" t="s">
        <v>167</v>
      </c>
      <c r="D132" s="228" t="s">
        <v>171</v>
      </c>
      <c r="E132" s="228" t="s">
        <v>172</v>
      </c>
      <c r="F132" s="228" t="s">
        <v>173</v>
      </c>
      <c r="G132" s="228"/>
      <c r="H132" s="228"/>
      <c r="I132" s="228"/>
      <c r="J132" s="228"/>
      <c r="K132" s="229"/>
      <c r="L132" s="230"/>
      <c r="M132" s="231" t="s">
        <v>174</v>
      </c>
      <c r="N132" s="232">
        <v>10248574078</v>
      </c>
      <c r="O132" s="232">
        <v>0</v>
      </c>
      <c r="P132" s="232">
        <v>0</v>
      </c>
      <c r="Q132" s="232">
        <v>0</v>
      </c>
      <c r="R132" s="232">
        <v>0</v>
      </c>
      <c r="S132" s="232">
        <v>0</v>
      </c>
      <c r="T132" s="232">
        <v>10248574078</v>
      </c>
      <c r="U132" s="232">
        <v>10248574078</v>
      </c>
      <c r="V132" s="232">
        <v>0</v>
      </c>
      <c r="W132" s="233">
        <v>1</v>
      </c>
      <c r="X132" s="232">
        <v>3434250590</v>
      </c>
      <c r="Y132" s="232">
        <v>6814323488</v>
      </c>
      <c r="Z132" s="233">
        <v>0.66490454536772092</v>
      </c>
      <c r="AA132" s="232">
        <v>1776065593</v>
      </c>
      <c r="AB132" s="232">
        <v>1658184997</v>
      </c>
      <c r="AC132" s="233">
        <v>0.17329880034848688</v>
      </c>
    </row>
    <row r="133" spans="1:29" ht="24.95" customHeight="1">
      <c r="A133" s="32" t="s">
        <v>455</v>
      </c>
      <c r="B133" s="210" t="s">
        <v>456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176</v>
      </c>
      <c r="I133" s="212"/>
      <c r="J133" s="212"/>
      <c r="K133" s="213" t="s">
        <v>144</v>
      </c>
      <c r="L133" s="214" t="s">
        <v>29</v>
      </c>
      <c r="M133" s="210" t="s">
        <v>177</v>
      </c>
      <c r="N133" s="215">
        <v>1189683575</v>
      </c>
      <c r="O133" s="215">
        <v>0</v>
      </c>
      <c r="P133" s="215">
        <v>0</v>
      </c>
      <c r="Q133" s="215">
        <v>0</v>
      </c>
      <c r="R133" s="215">
        <v>0</v>
      </c>
      <c r="S133" s="215">
        <v>0</v>
      </c>
      <c r="T133" s="215">
        <v>1189683575</v>
      </c>
      <c r="U133" s="215">
        <v>1189683575</v>
      </c>
      <c r="V133" s="215">
        <v>0</v>
      </c>
      <c r="W133" s="216">
        <v>1</v>
      </c>
      <c r="X133" s="215">
        <v>692341323</v>
      </c>
      <c r="Y133" s="215">
        <v>497342252</v>
      </c>
      <c r="Z133" s="216">
        <v>0.41804582533637147</v>
      </c>
      <c r="AA133" s="215">
        <v>358097823</v>
      </c>
      <c r="AB133" s="215">
        <v>334243500</v>
      </c>
      <c r="AC133" s="216">
        <v>0.30100257793338031</v>
      </c>
    </row>
    <row r="134" spans="1:29" ht="24.95" customHeight="1">
      <c r="A134" s="32" t="s">
        <v>457</v>
      </c>
      <c r="B134" s="217" t="s">
        <v>458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176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1189683575</v>
      </c>
      <c r="O134" s="222"/>
      <c r="P134" s="222"/>
      <c r="Q134" s="223"/>
      <c r="R134" s="222"/>
      <c r="S134" s="222"/>
      <c r="T134" s="222">
        <v>1189683575</v>
      </c>
      <c r="U134" s="222">
        <v>1189683575</v>
      </c>
      <c r="V134" s="222">
        <v>0</v>
      </c>
      <c r="W134" s="224">
        <v>1</v>
      </c>
      <c r="X134" s="222">
        <v>692341323</v>
      </c>
      <c r="Y134" s="222">
        <v>497342252</v>
      </c>
      <c r="Z134" s="224">
        <v>0.41804582533637147</v>
      </c>
      <c r="AA134" s="222">
        <v>358097823</v>
      </c>
      <c r="AB134" s="222">
        <v>334243500</v>
      </c>
      <c r="AC134" s="224">
        <v>0.30100257793338031</v>
      </c>
    </row>
    <row r="135" spans="1:29" ht="31.5" customHeight="1">
      <c r="A135" s="32" t="s">
        <v>459</v>
      </c>
      <c r="B135" s="210" t="s">
        <v>460</v>
      </c>
      <c r="C135" s="211" t="s">
        <v>167</v>
      </c>
      <c r="D135" s="212" t="s">
        <v>171</v>
      </c>
      <c r="E135" s="212" t="s">
        <v>172</v>
      </c>
      <c r="F135" s="212" t="s">
        <v>173</v>
      </c>
      <c r="G135" s="212" t="s">
        <v>175</v>
      </c>
      <c r="H135" s="212" t="s">
        <v>179</v>
      </c>
      <c r="I135" s="212"/>
      <c r="J135" s="212"/>
      <c r="K135" s="213" t="s">
        <v>144</v>
      </c>
      <c r="L135" s="214" t="s">
        <v>29</v>
      </c>
      <c r="M135" s="210" t="s">
        <v>180</v>
      </c>
      <c r="N135" s="215">
        <v>115014864</v>
      </c>
      <c r="O135" s="215">
        <v>0</v>
      </c>
      <c r="P135" s="215">
        <v>0</v>
      </c>
      <c r="Q135" s="215">
        <v>0</v>
      </c>
      <c r="R135" s="215">
        <v>0</v>
      </c>
      <c r="S135" s="215">
        <v>0</v>
      </c>
      <c r="T135" s="215">
        <v>115014864</v>
      </c>
      <c r="U135" s="215">
        <v>115014864</v>
      </c>
      <c r="V135" s="215">
        <v>0</v>
      </c>
      <c r="W135" s="216">
        <v>1</v>
      </c>
      <c r="X135" s="215">
        <v>61137056</v>
      </c>
      <c r="Y135" s="215">
        <v>53877808</v>
      </c>
      <c r="Z135" s="216">
        <v>0.46844213109707283</v>
      </c>
      <c r="AA135" s="215">
        <v>34635756</v>
      </c>
      <c r="AB135" s="215">
        <v>26501300</v>
      </c>
      <c r="AC135" s="216">
        <v>0.30114156375475087</v>
      </c>
    </row>
    <row r="136" spans="1:29" ht="24.95" customHeight="1">
      <c r="A136" s="32" t="s">
        <v>461</v>
      </c>
      <c r="B136" s="217" t="s">
        <v>462</v>
      </c>
      <c r="C136" s="218" t="s">
        <v>167</v>
      </c>
      <c r="D136" s="219" t="s">
        <v>171</v>
      </c>
      <c r="E136" s="219" t="s">
        <v>172</v>
      </c>
      <c r="F136" s="219" t="s">
        <v>173</v>
      </c>
      <c r="G136" s="219" t="s">
        <v>175</v>
      </c>
      <c r="H136" s="219" t="s">
        <v>179</v>
      </c>
      <c r="I136" s="219" t="s">
        <v>54</v>
      </c>
      <c r="J136" s="219"/>
      <c r="K136" s="220" t="s">
        <v>144</v>
      </c>
      <c r="L136" s="221" t="s">
        <v>29</v>
      </c>
      <c r="M136" s="259" t="s">
        <v>178</v>
      </c>
      <c r="N136" s="222">
        <v>115014864</v>
      </c>
      <c r="O136" s="222"/>
      <c r="P136" s="222"/>
      <c r="Q136" s="222"/>
      <c r="R136" s="222"/>
      <c r="S136" s="222"/>
      <c r="T136" s="222">
        <v>115014864</v>
      </c>
      <c r="U136" s="222">
        <v>115014864</v>
      </c>
      <c r="V136" s="222">
        <v>0</v>
      </c>
      <c r="W136" s="224">
        <v>1</v>
      </c>
      <c r="X136" s="222">
        <v>61137056</v>
      </c>
      <c r="Y136" s="222">
        <v>53877808</v>
      </c>
      <c r="Z136" s="224">
        <v>0.46844213109707283</v>
      </c>
      <c r="AA136" s="222">
        <v>34635756</v>
      </c>
      <c r="AB136" s="222">
        <v>26501300</v>
      </c>
      <c r="AC136" s="224">
        <v>0.30114156375475087</v>
      </c>
    </row>
    <row r="137" spans="1:29" ht="31.5" customHeight="1">
      <c r="A137" s="32" t="s">
        <v>463</v>
      </c>
      <c r="B137" s="210" t="s">
        <v>464</v>
      </c>
      <c r="C137" s="211" t="s">
        <v>167</v>
      </c>
      <c r="D137" s="212" t="s">
        <v>171</v>
      </c>
      <c r="E137" s="212" t="s">
        <v>172</v>
      </c>
      <c r="F137" s="212" t="s">
        <v>173</v>
      </c>
      <c r="G137" s="212" t="s">
        <v>175</v>
      </c>
      <c r="H137" s="212" t="s">
        <v>181</v>
      </c>
      <c r="I137" s="212"/>
      <c r="J137" s="212"/>
      <c r="K137" s="213" t="s">
        <v>144</v>
      </c>
      <c r="L137" s="214" t="s">
        <v>29</v>
      </c>
      <c r="M137" s="210" t="s">
        <v>182</v>
      </c>
      <c r="N137" s="215">
        <v>0</v>
      </c>
      <c r="O137" s="215">
        <v>0</v>
      </c>
      <c r="P137" s="215">
        <v>0</v>
      </c>
      <c r="Q137" s="215">
        <v>0</v>
      </c>
      <c r="R137" s="215">
        <v>0</v>
      </c>
      <c r="S137" s="215">
        <v>0</v>
      </c>
      <c r="T137" s="215">
        <v>0</v>
      </c>
      <c r="U137" s="215">
        <v>0</v>
      </c>
      <c r="V137" s="215">
        <v>0</v>
      </c>
      <c r="W137" s="216">
        <v>0</v>
      </c>
      <c r="X137" s="215">
        <v>0</v>
      </c>
      <c r="Y137" s="215">
        <v>0</v>
      </c>
      <c r="Z137" s="216">
        <v>0</v>
      </c>
      <c r="AA137" s="215">
        <v>0</v>
      </c>
      <c r="AB137" s="215">
        <v>0</v>
      </c>
      <c r="AC137" s="216">
        <v>0</v>
      </c>
    </row>
    <row r="138" spans="1:29" ht="24.95" customHeight="1">
      <c r="A138" s="32" t="s">
        <v>465</v>
      </c>
      <c r="B138" s="217" t="s">
        <v>466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181</v>
      </c>
      <c r="I138" s="219" t="s">
        <v>54</v>
      </c>
      <c r="J138" s="219"/>
      <c r="K138" s="220" t="s">
        <v>144</v>
      </c>
      <c r="L138" s="221" t="s">
        <v>29</v>
      </c>
      <c r="M138" s="259" t="s">
        <v>178</v>
      </c>
      <c r="N138" s="222"/>
      <c r="O138" s="222"/>
      <c r="P138" s="222"/>
      <c r="Q138" s="222"/>
      <c r="R138" s="222"/>
      <c r="S138" s="222"/>
      <c r="T138" s="222">
        <v>0</v>
      </c>
      <c r="U138" s="222"/>
      <c r="V138" s="222">
        <v>0</v>
      </c>
      <c r="W138" s="224">
        <v>0</v>
      </c>
      <c r="X138" s="222"/>
      <c r="Y138" s="222">
        <v>0</v>
      </c>
      <c r="Z138" s="224">
        <v>0</v>
      </c>
      <c r="AA138" s="222"/>
      <c r="AB138" s="222">
        <v>0</v>
      </c>
      <c r="AC138" s="224">
        <v>0</v>
      </c>
    </row>
    <row r="139" spans="1:29" ht="31.5" customHeight="1">
      <c r="A139" s="32" t="s">
        <v>467</v>
      </c>
      <c r="B139" s="210" t="s">
        <v>468</v>
      </c>
      <c r="C139" s="211" t="s">
        <v>167</v>
      </c>
      <c r="D139" s="212" t="s">
        <v>171</v>
      </c>
      <c r="E139" s="212" t="s">
        <v>172</v>
      </c>
      <c r="F139" s="212" t="s">
        <v>173</v>
      </c>
      <c r="G139" s="212" t="s">
        <v>175</v>
      </c>
      <c r="H139" s="212" t="s">
        <v>183</v>
      </c>
      <c r="I139" s="212"/>
      <c r="J139" s="212"/>
      <c r="K139" s="213" t="s">
        <v>144</v>
      </c>
      <c r="L139" s="214" t="s">
        <v>29</v>
      </c>
      <c r="M139" s="210" t="s">
        <v>184</v>
      </c>
      <c r="N139" s="215">
        <v>0</v>
      </c>
      <c r="O139" s="215">
        <v>0</v>
      </c>
      <c r="P139" s="215">
        <v>0</v>
      </c>
      <c r="Q139" s="215">
        <v>0</v>
      </c>
      <c r="R139" s="215">
        <v>0</v>
      </c>
      <c r="S139" s="215">
        <v>0</v>
      </c>
      <c r="T139" s="215">
        <v>0</v>
      </c>
      <c r="U139" s="215">
        <v>0</v>
      </c>
      <c r="V139" s="215">
        <v>0</v>
      </c>
      <c r="W139" s="216">
        <v>0</v>
      </c>
      <c r="X139" s="215">
        <v>0</v>
      </c>
      <c r="Y139" s="215">
        <v>0</v>
      </c>
      <c r="Z139" s="216">
        <v>0</v>
      </c>
      <c r="AA139" s="215">
        <v>0</v>
      </c>
      <c r="AB139" s="215">
        <v>0</v>
      </c>
      <c r="AC139" s="216">
        <v>0</v>
      </c>
    </row>
    <row r="140" spans="1:29" ht="24.95" customHeight="1">
      <c r="A140" s="32" t="s">
        <v>469</v>
      </c>
      <c r="B140" s="217" t="s">
        <v>470</v>
      </c>
      <c r="C140" s="218" t="s">
        <v>167</v>
      </c>
      <c r="D140" s="219" t="s">
        <v>171</v>
      </c>
      <c r="E140" s="219" t="s">
        <v>172</v>
      </c>
      <c r="F140" s="219" t="s">
        <v>173</v>
      </c>
      <c r="G140" s="219" t="s">
        <v>175</v>
      </c>
      <c r="H140" s="219" t="s">
        <v>183</v>
      </c>
      <c r="I140" s="219" t="s">
        <v>54</v>
      </c>
      <c r="J140" s="219"/>
      <c r="K140" s="220" t="s">
        <v>144</v>
      </c>
      <c r="L140" s="221" t="s">
        <v>29</v>
      </c>
      <c r="M140" s="259" t="s">
        <v>178</v>
      </c>
      <c r="N140" s="222">
        <v>0</v>
      </c>
      <c r="O140" s="222"/>
      <c r="P140" s="222"/>
      <c r="Q140" s="222"/>
      <c r="R140" s="222"/>
      <c r="S140" s="222"/>
      <c r="T140" s="222">
        <v>0</v>
      </c>
      <c r="U140" s="222">
        <v>0</v>
      </c>
      <c r="V140" s="222">
        <v>0</v>
      </c>
      <c r="W140" s="224">
        <v>0</v>
      </c>
      <c r="X140" s="222">
        <v>0</v>
      </c>
      <c r="Y140" s="222">
        <v>0</v>
      </c>
      <c r="Z140" s="224">
        <v>0</v>
      </c>
      <c r="AA140" s="222">
        <v>0</v>
      </c>
      <c r="AB140" s="222">
        <v>0</v>
      </c>
      <c r="AC140" s="224">
        <v>0</v>
      </c>
    </row>
    <row r="141" spans="1:29" ht="24.95" customHeight="1">
      <c r="A141" s="32" t="s">
        <v>471</v>
      </c>
      <c r="B141" s="210" t="s">
        <v>472</v>
      </c>
      <c r="C141" s="211" t="s">
        <v>167</v>
      </c>
      <c r="D141" s="212" t="s">
        <v>171</v>
      </c>
      <c r="E141" s="212" t="s">
        <v>172</v>
      </c>
      <c r="F141" s="212" t="s">
        <v>173</v>
      </c>
      <c r="G141" s="212" t="s">
        <v>175</v>
      </c>
      <c r="H141" s="212" t="s">
        <v>185</v>
      </c>
      <c r="I141" s="212"/>
      <c r="J141" s="212"/>
      <c r="K141" s="213" t="s">
        <v>144</v>
      </c>
      <c r="L141" s="214" t="s">
        <v>29</v>
      </c>
      <c r="M141" s="210" t="s">
        <v>186</v>
      </c>
      <c r="N141" s="215">
        <v>8943875639</v>
      </c>
      <c r="O141" s="215">
        <v>0</v>
      </c>
      <c r="P141" s="215">
        <v>0</v>
      </c>
      <c r="Q141" s="215">
        <v>0</v>
      </c>
      <c r="R141" s="215">
        <v>0</v>
      </c>
      <c r="S141" s="215">
        <v>0</v>
      </c>
      <c r="T141" s="215">
        <v>8943875639</v>
      </c>
      <c r="U141" s="215">
        <v>8943875639</v>
      </c>
      <c r="V141" s="215">
        <v>0</v>
      </c>
      <c r="W141" s="216">
        <v>1</v>
      </c>
      <c r="X141" s="215">
        <v>2680772211</v>
      </c>
      <c r="Y141" s="215">
        <v>6263103428</v>
      </c>
      <c r="Z141" s="216">
        <v>0.70026727570870684</v>
      </c>
      <c r="AA141" s="215">
        <v>1383332014</v>
      </c>
      <c r="AB141" s="215">
        <v>1297440197</v>
      </c>
      <c r="AC141" s="216">
        <v>0.15466807342087194</v>
      </c>
    </row>
    <row r="142" spans="1:29" ht="24.95" customHeight="1">
      <c r="A142" s="32" t="s">
        <v>473</v>
      </c>
      <c r="B142" s="217" t="s">
        <v>474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185</v>
      </c>
      <c r="I142" s="219" t="s">
        <v>54</v>
      </c>
      <c r="J142" s="219"/>
      <c r="K142" s="220" t="s">
        <v>144</v>
      </c>
      <c r="L142" s="221" t="s">
        <v>29</v>
      </c>
      <c r="M142" s="259" t="s">
        <v>178</v>
      </c>
      <c r="N142" s="222">
        <v>8943875639</v>
      </c>
      <c r="O142" s="222"/>
      <c r="P142" s="222"/>
      <c r="Q142" s="222"/>
      <c r="R142" s="222"/>
      <c r="S142" s="222"/>
      <c r="T142" s="222">
        <v>8943875639</v>
      </c>
      <c r="U142" s="222">
        <v>8943875639</v>
      </c>
      <c r="V142" s="222">
        <v>0</v>
      </c>
      <c r="W142" s="224">
        <v>1</v>
      </c>
      <c r="X142" s="222">
        <v>2680772211</v>
      </c>
      <c r="Y142" s="222">
        <v>6263103428</v>
      </c>
      <c r="Z142" s="224">
        <v>0.70026727570870684</v>
      </c>
      <c r="AA142" s="222">
        <v>1383332014</v>
      </c>
      <c r="AB142" s="222">
        <v>1297440197</v>
      </c>
      <c r="AC142" s="224">
        <v>0.15466807342087194</v>
      </c>
    </row>
    <row r="143" spans="1:29" ht="31.5" customHeight="1">
      <c r="A143" s="32" t="s">
        <v>475</v>
      </c>
      <c r="B143" s="210" t="s">
        <v>476</v>
      </c>
      <c r="C143" s="211" t="s">
        <v>167</v>
      </c>
      <c r="D143" s="212" t="s">
        <v>171</v>
      </c>
      <c r="E143" s="212" t="s">
        <v>172</v>
      </c>
      <c r="F143" s="212" t="s">
        <v>173</v>
      </c>
      <c r="G143" s="212" t="s">
        <v>175</v>
      </c>
      <c r="H143" s="212" t="s">
        <v>187</v>
      </c>
      <c r="I143" s="212"/>
      <c r="J143" s="212"/>
      <c r="K143" s="213" t="s">
        <v>144</v>
      </c>
      <c r="L143" s="214" t="s">
        <v>29</v>
      </c>
      <c r="M143" s="210" t="s">
        <v>188</v>
      </c>
      <c r="N143" s="215">
        <v>0</v>
      </c>
      <c r="O143" s="215">
        <v>0</v>
      </c>
      <c r="P143" s="215">
        <v>0</v>
      </c>
      <c r="Q143" s="215">
        <v>0</v>
      </c>
      <c r="R143" s="215">
        <v>0</v>
      </c>
      <c r="S143" s="215">
        <v>0</v>
      </c>
      <c r="T143" s="215">
        <v>0</v>
      </c>
      <c r="U143" s="215">
        <v>0</v>
      </c>
      <c r="V143" s="215">
        <v>0</v>
      </c>
      <c r="W143" s="216">
        <v>0</v>
      </c>
      <c r="X143" s="215">
        <v>0</v>
      </c>
      <c r="Y143" s="215">
        <v>0</v>
      </c>
      <c r="Z143" s="216">
        <v>0</v>
      </c>
      <c r="AA143" s="215">
        <v>0</v>
      </c>
      <c r="AB143" s="215">
        <v>0</v>
      </c>
      <c r="AC143" s="216">
        <v>0</v>
      </c>
    </row>
    <row r="144" spans="1:29" ht="24.95" customHeight="1">
      <c r="A144" s="32" t="s">
        <v>477</v>
      </c>
      <c r="B144" s="217" t="s">
        <v>478</v>
      </c>
      <c r="C144" s="218" t="s">
        <v>167</v>
      </c>
      <c r="D144" s="219" t="s">
        <v>171</v>
      </c>
      <c r="E144" s="219" t="s">
        <v>172</v>
      </c>
      <c r="F144" s="219" t="s">
        <v>173</v>
      </c>
      <c r="G144" s="219" t="s">
        <v>175</v>
      </c>
      <c r="H144" s="219" t="s">
        <v>187</v>
      </c>
      <c r="I144" s="219" t="s">
        <v>54</v>
      </c>
      <c r="J144" s="219"/>
      <c r="K144" s="220" t="s">
        <v>144</v>
      </c>
      <c r="L144" s="221" t="s">
        <v>29</v>
      </c>
      <c r="M144" s="259" t="s">
        <v>178</v>
      </c>
      <c r="N144" s="222">
        <v>0</v>
      </c>
      <c r="O144" s="222"/>
      <c r="P144" s="222"/>
      <c r="Q144" s="222"/>
      <c r="R144" s="222"/>
      <c r="S144" s="222"/>
      <c r="T144" s="222">
        <v>0</v>
      </c>
      <c r="U144" s="222">
        <v>0</v>
      </c>
      <c r="V144" s="222">
        <v>0</v>
      </c>
      <c r="W144" s="224">
        <v>0</v>
      </c>
      <c r="X144" s="222">
        <v>0</v>
      </c>
      <c r="Y144" s="222">
        <v>0</v>
      </c>
      <c r="Z144" s="224">
        <v>0</v>
      </c>
      <c r="AA144" s="222">
        <v>0</v>
      </c>
      <c r="AB144" s="222">
        <v>0</v>
      </c>
      <c r="AC144" s="224">
        <v>0</v>
      </c>
    </row>
    <row r="145" spans="1:52" ht="24.95" customHeight="1">
      <c r="A145" s="32" t="s">
        <v>479</v>
      </c>
      <c r="B145" s="217" t="s">
        <v>480</v>
      </c>
      <c r="C145" s="218" t="s">
        <v>167</v>
      </c>
      <c r="D145" s="219" t="s">
        <v>171</v>
      </c>
      <c r="E145" s="219" t="s">
        <v>172</v>
      </c>
      <c r="F145" s="219" t="s">
        <v>173</v>
      </c>
      <c r="G145" s="219" t="s">
        <v>175</v>
      </c>
      <c r="H145" s="219" t="s">
        <v>187</v>
      </c>
      <c r="I145" s="225" t="s">
        <v>65</v>
      </c>
      <c r="J145" s="219"/>
      <c r="K145" s="220" t="s">
        <v>144</v>
      </c>
      <c r="L145" s="221" t="s">
        <v>29</v>
      </c>
      <c r="M145" s="259" t="s">
        <v>127</v>
      </c>
      <c r="N145" s="222">
        <v>0</v>
      </c>
      <c r="O145" s="222"/>
      <c r="P145" s="222"/>
      <c r="Q145" s="222"/>
      <c r="R145" s="222"/>
      <c r="S145" s="222"/>
      <c r="T145" s="222">
        <v>0</v>
      </c>
      <c r="U145" s="222">
        <v>0</v>
      </c>
      <c r="V145" s="222">
        <v>0</v>
      </c>
      <c r="W145" s="224">
        <v>0</v>
      </c>
      <c r="X145" s="222">
        <v>0</v>
      </c>
      <c r="Y145" s="222">
        <v>0</v>
      </c>
      <c r="Z145" s="224">
        <v>0</v>
      </c>
      <c r="AA145" s="222">
        <v>0</v>
      </c>
      <c r="AB145" s="222">
        <v>0</v>
      </c>
      <c r="AC145" s="224">
        <v>0</v>
      </c>
    </row>
    <row r="146" spans="1:52" ht="35.1" customHeight="1">
      <c r="A146" s="32" t="s">
        <v>481</v>
      </c>
      <c r="B146" s="188" t="s">
        <v>482</v>
      </c>
      <c r="C146" s="189" t="s">
        <v>167</v>
      </c>
      <c r="D146" s="191">
        <v>4103</v>
      </c>
      <c r="E146" s="191"/>
      <c r="F146" s="191"/>
      <c r="G146" s="191"/>
      <c r="H146" s="191"/>
      <c r="I146" s="191"/>
      <c r="J146" s="191"/>
      <c r="K146" s="192"/>
      <c r="L146" s="193"/>
      <c r="M146" s="188" t="s">
        <v>189</v>
      </c>
      <c r="N146" s="194">
        <v>6217033510554</v>
      </c>
      <c r="O146" s="194">
        <v>0</v>
      </c>
      <c r="P146" s="194">
        <v>0</v>
      </c>
      <c r="Q146" s="194">
        <v>37287647920.089996</v>
      </c>
      <c r="R146" s="194">
        <v>37287647920.089996</v>
      </c>
      <c r="S146" s="194">
        <v>526000000000</v>
      </c>
      <c r="T146" s="194">
        <v>5691033510554</v>
      </c>
      <c r="U146" s="194">
        <v>717398462263.40991</v>
      </c>
      <c r="V146" s="194">
        <v>4973635048290.5898</v>
      </c>
      <c r="W146" s="195">
        <v>0.12605767668262666</v>
      </c>
      <c r="X146" s="194">
        <v>365263204196.52002</v>
      </c>
      <c r="Y146" s="194">
        <v>352135258066.89008</v>
      </c>
      <c r="Z146" s="195">
        <v>0.49085031065705748</v>
      </c>
      <c r="AA146" s="194">
        <v>363962213144.04999</v>
      </c>
      <c r="AB146" s="194">
        <v>1300991052.47</v>
      </c>
      <c r="AC146" s="195">
        <v>0.50733620475814822</v>
      </c>
    </row>
    <row r="147" spans="1:52" ht="24.95" customHeight="1">
      <c r="A147" s="32" t="s">
        <v>483</v>
      </c>
      <c r="B147" s="196" t="s">
        <v>296</v>
      </c>
      <c r="C147" s="197" t="s">
        <v>167</v>
      </c>
      <c r="D147" s="198">
        <v>4103</v>
      </c>
      <c r="E147" s="198">
        <v>1500</v>
      </c>
      <c r="F147" s="198"/>
      <c r="G147" s="198"/>
      <c r="H147" s="198"/>
      <c r="I147" s="198"/>
      <c r="J147" s="198"/>
      <c r="K147" s="199"/>
      <c r="L147" s="200"/>
      <c r="M147" s="196" t="s">
        <v>170</v>
      </c>
      <c r="N147" s="201">
        <v>6217033510554</v>
      </c>
      <c r="O147" s="201">
        <v>0</v>
      </c>
      <c r="P147" s="201">
        <v>0</v>
      </c>
      <c r="Q147" s="201">
        <v>37287647920.089996</v>
      </c>
      <c r="R147" s="201">
        <v>37287647920.089996</v>
      </c>
      <c r="S147" s="201">
        <v>526000000000</v>
      </c>
      <c r="T147" s="201">
        <v>5691033510554</v>
      </c>
      <c r="U147" s="201">
        <v>717398462263.40991</v>
      </c>
      <c r="V147" s="201">
        <v>4973635048290.5898</v>
      </c>
      <c r="W147" s="202">
        <v>0.12605767668262666</v>
      </c>
      <c r="X147" s="201">
        <v>365263204196.52002</v>
      </c>
      <c r="Y147" s="201">
        <v>352135258066.89008</v>
      </c>
      <c r="Z147" s="202">
        <v>0.49085031065705748</v>
      </c>
      <c r="AA147" s="201">
        <v>363962213144.04999</v>
      </c>
      <c r="AB147" s="201">
        <v>1300991052.47</v>
      </c>
      <c r="AC147" s="202">
        <v>0.50733620475814822</v>
      </c>
    </row>
    <row r="148" spans="1:52" ht="37.5" customHeight="1">
      <c r="A148" s="32" t="s">
        <v>484</v>
      </c>
      <c r="B148" s="203" t="s">
        <v>297</v>
      </c>
      <c r="C148" s="227" t="s">
        <v>167</v>
      </c>
      <c r="D148" s="228" t="s">
        <v>190</v>
      </c>
      <c r="E148" s="228" t="s">
        <v>172</v>
      </c>
      <c r="F148" s="228" t="s">
        <v>191</v>
      </c>
      <c r="G148" s="228"/>
      <c r="H148" s="228"/>
      <c r="I148" s="228"/>
      <c r="J148" s="228"/>
      <c r="K148" s="229"/>
      <c r="L148" s="230"/>
      <c r="M148" s="231" t="s">
        <v>280</v>
      </c>
      <c r="N148" s="232">
        <v>2404147573733</v>
      </c>
      <c r="O148" s="232">
        <v>0</v>
      </c>
      <c r="P148" s="232">
        <v>0</v>
      </c>
      <c r="Q148" s="232">
        <v>4791897104.0900002</v>
      </c>
      <c r="R148" s="232">
        <v>4791897104.0900002</v>
      </c>
      <c r="S148" s="232">
        <v>0</v>
      </c>
      <c r="T148" s="232">
        <v>2404147573733</v>
      </c>
      <c r="U148" s="232">
        <v>49779285517.120003</v>
      </c>
      <c r="V148" s="232">
        <v>2354368288215.8804</v>
      </c>
      <c r="W148" s="233">
        <v>2.0705586487698859E-2</v>
      </c>
      <c r="X148" s="232">
        <v>5167145992.75</v>
      </c>
      <c r="Y148" s="232">
        <v>44612139524.370003</v>
      </c>
      <c r="Z148" s="233">
        <v>0.89619887189877556</v>
      </c>
      <c r="AA148" s="232">
        <v>5167145992.75</v>
      </c>
      <c r="AB148" s="232">
        <v>0</v>
      </c>
      <c r="AC148" s="233">
        <v>0.10380112810122444</v>
      </c>
    </row>
    <row r="149" spans="1:52" ht="31.5" customHeight="1">
      <c r="A149" s="32" t="s">
        <v>485</v>
      </c>
      <c r="B149" s="210" t="s">
        <v>486</v>
      </c>
      <c r="C149" s="211" t="s">
        <v>167</v>
      </c>
      <c r="D149" s="212" t="s">
        <v>190</v>
      </c>
      <c r="E149" s="212" t="s">
        <v>172</v>
      </c>
      <c r="F149" s="212" t="s">
        <v>191</v>
      </c>
      <c r="G149" s="212" t="s">
        <v>175</v>
      </c>
      <c r="H149" s="212" t="s">
        <v>193</v>
      </c>
      <c r="I149" s="212"/>
      <c r="J149" s="212"/>
      <c r="K149" s="213"/>
      <c r="L149" s="214"/>
      <c r="M149" s="210" t="s">
        <v>194</v>
      </c>
      <c r="N149" s="215">
        <v>2398883573733</v>
      </c>
      <c r="O149" s="215">
        <v>0</v>
      </c>
      <c r="P149" s="215">
        <v>0</v>
      </c>
      <c r="Q149" s="215">
        <v>4791897104.0900002</v>
      </c>
      <c r="R149" s="215">
        <v>4791897104.0900002</v>
      </c>
      <c r="S149" s="215">
        <v>0</v>
      </c>
      <c r="T149" s="215">
        <v>2398883573733</v>
      </c>
      <c r="U149" s="215">
        <v>49779285517.120003</v>
      </c>
      <c r="V149" s="215">
        <v>2349104288215.8804</v>
      </c>
      <c r="W149" s="216">
        <v>2.075102187625406E-2</v>
      </c>
      <c r="X149" s="215">
        <v>5167145992.75</v>
      </c>
      <c r="Y149" s="215">
        <v>44612139524.370003</v>
      </c>
      <c r="Z149" s="216">
        <v>0.89619887189877556</v>
      </c>
      <c r="AA149" s="215">
        <v>5167145992.75</v>
      </c>
      <c r="AB149" s="215">
        <v>0</v>
      </c>
      <c r="AC149" s="216">
        <v>0.10380112810122444</v>
      </c>
    </row>
    <row r="150" spans="1:52" s="64" customFormat="1" ht="24.95" customHeight="1">
      <c r="A150" s="32" t="s">
        <v>487</v>
      </c>
      <c r="B150" s="217" t="s">
        <v>488</v>
      </c>
      <c r="C150" s="266" t="s">
        <v>167</v>
      </c>
      <c r="D150" s="267" t="s">
        <v>190</v>
      </c>
      <c r="E150" s="267" t="s">
        <v>172</v>
      </c>
      <c r="F150" s="267" t="s">
        <v>191</v>
      </c>
      <c r="G150" s="267" t="s">
        <v>175</v>
      </c>
      <c r="H150" s="267" t="s">
        <v>193</v>
      </c>
      <c r="I150" s="267" t="s">
        <v>54</v>
      </c>
      <c r="J150" s="219"/>
      <c r="K150" s="220">
        <v>10</v>
      </c>
      <c r="L150" s="221" t="s">
        <v>29</v>
      </c>
      <c r="M150" s="259" t="s">
        <v>178</v>
      </c>
      <c r="N150" s="222">
        <v>0</v>
      </c>
      <c r="O150" s="637"/>
      <c r="P150" s="638"/>
      <c r="Q150" s="223"/>
      <c r="R150" s="223"/>
      <c r="S150" s="223"/>
      <c r="T150" s="222">
        <v>0</v>
      </c>
      <c r="U150" s="222">
        <v>0</v>
      </c>
      <c r="V150" s="222">
        <v>0</v>
      </c>
      <c r="W150" s="224">
        <v>0</v>
      </c>
      <c r="X150" s="222">
        <v>0</v>
      </c>
      <c r="Y150" s="222">
        <v>0</v>
      </c>
      <c r="Z150" s="224">
        <v>0</v>
      </c>
      <c r="AA150" s="222">
        <v>0</v>
      </c>
      <c r="AB150" s="222">
        <v>0</v>
      </c>
      <c r="AC150" s="224">
        <v>0</v>
      </c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</row>
    <row r="151" spans="1:52" s="64" customFormat="1" ht="24.95" customHeight="1">
      <c r="A151" s="32" t="s">
        <v>489</v>
      </c>
      <c r="B151" s="217" t="s">
        <v>488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 t="s">
        <v>193</v>
      </c>
      <c r="I151" s="267" t="s">
        <v>54</v>
      </c>
      <c r="J151" s="219"/>
      <c r="K151" s="220">
        <v>11</v>
      </c>
      <c r="L151" s="221" t="s">
        <v>29</v>
      </c>
      <c r="M151" s="259" t="s">
        <v>178</v>
      </c>
      <c r="N151" s="223">
        <v>137428156966</v>
      </c>
      <c r="O151" s="637"/>
      <c r="P151" s="638"/>
      <c r="Q151" s="222">
        <v>4791897104.0900002</v>
      </c>
      <c r="R151" s="223"/>
      <c r="S151" s="223"/>
      <c r="T151" s="222">
        <v>142220054070.09</v>
      </c>
      <c r="U151" s="222">
        <v>49779098867.120003</v>
      </c>
      <c r="V151" s="222">
        <v>92440955202.970001</v>
      </c>
      <c r="W151" s="224">
        <v>0.35001462481927814</v>
      </c>
      <c r="X151" s="222">
        <v>5166959342.75</v>
      </c>
      <c r="Y151" s="222">
        <v>44612139524.370003</v>
      </c>
      <c r="Z151" s="224">
        <v>0.89620223225529561</v>
      </c>
      <c r="AA151" s="222">
        <v>5166959342.75</v>
      </c>
      <c r="AB151" s="222">
        <v>0</v>
      </c>
      <c r="AC151" s="224">
        <v>0.10379776774470439</v>
      </c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</row>
    <row r="152" spans="1:52" ht="24.95" customHeight="1">
      <c r="A152" s="32" t="s">
        <v>490</v>
      </c>
      <c r="B152" s="217" t="s">
        <v>491</v>
      </c>
      <c r="C152" s="266" t="s">
        <v>167</v>
      </c>
      <c r="D152" s="267" t="s">
        <v>190</v>
      </c>
      <c r="E152" s="267" t="s">
        <v>172</v>
      </c>
      <c r="F152" s="267" t="s">
        <v>191</v>
      </c>
      <c r="G152" s="267" t="s">
        <v>175</v>
      </c>
      <c r="H152" s="267" t="s">
        <v>193</v>
      </c>
      <c r="I152" s="267" t="s">
        <v>65</v>
      </c>
      <c r="J152" s="219"/>
      <c r="K152" s="220">
        <v>10</v>
      </c>
      <c r="L152" s="221" t="s">
        <v>29</v>
      </c>
      <c r="M152" s="259" t="s">
        <v>127</v>
      </c>
      <c r="N152" s="222">
        <v>0</v>
      </c>
      <c r="O152" s="637"/>
      <c r="P152" s="638"/>
      <c r="Q152" s="223"/>
      <c r="R152" s="223"/>
      <c r="S152" s="223"/>
      <c r="T152" s="222">
        <v>0</v>
      </c>
      <c r="U152" s="222">
        <v>0</v>
      </c>
      <c r="V152" s="222">
        <v>0</v>
      </c>
      <c r="W152" s="224">
        <v>0</v>
      </c>
      <c r="X152" s="222">
        <v>0</v>
      </c>
      <c r="Y152" s="222">
        <v>0</v>
      </c>
      <c r="Z152" s="224">
        <v>0</v>
      </c>
      <c r="AA152" s="222">
        <v>0</v>
      </c>
      <c r="AB152" s="222">
        <v>0</v>
      </c>
      <c r="AC152" s="224">
        <v>0</v>
      </c>
    </row>
    <row r="153" spans="1:52" ht="24.95" customHeight="1">
      <c r="A153" s="32" t="s">
        <v>492</v>
      </c>
      <c r="B153" s="217" t="s">
        <v>491</v>
      </c>
      <c r="C153" s="266" t="s">
        <v>167</v>
      </c>
      <c r="D153" s="267" t="s">
        <v>190</v>
      </c>
      <c r="E153" s="267" t="s">
        <v>172</v>
      </c>
      <c r="F153" s="267" t="s">
        <v>191</v>
      </c>
      <c r="G153" s="267" t="s">
        <v>175</v>
      </c>
      <c r="H153" s="267" t="s">
        <v>193</v>
      </c>
      <c r="I153" s="267" t="s">
        <v>65</v>
      </c>
      <c r="J153" s="267"/>
      <c r="K153" s="268" t="s">
        <v>144</v>
      </c>
      <c r="L153" s="269" t="s">
        <v>29</v>
      </c>
      <c r="M153" s="259" t="s">
        <v>127</v>
      </c>
      <c r="N153" s="223">
        <v>2261455416767</v>
      </c>
      <c r="O153" s="223"/>
      <c r="P153" s="638"/>
      <c r="Q153" s="223"/>
      <c r="R153" s="222">
        <v>4791897104.0900002</v>
      </c>
      <c r="S153" s="638"/>
      <c r="T153" s="222">
        <v>2256663519662.9102</v>
      </c>
      <c r="U153" s="222">
        <v>186650</v>
      </c>
      <c r="V153" s="222">
        <v>2256663333012.9102</v>
      </c>
      <c r="W153" s="224">
        <v>8.2710602787552882E-8</v>
      </c>
      <c r="X153" s="222">
        <v>186650</v>
      </c>
      <c r="Y153" s="222">
        <v>0</v>
      </c>
      <c r="Z153" s="224">
        <v>0</v>
      </c>
      <c r="AA153" s="222">
        <v>186650</v>
      </c>
      <c r="AB153" s="222">
        <v>0</v>
      </c>
      <c r="AC153" s="224">
        <v>1</v>
      </c>
    </row>
    <row r="154" spans="1:52" ht="33" customHeight="1">
      <c r="A154" s="32" t="s">
        <v>493</v>
      </c>
      <c r="B154" s="210" t="s">
        <v>494</v>
      </c>
      <c r="C154" s="211" t="s">
        <v>167</v>
      </c>
      <c r="D154" s="212" t="s">
        <v>190</v>
      </c>
      <c r="E154" s="212" t="s">
        <v>172</v>
      </c>
      <c r="F154" s="212" t="s">
        <v>191</v>
      </c>
      <c r="G154" s="212" t="s">
        <v>175</v>
      </c>
      <c r="H154" s="212">
        <v>4103009</v>
      </c>
      <c r="I154" s="212"/>
      <c r="J154" s="212"/>
      <c r="K154" s="252">
        <v>10</v>
      </c>
      <c r="L154" s="214" t="s">
        <v>29</v>
      </c>
      <c r="M154" s="210" t="s">
        <v>195</v>
      </c>
      <c r="N154" s="215">
        <v>5264000000</v>
      </c>
      <c r="O154" s="215">
        <v>0</v>
      </c>
      <c r="P154" s="215">
        <v>0</v>
      </c>
      <c r="Q154" s="215">
        <v>0</v>
      </c>
      <c r="R154" s="215">
        <v>0</v>
      </c>
      <c r="S154" s="215">
        <v>0</v>
      </c>
      <c r="T154" s="215">
        <v>5264000000</v>
      </c>
      <c r="U154" s="215">
        <v>0</v>
      </c>
      <c r="V154" s="215">
        <v>5264000000</v>
      </c>
      <c r="W154" s="216">
        <v>0</v>
      </c>
      <c r="X154" s="215">
        <v>0</v>
      </c>
      <c r="Y154" s="215">
        <v>0</v>
      </c>
      <c r="Z154" s="216">
        <v>0</v>
      </c>
      <c r="AA154" s="215">
        <v>0</v>
      </c>
      <c r="AB154" s="215">
        <v>0</v>
      </c>
      <c r="AC154" s="216">
        <v>0</v>
      </c>
    </row>
    <row r="155" spans="1:52" ht="24.95" customHeight="1">
      <c r="A155" s="32" t="s">
        <v>495</v>
      </c>
      <c r="B155" s="217" t="s">
        <v>496</v>
      </c>
      <c r="C155" s="266" t="s">
        <v>167</v>
      </c>
      <c r="D155" s="267" t="s">
        <v>190</v>
      </c>
      <c r="E155" s="267" t="s">
        <v>172</v>
      </c>
      <c r="F155" s="267" t="s">
        <v>191</v>
      </c>
      <c r="G155" s="267" t="s">
        <v>175</v>
      </c>
      <c r="H155" s="267">
        <v>4103009</v>
      </c>
      <c r="I155" s="267" t="s">
        <v>54</v>
      </c>
      <c r="J155" s="219"/>
      <c r="K155" s="270">
        <v>10</v>
      </c>
      <c r="L155" s="221" t="s">
        <v>29</v>
      </c>
      <c r="M155" s="259" t="s">
        <v>178</v>
      </c>
      <c r="N155" s="222">
        <v>0</v>
      </c>
      <c r="O155" s="222"/>
      <c r="P155" s="636"/>
      <c r="Q155" s="222"/>
      <c r="R155" s="223"/>
      <c r="S155" s="222"/>
      <c r="T155" s="222">
        <v>0</v>
      </c>
      <c r="U155" s="222">
        <v>0</v>
      </c>
      <c r="V155" s="222">
        <v>0</v>
      </c>
      <c r="W155" s="224">
        <v>0</v>
      </c>
      <c r="X155" s="222">
        <v>0</v>
      </c>
      <c r="Y155" s="222">
        <v>0</v>
      </c>
      <c r="Z155" s="224">
        <v>0</v>
      </c>
      <c r="AA155" s="222">
        <v>0</v>
      </c>
      <c r="AB155" s="222">
        <v>0</v>
      </c>
      <c r="AC155" s="224">
        <v>0</v>
      </c>
    </row>
    <row r="156" spans="1:52" ht="24.95" customHeight="1">
      <c r="A156" s="32" t="s">
        <v>781</v>
      </c>
      <c r="B156" s="217" t="s">
        <v>496</v>
      </c>
      <c r="C156" s="266" t="s">
        <v>167</v>
      </c>
      <c r="D156" s="267" t="s">
        <v>190</v>
      </c>
      <c r="E156" s="267" t="s">
        <v>172</v>
      </c>
      <c r="F156" s="267" t="s">
        <v>191</v>
      </c>
      <c r="G156" s="267" t="s">
        <v>175</v>
      </c>
      <c r="H156" s="267">
        <v>4103009</v>
      </c>
      <c r="I156" s="267" t="s">
        <v>54</v>
      </c>
      <c r="J156" s="219"/>
      <c r="K156" s="270">
        <v>11</v>
      </c>
      <c r="L156" s="221" t="s">
        <v>29</v>
      </c>
      <c r="M156" s="259" t="s">
        <v>178</v>
      </c>
      <c r="N156" s="222">
        <v>5264000000</v>
      </c>
      <c r="O156" s="222"/>
      <c r="P156" s="636"/>
      <c r="Q156" s="222"/>
      <c r="R156" s="223"/>
      <c r="S156" s="222"/>
      <c r="T156" s="222">
        <v>5264000000</v>
      </c>
      <c r="U156" s="222">
        <v>0</v>
      </c>
      <c r="V156" s="222">
        <v>5264000000</v>
      </c>
      <c r="W156" s="224">
        <v>0</v>
      </c>
      <c r="X156" s="222">
        <v>0</v>
      </c>
      <c r="Y156" s="222">
        <v>0</v>
      </c>
      <c r="Z156" s="224">
        <v>0</v>
      </c>
      <c r="AA156" s="222">
        <v>0</v>
      </c>
      <c r="AB156" s="222">
        <v>0</v>
      </c>
      <c r="AC156" s="224">
        <v>0</v>
      </c>
    </row>
    <row r="157" spans="1:52" s="64" customFormat="1" ht="36" customHeight="1">
      <c r="A157" s="32" t="s">
        <v>499</v>
      </c>
      <c r="B157" s="226" t="s">
        <v>298</v>
      </c>
      <c r="C157" s="227" t="s">
        <v>167</v>
      </c>
      <c r="D157" s="228" t="s">
        <v>190</v>
      </c>
      <c r="E157" s="228" t="s">
        <v>172</v>
      </c>
      <c r="F157" s="228" t="s">
        <v>22</v>
      </c>
      <c r="G157" s="228"/>
      <c r="H157" s="228"/>
      <c r="I157" s="228"/>
      <c r="J157" s="228"/>
      <c r="K157" s="229"/>
      <c r="L157" s="230"/>
      <c r="M157" s="231" t="s">
        <v>264</v>
      </c>
      <c r="N157" s="232">
        <v>26000000000</v>
      </c>
      <c r="O157" s="232">
        <v>0</v>
      </c>
      <c r="P157" s="232">
        <v>0</v>
      </c>
      <c r="Q157" s="232">
        <v>0</v>
      </c>
      <c r="R157" s="232">
        <v>0</v>
      </c>
      <c r="S157" s="232">
        <v>0</v>
      </c>
      <c r="T157" s="232">
        <v>26000000000</v>
      </c>
      <c r="U157" s="232">
        <v>1658536635</v>
      </c>
      <c r="V157" s="232">
        <v>24341463365</v>
      </c>
      <c r="W157" s="233">
        <v>6.3789870576923077E-2</v>
      </c>
      <c r="X157" s="232">
        <v>130589927</v>
      </c>
      <c r="Y157" s="232">
        <v>1527946708</v>
      </c>
      <c r="Z157" s="233">
        <v>0.9212619581357635</v>
      </c>
      <c r="AA157" s="232">
        <v>70134280</v>
      </c>
      <c r="AB157" s="232">
        <v>60455647</v>
      </c>
      <c r="AC157" s="233">
        <v>4.2286844028621651E-2</v>
      </c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</row>
    <row r="158" spans="1:52" ht="32.25" customHeight="1">
      <c r="A158" s="32" t="s">
        <v>642</v>
      </c>
      <c r="B158" s="210" t="s">
        <v>500</v>
      </c>
      <c r="C158" s="211" t="s">
        <v>167</v>
      </c>
      <c r="D158" s="212" t="s">
        <v>190</v>
      </c>
      <c r="E158" s="212" t="s">
        <v>172</v>
      </c>
      <c r="F158" s="212" t="s">
        <v>22</v>
      </c>
      <c r="G158" s="212" t="s">
        <v>175</v>
      </c>
      <c r="H158" s="212" t="s">
        <v>197</v>
      </c>
      <c r="I158" s="212"/>
      <c r="J158" s="212"/>
      <c r="K158" s="213">
        <v>11</v>
      </c>
      <c r="L158" s="214" t="s">
        <v>29</v>
      </c>
      <c r="M158" s="210" t="s">
        <v>198</v>
      </c>
      <c r="N158" s="215">
        <v>2722234333</v>
      </c>
      <c r="O158" s="215">
        <v>0</v>
      </c>
      <c r="P158" s="215">
        <v>0</v>
      </c>
      <c r="Q158" s="215">
        <v>0</v>
      </c>
      <c r="R158" s="215">
        <v>0</v>
      </c>
      <c r="S158" s="215">
        <v>0</v>
      </c>
      <c r="T158" s="215">
        <v>2722234333</v>
      </c>
      <c r="U158" s="215">
        <v>0</v>
      </c>
      <c r="V158" s="215">
        <v>2722234333</v>
      </c>
      <c r="W158" s="216">
        <v>0</v>
      </c>
      <c r="X158" s="215">
        <v>0</v>
      </c>
      <c r="Y158" s="215">
        <v>0</v>
      </c>
      <c r="Z158" s="216">
        <v>0</v>
      </c>
      <c r="AA158" s="215">
        <v>0</v>
      </c>
      <c r="AB158" s="215">
        <v>0</v>
      </c>
      <c r="AC158" s="216">
        <v>0</v>
      </c>
    </row>
    <row r="159" spans="1:52" ht="24.95" customHeight="1">
      <c r="A159" s="32" t="s">
        <v>643</v>
      </c>
      <c r="B159" s="217" t="s">
        <v>501</v>
      </c>
      <c r="C159" s="218" t="s">
        <v>167</v>
      </c>
      <c r="D159" s="219" t="s">
        <v>190</v>
      </c>
      <c r="E159" s="219" t="s">
        <v>172</v>
      </c>
      <c r="F159" s="219" t="s">
        <v>22</v>
      </c>
      <c r="G159" s="219" t="s">
        <v>175</v>
      </c>
      <c r="H159" s="219" t="s">
        <v>197</v>
      </c>
      <c r="I159" s="219" t="s">
        <v>54</v>
      </c>
      <c r="J159" s="219"/>
      <c r="K159" s="220">
        <v>11</v>
      </c>
      <c r="L159" s="221" t="s">
        <v>29</v>
      </c>
      <c r="M159" s="259" t="s">
        <v>178</v>
      </c>
      <c r="N159" s="222">
        <v>2722234333</v>
      </c>
      <c r="O159" s="222"/>
      <c r="P159" s="222"/>
      <c r="Q159" s="222"/>
      <c r="R159" s="222"/>
      <c r="S159" s="222"/>
      <c r="T159" s="222">
        <v>2722234333</v>
      </c>
      <c r="U159" s="222">
        <v>0</v>
      </c>
      <c r="V159" s="222">
        <v>2722234333</v>
      </c>
      <c r="W159" s="224">
        <v>0</v>
      </c>
      <c r="X159" s="222">
        <v>0</v>
      </c>
      <c r="Y159" s="222">
        <v>0</v>
      </c>
      <c r="Z159" s="224">
        <v>0</v>
      </c>
      <c r="AA159" s="222">
        <v>0</v>
      </c>
      <c r="AB159" s="222">
        <v>0</v>
      </c>
      <c r="AC159" s="224">
        <v>0</v>
      </c>
    </row>
    <row r="160" spans="1:52" ht="32.25" customHeight="1">
      <c r="A160" s="32" t="s">
        <v>644</v>
      </c>
      <c r="B160" s="210" t="s">
        <v>502</v>
      </c>
      <c r="C160" s="211" t="s">
        <v>167</v>
      </c>
      <c r="D160" s="212" t="s">
        <v>190</v>
      </c>
      <c r="E160" s="212" t="s">
        <v>172</v>
      </c>
      <c r="F160" s="212" t="s">
        <v>22</v>
      </c>
      <c r="G160" s="212" t="s">
        <v>175</v>
      </c>
      <c r="H160" s="212" t="s">
        <v>199</v>
      </c>
      <c r="I160" s="212"/>
      <c r="J160" s="212"/>
      <c r="K160" s="213">
        <v>11</v>
      </c>
      <c r="L160" s="214" t="s">
        <v>29</v>
      </c>
      <c r="M160" s="210" t="s">
        <v>200</v>
      </c>
      <c r="N160" s="215">
        <v>2304259288</v>
      </c>
      <c r="O160" s="215">
        <v>0</v>
      </c>
      <c r="P160" s="215">
        <v>0</v>
      </c>
      <c r="Q160" s="215">
        <v>0</v>
      </c>
      <c r="R160" s="215">
        <v>0</v>
      </c>
      <c r="S160" s="215">
        <v>0</v>
      </c>
      <c r="T160" s="215">
        <v>2304259288</v>
      </c>
      <c r="U160" s="215">
        <v>0</v>
      </c>
      <c r="V160" s="215">
        <v>2304259288</v>
      </c>
      <c r="W160" s="216">
        <v>0</v>
      </c>
      <c r="X160" s="215">
        <v>0</v>
      </c>
      <c r="Y160" s="215">
        <v>0</v>
      </c>
      <c r="Z160" s="216">
        <v>0</v>
      </c>
      <c r="AA160" s="215">
        <v>0</v>
      </c>
      <c r="AB160" s="215">
        <v>0</v>
      </c>
      <c r="AC160" s="216">
        <v>0</v>
      </c>
    </row>
    <row r="161" spans="1:52" ht="24.95" customHeight="1">
      <c r="A161" s="32" t="s">
        <v>645</v>
      </c>
      <c r="B161" s="217" t="s">
        <v>503</v>
      </c>
      <c r="C161" s="218" t="s">
        <v>167</v>
      </c>
      <c r="D161" s="219" t="s">
        <v>190</v>
      </c>
      <c r="E161" s="219" t="s">
        <v>172</v>
      </c>
      <c r="F161" s="219" t="s">
        <v>22</v>
      </c>
      <c r="G161" s="219" t="s">
        <v>175</v>
      </c>
      <c r="H161" s="219" t="s">
        <v>199</v>
      </c>
      <c r="I161" s="219" t="s">
        <v>54</v>
      </c>
      <c r="J161" s="219"/>
      <c r="K161" s="220">
        <v>11</v>
      </c>
      <c r="L161" s="221" t="s">
        <v>29</v>
      </c>
      <c r="M161" s="259" t="s">
        <v>178</v>
      </c>
      <c r="N161" s="222">
        <v>2304259288</v>
      </c>
      <c r="O161" s="222"/>
      <c r="P161" s="222"/>
      <c r="Q161" s="222"/>
      <c r="R161" s="222"/>
      <c r="S161" s="222"/>
      <c r="T161" s="222">
        <v>2304259288</v>
      </c>
      <c r="U161" s="222">
        <v>0</v>
      </c>
      <c r="V161" s="222">
        <v>2304259288</v>
      </c>
      <c r="W161" s="224">
        <v>0</v>
      </c>
      <c r="X161" s="222">
        <v>0</v>
      </c>
      <c r="Y161" s="222">
        <v>0</v>
      </c>
      <c r="Z161" s="224">
        <v>0</v>
      </c>
      <c r="AA161" s="222">
        <v>0</v>
      </c>
      <c r="AB161" s="222">
        <v>0</v>
      </c>
      <c r="AC161" s="224">
        <v>0</v>
      </c>
    </row>
    <row r="162" spans="1:52" ht="32.25" customHeight="1">
      <c r="A162" s="32" t="s">
        <v>646</v>
      </c>
      <c r="B162" s="210" t="s">
        <v>504</v>
      </c>
      <c r="C162" s="211" t="s">
        <v>167</v>
      </c>
      <c r="D162" s="212" t="s">
        <v>190</v>
      </c>
      <c r="E162" s="212" t="s">
        <v>172</v>
      </c>
      <c r="F162" s="212" t="s">
        <v>22</v>
      </c>
      <c r="G162" s="212" t="s">
        <v>175</v>
      </c>
      <c r="H162" s="212" t="s">
        <v>201</v>
      </c>
      <c r="I162" s="212"/>
      <c r="J162" s="212"/>
      <c r="K162" s="213">
        <v>11</v>
      </c>
      <c r="L162" s="214" t="s">
        <v>29</v>
      </c>
      <c r="M162" s="210" t="s">
        <v>202</v>
      </c>
      <c r="N162" s="215">
        <v>2444410079</v>
      </c>
      <c r="O162" s="215">
        <v>0</v>
      </c>
      <c r="P162" s="215">
        <v>0</v>
      </c>
      <c r="Q162" s="215">
        <v>0</v>
      </c>
      <c r="R162" s="215">
        <v>0</v>
      </c>
      <c r="S162" s="215">
        <v>0</v>
      </c>
      <c r="T162" s="215">
        <v>2444410079</v>
      </c>
      <c r="U162" s="215">
        <v>1658536635</v>
      </c>
      <c r="V162" s="215">
        <v>785873444</v>
      </c>
      <c r="W162" s="216">
        <v>0.67850179855194415</v>
      </c>
      <c r="X162" s="215">
        <v>130589927</v>
      </c>
      <c r="Y162" s="215">
        <v>1527946708</v>
      </c>
      <c r="Z162" s="216">
        <v>0.9212619581357635</v>
      </c>
      <c r="AA162" s="215">
        <v>70134280</v>
      </c>
      <c r="AB162" s="215">
        <v>60455647</v>
      </c>
      <c r="AC162" s="216">
        <v>4.2286844028621651E-2</v>
      </c>
    </row>
    <row r="163" spans="1:52" ht="24.95" customHeight="1">
      <c r="A163" s="32" t="s">
        <v>647</v>
      </c>
      <c r="B163" s="217" t="s">
        <v>505</v>
      </c>
      <c r="C163" s="218" t="s">
        <v>167</v>
      </c>
      <c r="D163" s="219" t="s">
        <v>190</v>
      </c>
      <c r="E163" s="219" t="s">
        <v>172</v>
      </c>
      <c r="F163" s="219" t="s">
        <v>22</v>
      </c>
      <c r="G163" s="219" t="s">
        <v>175</v>
      </c>
      <c r="H163" s="219" t="s">
        <v>201</v>
      </c>
      <c r="I163" s="219" t="s">
        <v>54</v>
      </c>
      <c r="J163" s="219"/>
      <c r="K163" s="220">
        <v>11</v>
      </c>
      <c r="L163" s="221" t="s">
        <v>29</v>
      </c>
      <c r="M163" s="259" t="s">
        <v>178</v>
      </c>
      <c r="N163" s="222">
        <v>2444410079</v>
      </c>
      <c r="O163" s="222"/>
      <c r="P163" s="222"/>
      <c r="Q163" s="222"/>
      <c r="R163" s="222"/>
      <c r="S163" s="222"/>
      <c r="T163" s="222">
        <v>2444410079</v>
      </c>
      <c r="U163" s="222">
        <v>1658536635</v>
      </c>
      <c r="V163" s="222">
        <v>785873444</v>
      </c>
      <c r="W163" s="224">
        <v>0.67850179855194415</v>
      </c>
      <c r="X163" s="222">
        <v>130589927</v>
      </c>
      <c r="Y163" s="222">
        <v>1527946708</v>
      </c>
      <c r="Z163" s="224">
        <v>0.9212619581357635</v>
      </c>
      <c r="AA163" s="222">
        <v>70134280</v>
      </c>
      <c r="AB163" s="222">
        <v>60455647</v>
      </c>
      <c r="AC163" s="224">
        <v>4.2286844028621651E-2</v>
      </c>
    </row>
    <row r="164" spans="1:52" ht="32.25" customHeight="1">
      <c r="A164" s="32" t="s">
        <v>648</v>
      </c>
      <c r="B164" s="210" t="s">
        <v>506</v>
      </c>
      <c r="C164" s="211" t="s">
        <v>167</v>
      </c>
      <c r="D164" s="212" t="s">
        <v>190</v>
      </c>
      <c r="E164" s="212" t="s">
        <v>172</v>
      </c>
      <c r="F164" s="212" t="s">
        <v>22</v>
      </c>
      <c r="G164" s="212" t="s">
        <v>175</v>
      </c>
      <c r="H164" s="212" t="s">
        <v>203</v>
      </c>
      <c r="I164" s="212"/>
      <c r="J164" s="212"/>
      <c r="K164" s="213">
        <v>11</v>
      </c>
      <c r="L164" s="214" t="s">
        <v>29</v>
      </c>
      <c r="M164" s="210" t="s">
        <v>204</v>
      </c>
      <c r="N164" s="215">
        <v>18529096300</v>
      </c>
      <c r="O164" s="215">
        <v>0</v>
      </c>
      <c r="P164" s="215">
        <v>0</v>
      </c>
      <c r="Q164" s="215">
        <v>0</v>
      </c>
      <c r="R164" s="215">
        <v>0</v>
      </c>
      <c r="S164" s="215">
        <v>0</v>
      </c>
      <c r="T164" s="215">
        <v>18529096300</v>
      </c>
      <c r="U164" s="215">
        <v>0</v>
      </c>
      <c r="V164" s="215">
        <v>18529096300</v>
      </c>
      <c r="W164" s="216">
        <v>0</v>
      </c>
      <c r="X164" s="215">
        <v>0</v>
      </c>
      <c r="Y164" s="215">
        <v>0</v>
      </c>
      <c r="Z164" s="216">
        <v>0</v>
      </c>
      <c r="AA164" s="215">
        <v>0</v>
      </c>
      <c r="AB164" s="215">
        <v>0</v>
      </c>
      <c r="AC164" s="216">
        <v>0</v>
      </c>
    </row>
    <row r="165" spans="1:52" ht="24.95" customHeight="1">
      <c r="A165" s="32" t="s">
        <v>649</v>
      </c>
      <c r="B165" s="217" t="s">
        <v>507</v>
      </c>
      <c r="C165" s="218" t="s">
        <v>167</v>
      </c>
      <c r="D165" s="219" t="s">
        <v>190</v>
      </c>
      <c r="E165" s="219" t="s">
        <v>172</v>
      </c>
      <c r="F165" s="219" t="s">
        <v>22</v>
      </c>
      <c r="G165" s="219" t="s">
        <v>175</v>
      </c>
      <c r="H165" s="219" t="s">
        <v>203</v>
      </c>
      <c r="I165" s="219" t="s">
        <v>54</v>
      </c>
      <c r="J165" s="219"/>
      <c r="K165" s="220">
        <v>11</v>
      </c>
      <c r="L165" s="221" t="s">
        <v>29</v>
      </c>
      <c r="M165" s="259" t="s">
        <v>178</v>
      </c>
      <c r="N165" s="222">
        <v>18529096300</v>
      </c>
      <c r="O165" s="222"/>
      <c r="P165" s="222"/>
      <c r="Q165" s="222"/>
      <c r="R165" s="222"/>
      <c r="S165" s="222"/>
      <c r="T165" s="222">
        <v>18529096300</v>
      </c>
      <c r="U165" s="222">
        <v>0</v>
      </c>
      <c r="V165" s="222">
        <v>18529096300</v>
      </c>
      <c r="W165" s="224">
        <v>0</v>
      </c>
      <c r="X165" s="222">
        <v>0</v>
      </c>
      <c r="Y165" s="222">
        <v>0</v>
      </c>
      <c r="Z165" s="224">
        <v>0</v>
      </c>
      <c r="AA165" s="222">
        <v>0</v>
      </c>
      <c r="AB165" s="222">
        <v>0</v>
      </c>
      <c r="AC165" s="224">
        <v>0</v>
      </c>
    </row>
    <row r="166" spans="1:52" ht="44.25" customHeight="1">
      <c r="A166" s="32" t="s">
        <v>508</v>
      </c>
      <c r="B166" s="226" t="s">
        <v>299</v>
      </c>
      <c r="C166" s="227" t="s">
        <v>167</v>
      </c>
      <c r="D166" s="228" t="s">
        <v>190</v>
      </c>
      <c r="E166" s="228" t="s">
        <v>172</v>
      </c>
      <c r="F166" s="228" t="s">
        <v>205</v>
      </c>
      <c r="G166" s="228"/>
      <c r="H166" s="228"/>
      <c r="I166" s="228"/>
      <c r="J166" s="228"/>
      <c r="K166" s="229"/>
      <c r="L166" s="230"/>
      <c r="M166" s="231" t="s">
        <v>281</v>
      </c>
      <c r="N166" s="232">
        <v>881000000000</v>
      </c>
      <c r="O166" s="232">
        <v>0</v>
      </c>
      <c r="P166" s="232">
        <v>0</v>
      </c>
      <c r="Q166" s="232">
        <v>17900000000</v>
      </c>
      <c r="R166" s="232">
        <v>17900000000</v>
      </c>
      <c r="S166" s="232">
        <v>526000000000</v>
      </c>
      <c r="T166" s="232">
        <v>355000000000</v>
      </c>
      <c r="U166" s="232">
        <v>257592870532.20001</v>
      </c>
      <c r="V166" s="232">
        <v>97407129467.799957</v>
      </c>
      <c r="W166" s="233">
        <v>0.72561371980901412</v>
      </c>
      <c r="X166" s="232">
        <v>11523418803.02</v>
      </c>
      <c r="Y166" s="232">
        <v>246069451729.18002</v>
      </c>
      <c r="Z166" s="233">
        <v>0.9552649932460785</v>
      </c>
      <c r="AA166" s="232">
        <v>10299495880.549999</v>
      </c>
      <c r="AB166" s="232">
        <v>1223922922.47</v>
      </c>
      <c r="AC166" s="233">
        <v>3.9983621671169374E-2</v>
      </c>
    </row>
    <row r="167" spans="1:52" ht="44.25" hidden="1" customHeight="1">
      <c r="A167" s="32"/>
      <c r="B167" s="226"/>
      <c r="C167" s="227"/>
      <c r="D167" s="228"/>
      <c r="E167" s="228"/>
      <c r="F167" s="228"/>
      <c r="G167" s="228"/>
      <c r="H167" s="228"/>
      <c r="I167" s="228"/>
      <c r="J167" s="228"/>
      <c r="K167" s="229"/>
      <c r="L167" s="230"/>
      <c r="M167" s="231"/>
      <c r="N167" s="682">
        <v>526000000000</v>
      </c>
      <c r="O167" s="232"/>
      <c r="P167" s="232"/>
      <c r="Q167" s="232"/>
      <c r="R167" s="232"/>
      <c r="S167" s="682">
        <v>526000000000</v>
      </c>
      <c r="T167" s="232">
        <v>0</v>
      </c>
      <c r="U167" s="232"/>
      <c r="V167" s="232"/>
      <c r="W167" s="233"/>
      <c r="X167" s="232"/>
      <c r="Y167" s="232"/>
      <c r="Z167" s="233"/>
      <c r="AA167" s="232"/>
      <c r="AB167" s="232"/>
      <c r="AC167" s="233"/>
    </row>
    <row r="168" spans="1:52" ht="33.75" customHeight="1">
      <c r="A168" s="32" t="s">
        <v>509</v>
      </c>
      <c r="B168" s="210" t="s">
        <v>510</v>
      </c>
      <c r="C168" s="211" t="s">
        <v>167</v>
      </c>
      <c r="D168" s="212" t="s">
        <v>190</v>
      </c>
      <c r="E168" s="212" t="s">
        <v>172</v>
      </c>
      <c r="F168" s="212" t="s">
        <v>205</v>
      </c>
      <c r="G168" s="212" t="s">
        <v>175</v>
      </c>
      <c r="H168" s="212" t="s">
        <v>207</v>
      </c>
      <c r="I168" s="212"/>
      <c r="J168" s="212"/>
      <c r="K168" s="213"/>
      <c r="L168" s="214"/>
      <c r="M168" s="210" t="s">
        <v>208</v>
      </c>
      <c r="N168" s="215">
        <v>331786185933</v>
      </c>
      <c r="O168" s="215">
        <v>0</v>
      </c>
      <c r="P168" s="215">
        <v>0</v>
      </c>
      <c r="Q168" s="215">
        <v>17900000000</v>
      </c>
      <c r="R168" s="215">
        <v>17900000000</v>
      </c>
      <c r="S168" s="215">
        <v>0</v>
      </c>
      <c r="T168" s="215">
        <v>331786185933</v>
      </c>
      <c r="U168" s="215">
        <v>241407007816.20001</v>
      </c>
      <c r="V168" s="215">
        <v>90379178116.799957</v>
      </c>
      <c r="W168" s="216">
        <v>0.72759812810575875</v>
      </c>
      <c r="X168" s="215">
        <v>11028033735.02</v>
      </c>
      <c r="Y168" s="215">
        <v>230378974081.18002</v>
      </c>
      <c r="Z168" s="216">
        <v>0.95431767356390751</v>
      </c>
      <c r="AA168" s="215">
        <v>9804110812.5499992</v>
      </c>
      <c r="AB168" s="215">
        <v>1223922922.47</v>
      </c>
      <c r="AC168" s="216">
        <v>4.0612370374991567E-2</v>
      </c>
    </row>
    <row r="169" spans="1:52" ht="24.95" customHeight="1">
      <c r="A169" s="32" t="s">
        <v>512</v>
      </c>
      <c r="B169" s="217" t="s">
        <v>511</v>
      </c>
      <c r="C169" s="266" t="s">
        <v>167</v>
      </c>
      <c r="D169" s="267" t="s">
        <v>190</v>
      </c>
      <c r="E169" s="267" t="s">
        <v>172</v>
      </c>
      <c r="F169" s="267" t="s">
        <v>205</v>
      </c>
      <c r="G169" s="267" t="s">
        <v>175</v>
      </c>
      <c r="H169" s="267" t="s">
        <v>207</v>
      </c>
      <c r="I169" s="267" t="s">
        <v>54</v>
      </c>
      <c r="J169" s="267"/>
      <c r="K169" s="268">
        <v>11</v>
      </c>
      <c r="L169" s="269" t="s">
        <v>29</v>
      </c>
      <c r="M169" s="259" t="s">
        <v>178</v>
      </c>
      <c r="N169" s="222">
        <v>27122315285.709999</v>
      </c>
      <c r="O169" s="222"/>
      <c r="P169" s="223"/>
      <c r="Q169" s="222">
        <v>17900000000</v>
      </c>
      <c r="R169" s="223"/>
      <c r="S169" s="223"/>
      <c r="T169" s="222">
        <v>45022315285.709999</v>
      </c>
      <c r="U169" s="222">
        <v>26753848699.560001</v>
      </c>
      <c r="V169" s="222">
        <v>18268466586.149998</v>
      </c>
      <c r="W169" s="224">
        <v>0.59423529264945696</v>
      </c>
      <c r="X169" s="222">
        <v>952859384.71000004</v>
      </c>
      <c r="Y169" s="222">
        <v>25800989314.850002</v>
      </c>
      <c r="Z169" s="224">
        <v>0.96438421270111807</v>
      </c>
      <c r="AA169" s="222">
        <v>750255330.24000001</v>
      </c>
      <c r="AB169" s="222">
        <v>202604054.47000003</v>
      </c>
      <c r="AC169" s="224">
        <v>2.8042893516563052E-2</v>
      </c>
    </row>
    <row r="170" spans="1:52" ht="24.95" customHeight="1">
      <c r="A170" s="32" t="s">
        <v>513</v>
      </c>
      <c r="B170" s="217" t="s">
        <v>514</v>
      </c>
      <c r="C170" s="266" t="s">
        <v>167</v>
      </c>
      <c r="D170" s="267" t="s">
        <v>190</v>
      </c>
      <c r="E170" s="267" t="s">
        <v>172</v>
      </c>
      <c r="F170" s="267" t="s">
        <v>205</v>
      </c>
      <c r="G170" s="267" t="s">
        <v>175</v>
      </c>
      <c r="H170" s="267" t="s">
        <v>207</v>
      </c>
      <c r="I170" s="267" t="s">
        <v>65</v>
      </c>
      <c r="J170" s="267"/>
      <c r="K170" s="271" t="s">
        <v>28</v>
      </c>
      <c r="L170" s="269" t="s">
        <v>29</v>
      </c>
      <c r="M170" s="259" t="s">
        <v>127</v>
      </c>
      <c r="N170" s="222"/>
      <c r="O170" s="222"/>
      <c r="P170" s="223"/>
      <c r="Q170" s="223"/>
      <c r="R170" s="223"/>
      <c r="S170" s="223"/>
      <c r="T170" s="222">
        <v>0</v>
      </c>
      <c r="U170" s="222"/>
      <c r="V170" s="222">
        <v>0</v>
      </c>
      <c r="W170" s="224">
        <v>0</v>
      </c>
      <c r="X170" s="222"/>
      <c r="Y170" s="222">
        <v>0</v>
      </c>
      <c r="Z170" s="224">
        <v>0</v>
      </c>
      <c r="AA170" s="222"/>
      <c r="AB170" s="222">
        <v>0</v>
      </c>
      <c r="AC170" s="224">
        <v>0</v>
      </c>
    </row>
    <row r="171" spans="1:52" ht="24.95" customHeight="1">
      <c r="A171" s="32" t="s">
        <v>515</v>
      </c>
      <c r="B171" s="217" t="s">
        <v>514</v>
      </c>
      <c r="C171" s="266" t="s">
        <v>167</v>
      </c>
      <c r="D171" s="267" t="s">
        <v>190</v>
      </c>
      <c r="E171" s="267" t="s">
        <v>172</v>
      </c>
      <c r="F171" s="267" t="s">
        <v>205</v>
      </c>
      <c r="G171" s="267" t="s">
        <v>175</v>
      </c>
      <c r="H171" s="267" t="s">
        <v>207</v>
      </c>
      <c r="I171" s="272" t="s">
        <v>65</v>
      </c>
      <c r="J171" s="273"/>
      <c r="K171" s="268">
        <v>11</v>
      </c>
      <c r="L171" s="269" t="s">
        <v>29</v>
      </c>
      <c r="M171" s="259" t="s">
        <v>127</v>
      </c>
      <c r="N171" s="222">
        <v>304663870647.28998</v>
      </c>
      <c r="O171" s="222"/>
      <c r="P171" s="223"/>
      <c r="Q171" s="223"/>
      <c r="R171" s="222">
        <v>17900000000</v>
      </c>
      <c r="S171" s="223"/>
      <c r="T171" s="222">
        <v>286763870647.28998</v>
      </c>
      <c r="U171" s="222">
        <v>214653159116.64001</v>
      </c>
      <c r="V171" s="222">
        <v>72110711530.649963</v>
      </c>
      <c r="W171" s="224">
        <v>0.74853627352748442</v>
      </c>
      <c r="X171" s="222">
        <v>10075174350.309999</v>
      </c>
      <c r="Y171" s="222">
        <v>204577984766.33002</v>
      </c>
      <c r="Z171" s="224">
        <v>0.95306300456153425</v>
      </c>
      <c r="AA171" s="222">
        <v>9053855482.3099995</v>
      </c>
      <c r="AB171" s="222">
        <v>1021318868</v>
      </c>
      <c r="AC171" s="224">
        <v>4.2178999459263677E-2</v>
      </c>
    </row>
    <row r="172" spans="1:52" ht="34.5" customHeight="1">
      <c r="A172" s="32" t="s">
        <v>650</v>
      </c>
      <c r="B172" s="210" t="s">
        <v>516</v>
      </c>
      <c r="C172" s="211" t="s">
        <v>167</v>
      </c>
      <c r="D172" s="212" t="s">
        <v>190</v>
      </c>
      <c r="E172" s="212" t="s">
        <v>172</v>
      </c>
      <c r="F172" s="212" t="s">
        <v>205</v>
      </c>
      <c r="G172" s="212" t="s">
        <v>175</v>
      </c>
      <c r="H172" s="212" t="s">
        <v>209</v>
      </c>
      <c r="I172" s="212"/>
      <c r="J172" s="212"/>
      <c r="K172" s="213">
        <v>11</v>
      </c>
      <c r="L172" s="214" t="s">
        <v>29</v>
      </c>
      <c r="M172" s="210" t="s">
        <v>210</v>
      </c>
      <c r="N172" s="215">
        <v>23213814067</v>
      </c>
      <c r="O172" s="215">
        <v>0</v>
      </c>
      <c r="P172" s="215">
        <v>0</v>
      </c>
      <c r="Q172" s="215">
        <v>0</v>
      </c>
      <c r="R172" s="215">
        <v>0</v>
      </c>
      <c r="S172" s="215">
        <v>0</v>
      </c>
      <c r="T172" s="215">
        <v>23213814067</v>
      </c>
      <c r="U172" s="215">
        <v>16185862716</v>
      </c>
      <c r="V172" s="215">
        <v>7027951351</v>
      </c>
      <c r="W172" s="216">
        <v>0.69725132928540567</v>
      </c>
      <c r="X172" s="215">
        <v>495385068</v>
      </c>
      <c r="Y172" s="215">
        <v>15690477648</v>
      </c>
      <c r="Z172" s="216">
        <v>0.96939396579026316</v>
      </c>
      <c r="AA172" s="215">
        <v>495385068</v>
      </c>
      <c r="AB172" s="215">
        <v>0</v>
      </c>
      <c r="AC172" s="216">
        <v>3.0606034209736836E-2</v>
      </c>
    </row>
    <row r="173" spans="1:52" ht="24.95" customHeight="1">
      <c r="A173" s="32" t="s">
        <v>518</v>
      </c>
      <c r="B173" s="217" t="s">
        <v>517</v>
      </c>
      <c r="C173" s="266" t="s">
        <v>167</v>
      </c>
      <c r="D173" s="267" t="s">
        <v>190</v>
      </c>
      <c r="E173" s="267" t="s">
        <v>172</v>
      </c>
      <c r="F173" s="267" t="s">
        <v>205</v>
      </c>
      <c r="G173" s="267" t="s">
        <v>175</v>
      </c>
      <c r="H173" s="267" t="s">
        <v>209</v>
      </c>
      <c r="I173" s="267" t="s">
        <v>54</v>
      </c>
      <c r="J173" s="267"/>
      <c r="K173" s="268">
        <v>11</v>
      </c>
      <c r="L173" s="269" t="s">
        <v>29</v>
      </c>
      <c r="M173" s="259" t="s">
        <v>178</v>
      </c>
      <c r="N173" s="222">
        <v>23213814067</v>
      </c>
      <c r="O173" s="222"/>
      <c r="P173" s="222"/>
      <c r="Q173" s="222"/>
      <c r="R173" s="223"/>
      <c r="S173" s="222"/>
      <c r="T173" s="222">
        <v>23213814067</v>
      </c>
      <c r="U173" s="222">
        <v>16185862716</v>
      </c>
      <c r="V173" s="222">
        <v>7027951351</v>
      </c>
      <c r="W173" s="224">
        <v>0.69725132928540567</v>
      </c>
      <c r="X173" s="222">
        <v>495385068</v>
      </c>
      <c r="Y173" s="222">
        <v>15690477648</v>
      </c>
      <c r="Z173" s="224">
        <v>0.96939396579026316</v>
      </c>
      <c r="AA173" s="222">
        <v>495385068</v>
      </c>
      <c r="AB173" s="222">
        <v>0</v>
      </c>
      <c r="AC173" s="224">
        <v>3.0606034209736836E-2</v>
      </c>
    </row>
    <row r="174" spans="1:52" ht="40.5" customHeight="1">
      <c r="A174" s="32" t="s">
        <v>519</v>
      </c>
      <c r="B174" s="226" t="s">
        <v>520</v>
      </c>
      <c r="C174" s="227" t="s">
        <v>167</v>
      </c>
      <c r="D174" s="228" t="s">
        <v>190</v>
      </c>
      <c r="E174" s="228" t="s">
        <v>172</v>
      </c>
      <c r="F174" s="228" t="s">
        <v>211</v>
      </c>
      <c r="G174" s="228"/>
      <c r="H174" s="228"/>
      <c r="I174" s="228"/>
      <c r="J174" s="228"/>
      <c r="K174" s="229"/>
      <c r="L174" s="230"/>
      <c r="M174" s="231" t="s">
        <v>282</v>
      </c>
      <c r="N174" s="232">
        <v>1500000000</v>
      </c>
      <c r="O174" s="232">
        <v>0</v>
      </c>
      <c r="P174" s="232">
        <v>0</v>
      </c>
      <c r="Q174" s="232">
        <v>0</v>
      </c>
      <c r="R174" s="232">
        <v>0</v>
      </c>
      <c r="S174" s="232">
        <v>0</v>
      </c>
      <c r="T174" s="232">
        <v>1500000000</v>
      </c>
      <c r="U174" s="232">
        <v>0</v>
      </c>
      <c r="V174" s="232">
        <v>1500000000</v>
      </c>
      <c r="W174" s="233">
        <v>0</v>
      </c>
      <c r="X174" s="232">
        <v>0</v>
      </c>
      <c r="Y174" s="232">
        <v>0</v>
      </c>
      <c r="Z174" s="233">
        <v>0</v>
      </c>
      <c r="AA174" s="232">
        <v>0</v>
      </c>
      <c r="AB174" s="232">
        <v>0</v>
      </c>
      <c r="AC174" s="233">
        <v>0</v>
      </c>
    </row>
    <row r="175" spans="1:52" s="90" customFormat="1" ht="36" customHeight="1">
      <c r="A175" s="32" t="s">
        <v>521</v>
      </c>
      <c r="B175" s="210" t="s">
        <v>522</v>
      </c>
      <c r="C175" s="211" t="s">
        <v>167</v>
      </c>
      <c r="D175" s="212" t="s">
        <v>190</v>
      </c>
      <c r="E175" s="212" t="s">
        <v>172</v>
      </c>
      <c r="F175" s="212" t="s">
        <v>211</v>
      </c>
      <c r="G175" s="212" t="s">
        <v>175</v>
      </c>
      <c r="H175" s="212" t="s">
        <v>213</v>
      </c>
      <c r="I175" s="212"/>
      <c r="J175" s="212"/>
      <c r="K175" s="213" t="s">
        <v>144</v>
      </c>
      <c r="L175" s="214" t="s">
        <v>29</v>
      </c>
      <c r="M175" s="210" t="s">
        <v>214</v>
      </c>
      <c r="N175" s="215">
        <v>1095000000</v>
      </c>
      <c r="O175" s="215">
        <v>0</v>
      </c>
      <c r="P175" s="215">
        <v>0</v>
      </c>
      <c r="Q175" s="215">
        <v>0</v>
      </c>
      <c r="R175" s="215">
        <v>0</v>
      </c>
      <c r="S175" s="215">
        <v>0</v>
      </c>
      <c r="T175" s="215">
        <v>1095000000</v>
      </c>
      <c r="U175" s="215">
        <v>0</v>
      </c>
      <c r="V175" s="215">
        <v>1095000000</v>
      </c>
      <c r="W175" s="216">
        <v>0</v>
      </c>
      <c r="X175" s="215">
        <v>0</v>
      </c>
      <c r="Y175" s="215">
        <v>0</v>
      </c>
      <c r="Z175" s="216">
        <v>0</v>
      </c>
      <c r="AA175" s="215">
        <v>0</v>
      </c>
      <c r="AB175" s="215">
        <v>0</v>
      </c>
      <c r="AC175" s="216">
        <v>0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24.95" customHeight="1">
      <c r="A176" s="32" t="s">
        <v>523</v>
      </c>
      <c r="B176" s="217" t="s">
        <v>524</v>
      </c>
      <c r="C176" s="218" t="s">
        <v>167</v>
      </c>
      <c r="D176" s="219" t="s">
        <v>190</v>
      </c>
      <c r="E176" s="219" t="s">
        <v>172</v>
      </c>
      <c r="F176" s="219" t="s">
        <v>211</v>
      </c>
      <c r="G176" s="219" t="s">
        <v>175</v>
      </c>
      <c r="H176" s="219" t="s">
        <v>213</v>
      </c>
      <c r="I176" s="219" t="s">
        <v>54</v>
      </c>
      <c r="J176" s="219"/>
      <c r="K176" s="220" t="s">
        <v>144</v>
      </c>
      <c r="L176" s="221" t="s">
        <v>29</v>
      </c>
      <c r="M176" s="259" t="s">
        <v>178</v>
      </c>
      <c r="N176" s="222">
        <v>1095000000</v>
      </c>
      <c r="O176" s="222"/>
      <c r="P176" s="222"/>
      <c r="Q176" s="222"/>
      <c r="R176" s="222"/>
      <c r="S176" s="222"/>
      <c r="T176" s="222">
        <v>1095000000</v>
      </c>
      <c r="U176" s="222"/>
      <c r="V176" s="222">
        <v>1095000000</v>
      </c>
      <c r="W176" s="224">
        <v>0</v>
      </c>
      <c r="X176" s="222"/>
      <c r="Y176" s="222">
        <v>0</v>
      </c>
      <c r="Z176" s="224">
        <v>0</v>
      </c>
      <c r="AA176" s="222"/>
      <c r="AB176" s="222">
        <v>0</v>
      </c>
      <c r="AC176" s="224">
        <v>0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">
        <v>525</v>
      </c>
      <c r="B177" s="210" t="s">
        <v>526</v>
      </c>
      <c r="C177" s="211" t="s">
        <v>167</v>
      </c>
      <c r="D177" s="212" t="s">
        <v>190</v>
      </c>
      <c r="E177" s="212" t="s">
        <v>172</v>
      </c>
      <c r="F177" s="212" t="s">
        <v>211</v>
      </c>
      <c r="G177" s="212" t="s">
        <v>175</v>
      </c>
      <c r="H177" s="212" t="s">
        <v>215</v>
      </c>
      <c r="I177" s="212"/>
      <c r="J177" s="212"/>
      <c r="K177" s="213" t="s">
        <v>144</v>
      </c>
      <c r="L177" s="214" t="s">
        <v>29</v>
      </c>
      <c r="M177" s="210" t="s">
        <v>216</v>
      </c>
      <c r="N177" s="215">
        <v>405000000</v>
      </c>
      <c r="O177" s="215">
        <v>0</v>
      </c>
      <c r="P177" s="215">
        <v>0</v>
      </c>
      <c r="Q177" s="215">
        <v>0</v>
      </c>
      <c r="R177" s="215">
        <v>0</v>
      </c>
      <c r="S177" s="215">
        <v>0</v>
      </c>
      <c r="T177" s="215">
        <v>405000000</v>
      </c>
      <c r="U177" s="215">
        <v>0</v>
      </c>
      <c r="V177" s="215">
        <v>405000000</v>
      </c>
      <c r="W177" s="216">
        <v>0</v>
      </c>
      <c r="X177" s="215">
        <v>0</v>
      </c>
      <c r="Y177" s="215">
        <v>0</v>
      </c>
      <c r="Z177" s="216">
        <v>0</v>
      </c>
      <c r="AA177" s="215">
        <v>0</v>
      </c>
      <c r="AB177" s="215">
        <v>0</v>
      </c>
      <c r="AC177" s="216">
        <v>0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24.95" customHeight="1">
      <c r="A178" s="32" t="s">
        <v>527</v>
      </c>
      <c r="B178" s="217" t="s">
        <v>528</v>
      </c>
      <c r="C178" s="218" t="s">
        <v>167</v>
      </c>
      <c r="D178" s="219" t="s">
        <v>190</v>
      </c>
      <c r="E178" s="219" t="s">
        <v>172</v>
      </c>
      <c r="F178" s="219" t="s">
        <v>211</v>
      </c>
      <c r="G178" s="219" t="s">
        <v>175</v>
      </c>
      <c r="H178" s="219" t="s">
        <v>215</v>
      </c>
      <c r="I178" s="219" t="s">
        <v>54</v>
      </c>
      <c r="J178" s="219"/>
      <c r="K178" s="220" t="s">
        <v>144</v>
      </c>
      <c r="L178" s="221" t="s">
        <v>29</v>
      </c>
      <c r="M178" s="259" t="s">
        <v>178</v>
      </c>
      <c r="N178" s="222">
        <v>405000000</v>
      </c>
      <c r="O178" s="222"/>
      <c r="P178" s="222"/>
      <c r="Q178" s="222"/>
      <c r="R178" s="222"/>
      <c r="S178" s="222"/>
      <c r="T178" s="222">
        <v>405000000</v>
      </c>
      <c r="U178" s="222"/>
      <c r="V178" s="222">
        <v>405000000</v>
      </c>
      <c r="W178" s="224">
        <v>0</v>
      </c>
      <c r="X178" s="222"/>
      <c r="Y178" s="222">
        <v>0</v>
      </c>
      <c r="Z178" s="224">
        <v>0</v>
      </c>
      <c r="AA178" s="222"/>
      <c r="AB178" s="222">
        <v>0</v>
      </c>
      <c r="AC178" s="224">
        <v>0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57" hidden="1" customHeight="1">
      <c r="A179" s="32" t="s">
        <v>529</v>
      </c>
      <c r="B179" s="226" t="s">
        <v>530</v>
      </c>
      <c r="C179" s="227" t="s">
        <v>167</v>
      </c>
      <c r="D179" s="228" t="s">
        <v>190</v>
      </c>
      <c r="E179" s="228" t="s">
        <v>172</v>
      </c>
      <c r="F179" s="228" t="s">
        <v>217</v>
      </c>
      <c r="G179" s="228"/>
      <c r="H179" s="228"/>
      <c r="I179" s="228"/>
      <c r="J179" s="228"/>
      <c r="K179" s="229"/>
      <c r="L179" s="230"/>
      <c r="M179" s="231" t="s">
        <v>283</v>
      </c>
      <c r="N179" s="232">
        <v>0</v>
      </c>
      <c r="O179" s="232">
        <v>0</v>
      </c>
      <c r="P179" s="232">
        <v>0</v>
      </c>
      <c r="Q179" s="232">
        <v>0</v>
      </c>
      <c r="R179" s="232">
        <v>0</v>
      </c>
      <c r="S179" s="232">
        <v>0</v>
      </c>
      <c r="T179" s="232">
        <v>0</v>
      </c>
      <c r="U179" s="232">
        <v>0</v>
      </c>
      <c r="V179" s="232">
        <v>0</v>
      </c>
      <c r="W179" s="233">
        <v>0</v>
      </c>
      <c r="X179" s="232">
        <v>0</v>
      </c>
      <c r="Y179" s="232">
        <v>0</v>
      </c>
      <c r="Z179" s="233">
        <v>0</v>
      </c>
      <c r="AA179" s="232">
        <v>0</v>
      </c>
      <c r="AB179" s="232">
        <v>0</v>
      </c>
      <c r="AC179" s="233">
        <v>0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24.95" hidden="1" customHeight="1">
      <c r="A180" s="32" t="s">
        <v>651</v>
      </c>
      <c r="B180" s="210" t="s">
        <v>531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219</v>
      </c>
      <c r="I180" s="212"/>
      <c r="J180" s="212"/>
      <c r="K180" s="213">
        <v>11</v>
      </c>
      <c r="L180" s="214" t="s">
        <v>29</v>
      </c>
      <c r="M180" s="210" t="s">
        <v>220</v>
      </c>
      <c r="N180" s="215">
        <v>0</v>
      </c>
      <c r="O180" s="215">
        <v>0</v>
      </c>
      <c r="P180" s="215">
        <v>0</v>
      </c>
      <c r="Q180" s="215">
        <v>0</v>
      </c>
      <c r="R180" s="215">
        <v>0</v>
      </c>
      <c r="S180" s="215">
        <v>0</v>
      </c>
      <c r="T180" s="215">
        <v>0</v>
      </c>
      <c r="U180" s="215">
        <v>0</v>
      </c>
      <c r="V180" s="215">
        <v>0</v>
      </c>
      <c r="W180" s="216">
        <v>0</v>
      </c>
      <c r="X180" s="215">
        <v>0</v>
      </c>
      <c r="Y180" s="215">
        <v>0</v>
      </c>
      <c r="Z180" s="216">
        <v>0</v>
      </c>
      <c r="AA180" s="215">
        <v>0</v>
      </c>
      <c r="AB180" s="215">
        <v>0</v>
      </c>
      <c r="AC180" s="216">
        <v>0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hidden="1" customHeight="1">
      <c r="A181" s="32" t="s">
        <v>652</v>
      </c>
      <c r="B181" s="217" t="s">
        <v>532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219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/>
      <c r="O181" s="222"/>
      <c r="P181" s="222"/>
      <c r="Q181" s="222"/>
      <c r="R181" s="222"/>
      <c r="S181" s="222"/>
      <c r="T181" s="222">
        <v>0</v>
      </c>
      <c r="U181" s="222"/>
      <c r="V181" s="222">
        <v>0</v>
      </c>
      <c r="W181" s="224">
        <v>0</v>
      </c>
      <c r="X181" s="222"/>
      <c r="Y181" s="222">
        <v>0</v>
      </c>
      <c r="Z181" s="224">
        <v>0</v>
      </c>
      <c r="AA181" s="222"/>
      <c r="AB181" s="222">
        <v>0</v>
      </c>
      <c r="AC181" s="224">
        <v>0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38.25" hidden="1" customHeight="1">
      <c r="A182" s="32" t="s">
        <v>653</v>
      </c>
      <c r="B182" s="210" t="s">
        <v>533</v>
      </c>
      <c r="C182" s="211" t="s">
        <v>167</v>
      </c>
      <c r="D182" s="212" t="s">
        <v>190</v>
      </c>
      <c r="E182" s="212" t="s">
        <v>172</v>
      </c>
      <c r="F182" s="212" t="s">
        <v>217</v>
      </c>
      <c r="G182" s="212" t="s">
        <v>175</v>
      </c>
      <c r="H182" s="212" t="s">
        <v>221</v>
      </c>
      <c r="I182" s="212"/>
      <c r="J182" s="212"/>
      <c r="K182" s="213">
        <v>11</v>
      </c>
      <c r="L182" s="214" t="s">
        <v>29</v>
      </c>
      <c r="M182" s="210" t="s">
        <v>222</v>
      </c>
      <c r="N182" s="215">
        <v>0</v>
      </c>
      <c r="O182" s="215">
        <v>0</v>
      </c>
      <c r="P182" s="215">
        <v>0</v>
      </c>
      <c r="Q182" s="215">
        <v>0</v>
      </c>
      <c r="R182" s="215">
        <v>0</v>
      </c>
      <c r="S182" s="215">
        <v>0</v>
      </c>
      <c r="T182" s="215">
        <v>0</v>
      </c>
      <c r="U182" s="215">
        <v>0</v>
      </c>
      <c r="V182" s="215">
        <v>0</v>
      </c>
      <c r="W182" s="216">
        <v>0</v>
      </c>
      <c r="X182" s="215">
        <v>0</v>
      </c>
      <c r="Y182" s="215">
        <v>0</v>
      </c>
      <c r="Z182" s="216">
        <v>0</v>
      </c>
      <c r="AA182" s="215">
        <v>0</v>
      </c>
      <c r="AB182" s="215">
        <v>0</v>
      </c>
      <c r="AC182" s="216">
        <v>0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24.95" hidden="1" customHeight="1">
      <c r="A183" s="32" t="s">
        <v>654</v>
      </c>
      <c r="B183" s="217" t="s">
        <v>535</v>
      </c>
      <c r="C183" s="266" t="s">
        <v>167</v>
      </c>
      <c r="D183" s="267" t="s">
        <v>190</v>
      </c>
      <c r="E183" s="267" t="s">
        <v>172</v>
      </c>
      <c r="F183" s="267" t="s">
        <v>217</v>
      </c>
      <c r="G183" s="267" t="s">
        <v>175</v>
      </c>
      <c r="H183" s="267" t="s">
        <v>221</v>
      </c>
      <c r="I183" s="274" t="s">
        <v>65</v>
      </c>
      <c r="J183" s="267"/>
      <c r="K183" s="268">
        <v>11</v>
      </c>
      <c r="L183" s="269" t="s">
        <v>29</v>
      </c>
      <c r="M183" s="259" t="s">
        <v>127</v>
      </c>
      <c r="N183" s="222"/>
      <c r="O183" s="222"/>
      <c r="P183" s="222"/>
      <c r="Q183" s="222"/>
      <c r="R183" s="222"/>
      <c r="S183" s="222"/>
      <c r="T183" s="222">
        <v>0</v>
      </c>
      <c r="U183" s="222"/>
      <c r="V183" s="222">
        <v>0</v>
      </c>
      <c r="W183" s="224">
        <v>0</v>
      </c>
      <c r="X183" s="222"/>
      <c r="Y183" s="222">
        <v>0</v>
      </c>
      <c r="Z183" s="224">
        <v>0</v>
      </c>
      <c r="AA183" s="222"/>
      <c r="AB183" s="222">
        <v>0</v>
      </c>
      <c r="AC183" s="224">
        <v>0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36" hidden="1" customHeight="1">
      <c r="A184" s="32" t="s">
        <v>655</v>
      </c>
      <c r="B184" s="210" t="s">
        <v>536</v>
      </c>
      <c r="C184" s="211" t="s">
        <v>167</v>
      </c>
      <c r="D184" s="212" t="s">
        <v>190</v>
      </c>
      <c r="E184" s="212" t="s">
        <v>172</v>
      </c>
      <c r="F184" s="212" t="s">
        <v>217</v>
      </c>
      <c r="G184" s="212" t="s">
        <v>175</v>
      </c>
      <c r="H184" s="212" t="s">
        <v>223</v>
      </c>
      <c r="I184" s="212"/>
      <c r="J184" s="212"/>
      <c r="K184" s="213">
        <v>11</v>
      </c>
      <c r="L184" s="214" t="s">
        <v>29</v>
      </c>
      <c r="M184" s="210" t="s">
        <v>224</v>
      </c>
      <c r="N184" s="215">
        <v>0</v>
      </c>
      <c r="O184" s="215">
        <v>0</v>
      </c>
      <c r="P184" s="215">
        <v>0</v>
      </c>
      <c r="Q184" s="215">
        <v>0</v>
      </c>
      <c r="R184" s="215">
        <v>0</v>
      </c>
      <c r="S184" s="215">
        <v>0</v>
      </c>
      <c r="T184" s="215">
        <v>0</v>
      </c>
      <c r="U184" s="215">
        <v>0</v>
      </c>
      <c r="V184" s="215">
        <v>0</v>
      </c>
      <c r="W184" s="216">
        <v>0</v>
      </c>
      <c r="X184" s="215">
        <v>0</v>
      </c>
      <c r="Y184" s="215">
        <v>0</v>
      </c>
      <c r="Z184" s="216">
        <v>0</v>
      </c>
      <c r="AA184" s="215">
        <v>0</v>
      </c>
      <c r="AB184" s="215">
        <v>0</v>
      </c>
      <c r="AC184" s="216">
        <v>0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24.95" hidden="1" customHeight="1">
      <c r="A185" s="32" t="s">
        <v>538</v>
      </c>
      <c r="B185" s="217" t="s">
        <v>537</v>
      </c>
      <c r="C185" s="266" t="s">
        <v>167</v>
      </c>
      <c r="D185" s="267" t="s">
        <v>190</v>
      </c>
      <c r="E185" s="267" t="s">
        <v>172</v>
      </c>
      <c r="F185" s="267" t="s">
        <v>217</v>
      </c>
      <c r="G185" s="267" t="s">
        <v>175</v>
      </c>
      <c r="H185" s="267" t="s">
        <v>223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/>
      <c r="O185" s="222"/>
      <c r="P185" s="222"/>
      <c r="Q185" s="223"/>
      <c r="R185" s="222"/>
      <c r="S185" s="222"/>
      <c r="T185" s="222">
        <v>0</v>
      </c>
      <c r="U185" s="222"/>
      <c r="V185" s="222">
        <v>0</v>
      </c>
      <c r="W185" s="224">
        <v>0</v>
      </c>
      <c r="X185" s="222"/>
      <c r="Y185" s="222">
        <v>0</v>
      </c>
      <c r="Z185" s="224">
        <v>0</v>
      </c>
      <c r="AA185" s="222"/>
      <c r="AB185" s="222">
        <v>0</v>
      </c>
      <c r="AC185" s="224">
        <v>0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6.75" hidden="1" customHeight="1">
      <c r="A186" s="32" t="s">
        <v>656</v>
      </c>
      <c r="B186" s="210" t="s">
        <v>540</v>
      </c>
      <c r="C186" s="211" t="s">
        <v>167</v>
      </c>
      <c r="D186" s="212" t="s">
        <v>190</v>
      </c>
      <c r="E186" s="212" t="s">
        <v>172</v>
      </c>
      <c r="F186" s="212" t="s">
        <v>217</v>
      </c>
      <c r="G186" s="212" t="s">
        <v>175</v>
      </c>
      <c r="H186" s="212" t="s">
        <v>225</v>
      </c>
      <c r="I186" s="212"/>
      <c r="J186" s="212"/>
      <c r="K186" s="213">
        <v>11</v>
      </c>
      <c r="L186" s="214" t="s">
        <v>29</v>
      </c>
      <c r="M186" s="210" t="s">
        <v>226</v>
      </c>
      <c r="N186" s="215">
        <v>0</v>
      </c>
      <c r="O186" s="215">
        <v>0</v>
      </c>
      <c r="P186" s="215">
        <v>0</v>
      </c>
      <c r="Q186" s="215">
        <v>0</v>
      </c>
      <c r="R186" s="215">
        <v>0</v>
      </c>
      <c r="S186" s="215">
        <v>0</v>
      </c>
      <c r="T186" s="215">
        <v>0</v>
      </c>
      <c r="U186" s="215">
        <v>0</v>
      </c>
      <c r="V186" s="215">
        <v>0</v>
      </c>
      <c r="W186" s="216">
        <v>0</v>
      </c>
      <c r="X186" s="215">
        <v>0</v>
      </c>
      <c r="Y186" s="215">
        <v>0</v>
      </c>
      <c r="Z186" s="216">
        <v>0</v>
      </c>
      <c r="AA186" s="215">
        <v>0</v>
      </c>
      <c r="AB186" s="215">
        <v>0</v>
      </c>
      <c r="AC186" s="216">
        <v>0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hidden="1" customHeight="1">
      <c r="A187" s="32" t="s">
        <v>542</v>
      </c>
      <c r="B187" s="217" t="s">
        <v>541</v>
      </c>
      <c r="C187" s="266" t="s">
        <v>167</v>
      </c>
      <c r="D187" s="267" t="s">
        <v>190</v>
      </c>
      <c r="E187" s="267" t="s">
        <v>172</v>
      </c>
      <c r="F187" s="267" t="s">
        <v>217</v>
      </c>
      <c r="G187" s="267" t="s">
        <v>175</v>
      </c>
      <c r="H187" s="267" t="s">
        <v>225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/>
      <c r="O187" s="222"/>
      <c r="P187" s="222"/>
      <c r="Q187" s="222"/>
      <c r="R187" s="222"/>
      <c r="S187" s="222"/>
      <c r="T187" s="222">
        <v>0</v>
      </c>
      <c r="U187" s="222"/>
      <c r="V187" s="222">
        <v>0</v>
      </c>
      <c r="W187" s="224">
        <v>0</v>
      </c>
      <c r="X187" s="222"/>
      <c r="Y187" s="222">
        <v>0</v>
      </c>
      <c r="Z187" s="224">
        <v>0</v>
      </c>
      <c r="AA187" s="222"/>
      <c r="AB187" s="222">
        <v>0</v>
      </c>
      <c r="AC187" s="224">
        <v>0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42" customHeight="1">
      <c r="A188" s="32" t="s">
        <v>657</v>
      </c>
      <c r="B188" s="226" t="s">
        <v>658</v>
      </c>
      <c r="C188" s="227" t="s">
        <v>167</v>
      </c>
      <c r="D188" s="228" t="s">
        <v>190</v>
      </c>
      <c r="E188" s="228" t="s">
        <v>172</v>
      </c>
      <c r="F188" s="228">
        <v>18</v>
      </c>
      <c r="G188" s="228"/>
      <c r="H188" s="228"/>
      <c r="I188" s="228"/>
      <c r="J188" s="228"/>
      <c r="K188" s="229"/>
      <c r="L188" s="230"/>
      <c r="M188" s="231" t="s">
        <v>284</v>
      </c>
      <c r="N188" s="232">
        <v>0</v>
      </c>
      <c r="O188" s="232">
        <v>0</v>
      </c>
      <c r="P188" s="232">
        <v>0</v>
      </c>
      <c r="Q188" s="232">
        <v>0</v>
      </c>
      <c r="R188" s="232">
        <v>0</v>
      </c>
      <c r="S188" s="232">
        <v>0</v>
      </c>
      <c r="T188" s="232">
        <v>0</v>
      </c>
      <c r="U188" s="232">
        <v>0</v>
      </c>
      <c r="V188" s="232">
        <v>0</v>
      </c>
      <c r="W188" s="233">
        <v>0</v>
      </c>
      <c r="X188" s="232">
        <v>0</v>
      </c>
      <c r="Y188" s="232">
        <v>0</v>
      </c>
      <c r="Z188" s="233">
        <v>0</v>
      </c>
      <c r="AA188" s="232">
        <v>0</v>
      </c>
      <c r="AB188" s="232">
        <v>0</v>
      </c>
      <c r="AC188" s="233">
        <v>0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36" customHeight="1">
      <c r="A189" s="32" t="s">
        <v>659</v>
      </c>
      <c r="B189" s="210" t="s">
        <v>660</v>
      </c>
      <c r="C189" s="211" t="s">
        <v>167</v>
      </c>
      <c r="D189" s="212" t="s">
        <v>190</v>
      </c>
      <c r="E189" s="212" t="s">
        <v>172</v>
      </c>
      <c r="F189" s="212">
        <v>18</v>
      </c>
      <c r="G189" s="212" t="s">
        <v>175</v>
      </c>
      <c r="H189" s="212">
        <v>4103050</v>
      </c>
      <c r="I189" s="212"/>
      <c r="J189" s="212"/>
      <c r="K189" s="213">
        <v>11</v>
      </c>
      <c r="L189" s="214" t="s">
        <v>29</v>
      </c>
      <c r="M189" s="210" t="s">
        <v>269</v>
      </c>
      <c r="N189" s="215">
        <v>0</v>
      </c>
      <c r="O189" s="215">
        <v>0</v>
      </c>
      <c r="P189" s="215">
        <v>0</v>
      </c>
      <c r="Q189" s="215">
        <v>0</v>
      </c>
      <c r="R189" s="215">
        <v>0</v>
      </c>
      <c r="S189" s="215">
        <v>0</v>
      </c>
      <c r="T189" s="215">
        <v>0</v>
      </c>
      <c r="U189" s="215">
        <v>0</v>
      </c>
      <c r="V189" s="215">
        <v>0</v>
      </c>
      <c r="W189" s="216">
        <v>0</v>
      </c>
      <c r="X189" s="215">
        <v>0</v>
      </c>
      <c r="Y189" s="215">
        <v>0</v>
      </c>
      <c r="Z189" s="216">
        <v>0</v>
      </c>
      <c r="AA189" s="215">
        <v>0</v>
      </c>
      <c r="AB189" s="215">
        <v>0</v>
      </c>
      <c r="AC189" s="216">
        <v>0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">
        <v>661</v>
      </c>
      <c r="B190" s="217" t="s">
        <v>662</v>
      </c>
      <c r="C190" s="266" t="s">
        <v>167</v>
      </c>
      <c r="D190" s="267" t="s">
        <v>190</v>
      </c>
      <c r="E190" s="267" t="s">
        <v>172</v>
      </c>
      <c r="F190" s="267">
        <v>18</v>
      </c>
      <c r="G190" s="267" t="s">
        <v>175</v>
      </c>
      <c r="H190" s="267">
        <v>4103050</v>
      </c>
      <c r="I190" s="267" t="s">
        <v>54</v>
      </c>
      <c r="J190" s="267"/>
      <c r="K190" s="268">
        <v>11</v>
      </c>
      <c r="L190" s="269" t="s">
        <v>29</v>
      </c>
      <c r="M190" s="259" t="s">
        <v>178</v>
      </c>
      <c r="N190" s="222"/>
      <c r="O190" s="222"/>
      <c r="P190" s="222"/>
      <c r="Q190" s="222"/>
      <c r="R190" s="223"/>
      <c r="S190" s="222"/>
      <c r="T190" s="222">
        <v>0</v>
      </c>
      <c r="U190" s="222"/>
      <c r="V190" s="222">
        <v>0</v>
      </c>
      <c r="W190" s="224">
        <v>0</v>
      </c>
      <c r="X190" s="222"/>
      <c r="Y190" s="222">
        <v>0</v>
      </c>
      <c r="Z190" s="224">
        <v>0</v>
      </c>
      <c r="AA190" s="222"/>
      <c r="AB190" s="222">
        <v>0</v>
      </c>
      <c r="AC190" s="224"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36" customHeight="1">
      <c r="A191" s="32" t="s">
        <v>663</v>
      </c>
      <c r="B191" s="226" t="s">
        <v>664</v>
      </c>
      <c r="C191" s="227" t="s">
        <v>167</v>
      </c>
      <c r="D191" s="228" t="s">
        <v>190</v>
      </c>
      <c r="E191" s="228" t="s">
        <v>172</v>
      </c>
      <c r="F191" s="228">
        <v>19</v>
      </c>
      <c r="G191" s="228"/>
      <c r="H191" s="228"/>
      <c r="I191" s="228"/>
      <c r="J191" s="228"/>
      <c r="K191" s="229"/>
      <c r="L191" s="230"/>
      <c r="M191" s="231" t="s">
        <v>285</v>
      </c>
      <c r="N191" s="232">
        <v>12733806741</v>
      </c>
      <c r="O191" s="232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12733806741</v>
      </c>
      <c r="U191" s="232">
        <v>9436207327</v>
      </c>
      <c r="V191" s="232">
        <v>3297599414</v>
      </c>
      <c r="W191" s="233">
        <v>0.74103585195914201</v>
      </c>
      <c r="X191" s="232">
        <v>106603319.75</v>
      </c>
      <c r="Y191" s="232">
        <v>9329604007.25</v>
      </c>
      <c r="Z191" s="233">
        <v>0.98870273659153574</v>
      </c>
      <c r="AA191" s="232">
        <v>106603319.75</v>
      </c>
      <c r="AB191" s="232">
        <v>0</v>
      </c>
      <c r="AC191" s="233">
        <v>1.129726340846432E-2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39.75" customHeight="1">
      <c r="A192" s="32" t="s">
        <v>665</v>
      </c>
      <c r="B192" s="210" t="s">
        <v>666</v>
      </c>
      <c r="C192" s="211" t="s">
        <v>167</v>
      </c>
      <c r="D192" s="212" t="s">
        <v>190</v>
      </c>
      <c r="E192" s="212" t="s">
        <v>172</v>
      </c>
      <c r="F192" s="212">
        <v>19</v>
      </c>
      <c r="G192" s="212" t="s">
        <v>175</v>
      </c>
      <c r="H192" s="212">
        <v>4103049</v>
      </c>
      <c r="I192" s="212"/>
      <c r="J192" s="212"/>
      <c r="K192" s="213">
        <v>11</v>
      </c>
      <c r="L192" s="214" t="s">
        <v>29</v>
      </c>
      <c r="M192" s="210" t="s">
        <v>228</v>
      </c>
      <c r="N192" s="215">
        <v>380000000</v>
      </c>
      <c r="O192" s="215">
        <v>0</v>
      </c>
      <c r="P192" s="215">
        <v>0</v>
      </c>
      <c r="Q192" s="215">
        <v>0</v>
      </c>
      <c r="R192" s="215">
        <v>0</v>
      </c>
      <c r="S192" s="215">
        <v>0</v>
      </c>
      <c r="T192" s="215">
        <v>380000000</v>
      </c>
      <c r="U192" s="215">
        <v>272454258</v>
      </c>
      <c r="V192" s="215">
        <v>107545742</v>
      </c>
      <c r="W192" s="216">
        <v>0.71698488947368422</v>
      </c>
      <c r="X192" s="215">
        <v>2138280</v>
      </c>
      <c r="Y192" s="215">
        <v>270315978</v>
      </c>
      <c r="Z192" s="216">
        <v>0.99215178351149136</v>
      </c>
      <c r="AA192" s="215">
        <v>2138280</v>
      </c>
      <c r="AB192" s="215">
        <v>0</v>
      </c>
      <c r="AC192" s="216">
        <v>7.8482164885086882E-3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24.95" customHeight="1">
      <c r="A193" s="32" t="s">
        <v>667</v>
      </c>
      <c r="B193" s="217" t="s">
        <v>668</v>
      </c>
      <c r="C193" s="266" t="s">
        <v>167</v>
      </c>
      <c r="D193" s="267" t="s">
        <v>190</v>
      </c>
      <c r="E193" s="267" t="s">
        <v>172</v>
      </c>
      <c r="F193" s="267">
        <v>19</v>
      </c>
      <c r="G193" s="267" t="s">
        <v>175</v>
      </c>
      <c r="H193" s="267">
        <v>4103049</v>
      </c>
      <c r="I193" s="267" t="s">
        <v>54</v>
      </c>
      <c r="J193" s="267"/>
      <c r="K193" s="268">
        <v>11</v>
      </c>
      <c r="L193" s="269" t="s">
        <v>29</v>
      </c>
      <c r="M193" s="259" t="s">
        <v>178</v>
      </c>
      <c r="N193" s="222">
        <v>380000000</v>
      </c>
      <c r="O193" s="222"/>
      <c r="P193" s="222"/>
      <c r="Q193" s="222"/>
      <c r="R193" s="223"/>
      <c r="S193" s="222"/>
      <c r="T193" s="222">
        <v>380000000</v>
      </c>
      <c r="U193" s="222">
        <v>272454258</v>
      </c>
      <c r="V193" s="222">
        <v>107545742</v>
      </c>
      <c r="W193" s="224">
        <v>0.71698488947368422</v>
      </c>
      <c r="X193" s="222">
        <v>2138280</v>
      </c>
      <c r="Y193" s="222">
        <v>270315978</v>
      </c>
      <c r="Z193" s="224">
        <v>0.99215178351149136</v>
      </c>
      <c r="AA193" s="222">
        <v>2138280</v>
      </c>
      <c r="AB193" s="222">
        <v>0</v>
      </c>
      <c r="AC193" s="224">
        <v>7.8482164885086882E-3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34.5" customHeight="1">
      <c r="A194" s="32" t="s">
        <v>669</v>
      </c>
      <c r="B194" s="210" t="s">
        <v>670</v>
      </c>
      <c r="C194" s="211" t="s">
        <v>167</v>
      </c>
      <c r="D194" s="212" t="s">
        <v>190</v>
      </c>
      <c r="E194" s="212" t="s">
        <v>172</v>
      </c>
      <c r="F194" s="212">
        <v>19</v>
      </c>
      <c r="G194" s="212" t="s">
        <v>175</v>
      </c>
      <c r="H194" s="212">
        <v>4103052</v>
      </c>
      <c r="I194" s="212"/>
      <c r="J194" s="212"/>
      <c r="K194" s="213">
        <v>11</v>
      </c>
      <c r="L194" s="214" t="s">
        <v>29</v>
      </c>
      <c r="M194" s="210" t="s">
        <v>229</v>
      </c>
      <c r="N194" s="215">
        <v>12353806741</v>
      </c>
      <c r="O194" s="215">
        <v>0</v>
      </c>
      <c r="P194" s="215">
        <v>0</v>
      </c>
      <c r="Q194" s="215">
        <v>0</v>
      </c>
      <c r="R194" s="215">
        <v>0</v>
      </c>
      <c r="S194" s="215">
        <v>0</v>
      </c>
      <c r="T194" s="215">
        <v>12353806741</v>
      </c>
      <c r="U194" s="215">
        <v>9163753069</v>
      </c>
      <c r="V194" s="215">
        <v>3190053672</v>
      </c>
      <c r="W194" s="216">
        <v>0.74177565353901787</v>
      </c>
      <c r="X194" s="215">
        <v>104465039.75</v>
      </c>
      <c r="Y194" s="215">
        <v>9059288029.25</v>
      </c>
      <c r="Z194" s="216">
        <v>0.98860019044998126</v>
      </c>
      <c r="AA194" s="215">
        <v>104465039.75</v>
      </c>
      <c r="AB194" s="215">
        <v>0</v>
      </c>
      <c r="AC194" s="216">
        <v>1.1399809550018769E-2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">
        <v>671</v>
      </c>
      <c r="B195" s="217" t="s">
        <v>672</v>
      </c>
      <c r="C195" s="266" t="s">
        <v>167</v>
      </c>
      <c r="D195" s="267" t="s">
        <v>190</v>
      </c>
      <c r="E195" s="267" t="s">
        <v>172</v>
      </c>
      <c r="F195" s="267">
        <v>19</v>
      </c>
      <c r="G195" s="267" t="s">
        <v>175</v>
      </c>
      <c r="H195" s="267">
        <v>4103052</v>
      </c>
      <c r="I195" s="267" t="s">
        <v>54</v>
      </c>
      <c r="J195" s="267"/>
      <c r="K195" s="268">
        <v>11</v>
      </c>
      <c r="L195" s="269" t="s">
        <v>29</v>
      </c>
      <c r="M195" s="259" t="s">
        <v>178</v>
      </c>
      <c r="N195" s="222">
        <v>12353806741</v>
      </c>
      <c r="O195" s="222"/>
      <c r="P195" s="222"/>
      <c r="Q195" s="222"/>
      <c r="R195" s="223"/>
      <c r="S195" s="222"/>
      <c r="T195" s="222">
        <v>12353806741</v>
      </c>
      <c r="U195" s="222">
        <v>9163753069</v>
      </c>
      <c r="V195" s="222">
        <v>3190053672</v>
      </c>
      <c r="W195" s="224">
        <v>0.74177565353901787</v>
      </c>
      <c r="X195" s="222">
        <v>104465039.75</v>
      </c>
      <c r="Y195" s="222">
        <v>9059288029.25</v>
      </c>
      <c r="Z195" s="224">
        <v>0.98860019044998126</v>
      </c>
      <c r="AA195" s="222">
        <v>104465039.75</v>
      </c>
      <c r="AB195" s="222">
        <v>0</v>
      </c>
      <c r="AC195" s="224">
        <v>1.1399809550018769E-2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24.95" customHeight="1">
      <c r="A196" s="32" t="s">
        <v>673</v>
      </c>
      <c r="B196" s="210" t="s">
        <v>674</v>
      </c>
      <c r="C196" s="211" t="s">
        <v>167</v>
      </c>
      <c r="D196" s="212" t="s">
        <v>190</v>
      </c>
      <c r="E196" s="212" t="s">
        <v>172</v>
      </c>
      <c r="F196" s="212">
        <v>19</v>
      </c>
      <c r="G196" s="212" t="s">
        <v>175</v>
      </c>
      <c r="H196" s="212">
        <v>4103060</v>
      </c>
      <c r="I196" s="212"/>
      <c r="J196" s="212"/>
      <c r="K196" s="213">
        <v>11</v>
      </c>
      <c r="L196" s="214" t="s">
        <v>29</v>
      </c>
      <c r="M196" s="210" t="s">
        <v>216</v>
      </c>
      <c r="N196" s="215">
        <v>0</v>
      </c>
      <c r="O196" s="215">
        <v>0</v>
      </c>
      <c r="P196" s="215">
        <v>0</v>
      </c>
      <c r="Q196" s="215">
        <v>0</v>
      </c>
      <c r="R196" s="215">
        <v>0</v>
      </c>
      <c r="S196" s="215">
        <v>0</v>
      </c>
      <c r="T196" s="215">
        <v>0</v>
      </c>
      <c r="U196" s="215">
        <v>0</v>
      </c>
      <c r="V196" s="215">
        <v>0</v>
      </c>
      <c r="W196" s="216">
        <v>0</v>
      </c>
      <c r="X196" s="215">
        <v>0</v>
      </c>
      <c r="Y196" s="215">
        <v>0</v>
      </c>
      <c r="Z196" s="216">
        <v>0</v>
      </c>
      <c r="AA196" s="215">
        <v>0</v>
      </c>
      <c r="AB196" s="215">
        <v>0</v>
      </c>
      <c r="AC196" s="216">
        <v>0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24.95" customHeight="1">
      <c r="A197" s="32" t="s">
        <v>675</v>
      </c>
      <c r="B197" s="217" t="s">
        <v>676</v>
      </c>
      <c r="C197" s="266" t="s">
        <v>167</v>
      </c>
      <c r="D197" s="267" t="s">
        <v>190</v>
      </c>
      <c r="E197" s="267" t="s">
        <v>172</v>
      </c>
      <c r="F197" s="267">
        <v>19</v>
      </c>
      <c r="G197" s="267" t="s">
        <v>175</v>
      </c>
      <c r="H197" s="267">
        <v>4103060</v>
      </c>
      <c r="I197" s="267" t="s">
        <v>54</v>
      </c>
      <c r="J197" s="267"/>
      <c r="K197" s="268">
        <v>11</v>
      </c>
      <c r="L197" s="269" t="s">
        <v>29</v>
      </c>
      <c r="M197" s="259" t="s">
        <v>178</v>
      </c>
      <c r="N197" s="222"/>
      <c r="O197" s="222"/>
      <c r="P197" s="222"/>
      <c r="Q197" s="222"/>
      <c r="R197" s="222"/>
      <c r="S197" s="222"/>
      <c r="T197" s="222">
        <v>0</v>
      </c>
      <c r="U197" s="222">
        <v>0</v>
      </c>
      <c r="V197" s="222">
        <v>0</v>
      </c>
      <c r="W197" s="224">
        <v>0</v>
      </c>
      <c r="X197" s="222">
        <v>0</v>
      </c>
      <c r="Y197" s="222">
        <v>0</v>
      </c>
      <c r="Z197" s="224">
        <v>0</v>
      </c>
      <c r="AA197" s="222">
        <v>0</v>
      </c>
      <c r="AB197" s="222">
        <v>0</v>
      </c>
      <c r="AC197" s="224">
        <v>0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47.25" customHeight="1">
      <c r="A198" s="32" t="s">
        <v>677</v>
      </c>
      <c r="B198" s="226" t="s">
        <v>678</v>
      </c>
      <c r="C198" s="227" t="s">
        <v>167</v>
      </c>
      <c r="D198" s="228" t="s">
        <v>190</v>
      </c>
      <c r="E198" s="228" t="s">
        <v>172</v>
      </c>
      <c r="F198" s="228">
        <v>20</v>
      </c>
      <c r="G198" s="228"/>
      <c r="H198" s="228"/>
      <c r="I198" s="228"/>
      <c r="J198" s="228"/>
      <c r="K198" s="229"/>
      <c r="L198" s="230"/>
      <c r="M198" s="231" t="s">
        <v>777</v>
      </c>
      <c r="N198" s="232">
        <v>960000000000</v>
      </c>
      <c r="O198" s="232">
        <v>0</v>
      </c>
      <c r="P198" s="232">
        <v>0</v>
      </c>
      <c r="Q198" s="232">
        <v>0</v>
      </c>
      <c r="R198" s="232">
        <v>0</v>
      </c>
      <c r="S198" s="232">
        <v>0</v>
      </c>
      <c r="T198" s="232">
        <v>960000000000</v>
      </c>
      <c r="U198" s="232">
        <v>1293981146</v>
      </c>
      <c r="V198" s="232">
        <v>958706018854</v>
      </c>
      <c r="W198" s="233">
        <v>1.3478970270833334E-3</v>
      </c>
      <c r="X198" s="232">
        <v>11480436</v>
      </c>
      <c r="Y198" s="232">
        <v>1282500710</v>
      </c>
      <c r="Z198" s="233">
        <v>0.99112781817919937</v>
      </c>
      <c r="AA198" s="232">
        <v>11480436</v>
      </c>
      <c r="AB198" s="232">
        <v>0</v>
      </c>
      <c r="AC198" s="233">
        <v>8.8721818208006564E-3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36.75" customHeight="1">
      <c r="A199" s="32" t="s">
        <v>679</v>
      </c>
      <c r="B199" s="210" t="s">
        <v>680</v>
      </c>
      <c r="C199" s="211" t="s">
        <v>167</v>
      </c>
      <c r="D199" s="212" t="s">
        <v>190</v>
      </c>
      <c r="E199" s="212" t="s">
        <v>172</v>
      </c>
      <c r="F199" s="212">
        <v>20</v>
      </c>
      <c r="G199" s="212" t="s">
        <v>175</v>
      </c>
      <c r="H199" s="212">
        <v>4103061</v>
      </c>
      <c r="I199" s="212"/>
      <c r="J199" s="212"/>
      <c r="K199" s="213">
        <v>11</v>
      </c>
      <c r="L199" s="214" t="s">
        <v>29</v>
      </c>
      <c r="M199" s="210" t="s">
        <v>231</v>
      </c>
      <c r="N199" s="215">
        <v>960000000000</v>
      </c>
      <c r="O199" s="215">
        <v>0</v>
      </c>
      <c r="P199" s="215">
        <v>0</v>
      </c>
      <c r="Q199" s="215">
        <v>0</v>
      </c>
      <c r="R199" s="215">
        <v>0</v>
      </c>
      <c r="S199" s="215">
        <v>0</v>
      </c>
      <c r="T199" s="215">
        <v>960000000000</v>
      </c>
      <c r="U199" s="215">
        <v>1293981146</v>
      </c>
      <c r="V199" s="215">
        <v>958706018854</v>
      </c>
      <c r="W199" s="216">
        <v>1.3478970270833334E-3</v>
      </c>
      <c r="X199" s="215">
        <v>11480436</v>
      </c>
      <c r="Y199" s="215">
        <v>1282500710</v>
      </c>
      <c r="Z199" s="216">
        <v>0.99112781817919937</v>
      </c>
      <c r="AA199" s="215">
        <v>11480436</v>
      </c>
      <c r="AB199" s="215">
        <v>0</v>
      </c>
      <c r="AC199" s="216">
        <v>8.8721818208006564E-3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>
      <c r="A200" s="32" t="s">
        <v>681</v>
      </c>
      <c r="B200" s="217" t="s">
        <v>682</v>
      </c>
      <c r="C200" s="266" t="s">
        <v>167</v>
      </c>
      <c r="D200" s="267" t="s">
        <v>190</v>
      </c>
      <c r="E200" s="267" t="s">
        <v>172</v>
      </c>
      <c r="F200" s="267">
        <v>20</v>
      </c>
      <c r="G200" s="267" t="s">
        <v>175</v>
      </c>
      <c r="H200" s="267">
        <v>4103061</v>
      </c>
      <c r="I200" s="267" t="s">
        <v>54</v>
      </c>
      <c r="J200" s="267"/>
      <c r="K200" s="268">
        <v>11</v>
      </c>
      <c r="L200" s="269" t="s">
        <v>29</v>
      </c>
      <c r="M200" s="259" t="s">
        <v>178</v>
      </c>
      <c r="N200" s="222">
        <v>52278387000</v>
      </c>
      <c r="O200" s="222"/>
      <c r="P200" s="222"/>
      <c r="Q200" s="222"/>
      <c r="R200" s="223"/>
      <c r="S200" s="222"/>
      <c r="T200" s="222">
        <v>52278387000</v>
      </c>
      <c r="U200" s="222">
        <v>1293981146</v>
      </c>
      <c r="V200" s="222">
        <v>50984405854</v>
      </c>
      <c r="W200" s="224">
        <v>2.4751741977043017E-2</v>
      </c>
      <c r="X200" s="222">
        <v>11480436</v>
      </c>
      <c r="Y200" s="222">
        <v>1282500710</v>
      </c>
      <c r="Z200" s="224">
        <v>0.99112781817919937</v>
      </c>
      <c r="AA200" s="222">
        <v>11480436</v>
      </c>
      <c r="AB200" s="222">
        <v>0</v>
      </c>
      <c r="AC200" s="224">
        <v>8.8721818208006564E-3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24.95" customHeight="1">
      <c r="A201" s="32" t="s">
        <v>683</v>
      </c>
      <c r="B201" s="217" t="s">
        <v>684</v>
      </c>
      <c r="C201" s="266" t="s">
        <v>167</v>
      </c>
      <c r="D201" s="267" t="s">
        <v>190</v>
      </c>
      <c r="E201" s="267" t="s">
        <v>172</v>
      </c>
      <c r="F201" s="267">
        <v>20</v>
      </c>
      <c r="G201" s="267" t="s">
        <v>175</v>
      </c>
      <c r="H201" s="267">
        <v>4103061</v>
      </c>
      <c r="I201" s="274" t="s">
        <v>65</v>
      </c>
      <c r="J201" s="267"/>
      <c r="K201" s="268">
        <v>11</v>
      </c>
      <c r="L201" s="269" t="s">
        <v>29</v>
      </c>
      <c r="M201" s="259" t="s">
        <v>127</v>
      </c>
      <c r="N201" s="222">
        <v>907721613000</v>
      </c>
      <c r="O201" s="222"/>
      <c r="P201" s="222"/>
      <c r="Q201" s="222"/>
      <c r="R201" s="223"/>
      <c r="S201" s="222"/>
      <c r="T201" s="222">
        <v>907721613000</v>
      </c>
      <c r="U201" s="222">
        <v>0</v>
      </c>
      <c r="V201" s="222">
        <v>907721613000</v>
      </c>
      <c r="W201" s="224">
        <v>0</v>
      </c>
      <c r="X201" s="222">
        <v>0</v>
      </c>
      <c r="Y201" s="222">
        <v>0</v>
      </c>
      <c r="Z201" s="224">
        <v>0</v>
      </c>
      <c r="AA201" s="222">
        <v>0</v>
      </c>
      <c r="AB201" s="222">
        <v>0</v>
      </c>
      <c r="AC201" s="224">
        <v>0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ht="52.5" customHeight="1">
      <c r="A202" s="32" t="s">
        <v>782</v>
      </c>
      <c r="B202" s="226" t="s">
        <v>692</v>
      </c>
      <c r="C202" s="227" t="s">
        <v>167</v>
      </c>
      <c r="D202" s="228">
        <v>4103</v>
      </c>
      <c r="E202" s="228" t="s">
        <v>172</v>
      </c>
      <c r="F202" s="228">
        <v>21</v>
      </c>
      <c r="G202" s="228"/>
      <c r="H202" s="228"/>
      <c r="I202" s="228"/>
      <c r="J202" s="228"/>
      <c r="K202" s="229"/>
      <c r="L202" s="230"/>
      <c r="M202" s="231" t="s">
        <v>778</v>
      </c>
      <c r="N202" s="232">
        <v>25000000000</v>
      </c>
      <c r="O202" s="232">
        <v>0</v>
      </c>
      <c r="P202" s="232">
        <v>0</v>
      </c>
      <c r="Q202" s="232">
        <v>14595750816</v>
      </c>
      <c r="R202" s="232">
        <v>14595750816</v>
      </c>
      <c r="S202" s="232">
        <v>0</v>
      </c>
      <c r="T202" s="232">
        <v>25000000000</v>
      </c>
      <c r="U202" s="232">
        <v>1955530187</v>
      </c>
      <c r="V202" s="232">
        <v>23044469813</v>
      </c>
      <c r="W202" s="233">
        <v>7.8221207479999999E-2</v>
      </c>
      <c r="X202" s="232">
        <v>80523442</v>
      </c>
      <c r="Y202" s="232">
        <v>1875006745</v>
      </c>
      <c r="Z202" s="233">
        <v>0.95882270571157391</v>
      </c>
      <c r="AA202" s="232">
        <v>63910959</v>
      </c>
      <c r="AB202" s="232">
        <v>16612483</v>
      </c>
      <c r="AC202" s="233">
        <v>3.2682164368961493E-2</v>
      </c>
    </row>
    <row r="203" spans="1:52" ht="24.95" customHeight="1">
      <c r="A203" s="32" t="s">
        <v>783</v>
      </c>
      <c r="B203" s="210" t="s">
        <v>693</v>
      </c>
      <c r="C203" s="211" t="s">
        <v>167</v>
      </c>
      <c r="D203" s="212">
        <v>4103</v>
      </c>
      <c r="E203" s="212" t="s">
        <v>172</v>
      </c>
      <c r="F203" s="212">
        <v>21</v>
      </c>
      <c r="G203" s="212" t="s">
        <v>175</v>
      </c>
      <c r="H203" s="212" t="s">
        <v>219</v>
      </c>
      <c r="I203" s="212"/>
      <c r="J203" s="212"/>
      <c r="K203" s="213" t="s">
        <v>144</v>
      </c>
      <c r="L203" s="214" t="s">
        <v>29</v>
      </c>
      <c r="M203" s="210" t="s">
        <v>233</v>
      </c>
      <c r="N203" s="215">
        <v>2606454177</v>
      </c>
      <c r="O203" s="215">
        <v>0</v>
      </c>
      <c r="P203" s="215">
        <v>0</v>
      </c>
      <c r="Q203" s="215">
        <v>0</v>
      </c>
      <c r="R203" s="215">
        <v>0</v>
      </c>
      <c r="S203" s="215">
        <v>0</v>
      </c>
      <c r="T203" s="215">
        <v>2606454177</v>
      </c>
      <c r="U203" s="215">
        <v>0</v>
      </c>
      <c r="V203" s="215">
        <v>2606454177</v>
      </c>
      <c r="W203" s="216">
        <v>0</v>
      </c>
      <c r="X203" s="215">
        <v>0</v>
      </c>
      <c r="Y203" s="215">
        <v>0</v>
      </c>
      <c r="Z203" s="216">
        <v>0</v>
      </c>
      <c r="AA203" s="215">
        <v>0</v>
      </c>
      <c r="AB203" s="215">
        <v>0</v>
      </c>
      <c r="AC203" s="216">
        <v>0</v>
      </c>
    </row>
    <row r="204" spans="1:52" ht="24.95" customHeight="1">
      <c r="A204" s="32" t="s">
        <v>784</v>
      </c>
      <c r="B204" s="217" t="s">
        <v>694</v>
      </c>
      <c r="C204" s="218" t="s">
        <v>167</v>
      </c>
      <c r="D204" s="219">
        <v>4103</v>
      </c>
      <c r="E204" s="219" t="s">
        <v>172</v>
      </c>
      <c r="F204" s="219">
        <v>21</v>
      </c>
      <c r="G204" s="219" t="s">
        <v>175</v>
      </c>
      <c r="H204" s="219" t="s">
        <v>219</v>
      </c>
      <c r="I204" s="219" t="s">
        <v>54</v>
      </c>
      <c r="J204" s="219"/>
      <c r="K204" s="220" t="s">
        <v>144</v>
      </c>
      <c r="L204" s="221" t="s">
        <v>29</v>
      </c>
      <c r="M204" s="259" t="s">
        <v>178</v>
      </c>
      <c r="N204" s="222">
        <v>2606454177</v>
      </c>
      <c r="O204" s="222"/>
      <c r="P204" s="222"/>
      <c r="Q204" s="223"/>
      <c r="R204" s="222"/>
      <c r="S204" s="222"/>
      <c r="T204" s="222">
        <v>2606454177</v>
      </c>
      <c r="U204" s="222"/>
      <c r="V204" s="222">
        <v>2606454177</v>
      </c>
      <c r="W204" s="224">
        <v>0</v>
      </c>
      <c r="X204" s="222">
        <v>0</v>
      </c>
      <c r="Y204" s="222">
        <v>0</v>
      </c>
      <c r="Z204" s="224">
        <v>0</v>
      </c>
      <c r="AA204" s="222">
        <v>0</v>
      </c>
      <c r="AB204" s="222">
        <v>0</v>
      </c>
      <c r="AC204" s="224">
        <v>0</v>
      </c>
    </row>
    <row r="205" spans="1:52" ht="29.25" customHeight="1">
      <c r="A205" s="32" t="s">
        <v>785</v>
      </c>
      <c r="B205" s="210" t="s">
        <v>695</v>
      </c>
      <c r="C205" s="211" t="s">
        <v>167</v>
      </c>
      <c r="D205" s="212">
        <v>4103</v>
      </c>
      <c r="E205" s="212" t="s">
        <v>172</v>
      </c>
      <c r="F205" s="212">
        <v>21</v>
      </c>
      <c r="G205" s="212" t="s">
        <v>175</v>
      </c>
      <c r="H205" s="212" t="s">
        <v>234</v>
      </c>
      <c r="I205" s="212"/>
      <c r="J205" s="212"/>
      <c r="K205" s="213" t="s">
        <v>144</v>
      </c>
      <c r="L205" s="214" t="s">
        <v>29</v>
      </c>
      <c r="M205" s="210" t="s">
        <v>235</v>
      </c>
      <c r="N205" s="215">
        <v>1252740115</v>
      </c>
      <c r="O205" s="215">
        <v>0</v>
      </c>
      <c r="P205" s="215">
        <v>0</v>
      </c>
      <c r="Q205" s="215">
        <v>0</v>
      </c>
      <c r="R205" s="215">
        <v>0</v>
      </c>
      <c r="S205" s="215">
        <v>0</v>
      </c>
      <c r="T205" s="215">
        <v>1252740115</v>
      </c>
      <c r="U205" s="215">
        <v>0</v>
      </c>
      <c r="V205" s="215">
        <v>1252740115</v>
      </c>
      <c r="W205" s="216">
        <v>0</v>
      </c>
      <c r="X205" s="215">
        <v>0</v>
      </c>
      <c r="Y205" s="215">
        <v>0</v>
      </c>
      <c r="Z205" s="216">
        <v>0</v>
      </c>
      <c r="AA205" s="215">
        <v>0</v>
      </c>
      <c r="AB205" s="215">
        <v>0</v>
      </c>
      <c r="AC205" s="216">
        <v>0</v>
      </c>
    </row>
    <row r="206" spans="1:52" ht="24.95" customHeight="1">
      <c r="A206" s="32" t="s">
        <v>786</v>
      </c>
      <c r="B206" s="217" t="s">
        <v>696</v>
      </c>
      <c r="C206" s="218" t="s">
        <v>167</v>
      </c>
      <c r="D206" s="219">
        <v>4103</v>
      </c>
      <c r="E206" s="219" t="s">
        <v>172</v>
      </c>
      <c r="F206" s="219">
        <v>21</v>
      </c>
      <c r="G206" s="219" t="s">
        <v>175</v>
      </c>
      <c r="H206" s="219" t="s">
        <v>234</v>
      </c>
      <c r="I206" s="219" t="s">
        <v>54</v>
      </c>
      <c r="J206" s="219"/>
      <c r="K206" s="220" t="s">
        <v>144</v>
      </c>
      <c r="L206" s="221" t="s">
        <v>29</v>
      </c>
      <c r="M206" s="259" t="s">
        <v>178</v>
      </c>
      <c r="N206" s="222">
        <v>1252740115</v>
      </c>
      <c r="O206" s="222"/>
      <c r="P206" s="222"/>
      <c r="Q206" s="222"/>
      <c r="R206" s="222"/>
      <c r="S206" s="222"/>
      <c r="T206" s="222">
        <v>1252740115</v>
      </c>
      <c r="U206" s="222"/>
      <c r="V206" s="222">
        <v>1252740115</v>
      </c>
      <c r="W206" s="224">
        <v>0</v>
      </c>
      <c r="X206" s="222">
        <v>0</v>
      </c>
      <c r="Y206" s="222">
        <v>0</v>
      </c>
      <c r="Z206" s="224">
        <v>0</v>
      </c>
      <c r="AA206" s="222">
        <v>0</v>
      </c>
      <c r="AB206" s="222">
        <v>0</v>
      </c>
      <c r="AC206" s="224">
        <v>0</v>
      </c>
    </row>
    <row r="207" spans="1:52" ht="31.5" customHeight="1">
      <c r="A207" s="32" t="s">
        <v>787</v>
      </c>
      <c r="B207" s="210" t="s">
        <v>697</v>
      </c>
      <c r="C207" s="211" t="s">
        <v>167</v>
      </c>
      <c r="D207" s="212">
        <v>4103</v>
      </c>
      <c r="E207" s="212" t="s">
        <v>172</v>
      </c>
      <c r="F207" s="212">
        <v>21</v>
      </c>
      <c r="G207" s="212" t="s">
        <v>175</v>
      </c>
      <c r="H207" s="212" t="s">
        <v>197</v>
      </c>
      <c r="I207" s="212"/>
      <c r="J207" s="212"/>
      <c r="K207" s="213" t="s">
        <v>144</v>
      </c>
      <c r="L207" s="214" t="s">
        <v>29</v>
      </c>
      <c r="M207" s="210" t="s">
        <v>236</v>
      </c>
      <c r="N207" s="215">
        <v>1722076323</v>
      </c>
      <c r="O207" s="215">
        <v>0</v>
      </c>
      <c r="P207" s="215">
        <v>0</v>
      </c>
      <c r="Q207" s="215">
        <v>0</v>
      </c>
      <c r="R207" s="215">
        <v>0</v>
      </c>
      <c r="S207" s="215">
        <v>0</v>
      </c>
      <c r="T207" s="215">
        <v>1722076323</v>
      </c>
      <c r="U207" s="215">
        <v>0</v>
      </c>
      <c r="V207" s="215">
        <v>1722076323</v>
      </c>
      <c r="W207" s="216">
        <v>0</v>
      </c>
      <c r="X207" s="215">
        <v>0</v>
      </c>
      <c r="Y207" s="215">
        <v>0</v>
      </c>
      <c r="Z207" s="216">
        <v>0</v>
      </c>
      <c r="AA207" s="215">
        <v>0</v>
      </c>
      <c r="AB207" s="215">
        <v>0</v>
      </c>
      <c r="AC207" s="216">
        <v>0</v>
      </c>
    </row>
    <row r="208" spans="1:52" ht="24.95" customHeight="1">
      <c r="A208" s="32" t="s">
        <v>788</v>
      </c>
      <c r="B208" s="217" t="s">
        <v>698</v>
      </c>
      <c r="C208" s="218" t="s">
        <v>167</v>
      </c>
      <c r="D208" s="219">
        <v>4103</v>
      </c>
      <c r="E208" s="219" t="s">
        <v>172</v>
      </c>
      <c r="F208" s="219">
        <v>21</v>
      </c>
      <c r="G208" s="219" t="s">
        <v>175</v>
      </c>
      <c r="H208" s="219" t="s">
        <v>197</v>
      </c>
      <c r="I208" s="219" t="s">
        <v>54</v>
      </c>
      <c r="J208" s="219"/>
      <c r="K208" s="220" t="s">
        <v>144</v>
      </c>
      <c r="L208" s="221" t="s">
        <v>29</v>
      </c>
      <c r="M208" s="259" t="s">
        <v>178</v>
      </c>
      <c r="N208" s="222">
        <v>1722076323</v>
      </c>
      <c r="O208" s="222"/>
      <c r="P208" s="222"/>
      <c r="Q208" s="222"/>
      <c r="R208" s="222"/>
      <c r="S208" s="222"/>
      <c r="T208" s="222">
        <v>1722076323</v>
      </c>
      <c r="U208" s="222"/>
      <c r="V208" s="222">
        <v>1722076323</v>
      </c>
      <c r="W208" s="224">
        <v>0</v>
      </c>
      <c r="X208" s="222"/>
      <c r="Y208" s="222">
        <v>0</v>
      </c>
      <c r="Z208" s="224">
        <v>0</v>
      </c>
      <c r="AA208" s="222"/>
      <c r="AB208" s="222">
        <v>0</v>
      </c>
      <c r="AC208" s="224">
        <v>0</v>
      </c>
    </row>
    <row r="209" spans="1:29" ht="31.5" customHeight="1">
      <c r="A209" s="32" t="s">
        <v>789</v>
      </c>
      <c r="B209" s="210" t="s">
        <v>699</v>
      </c>
      <c r="C209" s="211" t="s">
        <v>167</v>
      </c>
      <c r="D209" s="212">
        <v>4103</v>
      </c>
      <c r="E209" s="212" t="s">
        <v>172</v>
      </c>
      <c r="F209" s="212">
        <v>21</v>
      </c>
      <c r="G209" s="212" t="s">
        <v>175</v>
      </c>
      <c r="H209" s="212" t="s">
        <v>203</v>
      </c>
      <c r="I209" s="212"/>
      <c r="J209" s="212"/>
      <c r="K209" s="213" t="s">
        <v>144</v>
      </c>
      <c r="L209" s="214" t="s">
        <v>29</v>
      </c>
      <c r="M209" s="210" t="s">
        <v>237</v>
      </c>
      <c r="N209" s="215">
        <v>4822978569</v>
      </c>
      <c r="O209" s="215">
        <v>0</v>
      </c>
      <c r="P209" s="215">
        <v>0</v>
      </c>
      <c r="Q209" s="215">
        <v>0</v>
      </c>
      <c r="R209" s="215">
        <v>0</v>
      </c>
      <c r="S209" s="215">
        <v>0</v>
      </c>
      <c r="T209" s="215">
        <v>4822978569</v>
      </c>
      <c r="U209" s="215">
        <v>0</v>
      </c>
      <c r="V209" s="215">
        <v>4822978569</v>
      </c>
      <c r="W209" s="216">
        <v>0</v>
      </c>
      <c r="X209" s="215">
        <v>0</v>
      </c>
      <c r="Y209" s="215">
        <v>0</v>
      </c>
      <c r="Z209" s="216">
        <v>0</v>
      </c>
      <c r="AA209" s="215">
        <v>0</v>
      </c>
      <c r="AB209" s="215">
        <v>0</v>
      </c>
      <c r="AC209" s="216">
        <v>0</v>
      </c>
    </row>
    <row r="210" spans="1:29" ht="24.95" customHeight="1">
      <c r="A210" s="32" t="s">
        <v>790</v>
      </c>
      <c r="B210" s="217" t="s">
        <v>700</v>
      </c>
      <c r="C210" s="218" t="s">
        <v>167</v>
      </c>
      <c r="D210" s="219">
        <v>4103</v>
      </c>
      <c r="E210" s="219" t="s">
        <v>172</v>
      </c>
      <c r="F210" s="219">
        <v>21</v>
      </c>
      <c r="G210" s="219" t="s">
        <v>175</v>
      </c>
      <c r="H210" s="219" t="s">
        <v>203</v>
      </c>
      <c r="I210" s="219" t="s">
        <v>54</v>
      </c>
      <c r="J210" s="219"/>
      <c r="K210" s="220" t="s">
        <v>144</v>
      </c>
      <c r="L210" s="221" t="s">
        <v>29</v>
      </c>
      <c r="M210" s="259" t="s">
        <v>178</v>
      </c>
      <c r="N210" s="222">
        <v>4822978569</v>
      </c>
      <c r="O210" s="222"/>
      <c r="P210" s="222"/>
      <c r="Q210" s="222"/>
      <c r="R210" s="222"/>
      <c r="S210" s="222"/>
      <c r="T210" s="222">
        <v>4822978569</v>
      </c>
      <c r="U210" s="222">
        <v>0</v>
      </c>
      <c r="V210" s="222">
        <v>4822978569</v>
      </c>
      <c r="W210" s="224">
        <v>0</v>
      </c>
      <c r="X210" s="222">
        <v>0</v>
      </c>
      <c r="Y210" s="222">
        <v>0</v>
      </c>
      <c r="Z210" s="224">
        <v>0</v>
      </c>
      <c r="AA210" s="222">
        <v>0</v>
      </c>
      <c r="AB210" s="222">
        <v>0</v>
      </c>
      <c r="AC210" s="224">
        <v>0</v>
      </c>
    </row>
    <row r="211" spans="1:29" ht="31.5" customHeight="1">
      <c r="A211" s="32" t="s">
        <v>791</v>
      </c>
      <c r="B211" s="210" t="s">
        <v>701</v>
      </c>
      <c r="C211" s="211" t="s">
        <v>167</v>
      </c>
      <c r="D211" s="212">
        <v>4103</v>
      </c>
      <c r="E211" s="212" t="s">
        <v>172</v>
      </c>
      <c r="F211" s="212">
        <v>21</v>
      </c>
      <c r="G211" s="212" t="s">
        <v>175</v>
      </c>
      <c r="H211" s="212" t="s">
        <v>223</v>
      </c>
      <c r="I211" s="212"/>
      <c r="J211" s="212"/>
      <c r="K211" s="213" t="s">
        <v>144</v>
      </c>
      <c r="L211" s="214" t="s">
        <v>29</v>
      </c>
      <c r="M211" s="210" t="s">
        <v>238</v>
      </c>
      <c r="N211" s="215">
        <v>14595750816</v>
      </c>
      <c r="O211" s="215">
        <v>0</v>
      </c>
      <c r="P211" s="215">
        <v>0</v>
      </c>
      <c r="Q211" s="215">
        <v>14595750816</v>
      </c>
      <c r="R211" s="215">
        <v>14595750816</v>
      </c>
      <c r="S211" s="215">
        <v>0</v>
      </c>
      <c r="T211" s="215">
        <v>14595750816</v>
      </c>
      <c r="U211" s="215">
        <v>1955530187</v>
      </c>
      <c r="V211" s="215">
        <v>12640220629</v>
      </c>
      <c r="W211" s="216">
        <v>0.13397941713668676</v>
      </c>
      <c r="X211" s="215">
        <v>80523442</v>
      </c>
      <c r="Y211" s="215">
        <v>1875006745</v>
      </c>
      <c r="Z211" s="216">
        <v>0.95882270571157391</v>
      </c>
      <c r="AA211" s="215">
        <v>63910959</v>
      </c>
      <c r="AB211" s="215">
        <v>16612483</v>
      </c>
      <c r="AC211" s="216">
        <v>3.2682164368961493E-2</v>
      </c>
    </row>
    <row r="212" spans="1:29" ht="24.95" customHeight="1">
      <c r="A212" s="32" t="s">
        <v>792</v>
      </c>
      <c r="B212" s="217" t="s">
        <v>702</v>
      </c>
      <c r="C212" s="218" t="s">
        <v>167</v>
      </c>
      <c r="D212" s="219">
        <v>4103</v>
      </c>
      <c r="E212" s="219" t="s">
        <v>172</v>
      </c>
      <c r="F212" s="219">
        <v>21</v>
      </c>
      <c r="G212" s="219" t="s">
        <v>175</v>
      </c>
      <c r="H212" s="219" t="s">
        <v>223</v>
      </c>
      <c r="I212" s="219" t="s">
        <v>54</v>
      </c>
      <c r="J212" s="219"/>
      <c r="K212" s="220" t="s">
        <v>144</v>
      </c>
      <c r="L212" s="221" t="s">
        <v>29</v>
      </c>
      <c r="M212" s="259" t="s">
        <v>178</v>
      </c>
      <c r="N212" s="223">
        <v>0</v>
      </c>
      <c r="O212" s="222"/>
      <c r="P212" s="222"/>
      <c r="Q212" s="222">
        <v>14595750816</v>
      </c>
      <c r="R212" s="222"/>
      <c r="S212" s="222"/>
      <c r="T212" s="222">
        <v>14595750816</v>
      </c>
      <c r="U212" s="222">
        <v>1955530187</v>
      </c>
      <c r="V212" s="222">
        <v>12640220629</v>
      </c>
      <c r="W212" s="224">
        <v>0.13397941713668676</v>
      </c>
      <c r="X212" s="222">
        <v>80523442</v>
      </c>
      <c r="Y212" s="222">
        <v>1875006745</v>
      </c>
      <c r="Z212" s="224">
        <v>0.95882270571157391</v>
      </c>
      <c r="AA212" s="222">
        <v>63910959</v>
      </c>
      <c r="AB212" s="222">
        <v>16612483</v>
      </c>
      <c r="AC212" s="224">
        <v>3.2682164368961493E-2</v>
      </c>
    </row>
    <row r="213" spans="1:29" ht="24.95" customHeight="1">
      <c r="A213" s="32" t="s">
        <v>793</v>
      </c>
      <c r="B213" s="217" t="s">
        <v>703</v>
      </c>
      <c r="C213" s="218" t="s">
        <v>167</v>
      </c>
      <c r="D213" s="219">
        <v>4103</v>
      </c>
      <c r="E213" s="219" t="s">
        <v>172</v>
      </c>
      <c r="F213" s="219">
        <v>21</v>
      </c>
      <c r="G213" s="219" t="s">
        <v>175</v>
      </c>
      <c r="H213" s="219" t="s">
        <v>223</v>
      </c>
      <c r="I213" s="225" t="s">
        <v>65</v>
      </c>
      <c r="J213" s="219"/>
      <c r="K213" s="220" t="s">
        <v>144</v>
      </c>
      <c r="L213" s="221" t="s">
        <v>29</v>
      </c>
      <c r="M213" s="259" t="s">
        <v>127</v>
      </c>
      <c r="N213" s="223">
        <v>14595750816</v>
      </c>
      <c r="O213" s="222"/>
      <c r="P213" s="222"/>
      <c r="Q213" s="222"/>
      <c r="R213" s="222">
        <v>14595750816</v>
      </c>
      <c r="S213" s="222"/>
      <c r="T213" s="222">
        <v>0</v>
      </c>
      <c r="U213" s="222">
        <v>0</v>
      </c>
      <c r="V213" s="222">
        <v>0</v>
      </c>
      <c r="W213" s="224">
        <v>0</v>
      </c>
      <c r="X213" s="222">
        <v>0</v>
      </c>
      <c r="Y213" s="222">
        <v>0</v>
      </c>
      <c r="Z213" s="224">
        <v>0</v>
      </c>
      <c r="AA213" s="222">
        <v>0</v>
      </c>
      <c r="AB213" s="222">
        <v>0</v>
      </c>
      <c r="AC213" s="224">
        <v>0</v>
      </c>
    </row>
    <row r="214" spans="1:29" ht="52.5" customHeight="1">
      <c r="A214" s="32" t="s">
        <v>794</v>
      </c>
      <c r="B214" s="226" t="s">
        <v>704</v>
      </c>
      <c r="C214" s="227" t="s">
        <v>167</v>
      </c>
      <c r="D214" s="228">
        <v>4103</v>
      </c>
      <c r="E214" s="228" t="s">
        <v>172</v>
      </c>
      <c r="F214" s="228">
        <v>22</v>
      </c>
      <c r="G214" s="228"/>
      <c r="H214" s="228"/>
      <c r="I214" s="228"/>
      <c r="J214" s="228"/>
      <c r="K214" s="229"/>
      <c r="L214" s="230"/>
      <c r="M214" s="231" t="s">
        <v>239</v>
      </c>
      <c r="N214" s="232">
        <v>137284000000</v>
      </c>
      <c r="O214" s="232">
        <v>0</v>
      </c>
      <c r="P214" s="232">
        <v>0</v>
      </c>
      <c r="Q214" s="232">
        <v>0</v>
      </c>
      <c r="R214" s="232">
        <v>0</v>
      </c>
      <c r="S214" s="232">
        <v>0</v>
      </c>
      <c r="T214" s="232">
        <v>137284000000</v>
      </c>
      <c r="U214" s="232">
        <v>89233626688</v>
      </c>
      <c r="V214" s="232">
        <v>48050373312</v>
      </c>
      <c r="W214" s="233">
        <v>0.64999291022988837</v>
      </c>
      <c r="X214" s="232">
        <v>76151202276</v>
      </c>
      <c r="Y214" s="232">
        <v>13082424412</v>
      </c>
      <c r="Z214" s="233">
        <v>0.14660868214783995</v>
      </c>
      <c r="AA214" s="232">
        <v>76151202276</v>
      </c>
      <c r="AB214" s="232">
        <v>0</v>
      </c>
      <c r="AC214" s="233">
        <v>0.85339131785216005</v>
      </c>
    </row>
    <row r="215" spans="1:29" ht="31.5" customHeight="1">
      <c r="A215" s="32" t="s">
        <v>795</v>
      </c>
      <c r="B215" s="210" t="s">
        <v>705</v>
      </c>
      <c r="C215" s="211" t="s">
        <v>167</v>
      </c>
      <c r="D215" s="212">
        <v>4103</v>
      </c>
      <c r="E215" s="212" t="s">
        <v>172</v>
      </c>
      <c r="F215" s="212">
        <v>22</v>
      </c>
      <c r="G215" s="212" t="s">
        <v>175</v>
      </c>
      <c r="H215" s="212" t="s">
        <v>219</v>
      </c>
      <c r="I215" s="212"/>
      <c r="J215" s="212"/>
      <c r="K215" s="213" t="s">
        <v>144</v>
      </c>
      <c r="L215" s="214" t="s">
        <v>29</v>
      </c>
      <c r="M215" s="210" t="s">
        <v>240</v>
      </c>
      <c r="N215" s="215">
        <v>8350333435</v>
      </c>
      <c r="O215" s="215">
        <v>0</v>
      </c>
      <c r="P215" s="215">
        <v>0</v>
      </c>
      <c r="Q215" s="215">
        <v>0</v>
      </c>
      <c r="R215" s="215">
        <v>0</v>
      </c>
      <c r="S215" s="215">
        <v>0</v>
      </c>
      <c r="T215" s="215">
        <v>8350333435</v>
      </c>
      <c r="U215" s="215">
        <v>5812280682</v>
      </c>
      <c r="V215" s="215">
        <v>2538052753</v>
      </c>
      <c r="W215" s="216">
        <v>0.69605372375169117</v>
      </c>
      <c r="X215" s="215">
        <v>0</v>
      </c>
      <c r="Y215" s="215">
        <v>5812280682</v>
      </c>
      <c r="Z215" s="216">
        <v>1</v>
      </c>
      <c r="AA215" s="215">
        <v>0</v>
      </c>
      <c r="AB215" s="215">
        <v>0</v>
      </c>
      <c r="AC215" s="216">
        <v>0</v>
      </c>
    </row>
    <row r="216" spans="1:29" ht="24.95" customHeight="1">
      <c r="A216" s="32" t="s">
        <v>796</v>
      </c>
      <c r="B216" s="217" t="s">
        <v>706</v>
      </c>
      <c r="C216" s="218" t="s">
        <v>167</v>
      </c>
      <c r="D216" s="219">
        <v>4103</v>
      </c>
      <c r="E216" s="219" t="s">
        <v>172</v>
      </c>
      <c r="F216" s="219">
        <v>22</v>
      </c>
      <c r="G216" s="219" t="s">
        <v>175</v>
      </c>
      <c r="H216" s="219" t="s">
        <v>219</v>
      </c>
      <c r="I216" s="225" t="s">
        <v>54</v>
      </c>
      <c r="J216" s="219"/>
      <c r="K216" s="220" t="s">
        <v>144</v>
      </c>
      <c r="L216" s="221" t="s">
        <v>29</v>
      </c>
      <c r="M216" s="259" t="s">
        <v>178</v>
      </c>
      <c r="N216" s="223">
        <v>8350333435</v>
      </c>
      <c r="O216" s="222"/>
      <c r="P216" s="222"/>
      <c r="Q216" s="222"/>
      <c r="R216" s="222"/>
      <c r="S216" s="222"/>
      <c r="T216" s="222">
        <v>8350333435</v>
      </c>
      <c r="U216" s="222">
        <v>5812280682</v>
      </c>
      <c r="V216" s="222">
        <v>2538052753</v>
      </c>
      <c r="W216" s="224">
        <v>0.69605372375169117</v>
      </c>
      <c r="X216" s="222">
        <v>0</v>
      </c>
      <c r="Y216" s="222">
        <v>5812280682</v>
      </c>
      <c r="Z216" s="224">
        <v>1</v>
      </c>
      <c r="AA216" s="222">
        <v>0</v>
      </c>
      <c r="AB216" s="222">
        <v>0</v>
      </c>
      <c r="AC216" s="224">
        <v>0</v>
      </c>
    </row>
    <row r="217" spans="1:29" ht="31.5" customHeight="1">
      <c r="A217" s="32" t="s">
        <v>797</v>
      </c>
      <c r="B217" s="210" t="s">
        <v>707</v>
      </c>
      <c r="C217" s="211" t="s">
        <v>167</v>
      </c>
      <c r="D217" s="212">
        <v>4103</v>
      </c>
      <c r="E217" s="212" t="s">
        <v>172</v>
      </c>
      <c r="F217" s="212">
        <v>22</v>
      </c>
      <c r="G217" s="212" t="s">
        <v>175</v>
      </c>
      <c r="H217" s="212" t="s">
        <v>234</v>
      </c>
      <c r="I217" s="212"/>
      <c r="J217" s="212"/>
      <c r="K217" s="213" t="s">
        <v>144</v>
      </c>
      <c r="L217" s="214" t="s">
        <v>29</v>
      </c>
      <c r="M217" s="210" t="s">
        <v>241</v>
      </c>
      <c r="N217" s="215">
        <v>8986673675</v>
      </c>
      <c r="O217" s="215">
        <v>0</v>
      </c>
      <c r="P217" s="215">
        <v>0</v>
      </c>
      <c r="Q217" s="215">
        <v>0</v>
      </c>
      <c r="R217" s="215">
        <v>0</v>
      </c>
      <c r="S217" s="215">
        <v>0</v>
      </c>
      <c r="T217" s="215">
        <v>8986673675</v>
      </c>
      <c r="U217" s="215">
        <v>709656489</v>
      </c>
      <c r="V217" s="215">
        <v>8277017186</v>
      </c>
      <c r="W217" s="216">
        <v>7.8967648616661265E-2</v>
      </c>
      <c r="X217" s="215">
        <v>0</v>
      </c>
      <c r="Y217" s="215">
        <v>709656489</v>
      </c>
      <c r="Z217" s="216">
        <v>1</v>
      </c>
      <c r="AA217" s="215">
        <v>0</v>
      </c>
      <c r="AB217" s="215">
        <v>0</v>
      </c>
      <c r="AC217" s="216">
        <v>0</v>
      </c>
    </row>
    <row r="218" spans="1:29" ht="24.95" customHeight="1">
      <c r="A218" s="32" t="s">
        <v>798</v>
      </c>
      <c r="B218" s="217" t="s">
        <v>708</v>
      </c>
      <c r="C218" s="218" t="s">
        <v>167</v>
      </c>
      <c r="D218" s="219">
        <v>4103</v>
      </c>
      <c r="E218" s="219" t="s">
        <v>172</v>
      </c>
      <c r="F218" s="219">
        <v>22</v>
      </c>
      <c r="G218" s="219" t="s">
        <v>175</v>
      </c>
      <c r="H218" s="219" t="s">
        <v>234</v>
      </c>
      <c r="I218" s="225" t="s">
        <v>54</v>
      </c>
      <c r="J218" s="219"/>
      <c r="K218" s="220" t="s">
        <v>144</v>
      </c>
      <c r="L218" s="221" t="s">
        <v>29</v>
      </c>
      <c r="M218" s="259" t="s">
        <v>178</v>
      </c>
      <c r="N218" s="223">
        <v>5871010369</v>
      </c>
      <c r="O218" s="222"/>
      <c r="P218" s="222"/>
      <c r="Q218" s="222"/>
      <c r="R218" s="222"/>
      <c r="S218" s="222"/>
      <c r="T218" s="222">
        <v>5871010369</v>
      </c>
      <c r="U218" s="222">
        <v>709656489</v>
      </c>
      <c r="V218" s="222">
        <v>5161353880</v>
      </c>
      <c r="W218" s="224">
        <v>0.12087467818948422</v>
      </c>
      <c r="X218" s="222">
        <v>0</v>
      </c>
      <c r="Y218" s="222">
        <v>709656489</v>
      </c>
      <c r="Z218" s="224">
        <v>1</v>
      </c>
      <c r="AA218" s="222">
        <v>0</v>
      </c>
      <c r="AB218" s="222">
        <v>0</v>
      </c>
      <c r="AC218" s="224">
        <v>0</v>
      </c>
    </row>
    <row r="219" spans="1:29" ht="24.95" customHeight="1">
      <c r="A219" s="32" t="s">
        <v>799</v>
      </c>
      <c r="B219" s="217" t="s">
        <v>709</v>
      </c>
      <c r="C219" s="218" t="s">
        <v>167</v>
      </c>
      <c r="D219" s="219">
        <v>4103</v>
      </c>
      <c r="E219" s="219" t="s">
        <v>172</v>
      </c>
      <c r="F219" s="219">
        <v>22</v>
      </c>
      <c r="G219" s="219" t="s">
        <v>175</v>
      </c>
      <c r="H219" s="219" t="s">
        <v>234</v>
      </c>
      <c r="I219" s="225" t="s">
        <v>65</v>
      </c>
      <c r="J219" s="219"/>
      <c r="K219" s="220" t="s">
        <v>144</v>
      </c>
      <c r="L219" s="221" t="s">
        <v>29</v>
      </c>
      <c r="M219" s="259" t="s">
        <v>127</v>
      </c>
      <c r="N219" s="223">
        <v>3115663306</v>
      </c>
      <c r="O219" s="222"/>
      <c r="P219" s="222"/>
      <c r="Q219" s="222"/>
      <c r="R219" s="222"/>
      <c r="S219" s="222"/>
      <c r="T219" s="222">
        <v>3115663306</v>
      </c>
      <c r="U219" s="222">
        <v>0</v>
      </c>
      <c r="V219" s="222">
        <v>3115663306</v>
      </c>
      <c r="W219" s="224">
        <v>0</v>
      </c>
      <c r="X219" s="222">
        <v>0</v>
      </c>
      <c r="Y219" s="222">
        <v>0</v>
      </c>
      <c r="Z219" s="224">
        <v>0</v>
      </c>
      <c r="AA219" s="222">
        <v>0</v>
      </c>
      <c r="AB219" s="222">
        <v>0</v>
      </c>
      <c r="AC219" s="224">
        <v>0</v>
      </c>
    </row>
    <row r="220" spans="1:29" ht="31.5" customHeight="1">
      <c r="A220" s="32" t="s">
        <v>800</v>
      </c>
      <c r="B220" s="210" t="s">
        <v>710</v>
      </c>
      <c r="C220" s="211" t="s">
        <v>167</v>
      </c>
      <c r="D220" s="212">
        <v>4103</v>
      </c>
      <c r="E220" s="212" t="s">
        <v>172</v>
      </c>
      <c r="F220" s="212">
        <v>22</v>
      </c>
      <c r="G220" s="212" t="s">
        <v>175</v>
      </c>
      <c r="H220" s="212">
        <v>4103051</v>
      </c>
      <c r="I220" s="212"/>
      <c r="J220" s="212"/>
      <c r="K220" s="213" t="s">
        <v>144</v>
      </c>
      <c r="L220" s="214" t="s">
        <v>29</v>
      </c>
      <c r="M220" s="210" t="s">
        <v>242</v>
      </c>
      <c r="N220" s="215">
        <v>1038023922</v>
      </c>
      <c r="O220" s="215">
        <v>0</v>
      </c>
      <c r="P220" s="215">
        <v>0</v>
      </c>
      <c r="Q220" s="215">
        <v>0</v>
      </c>
      <c r="R220" s="215">
        <v>0</v>
      </c>
      <c r="S220" s="215">
        <v>0</v>
      </c>
      <c r="T220" s="215">
        <v>1038023922</v>
      </c>
      <c r="U220" s="215">
        <v>0</v>
      </c>
      <c r="V220" s="215">
        <v>1038023922</v>
      </c>
      <c r="W220" s="216">
        <v>0</v>
      </c>
      <c r="X220" s="215">
        <v>0</v>
      </c>
      <c r="Y220" s="215">
        <v>0</v>
      </c>
      <c r="Z220" s="216">
        <v>0</v>
      </c>
      <c r="AA220" s="215">
        <v>0</v>
      </c>
      <c r="AB220" s="215">
        <v>0</v>
      </c>
      <c r="AC220" s="216">
        <v>0</v>
      </c>
    </row>
    <row r="221" spans="1:29" ht="24.95" customHeight="1">
      <c r="A221" s="32" t="s">
        <v>801</v>
      </c>
      <c r="B221" s="217" t="s">
        <v>711</v>
      </c>
      <c r="C221" s="218" t="s">
        <v>167</v>
      </c>
      <c r="D221" s="219">
        <v>4103</v>
      </c>
      <c r="E221" s="219" t="s">
        <v>172</v>
      </c>
      <c r="F221" s="219">
        <v>22</v>
      </c>
      <c r="G221" s="219" t="s">
        <v>175</v>
      </c>
      <c r="H221" s="219">
        <v>4103051</v>
      </c>
      <c r="I221" s="225" t="s">
        <v>54</v>
      </c>
      <c r="J221" s="219"/>
      <c r="K221" s="220" t="s">
        <v>144</v>
      </c>
      <c r="L221" s="221" t="s">
        <v>29</v>
      </c>
      <c r="M221" s="259" t="s">
        <v>178</v>
      </c>
      <c r="N221" s="223">
        <v>1038023922</v>
      </c>
      <c r="O221" s="222"/>
      <c r="P221" s="222"/>
      <c r="Q221" s="222"/>
      <c r="R221" s="222"/>
      <c r="S221" s="222"/>
      <c r="T221" s="222">
        <v>1038023922</v>
      </c>
      <c r="U221" s="222">
        <v>0</v>
      </c>
      <c r="V221" s="222">
        <v>1038023922</v>
      </c>
      <c r="W221" s="224">
        <v>0</v>
      </c>
      <c r="X221" s="222">
        <v>0</v>
      </c>
      <c r="Y221" s="222">
        <v>0</v>
      </c>
      <c r="Z221" s="224">
        <v>0</v>
      </c>
      <c r="AA221" s="222">
        <v>0</v>
      </c>
      <c r="AB221" s="222">
        <v>0</v>
      </c>
      <c r="AC221" s="224">
        <v>0</v>
      </c>
    </row>
    <row r="222" spans="1:29" ht="31.5" customHeight="1">
      <c r="A222" s="32" t="s">
        <v>802</v>
      </c>
      <c r="B222" s="210" t="s">
        <v>712</v>
      </c>
      <c r="C222" s="211" t="s">
        <v>167</v>
      </c>
      <c r="D222" s="212">
        <v>4103</v>
      </c>
      <c r="E222" s="212" t="s">
        <v>172</v>
      </c>
      <c r="F222" s="212">
        <v>22</v>
      </c>
      <c r="G222" s="212" t="s">
        <v>175</v>
      </c>
      <c r="H222" s="212">
        <v>4103055</v>
      </c>
      <c r="I222" s="212"/>
      <c r="J222" s="212"/>
      <c r="K222" s="213" t="s">
        <v>144</v>
      </c>
      <c r="L222" s="214" t="s">
        <v>29</v>
      </c>
      <c r="M222" s="210" t="s">
        <v>243</v>
      </c>
      <c r="N222" s="215">
        <v>4550769145</v>
      </c>
      <c r="O222" s="215">
        <v>0</v>
      </c>
      <c r="P222" s="215">
        <v>0</v>
      </c>
      <c r="Q222" s="215">
        <v>0</v>
      </c>
      <c r="R222" s="215">
        <v>0</v>
      </c>
      <c r="S222" s="215">
        <v>0</v>
      </c>
      <c r="T222" s="215">
        <v>4550769145</v>
      </c>
      <c r="U222" s="215">
        <v>0</v>
      </c>
      <c r="V222" s="215">
        <v>4550769145</v>
      </c>
      <c r="W222" s="216">
        <v>0</v>
      </c>
      <c r="X222" s="215">
        <v>0</v>
      </c>
      <c r="Y222" s="215">
        <v>0</v>
      </c>
      <c r="Z222" s="216">
        <v>0</v>
      </c>
      <c r="AA222" s="215">
        <v>0</v>
      </c>
      <c r="AB222" s="215">
        <v>0</v>
      </c>
      <c r="AC222" s="216">
        <v>0</v>
      </c>
    </row>
    <row r="223" spans="1:29" ht="24.95" customHeight="1">
      <c r="A223" s="32" t="s">
        <v>803</v>
      </c>
      <c r="B223" s="217" t="s">
        <v>713</v>
      </c>
      <c r="C223" s="218" t="s">
        <v>167</v>
      </c>
      <c r="D223" s="219">
        <v>4103</v>
      </c>
      <c r="E223" s="219" t="s">
        <v>172</v>
      </c>
      <c r="F223" s="219">
        <v>22</v>
      </c>
      <c r="G223" s="219" t="s">
        <v>175</v>
      </c>
      <c r="H223" s="219" t="s">
        <v>203</v>
      </c>
      <c r="I223" s="225" t="s">
        <v>54</v>
      </c>
      <c r="J223" s="219"/>
      <c r="K223" s="220" t="s">
        <v>144</v>
      </c>
      <c r="L223" s="221" t="s">
        <v>29</v>
      </c>
      <c r="M223" s="259" t="s">
        <v>178</v>
      </c>
      <c r="N223" s="223">
        <v>396551404</v>
      </c>
      <c r="O223" s="222"/>
      <c r="P223" s="222"/>
      <c r="Q223" s="222"/>
      <c r="R223" s="222"/>
      <c r="S223" s="222"/>
      <c r="T223" s="222">
        <v>396551404</v>
      </c>
      <c r="U223" s="222">
        <v>0</v>
      </c>
      <c r="V223" s="222">
        <v>396551404</v>
      </c>
      <c r="W223" s="224">
        <v>0</v>
      </c>
      <c r="X223" s="222">
        <v>0</v>
      </c>
      <c r="Y223" s="222">
        <v>0</v>
      </c>
      <c r="Z223" s="224">
        <v>0</v>
      </c>
      <c r="AA223" s="222">
        <v>0</v>
      </c>
      <c r="AB223" s="222">
        <v>0</v>
      </c>
      <c r="AC223" s="224">
        <v>0</v>
      </c>
    </row>
    <row r="224" spans="1:29" ht="24.95" customHeight="1">
      <c r="A224" s="32" t="s">
        <v>804</v>
      </c>
      <c r="B224" s="217" t="s">
        <v>714</v>
      </c>
      <c r="C224" s="218" t="s">
        <v>167</v>
      </c>
      <c r="D224" s="219">
        <v>4103</v>
      </c>
      <c r="E224" s="219" t="s">
        <v>172</v>
      </c>
      <c r="F224" s="219">
        <v>22</v>
      </c>
      <c r="G224" s="219" t="s">
        <v>175</v>
      </c>
      <c r="H224" s="219" t="s">
        <v>203</v>
      </c>
      <c r="I224" s="225" t="s">
        <v>65</v>
      </c>
      <c r="J224" s="219"/>
      <c r="K224" s="220" t="s">
        <v>144</v>
      </c>
      <c r="L224" s="221" t="s">
        <v>29</v>
      </c>
      <c r="M224" s="259" t="s">
        <v>127</v>
      </c>
      <c r="N224" s="223">
        <v>4154217741</v>
      </c>
      <c r="O224" s="222"/>
      <c r="P224" s="222"/>
      <c r="Q224" s="222"/>
      <c r="R224" s="222"/>
      <c r="S224" s="222"/>
      <c r="T224" s="222">
        <v>4154217741</v>
      </c>
      <c r="U224" s="222">
        <v>0</v>
      </c>
      <c r="V224" s="222">
        <v>4154217741</v>
      </c>
      <c r="W224" s="224">
        <v>0</v>
      </c>
      <c r="X224" s="222">
        <v>0</v>
      </c>
      <c r="Y224" s="222">
        <v>0</v>
      </c>
      <c r="Z224" s="224">
        <v>0</v>
      </c>
      <c r="AA224" s="222">
        <v>0</v>
      </c>
      <c r="AB224" s="222">
        <v>0</v>
      </c>
      <c r="AC224" s="224">
        <v>0</v>
      </c>
    </row>
    <row r="225" spans="1:52" ht="31.5" customHeight="1">
      <c r="A225" s="32" t="s">
        <v>805</v>
      </c>
      <c r="B225" s="210" t="s">
        <v>715</v>
      </c>
      <c r="C225" s="211" t="s">
        <v>167</v>
      </c>
      <c r="D225" s="212">
        <v>4103</v>
      </c>
      <c r="E225" s="212" t="s">
        <v>172</v>
      </c>
      <c r="F225" s="212">
        <v>22</v>
      </c>
      <c r="G225" s="212" t="s">
        <v>175</v>
      </c>
      <c r="H225" s="212">
        <v>4103057</v>
      </c>
      <c r="I225" s="212"/>
      <c r="J225" s="212"/>
      <c r="K225" s="213" t="s">
        <v>144</v>
      </c>
      <c r="L225" s="214" t="s">
        <v>29</v>
      </c>
      <c r="M225" s="210" t="s">
        <v>244</v>
      </c>
      <c r="N225" s="215">
        <v>102633231456</v>
      </c>
      <c r="O225" s="215">
        <v>0</v>
      </c>
      <c r="P225" s="215">
        <v>0</v>
      </c>
      <c r="Q225" s="215">
        <v>0</v>
      </c>
      <c r="R225" s="215">
        <v>0</v>
      </c>
      <c r="S225" s="215">
        <v>0</v>
      </c>
      <c r="T225" s="215">
        <v>102633231456</v>
      </c>
      <c r="U225" s="215">
        <v>82711689517</v>
      </c>
      <c r="V225" s="215">
        <v>19921541939</v>
      </c>
      <c r="W225" s="216">
        <v>0.80589579362956543</v>
      </c>
      <c r="X225" s="215">
        <v>76151202276</v>
      </c>
      <c r="Y225" s="215">
        <v>6560487241</v>
      </c>
      <c r="Z225" s="216">
        <v>7.9317533946052468E-2</v>
      </c>
      <c r="AA225" s="215">
        <v>76151202276</v>
      </c>
      <c r="AB225" s="215">
        <v>0</v>
      </c>
      <c r="AC225" s="216">
        <v>0.92068246605394755</v>
      </c>
    </row>
    <row r="226" spans="1:52" ht="24.95" customHeight="1">
      <c r="A226" s="32" t="s">
        <v>806</v>
      </c>
      <c r="B226" s="217" t="s">
        <v>716</v>
      </c>
      <c r="C226" s="218" t="s">
        <v>167</v>
      </c>
      <c r="D226" s="219">
        <v>4103</v>
      </c>
      <c r="E226" s="219" t="s">
        <v>172</v>
      </c>
      <c r="F226" s="219">
        <v>22</v>
      </c>
      <c r="G226" s="219" t="s">
        <v>175</v>
      </c>
      <c r="H226" s="219" t="s">
        <v>221</v>
      </c>
      <c r="I226" s="225" t="s">
        <v>54</v>
      </c>
      <c r="J226" s="219"/>
      <c r="K226" s="220" t="s">
        <v>144</v>
      </c>
      <c r="L226" s="221" t="s">
        <v>29</v>
      </c>
      <c r="M226" s="259" t="s">
        <v>178</v>
      </c>
      <c r="N226" s="223">
        <v>6561199369</v>
      </c>
      <c r="O226" s="222"/>
      <c r="P226" s="222"/>
      <c r="Q226" s="222"/>
      <c r="R226" s="222"/>
      <c r="S226" s="222"/>
      <c r="T226" s="222">
        <v>6561199369</v>
      </c>
      <c r="U226" s="222">
        <v>5236705517</v>
      </c>
      <c r="V226" s="222">
        <v>1324493852</v>
      </c>
      <c r="W226" s="224">
        <v>0.79813235698066165</v>
      </c>
      <c r="X226" s="222">
        <v>117334276</v>
      </c>
      <c r="Y226" s="222">
        <v>5119371241</v>
      </c>
      <c r="Z226" s="224">
        <v>0.9775938754587028</v>
      </c>
      <c r="AA226" s="222">
        <v>117334276</v>
      </c>
      <c r="AB226" s="222">
        <v>0</v>
      </c>
      <c r="AC226" s="224">
        <v>2.2406124541297173E-2</v>
      </c>
    </row>
    <row r="227" spans="1:52" ht="24.95" customHeight="1">
      <c r="A227" s="32" t="s">
        <v>807</v>
      </c>
      <c r="B227" s="217" t="s">
        <v>717</v>
      </c>
      <c r="C227" s="218" t="s">
        <v>167</v>
      </c>
      <c r="D227" s="219">
        <v>4103</v>
      </c>
      <c r="E227" s="219" t="s">
        <v>172</v>
      </c>
      <c r="F227" s="219">
        <v>22</v>
      </c>
      <c r="G227" s="219" t="s">
        <v>175</v>
      </c>
      <c r="H227" s="219" t="s">
        <v>221</v>
      </c>
      <c r="I227" s="225" t="s">
        <v>65</v>
      </c>
      <c r="J227" s="219"/>
      <c r="K227" s="220" t="s">
        <v>144</v>
      </c>
      <c r="L227" s="221" t="s">
        <v>29</v>
      </c>
      <c r="M227" s="259" t="s">
        <v>127</v>
      </c>
      <c r="N227" s="223">
        <v>96072032087</v>
      </c>
      <c r="O227" s="222"/>
      <c r="P227" s="222"/>
      <c r="Q227" s="222"/>
      <c r="R227" s="222"/>
      <c r="S227" s="222"/>
      <c r="T227" s="222">
        <v>96072032087</v>
      </c>
      <c r="U227" s="222">
        <v>77474984000</v>
      </c>
      <c r="V227" s="222">
        <v>18597048087</v>
      </c>
      <c r="W227" s="224">
        <v>0.80642599429812145</v>
      </c>
      <c r="X227" s="222">
        <v>76033868000</v>
      </c>
      <c r="Y227" s="222">
        <v>1441116000</v>
      </c>
      <c r="Z227" s="224">
        <v>1.8601049340003735E-2</v>
      </c>
      <c r="AA227" s="222">
        <v>76033868000</v>
      </c>
      <c r="AB227" s="222">
        <v>0</v>
      </c>
      <c r="AC227" s="224">
        <v>0.98139895065999627</v>
      </c>
    </row>
    <row r="228" spans="1:52" ht="31.5" customHeight="1">
      <c r="A228" s="32" t="s">
        <v>808</v>
      </c>
      <c r="B228" s="210" t="s">
        <v>718</v>
      </c>
      <c r="C228" s="211" t="s">
        <v>167</v>
      </c>
      <c r="D228" s="212">
        <v>4103</v>
      </c>
      <c r="E228" s="212" t="s">
        <v>172</v>
      </c>
      <c r="F228" s="212">
        <v>22</v>
      </c>
      <c r="G228" s="212" t="s">
        <v>175</v>
      </c>
      <c r="H228" s="212">
        <v>4103062</v>
      </c>
      <c r="I228" s="212"/>
      <c r="J228" s="212"/>
      <c r="K228" s="213" t="s">
        <v>144</v>
      </c>
      <c r="L228" s="214" t="s">
        <v>29</v>
      </c>
      <c r="M228" s="210" t="s">
        <v>245</v>
      </c>
      <c r="N228" s="215">
        <v>11724968367</v>
      </c>
      <c r="O228" s="215">
        <v>0</v>
      </c>
      <c r="P228" s="215">
        <v>0</v>
      </c>
      <c r="Q228" s="215">
        <v>0</v>
      </c>
      <c r="R228" s="215">
        <v>0</v>
      </c>
      <c r="S228" s="215">
        <v>0</v>
      </c>
      <c r="T228" s="215">
        <v>11724968367</v>
      </c>
      <c r="U228" s="215">
        <v>0</v>
      </c>
      <c r="V228" s="215">
        <v>11724968367</v>
      </c>
      <c r="W228" s="216">
        <v>0</v>
      </c>
      <c r="X228" s="215">
        <v>0</v>
      </c>
      <c r="Y228" s="215">
        <v>0</v>
      </c>
      <c r="Z228" s="216">
        <v>0</v>
      </c>
      <c r="AA228" s="215">
        <v>0</v>
      </c>
      <c r="AB228" s="215">
        <v>0</v>
      </c>
      <c r="AC228" s="216">
        <v>0</v>
      </c>
    </row>
    <row r="229" spans="1:52" ht="24.95" customHeight="1">
      <c r="A229" s="32" t="s">
        <v>809</v>
      </c>
      <c r="B229" s="217" t="s">
        <v>719</v>
      </c>
      <c r="C229" s="218" t="s">
        <v>167</v>
      </c>
      <c r="D229" s="219">
        <v>4103</v>
      </c>
      <c r="E229" s="219" t="s">
        <v>172</v>
      </c>
      <c r="F229" s="219">
        <v>22</v>
      </c>
      <c r="G229" s="219" t="s">
        <v>175</v>
      </c>
      <c r="H229" s="219" t="s">
        <v>246</v>
      </c>
      <c r="I229" s="225" t="s">
        <v>54</v>
      </c>
      <c r="J229" s="219"/>
      <c r="K229" s="220" t="s">
        <v>144</v>
      </c>
      <c r="L229" s="221" t="s">
        <v>29</v>
      </c>
      <c r="M229" s="259" t="s">
        <v>178</v>
      </c>
      <c r="N229" s="223">
        <v>1706379915</v>
      </c>
      <c r="O229" s="222"/>
      <c r="P229" s="222"/>
      <c r="Q229" s="222"/>
      <c r="R229" s="222"/>
      <c r="S229" s="222"/>
      <c r="T229" s="222">
        <v>1706379915</v>
      </c>
      <c r="U229" s="222">
        <v>0</v>
      </c>
      <c r="V229" s="222">
        <v>1706379915</v>
      </c>
      <c r="W229" s="224">
        <v>0</v>
      </c>
      <c r="X229" s="222">
        <v>0</v>
      </c>
      <c r="Y229" s="222">
        <v>0</v>
      </c>
      <c r="Z229" s="224">
        <v>0</v>
      </c>
      <c r="AA229" s="222">
        <v>0</v>
      </c>
      <c r="AB229" s="222">
        <v>0</v>
      </c>
      <c r="AC229" s="224">
        <v>0</v>
      </c>
    </row>
    <row r="230" spans="1:52" ht="24.95" customHeight="1">
      <c r="A230" s="32" t="s">
        <v>810</v>
      </c>
      <c r="B230" s="217" t="s">
        <v>720</v>
      </c>
      <c r="C230" s="218" t="s">
        <v>167</v>
      </c>
      <c r="D230" s="219">
        <v>4103</v>
      </c>
      <c r="E230" s="219" t="s">
        <v>172</v>
      </c>
      <c r="F230" s="219">
        <v>22</v>
      </c>
      <c r="G230" s="219" t="s">
        <v>175</v>
      </c>
      <c r="H230" s="219" t="s">
        <v>246</v>
      </c>
      <c r="I230" s="225" t="s">
        <v>65</v>
      </c>
      <c r="J230" s="219"/>
      <c r="K230" s="220" t="s">
        <v>144</v>
      </c>
      <c r="L230" s="221" t="s">
        <v>29</v>
      </c>
      <c r="M230" s="259" t="s">
        <v>127</v>
      </c>
      <c r="N230" s="223">
        <v>10018588452</v>
      </c>
      <c r="O230" s="222"/>
      <c r="P230" s="222"/>
      <c r="Q230" s="222"/>
      <c r="R230" s="222"/>
      <c r="S230" s="222"/>
      <c r="T230" s="222">
        <v>10018588452</v>
      </c>
      <c r="U230" s="222">
        <v>0</v>
      </c>
      <c r="V230" s="222">
        <v>10018588452</v>
      </c>
      <c r="W230" s="224">
        <v>0</v>
      </c>
      <c r="X230" s="222">
        <v>0</v>
      </c>
      <c r="Y230" s="222">
        <v>0</v>
      </c>
      <c r="Z230" s="224">
        <v>0</v>
      </c>
      <c r="AA230" s="222">
        <v>0</v>
      </c>
      <c r="AB230" s="222">
        <v>0</v>
      </c>
      <c r="AC230" s="224">
        <v>0</v>
      </c>
    </row>
    <row r="231" spans="1:52" s="90" customFormat="1" ht="43.5" customHeight="1">
      <c r="A231" s="32"/>
      <c r="B231" s="226" t="s">
        <v>685</v>
      </c>
      <c r="C231" s="227" t="s">
        <v>167</v>
      </c>
      <c r="D231" s="228" t="s">
        <v>190</v>
      </c>
      <c r="E231" s="228" t="s">
        <v>172</v>
      </c>
      <c r="F231" s="228">
        <v>23</v>
      </c>
      <c r="G231" s="228"/>
      <c r="H231" s="228"/>
      <c r="I231" s="228"/>
      <c r="J231" s="228"/>
      <c r="K231" s="229"/>
      <c r="L231" s="230"/>
      <c r="M231" s="231" t="s">
        <v>779</v>
      </c>
      <c r="N231" s="232">
        <v>1769368130080</v>
      </c>
      <c r="O231" s="232">
        <v>0</v>
      </c>
      <c r="P231" s="232">
        <v>0</v>
      </c>
      <c r="Q231" s="232">
        <v>0</v>
      </c>
      <c r="R231" s="232">
        <v>0</v>
      </c>
      <c r="S231" s="232">
        <v>0</v>
      </c>
      <c r="T231" s="232">
        <v>1769368130080</v>
      </c>
      <c r="U231" s="232">
        <v>306448424231.08997</v>
      </c>
      <c r="V231" s="232">
        <v>1462919705848.9102</v>
      </c>
      <c r="W231" s="233">
        <v>0.17319653215254546</v>
      </c>
      <c r="X231" s="232">
        <v>272092240000</v>
      </c>
      <c r="Y231" s="232">
        <v>34356184231.09</v>
      </c>
      <c r="Z231" s="233">
        <v>0.11211082033556914</v>
      </c>
      <c r="AA231" s="232">
        <v>272092240000</v>
      </c>
      <c r="AB231" s="232">
        <v>0</v>
      </c>
      <c r="AC231" s="233">
        <v>0.88788917966443093</v>
      </c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1:52" s="90" customFormat="1" ht="36" customHeight="1">
      <c r="A232" s="32"/>
      <c r="B232" s="210" t="s">
        <v>721</v>
      </c>
      <c r="C232" s="211" t="s">
        <v>167</v>
      </c>
      <c r="D232" s="212" t="s">
        <v>190</v>
      </c>
      <c r="E232" s="212" t="s">
        <v>172</v>
      </c>
      <c r="F232" s="212">
        <v>23</v>
      </c>
      <c r="G232" s="212" t="s">
        <v>175</v>
      </c>
      <c r="H232" s="212">
        <v>4103065</v>
      </c>
      <c r="I232" s="212"/>
      <c r="J232" s="212"/>
      <c r="K232" s="213">
        <v>11</v>
      </c>
      <c r="L232" s="214" t="s">
        <v>29</v>
      </c>
      <c r="M232" s="210" t="s">
        <v>248</v>
      </c>
      <c r="N232" s="215">
        <v>1769368130080</v>
      </c>
      <c r="O232" s="215">
        <v>0</v>
      </c>
      <c r="P232" s="215">
        <v>0</v>
      </c>
      <c r="Q232" s="215">
        <v>0</v>
      </c>
      <c r="R232" s="215">
        <v>0</v>
      </c>
      <c r="S232" s="215">
        <v>0</v>
      </c>
      <c r="T232" s="215">
        <v>1769368130080</v>
      </c>
      <c r="U232" s="215">
        <v>306448424231.08997</v>
      </c>
      <c r="V232" s="215">
        <v>1462919705848.9102</v>
      </c>
      <c r="W232" s="216">
        <v>0.17319653215254546</v>
      </c>
      <c r="X232" s="215">
        <v>272092240000</v>
      </c>
      <c r="Y232" s="215">
        <v>34356184231.09</v>
      </c>
      <c r="Z232" s="216">
        <v>0.11211082033556914</v>
      </c>
      <c r="AA232" s="215">
        <v>272092240000</v>
      </c>
      <c r="AB232" s="215">
        <v>0</v>
      </c>
      <c r="AC232" s="216">
        <v>0.88788917966443093</v>
      </c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1:52" s="90" customFormat="1" ht="27" customHeight="1">
      <c r="A233" s="32"/>
      <c r="B233" s="217" t="s">
        <v>722</v>
      </c>
      <c r="C233" s="266" t="s">
        <v>167</v>
      </c>
      <c r="D233" s="267" t="s">
        <v>190</v>
      </c>
      <c r="E233" s="267" t="s">
        <v>172</v>
      </c>
      <c r="F233" s="267">
        <v>23</v>
      </c>
      <c r="G233" s="267" t="s">
        <v>175</v>
      </c>
      <c r="H233" s="267">
        <v>4103065</v>
      </c>
      <c r="I233" s="267" t="s">
        <v>54</v>
      </c>
      <c r="J233" s="267"/>
      <c r="K233" s="268">
        <v>11</v>
      </c>
      <c r="L233" s="269" t="s">
        <v>29</v>
      </c>
      <c r="M233" s="259" t="s">
        <v>178</v>
      </c>
      <c r="N233" s="222">
        <v>19400000000</v>
      </c>
      <c r="O233" s="222"/>
      <c r="P233" s="222"/>
      <c r="Q233" s="222"/>
      <c r="R233" s="222"/>
      <c r="S233" s="222"/>
      <c r="T233" s="222">
        <v>19400000000</v>
      </c>
      <c r="U233" s="222">
        <v>152834398.5</v>
      </c>
      <c r="V233" s="222">
        <v>19247165601.5</v>
      </c>
      <c r="W233" s="224">
        <v>7.8780617783505147E-3</v>
      </c>
      <c r="X233" s="222">
        <v>0</v>
      </c>
      <c r="Y233" s="222">
        <v>152834398.5</v>
      </c>
      <c r="Z233" s="224">
        <v>1</v>
      </c>
      <c r="AA233" s="222">
        <v>0</v>
      </c>
      <c r="AB233" s="222">
        <v>0</v>
      </c>
      <c r="AC233" s="224">
        <v>0</v>
      </c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1:52" s="90" customFormat="1" ht="27" customHeight="1">
      <c r="A234" s="32"/>
      <c r="B234" s="217" t="s">
        <v>722</v>
      </c>
      <c r="C234" s="266" t="s">
        <v>167</v>
      </c>
      <c r="D234" s="267" t="s">
        <v>190</v>
      </c>
      <c r="E234" s="267" t="s">
        <v>172</v>
      </c>
      <c r="F234" s="267">
        <v>23</v>
      </c>
      <c r="G234" s="267" t="s">
        <v>175</v>
      </c>
      <c r="H234" s="267">
        <v>4103065</v>
      </c>
      <c r="I234" s="267" t="s">
        <v>54</v>
      </c>
      <c r="J234" s="267"/>
      <c r="K234" s="268">
        <v>16</v>
      </c>
      <c r="L234" s="269" t="s">
        <v>156</v>
      </c>
      <c r="M234" s="259" t="s">
        <v>178</v>
      </c>
      <c r="N234" s="222">
        <v>68256379176</v>
      </c>
      <c r="O234" s="222"/>
      <c r="P234" s="222"/>
      <c r="Q234" s="222"/>
      <c r="R234" s="222"/>
      <c r="S234" s="222"/>
      <c r="T234" s="222">
        <v>68256379176</v>
      </c>
      <c r="U234" s="222">
        <v>34203349832.59</v>
      </c>
      <c r="V234" s="222">
        <v>34053029343.41</v>
      </c>
      <c r="W234" s="224">
        <v>0.50110114608330159</v>
      </c>
      <c r="X234" s="222">
        <v>0</v>
      </c>
      <c r="Y234" s="222">
        <v>34203349832.59</v>
      </c>
      <c r="Z234" s="224">
        <v>1</v>
      </c>
      <c r="AA234" s="222">
        <v>0</v>
      </c>
      <c r="AB234" s="222">
        <v>0</v>
      </c>
      <c r="AC234" s="224">
        <v>0</v>
      </c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1:52" s="90" customFormat="1" ht="27" customHeight="1">
      <c r="A235" s="32"/>
      <c r="B235" s="217" t="s">
        <v>723</v>
      </c>
      <c r="C235" s="266" t="s">
        <v>167</v>
      </c>
      <c r="D235" s="267" t="s">
        <v>190</v>
      </c>
      <c r="E235" s="267" t="s">
        <v>172</v>
      </c>
      <c r="F235" s="267">
        <v>23</v>
      </c>
      <c r="G235" s="267" t="s">
        <v>175</v>
      </c>
      <c r="H235" s="267">
        <v>4103065</v>
      </c>
      <c r="I235" s="274" t="s">
        <v>65</v>
      </c>
      <c r="J235" s="267"/>
      <c r="K235" s="268">
        <v>11</v>
      </c>
      <c r="L235" s="269" t="s">
        <v>29</v>
      </c>
      <c r="M235" s="259" t="s">
        <v>127</v>
      </c>
      <c r="N235" s="222">
        <v>368600000000</v>
      </c>
      <c r="O235" s="222"/>
      <c r="P235" s="222"/>
      <c r="Q235" s="222"/>
      <c r="R235" s="222"/>
      <c r="S235" s="222"/>
      <c r="T235" s="222">
        <v>368600000000</v>
      </c>
      <c r="U235" s="222">
        <v>66000000000</v>
      </c>
      <c r="V235" s="222">
        <v>302600000000</v>
      </c>
      <c r="W235" s="224">
        <v>0.17905588714053175</v>
      </c>
      <c r="X235" s="222">
        <v>66000000000</v>
      </c>
      <c r="Y235" s="222">
        <v>0</v>
      </c>
      <c r="Z235" s="224">
        <v>0</v>
      </c>
      <c r="AA235" s="222">
        <v>66000000000</v>
      </c>
      <c r="AB235" s="222">
        <v>0</v>
      </c>
      <c r="AC235" s="224">
        <v>1</v>
      </c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1:52" s="90" customFormat="1" ht="27" customHeight="1">
      <c r="A236" s="32"/>
      <c r="B236" s="217" t="s">
        <v>723</v>
      </c>
      <c r="C236" s="266" t="s">
        <v>167</v>
      </c>
      <c r="D236" s="267" t="s">
        <v>190</v>
      </c>
      <c r="E236" s="267" t="s">
        <v>172</v>
      </c>
      <c r="F236" s="267">
        <v>23</v>
      </c>
      <c r="G236" s="267" t="s">
        <v>175</v>
      </c>
      <c r="H236" s="267">
        <v>4103065</v>
      </c>
      <c r="I236" s="274" t="s">
        <v>65</v>
      </c>
      <c r="J236" s="267"/>
      <c r="K236" s="268">
        <v>16</v>
      </c>
      <c r="L236" s="269" t="s">
        <v>156</v>
      </c>
      <c r="M236" s="259" t="s">
        <v>127</v>
      </c>
      <c r="N236" s="222">
        <v>1313111750904</v>
      </c>
      <c r="O236" s="222"/>
      <c r="P236" s="222"/>
      <c r="Q236" s="222"/>
      <c r="R236" s="222"/>
      <c r="S236" s="222"/>
      <c r="T236" s="222">
        <v>1313111750904</v>
      </c>
      <c r="U236" s="222">
        <v>206092240000</v>
      </c>
      <c r="V236" s="222">
        <v>1107019510904</v>
      </c>
      <c r="W236" s="224">
        <v>0.15694950552237283</v>
      </c>
      <c r="X236" s="222">
        <v>206092240000</v>
      </c>
      <c r="Y236" s="222">
        <v>0</v>
      </c>
      <c r="Z236" s="224">
        <v>0</v>
      </c>
      <c r="AA236" s="222">
        <v>206092240000</v>
      </c>
      <c r="AB236" s="222">
        <v>0</v>
      </c>
      <c r="AC236" s="224">
        <v>1</v>
      </c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1:52" s="90" customFormat="1" ht="35.1" customHeight="1">
      <c r="A237" s="32" t="s">
        <v>543</v>
      </c>
      <c r="B237" s="188" t="s">
        <v>544</v>
      </c>
      <c r="C237" s="189" t="s">
        <v>167</v>
      </c>
      <c r="D237" s="191">
        <v>4199</v>
      </c>
      <c r="E237" s="191"/>
      <c r="F237" s="191"/>
      <c r="G237" s="191"/>
      <c r="H237" s="191"/>
      <c r="I237" s="191"/>
      <c r="J237" s="191"/>
      <c r="K237" s="192"/>
      <c r="L237" s="193"/>
      <c r="M237" s="188" t="s">
        <v>250</v>
      </c>
      <c r="N237" s="194">
        <v>3226548466</v>
      </c>
      <c r="O237" s="194">
        <v>0</v>
      </c>
      <c r="P237" s="194">
        <v>0</v>
      </c>
      <c r="Q237" s="194">
        <v>0</v>
      </c>
      <c r="R237" s="194">
        <v>0</v>
      </c>
      <c r="S237" s="194">
        <v>0</v>
      </c>
      <c r="T237" s="194">
        <v>3226548466</v>
      </c>
      <c r="U237" s="194">
        <v>582946409</v>
      </c>
      <c r="V237" s="194">
        <v>2643602057</v>
      </c>
      <c r="W237" s="195">
        <v>0.18067182785036151</v>
      </c>
      <c r="X237" s="194">
        <v>582946409</v>
      </c>
      <c r="Y237" s="194">
        <v>0</v>
      </c>
      <c r="Z237" s="195">
        <v>0</v>
      </c>
      <c r="AA237" s="194">
        <v>582946409</v>
      </c>
      <c r="AB237" s="194">
        <v>0</v>
      </c>
      <c r="AC237" s="195">
        <v>1</v>
      </c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1:52" s="90" customFormat="1" ht="24.95" customHeight="1">
      <c r="A238" s="32" t="s">
        <v>545</v>
      </c>
      <c r="B238" s="196" t="s">
        <v>300</v>
      </c>
      <c r="C238" s="197" t="s">
        <v>167</v>
      </c>
      <c r="D238" s="198">
        <v>4199</v>
      </c>
      <c r="E238" s="198">
        <v>1500</v>
      </c>
      <c r="F238" s="198"/>
      <c r="G238" s="198"/>
      <c r="H238" s="198"/>
      <c r="I238" s="198"/>
      <c r="J238" s="198"/>
      <c r="K238" s="199"/>
      <c r="L238" s="200"/>
      <c r="M238" s="196" t="s">
        <v>170</v>
      </c>
      <c r="N238" s="201">
        <v>3226548466</v>
      </c>
      <c r="O238" s="201">
        <v>0</v>
      </c>
      <c r="P238" s="201">
        <v>0</v>
      </c>
      <c r="Q238" s="201">
        <v>0</v>
      </c>
      <c r="R238" s="201">
        <v>0</v>
      </c>
      <c r="S238" s="201">
        <v>0</v>
      </c>
      <c r="T238" s="201">
        <v>3226548466</v>
      </c>
      <c r="U238" s="201">
        <v>582946409</v>
      </c>
      <c r="V238" s="201">
        <v>2643602057</v>
      </c>
      <c r="W238" s="202">
        <v>0.18067182785036151</v>
      </c>
      <c r="X238" s="201">
        <v>582946409</v>
      </c>
      <c r="Y238" s="201">
        <v>0</v>
      </c>
      <c r="Z238" s="202">
        <v>0</v>
      </c>
      <c r="AA238" s="201">
        <v>582946409</v>
      </c>
      <c r="AB238" s="201">
        <v>0</v>
      </c>
      <c r="AC238" s="202">
        <v>1</v>
      </c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1:52" s="90" customFormat="1" ht="33">
      <c r="A239" s="32" t="s">
        <v>546</v>
      </c>
      <c r="B239" s="203" t="s">
        <v>547</v>
      </c>
      <c r="C239" s="227" t="s">
        <v>167</v>
      </c>
      <c r="D239" s="228" t="s">
        <v>251</v>
      </c>
      <c r="E239" s="228" t="s">
        <v>172</v>
      </c>
      <c r="F239" s="228" t="s">
        <v>252</v>
      </c>
      <c r="G239" s="228"/>
      <c r="H239" s="228"/>
      <c r="I239" s="228"/>
      <c r="J239" s="228"/>
      <c r="K239" s="229"/>
      <c r="L239" s="230"/>
      <c r="M239" s="231" t="s">
        <v>287</v>
      </c>
      <c r="N239" s="232">
        <v>3226548466</v>
      </c>
      <c r="O239" s="232">
        <v>0</v>
      </c>
      <c r="P239" s="232">
        <v>0</v>
      </c>
      <c r="Q239" s="232">
        <v>0</v>
      </c>
      <c r="R239" s="232">
        <v>0</v>
      </c>
      <c r="S239" s="232">
        <v>0</v>
      </c>
      <c r="T239" s="232">
        <v>3226548466</v>
      </c>
      <c r="U239" s="232">
        <v>582946409</v>
      </c>
      <c r="V239" s="232">
        <v>2643602057</v>
      </c>
      <c r="W239" s="233">
        <v>0.18067182785036151</v>
      </c>
      <c r="X239" s="232">
        <v>582946409</v>
      </c>
      <c r="Y239" s="232">
        <v>0</v>
      </c>
      <c r="Z239" s="233">
        <v>0</v>
      </c>
      <c r="AA239" s="232">
        <v>582946409</v>
      </c>
      <c r="AB239" s="232">
        <v>0</v>
      </c>
      <c r="AC239" s="233">
        <v>1</v>
      </c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1:52" s="90" customFormat="1" ht="24.95" customHeight="1">
      <c r="A240" s="32" t="s">
        <v>688</v>
      </c>
      <c r="B240" s="210" t="s">
        <v>548</v>
      </c>
      <c r="C240" s="211" t="s">
        <v>167</v>
      </c>
      <c r="D240" s="212" t="s">
        <v>251</v>
      </c>
      <c r="E240" s="212" t="s">
        <v>172</v>
      </c>
      <c r="F240" s="212" t="s">
        <v>252</v>
      </c>
      <c r="G240" s="212" t="s">
        <v>175</v>
      </c>
      <c r="H240" s="212" t="s">
        <v>254</v>
      </c>
      <c r="I240" s="212"/>
      <c r="J240" s="212"/>
      <c r="K240" s="213">
        <v>11</v>
      </c>
      <c r="L240" s="214" t="s">
        <v>29</v>
      </c>
      <c r="M240" s="210" t="s">
        <v>255</v>
      </c>
      <c r="N240" s="215">
        <v>3226548466</v>
      </c>
      <c r="O240" s="215">
        <v>0</v>
      </c>
      <c r="P240" s="215">
        <v>0</v>
      </c>
      <c r="Q240" s="215">
        <v>0</v>
      </c>
      <c r="R240" s="215">
        <v>0</v>
      </c>
      <c r="S240" s="215">
        <v>0</v>
      </c>
      <c r="T240" s="215">
        <v>3226548466</v>
      </c>
      <c r="U240" s="215">
        <v>582946409</v>
      </c>
      <c r="V240" s="215">
        <v>2643602057</v>
      </c>
      <c r="W240" s="216">
        <v>0.18067182785036151</v>
      </c>
      <c r="X240" s="215">
        <v>582946409</v>
      </c>
      <c r="Y240" s="215">
        <v>0</v>
      </c>
      <c r="Z240" s="216">
        <v>0</v>
      </c>
      <c r="AA240" s="215">
        <v>582946409</v>
      </c>
      <c r="AB240" s="215">
        <v>0</v>
      </c>
      <c r="AC240" s="216">
        <v>1</v>
      </c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1:52" s="90" customFormat="1" ht="24.95" customHeight="1" thickBot="1">
      <c r="A241" s="32" t="s">
        <v>689</v>
      </c>
      <c r="B241" s="217" t="s">
        <v>549</v>
      </c>
      <c r="C241" s="218" t="s">
        <v>167</v>
      </c>
      <c r="D241" s="219" t="s">
        <v>251</v>
      </c>
      <c r="E241" s="219" t="s">
        <v>172</v>
      </c>
      <c r="F241" s="219" t="s">
        <v>252</v>
      </c>
      <c r="G241" s="219" t="s">
        <v>175</v>
      </c>
      <c r="H241" s="219" t="s">
        <v>254</v>
      </c>
      <c r="I241" s="219" t="s">
        <v>54</v>
      </c>
      <c r="J241" s="219"/>
      <c r="K241" s="275">
        <v>11</v>
      </c>
      <c r="L241" s="276" t="s">
        <v>29</v>
      </c>
      <c r="M241" s="217" t="s">
        <v>178</v>
      </c>
      <c r="N241" s="222">
        <v>3226548466</v>
      </c>
      <c r="O241" s="222"/>
      <c r="P241" s="222"/>
      <c r="Q241" s="222"/>
      <c r="R241" s="222"/>
      <c r="S241" s="222"/>
      <c r="T241" s="222">
        <v>3226548466</v>
      </c>
      <c r="U241" s="222">
        <v>582946409</v>
      </c>
      <c r="V241" s="222">
        <v>2643602057</v>
      </c>
      <c r="W241" s="224">
        <v>0.18067182785036151</v>
      </c>
      <c r="X241" s="222">
        <v>582946409</v>
      </c>
      <c r="Y241" s="222">
        <v>0</v>
      </c>
      <c r="Z241" s="224">
        <v>0</v>
      </c>
      <c r="AA241" s="222">
        <v>582946409</v>
      </c>
      <c r="AB241" s="222">
        <v>0</v>
      </c>
      <c r="AC241" s="224">
        <v>1</v>
      </c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1:52" s="90" customFormat="1" ht="35.1" customHeight="1" thickBot="1">
      <c r="A242" s="32"/>
      <c r="B242" s="277" t="s">
        <v>288</v>
      </c>
      <c r="C242" s="278"/>
      <c r="D242" s="278"/>
      <c r="E242" s="278"/>
      <c r="F242" s="278"/>
      <c r="G242" s="278"/>
      <c r="H242" s="278"/>
      <c r="I242" s="278"/>
      <c r="J242" s="278"/>
      <c r="K242" s="278"/>
      <c r="L242" s="278"/>
      <c r="M242" s="260" t="s">
        <v>256</v>
      </c>
      <c r="N242" s="265">
        <v>6409808633098</v>
      </c>
      <c r="O242" s="265">
        <v>3803514274200</v>
      </c>
      <c r="P242" s="265">
        <v>0</v>
      </c>
      <c r="Q242" s="265">
        <v>37359530188.089996</v>
      </c>
      <c r="R242" s="265">
        <v>37359530188.089996</v>
      </c>
      <c r="S242" s="265">
        <v>548607000000</v>
      </c>
      <c r="T242" s="265">
        <v>9664715907298</v>
      </c>
      <c r="U242" s="265">
        <v>2020416539518.4199</v>
      </c>
      <c r="V242" s="265">
        <v>7644299367779.5801</v>
      </c>
      <c r="W242" s="187">
        <v>0.20905079454976708</v>
      </c>
      <c r="X242" s="265">
        <v>1624794949469.8301</v>
      </c>
      <c r="Y242" s="265">
        <v>395621590048.59009</v>
      </c>
      <c r="Z242" s="187">
        <v>0.19581189438435759</v>
      </c>
      <c r="AA242" s="265">
        <v>1621796314136.3601</v>
      </c>
      <c r="AB242" s="265">
        <v>2998635333.4700003</v>
      </c>
      <c r="AC242" s="187">
        <v>0.80270393872489598</v>
      </c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1:52" s="90" customFormat="1" ht="16.5">
      <c r="A243" s="32"/>
      <c r="B243" s="279"/>
      <c r="C243" s="82"/>
      <c r="D243" s="82"/>
      <c r="E243" s="82"/>
      <c r="F243" s="82"/>
      <c r="G243" s="82"/>
      <c r="H243" s="83"/>
      <c r="I243" s="84"/>
      <c r="J243" s="84"/>
      <c r="K243" s="84"/>
      <c r="L243" s="84"/>
      <c r="M243" s="84"/>
      <c r="N243" s="86"/>
      <c r="O243" s="86"/>
      <c r="P243" s="86"/>
      <c r="Q243" s="86"/>
      <c r="R243" s="86"/>
      <c r="S243" s="86"/>
      <c r="T243" s="86"/>
      <c r="U243" s="86"/>
      <c r="V243" s="86"/>
      <c r="W243" s="87"/>
      <c r="X243" s="86"/>
      <c r="Y243" s="86"/>
      <c r="Z243" s="87"/>
      <c r="AA243" s="86"/>
      <c r="AB243" s="86"/>
      <c r="AC243" s="89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1:52" s="90" customFormat="1" ht="16.5">
      <c r="A244" s="32" t="s">
        <v>550</v>
      </c>
      <c r="B244" s="279"/>
      <c r="C244" s="82"/>
      <c r="D244" s="82"/>
      <c r="E244" s="82"/>
      <c r="F244" s="82"/>
      <c r="G244" s="82"/>
      <c r="H244" s="83"/>
      <c r="I244" s="84"/>
      <c r="J244" s="84"/>
      <c r="K244" s="84"/>
      <c r="L244" s="84"/>
      <c r="M244" s="84"/>
      <c r="N244" s="86"/>
      <c r="O244" s="86"/>
      <c r="P244" s="86"/>
      <c r="Q244" s="86"/>
      <c r="R244" s="86"/>
      <c r="S244" s="86"/>
      <c r="T244" s="86"/>
      <c r="U244" s="86"/>
      <c r="V244" s="86"/>
      <c r="W244" s="87"/>
      <c r="X244" s="86"/>
      <c r="Y244" s="86"/>
      <c r="Z244" s="87"/>
      <c r="AA244" s="86"/>
      <c r="AB244" s="86"/>
      <c r="AC244" s="89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1:52" s="8" customFormat="1" ht="16.5">
      <c r="A245" s="32"/>
      <c r="B245" s="280"/>
      <c r="C245" s="94"/>
      <c r="D245" s="93"/>
      <c r="E245" s="93"/>
      <c r="F245" s="93"/>
      <c r="G245" s="93"/>
      <c r="H245" s="93"/>
      <c r="I245" s="93"/>
      <c r="J245" s="93"/>
      <c r="K245" s="93"/>
      <c r="L245" s="93"/>
      <c r="M245" s="97" t="s">
        <v>289</v>
      </c>
      <c r="N245" s="281">
        <v>6409808633098</v>
      </c>
      <c r="O245" s="281">
        <v>3803514274200</v>
      </c>
      <c r="P245" s="281"/>
      <c r="Q245" s="635">
        <v>37359530188.089996</v>
      </c>
      <c r="R245" s="635">
        <v>37359530188.089996</v>
      </c>
      <c r="S245" s="281">
        <v>548607000000</v>
      </c>
      <c r="T245" s="281">
        <v>9664715907298</v>
      </c>
      <c r="U245" s="281">
        <v>2020416539518.4199</v>
      </c>
      <c r="V245" s="281">
        <v>7644299367779.5801</v>
      </c>
      <c r="W245" s="282">
        <v>0.20905079454976708</v>
      </c>
      <c r="X245" s="281">
        <v>1624794949469.8301</v>
      </c>
      <c r="Y245" s="281">
        <v>395621590048.58984</v>
      </c>
      <c r="Z245" s="282">
        <v>0.19581189438435748</v>
      </c>
      <c r="AA245" s="281">
        <v>1621796314136.3601</v>
      </c>
      <c r="AB245" s="281">
        <v>2998635333.4699707</v>
      </c>
      <c r="AC245" s="282">
        <v>0.80270393872489598</v>
      </c>
    </row>
    <row r="246" spans="1:52" s="289" customFormat="1" ht="16.5">
      <c r="A246" s="22"/>
      <c r="B246" s="283"/>
      <c r="C246" s="284"/>
      <c r="D246" s="285"/>
      <c r="E246" s="285"/>
      <c r="F246" s="285"/>
      <c r="G246" s="285"/>
      <c r="H246" s="285"/>
      <c r="I246" s="285"/>
      <c r="J246" s="285"/>
      <c r="K246" s="285"/>
      <c r="L246" s="285"/>
      <c r="M246" s="286" t="s">
        <v>290</v>
      </c>
      <c r="N246" s="98">
        <v>0</v>
      </c>
      <c r="O246" s="98">
        <v>0</v>
      </c>
      <c r="P246" s="98">
        <v>0</v>
      </c>
      <c r="Q246" s="98">
        <v>0</v>
      </c>
      <c r="R246" s="98">
        <v>0</v>
      </c>
      <c r="S246" s="98">
        <v>0</v>
      </c>
      <c r="T246" s="98">
        <v>0</v>
      </c>
      <c r="U246" s="98">
        <v>0</v>
      </c>
      <c r="V246" s="98">
        <v>0</v>
      </c>
      <c r="W246" s="287"/>
      <c r="X246" s="98">
        <v>0</v>
      </c>
      <c r="Y246" s="98">
        <v>0</v>
      </c>
      <c r="Z246" s="287"/>
      <c r="AA246" s="98">
        <v>0</v>
      </c>
      <c r="AB246" s="98">
        <v>2.956390380859375E-5</v>
      </c>
      <c r="AC246" s="28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</row>
    <row r="247" spans="1:52" ht="18">
      <c r="A247" s="30"/>
      <c r="B247" s="279"/>
      <c r="C247" s="312"/>
      <c r="D247" s="317"/>
      <c r="E247" s="312"/>
      <c r="F247" s="312"/>
      <c r="G247" s="312"/>
      <c r="H247" s="312"/>
      <c r="I247" s="312"/>
      <c r="J247" s="312"/>
      <c r="K247" s="312"/>
      <c r="L247" s="312"/>
      <c r="M247" s="312"/>
      <c r="N247" s="335"/>
      <c r="O247" s="632"/>
      <c r="P247" s="332"/>
      <c r="Q247" s="332"/>
      <c r="R247" s="633"/>
      <c r="S247" s="633"/>
      <c r="T247" s="359"/>
      <c r="U247" s="332"/>
      <c r="V247" s="332"/>
      <c r="W247" s="333"/>
      <c r="X247" s="332"/>
      <c r="Y247" s="332"/>
      <c r="Z247" s="333"/>
      <c r="AA247" s="332"/>
      <c r="AB247" s="332"/>
      <c r="AC247" s="333"/>
    </row>
    <row r="248" spans="1:52" ht="18">
      <c r="A248" s="30"/>
      <c r="B248" s="279"/>
      <c r="C248" s="312"/>
      <c r="D248" s="317"/>
      <c r="E248" s="312"/>
      <c r="F248" s="312"/>
      <c r="G248" s="312"/>
      <c r="H248" s="312"/>
      <c r="I248" s="312"/>
      <c r="J248" s="312"/>
      <c r="K248" s="312"/>
      <c r="L248" s="312"/>
      <c r="M248" s="312"/>
      <c r="N248" s="332"/>
      <c r="O248" s="632"/>
      <c r="P248" s="332"/>
      <c r="Q248" s="359"/>
      <c r="R248" s="633"/>
      <c r="S248" s="633"/>
      <c r="T248" s="332"/>
      <c r="U248" s="332"/>
      <c r="V248" s="332"/>
      <c r="W248" s="333"/>
      <c r="X248" s="332"/>
      <c r="Y248" s="332"/>
      <c r="Z248" s="333"/>
      <c r="AA248" s="332"/>
      <c r="AB248" s="332"/>
      <c r="AC248" s="333"/>
    </row>
    <row r="249" spans="1:52" ht="18">
      <c r="A249" s="1"/>
      <c r="B249" s="156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32"/>
      <c r="O249" s="632"/>
      <c r="P249" s="332"/>
      <c r="Q249" s="332"/>
      <c r="R249" s="332"/>
      <c r="S249" s="332"/>
      <c r="T249" s="332"/>
      <c r="U249" s="332"/>
      <c r="V249" s="332"/>
      <c r="W249" s="333"/>
      <c r="X249" s="332"/>
      <c r="Y249" s="631"/>
      <c r="Z249" s="333"/>
      <c r="AA249" s="332"/>
      <c r="AB249" s="332"/>
      <c r="AC249" s="333"/>
    </row>
    <row r="250" spans="1:52" ht="30">
      <c r="A250" s="1"/>
      <c r="B250" s="156"/>
      <c r="C250" s="318"/>
      <c r="D250" s="318"/>
      <c r="E250" s="318"/>
      <c r="F250" s="318"/>
      <c r="G250" s="318"/>
      <c r="H250" s="318"/>
      <c r="I250" s="312"/>
      <c r="J250" s="312"/>
      <c r="K250" s="312"/>
      <c r="L250" s="312"/>
      <c r="M250" s="336" t="s">
        <v>738</v>
      </c>
      <c r="N250" s="628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20"/>
      <c r="AA250" s="319"/>
      <c r="AB250" s="319"/>
      <c r="AC250" s="319"/>
    </row>
    <row r="251" spans="1:52" ht="30">
      <c r="A251" s="1"/>
      <c r="B251" s="156"/>
      <c r="C251" s="321"/>
      <c r="D251" s="322"/>
      <c r="E251" s="322"/>
      <c r="F251" s="322"/>
      <c r="G251" s="322"/>
      <c r="H251" s="322"/>
      <c r="I251" s="322"/>
      <c r="J251" s="322"/>
      <c r="K251" s="322"/>
      <c r="L251" s="322"/>
      <c r="M251" s="337" t="s">
        <v>739</v>
      </c>
      <c r="N251" s="628"/>
      <c r="P251" s="323"/>
      <c r="Q251" s="323"/>
      <c r="R251" s="323"/>
      <c r="S251" s="323"/>
      <c r="T251" s="360"/>
      <c r="U251" s="323"/>
      <c r="V251" s="323"/>
      <c r="W251" s="323"/>
      <c r="X251" s="323"/>
      <c r="Y251" s="323"/>
      <c r="Z251" s="324"/>
      <c r="AA251" s="323"/>
      <c r="AB251" s="323"/>
      <c r="AC251" s="323"/>
    </row>
    <row r="252" spans="1:52" ht="30">
      <c r="A252" s="325"/>
      <c r="B252" s="314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628"/>
      <c r="P252" s="309"/>
      <c r="Q252" s="309"/>
      <c r="R252" s="630"/>
      <c r="S252" s="630"/>
      <c r="T252" s="334"/>
      <c r="U252" s="334"/>
      <c r="V252" s="629"/>
      <c r="W252" s="329"/>
      <c r="X252" s="329"/>
      <c r="Y252" s="329"/>
      <c r="Z252" s="329"/>
    </row>
    <row r="253" spans="1:52" ht="16.5">
      <c r="N253" s="628"/>
      <c r="O253" s="628"/>
    </row>
    <row r="254" spans="1:52" ht="16.5">
      <c r="N254" s="628"/>
      <c r="O254" s="628"/>
    </row>
    <row r="255" spans="1:52" ht="16.5">
      <c r="N255" s="628"/>
    </row>
    <row r="256" spans="1:52" ht="16.5">
      <c r="N256" s="628"/>
    </row>
    <row r="257" spans="14:14" ht="16.5">
      <c r="N257" s="628"/>
    </row>
  </sheetData>
  <sheetProtection selectLockedCells="1" selectUnlockedCells="1"/>
  <autoFilter ref="A6:AC245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A8E0-D2F0-47FC-9A21-912850C40AA9}">
  <sheetPr>
    <tabColor theme="7" tint="0.59999389629810485"/>
    <pageSetUpPr fitToPage="1"/>
  </sheetPr>
  <dimension ref="A1:AT251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16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35.42578125" style="9" customWidth="1"/>
    <col min="14" max="14" width="23.7109375" style="13" bestFit="1" customWidth="1"/>
    <col min="15" max="15" width="19.5703125" style="13" bestFit="1" customWidth="1"/>
    <col min="16" max="16" width="11.5703125" style="13" customWidth="1"/>
    <col min="17" max="17" width="19.5703125" style="13" bestFit="1" customWidth="1"/>
    <col min="18" max="18" width="14.140625" style="13" customWidth="1"/>
    <col min="19" max="19" width="19.5703125" style="13" customWidth="1"/>
    <col min="20" max="20" width="13.42578125" style="13" customWidth="1"/>
    <col min="21" max="21" width="11.42578125" style="13"/>
    <col min="22" max="22" width="13.85546875" style="13" customWidth="1"/>
    <col min="23" max="16384" width="11.42578125" style="13"/>
  </cols>
  <sheetData>
    <row r="1" spans="1:20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6"/>
      <c r="O1" s="5">
        <v>13</v>
      </c>
      <c r="P1" s="7"/>
      <c r="Q1" s="5">
        <v>14</v>
      </c>
      <c r="R1" s="7"/>
      <c r="S1" s="5">
        <v>16</v>
      </c>
      <c r="T1" s="7"/>
    </row>
    <row r="2" spans="1:20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303" t="s">
        <v>0</v>
      </c>
      <c r="O2" s="303"/>
      <c r="P2" s="303"/>
      <c r="Q2" s="303"/>
      <c r="R2" s="303"/>
      <c r="S2" s="303"/>
      <c r="T2" s="303"/>
    </row>
    <row r="3" spans="1:20" ht="15.75" customHeight="1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302" t="s">
        <v>776</v>
      </c>
      <c r="O3" s="302"/>
      <c r="P3" s="302"/>
      <c r="Q3" s="302"/>
      <c r="R3" s="302"/>
      <c r="S3" s="302"/>
      <c r="T3" s="302"/>
    </row>
    <row r="4" spans="1:20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1"/>
      <c r="Q4" s="20"/>
      <c r="R4" s="21"/>
      <c r="S4" s="20"/>
      <c r="T4" s="21"/>
    </row>
    <row r="5" spans="1:20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166" t="s">
        <v>6</v>
      </c>
      <c r="O5" s="782" t="s">
        <v>7</v>
      </c>
      <c r="P5" s="783"/>
      <c r="Q5" s="776" t="s">
        <v>8</v>
      </c>
      <c r="R5" s="778"/>
      <c r="S5" s="779" t="s">
        <v>9</v>
      </c>
      <c r="T5" s="781"/>
    </row>
    <row r="6" spans="1:20" s="25" customFormat="1" ht="33.7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6</v>
      </c>
      <c r="O6" s="176" t="s">
        <v>18</v>
      </c>
      <c r="P6" s="177" t="s">
        <v>19</v>
      </c>
      <c r="Q6" s="175" t="s">
        <v>18</v>
      </c>
      <c r="R6" s="310" t="s">
        <v>737</v>
      </c>
      <c r="S6" s="175" t="s">
        <v>18</v>
      </c>
      <c r="T6" s="178" t="s">
        <v>20</v>
      </c>
    </row>
    <row r="7" spans="1:20" ht="35.1" customHeight="1" thickBot="1">
      <c r="A7" s="32" t="s">
        <v>551</v>
      </c>
      <c r="B7" s="180" t="s">
        <v>23</v>
      </c>
      <c r="C7" s="181" t="s">
        <v>23</v>
      </c>
      <c r="D7" s="182"/>
      <c r="E7" s="182"/>
      <c r="F7" s="182"/>
      <c r="G7" s="182"/>
      <c r="H7" s="182"/>
      <c r="I7" s="182"/>
      <c r="J7" s="183"/>
      <c r="K7" s="184"/>
      <c r="L7" s="185"/>
      <c r="M7" s="180" t="s">
        <v>24</v>
      </c>
      <c r="N7" s="186">
        <v>3960207274200</v>
      </c>
      <c r="O7" s="186">
        <v>1809238972619.8899</v>
      </c>
      <c r="P7" s="187">
        <f>+O7/$N7</f>
        <v>0.45685461576891162</v>
      </c>
      <c r="Q7" s="186">
        <v>1761741405463.6201</v>
      </c>
      <c r="R7" s="187">
        <f>+Q7/$N7</f>
        <v>0.44486090840270698</v>
      </c>
      <c r="S7" s="186">
        <v>1761180765535.6201</v>
      </c>
      <c r="T7" s="187">
        <f>+S7/$N7</f>
        <v>0.44471934007327824</v>
      </c>
    </row>
    <row r="8" spans="1:20" ht="35.1" customHeight="1">
      <c r="A8" s="32" t="s">
        <v>302</v>
      </c>
      <c r="B8" s="188" t="s">
        <v>303</v>
      </c>
      <c r="C8" s="189" t="s">
        <v>23</v>
      </c>
      <c r="D8" s="190" t="s">
        <v>25</v>
      </c>
      <c r="E8" s="191"/>
      <c r="F8" s="191"/>
      <c r="G8" s="191"/>
      <c r="H8" s="191"/>
      <c r="I8" s="191"/>
      <c r="J8" s="191"/>
      <c r="K8" s="192"/>
      <c r="L8" s="193"/>
      <c r="M8" s="188" t="s">
        <v>26</v>
      </c>
      <c r="N8" s="194">
        <v>105148000000</v>
      </c>
      <c r="O8" s="194">
        <v>26218510381</v>
      </c>
      <c r="P8" s="195">
        <f t="shared" ref="P8:R71" si="0">+O8/$N8</f>
        <v>0.24934863602731389</v>
      </c>
      <c r="Q8" s="194">
        <v>21202900734</v>
      </c>
      <c r="R8" s="195">
        <f t="shared" si="0"/>
        <v>0.20164816006010575</v>
      </c>
      <c r="S8" s="194">
        <v>21202900734</v>
      </c>
      <c r="T8" s="195">
        <f t="shared" ref="T8" si="1">+S8/$N8</f>
        <v>0.20164816006010575</v>
      </c>
    </row>
    <row r="9" spans="1:20" ht="24.95" customHeight="1">
      <c r="A9" s="32" t="s">
        <v>304</v>
      </c>
      <c r="B9" s="196" t="s">
        <v>305</v>
      </c>
      <c r="C9" s="197" t="s">
        <v>23</v>
      </c>
      <c r="D9" s="198" t="s">
        <v>25</v>
      </c>
      <c r="E9" s="198" t="s">
        <v>25</v>
      </c>
      <c r="F9" s="198"/>
      <c r="G9" s="198"/>
      <c r="H9" s="198"/>
      <c r="I9" s="198"/>
      <c r="J9" s="198"/>
      <c r="K9" s="199"/>
      <c r="L9" s="200"/>
      <c r="M9" s="196" t="s">
        <v>27</v>
      </c>
      <c r="N9" s="201">
        <v>105148000000</v>
      </c>
      <c r="O9" s="201">
        <v>26218510381</v>
      </c>
      <c r="P9" s="202">
        <f t="shared" si="0"/>
        <v>0.24934863602731389</v>
      </c>
      <c r="Q9" s="201">
        <v>21202900734</v>
      </c>
      <c r="R9" s="202">
        <f t="shared" si="0"/>
        <v>0.20164816006010575</v>
      </c>
      <c r="S9" s="201">
        <v>21202900734</v>
      </c>
      <c r="T9" s="202">
        <f t="shared" ref="T9" si="2">+S9/$N9</f>
        <v>0.20164816006010575</v>
      </c>
    </row>
    <row r="10" spans="1:20" ht="24.95" customHeight="1">
      <c r="A10" s="32" t="s">
        <v>306</v>
      </c>
      <c r="B10" s="203" t="s">
        <v>307</v>
      </c>
      <c r="C10" s="204" t="s">
        <v>23</v>
      </c>
      <c r="D10" s="205" t="s">
        <v>25</v>
      </c>
      <c r="E10" s="205" t="s">
        <v>25</v>
      </c>
      <c r="F10" s="205" t="s">
        <v>25</v>
      </c>
      <c r="G10" s="205"/>
      <c r="H10" s="205"/>
      <c r="I10" s="205"/>
      <c r="J10" s="205"/>
      <c r="K10" s="206" t="s">
        <v>28</v>
      </c>
      <c r="L10" s="207" t="s">
        <v>29</v>
      </c>
      <c r="M10" s="203" t="s">
        <v>30</v>
      </c>
      <c r="N10" s="208">
        <v>69237000000</v>
      </c>
      <c r="O10" s="208">
        <v>14251921949</v>
      </c>
      <c r="P10" s="209">
        <f t="shared" si="0"/>
        <v>0.20584256898768</v>
      </c>
      <c r="Q10" s="208">
        <v>14251921949</v>
      </c>
      <c r="R10" s="209">
        <f t="shared" si="0"/>
        <v>0.20584256898768</v>
      </c>
      <c r="S10" s="208">
        <v>14251921949</v>
      </c>
      <c r="T10" s="209">
        <f t="shared" ref="T10" si="3">+S10/$N10</f>
        <v>0.20584256898768</v>
      </c>
    </row>
    <row r="11" spans="1:20" ht="24.95" customHeight="1">
      <c r="A11" s="32" t="s">
        <v>308</v>
      </c>
      <c r="B11" s="210" t="s">
        <v>309</v>
      </c>
      <c r="C11" s="211" t="s">
        <v>23</v>
      </c>
      <c r="D11" s="212" t="s">
        <v>25</v>
      </c>
      <c r="E11" s="212" t="s">
        <v>25</v>
      </c>
      <c r="F11" s="212" t="s">
        <v>25</v>
      </c>
      <c r="G11" s="212" t="s">
        <v>31</v>
      </c>
      <c r="H11" s="212"/>
      <c r="I11" s="212"/>
      <c r="J11" s="212"/>
      <c r="K11" s="213" t="s">
        <v>28</v>
      </c>
      <c r="L11" s="214" t="s">
        <v>29</v>
      </c>
      <c r="M11" s="210" t="s">
        <v>32</v>
      </c>
      <c r="N11" s="215">
        <v>69237000000</v>
      </c>
      <c r="O11" s="215">
        <v>14251921949</v>
      </c>
      <c r="P11" s="216">
        <f t="shared" si="0"/>
        <v>0.20584256898768</v>
      </c>
      <c r="Q11" s="215">
        <v>14251921949</v>
      </c>
      <c r="R11" s="216">
        <f t="shared" si="0"/>
        <v>0.20584256898768</v>
      </c>
      <c r="S11" s="215">
        <v>14251921949</v>
      </c>
      <c r="T11" s="216">
        <f t="shared" ref="T11" si="4">+S11/$N11</f>
        <v>0.20584256898768</v>
      </c>
    </row>
    <row r="12" spans="1:20" ht="24.95" customHeight="1">
      <c r="A12" s="32" t="s">
        <v>310</v>
      </c>
      <c r="B12" s="217" t="s">
        <v>311</v>
      </c>
      <c r="C12" s="218" t="s">
        <v>23</v>
      </c>
      <c r="D12" s="219" t="s">
        <v>25</v>
      </c>
      <c r="E12" s="219" t="s">
        <v>25</v>
      </c>
      <c r="F12" s="219" t="s">
        <v>25</v>
      </c>
      <c r="G12" s="219" t="s">
        <v>31</v>
      </c>
      <c r="H12" s="219" t="s">
        <v>31</v>
      </c>
      <c r="I12" s="219"/>
      <c r="J12" s="219"/>
      <c r="K12" s="220" t="s">
        <v>28</v>
      </c>
      <c r="L12" s="221" t="s">
        <v>29</v>
      </c>
      <c r="M12" s="217" t="s">
        <v>33</v>
      </c>
      <c r="N12" s="222">
        <v>57000000000</v>
      </c>
      <c r="O12" s="222">
        <v>13208653923</v>
      </c>
      <c r="P12" s="224">
        <f t="shared" si="0"/>
        <v>0.23173077057894736</v>
      </c>
      <c r="Q12" s="222">
        <v>13208653923</v>
      </c>
      <c r="R12" s="224">
        <f t="shared" si="0"/>
        <v>0.23173077057894736</v>
      </c>
      <c r="S12" s="222">
        <v>13208653923</v>
      </c>
      <c r="T12" s="224">
        <f t="shared" ref="T12" si="5">+S12/$N12</f>
        <v>0.23173077057894736</v>
      </c>
    </row>
    <row r="13" spans="1:20" ht="24.95" customHeight="1">
      <c r="A13" s="32" t="s">
        <v>312</v>
      </c>
      <c r="B13" s="217" t="s">
        <v>313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34</v>
      </c>
      <c r="I13" s="219"/>
      <c r="J13" s="219"/>
      <c r="K13" s="220" t="s">
        <v>28</v>
      </c>
      <c r="L13" s="221" t="s">
        <v>29</v>
      </c>
      <c r="M13" s="217" t="s">
        <v>35</v>
      </c>
      <c r="N13" s="222">
        <v>276000000</v>
      </c>
      <c r="O13" s="222">
        <v>48491313</v>
      </c>
      <c r="P13" s="224">
        <f t="shared" si="0"/>
        <v>0.17569316304347826</v>
      </c>
      <c r="Q13" s="222">
        <v>48491313</v>
      </c>
      <c r="R13" s="224">
        <f t="shared" si="0"/>
        <v>0.17569316304347826</v>
      </c>
      <c r="S13" s="222">
        <v>48491313</v>
      </c>
      <c r="T13" s="224">
        <f t="shared" ref="T13" si="6">+S13/$N13</f>
        <v>0.17569316304347826</v>
      </c>
    </row>
    <row r="14" spans="1:20" ht="24.95" customHeight="1">
      <c r="A14" s="32" t="s">
        <v>314</v>
      </c>
      <c r="B14" s="217" t="s">
        <v>315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36</v>
      </c>
      <c r="I14" s="219"/>
      <c r="J14" s="219"/>
      <c r="K14" s="220" t="s">
        <v>28</v>
      </c>
      <c r="L14" s="221" t="s">
        <v>29</v>
      </c>
      <c r="M14" s="217" t="s">
        <v>37</v>
      </c>
      <c r="N14" s="222">
        <v>540000000</v>
      </c>
      <c r="O14" s="222">
        <v>121524602</v>
      </c>
      <c r="P14" s="224">
        <f t="shared" si="0"/>
        <v>0.22504555925925926</v>
      </c>
      <c r="Q14" s="222">
        <v>121524602</v>
      </c>
      <c r="R14" s="224">
        <f t="shared" si="0"/>
        <v>0.22504555925925926</v>
      </c>
      <c r="S14" s="222">
        <v>121524602</v>
      </c>
      <c r="T14" s="224">
        <f t="shared" ref="T14" si="7">+S14/$N14</f>
        <v>0.22504555925925926</v>
      </c>
    </row>
    <row r="15" spans="1:20" ht="24.95" customHeight="1">
      <c r="A15" s="32" t="s">
        <v>316</v>
      </c>
      <c r="B15" s="217" t="s">
        <v>317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38</v>
      </c>
      <c r="I15" s="219"/>
      <c r="J15" s="219"/>
      <c r="K15" s="220" t="s">
        <v>28</v>
      </c>
      <c r="L15" s="221" t="s">
        <v>29</v>
      </c>
      <c r="M15" s="217" t="s">
        <v>39</v>
      </c>
      <c r="N15" s="222">
        <v>96000000</v>
      </c>
      <c r="O15" s="222">
        <v>21398129</v>
      </c>
      <c r="P15" s="224">
        <f t="shared" si="0"/>
        <v>0.22289717708333334</v>
      </c>
      <c r="Q15" s="222">
        <v>21398129</v>
      </c>
      <c r="R15" s="224">
        <f t="shared" si="0"/>
        <v>0.22289717708333334</v>
      </c>
      <c r="S15" s="222">
        <v>21398129</v>
      </c>
      <c r="T15" s="224">
        <f t="shared" ref="T15" si="8">+S15/$N15</f>
        <v>0.22289717708333334</v>
      </c>
    </row>
    <row r="16" spans="1:20" ht="24.95" customHeight="1">
      <c r="A16" s="32" t="s">
        <v>318</v>
      </c>
      <c r="B16" s="217" t="s">
        <v>319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40</v>
      </c>
      <c r="I16" s="219"/>
      <c r="J16" s="219"/>
      <c r="K16" s="220" t="s">
        <v>28</v>
      </c>
      <c r="L16" s="221" t="s">
        <v>29</v>
      </c>
      <c r="M16" s="217" t="s">
        <v>41</v>
      </c>
      <c r="N16" s="222">
        <v>80000000</v>
      </c>
      <c r="O16" s="222">
        <v>24693779</v>
      </c>
      <c r="P16" s="224">
        <f t="shared" si="0"/>
        <v>0.3086722375</v>
      </c>
      <c r="Q16" s="222">
        <v>24693779</v>
      </c>
      <c r="R16" s="224">
        <f t="shared" si="0"/>
        <v>0.3086722375</v>
      </c>
      <c r="S16" s="222">
        <v>24693779</v>
      </c>
      <c r="T16" s="224">
        <f t="shared" ref="T16" si="9">+S16/$N16</f>
        <v>0.3086722375</v>
      </c>
    </row>
    <row r="17" spans="1:46" ht="24.95" customHeight="1">
      <c r="A17" s="32" t="s">
        <v>320</v>
      </c>
      <c r="B17" s="217" t="s">
        <v>321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42</v>
      </c>
      <c r="I17" s="219"/>
      <c r="J17" s="219"/>
      <c r="K17" s="220" t="s">
        <v>28</v>
      </c>
      <c r="L17" s="221" t="s">
        <v>29</v>
      </c>
      <c r="M17" s="217" t="s">
        <v>43</v>
      </c>
      <c r="N17" s="222">
        <v>2448300000</v>
      </c>
      <c r="O17" s="222">
        <v>23241180</v>
      </c>
      <c r="P17" s="224">
        <f t="shared" si="0"/>
        <v>9.492782747212351E-3</v>
      </c>
      <c r="Q17" s="222">
        <v>23241180</v>
      </c>
      <c r="R17" s="224">
        <f t="shared" si="0"/>
        <v>9.492782747212351E-3</v>
      </c>
      <c r="S17" s="222">
        <v>23241180</v>
      </c>
      <c r="T17" s="224">
        <f t="shared" ref="T17" si="10">+S17/$N17</f>
        <v>9.492782747212351E-3</v>
      </c>
    </row>
    <row r="18" spans="1:46" ht="24.95" customHeight="1">
      <c r="A18" s="32" t="s">
        <v>322</v>
      </c>
      <c r="B18" s="217" t="s">
        <v>323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44</v>
      </c>
      <c r="I18" s="219"/>
      <c r="J18" s="219"/>
      <c r="K18" s="220" t="s">
        <v>28</v>
      </c>
      <c r="L18" s="221" t="s">
        <v>29</v>
      </c>
      <c r="M18" s="217" t="s">
        <v>45</v>
      </c>
      <c r="N18" s="222">
        <v>1757500000</v>
      </c>
      <c r="O18" s="222">
        <v>457256942</v>
      </c>
      <c r="P18" s="224">
        <f t="shared" si="0"/>
        <v>0.26017464694167852</v>
      </c>
      <c r="Q18" s="222">
        <v>457256942</v>
      </c>
      <c r="R18" s="224">
        <f t="shared" si="0"/>
        <v>0.26017464694167852</v>
      </c>
      <c r="S18" s="222">
        <v>457256942</v>
      </c>
      <c r="T18" s="224">
        <f t="shared" ref="T18" si="11">+S18/$N18</f>
        <v>0.26017464694167852</v>
      </c>
    </row>
    <row r="19" spans="1:46" ht="24.95" customHeight="1">
      <c r="A19" s="32" t="s">
        <v>324</v>
      </c>
      <c r="B19" s="217" t="s">
        <v>325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46</v>
      </c>
      <c r="I19" s="219"/>
      <c r="J19" s="219"/>
      <c r="K19" s="220" t="s">
        <v>28</v>
      </c>
      <c r="L19" s="221" t="s">
        <v>29</v>
      </c>
      <c r="M19" s="217" t="s">
        <v>47</v>
      </c>
      <c r="N19" s="222">
        <v>210000000</v>
      </c>
      <c r="O19" s="222">
        <v>15511465</v>
      </c>
      <c r="P19" s="224">
        <f t="shared" si="0"/>
        <v>7.3864119047619053E-2</v>
      </c>
      <c r="Q19" s="222">
        <v>15511465</v>
      </c>
      <c r="R19" s="224">
        <f t="shared" si="0"/>
        <v>7.3864119047619053E-2</v>
      </c>
      <c r="S19" s="222">
        <v>15511465</v>
      </c>
      <c r="T19" s="224">
        <f t="shared" ref="T19" si="12">+S19/$N19</f>
        <v>7.3864119047619053E-2</v>
      </c>
    </row>
    <row r="20" spans="1:46" ht="24.95" customHeight="1">
      <c r="A20" s="32" t="s">
        <v>326</v>
      </c>
      <c r="B20" s="217" t="s">
        <v>327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48</v>
      </c>
      <c r="I20" s="219"/>
      <c r="J20" s="219"/>
      <c r="K20" s="220" t="s">
        <v>28</v>
      </c>
      <c r="L20" s="221" t="s">
        <v>29</v>
      </c>
      <c r="M20" s="217" t="s">
        <v>49</v>
      </c>
      <c r="N20" s="222">
        <v>5100500000</v>
      </c>
      <c r="O20" s="222">
        <v>10113224</v>
      </c>
      <c r="P20" s="224">
        <f t="shared" si="0"/>
        <v>1.9827907067934518E-3</v>
      </c>
      <c r="Q20" s="222">
        <v>10113224</v>
      </c>
      <c r="R20" s="224">
        <f t="shared" si="0"/>
        <v>1.9827907067934518E-3</v>
      </c>
      <c r="S20" s="222">
        <v>10113224</v>
      </c>
      <c r="T20" s="224">
        <f t="shared" ref="T20" si="13">+S20/$N20</f>
        <v>1.9827907067934518E-3</v>
      </c>
    </row>
    <row r="21" spans="1:46" ht="24.95" customHeight="1">
      <c r="A21" s="32" t="s">
        <v>328</v>
      </c>
      <c r="B21" s="217" t="s">
        <v>329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50</v>
      </c>
      <c r="I21" s="219"/>
      <c r="J21" s="219"/>
      <c r="K21" s="220" t="s">
        <v>28</v>
      </c>
      <c r="L21" s="221" t="s">
        <v>29</v>
      </c>
      <c r="M21" s="217" t="s">
        <v>51</v>
      </c>
      <c r="N21" s="222">
        <v>1676700000</v>
      </c>
      <c r="O21" s="222">
        <v>314224335</v>
      </c>
      <c r="P21" s="224">
        <f t="shared" si="0"/>
        <v>0.1874064143853999</v>
      </c>
      <c r="Q21" s="222">
        <v>314224335</v>
      </c>
      <c r="R21" s="224">
        <f t="shared" si="0"/>
        <v>0.1874064143853999</v>
      </c>
      <c r="S21" s="222">
        <v>314224335</v>
      </c>
      <c r="T21" s="224">
        <f t="shared" ref="T21" si="14">+S21/$N21</f>
        <v>0.1874064143853999</v>
      </c>
    </row>
    <row r="22" spans="1:46" s="64" customFormat="1" ht="24.95" customHeight="1">
      <c r="A22" s="32" t="s">
        <v>552</v>
      </c>
      <c r="B22" s="217" t="s">
        <v>553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25" t="s">
        <v>52</v>
      </c>
      <c r="I22" s="219"/>
      <c r="J22" s="219"/>
      <c r="K22" s="220" t="s">
        <v>28</v>
      </c>
      <c r="L22" s="221" t="s">
        <v>29</v>
      </c>
      <c r="M22" s="217" t="s">
        <v>53</v>
      </c>
      <c r="N22" s="222">
        <v>52000000</v>
      </c>
      <c r="O22" s="222">
        <v>6813057</v>
      </c>
      <c r="P22" s="224">
        <f t="shared" si="0"/>
        <v>0.13102032692307691</v>
      </c>
      <c r="Q22" s="222">
        <v>6813057</v>
      </c>
      <c r="R22" s="224">
        <f t="shared" si="0"/>
        <v>0.13102032692307691</v>
      </c>
      <c r="S22" s="222">
        <v>6813057</v>
      </c>
      <c r="T22" s="224">
        <f t="shared" ref="T22" si="15">+S22/$N22</f>
        <v>0.13102032692307691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</row>
    <row r="23" spans="1:46" ht="24.95" customHeight="1">
      <c r="A23" s="32" t="s">
        <v>330</v>
      </c>
      <c r="B23" s="226" t="s">
        <v>331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v>28758000000</v>
      </c>
      <c r="O23" s="232">
        <v>10705491100</v>
      </c>
      <c r="P23" s="233">
        <f t="shared" si="0"/>
        <v>0.3722613220669031</v>
      </c>
      <c r="Q23" s="232">
        <v>5692206783</v>
      </c>
      <c r="R23" s="233">
        <f t="shared" si="0"/>
        <v>0.19793472365950343</v>
      </c>
      <c r="S23" s="232">
        <v>5692206783</v>
      </c>
      <c r="T23" s="233">
        <f t="shared" ref="T23" si="16">+S23/$N23</f>
        <v>0.19793472365950343</v>
      </c>
    </row>
    <row r="24" spans="1:46" ht="24.95" customHeight="1">
      <c r="A24" s="32" t="s">
        <v>332</v>
      </c>
      <c r="B24" s="217" t="s">
        <v>333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7690200000</v>
      </c>
      <c r="O24" s="222">
        <v>1785758200</v>
      </c>
      <c r="P24" s="224">
        <f t="shared" si="0"/>
        <v>0.23221219214064653</v>
      </c>
      <c r="Q24" s="222">
        <v>1785758200</v>
      </c>
      <c r="R24" s="224">
        <f t="shared" si="0"/>
        <v>0.23221219214064653</v>
      </c>
      <c r="S24" s="222">
        <v>1785758200</v>
      </c>
      <c r="T24" s="224">
        <f t="shared" ref="T24" si="17">+S24/$N24</f>
        <v>0.23221219214064653</v>
      </c>
    </row>
    <row r="25" spans="1:46" ht="24.95" customHeight="1">
      <c r="A25" s="32" t="s">
        <v>334</v>
      </c>
      <c r="B25" s="217" t="s">
        <v>335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5447200000</v>
      </c>
      <c r="O25" s="222">
        <v>1267457200</v>
      </c>
      <c r="P25" s="224">
        <f t="shared" si="0"/>
        <v>0.23268049640182112</v>
      </c>
      <c r="Q25" s="222">
        <v>1267457200</v>
      </c>
      <c r="R25" s="224">
        <f t="shared" si="0"/>
        <v>0.23268049640182112</v>
      </c>
      <c r="S25" s="222">
        <v>1267457200</v>
      </c>
      <c r="T25" s="224">
        <f t="shared" ref="T25" si="18">+S25/$N25</f>
        <v>0.23268049640182112</v>
      </c>
    </row>
    <row r="26" spans="1:46" ht="24.95" customHeight="1">
      <c r="A26" s="32" t="s">
        <v>336</v>
      </c>
      <c r="B26" s="217" t="s">
        <v>337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8895400000</v>
      </c>
      <c r="O26" s="222">
        <v>6200000000</v>
      </c>
      <c r="P26" s="224">
        <f t="shared" si="0"/>
        <v>0.69698945522404843</v>
      </c>
      <c r="Q26" s="222">
        <v>1189134683</v>
      </c>
      <c r="R26" s="224">
        <f t="shared" si="0"/>
        <v>0.13367973143422443</v>
      </c>
      <c r="S26" s="222">
        <v>1189134683</v>
      </c>
      <c r="T26" s="224">
        <f t="shared" ref="T26" si="19">+S26/$N26</f>
        <v>0.13367973143422443</v>
      </c>
    </row>
    <row r="27" spans="1:46" ht="24.95" customHeight="1">
      <c r="A27" s="32" t="s">
        <v>338</v>
      </c>
      <c r="B27" s="217" t="s">
        <v>339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2732300000</v>
      </c>
      <c r="O27" s="222">
        <v>588490900</v>
      </c>
      <c r="P27" s="224">
        <f t="shared" si="0"/>
        <v>0.21538297405116569</v>
      </c>
      <c r="Q27" s="222">
        <v>588490900</v>
      </c>
      <c r="R27" s="224">
        <f t="shared" si="0"/>
        <v>0.21538297405116569</v>
      </c>
      <c r="S27" s="222">
        <v>588490900</v>
      </c>
      <c r="T27" s="224">
        <f t="shared" ref="T27" si="20">+S27/$N27</f>
        <v>0.21538297405116569</v>
      </c>
    </row>
    <row r="28" spans="1:46" ht="24.95" customHeight="1">
      <c r="A28" s="32" t="s">
        <v>340</v>
      </c>
      <c r="B28" s="217" t="s">
        <v>341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540000000</v>
      </c>
      <c r="O28" s="222">
        <v>127544300</v>
      </c>
      <c r="P28" s="224">
        <f t="shared" si="0"/>
        <v>0.23619314814814815</v>
      </c>
      <c r="Q28" s="222">
        <v>125231500</v>
      </c>
      <c r="R28" s="224">
        <f t="shared" si="0"/>
        <v>0.23191018518518519</v>
      </c>
      <c r="S28" s="222">
        <v>125231500</v>
      </c>
      <c r="T28" s="224">
        <f t="shared" ref="T28" si="21">+S28/$N28</f>
        <v>0.23191018518518519</v>
      </c>
    </row>
    <row r="29" spans="1:46" ht="24.95" customHeight="1">
      <c r="A29" s="32" t="s">
        <v>342</v>
      </c>
      <c r="B29" s="217" t="s">
        <v>343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2071700000</v>
      </c>
      <c r="O29" s="222">
        <v>441438200</v>
      </c>
      <c r="P29" s="224">
        <f t="shared" si="0"/>
        <v>0.21308017570111504</v>
      </c>
      <c r="Q29" s="222">
        <v>441438200</v>
      </c>
      <c r="R29" s="224">
        <f t="shared" si="0"/>
        <v>0.21308017570111504</v>
      </c>
      <c r="S29" s="222">
        <v>441438200</v>
      </c>
      <c r="T29" s="224">
        <f t="shared" ref="T29" si="22">+S29/$N29</f>
        <v>0.21308017570111504</v>
      </c>
    </row>
    <row r="30" spans="1:46" ht="24.95" customHeight="1">
      <c r="A30" s="32" t="s">
        <v>344</v>
      </c>
      <c r="B30" s="217" t="s">
        <v>345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345300000</v>
      </c>
      <c r="O30" s="222">
        <v>73819200</v>
      </c>
      <c r="P30" s="224">
        <f t="shared" si="0"/>
        <v>0.21378279756733276</v>
      </c>
      <c r="Q30" s="222">
        <v>73713000</v>
      </c>
      <c r="R30" s="224">
        <f t="shared" si="0"/>
        <v>0.21347523892267595</v>
      </c>
      <c r="S30" s="222">
        <v>73713000</v>
      </c>
      <c r="T30" s="224">
        <f t="shared" ref="T30" si="23">+S30/$N30</f>
        <v>0.21347523892267595</v>
      </c>
    </row>
    <row r="31" spans="1:46" ht="24.95" customHeight="1">
      <c r="A31" s="32" t="s">
        <v>346</v>
      </c>
      <c r="B31" s="217" t="s">
        <v>347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345300000</v>
      </c>
      <c r="O31" s="222">
        <v>73713000</v>
      </c>
      <c r="P31" s="224">
        <f t="shared" si="0"/>
        <v>0.21347523892267595</v>
      </c>
      <c r="Q31" s="222">
        <v>73713000</v>
      </c>
      <c r="R31" s="224">
        <f t="shared" si="0"/>
        <v>0.21347523892267595</v>
      </c>
      <c r="S31" s="222">
        <v>73713000</v>
      </c>
      <c r="T31" s="224">
        <f t="shared" ref="T31" si="24">+S31/$N31</f>
        <v>0.21347523892267595</v>
      </c>
    </row>
    <row r="32" spans="1:46" ht="24.95" customHeight="1">
      <c r="A32" s="32" t="s">
        <v>348</v>
      </c>
      <c r="B32" s="217" t="s">
        <v>349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690600000</v>
      </c>
      <c r="O32" s="222">
        <v>147270100</v>
      </c>
      <c r="P32" s="224">
        <f t="shared" si="0"/>
        <v>0.21324949319432376</v>
      </c>
      <c r="Q32" s="222">
        <v>147270100</v>
      </c>
      <c r="R32" s="224">
        <f t="shared" si="0"/>
        <v>0.21324949319432376</v>
      </c>
      <c r="S32" s="222">
        <v>147270100</v>
      </c>
      <c r="T32" s="224">
        <f t="shared" ref="T32" si="25">+S32/$N32</f>
        <v>0.21324949319432376</v>
      </c>
    </row>
    <row r="33" spans="1:20" ht="24.95" customHeight="1">
      <c r="A33" s="32" t="s">
        <v>350</v>
      </c>
      <c r="B33" s="226" t="s">
        <v>351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v>7153000000</v>
      </c>
      <c r="O33" s="232">
        <v>1261097332</v>
      </c>
      <c r="P33" s="233">
        <f t="shared" si="0"/>
        <v>0.17630327582832378</v>
      </c>
      <c r="Q33" s="232">
        <v>1258772002</v>
      </c>
      <c r="R33" s="233">
        <f t="shared" si="0"/>
        <v>0.17597819124842723</v>
      </c>
      <c r="S33" s="232">
        <v>1258772002</v>
      </c>
      <c r="T33" s="233">
        <f t="shared" ref="T33" si="26">+S33/$N33</f>
        <v>0.17597819124842723</v>
      </c>
    </row>
    <row r="34" spans="1:20" ht="24.95" customHeight="1">
      <c r="A34" s="32" t="s">
        <v>352</v>
      </c>
      <c r="B34" s="210" t="s">
        <v>353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v>3551000000</v>
      </c>
      <c r="O34" s="215">
        <v>479613409</v>
      </c>
      <c r="P34" s="216">
        <f t="shared" si="0"/>
        <v>0.13506432244438185</v>
      </c>
      <c r="Q34" s="215">
        <v>479613409</v>
      </c>
      <c r="R34" s="216">
        <f t="shared" si="0"/>
        <v>0.13506432244438185</v>
      </c>
      <c r="S34" s="215">
        <v>479613409</v>
      </c>
      <c r="T34" s="216">
        <f t="shared" ref="T34" si="27">+S34/$N34</f>
        <v>0.13506432244438185</v>
      </c>
    </row>
    <row r="35" spans="1:20" ht="24.95" customHeight="1">
      <c r="A35" s="32" t="s">
        <v>354</v>
      </c>
      <c r="B35" s="217" t="s">
        <v>355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2801000000</v>
      </c>
      <c r="O35" s="222">
        <v>343240588</v>
      </c>
      <c r="P35" s="224">
        <f t="shared" si="0"/>
        <v>0.12254215922884684</v>
      </c>
      <c r="Q35" s="222">
        <v>343240588</v>
      </c>
      <c r="R35" s="224">
        <f t="shared" si="0"/>
        <v>0.12254215922884684</v>
      </c>
      <c r="S35" s="222">
        <v>343240588</v>
      </c>
      <c r="T35" s="224">
        <f t="shared" ref="T35" si="28">+S35/$N35</f>
        <v>0.12254215922884684</v>
      </c>
    </row>
    <row r="36" spans="1:20" ht="24.95" customHeight="1">
      <c r="A36" s="32" t="s">
        <v>356</v>
      </c>
      <c r="B36" s="217" t="s">
        <v>357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400000000</v>
      </c>
      <c r="O36" s="222">
        <v>97722814</v>
      </c>
      <c r="P36" s="224">
        <f t="shared" si="0"/>
        <v>0.24430703500000001</v>
      </c>
      <c r="Q36" s="222">
        <v>97722814</v>
      </c>
      <c r="R36" s="224">
        <f t="shared" si="0"/>
        <v>0.24430703500000001</v>
      </c>
      <c r="S36" s="222">
        <v>97722814</v>
      </c>
      <c r="T36" s="224">
        <f t="shared" ref="T36" si="29">+S36/$N36</f>
        <v>0.24430703500000001</v>
      </c>
    </row>
    <row r="37" spans="1:20" ht="24.95" customHeight="1">
      <c r="A37" s="32" t="s">
        <v>358</v>
      </c>
      <c r="B37" s="234" t="s">
        <v>359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350000000</v>
      </c>
      <c r="O37" s="239">
        <v>38650007</v>
      </c>
      <c r="P37" s="240">
        <f t="shared" si="0"/>
        <v>0.11042859142857143</v>
      </c>
      <c r="Q37" s="239">
        <v>38650007</v>
      </c>
      <c r="R37" s="240">
        <f t="shared" si="0"/>
        <v>0.11042859142857143</v>
      </c>
      <c r="S37" s="239">
        <v>38650007</v>
      </c>
      <c r="T37" s="240">
        <f t="shared" ref="T37" si="30">+S37/$N37</f>
        <v>0.11042859142857143</v>
      </c>
    </row>
    <row r="38" spans="1:20" ht="24.95" customHeight="1">
      <c r="A38" s="32" t="s">
        <v>360</v>
      </c>
      <c r="B38" s="217" t="s">
        <v>361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>
        <v>569464397</v>
      </c>
      <c r="P38" s="224">
        <f t="shared" si="0"/>
        <v>0.26364092453703702</v>
      </c>
      <c r="Q38" s="222">
        <v>569464397</v>
      </c>
      <c r="R38" s="224">
        <f t="shared" si="0"/>
        <v>0.26364092453703702</v>
      </c>
      <c r="S38" s="222">
        <v>569464397</v>
      </c>
      <c r="T38" s="224">
        <f t="shared" ref="T38" si="31">+S38/$N38</f>
        <v>0.26364092453703702</v>
      </c>
    </row>
    <row r="39" spans="1:20" ht="24.95" customHeight="1">
      <c r="A39" s="32" t="s">
        <v>362</v>
      </c>
      <c r="B39" s="217" t="s">
        <v>363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12000000</v>
      </c>
      <c r="O39" s="222">
        <v>1045353</v>
      </c>
      <c r="P39" s="224">
        <f t="shared" si="0"/>
        <v>8.7112750000000003E-2</v>
      </c>
      <c r="Q39" s="222">
        <v>1045353</v>
      </c>
      <c r="R39" s="224">
        <f t="shared" si="0"/>
        <v>8.7112750000000003E-2</v>
      </c>
      <c r="S39" s="222">
        <v>1045353</v>
      </c>
      <c r="T39" s="224">
        <f t="shared" ref="T39" si="32">+S39/$N39</f>
        <v>8.7112750000000003E-2</v>
      </c>
    </row>
    <row r="40" spans="1:20" ht="24.95" customHeight="1">
      <c r="A40" s="32" t="s">
        <v>365</v>
      </c>
      <c r="B40" s="217" t="s">
        <v>366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>
        <v>0</v>
      </c>
      <c r="P40" s="224">
        <f t="shared" si="0"/>
        <v>0</v>
      </c>
      <c r="Q40" s="222">
        <v>0</v>
      </c>
      <c r="R40" s="224">
        <f t="shared" si="0"/>
        <v>0</v>
      </c>
      <c r="S40" s="222">
        <v>0</v>
      </c>
      <c r="T40" s="224">
        <f t="shared" ref="T40" si="33">+S40/$N40</f>
        <v>0</v>
      </c>
    </row>
    <row r="41" spans="1:20" ht="24.95" customHeight="1">
      <c r="A41" s="32" t="s">
        <v>367</v>
      </c>
      <c r="B41" s="217" t="s">
        <v>368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840000000</v>
      </c>
      <c r="O41" s="222">
        <v>210974173</v>
      </c>
      <c r="P41" s="224">
        <f t="shared" si="0"/>
        <v>0.25115972976190476</v>
      </c>
      <c r="Q41" s="222">
        <v>208648843</v>
      </c>
      <c r="R41" s="224">
        <f t="shared" si="0"/>
        <v>0.24839147976190476</v>
      </c>
      <c r="S41" s="222">
        <v>208648843</v>
      </c>
      <c r="T41" s="224">
        <f t="shared" ref="T41" si="34">+S41/$N41</f>
        <v>0.24839147976190476</v>
      </c>
    </row>
    <row r="42" spans="1:20" ht="24.95" customHeight="1">
      <c r="A42" s="32" t="s">
        <v>369</v>
      </c>
      <c r="B42" s="217" t="s">
        <v>370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560000000</v>
      </c>
      <c r="O42" s="222">
        <v>0</v>
      </c>
      <c r="P42" s="224">
        <f t="shared" si="0"/>
        <v>0</v>
      </c>
      <c r="Q42" s="222">
        <v>0</v>
      </c>
      <c r="R42" s="224">
        <f t="shared" si="0"/>
        <v>0</v>
      </c>
      <c r="S42" s="222">
        <v>0</v>
      </c>
      <c r="T42" s="224">
        <f t="shared" ref="T42" si="35">+S42/$N42</f>
        <v>0</v>
      </c>
    </row>
    <row r="43" spans="1:20" ht="35.1" customHeight="1">
      <c r="A43" s="32" t="s">
        <v>371</v>
      </c>
      <c r="B43" s="188" t="s">
        <v>372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v>42289000000</v>
      </c>
      <c r="O43" s="194">
        <v>32917627000.889999</v>
      </c>
      <c r="P43" s="195">
        <f t="shared" si="0"/>
        <v>0.77839691174749936</v>
      </c>
      <c r="Q43" s="194">
        <v>7325152530.6199999</v>
      </c>
      <c r="R43" s="195">
        <f t="shared" si="0"/>
        <v>0.17321649910425879</v>
      </c>
      <c r="S43" s="194">
        <v>6962224314.6199999</v>
      </c>
      <c r="T43" s="195">
        <f t="shared" ref="T43" si="36">+S43/$N43</f>
        <v>0.16463440409137128</v>
      </c>
    </row>
    <row r="44" spans="1:20" ht="24.95" customHeight="1">
      <c r="A44" s="32" t="s">
        <v>376</v>
      </c>
      <c r="B44" s="196" t="s">
        <v>377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v>42289000000</v>
      </c>
      <c r="O44" s="201">
        <v>32917627000.889999</v>
      </c>
      <c r="P44" s="202">
        <f t="shared" si="0"/>
        <v>0.77839691174749936</v>
      </c>
      <c r="Q44" s="201">
        <v>7325152530.6199999</v>
      </c>
      <c r="R44" s="202">
        <f t="shared" si="0"/>
        <v>0.17321649910425879</v>
      </c>
      <c r="S44" s="201">
        <v>6962224314.6199999</v>
      </c>
      <c r="T44" s="202">
        <f t="shared" ref="T44" si="37">+S44/$N44</f>
        <v>0.16463440409137128</v>
      </c>
    </row>
    <row r="45" spans="1:20" ht="24.95" customHeight="1">
      <c r="A45" s="32" t="s">
        <v>378</v>
      </c>
      <c r="B45" s="203" t="s">
        <v>379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v>655883077</v>
      </c>
      <c r="O45" s="208">
        <v>42220582</v>
      </c>
      <c r="P45" s="209">
        <f t="shared" si="0"/>
        <v>6.4372116739337668E-2</v>
      </c>
      <c r="Q45" s="208">
        <v>8482378</v>
      </c>
      <c r="R45" s="209">
        <f t="shared" si="0"/>
        <v>1.2932759355216601E-2</v>
      </c>
      <c r="S45" s="208">
        <v>8482378</v>
      </c>
      <c r="T45" s="209">
        <f t="shared" ref="T45" si="38">+S45/$N45</f>
        <v>1.2932759355216601E-2</v>
      </c>
    </row>
    <row r="46" spans="1:20" ht="24.95" customHeight="1">
      <c r="A46" s="32" t="s">
        <v>380</v>
      </c>
      <c r="B46" s="210" t="s">
        <v>381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v>23000000</v>
      </c>
      <c r="O46" s="215">
        <v>0</v>
      </c>
      <c r="P46" s="216">
        <f t="shared" si="0"/>
        <v>0</v>
      </c>
      <c r="Q46" s="215">
        <v>0</v>
      </c>
      <c r="R46" s="216">
        <f t="shared" si="0"/>
        <v>0</v>
      </c>
      <c r="S46" s="215">
        <v>0</v>
      </c>
      <c r="T46" s="216">
        <f t="shared" ref="T46" si="39">+S46/$N46</f>
        <v>0</v>
      </c>
    </row>
    <row r="47" spans="1:20" ht="24.95" customHeight="1">
      <c r="A47" s="32" t="s">
        <v>554</v>
      </c>
      <c r="B47" s="217" t="s">
        <v>555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11000000</v>
      </c>
      <c r="O47" s="222">
        <v>0</v>
      </c>
      <c r="P47" s="224">
        <f t="shared" si="0"/>
        <v>0</v>
      </c>
      <c r="Q47" s="222">
        <v>0</v>
      </c>
      <c r="R47" s="224">
        <f t="shared" si="0"/>
        <v>0</v>
      </c>
      <c r="S47" s="222">
        <v>0</v>
      </c>
      <c r="T47" s="224">
        <f t="shared" ref="T47" si="40">+S47/$N47</f>
        <v>0</v>
      </c>
    </row>
    <row r="48" spans="1:20" ht="24.95" customHeight="1">
      <c r="A48" s="32" t="s">
        <v>556</v>
      </c>
      <c r="B48" s="217" t="s">
        <v>557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12000000</v>
      </c>
      <c r="O48" s="222">
        <v>0</v>
      </c>
      <c r="P48" s="224">
        <f t="shared" si="0"/>
        <v>0</v>
      </c>
      <c r="Q48" s="222">
        <v>0</v>
      </c>
      <c r="R48" s="224">
        <f t="shared" si="0"/>
        <v>0</v>
      </c>
      <c r="S48" s="222">
        <v>0</v>
      </c>
      <c r="T48" s="224">
        <f t="shared" ref="T48" si="41">+S48/$N48</f>
        <v>0</v>
      </c>
    </row>
    <row r="49" spans="1:43" ht="49.5">
      <c r="A49" s="32" t="s">
        <v>382</v>
      </c>
      <c r="B49" s="210" t="s">
        <v>383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v>141060000</v>
      </c>
      <c r="O49" s="215">
        <v>0</v>
      </c>
      <c r="P49" s="216">
        <f t="shared" si="0"/>
        <v>0</v>
      </c>
      <c r="Q49" s="215">
        <v>0</v>
      </c>
      <c r="R49" s="216">
        <f t="shared" si="0"/>
        <v>0</v>
      </c>
      <c r="S49" s="215">
        <v>0</v>
      </c>
      <c r="T49" s="216">
        <f t="shared" ref="T49" si="42">+S49/$N49</f>
        <v>0</v>
      </c>
    </row>
    <row r="50" spans="1:43" ht="24.95" customHeight="1">
      <c r="A50" s="32" t="s">
        <v>558</v>
      </c>
      <c r="B50" s="217" t="s">
        <v>559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141060000</v>
      </c>
      <c r="O50" s="222">
        <v>0</v>
      </c>
      <c r="P50" s="224">
        <f t="shared" si="0"/>
        <v>0</v>
      </c>
      <c r="Q50" s="222">
        <v>0</v>
      </c>
      <c r="R50" s="224">
        <f t="shared" si="0"/>
        <v>0</v>
      </c>
      <c r="S50" s="222">
        <v>0</v>
      </c>
      <c r="T50" s="224">
        <f t="shared" ref="T50" si="43">+S50/$N50</f>
        <v>0</v>
      </c>
    </row>
    <row r="51" spans="1:43" ht="49.5">
      <c r="A51" s="32" t="s">
        <v>384</v>
      </c>
      <c r="B51" s="210" t="s">
        <v>385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v>418823077</v>
      </c>
      <c r="O51" s="215">
        <v>42220582</v>
      </c>
      <c r="P51" s="216">
        <f t="shared" si="0"/>
        <v>0.10080767827413674</v>
      </c>
      <c r="Q51" s="215">
        <v>8482378</v>
      </c>
      <c r="R51" s="216">
        <f t="shared" si="0"/>
        <v>2.0252890697328982E-2</v>
      </c>
      <c r="S51" s="215">
        <v>8482378</v>
      </c>
      <c r="T51" s="216">
        <f t="shared" ref="T51" si="44">+S51/$N51</f>
        <v>2.0252890697328982E-2</v>
      </c>
    </row>
    <row r="52" spans="1:43" ht="27" customHeight="1">
      <c r="A52" s="32" t="s">
        <v>560</v>
      </c>
      <c r="B52" s="217" t="s">
        <v>561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195500000</v>
      </c>
      <c r="O52" s="222">
        <v>500000</v>
      </c>
      <c r="P52" s="224">
        <f t="shared" si="0"/>
        <v>2.5575447570332483E-3</v>
      </c>
      <c r="Q52" s="222">
        <v>500000</v>
      </c>
      <c r="R52" s="224">
        <f t="shared" si="0"/>
        <v>2.5575447570332483E-3</v>
      </c>
      <c r="S52" s="222">
        <v>500000</v>
      </c>
      <c r="T52" s="224">
        <f t="shared" ref="T52" si="45">+S52/$N52</f>
        <v>2.5575447570332483E-3</v>
      </c>
    </row>
    <row r="53" spans="1:43" ht="27" customHeight="1">
      <c r="A53" s="32" t="s">
        <v>562</v>
      </c>
      <c r="B53" s="217" t="s">
        <v>563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84823077</v>
      </c>
      <c r="O53" s="222">
        <v>41220582</v>
      </c>
      <c r="P53" s="224">
        <f t="shared" si="0"/>
        <v>0.48595952254832725</v>
      </c>
      <c r="Q53" s="222">
        <v>7482378</v>
      </c>
      <c r="R53" s="224">
        <f t="shared" si="0"/>
        <v>8.8211584213102767E-2</v>
      </c>
      <c r="S53" s="222">
        <v>7482378</v>
      </c>
      <c r="T53" s="224">
        <f t="shared" ref="T53" si="46">+S53/$N53</f>
        <v>8.8211584213102767E-2</v>
      </c>
    </row>
    <row r="54" spans="1:43" ht="26.25" customHeight="1">
      <c r="A54" s="32" t="s">
        <v>564</v>
      </c>
      <c r="B54" s="217" t="s">
        <v>565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26000000</v>
      </c>
      <c r="O54" s="222">
        <v>0</v>
      </c>
      <c r="P54" s="224">
        <f t="shared" si="0"/>
        <v>0</v>
      </c>
      <c r="Q54" s="222">
        <v>0</v>
      </c>
      <c r="R54" s="224">
        <f t="shared" si="0"/>
        <v>0</v>
      </c>
      <c r="S54" s="222">
        <v>0</v>
      </c>
      <c r="T54" s="224">
        <f t="shared" ref="T54" si="47">+S54/$N54</f>
        <v>0</v>
      </c>
    </row>
    <row r="55" spans="1:43" ht="24" customHeight="1">
      <c r="A55" s="32" t="s">
        <v>566</v>
      </c>
      <c r="B55" s="217" t="s">
        <v>567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20000000</v>
      </c>
      <c r="O55" s="222">
        <v>0</v>
      </c>
      <c r="P55" s="224">
        <f t="shared" si="0"/>
        <v>0</v>
      </c>
      <c r="Q55" s="222">
        <v>0</v>
      </c>
      <c r="R55" s="224">
        <f t="shared" si="0"/>
        <v>0</v>
      </c>
      <c r="S55" s="222">
        <v>0</v>
      </c>
      <c r="T55" s="224">
        <f t="shared" ref="T55" si="48">+S55/$N55</f>
        <v>0</v>
      </c>
    </row>
    <row r="56" spans="1:43" ht="24" customHeight="1">
      <c r="A56" s="32" t="s">
        <v>568</v>
      </c>
      <c r="B56" s="217" t="s">
        <v>569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0</v>
      </c>
      <c r="O56" s="222">
        <v>0</v>
      </c>
      <c r="P56" s="224" t="e">
        <f t="shared" si="0"/>
        <v>#DIV/0!</v>
      </c>
      <c r="Q56" s="222">
        <v>0</v>
      </c>
      <c r="R56" s="224" t="e">
        <f t="shared" si="0"/>
        <v>#DIV/0!</v>
      </c>
      <c r="S56" s="222">
        <v>0</v>
      </c>
      <c r="T56" s="224" t="e">
        <f t="shared" ref="T56" si="49">+S56/$N56</f>
        <v>#DIV/0!</v>
      </c>
    </row>
    <row r="57" spans="1:43" ht="24" customHeight="1">
      <c r="A57" s="32" t="s">
        <v>570</v>
      </c>
      <c r="B57" s="217" t="s">
        <v>571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92500000</v>
      </c>
      <c r="O57" s="222">
        <v>500000</v>
      </c>
      <c r="P57" s="224">
        <f t="shared" si="0"/>
        <v>5.4054054054054057E-3</v>
      </c>
      <c r="Q57" s="222">
        <v>500000</v>
      </c>
      <c r="R57" s="224">
        <f t="shared" si="0"/>
        <v>5.4054054054054057E-3</v>
      </c>
      <c r="S57" s="222">
        <v>500000</v>
      </c>
      <c r="T57" s="224">
        <f t="shared" ref="T57" si="50">+S57/$N57</f>
        <v>5.4054054054054057E-3</v>
      </c>
    </row>
    <row r="58" spans="1:43" ht="24.95" customHeight="1">
      <c r="A58" s="32" t="s">
        <v>386</v>
      </c>
      <c r="B58" s="210" t="s">
        <v>387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v>73000000</v>
      </c>
      <c r="O58" s="215">
        <v>0</v>
      </c>
      <c r="P58" s="216">
        <f t="shared" si="0"/>
        <v>0</v>
      </c>
      <c r="Q58" s="215">
        <v>0</v>
      </c>
      <c r="R58" s="216">
        <f t="shared" si="0"/>
        <v>0</v>
      </c>
      <c r="S58" s="215">
        <v>0</v>
      </c>
      <c r="T58" s="216">
        <f t="shared" ref="T58" si="51">+S58/$N58</f>
        <v>0</v>
      </c>
    </row>
    <row r="59" spans="1:43" ht="24.95" customHeight="1">
      <c r="A59" s="32" t="s">
        <v>572</v>
      </c>
      <c r="B59" s="217" t="s">
        <v>573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0</v>
      </c>
      <c r="O59" s="222">
        <v>0</v>
      </c>
      <c r="P59" s="224" t="e">
        <f t="shared" si="0"/>
        <v>#DIV/0!</v>
      </c>
      <c r="Q59" s="222">
        <v>0</v>
      </c>
      <c r="R59" s="224" t="e">
        <f t="shared" si="0"/>
        <v>#DIV/0!</v>
      </c>
      <c r="S59" s="222">
        <v>0</v>
      </c>
      <c r="T59" s="224" t="e">
        <f t="shared" ref="T59" si="52">+S59/$N59</f>
        <v>#DIV/0!</v>
      </c>
    </row>
    <row r="60" spans="1:43" s="64" customFormat="1" ht="24.95" customHeight="1">
      <c r="A60" s="32" t="s">
        <v>574</v>
      </c>
      <c r="B60" s="217" t="s">
        <v>575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v>10000000</v>
      </c>
      <c r="O60" s="222">
        <v>0</v>
      </c>
      <c r="P60" s="224">
        <f t="shared" si="0"/>
        <v>0</v>
      </c>
      <c r="Q60" s="222">
        <v>0</v>
      </c>
      <c r="R60" s="224">
        <f t="shared" si="0"/>
        <v>0</v>
      </c>
      <c r="S60" s="222">
        <v>0</v>
      </c>
      <c r="T60" s="224">
        <f t="shared" ref="T60" si="53">+S60/$N60</f>
        <v>0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s="64" customFormat="1" ht="24.95" customHeight="1">
      <c r="A61" s="32" t="s">
        <v>576</v>
      </c>
      <c r="B61" s="217" t="s">
        <v>577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v>28000000</v>
      </c>
      <c r="O61" s="222">
        <v>0</v>
      </c>
      <c r="P61" s="224">
        <f t="shared" si="0"/>
        <v>0</v>
      </c>
      <c r="Q61" s="222">
        <v>0</v>
      </c>
      <c r="R61" s="224">
        <f t="shared" si="0"/>
        <v>0</v>
      </c>
      <c r="S61" s="222">
        <v>0</v>
      </c>
      <c r="T61" s="224">
        <f t="shared" ref="T61" si="54">+S61/$N61</f>
        <v>0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4.95" customHeight="1">
      <c r="A62" s="32" t="s">
        <v>578</v>
      </c>
      <c r="B62" s="217" t="s">
        <v>579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35000000</v>
      </c>
      <c r="O62" s="222">
        <v>0</v>
      </c>
      <c r="P62" s="224">
        <f t="shared" si="0"/>
        <v>0</v>
      </c>
      <c r="Q62" s="222">
        <v>0</v>
      </c>
      <c r="R62" s="224">
        <f t="shared" si="0"/>
        <v>0</v>
      </c>
      <c r="S62" s="222">
        <v>0</v>
      </c>
      <c r="T62" s="224">
        <f t="shared" ref="T62" si="55">+S62/$N62</f>
        <v>0</v>
      </c>
    </row>
    <row r="63" spans="1:43" s="64" customFormat="1" ht="27.75" customHeight="1">
      <c r="A63" s="241" t="s">
        <v>580</v>
      </c>
      <c r="B63" s="242" t="s">
        <v>581</v>
      </c>
      <c r="C63" s="243" t="s">
        <v>23</v>
      </c>
      <c r="D63" s="244" t="s">
        <v>54</v>
      </c>
      <c r="E63" s="244" t="s">
        <v>54</v>
      </c>
      <c r="F63" s="244" t="s">
        <v>25</v>
      </c>
      <c r="G63" s="244" t="s">
        <v>38</v>
      </c>
      <c r="H63" s="244" t="s">
        <v>46</v>
      </c>
      <c r="I63" s="244"/>
      <c r="J63" s="244"/>
      <c r="K63" s="245">
        <v>10</v>
      </c>
      <c r="L63" s="246" t="s">
        <v>29</v>
      </c>
      <c r="M63" s="247" t="s">
        <v>258</v>
      </c>
      <c r="N63" s="222">
        <v>0</v>
      </c>
      <c r="O63" s="222">
        <v>0</v>
      </c>
      <c r="P63" s="224" t="e">
        <f t="shared" si="0"/>
        <v>#DIV/0!</v>
      </c>
      <c r="Q63" s="222">
        <v>0</v>
      </c>
      <c r="R63" s="224" t="e">
        <f t="shared" si="0"/>
        <v>#DIV/0!</v>
      </c>
      <c r="S63" s="222">
        <v>0</v>
      </c>
      <c r="T63" s="224" t="e">
        <f t="shared" ref="T63" si="56">+S63/$N63</f>
        <v>#DIV/0!</v>
      </c>
    </row>
    <row r="64" spans="1:43" ht="24.95" customHeight="1">
      <c r="A64" s="32" t="s">
        <v>388</v>
      </c>
      <c r="B64" s="203" t="s">
        <v>389</v>
      </c>
      <c r="C64" s="204" t="s">
        <v>23</v>
      </c>
      <c r="D64" s="205" t="s">
        <v>54</v>
      </c>
      <c r="E64" s="205" t="s">
        <v>54</v>
      </c>
      <c r="F64" s="205" t="s">
        <v>54</v>
      </c>
      <c r="G64" s="205"/>
      <c r="H64" s="205"/>
      <c r="I64" s="205"/>
      <c r="J64" s="205"/>
      <c r="K64" s="206" t="s">
        <v>28</v>
      </c>
      <c r="L64" s="207" t="s">
        <v>29</v>
      </c>
      <c r="M64" s="203" t="s">
        <v>103</v>
      </c>
      <c r="N64" s="208">
        <v>41633116923</v>
      </c>
      <c r="O64" s="208">
        <v>32875406418.889999</v>
      </c>
      <c r="P64" s="209">
        <f t="shared" si="0"/>
        <v>0.78964557180988171</v>
      </c>
      <c r="Q64" s="208">
        <v>7316670152.6199999</v>
      </c>
      <c r="R64" s="209">
        <f t="shared" si="0"/>
        <v>0.17574158970975204</v>
      </c>
      <c r="S64" s="208">
        <v>6953741936.6199999</v>
      </c>
      <c r="T64" s="209">
        <f t="shared" ref="T64" si="57">+S64/$N64</f>
        <v>0.16702429341240221</v>
      </c>
    </row>
    <row r="65" spans="1:20" ht="54" customHeight="1">
      <c r="A65" s="32" t="s">
        <v>390</v>
      </c>
      <c r="B65" s="210" t="s">
        <v>391</v>
      </c>
      <c r="C65" s="211" t="s">
        <v>23</v>
      </c>
      <c r="D65" s="212" t="s">
        <v>54</v>
      </c>
      <c r="E65" s="212" t="s">
        <v>54</v>
      </c>
      <c r="F65" s="212" t="s">
        <v>54</v>
      </c>
      <c r="G65" s="212" t="s">
        <v>42</v>
      </c>
      <c r="H65" s="212"/>
      <c r="I65" s="212"/>
      <c r="J65" s="212"/>
      <c r="K65" s="213" t="s">
        <v>28</v>
      </c>
      <c r="L65" s="214" t="s">
        <v>29</v>
      </c>
      <c r="M65" s="210" t="s">
        <v>104</v>
      </c>
      <c r="N65" s="215">
        <v>4850301878</v>
      </c>
      <c r="O65" s="215">
        <v>3044096543</v>
      </c>
      <c r="P65" s="216">
        <f t="shared" si="0"/>
        <v>0.62760970751272482</v>
      </c>
      <c r="Q65" s="215">
        <v>1114661039</v>
      </c>
      <c r="R65" s="216">
        <f t="shared" si="0"/>
        <v>0.22981271414381024</v>
      </c>
      <c r="S65" s="215">
        <v>1111889143</v>
      </c>
      <c r="T65" s="216">
        <f t="shared" ref="T65" si="58">+S65/$N65</f>
        <v>0.22924122476650513</v>
      </c>
    </row>
    <row r="66" spans="1:20" ht="24.95" customHeight="1">
      <c r="A66" s="32" t="s">
        <v>582</v>
      </c>
      <c r="B66" s="217" t="s">
        <v>583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36</v>
      </c>
      <c r="I66" s="219"/>
      <c r="J66" s="219"/>
      <c r="K66" s="220">
        <v>10</v>
      </c>
      <c r="L66" s="221" t="s">
        <v>29</v>
      </c>
      <c r="M66" s="217" t="s">
        <v>105</v>
      </c>
      <c r="N66" s="222">
        <v>116342700</v>
      </c>
      <c r="O66" s="222">
        <v>2000000</v>
      </c>
      <c r="P66" s="224">
        <f t="shared" si="0"/>
        <v>1.7190592963718394E-2</v>
      </c>
      <c r="Q66" s="222">
        <v>2000000</v>
      </c>
      <c r="R66" s="224">
        <f t="shared" si="0"/>
        <v>1.7190592963718394E-2</v>
      </c>
      <c r="S66" s="222">
        <v>2000000</v>
      </c>
      <c r="T66" s="224">
        <f t="shared" ref="T66" si="59">+S66/$N66</f>
        <v>1.7190592963718394E-2</v>
      </c>
    </row>
    <row r="67" spans="1:20" ht="24.95" customHeight="1">
      <c r="A67" s="32" t="s">
        <v>584</v>
      </c>
      <c r="B67" s="217" t="s">
        <v>585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38</v>
      </c>
      <c r="I67" s="219"/>
      <c r="J67" s="219"/>
      <c r="K67" s="220">
        <v>10</v>
      </c>
      <c r="L67" s="221" t="s">
        <v>29</v>
      </c>
      <c r="M67" s="217" t="s">
        <v>106</v>
      </c>
      <c r="N67" s="222">
        <v>1983583313</v>
      </c>
      <c r="O67" s="222">
        <v>1550217996</v>
      </c>
      <c r="P67" s="224">
        <f t="shared" si="0"/>
        <v>0.78152401557332518</v>
      </c>
      <c r="Q67" s="222">
        <v>746826081</v>
      </c>
      <c r="R67" s="224">
        <f t="shared" si="0"/>
        <v>0.37650351064432452</v>
      </c>
      <c r="S67" s="222">
        <v>746826081</v>
      </c>
      <c r="T67" s="224">
        <f t="shared" ref="T67" si="60">+S67/$N67</f>
        <v>0.37650351064432452</v>
      </c>
    </row>
    <row r="68" spans="1:20" ht="24.95" customHeight="1">
      <c r="A68" s="32" t="s">
        <v>586</v>
      </c>
      <c r="B68" s="217" t="s">
        <v>587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40</v>
      </c>
      <c r="I68" s="219"/>
      <c r="J68" s="219"/>
      <c r="K68" s="220">
        <v>10</v>
      </c>
      <c r="L68" s="221" t="s">
        <v>29</v>
      </c>
      <c r="M68" s="217" t="s">
        <v>107</v>
      </c>
      <c r="N68" s="222">
        <v>62000000</v>
      </c>
      <c r="O68" s="222">
        <v>50000000</v>
      </c>
      <c r="P68" s="224">
        <f t="shared" si="0"/>
        <v>0.80645161290322576</v>
      </c>
      <c r="Q68" s="222">
        <v>0</v>
      </c>
      <c r="R68" s="224">
        <f t="shared" si="0"/>
        <v>0</v>
      </c>
      <c r="S68" s="222">
        <v>0</v>
      </c>
      <c r="T68" s="224">
        <f t="shared" ref="T68" si="61">+S68/$N68</f>
        <v>0</v>
      </c>
    </row>
    <row r="69" spans="1:20" ht="24.95" customHeight="1">
      <c r="A69" s="32" t="s">
        <v>588</v>
      </c>
      <c r="B69" s="217" t="s">
        <v>589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42</v>
      </c>
      <c r="I69" s="219"/>
      <c r="J69" s="219"/>
      <c r="K69" s="220">
        <v>10</v>
      </c>
      <c r="L69" s="221" t="s">
        <v>29</v>
      </c>
      <c r="M69" s="217" t="s">
        <v>259</v>
      </c>
      <c r="N69" s="222">
        <v>0</v>
      </c>
      <c r="O69" s="222">
        <v>0</v>
      </c>
      <c r="P69" s="224" t="e">
        <f t="shared" si="0"/>
        <v>#DIV/0!</v>
      </c>
      <c r="Q69" s="222">
        <v>0</v>
      </c>
      <c r="R69" s="224" t="e">
        <f t="shared" si="0"/>
        <v>#DIV/0!</v>
      </c>
      <c r="S69" s="222">
        <v>0</v>
      </c>
      <c r="T69" s="224" t="e">
        <f t="shared" ref="T69" si="62">+S69/$N69</f>
        <v>#DIV/0!</v>
      </c>
    </row>
    <row r="70" spans="1:20" ht="24.95" customHeight="1">
      <c r="A70" s="32" t="s">
        <v>590</v>
      </c>
      <c r="B70" s="217" t="s">
        <v>591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46</v>
      </c>
      <c r="I70" s="219"/>
      <c r="J70" s="219"/>
      <c r="K70" s="220">
        <v>10</v>
      </c>
      <c r="L70" s="221" t="s">
        <v>29</v>
      </c>
      <c r="M70" s="217" t="s">
        <v>108</v>
      </c>
      <c r="N70" s="222">
        <v>1588375865</v>
      </c>
      <c r="O70" s="222">
        <v>1267622112</v>
      </c>
      <c r="P70" s="224">
        <f t="shared" si="0"/>
        <v>0.79806180635966795</v>
      </c>
      <c r="Q70" s="222">
        <v>191578523</v>
      </c>
      <c r="R70" s="224">
        <f t="shared" si="0"/>
        <v>0.12061283932943667</v>
      </c>
      <c r="S70" s="222">
        <v>191578523</v>
      </c>
      <c r="T70" s="224">
        <f t="shared" ref="T70" si="63">+S70/$N70</f>
        <v>0.12061283932943667</v>
      </c>
    </row>
    <row r="71" spans="1:20" ht="27" customHeight="1">
      <c r="A71" s="32" t="s">
        <v>592</v>
      </c>
      <c r="B71" s="217" t="s">
        <v>593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48</v>
      </c>
      <c r="I71" s="219"/>
      <c r="J71" s="219"/>
      <c r="K71" s="220">
        <v>10</v>
      </c>
      <c r="L71" s="221" t="s">
        <v>29</v>
      </c>
      <c r="M71" s="217" t="s">
        <v>109</v>
      </c>
      <c r="N71" s="222">
        <v>1100000000</v>
      </c>
      <c r="O71" s="222">
        <v>174256435</v>
      </c>
      <c r="P71" s="224">
        <f t="shared" si="0"/>
        <v>0.15841494090909092</v>
      </c>
      <c r="Q71" s="222">
        <v>174256435</v>
      </c>
      <c r="R71" s="224">
        <f t="shared" si="0"/>
        <v>0.15841494090909092</v>
      </c>
      <c r="S71" s="222">
        <v>171484539</v>
      </c>
      <c r="T71" s="224">
        <f t="shared" ref="T71" si="64">+S71/$N71</f>
        <v>0.15589503545454544</v>
      </c>
    </row>
    <row r="72" spans="1:20" ht="43.5" customHeight="1">
      <c r="A72" s="32" t="s">
        <v>392</v>
      </c>
      <c r="B72" s="210" t="s">
        <v>393</v>
      </c>
      <c r="C72" s="211" t="s">
        <v>23</v>
      </c>
      <c r="D72" s="212" t="s">
        <v>54</v>
      </c>
      <c r="E72" s="212" t="s">
        <v>54</v>
      </c>
      <c r="F72" s="212" t="s">
        <v>54</v>
      </c>
      <c r="G72" s="212" t="s">
        <v>44</v>
      </c>
      <c r="H72" s="212"/>
      <c r="I72" s="212"/>
      <c r="J72" s="212"/>
      <c r="K72" s="213" t="s">
        <v>28</v>
      </c>
      <c r="L72" s="214" t="s">
        <v>29</v>
      </c>
      <c r="M72" s="210" t="s">
        <v>110</v>
      </c>
      <c r="N72" s="215">
        <v>15114964590</v>
      </c>
      <c r="O72" s="215">
        <v>14669930617</v>
      </c>
      <c r="P72" s="216">
        <f t="shared" ref="P72:R135" si="65">+O72/$N72</f>
        <v>0.97055673069228143</v>
      </c>
      <c r="Q72" s="215">
        <v>3629925953</v>
      </c>
      <c r="R72" s="216">
        <f t="shared" si="65"/>
        <v>0.24015444636909997</v>
      </c>
      <c r="S72" s="215">
        <v>3629925953</v>
      </c>
      <c r="T72" s="216">
        <f t="shared" ref="T72" si="66">+S72/$N72</f>
        <v>0.24015444636909997</v>
      </c>
    </row>
    <row r="73" spans="1:20" ht="24.95" customHeight="1">
      <c r="A73" s="32" t="s">
        <v>594</v>
      </c>
      <c r="B73" s="217" t="s">
        <v>595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31</v>
      </c>
      <c r="I73" s="219"/>
      <c r="J73" s="219"/>
      <c r="K73" s="220">
        <v>10</v>
      </c>
      <c r="L73" s="221" t="s">
        <v>29</v>
      </c>
      <c r="M73" s="217" t="s">
        <v>111</v>
      </c>
      <c r="N73" s="222">
        <v>552983435</v>
      </c>
      <c r="O73" s="222">
        <v>304591378</v>
      </c>
      <c r="P73" s="224">
        <f t="shared" si="65"/>
        <v>0.55081465143707242</v>
      </c>
      <c r="Q73" s="222">
        <v>0</v>
      </c>
      <c r="R73" s="224">
        <f t="shared" si="65"/>
        <v>0</v>
      </c>
      <c r="S73" s="222">
        <v>0</v>
      </c>
      <c r="T73" s="224">
        <f t="shared" ref="T73" si="67">+S73/$N73</f>
        <v>0</v>
      </c>
    </row>
    <row r="74" spans="1:20" ht="24.95" customHeight="1">
      <c r="A74" s="32" t="s">
        <v>596</v>
      </c>
      <c r="B74" s="217" t="s">
        <v>597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34</v>
      </c>
      <c r="I74" s="219"/>
      <c r="J74" s="219"/>
      <c r="K74" s="220">
        <v>10</v>
      </c>
      <c r="L74" s="221" t="s">
        <v>29</v>
      </c>
      <c r="M74" s="217" t="s">
        <v>112</v>
      </c>
      <c r="N74" s="222">
        <v>14561981155</v>
      </c>
      <c r="O74" s="222">
        <v>14365339239</v>
      </c>
      <c r="P74" s="224">
        <f t="shared" si="65"/>
        <v>0.98649621133917753</v>
      </c>
      <c r="Q74" s="222">
        <v>3629925953</v>
      </c>
      <c r="R74" s="224">
        <f t="shared" si="65"/>
        <v>0.24927418284383845</v>
      </c>
      <c r="S74" s="222">
        <v>3629925953</v>
      </c>
      <c r="T74" s="224">
        <f t="shared" ref="T74" si="68">+S74/$N74</f>
        <v>0.24927418284383845</v>
      </c>
    </row>
    <row r="75" spans="1:20" ht="24.95" customHeight="1">
      <c r="A75" s="32" t="s">
        <v>394</v>
      </c>
      <c r="B75" s="210" t="s">
        <v>395</v>
      </c>
      <c r="C75" s="211" t="s">
        <v>23</v>
      </c>
      <c r="D75" s="212" t="s">
        <v>54</v>
      </c>
      <c r="E75" s="212" t="s">
        <v>54</v>
      </c>
      <c r="F75" s="212" t="s">
        <v>54</v>
      </c>
      <c r="G75" s="212" t="s">
        <v>46</v>
      </c>
      <c r="H75" s="212"/>
      <c r="I75" s="212"/>
      <c r="J75" s="212"/>
      <c r="K75" s="213" t="s">
        <v>28</v>
      </c>
      <c r="L75" s="214" t="s">
        <v>29</v>
      </c>
      <c r="M75" s="210" t="s">
        <v>113</v>
      </c>
      <c r="N75" s="215">
        <v>18683744316</v>
      </c>
      <c r="O75" s="215">
        <v>13990957291.889999</v>
      </c>
      <c r="P75" s="216">
        <f t="shared" si="65"/>
        <v>0.74883048361503812</v>
      </c>
      <c r="Q75" s="215">
        <v>2349824643.6199999</v>
      </c>
      <c r="R75" s="216">
        <f t="shared" si="65"/>
        <v>0.12576840080217247</v>
      </c>
      <c r="S75" s="215">
        <v>1990180369.6199999</v>
      </c>
      <c r="T75" s="216">
        <f t="shared" ref="T75" si="69">+S75/$N75</f>
        <v>0.10651935372053289</v>
      </c>
    </row>
    <row r="76" spans="1:20" ht="24.95" customHeight="1">
      <c r="A76" s="32" t="s">
        <v>598</v>
      </c>
      <c r="B76" s="217" t="s">
        <v>599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34</v>
      </c>
      <c r="I76" s="219"/>
      <c r="J76" s="219"/>
      <c r="K76" s="220">
        <v>10</v>
      </c>
      <c r="L76" s="221" t="s">
        <v>29</v>
      </c>
      <c r="M76" s="217" t="s">
        <v>114</v>
      </c>
      <c r="N76" s="222">
        <v>49955000</v>
      </c>
      <c r="O76" s="222">
        <v>19045950</v>
      </c>
      <c r="P76" s="224">
        <f t="shared" si="65"/>
        <v>0.3812621359223301</v>
      </c>
      <c r="Q76" s="222">
        <v>0</v>
      </c>
      <c r="R76" s="224">
        <f t="shared" si="65"/>
        <v>0</v>
      </c>
      <c r="S76" s="222">
        <v>0</v>
      </c>
      <c r="T76" s="224">
        <f t="shared" ref="T76" si="70">+S76/$N76</f>
        <v>0</v>
      </c>
    </row>
    <row r="77" spans="1:20" ht="24.95" customHeight="1">
      <c r="A77" s="32" t="s">
        <v>600</v>
      </c>
      <c r="B77" s="217" t="s">
        <v>601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36</v>
      </c>
      <c r="I77" s="219"/>
      <c r="J77" s="219"/>
      <c r="K77" s="220">
        <v>10</v>
      </c>
      <c r="L77" s="221" t="s">
        <v>29</v>
      </c>
      <c r="M77" s="217" t="s">
        <v>115</v>
      </c>
      <c r="N77" s="222">
        <v>10655414599</v>
      </c>
      <c r="O77" s="222">
        <v>9589588007</v>
      </c>
      <c r="P77" s="224">
        <f t="shared" si="65"/>
        <v>0.89997324063767292</v>
      </c>
      <c r="Q77" s="222">
        <v>1199168749</v>
      </c>
      <c r="R77" s="224">
        <f t="shared" si="65"/>
        <v>0.11254078739578474</v>
      </c>
      <c r="S77" s="222">
        <v>839524475</v>
      </c>
      <c r="T77" s="224">
        <f t="shared" ref="T77" si="71">+S77/$N77</f>
        <v>7.8788532083846702E-2</v>
      </c>
    </row>
    <row r="78" spans="1:20" ht="24" customHeight="1">
      <c r="A78" s="32" t="s">
        <v>602</v>
      </c>
      <c r="B78" s="217" t="s">
        <v>603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38</v>
      </c>
      <c r="I78" s="219"/>
      <c r="J78" s="219"/>
      <c r="K78" s="220">
        <v>10</v>
      </c>
      <c r="L78" s="221" t="s">
        <v>29</v>
      </c>
      <c r="M78" s="217" t="s">
        <v>116</v>
      </c>
      <c r="N78" s="223">
        <v>2435766071.8699999</v>
      </c>
      <c r="O78" s="222">
        <v>935423116.75</v>
      </c>
      <c r="P78" s="224">
        <f t="shared" si="65"/>
        <v>0.38403651629479008</v>
      </c>
      <c r="Q78" s="222">
        <v>520661990</v>
      </c>
      <c r="R78" s="224">
        <f t="shared" si="65"/>
        <v>0.21375697609593292</v>
      </c>
      <c r="S78" s="222">
        <v>520661990</v>
      </c>
      <c r="T78" s="224">
        <f t="shared" ref="T78" si="72">+S78/$N78</f>
        <v>0.21375697609593292</v>
      </c>
    </row>
    <row r="79" spans="1:20" ht="24.95" customHeight="1">
      <c r="A79" s="32" t="s">
        <v>604</v>
      </c>
      <c r="B79" s="217" t="s">
        <v>605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40</v>
      </c>
      <c r="I79" s="219"/>
      <c r="J79" s="219"/>
      <c r="K79" s="220">
        <v>10</v>
      </c>
      <c r="L79" s="221" t="s">
        <v>29</v>
      </c>
      <c r="M79" s="217" t="s">
        <v>117</v>
      </c>
      <c r="N79" s="222">
        <v>4940388446</v>
      </c>
      <c r="O79" s="222">
        <v>3284281321.1399999</v>
      </c>
      <c r="P79" s="224">
        <f t="shared" si="65"/>
        <v>0.66478200186852265</v>
      </c>
      <c r="Q79" s="222">
        <v>599878245.62</v>
      </c>
      <c r="R79" s="224">
        <f t="shared" si="65"/>
        <v>0.12142329538999978</v>
      </c>
      <c r="S79" s="222">
        <v>599878245.62</v>
      </c>
      <c r="T79" s="224">
        <f t="shared" ref="T79" si="73">+S79/$N79</f>
        <v>0.12142329538999978</v>
      </c>
    </row>
    <row r="80" spans="1:20" ht="28.5" customHeight="1">
      <c r="A80" s="32" t="s">
        <v>606</v>
      </c>
      <c r="B80" s="217" t="s">
        <v>607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44</v>
      </c>
      <c r="I80" s="219"/>
      <c r="J80" s="219"/>
      <c r="K80" s="220">
        <v>10</v>
      </c>
      <c r="L80" s="221" t="s">
        <v>29</v>
      </c>
      <c r="M80" s="217" t="s">
        <v>118</v>
      </c>
      <c r="N80" s="222">
        <v>499220199.13</v>
      </c>
      <c r="O80" s="222">
        <v>81618897</v>
      </c>
      <c r="P80" s="224">
        <f t="shared" si="65"/>
        <v>0.1634927776204543</v>
      </c>
      <c r="Q80" s="222">
        <v>29115659</v>
      </c>
      <c r="R80" s="224">
        <f t="shared" si="65"/>
        <v>5.8322277525509551E-2</v>
      </c>
      <c r="S80" s="222">
        <v>29115659</v>
      </c>
      <c r="T80" s="224">
        <f t="shared" ref="T80" si="74">+S80/$N80</f>
        <v>5.8322277525509551E-2</v>
      </c>
    </row>
    <row r="81" spans="1:43" s="250" customFormat="1" ht="28.5" customHeight="1">
      <c r="A81" s="32" t="s">
        <v>608</v>
      </c>
      <c r="B81" s="217" t="s">
        <v>609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48</v>
      </c>
      <c r="I81" s="219"/>
      <c r="J81" s="219"/>
      <c r="K81" s="220">
        <v>10</v>
      </c>
      <c r="L81" s="221" t="s">
        <v>29</v>
      </c>
      <c r="M81" s="217" t="s">
        <v>119</v>
      </c>
      <c r="N81" s="222">
        <v>103000000</v>
      </c>
      <c r="O81" s="222">
        <v>81000000</v>
      </c>
      <c r="P81" s="224">
        <f t="shared" si="65"/>
        <v>0.78640776699029125</v>
      </c>
      <c r="Q81" s="222">
        <v>1000000</v>
      </c>
      <c r="R81" s="224">
        <f t="shared" si="65"/>
        <v>9.7087378640776691E-3</v>
      </c>
      <c r="S81" s="222">
        <v>1000000</v>
      </c>
      <c r="T81" s="224">
        <f t="shared" ref="T81" si="75">+S81/$N81</f>
        <v>9.7087378640776691E-3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4.95" customHeight="1">
      <c r="A82" s="32" t="s">
        <v>396</v>
      </c>
      <c r="B82" s="210" t="s">
        <v>397</v>
      </c>
      <c r="C82" s="211" t="s">
        <v>23</v>
      </c>
      <c r="D82" s="212" t="s">
        <v>54</v>
      </c>
      <c r="E82" s="212" t="s">
        <v>54</v>
      </c>
      <c r="F82" s="212" t="s">
        <v>54</v>
      </c>
      <c r="G82" s="212" t="s">
        <v>48</v>
      </c>
      <c r="H82" s="212"/>
      <c r="I82" s="212"/>
      <c r="J82" s="212"/>
      <c r="K82" s="213" t="s">
        <v>28</v>
      </c>
      <c r="L82" s="214" t="s">
        <v>29</v>
      </c>
      <c r="M82" s="210" t="s">
        <v>120</v>
      </c>
      <c r="N82" s="215">
        <v>2316016750</v>
      </c>
      <c r="O82" s="215">
        <v>968923394</v>
      </c>
      <c r="P82" s="216">
        <f t="shared" si="65"/>
        <v>0.41835767983975075</v>
      </c>
      <c r="Q82" s="215">
        <v>143245504</v>
      </c>
      <c r="R82" s="216">
        <f t="shared" si="65"/>
        <v>6.1849943010990747E-2</v>
      </c>
      <c r="S82" s="215">
        <v>142733458</v>
      </c>
      <c r="T82" s="216">
        <f t="shared" ref="T82" si="76">+S82/$N82</f>
        <v>6.1628853936397478E-2</v>
      </c>
    </row>
    <row r="83" spans="1:43" ht="24.95" customHeight="1">
      <c r="A83" s="32" t="s">
        <v>610</v>
      </c>
      <c r="B83" s="217" t="s">
        <v>611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34</v>
      </c>
      <c r="I83" s="219"/>
      <c r="J83" s="219"/>
      <c r="K83" s="220">
        <v>10</v>
      </c>
      <c r="L83" s="221" t="s">
        <v>29</v>
      </c>
      <c r="M83" s="217" t="s">
        <v>121</v>
      </c>
      <c r="N83" s="222">
        <v>992069874</v>
      </c>
      <c r="O83" s="222">
        <v>342069874</v>
      </c>
      <c r="P83" s="224">
        <f t="shared" si="65"/>
        <v>0.34480421486924417</v>
      </c>
      <c r="Q83" s="222">
        <v>33015797</v>
      </c>
      <c r="R83" s="224">
        <f t="shared" si="65"/>
        <v>3.3279709287896392E-2</v>
      </c>
      <c r="S83" s="222">
        <v>33015797</v>
      </c>
      <c r="T83" s="224">
        <f t="shared" ref="T83" si="77">+S83/$N83</f>
        <v>3.3279709287896392E-2</v>
      </c>
    </row>
    <row r="84" spans="1:43" ht="34.5" customHeight="1">
      <c r="A84" s="32" t="s">
        <v>612</v>
      </c>
      <c r="B84" s="217" t="s">
        <v>613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36</v>
      </c>
      <c r="I84" s="219"/>
      <c r="J84" s="219"/>
      <c r="K84" s="220">
        <v>10</v>
      </c>
      <c r="L84" s="221" t="s">
        <v>29</v>
      </c>
      <c r="M84" s="217" t="s">
        <v>122</v>
      </c>
      <c r="N84" s="222">
        <v>364946876</v>
      </c>
      <c r="O84" s="222">
        <v>159832826</v>
      </c>
      <c r="P84" s="224">
        <f t="shared" si="65"/>
        <v>0.43796189667890184</v>
      </c>
      <c r="Q84" s="222">
        <v>5530385</v>
      </c>
      <c r="R84" s="224">
        <f t="shared" si="65"/>
        <v>1.5153945310111381E-2</v>
      </c>
      <c r="S84" s="222">
        <v>5530385</v>
      </c>
      <c r="T84" s="224">
        <f t="shared" ref="T84" si="78">+S84/$N84</f>
        <v>1.5153945310111381E-2</v>
      </c>
    </row>
    <row r="85" spans="1:43" ht="82.5">
      <c r="A85" s="32" t="s">
        <v>614</v>
      </c>
      <c r="B85" s="217" t="s">
        <v>615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38</v>
      </c>
      <c r="I85" s="219"/>
      <c r="J85" s="219"/>
      <c r="K85" s="220">
        <v>10</v>
      </c>
      <c r="L85" s="221" t="s">
        <v>29</v>
      </c>
      <c r="M85" s="217" t="s">
        <v>123</v>
      </c>
      <c r="N85" s="222">
        <v>104000000</v>
      </c>
      <c r="O85" s="222">
        <v>17020694</v>
      </c>
      <c r="P85" s="224">
        <f t="shared" si="65"/>
        <v>0.16366051923076924</v>
      </c>
      <c r="Q85" s="222">
        <v>17020694</v>
      </c>
      <c r="R85" s="224">
        <f t="shared" si="65"/>
        <v>0.16366051923076924</v>
      </c>
      <c r="S85" s="222">
        <v>16508648</v>
      </c>
      <c r="T85" s="224">
        <f t="shared" ref="T85" si="79">+S85/$N85</f>
        <v>0.15873699999999999</v>
      </c>
    </row>
    <row r="86" spans="1:43" ht="24.95" customHeight="1">
      <c r="A86" s="32" t="s">
        <v>616</v>
      </c>
      <c r="B86" s="217" t="s">
        <v>617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42</v>
      </c>
      <c r="I86" s="219"/>
      <c r="J86" s="219"/>
      <c r="K86" s="220">
        <v>10</v>
      </c>
      <c r="L86" s="221" t="s">
        <v>29</v>
      </c>
      <c r="M86" s="217" t="s">
        <v>124</v>
      </c>
      <c r="N86" s="222">
        <v>830000000</v>
      </c>
      <c r="O86" s="222">
        <v>450000000</v>
      </c>
      <c r="P86" s="224">
        <f t="shared" si="65"/>
        <v>0.54216867469879515</v>
      </c>
      <c r="Q86" s="222">
        <v>87678628</v>
      </c>
      <c r="R86" s="224">
        <f t="shared" si="65"/>
        <v>0.10563690120481928</v>
      </c>
      <c r="S86" s="222">
        <v>87678628</v>
      </c>
      <c r="T86" s="224">
        <f t="shared" ref="T86" si="80">+S86/$N86</f>
        <v>0.10563690120481928</v>
      </c>
    </row>
    <row r="87" spans="1:43" ht="24.95" customHeight="1">
      <c r="A87" s="32" t="s">
        <v>618</v>
      </c>
      <c r="B87" s="217" t="s">
        <v>619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44</v>
      </c>
      <c r="I87" s="219"/>
      <c r="J87" s="219"/>
      <c r="K87" s="220">
        <v>10</v>
      </c>
      <c r="L87" s="221" t="s">
        <v>29</v>
      </c>
      <c r="M87" s="217" t="s">
        <v>125</v>
      </c>
      <c r="N87" s="222">
        <v>25000000</v>
      </c>
      <c r="O87" s="222">
        <v>0</v>
      </c>
      <c r="P87" s="224">
        <f t="shared" si="65"/>
        <v>0</v>
      </c>
      <c r="Q87" s="222">
        <v>0</v>
      </c>
      <c r="R87" s="224">
        <f t="shared" si="65"/>
        <v>0</v>
      </c>
      <c r="S87" s="222">
        <v>0</v>
      </c>
      <c r="T87" s="224">
        <f t="shared" ref="T87" si="81">+S87/$N87</f>
        <v>0</v>
      </c>
    </row>
    <row r="88" spans="1:43" s="90" customFormat="1" ht="24.95" customHeight="1">
      <c r="A88" s="32" t="s">
        <v>398</v>
      </c>
      <c r="B88" s="251" t="s">
        <v>399</v>
      </c>
      <c r="C88" s="211" t="s">
        <v>23</v>
      </c>
      <c r="D88" s="212" t="s">
        <v>54</v>
      </c>
      <c r="E88" s="212" t="s">
        <v>54</v>
      </c>
      <c r="F88" s="212" t="s">
        <v>54</v>
      </c>
      <c r="G88" s="212" t="s">
        <v>50</v>
      </c>
      <c r="H88" s="212"/>
      <c r="I88" s="212"/>
      <c r="J88" s="212"/>
      <c r="K88" s="252" t="s">
        <v>28</v>
      </c>
      <c r="L88" s="253" t="s">
        <v>29</v>
      </c>
      <c r="M88" s="251" t="s">
        <v>126</v>
      </c>
      <c r="N88" s="254">
        <v>668089389</v>
      </c>
      <c r="O88" s="254">
        <v>201498573</v>
      </c>
      <c r="P88" s="255">
        <f t="shared" si="65"/>
        <v>0.30160421092992395</v>
      </c>
      <c r="Q88" s="254">
        <v>79013013</v>
      </c>
      <c r="R88" s="255">
        <f t="shared" si="65"/>
        <v>0.11826712757445097</v>
      </c>
      <c r="S88" s="254">
        <v>79013013</v>
      </c>
      <c r="T88" s="255">
        <f t="shared" ref="T88" si="82">+S88/$N88</f>
        <v>0.11826712757445097</v>
      </c>
    </row>
    <row r="89" spans="1:43" ht="35.1" customHeight="1">
      <c r="A89" s="32" t="s">
        <v>400</v>
      </c>
      <c r="B89" s="188" t="s">
        <v>401</v>
      </c>
      <c r="C89" s="189" t="s">
        <v>23</v>
      </c>
      <c r="D89" s="191" t="s">
        <v>65</v>
      </c>
      <c r="E89" s="191"/>
      <c r="F89" s="191"/>
      <c r="G89" s="191"/>
      <c r="H89" s="191"/>
      <c r="I89" s="191"/>
      <c r="J89" s="191"/>
      <c r="K89" s="192"/>
      <c r="L89" s="193"/>
      <c r="M89" s="188" t="s">
        <v>127</v>
      </c>
      <c r="N89" s="194">
        <v>3806723274200</v>
      </c>
      <c r="O89" s="194">
        <v>1750038018932</v>
      </c>
      <c r="P89" s="195">
        <f t="shared" si="65"/>
        <v>0.45972294093265248</v>
      </c>
      <c r="Q89" s="194">
        <v>1733148535893</v>
      </c>
      <c r="R89" s="195">
        <f t="shared" si="65"/>
        <v>0.45528618999951576</v>
      </c>
      <c r="S89" s="194">
        <v>1732950957318</v>
      </c>
      <c r="T89" s="195">
        <f t="shared" ref="T89" si="83">+S89/$N89</f>
        <v>0.4552342874679241</v>
      </c>
    </row>
    <row r="90" spans="1:43" ht="24.95" customHeight="1">
      <c r="A90" s="32" t="s">
        <v>620</v>
      </c>
      <c r="B90" s="196" t="s">
        <v>621</v>
      </c>
      <c r="C90" s="197" t="s">
        <v>23</v>
      </c>
      <c r="D90" s="198" t="s">
        <v>65</v>
      </c>
      <c r="E90" s="198" t="s">
        <v>65</v>
      </c>
      <c r="F90" s="198"/>
      <c r="G90" s="198"/>
      <c r="H90" s="198"/>
      <c r="I90" s="198"/>
      <c r="J90" s="198"/>
      <c r="K90" s="199"/>
      <c r="L90" s="200"/>
      <c r="M90" s="196" t="s">
        <v>128</v>
      </c>
      <c r="N90" s="201">
        <v>3803514274200</v>
      </c>
      <c r="O90" s="201">
        <v>1749673487800</v>
      </c>
      <c r="P90" s="202">
        <f t="shared" si="65"/>
        <v>0.4600149655460441</v>
      </c>
      <c r="Q90" s="201">
        <v>1732822544538</v>
      </c>
      <c r="R90" s="202">
        <f t="shared" si="65"/>
        <v>0.45558460403108852</v>
      </c>
      <c r="S90" s="201">
        <v>1732797600000</v>
      </c>
      <c r="T90" s="202">
        <f t="shared" ref="T90" si="84">+S90/$N90</f>
        <v>0.45557804574414601</v>
      </c>
    </row>
    <row r="91" spans="1:43" s="64" customFormat="1" ht="24.95" customHeight="1">
      <c r="A91" s="32" t="s">
        <v>622</v>
      </c>
      <c r="B91" s="203" t="s">
        <v>623</v>
      </c>
      <c r="C91" s="204" t="s">
        <v>23</v>
      </c>
      <c r="D91" s="205" t="s">
        <v>65</v>
      </c>
      <c r="E91" s="205" t="s">
        <v>65</v>
      </c>
      <c r="F91" s="256" t="s">
        <v>25</v>
      </c>
      <c r="G91" s="205"/>
      <c r="H91" s="205"/>
      <c r="I91" s="205"/>
      <c r="J91" s="205"/>
      <c r="K91" s="206"/>
      <c r="L91" s="207"/>
      <c r="M91" s="203" t="s">
        <v>129</v>
      </c>
      <c r="N91" s="208">
        <v>3803514274200</v>
      </c>
      <c r="O91" s="208">
        <v>1749673487800</v>
      </c>
      <c r="P91" s="209">
        <f t="shared" si="65"/>
        <v>0.4600149655460441</v>
      </c>
      <c r="Q91" s="208">
        <v>1732822544538</v>
      </c>
      <c r="R91" s="209">
        <f t="shared" si="65"/>
        <v>0.45558460403108852</v>
      </c>
      <c r="S91" s="208">
        <v>1732797600000</v>
      </c>
      <c r="T91" s="209">
        <f t="shared" ref="T91" si="85">+S91/$N91</f>
        <v>0.45557804574414601</v>
      </c>
      <c r="U91" s="13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</row>
    <row r="92" spans="1:43" s="64" customFormat="1" ht="24.95" customHeight="1">
      <c r="A92" s="32" t="s">
        <v>624</v>
      </c>
      <c r="B92" s="217" t="s">
        <v>625</v>
      </c>
      <c r="C92" s="218" t="s">
        <v>23</v>
      </c>
      <c r="D92" s="219" t="s">
        <v>65</v>
      </c>
      <c r="E92" s="219" t="s">
        <v>65</v>
      </c>
      <c r="F92" s="219" t="s">
        <v>25</v>
      </c>
      <c r="G92" s="225" t="s">
        <v>130</v>
      </c>
      <c r="H92" s="219"/>
      <c r="I92" s="219"/>
      <c r="J92" s="219"/>
      <c r="K92" s="220">
        <v>54</v>
      </c>
      <c r="L92" s="221" t="s">
        <v>29</v>
      </c>
      <c r="M92" s="217" t="s">
        <v>131</v>
      </c>
      <c r="N92" s="223">
        <v>0</v>
      </c>
      <c r="O92" s="223"/>
      <c r="P92" s="224" t="e">
        <f t="shared" si="65"/>
        <v>#DIV/0!</v>
      </c>
      <c r="Q92" s="222"/>
      <c r="R92" s="224" t="e">
        <f t="shared" si="65"/>
        <v>#DIV/0!</v>
      </c>
      <c r="S92" s="222"/>
      <c r="T92" s="224" t="e">
        <f t="shared" ref="T92" si="86">+S92/$N92</f>
        <v>#DIV/0!</v>
      </c>
      <c r="U92" s="13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</row>
    <row r="93" spans="1:43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19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132</v>
      </c>
      <c r="N93" s="223">
        <v>2985799234200</v>
      </c>
      <c r="O93" s="223">
        <v>1341178607800</v>
      </c>
      <c r="P93" s="224">
        <f t="shared" si="65"/>
        <v>0.4491857966998738</v>
      </c>
      <c r="Q93" s="222">
        <v>1324327664538</v>
      </c>
      <c r="R93" s="224">
        <f t="shared" si="65"/>
        <v>0.44354210067738653</v>
      </c>
      <c r="S93" s="222">
        <v>1324302720000</v>
      </c>
      <c r="T93" s="224">
        <f t="shared" ref="T93" si="87">+S93/$N93</f>
        <v>0.44353374628513059</v>
      </c>
    </row>
    <row r="94" spans="1:43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19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133</v>
      </c>
      <c r="N94" s="223">
        <v>817715040000</v>
      </c>
      <c r="O94" s="223">
        <v>408494880000</v>
      </c>
      <c r="P94" s="224">
        <f t="shared" si="65"/>
        <v>0.49955652032522235</v>
      </c>
      <c r="Q94" s="222">
        <v>408494880000</v>
      </c>
      <c r="R94" s="224">
        <f t="shared" si="65"/>
        <v>0.49955652032522235</v>
      </c>
      <c r="S94" s="222">
        <v>408494880000</v>
      </c>
      <c r="T94" s="224">
        <f t="shared" ref="T94" si="88">+S94/$N94</f>
        <v>0.49955652032522235</v>
      </c>
    </row>
    <row r="95" spans="1:43" ht="24.95" customHeight="1">
      <c r="A95" s="32" t="s">
        <v>626</v>
      </c>
      <c r="B95" s="217" t="s">
        <v>627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3">
        <v>0</v>
      </c>
      <c r="O95" s="223"/>
      <c r="P95" s="224" t="e">
        <f t="shared" si="65"/>
        <v>#DIV/0!</v>
      </c>
      <c r="Q95" s="222"/>
      <c r="R95" s="224" t="e">
        <f t="shared" si="65"/>
        <v>#DIV/0!</v>
      </c>
      <c r="S95" s="222"/>
      <c r="T95" s="224" t="e">
        <f t="shared" ref="T95" si="89">+S95/$N95</f>
        <v>#DIV/0!</v>
      </c>
    </row>
    <row r="96" spans="1:43" ht="24.95" customHeight="1">
      <c r="A96" s="32" t="s">
        <v>780</v>
      </c>
      <c r="B96" s="217" t="s">
        <v>627</v>
      </c>
      <c r="C96" s="218" t="s">
        <v>23</v>
      </c>
      <c r="D96" s="219" t="s">
        <v>65</v>
      </c>
      <c r="E96" s="219" t="s">
        <v>65</v>
      </c>
      <c r="F96" s="219" t="s">
        <v>25</v>
      </c>
      <c r="G96" s="219" t="s">
        <v>134</v>
      </c>
      <c r="H96" s="219"/>
      <c r="I96" s="219"/>
      <c r="J96" s="219"/>
      <c r="K96" s="220">
        <v>11</v>
      </c>
      <c r="L96" s="221" t="s">
        <v>29</v>
      </c>
      <c r="M96" s="217" t="s">
        <v>135</v>
      </c>
      <c r="N96" s="223">
        <v>0</v>
      </c>
      <c r="O96" s="223"/>
      <c r="P96" s="224" t="e">
        <f t="shared" si="65"/>
        <v>#DIV/0!</v>
      </c>
      <c r="Q96" s="222"/>
      <c r="R96" s="224" t="e">
        <f t="shared" si="65"/>
        <v>#DIV/0!</v>
      </c>
      <c r="S96" s="222"/>
      <c r="T96" s="224" t="e">
        <f t="shared" ref="T96" si="90">+S96/$N96</f>
        <v>#DIV/0!</v>
      </c>
    </row>
    <row r="97" spans="1:43" ht="24.95" customHeight="1">
      <c r="A97" s="32" t="s">
        <v>402</v>
      </c>
      <c r="B97" s="196" t="s">
        <v>403</v>
      </c>
      <c r="C97" s="197" t="s">
        <v>23</v>
      </c>
      <c r="D97" s="198" t="s">
        <v>65</v>
      </c>
      <c r="E97" s="198" t="s">
        <v>136</v>
      </c>
      <c r="F97" s="198"/>
      <c r="G97" s="198"/>
      <c r="H97" s="198"/>
      <c r="I97" s="198"/>
      <c r="J97" s="198"/>
      <c r="K97" s="199"/>
      <c r="L97" s="200"/>
      <c r="M97" s="196" t="s">
        <v>137</v>
      </c>
      <c r="N97" s="201">
        <v>534000000</v>
      </c>
      <c r="O97" s="201">
        <v>144648923</v>
      </c>
      <c r="P97" s="202">
        <f t="shared" si="65"/>
        <v>0.27087813295880148</v>
      </c>
      <c r="Q97" s="201">
        <v>106109146</v>
      </c>
      <c r="R97" s="202">
        <f t="shared" si="65"/>
        <v>0.19870626591760299</v>
      </c>
      <c r="S97" s="201">
        <v>106109146</v>
      </c>
      <c r="T97" s="202">
        <f t="shared" ref="T97" si="91">+S97/$N97</f>
        <v>0.19870626591760299</v>
      </c>
    </row>
    <row r="98" spans="1:43" ht="24.95" customHeight="1">
      <c r="A98" s="32" t="s">
        <v>404</v>
      </c>
      <c r="B98" s="203" t="s">
        <v>405</v>
      </c>
      <c r="C98" s="204" t="s">
        <v>23</v>
      </c>
      <c r="D98" s="205" t="s">
        <v>65</v>
      </c>
      <c r="E98" s="205" t="s">
        <v>136</v>
      </c>
      <c r="F98" s="205" t="s">
        <v>54</v>
      </c>
      <c r="G98" s="205"/>
      <c r="H98" s="205"/>
      <c r="I98" s="205"/>
      <c r="J98" s="205"/>
      <c r="K98" s="206" t="s">
        <v>28</v>
      </c>
      <c r="L98" s="207" t="s">
        <v>29</v>
      </c>
      <c r="M98" s="203" t="s">
        <v>138</v>
      </c>
      <c r="N98" s="208">
        <v>534000000</v>
      </c>
      <c r="O98" s="208">
        <v>144648923</v>
      </c>
      <c r="P98" s="209">
        <f t="shared" si="65"/>
        <v>0.27087813295880148</v>
      </c>
      <c r="Q98" s="208">
        <v>106109146</v>
      </c>
      <c r="R98" s="209">
        <f t="shared" si="65"/>
        <v>0.19870626591760299</v>
      </c>
      <c r="S98" s="208">
        <v>106109146</v>
      </c>
      <c r="T98" s="209">
        <f t="shared" ref="T98" si="92">+S98/$N98</f>
        <v>0.19870626591760299</v>
      </c>
    </row>
    <row r="99" spans="1:43" s="64" customFormat="1" ht="24.95" customHeight="1">
      <c r="A99" s="32" t="s">
        <v>406</v>
      </c>
      <c r="B99" s="210" t="s">
        <v>407</v>
      </c>
      <c r="C99" s="211" t="s">
        <v>23</v>
      </c>
      <c r="D99" s="212" t="s">
        <v>65</v>
      </c>
      <c r="E99" s="212" t="s">
        <v>136</v>
      </c>
      <c r="F99" s="212" t="s">
        <v>54</v>
      </c>
      <c r="G99" s="212" t="s">
        <v>52</v>
      </c>
      <c r="H99" s="212"/>
      <c r="I99" s="212"/>
      <c r="J99" s="212"/>
      <c r="K99" s="213" t="s">
        <v>28</v>
      </c>
      <c r="L99" s="214" t="s">
        <v>29</v>
      </c>
      <c r="M99" s="210" t="s">
        <v>139</v>
      </c>
      <c r="N99" s="215">
        <v>534000000</v>
      </c>
      <c r="O99" s="215">
        <v>144648923</v>
      </c>
      <c r="P99" s="216">
        <f t="shared" si="65"/>
        <v>0.27087813295880148</v>
      </c>
      <c r="Q99" s="215">
        <v>106109146</v>
      </c>
      <c r="R99" s="216">
        <f t="shared" si="65"/>
        <v>0.19870626591760299</v>
      </c>
      <c r="S99" s="215">
        <v>106109146</v>
      </c>
      <c r="T99" s="216">
        <f t="shared" ref="T99" si="93">+S99/$N99</f>
        <v>0.19870626591760299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4.95" customHeight="1">
      <c r="A100" s="32" t="s">
        <v>408</v>
      </c>
      <c r="B100" s="217" t="s">
        <v>409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31</v>
      </c>
      <c r="I100" s="219"/>
      <c r="J100" s="219"/>
      <c r="K100" s="220" t="s">
        <v>28</v>
      </c>
      <c r="L100" s="221" t="s">
        <v>29</v>
      </c>
      <c r="M100" s="217" t="s">
        <v>140</v>
      </c>
      <c r="N100" s="222">
        <v>367000000</v>
      </c>
      <c r="O100" s="222">
        <v>52771112</v>
      </c>
      <c r="P100" s="224">
        <f t="shared" si="65"/>
        <v>0.14379049591280654</v>
      </c>
      <c r="Q100" s="222">
        <v>49094638</v>
      </c>
      <c r="R100" s="224">
        <f t="shared" si="65"/>
        <v>0.13377285558583107</v>
      </c>
      <c r="S100" s="222">
        <v>49094638</v>
      </c>
      <c r="T100" s="224">
        <f t="shared" ref="T100" si="94">+S100/$N100</f>
        <v>0.13377285558583107</v>
      </c>
    </row>
    <row r="101" spans="1:43" ht="24.95" customHeight="1">
      <c r="A101" s="32" t="s">
        <v>410</v>
      </c>
      <c r="B101" s="217" t="s">
        <v>411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19" t="s">
        <v>52</v>
      </c>
      <c r="H101" s="219" t="s">
        <v>34</v>
      </c>
      <c r="I101" s="219"/>
      <c r="J101" s="219"/>
      <c r="K101" s="220" t="s">
        <v>28</v>
      </c>
      <c r="L101" s="221" t="s">
        <v>29</v>
      </c>
      <c r="M101" s="217" t="s">
        <v>141</v>
      </c>
      <c r="N101" s="222">
        <v>167000000</v>
      </c>
      <c r="O101" s="222">
        <v>91877811</v>
      </c>
      <c r="P101" s="224">
        <f t="shared" si="65"/>
        <v>0.55016653293413176</v>
      </c>
      <c r="Q101" s="222">
        <v>57014508</v>
      </c>
      <c r="R101" s="224">
        <f t="shared" si="65"/>
        <v>0.34140423952095811</v>
      </c>
      <c r="S101" s="222">
        <v>57014508</v>
      </c>
      <c r="T101" s="224">
        <f t="shared" ref="T101" si="95">+S101/$N101</f>
        <v>0.34140423952095811</v>
      </c>
    </row>
    <row r="102" spans="1:43" s="64" customFormat="1" ht="24.95" customHeight="1">
      <c r="A102" s="32" t="s">
        <v>412</v>
      </c>
      <c r="B102" s="217" t="s">
        <v>413</v>
      </c>
      <c r="C102" s="218" t="s">
        <v>23</v>
      </c>
      <c r="D102" s="219" t="s">
        <v>65</v>
      </c>
      <c r="E102" s="219" t="s">
        <v>136</v>
      </c>
      <c r="F102" s="219" t="s">
        <v>54</v>
      </c>
      <c r="G102" s="225" t="s">
        <v>142</v>
      </c>
      <c r="H102" s="219"/>
      <c r="I102" s="219"/>
      <c r="J102" s="219"/>
      <c r="K102" s="220" t="s">
        <v>28</v>
      </c>
      <c r="L102" s="221" t="s">
        <v>29</v>
      </c>
      <c r="M102" s="217" t="s">
        <v>260</v>
      </c>
      <c r="N102" s="223">
        <v>0</v>
      </c>
      <c r="O102" s="223">
        <v>0</v>
      </c>
      <c r="P102" s="224" t="e">
        <f t="shared" si="65"/>
        <v>#DIV/0!</v>
      </c>
      <c r="Q102" s="222">
        <v>0</v>
      </c>
      <c r="R102" s="224" t="e">
        <f t="shared" si="65"/>
        <v>#DIV/0!</v>
      </c>
      <c r="S102" s="222">
        <v>0</v>
      </c>
      <c r="T102" s="224" t="e">
        <f t="shared" ref="T102" si="96">+S102/$N102</f>
        <v>#DIV/0!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4.95" customHeight="1">
      <c r="A103" s="32" t="s">
        <v>414</v>
      </c>
      <c r="B103" s="196" t="s">
        <v>415</v>
      </c>
      <c r="C103" s="197" t="s">
        <v>23</v>
      </c>
      <c r="D103" s="198" t="s">
        <v>65</v>
      </c>
      <c r="E103" s="198" t="s">
        <v>28</v>
      </c>
      <c r="F103" s="198"/>
      <c r="G103" s="198"/>
      <c r="H103" s="198"/>
      <c r="I103" s="198"/>
      <c r="J103" s="198"/>
      <c r="K103" s="199"/>
      <c r="L103" s="200"/>
      <c r="M103" s="196" t="s">
        <v>143</v>
      </c>
      <c r="N103" s="201">
        <v>2675000000</v>
      </c>
      <c r="O103" s="201">
        <v>219882209</v>
      </c>
      <c r="P103" s="202">
        <f t="shared" si="65"/>
        <v>8.219895663551402E-2</v>
      </c>
      <c r="Q103" s="201">
        <v>219882209</v>
      </c>
      <c r="R103" s="202">
        <f t="shared" si="65"/>
        <v>8.219895663551402E-2</v>
      </c>
      <c r="S103" s="201">
        <v>47248172</v>
      </c>
      <c r="T103" s="202">
        <f t="shared" ref="T103" si="97">+S103/$N103</f>
        <v>1.7662868037383178E-2</v>
      </c>
    </row>
    <row r="104" spans="1:43" ht="16.5">
      <c r="A104" s="32" t="s">
        <v>416</v>
      </c>
      <c r="B104" s="203" t="s">
        <v>417</v>
      </c>
      <c r="C104" s="204" t="s">
        <v>23</v>
      </c>
      <c r="D104" s="205" t="s">
        <v>65</v>
      </c>
      <c r="E104" s="205" t="s">
        <v>28</v>
      </c>
      <c r="F104" s="205" t="s">
        <v>25</v>
      </c>
      <c r="G104" s="205"/>
      <c r="H104" s="205"/>
      <c r="I104" s="205"/>
      <c r="J104" s="205"/>
      <c r="K104" s="206" t="s">
        <v>144</v>
      </c>
      <c r="L104" s="207" t="s">
        <v>29</v>
      </c>
      <c r="M104" s="203" t="s">
        <v>145</v>
      </c>
      <c r="N104" s="208">
        <v>2675000000</v>
      </c>
      <c r="O104" s="208">
        <v>219882209</v>
      </c>
      <c r="P104" s="209">
        <f t="shared" si="65"/>
        <v>8.219895663551402E-2</v>
      </c>
      <c r="Q104" s="208">
        <v>219882209</v>
      </c>
      <c r="R104" s="209">
        <f t="shared" si="65"/>
        <v>8.219895663551402E-2</v>
      </c>
      <c r="S104" s="208">
        <v>47248172</v>
      </c>
      <c r="T104" s="209">
        <f t="shared" ref="T104" si="98">+S104/$N104</f>
        <v>1.7662868037383178E-2</v>
      </c>
    </row>
    <row r="105" spans="1:43" ht="24.95" customHeight="1">
      <c r="A105" s="32" t="s">
        <v>628</v>
      </c>
      <c r="B105" s="217" t="s">
        <v>418</v>
      </c>
      <c r="C105" s="218" t="s">
        <v>23</v>
      </c>
      <c r="D105" s="219" t="s">
        <v>65</v>
      </c>
      <c r="E105" s="219" t="s">
        <v>28</v>
      </c>
      <c r="F105" s="219" t="s">
        <v>25</v>
      </c>
      <c r="G105" s="219" t="s">
        <v>31</v>
      </c>
      <c r="H105" s="219"/>
      <c r="I105" s="219"/>
      <c r="J105" s="219"/>
      <c r="K105" s="220">
        <v>10</v>
      </c>
      <c r="L105" s="221" t="s">
        <v>29</v>
      </c>
      <c r="M105" s="259" t="s">
        <v>146</v>
      </c>
      <c r="N105" s="223">
        <v>2675000000</v>
      </c>
      <c r="O105" s="223">
        <v>219882209</v>
      </c>
      <c r="P105" s="224">
        <f t="shared" si="65"/>
        <v>8.219895663551402E-2</v>
      </c>
      <c r="Q105" s="222">
        <v>219882209</v>
      </c>
      <c r="R105" s="224">
        <f t="shared" si="65"/>
        <v>8.219895663551402E-2</v>
      </c>
      <c r="S105" s="222">
        <v>47248172</v>
      </c>
      <c r="T105" s="224">
        <f t="shared" ref="T105" si="99">+S105/$N105</f>
        <v>1.7662868037383178E-2</v>
      </c>
    </row>
    <row r="106" spans="1:43" ht="35.1" customHeight="1">
      <c r="A106" s="32" t="s">
        <v>420</v>
      </c>
      <c r="B106" s="188" t="s">
        <v>421</v>
      </c>
      <c r="C106" s="189" t="s">
        <v>23</v>
      </c>
      <c r="D106" s="191" t="s">
        <v>148</v>
      </c>
      <c r="E106" s="191"/>
      <c r="F106" s="191"/>
      <c r="G106" s="191"/>
      <c r="H106" s="191"/>
      <c r="I106" s="191"/>
      <c r="J106" s="191"/>
      <c r="K106" s="192"/>
      <c r="L106" s="193"/>
      <c r="M106" s="188" t="s">
        <v>149</v>
      </c>
      <c r="N106" s="194">
        <v>6047000000</v>
      </c>
      <c r="O106" s="194">
        <v>64816306</v>
      </c>
      <c r="P106" s="195">
        <f t="shared" si="65"/>
        <v>1.0718754092938647E-2</v>
      </c>
      <c r="Q106" s="194">
        <v>64816306</v>
      </c>
      <c r="R106" s="195">
        <f t="shared" si="65"/>
        <v>1.0718754092938647E-2</v>
      </c>
      <c r="S106" s="194">
        <v>64683169</v>
      </c>
      <c r="T106" s="195">
        <f t="shared" ref="T106" si="100">+S106/$N106</f>
        <v>1.0696737059699025E-2</v>
      </c>
    </row>
    <row r="107" spans="1:43" ht="24.95" customHeight="1">
      <c r="A107" s="32" t="s">
        <v>422</v>
      </c>
      <c r="B107" s="196" t="s">
        <v>423</v>
      </c>
      <c r="C107" s="197" t="s">
        <v>23</v>
      </c>
      <c r="D107" s="198" t="s">
        <v>148</v>
      </c>
      <c r="E107" s="198" t="s">
        <v>25</v>
      </c>
      <c r="F107" s="198"/>
      <c r="G107" s="198"/>
      <c r="H107" s="198"/>
      <c r="I107" s="198"/>
      <c r="J107" s="198"/>
      <c r="K107" s="199"/>
      <c r="L107" s="200"/>
      <c r="M107" s="196" t="s">
        <v>150</v>
      </c>
      <c r="N107" s="201">
        <v>134000000</v>
      </c>
      <c r="O107" s="201">
        <v>64816306</v>
      </c>
      <c r="P107" s="202">
        <f t="shared" si="65"/>
        <v>0.48370377611940296</v>
      </c>
      <c r="Q107" s="201">
        <v>64816306</v>
      </c>
      <c r="R107" s="202">
        <f t="shared" si="65"/>
        <v>0.48370377611940296</v>
      </c>
      <c r="S107" s="201">
        <v>64683169</v>
      </c>
      <c r="T107" s="202">
        <f t="shared" ref="T107" si="101">+S107/$N107</f>
        <v>0.48271021641791045</v>
      </c>
    </row>
    <row r="108" spans="1:43" ht="16.5">
      <c r="A108" s="32" t="s">
        <v>424</v>
      </c>
      <c r="B108" s="203" t="s">
        <v>425</v>
      </c>
      <c r="C108" s="204" t="s">
        <v>23</v>
      </c>
      <c r="D108" s="205" t="s">
        <v>148</v>
      </c>
      <c r="E108" s="205" t="s">
        <v>25</v>
      </c>
      <c r="F108" s="205" t="s">
        <v>54</v>
      </c>
      <c r="G108" s="205"/>
      <c r="H108" s="205"/>
      <c r="I108" s="205"/>
      <c r="J108" s="205"/>
      <c r="K108" s="206" t="s">
        <v>28</v>
      </c>
      <c r="L108" s="207" t="s">
        <v>29</v>
      </c>
      <c r="M108" s="203" t="s">
        <v>151</v>
      </c>
      <c r="N108" s="208">
        <v>134000000</v>
      </c>
      <c r="O108" s="208">
        <v>64816306</v>
      </c>
      <c r="P108" s="209">
        <f t="shared" si="65"/>
        <v>0.48370377611940296</v>
      </c>
      <c r="Q108" s="208">
        <v>64816306</v>
      </c>
      <c r="R108" s="209">
        <f t="shared" si="65"/>
        <v>0.48370377611940296</v>
      </c>
      <c r="S108" s="208">
        <v>64683169</v>
      </c>
      <c r="T108" s="209">
        <f t="shared" ref="T108" si="102">+S108/$N108</f>
        <v>0.48271021641791045</v>
      </c>
    </row>
    <row r="109" spans="1:43" ht="24.95" customHeight="1">
      <c r="A109" s="32" t="s">
        <v>426</v>
      </c>
      <c r="B109" s="217" t="s">
        <v>427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31</v>
      </c>
      <c r="H109" s="219"/>
      <c r="I109" s="219"/>
      <c r="J109" s="219"/>
      <c r="K109" s="220" t="s">
        <v>28</v>
      </c>
      <c r="L109" s="221" t="s">
        <v>29</v>
      </c>
      <c r="M109" s="259" t="s">
        <v>152</v>
      </c>
      <c r="N109" s="222">
        <v>60000000</v>
      </c>
      <c r="O109" s="222">
        <v>50544836</v>
      </c>
      <c r="P109" s="224">
        <f t="shared" si="65"/>
        <v>0.84241393333333336</v>
      </c>
      <c r="Q109" s="222">
        <v>50544836</v>
      </c>
      <c r="R109" s="224">
        <f t="shared" si="65"/>
        <v>0.84241393333333336</v>
      </c>
      <c r="S109" s="222">
        <v>50544836</v>
      </c>
      <c r="T109" s="224">
        <f t="shared" ref="T109" si="103">+S109/$N109</f>
        <v>0.84241393333333336</v>
      </c>
    </row>
    <row r="110" spans="1:43" ht="24.95" customHeight="1">
      <c r="A110" s="32" t="s">
        <v>428</v>
      </c>
      <c r="B110" s="217" t="s">
        <v>429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38</v>
      </c>
      <c r="H110" s="219"/>
      <c r="I110" s="219"/>
      <c r="J110" s="219"/>
      <c r="K110" s="220" t="s">
        <v>28</v>
      </c>
      <c r="L110" s="221" t="s">
        <v>29</v>
      </c>
      <c r="M110" s="259" t="s">
        <v>153</v>
      </c>
      <c r="N110" s="222">
        <v>59000000</v>
      </c>
      <c r="O110" s="222">
        <v>8134120</v>
      </c>
      <c r="P110" s="224">
        <f t="shared" si="65"/>
        <v>0.13786644067796611</v>
      </c>
      <c r="Q110" s="222">
        <v>8134120</v>
      </c>
      <c r="R110" s="224">
        <f t="shared" si="65"/>
        <v>0.13786644067796611</v>
      </c>
      <c r="S110" s="222">
        <v>8000983</v>
      </c>
      <c r="T110" s="224">
        <f t="shared" ref="T110" si="104">+S110/$N110</f>
        <v>0.13560988135593222</v>
      </c>
    </row>
    <row r="111" spans="1:43" ht="24.95" customHeight="1">
      <c r="A111" s="32" t="s">
        <v>430</v>
      </c>
      <c r="B111" s="217" t="s">
        <v>431</v>
      </c>
      <c r="C111" s="218" t="s">
        <v>23</v>
      </c>
      <c r="D111" s="219" t="s">
        <v>148</v>
      </c>
      <c r="E111" s="219" t="s">
        <v>25</v>
      </c>
      <c r="F111" s="219" t="s">
        <v>54</v>
      </c>
      <c r="G111" s="219" t="s">
        <v>42</v>
      </c>
      <c r="H111" s="219"/>
      <c r="I111" s="219"/>
      <c r="J111" s="219"/>
      <c r="K111" s="220" t="s">
        <v>28</v>
      </c>
      <c r="L111" s="221" t="s">
        <v>29</v>
      </c>
      <c r="M111" s="259" t="s">
        <v>154</v>
      </c>
      <c r="N111" s="222">
        <v>15000000</v>
      </c>
      <c r="O111" s="222">
        <v>6137350</v>
      </c>
      <c r="P111" s="224">
        <f t="shared" si="65"/>
        <v>0.40915666666666667</v>
      </c>
      <c r="Q111" s="222">
        <v>6137350</v>
      </c>
      <c r="R111" s="224">
        <f t="shared" si="65"/>
        <v>0.40915666666666667</v>
      </c>
      <c r="S111" s="222">
        <v>6137350</v>
      </c>
      <c r="T111" s="224">
        <f t="shared" ref="T111" si="105">+S111/$N111</f>
        <v>0.40915666666666667</v>
      </c>
    </row>
    <row r="112" spans="1:43" ht="24.95" customHeight="1">
      <c r="A112" s="32" t="s">
        <v>629</v>
      </c>
      <c r="B112" s="196" t="s">
        <v>432</v>
      </c>
      <c r="C112" s="197" t="s">
        <v>23</v>
      </c>
      <c r="D112" s="198" t="s">
        <v>148</v>
      </c>
      <c r="E112" s="198" t="s">
        <v>136</v>
      </c>
      <c r="F112" s="198"/>
      <c r="G112" s="198"/>
      <c r="H112" s="198"/>
      <c r="I112" s="198"/>
      <c r="J112" s="198"/>
      <c r="K112" s="199"/>
      <c r="L112" s="200"/>
      <c r="M112" s="196" t="s">
        <v>155</v>
      </c>
      <c r="N112" s="201">
        <v>5913000000</v>
      </c>
      <c r="O112" s="201">
        <v>0</v>
      </c>
      <c r="P112" s="202">
        <f t="shared" si="65"/>
        <v>0</v>
      </c>
      <c r="Q112" s="201">
        <v>0</v>
      </c>
      <c r="R112" s="202">
        <f t="shared" si="65"/>
        <v>0</v>
      </c>
      <c r="S112" s="201">
        <v>0</v>
      </c>
      <c r="T112" s="202">
        <f t="shared" ref="T112" si="106">+S112/$N112</f>
        <v>0</v>
      </c>
    </row>
    <row r="113" spans="1:20" ht="24.95" customHeight="1">
      <c r="A113" s="32"/>
      <c r="B113" s="217" t="s">
        <v>434</v>
      </c>
      <c r="C113" s="218" t="s">
        <v>23</v>
      </c>
      <c r="D113" s="219" t="s">
        <v>148</v>
      </c>
      <c r="E113" s="219" t="s">
        <v>136</v>
      </c>
      <c r="F113" s="219" t="s">
        <v>25</v>
      </c>
      <c r="G113" s="219"/>
      <c r="H113" s="219"/>
      <c r="I113" s="219"/>
      <c r="J113" s="219"/>
      <c r="K113" s="220">
        <v>10</v>
      </c>
      <c r="L113" s="221" t="s">
        <v>156</v>
      </c>
      <c r="M113" s="259" t="s">
        <v>157</v>
      </c>
      <c r="N113" s="223">
        <v>0</v>
      </c>
      <c r="O113" s="223">
        <v>0</v>
      </c>
      <c r="P113" s="224" t="e">
        <f t="shared" si="65"/>
        <v>#DIV/0!</v>
      </c>
      <c r="Q113" s="222">
        <v>0</v>
      </c>
      <c r="R113" s="224" t="e">
        <f t="shared" si="65"/>
        <v>#DIV/0!</v>
      </c>
      <c r="S113" s="222">
        <v>0</v>
      </c>
      <c r="T113" s="224" t="e">
        <f t="shared" ref="T113" si="107">+S113/$N113</f>
        <v>#DIV/0!</v>
      </c>
    </row>
    <row r="114" spans="1:20" ht="24.95" customHeight="1" thickBot="1">
      <c r="A114" s="32" t="s">
        <v>433</v>
      </c>
      <c r="B114" s="217" t="s">
        <v>434</v>
      </c>
      <c r="C114" s="218" t="s">
        <v>23</v>
      </c>
      <c r="D114" s="219" t="s">
        <v>148</v>
      </c>
      <c r="E114" s="219" t="s">
        <v>136</v>
      </c>
      <c r="F114" s="219" t="s">
        <v>25</v>
      </c>
      <c r="G114" s="219"/>
      <c r="H114" s="219"/>
      <c r="I114" s="219"/>
      <c r="J114" s="219"/>
      <c r="K114" s="220" t="s">
        <v>144</v>
      </c>
      <c r="L114" s="221" t="s">
        <v>156</v>
      </c>
      <c r="M114" s="259" t="s">
        <v>157</v>
      </c>
      <c r="N114" s="223">
        <v>5913000000</v>
      </c>
      <c r="O114" s="223">
        <v>0</v>
      </c>
      <c r="P114" s="224">
        <f t="shared" si="65"/>
        <v>0</v>
      </c>
      <c r="Q114" s="222">
        <v>0</v>
      </c>
      <c r="R114" s="224">
        <f t="shared" si="65"/>
        <v>0</v>
      </c>
      <c r="S114" s="222">
        <v>0</v>
      </c>
      <c r="T114" s="224">
        <f t="shared" ref="T114" si="108">+S114/$N114</f>
        <v>0</v>
      </c>
    </row>
    <row r="115" spans="1:20" ht="35.1" customHeight="1" thickBot="1">
      <c r="A115" s="32" t="s">
        <v>435</v>
      </c>
      <c r="B115" s="260" t="s">
        <v>278</v>
      </c>
      <c r="C115" s="261" t="s">
        <v>167</v>
      </c>
      <c r="D115" s="262"/>
      <c r="E115" s="262"/>
      <c r="F115" s="262"/>
      <c r="G115" s="262"/>
      <c r="H115" s="262"/>
      <c r="I115" s="262"/>
      <c r="J115" s="262"/>
      <c r="K115" s="263"/>
      <c r="L115" s="264"/>
      <c r="M115" s="260" t="s">
        <v>168</v>
      </c>
      <c r="N115" s="265">
        <v>5906508633098</v>
      </c>
      <c r="O115" s="265">
        <v>1332016745553.4102</v>
      </c>
      <c r="P115" s="187">
        <f t="shared" si="65"/>
        <v>0.22551676943114179</v>
      </c>
      <c r="Q115" s="265">
        <v>965061865497.70996</v>
      </c>
      <c r="R115" s="187">
        <f t="shared" si="65"/>
        <v>0.16338956318286613</v>
      </c>
      <c r="S115" s="265">
        <v>963144623194.70996</v>
      </c>
      <c r="T115" s="187">
        <f t="shared" ref="T115" si="109">+S115/$N115</f>
        <v>0.16306496494351769</v>
      </c>
    </row>
    <row r="116" spans="1:20" ht="35.1" customHeight="1">
      <c r="A116" s="32" t="s">
        <v>436</v>
      </c>
      <c r="B116" s="188" t="s">
        <v>437</v>
      </c>
      <c r="C116" s="189" t="s">
        <v>167</v>
      </c>
      <c r="D116" s="191">
        <v>4101</v>
      </c>
      <c r="E116" s="191"/>
      <c r="F116" s="191"/>
      <c r="G116" s="191"/>
      <c r="H116" s="191"/>
      <c r="I116" s="191"/>
      <c r="J116" s="191"/>
      <c r="K116" s="192"/>
      <c r="L116" s="193"/>
      <c r="M116" s="188" t="s">
        <v>169</v>
      </c>
      <c r="N116" s="194">
        <v>10248574078</v>
      </c>
      <c r="O116" s="194">
        <v>10248574078</v>
      </c>
      <c r="P116" s="195">
        <f t="shared" si="65"/>
        <v>1</v>
      </c>
      <c r="Q116" s="194">
        <v>6969029577</v>
      </c>
      <c r="R116" s="195">
        <f t="shared" si="65"/>
        <v>0.67999992232675555</v>
      </c>
      <c r="S116" s="194">
        <v>6969029577</v>
      </c>
      <c r="T116" s="195">
        <f t="shared" ref="T116" si="110">+S116/$N116</f>
        <v>0.67999992232675555</v>
      </c>
    </row>
    <row r="117" spans="1:20" ht="24.95" customHeight="1">
      <c r="A117" s="32" t="s">
        <v>438</v>
      </c>
      <c r="B117" s="196" t="s">
        <v>295</v>
      </c>
      <c r="C117" s="197" t="s">
        <v>167</v>
      </c>
      <c r="D117" s="198">
        <v>4101</v>
      </c>
      <c r="E117" s="198">
        <v>1500</v>
      </c>
      <c r="F117" s="198"/>
      <c r="G117" s="198"/>
      <c r="H117" s="198"/>
      <c r="I117" s="198"/>
      <c r="J117" s="198"/>
      <c r="K117" s="199"/>
      <c r="L117" s="200"/>
      <c r="M117" s="196" t="s">
        <v>170</v>
      </c>
      <c r="N117" s="201">
        <v>10248574078</v>
      </c>
      <c r="O117" s="201">
        <v>10248574078</v>
      </c>
      <c r="P117" s="202">
        <f t="shared" si="65"/>
        <v>1</v>
      </c>
      <c r="Q117" s="201">
        <v>6969029577</v>
      </c>
      <c r="R117" s="202">
        <f t="shared" si="65"/>
        <v>0.67999992232675555</v>
      </c>
      <c r="S117" s="201">
        <v>6969029577</v>
      </c>
      <c r="T117" s="202">
        <f t="shared" ref="T117" si="111">+S117/$N117</f>
        <v>0.67999992232675555</v>
      </c>
    </row>
    <row r="118" spans="1:20" ht="36" hidden="1" customHeight="1">
      <c r="A118" s="32" t="s">
        <v>439</v>
      </c>
      <c r="B118" s="203" t="s">
        <v>440</v>
      </c>
      <c r="C118" s="227" t="s">
        <v>167</v>
      </c>
      <c r="D118" s="228" t="s">
        <v>171</v>
      </c>
      <c r="E118" s="228" t="s">
        <v>172</v>
      </c>
      <c r="F118" s="228" t="s">
        <v>261</v>
      </c>
      <c r="G118" s="228"/>
      <c r="H118" s="228"/>
      <c r="I118" s="228"/>
      <c r="J118" s="228"/>
      <c r="K118" s="229"/>
      <c r="L118" s="230"/>
      <c r="M118" s="231" t="s">
        <v>279</v>
      </c>
      <c r="N118" s="232">
        <v>0</v>
      </c>
      <c r="O118" s="232">
        <v>0</v>
      </c>
      <c r="P118" s="233" t="e">
        <f t="shared" si="65"/>
        <v>#DIV/0!</v>
      </c>
      <c r="Q118" s="232">
        <v>0</v>
      </c>
      <c r="R118" s="233" t="e">
        <f t="shared" si="65"/>
        <v>#DIV/0!</v>
      </c>
      <c r="S118" s="232">
        <v>0</v>
      </c>
      <c r="T118" s="233" t="e">
        <f t="shared" ref="T118" si="112">+S118/$N118</f>
        <v>#DIV/0!</v>
      </c>
    </row>
    <row r="119" spans="1:20" ht="24.95" hidden="1" customHeight="1">
      <c r="A119" s="32" t="s">
        <v>630</v>
      </c>
      <c r="B119" s="210" t="s">
        <v>441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176</v>
      </c>
      <c r="I119" s="212"/>
      <c r="J119" s="212"/>
      <c r="K119" s="213">
        <v>11</v>
      </c>
      <c r="L119" s="214" t="s">
        <v>29</v>
      </c>
      <c r="M119" s="210" t="s">
        <v>177</v>
      </c>
      <c r="N119" s="215">
        <v>0</v>
      </c>
      <c r="O119" s="215">
        <v>0</v>
      </c>
      <c r="P119" s="216" t="e">
        <f t="shared" si="65"/>
        <v>#DIV/0!</v>
      </c>
      <c r="Q119" s="215">
        <v>0</v>
      </c>
      <c r="R119" s="216" t="e">
        <f t="shared" si="65"/>
        <v>#DIV/0!</v>
      </c>
      <c r="S119" s="215">
        <v>0</v>
      </c>
      <c r="T119" s="216" t="e">
        <f t="shared" ref="T119" si="113">+S119/$N119</f>
        <v>#DIV/0!</v>
      </c>
    </row>
    <row r="120" spans="1:20" ht="24.95" hidden="1" customHeight="1">
      <c r="A120" s="32" t="s">
        <v>631</v>
      </c>
      <c r="B120" s="217" t="s">
        <v>442</v>
      </c>
      <c r="C120" s="218" t="s">
        <v>167</v>
      </c>
      <c r="D120" s="219" t="s">
        <v>171</v>
      </c>
      <c r="E120" s="219" t="s">
        <v>172</v>
      </c>
      <c r="F120" s="219" t="s">
        <v>261</v>
      </c>
      <c r="G120" s="219" t="s">
        <v>175</v>
      </c>
      <c r="H120" s="219" t="s">
        <v>176</v>
      </c>
      <c r="I120" s="219" t="s">
        <v>54</v>
      </c>
      <c r="J120" s="219"/>
      <c r="K120" s="220">
        <v>11</v>
      </c>
      <c r="L120" s="221" t="s">
        <v>29</v>
      </c>
      <c r="M120" s="217" t="s">
        <v>178</v>
      </c>
      <c r="N120" s="222">
        <v>0</v>
      </c>
      <c r="O120" s="222"/>
      <c r="P120" s="224" t="e">
        <f t="shared" si="65"/>
        <v>#DIV/0!</v>
      </c>
      <c r="Q120" s="222"/>
      <c r="R120" s="224" t="e">
        <f t="shared" si="65"/>
        <v>#DIV/0!</v>
      </c>
      <c r="S120" s="222"/>
      <c r="T120" s="224" t="e">
        <f t="shared" ref="T120" si="114">+S120/$N120</f>
        <v>#DIV/0!</v>
      </c>
    </row>
    <row r="121" spans="1:20" ht="31.5" hidden="1" customHeight="1">
      <c r="A121" s="32" t="s">
        <v>632</v>
      </c>
      <c r="B121" s="210" t="s">
        <v>443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179</v>
      </c>
      <c r="I121" s="212"/>
      <c r="J121" s="212"/>
      <c r="K121" s="213">
        <v>11</v>
      </c>
      <c r="L121" s="214" t="s">
        <v>29</v>
      </c>
      <c r="M121" s="210" t="s">
        <v>180</v>
      </c>
      <c r="N121" s="215">
        <v>0</v>
      </c>
      <c r="O121" s="215">
        <v>0</v>
      </c>
      <c r="P121" s="216" t="e">
        <f t="shared" si="65"/>
        <v>#DIV/0!</v>
      </c>
      <c r="Q121" s="215">
        <v>0</v>
      </c>
      <c r="R121" s="216" t="e">
        <f t="shared" si="65"/>
        <v>#DIV/0!</v>
      </c>
      <c r="S121" s="215">
        <v>0</v>
      </c>
      <c r="T121" s="216" t="e">
        <f t="shared" ref="T121" si="115">+S121/$N121</f>
        <v>#DIV/0!</v>
      </c>
    </row>
    <row r="122" spans="1:20" ht="24.95" hidden="1" customHeight="1">
      <c r="A122" s="32" t="s">
        <v>633</v>
      </c>
      <c r="B122" s="217" t="s">
        <v>444</v>
      </c>
      <c r="C122" s="218" t="s">
        <v>167</v>
      </c>
      <c r="D122" s="219" t="s">
        <v>171</v>
      </c>
      <c r="E122" s="219" t="s">
        <v>172</v>
      </c>
      <c r="F122" s="219">
        <v>5</v>
      </c>
      <c r="G122" s="219" t="s">
        <v>175</v>
      </c>
      <c r="H122" s="219" t="s">
        <v>179</v>
      </c>
      <c r="I122" s="219" t="s">
        <v>54</v>
      </c>
      <c r="J122" s="219"/>
      <c r="K122" s="220">
        <v>11</v>
      </c>
      <c r="L122" s="221" t="s">
        <v>29</v>
      </c>
      <c r="M122" s="259" t="s">
        <v>178</v>
      </c>
      <c r="N122" s="222">
        <v>0</v>
      </c>
      <c r="O122" s="222"/>
      <c r="P122" s="224" t="e">
        <f t="shared" si="65"/>
        <v>#DIV/0!</v>
      </c>
      <c r="Q122" s="222"/>
      <c r="R122" s="224" t="e">
        <f t="shared" si="65"/>
        <v>#DIV/0!</v>
      </c>
      <c r="S122" s="222"/>
      <c r="T122" s="224" t="e">
        <f t="shared" ref="T122" si="116">+S122/$N122</f>
        <v>#DIV/0!</v>
      </c>
    </row>
    <row r="123" spans="1:20" ht="31.5" hidden="1" customHeight="1">
      <c r="A123" s="32" t="s">
        <v>634</v>
      </c>
      <c r="B123" s="210" t="s">
        <v>445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181</v>
      </c>
      <c r="I123" s="212"/>
      <c r="J123" s="212"/>
      <c r="K123" s="213">
        <v>11</v>
      </c>
      <c r="L123" s="214" t="s">
        <v>29</v>
      </c>
      <c r="M123" s="210" t="s">
        <v>182</v>
      </c>
      <c r="N123" s="215">
        <v>0</v>
      </c>
      <c r="O123" s="215">
        <v>0</v>
      </c>
      <c r="P123" s="216" t="e">
        <f t="shared" si="65"/>
        <v>#DIV/0!</v>
      </c>
      <c r="Q123" s="215">
        <v>0</v>
      </c>
      <c r="R123" s="216" t="e">
        <f t="shared" si="65"/>
        <v>#DIV/0!</v>
      </c>
      <c r="S123" s="215">
        <v>0</v>
      </c>
      <c r="T123" s="216" t="e">
        <f t="shared" ref="T123" si="117">+S123/$N123</f>
        <v>#DIV/0!</v>
      </c>
    </row>
    <row r="124" spans="1:20" ht="24.95" hidden="1" customHeight="1">
      <c r="A124" s="32" t="s">
        <v>635</v>
      </c>
      <c r="B124" s="217" t="s">
        <v>446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181</v>
      </c>
      <c r="I124" s="225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0</v>
      </c>
      <c r="O124" s="222"/>
      <c r="P124" s="224" t="e">
        <f t="shared" si="65"/>
        <v>#DIV/0!</v>
      </c>
      <c r="Q124" s="222"/>
      <c r="R124" s="224" t="e">
        <f t="shared" si="65"/>
        <v>#DIV/0!</v>
      </c>
      <c r="S124" s="222"/>
      <c r="T124" s="224" t="e">
        <f t="shared" ref="T124" si="118">+S124/$N124</f>
        <v>#DIV/0!</v>
      </c>
    </row>
    <row r="125" spans="1:20" ht="31.5" hidden="1" customHeight="1">
      <c r="A125" s="32" t="s">
        <v>636</v>
      </c>
      <c r="B125" s="210" t="s">
        <v>447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183</v>
      </c>
      <c r="I125" s="212"/>
      <c r="J125" s="212"/>
      <c r="K125" s="213">
        <v>11</v>
      </c>
      <c r="L125" s="214" t="s">
        <v>29</v>
      </c>
      <c r="M125" s="210" t="s">
        <v>184</v>
      </c>
      <c r="N125" s="215">
        <v>0</v>
      </c>
      <c r="O125" s="215">
        <v>0</v>
      </c>
      <c r="P125" s="216" t="e">
        <f t="shared" si="65"/>
        <v>#DIV/0!</v>
      </c>
      <c r="Q125" s="215">
        <v>0</v>
      </c>
      <c r="R125" s="216" t="e">
        <f t="shared" si="65"/>
        <v>#DIV/0!</v>
      </c>
      <c r="S125" s="215">
        <v>0</v>
      </c>
      <c r="T125" s="216" t="e">
        <f t="shared" ref="T125" si="119">+S125/$N125</f>
        <v>#DIV/0!</v>
      </c>
    </row>
    <row r="126" spans="1:20" ht="24.95" hidden="1" customHeight="1">
      <c r="A126" s="32" t="s">
        <v>637</v>
      </c>
      <c r="B126" s="217" t="s">
        <v>448</v>
      </c>
      <c r="C126" s="218" t="s">
        <v>167</v>
      </c>
      <c r="D126" s="219" t="s">
        <v>171</v>
      </c>
      <c r="E126" s="219" t="s">
        <v>172</v>
      </c>
      <c r="F126" s="219" t="s">
        <v>261</v>
      </c>
      <c r="G126" s="219" t="s">
        <v>175</v>
      </c>
      <c r="H126" s="219" t="s">
        <v>183</v>
      </c>
      <c r="I126" s="219" t="s">
        <v>54</v>
      </c>
      <c r="J126" s="219"/>
      <c r="K126" s="220">
        <v>11</v>
      </c>
      <c r="L126" s="221" t="s">
        <v>29</v>
      </c>
      <c r="M126" s="217" t="s">
        <v>178</v>
      </c>
      <c r="N126" s="223">
        <v>0</v>
      </c>
      <c r="O126" s="222"/>
      <c r="P126" s="224" t="e">
        <f t="shared" si="65"/>
        <v>#DIV/0!</v>
      </c>
      <c r="Q126" s="222"/>
      <c r="R126" s="224" t="e">
        <f t="shared" si="65"/>
        <v>#DIV/0!</v>
      </c>
      <c r="S126" s="222"/>
      <c r="T126" s="224" t="e">
        <f t="shared" ref="T126" si="120">+S126/$N126</f>
        <v>#DIV/0!</v>
      </c>
    </row>
    <row r="127" spans="1:20" ht="24.95" hidden="1" customHeight="1">
      <c r="A127" s="32" t="s">
        <v>638</v>
      </c>
      <c r="B127" s="210" t="s">
        <v>449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185</v>
      </c>
      <c r="I127" s="212"/>
      <c r="J127" s="212"/>
      <c r="K127" s="213">
        <v>11</v>
      </c>
      <c r="L127" s="214" t="s">
        <v>29</v>
      </c>
      <c r="M127" s="210" t="s">
        <v>186</v>
      </c>
      <c r="N127" s="215">
        <v>0</v>
      </c>
      <c r="O127" s="215">
        <v>0</v>
      </c>
      <c r="P127" s="216" t="e">
        <f t="shared" si="65"/>
        <v>#DIV/0!</v>
      </c>
      <c r="Q127" s="215">
        <v>0</v>
      </c>
      <c r="R127" s="216" t="e">
        <f t="shared" si="65"/>
        <v>#DIV/0!</v>
      </c>
      <c r="S127" s="215">
        <v>0</v>
      </c>
      <c r="T127" s="216" t="e">
        <f t="shared" ref="T127" si="121">+S127/$N127</f>
        <v>#DIV/0!</v>
      </c>
    </row>
    <row r="128" spans="1:20" ht="24.95" hidden="1" customHeight="1">
      <c r="A128" s="32" t="s">
        <v>639</v>
      </c>
      <c r="B128" s="217" t="s">
        <v>450</v>
      </c>
      <c r="C128" s="218" t="s">
        <v>167</v>
      </c>
      <c r="D128" s="219" t="s">
        <v>171</v>
      </c>
      <c r="E128" s="219" t="s">
        <v>172</v>
      </c>
      <c r="F128" s="219">
        <v>5</v>
      </c>
      <c r="G128" s="219" t="s">
        <v>175</v>
      </c>
      <c r="H128" s="219" t="s">
        <v>185</v>
      </c>
      <c r="I128" s="219" t="s">
        <v>54</v>
      </c>
      <c r="J128" s="219"/>
      <c r="K128" s="220">
        <v>11</v>
      </c>
      <c r="L128" s="221" t="s">
        <v>29</v>
      </c>
      <c r="M128" s="259" t="s">
        <v>178</v>
      </c>
      <c r="N128" s="222">
        <v>0</v>
      </c>
      <c r="O128" s="222"/>
      <c r="P128" s="224" t="e">
        <f t="shared" si="65"/>
        <v>#DIV/0!</v>
      </c>
      <c r="Q128" s="222"/>
      <c r="R128" s="224" t="e">
        <f t="shared" si="65"/>
        <v>#DIV/0!</v>
      </c>
      <c r="S128" s="222"/>
      <c r="T128" s="224" t="e">
        <f t="shared" ref="T128" si="122">+S128/$N128</f>
        <v>#DIV/0!</v>
      </c>
    </row>
    <row r="129" spans="1:20" ht="31.5" hidden="1" customHeight="1">
      <c r="A129" s="32" t="s">
        <v>640</v>
      </c>
      <c r="B129" s="210" t="s">
        <v>451</v>
      </c>
      <c r="C129" s="211" t="s">
        <v>167</v>
      </c>
      <c r="D129" s="212" t="s">
        <v>171</v>
      </c>
      <c r="E129" s="212" t="s">
        <v>172</v>
      </c>
      <c r="F129" s="212" t="s">
        <v>261</v>
      </c>
      <c r="G129" s="212" t="s">
        <v>175</v>
      </c>
      <c r="H129" s="212" t="s">
        <v>187</v>
      </c>
      <c r="I129" s="212"/>
      <c r="J129" s="212"/>
      <c r="K129" s="213">
        <v>11</v>
      </c>
      <c r="L129" s="214" t="s">
        <v>29</v>
      </c>
      <c r="M129" s="210" t="s">
        <v>188</v>
      </c>
      <c r="N129" s="215">
        <v>0</v>
      </c>
      <c r="O129" s="215">
        <v>0</v>
      </c>
      <c r="P129" s="216" t="e">
        <f t="shared" si="65"/>
        <v>#DIV/0!</v>
      </c>
      <c r="Q129" s="215">
        <v>0</v>
      </c>
      <c r="R129" s="216" t="e">
        <f t="shared" si="65"/>
        <v>#DIV/0!</v>
      </c>
      <c r="S129" s="215">
        <v>0</v>
      </c>
      <c r="T129" s="216" t="e">
        <f t="shared" ref="T129" si="123">+S129/$N129</f>
        <v>#DIV/0!</v>
      </c>
    </row>
    <row r="130" spans="1:20" ht="24.95" hidden="1" customHeight="1">
      <c r="A130" s="32" t="s">
        <v>641</v>
      </c>
      <c r="B130" s="217" t="s">
        <v>452</v>
      </c>
      <c r="C130" s="218" t="s">
        <v>167</v>
      </c>
      <c r="D130" s="219" t="s">
        <v>171</v>
      </c>
      <c r="E130" s="219" t="s">
        <v>172</v>
      </c>
      <c r="F130" s="219" t="s">
        <v>261</v>
      </c>
      <c r="G130" s="219" t="s">
        <v>175</v>
      </c>
      <c r="H130" s="219" t="s">
        <v>187</v>
      </c>
      <c r="I130" s="219" t="s">
        <v>54</v>
      </c>
      <c r="J130" s="219"/>
      <c r="K130" s="220">
        <v>11</v>
      </c>
      <c r="L130" s="221" t="s">
        <v>29</v>
      </c>
      <c r="M130" s="217" t="s">
        <v>178</v>
      </c>
      <c r="N130" s="222">
        <v>0</v>
      </c>
      <c r="O130" s="222"/>
      <c r="P130" s="224" t="e">
        <f t="shared" si="65"/>
        <v>#DIV/0!</v>
      </c>
      <c r="Q130" s="222"/>
      <c r="R130" s="224" t="e">
        <f t="shared" si="65"/>
        <v>#DIV/0!</v>
      </c>
      <c r="S130" s="222"/>
      <c r="T130" s="224" t="e">
        <f t="shared" ref="T130" si="124">+S130/$N130</f>
        <v>#DIV/0!</v>
      </c>
    </row>
    <row r="131" spans="1:20" ht="60.75" customHeight="1">
      <c r="A131" s="32" t="s">
        <v>453</v>
      </c>
      <c r="B131" s="226" t="s">
        <v>454</v>
      </c>
      <c r="C131" s="227" t="s">
        <v>167</v>
      </c>
      <c r="D131" s="228" t="s">
        <v>171</v>
      </c>
      <c r="E131" s="228" t="s">
        <v>172</v>
      </c>
      <c r="F131" s="228" t="s">
        <v>173</v>
      </c>
      <c r="G131" s="228"/>
      <c r="H131" s="228"/>
      <c r="I131" s="228"/>
      <c r="J131" s="228"/>
      <c r="K131" s="229"/>
      <c r="L131" s="230"/>
      <c r="M131" s="231" t="s">
        <v>174</v>
      </c>
      <c r="N131" s="232">
        <v>10248574078</v>
      </c>
      <c r="O131" s="232">
        <v>10248574078</v>
      </c>
      <c r="P131" s="233">
        <f t="shared" si="65"/>
        <v>1</v>
      </c>
      <c r="Q131" s="232">
        <v>6969029577</v>
      </c>
      <c r="R131" s="233">
        <f t="shared" si="65"/>
        <v>0.67999992232675555</v>
      </c>
      <c r="S131" s="232">
        <v>6969029577</v>
      </c>
      <c r="T131" s="233">
        <f t="shared" ref="T131" si="125">+S131/$N131</f>
        <v>0.67999992232675555</v>
      </c>
    </row>
    <row r="132" spans="1:20" ht="24.95" customHeight="1">
      <c r="A132" s="32" t="s">
        <v>455</v>
      </c>
      <c r="B132" s="210" t="s">
        <v>456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176</v>
      </c>
      <c r="I132" s="212"/>
      <c r="J132" s="212"/>
      <c r="K132" s="213" t="s">
        <v>144</v>
      </c>
      <c r="L132" s="214" t="s">
        <v>29</v>
      </c>
      <c r="M132" s="210" t="s">
        <v>177</v>
      </c>
      <c r="N132" s="215">
        <v>1189683575</v>
      </c>
      <c r="O132" s="215">
        <v>1189683575</v>
      </c>
      <c r="P132" s="216">
        <f t="shared" si="65"/>
        <v>1</v>
      </c>
      <c r="Q132" s="215">
        <v>1189683575</v>
      </c>
      <c r="R132" s="216">
        <f t="shared" si="65"/>
        <v>1</v>
      </c>
      <c r="S132" s="215">
        <v>1189683575</v>
      </c>
      <c r="T132" s="216">
        <f t="shared" ref="T132" si="126">+S132/$N132</f>
        <v>1</v>
      </c>
    </row>
    <row r="133" spans="1:20" ht="24.95" customHeight="1">
      <c r="A133" s="32" t="s">
        <v>457</v>
      </c>
      <c r="B133" s="217" t="s">
        <v>458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176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1189683575</v>
      </c>
      <c r="O133" s="222">
        <v>1189683575</v>
      </c>
      <c r="P133" s="224">
        <f t="shared" si="65"/>
        <v>1</v>
      </c>
      <c r="Q133" s="222">
        <v>1189683575</v>
      </c>
      <c r="R133" s="224">
        <f t="shared" si="65"/>
        <v>1</v>
      </c>
      <c r="S133" s="222">
        <v>1189683575</v>
      </c>
      <c r="T133" s="224">
        <f t="shared" ref="T133" si="127">+S133/$N133</f>
        <v>1</v>
      </c>
    </row>
    <row r="134" spans="1:20" ht="31.5" customHeight="1">
      <c r="A134" s="32" t="s">
        <v>459</v>
      </c>
      <c r="B134" s="210" t="s">
        <v>460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179</v>
      </c>
      <c r="I134" s="212"/>
      <c r="J134" s="212"/>
      <c r="K134" s="213" t="s">
        <v>144</v>
      </c>
      <c r="L134" s="214" t="s">
        <v>29</v>
      </c>
      <c r="M134" s="210" t="s">
        <v>180</v>
      </c>
      <c r="N134" s="215">
        <v>115014864</v>
      </c>
      <c r="O134" s="215">
        <v>115014864</v>
      </c>
      <c r="P134" s="216">
        <f t="shared" si="65"/>
        <v>1</v>
      </c>
      <c r="Q134" s="215">
        <v>115014864</v>
      </c>
      <c r="R134" s="216">
        <f t="shared" si="65"/>
        <v>1</v>
      </c>
      <c r="S134" s="215">
        <v>115014864</v>
      </c>
      <c r="T134" s="216">
        <f t="shared" ref="T134" si="128">+S134/$N134</f>
        <v>1</v>
      </c>
    </row>
    <row r="135" spans="1:20" ht="24.95" customHeight="1">
      <c r="A135" s="32" t="s">
        <v>461</v>
      </c>
      <c r="B135" s="217" t="s">
        <v>462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179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115014864</v>
      </c>
      <c r="O135" s="222">
        <v>115014864</v>
      </c>
      <c r="P135" s="224">
        <f t="shared" si="65"/>
        <v>1</v>
      </c>
      <c r="Q135" s="222">
        <v>115014864</v>
      </c>
      <c r="R135" s="224">
        <f t="shared" si="65"/>
        <v>1</v>
      </c>
      <c r="S135" s="222">
        <v>115014864</v>
      </c>
      <c r="T135" s="224">
        <f t="shared" ref="T135" si="129">+S135/$N135</f>
        <v>1</v>
      </c>
    </row>
    <row r="136" spans="1:20" ht="31.5" customHeight="1">
      <c r="A136" s="32" t="s">
        <v>463</v>
      </c>
      <c r="B136" s="210" t="s">
        <v>464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181</v>
      </c>
      <c r="I136" s="212"/>
      <c r="J136" s="212"/>
      <c r="K136" s="213" t="s">
        <v>144</v>
      </c>
      <c r="L136" s="214" t="s">
        <v>29</v>
      </c>
      <c r="M136" s="210" t="s">
        <v>182</v>
      </c>
      <c r="N136" s="215">
        <v>0</v>
      </c>
      <c r="O136" s="215">
        <v>0</v>
      </c>
      <c r="P136" s="216" t="e">
        <f t="shared" ref="P136:R199" si="130">+O136/$N136</f>
        <v>#DIV/0!</v>
      </c>
      <c r="Q136" s="215">
        <v>0</v>
      </c>
      <c r="R136" s="216" t="e">
        <f t="shared" si="130"/>
        <v>#DIV/0!</v>
      </c>
      <c r="S136" s="215">
        <v>0</v>
      </c>
      <c r="T136" s="216" t="e">
        <f t="shared" ref="T136" si="131">+S136/$N136</f>
        <v>#DIV/0!</v>
      </c>
    </row>
    <row r="137" spans="1:20" ht="24.95" customHeight="1">
      <c r="A137" s="32" t="s">
        <v>465</v>
      </c>
      <c r="B137" s="217" t="s">
        <v>466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181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0</v>
      </c>
      <c r="O137" s="222"/>
      <c r="P137" s="224" t="e">
        <f t="shared" si="130"/>
        <v>#DIV/0!</v>
      </c>
      <c r="Q137" s="222"/>
      <c r="R137" s="224" t="e">
        <f t="shared" si="130"/>
        <v>#DIV/0!</v>
      </c>
      <c r="S137" s="222"/>
      <c r="T137" s="224" t="e">
        <f t="shared" ref="T137" si="132">+S137/$N137</f>
        <v>#DIV/0!</v>
      </c>
    </row>
    <row r="138" spans="1:20" ht="31.5" customHeight="1">
      <c r="A138" s="32" t="s">
        <v>467</v>
      </c>
      <c r="B138" s="210" t="s">
        <v>468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183</v>
      </c>
      <c r="I138" s="212"/>
      <c r="J138" s="212"/>
      <c r="K138" s="213" t="s">
        <v>144</v>
      </c>
      <c r="L138" s="214" t="s">
        <v>29</v>
      </c>
      <c r="M138" s="210" t="s">
        <v>184</v>
      </c>
      <c r="N138" s="215">
        <v>0</v>
      </c>
      <c r="O138" s="215">
        <v>0</v>
      </c>
      <c r="P138" s="216" t="e">
        <f t="shared" si="130"/>
        <v>#DIV/0!</v>
      </c>
      <c r="Q138" s="215">
        <v>0</v>
      </c>
      <c r="R138" s="216" t="e">
        <f t="shared" si="130"/>
        <v>#DIV/0!</v>
      </c>
      <c r="S138" s="215">
        <v>0</v>
      </c>
      <c r="T138" s="216" t="e">
        <f t="shared" ref="T138" si="133">+S138/$N138</f>
        <v>#DIV/0!</v>
      </c>
    </row>
    <row r="139" spans="1:20" ht="24.95" customHeight="1">
      <c r="A139" s="32" t="s">
        <v>469</v>
      </c>
      <c r="B139" s="217" t="s">
        <v>470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183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0</v>
      </c>
      <c r="O139" s="222">
        <v>0</v>
      </c>
      <c r="P139" s="224" t="e">
        <f t="shared" si="130"/>
        <v>#DIV/0!</v>
      </c>
      <c r="Q139" s="222">
        <v>0</v>
      </c>
      <c r="R139" s="224" t="e">
        <f t="shared" si="130"/>
        <v>#DIV/0!</v>
      </c>
      <c r="S139" s="222">
        <v>0</v>
      </c>
      <c r="T139" s="224" t="e">
        <f t="shared" ref="T139" si="134">+S139/$N139</f>
        <v>#DIV/0!</v>
      </c>
    </row>
    <row r="140" spans="1:20" ht="24.95" customHeight="1">
      <c r="A140" s="32" t="s">
        <v>471</v>
      </c>
      <c r="B140" s="210" t="s">
        <v>472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185</v>
      </c>
      <c r="I140" s="212"/>
      <c r="J140" s="212"/>
      <c r="K140" s="213" t="s">
        <v>144</v>
      </c>
      <c r="L140" s="214" t="s">
        <v>29</v>
      </c>
      <c r="M140" s="210" t="s">
        <v>186</v>
      </c>
      <c r="N140" s="215">
        <v>8943875639</v>
      </c>
      <c r="O140" s="215">
        <v>8943875639</v>
      </c>
      <c r="P140" s="216">
        <f t="shared" si="130"/>
        <v>1</v>
      </c>
      <c r="Q140" s="215">
        <v>5664331138</v>
      </c>
      <c r="R140" s="216">
        <f t="shared" si="130"/>
        <v>0.63331953245196504</v>
      </c>
      <c r="S140" s="215">
        <v>5664331138</v>
      </c>
      <c r="T140" s="216">
        <f t="shared" ref="T140" si="135">+S140/$N140</f>
        <v>0.63331953245196504</v>
      </c>
    </row>
    <row r="141" spans="1:20" ht="24.95" customHeight="1">
      <c r="A141" s="32" t="s">
        <v>473</v>
      </c>
      <c r="B141" s="217" t="s">
        <v>474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185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8943875639</v>
      </c>
      <c r="O141" s="222">
        <v>8943875639</v>
      </c>
      <c r="P141" s="224">
        <f t="shared" si="130"/>
        <v>1</v>
      </c>
      <c r="Q141" s="222">
        <v>5664331138</v>
      </c>
      <c r="R141" s="224">
        <f t="shared" si="130"/>
        <v>0.63331953245196504</v>
      </c>
      <c r="S141" s="222">
        <v>5664331138</v>
      </c>
      <c r="T141" s="224">
        <f t="shared" ref="T141" si="136">+S141/$N141</f>
        <v>0.63331953245196504</v>
      </c>
    </row>
    <row r="142" spans="1:20" ht="31.5" customHeight="1">
      <c r="A142" s="32" t="s">
        <v>475</v>
      </c>
      <c r="B142" s="210" t="s">
        <v>476</v>
      </c>
      <c r="C142" s="211" t="s">
        <v>167</v>
      </c>
      <c r="D142" s="212" t="s">
        <v>171</v>
      </c>
      <c r="E142" s="212" t="s">
        <v>172</v>
      </c>
      <c r="F142" s="212" t="s">
        <v>173</v>
      </c>
      <c r="G142" s="212" t="s">
        <v>175</v>
      </c>
      <c r="H142" s="212" t="s">
        <v>187</v>
      </c>
      <c r="I142" s="212"/>
      <c r="J142" s="212"/>
      <c r="K142" s="213" t="s">
        <v>144</v>
      </c>
      <c r="L142" s="214" t="s">
        <v>29</v>
      </c>
      <c r="M142" s="210" t="s">
        <v>188</v>
      </c>
      <c r="N142" s="215">
        <v>0</v>
      </c>
      <c r="O142" s="215">
        <v>0</v>
      </c>
      <c r="P142" s="216" t="e">
        <f t="shared" si="130"/>
        <v>#DIV/0!</v>
      </c>
      <c r="Q142" s="215">
        <v>0</v>
      </c>
      <c r="R142" s="216" t="e">
        <f t="shared" si="130"/>
        <v>#DIV/0!</v>
      </c>
      <c r="S142" s="215">
        <v>0</v>
      </c>
      <c r="T142" s="216" t="e">
        <f t="shared" ref="T142" si="137">+S142/$N142</f>
        <v>#DIV/0!</v>
      </c>
    </row>
    <row r="143" spans="1:20" ht="24.95" customHeight="1">
      <c r="A143" s="32" t="s">
        <v>477</v>
      </c>
      <c r="B143" s="217" t="s">
        <v>478</v>
      </c>
      <c r="C143" s="218" t="s">
        <v>167</v>
      </c>
      <c r="D143" s="219" t="s">
        <v>171</v>
      </c>
      <c r="E143" s="219" t="s">
        <v>172</v>
      </c>
      <c r="F143" s="219" t="s">
        <v>173</v>
      </c>
      <c r="G143" s="219" t="s">
        <v>175</v>
      </c>
      <c r="H143" s="219" t="s">
        <v>187</v>
      </c>
      <c r="I143" s="219" t="s">
        <v>54</v>
      </c>
      <c r="J143" s="219"/>
      <c r="K143" s="220" t="s">
        <v>144</v>
      </c>
      <c r="L143" s="221" t="s">
        <v>29</v>
      </c>
      <c r="M143" s="259" t="s">
        <v>178</v>
      </c>
      <c r="N143" s="222">
        <v>0</v>
      </c>
      <c r="O143" s="222">
        <v>0</v>
      </c>
      <c r="P143" s="224" t="e">
        <f t="shared" si="130"/>
        <v>#DIV/0!</v>
      </c>
      <c r="Q143" s="222">
        <v>0</v>
      </c>
      <c r="R143" s="224" t="e">
        <f t="shared" si="130"/>
        <v>#DIV/0!</v>
      </c>
      <c r="S143" s="222">
        <v>0</v>
      </c>
      <c r="T143" s="224" t="e">
        <f t="shared" ref="T143" si="138">+S143/$N143</f>
        <v>#DIV/0!</v>
      </c>
    </row>
    <row r="144" spans="1:20" ht="24.95" customHeight="1">
      <c r="A144" s="32" t="s">
        <v>479</v>
      </c>
      <c r="B144" s="217" t="s">
        <v>480</v>
      </c>
      <c r="C144" s="218" t="s">
        <v>167</v>
      </c>
      <c r="D144" s="219" t="s">
        <v>171</v>
      </c>
      <c r="E144" s="219" t="s">
        <v>172</v>
      </c>
      <c r="F144" s="219" t="s">
        <v>173</v>
      </c>
      <c r="G144" s="219" t="s">
        <v>175</v>
      </c>
      <c r="H144" s="219" t="s">
        <v>187</v>
      </c>
      <c r="I144" s="225" t="s">
        <v>65</v>
      </c>
      <c r="J144" s="219"/>
      <c r="K144" s="220" t="s">
        <v>144</v>
      </c>
      <c r="L144" s="221" t="s">
        <v>29</v>
      </c>
      <c r="M144" s="259" t="s">
        <v>127</v>
      </c>
      <c r="N144" s="222">
        <v>0</v>
      </c>
      <c r="O144" s="222">
        <v>0</v>
      </c>
      <c r="P144" s="224" t="e">
        <f t="shared" si="130"/>
        <v>#DIV/0!</v>
      </c>
      <c r="Q144" s="222">
        <v>0</v>
      </c>
      <c r="R144" s="224" t="e">
        <f t="shared" si="130"/>
        <v>#DIV/0!</v>
      </c>
      <c r="S144" s="222">
        <v>0</v>
      </c>
      <c r="T144" s="224" t="e">
        <f t="shared" ref="T144" si="139">+S144/$N144</f>
        <v>#DIV/0!</v>
      </c>
    </row>
    <row r="145" spans="1:43" ht="35.1" customHeight="1">
      <c r="A145" s="32" t="s">
        <v>481</v>
      </c>
      <c r="B145" s="188" t="s">
        <v>482</v>
      </c>
      <c r="C145" s="189" t="s">
        <v>167</v>
      </c>
      <c r="D145" s="191">
        <v>4103</v>
      </c>
      <c r="E145" s="191"/>
      <c r="F145" s="191"/>
      <c r="G145" s="191"/>
      <c r="H145" s="191"/>
      <c r="I145" s="191"/>
      <c r="J145" s="191"/>
      <c r="K145" s="192"/>
      <c r="L145" s="193"/>
      <c r="M145" s="188" t="s">
        <v>189</v>
      </c>
      <c r="N145" s="194">
        <v>5893033510554</v>
      </c>
      <c r="O145" s="194">
        <v>1321185225066.4102</v>
      </c>
      <c r="P145" s="195">
        <f t="shared" si="130"/>
        <v>0.22419441917312405</v>
      </c>
      <c r="Q145" s="194">
        <v>957509889511.70996</v>
      </c>
      <c r="R145" s="195">
        <f t="shared" si="130"/>
        <v>0.16248166378095058</v>
      </c>
      <c r="S145" s="194">
        <v>955592647208.70996</v>
      </c>
      <c r="T145" s="195">
        <f t="shared" ref="T145" si="140">+S145/$N145</f>
        <v>0.16215632330909235</v>
      </c>
    </row>
    <row r="146" spans="1:43" ht="24.95" customHeight="1">
      <c r="A146" s="32" t="s">
        <v>483</v>
      </c>
      <c r="B146" s="196" t="s">
        <v>296</v>
      </c>
      <c r="C146" s="197" t="s">
        <v>167</v>
      </c>
      <c r="D146" s="198">
        <v>4103</v>
      </c>
      <c r="E146" s="198">
        <v>1500</v>
      </c>
      <c r="F146" s="198"/>
      <c r="G146" s="198"/>
      <c r="H146" s="198"/>
      <c r="I146" s="198"/>
      <c r="J146" s="198"/>
      <c r="K146" s="199"/>
      <c r="L146" s="200"/>
      <c r="M146" s="196" t="s">
        <v>170</v>
      </c>
      <c r="N146" s="201">
        <v>5893033510554</v>
      </c>
      <c r="O146" s="201">
        <v>1321185225066.4102</v>
      </c>
      <c r="P146" s="202">
        <f t="shared" si="130"/>
        <v>0.22419441917312405</v>
      </c>
      <c r="Q146" s="201">
        <v>957509889511.70996</v>
      </c>
      <c r="R146" s="202">
        <f t="shared" si="130"/>
        <v>0.16248166378095058</v>
      </c>
      <c r="S146" s="201">
        <v>955592647208.70996</v>
      </c>
      <c r="T146" s="202">
        <f t="shared" ref="T146" si="141">+S146/$N146</f>
        <v>0.16215632330909235</v>
      </c>
    </row>
    <row r="147" spans="1:43" ht="37.5" customHeight="1">
      <c r="A147" s="32" t="s">
        <v>484</v>
      </c>
      <c r="B147" s="203" t="s">
        <v>297</v>
      </c>
      <c r="C147" s="227" t="s">
        <v>167</v>
      </c>
      <c r="D147" s="228" t="s">
        <v>190</v>
      </c>
      <c r="E147" s="228" t="s">
        <v>172</v>
      </c>
      <c r="F147" s="228" t="s">
        <v>191</v>
      </c>
      <c r="G147" s="228"/>
      <c r="H147" s="228"/>
      <c r="I147" s="228"/>
      <c r="J147" s="228"/>
      <c r="K147" s="229"/>
      <c r="L147" s="230"/>
      <c r="M147" s="231" t="s">
        <v>280</v>
      </c>
      <c r="N147" s="232">
        <v>2404147573733</v>
      </c>
      <c r="O147" s="232">
        <v>508720760160.12</v>
      </c>
      <c r="P147" s="233">
        <f t="shared" si="130"/>
        <v>0.21160130339678454</v>
      </c>
      <c r="Q147" s="232">
        <v>444536162133.35999</v>
      </c>
      <c r="R147" s="233">
        <f t="shared" si="130"/>
        <v>0.18490385822826752</v>
      </c>
      <c r="S147" s="232">
        <v>444310545941.35999</v>
      </c>
      <c r="T147" s="233">
        <f t="shared" ref="T147" si="142">+S147/$N147</f>
        <v>0.18481001365962915</v>
      </c>
    </row>
    <row r="148" spans="1:43" ht="31.5" customHeight="1">
      <c r="A148" s="32" t="s">
        <v>485</v>
      </c>
      <c r="B148" s="210" t="s">
        <v>486</v>
      </c>
      <c r="C148" s="211" t="s">
        <v>167</v>
      </c>
      <c r="D148" s="212" t="s">
        <v>190</v>
      </c>
      <c r="E148" s="212" t="s">
        <v>172</v>
      </c>
      <c r="F148" s="212" t="s">
        <v>191</v>
      </c>
      <c r="G148" s="212" t="s">
        <v>175</v>
      </c>
      <c r="H148" s="212" t="s">
        <v>193</v>
      </c>
      <c r="I148" s="212"/>
      <c r="J148" s="212"/>
      <c r="K148" s="213"/>
      <c r="L148" s="214"/>
      <c r="M148" s="210" t="s">
        <v>194</v>
      </c>
      <c r="N148" s="215">
        <v>2398883573733</v>
      </c>
      <c r="O148" s="215">
        <v>503585728209.12</v>
      </c>
      <c r="P148" s="216">
        <f t="shared" si="130"/>
        <v>0.20992503918206828</v>
      </c>
      <c r="Q148" s="215">
        <v>444536162133.35999</v>
      </c>
      <c r="R148" s="216">
        <f t="shared" si="130"/>
        <v>0.18530960276725694</v>
      </c>
      <c r="S148" s="215">
        <v>444310545941.35999</v>
      </c>
      <c r="T148" s="216">
        <f t="shared" ref="T148" si="143">+S148/$N148</f>
        <v>0.18521555227040482</v>
      </c>
    </row>
    <row r="149" spans="1:43" s="64" customFormat="1" ht="24.95" customHeight="1">
      <c r="A149" s="32" t="s">
        <v>487</v>
      </c>
      <c r="B149" s="217" t="s">
        <v>488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54</v>
      </c>
      <c r="J149" s="219"/>
      <c r="K149" s="220">
        <v>10</v>
      </c>
      <c r="L149" s="221" t="s">
        <v>29</v>
      </c>
      <c r="M149" s="259" t="s">
        <v>178</v>
      </c>
      <c r="N149" s="222">
        <v>0</v>
      </c>
      <c r="O149" s="222">
        <v>0</v>
      </c>
      <c r="P149" s="224" t="e">
        <f t="shared" si="130"/>
        <v>#DIV/0!</v>
      </c>
      <c r="Q149" s="222">
        <v>0</v>
      </c>
      <c r="R149" s="224" t="e">
        <f t="shared" si="130"/>
        <v>#DIV/0!</v>
      </c>
      <c r="S149" s="222">
        <v>0</v>
      </c>
      <c r="T149" s="224" t="e">
        <f t="shared" ref="T149" si="144">+S149/$N149</f>
        <v>#DIV/0!</v>
      </c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s="64" customFormat="1" ht="24.95" customHeight="1">
      <c r="A150" s="32" t="s">
        <v>489</v>
      </c>
      <c r="B150" s="217" t="s">
        <v>488</v>
      </c>
      <c r="C150" s="266" t="s">
        <v>167</v>
      </c>
      <c r="D150" s="267" t="s">
        <v>190</v>
      </c>
      <c r="E150" s="267" t="s">
        <v>172</v>
      </c>
      <c r="F150" s="267" t="s">
        <v>191</v>
      </c>
      <c r="G150" s="267" t="s">
        <v>175</v>
      </c>
      <c r="H150" s="267" t="s">
        <v>193</v>
      </c>
      <c r="I150" s="267" t="s">
        <v>54</v>
      </c>
      <c r="J150" s="219"/>
      <c r="K150" s="220">
        <v>11</v>
      </c>
      <c r="L150" s="221" t="s">
        <v>29</v>
      </c>
      <c r="M150" s="259" t="s">
        <v>178</v>
      </c>
      <c r="N150" s="222">
        <v>142220054070.09</v>
      </c>
      <c r="O150" s="222">
        <v>67233837309.120003</v>
      </c>
      <c r="P150" s="224">
        <f t="shared" si="130"/>
        <v>0.47274512549394265</v>
      </c>
      <c r="Q150" s="222">
        <v>8216669883.3599997</v>
      </c>
      <c r="R150" s="224">
        <f t="shared" si="130"/>
        <v>5.7774340876783778E-2</v>
      </c>
      <c r="S150" s="222">
        <v>7991053691.3599997</v>
      </c>
      <c r="T150" s="224">
        <f t="shared" ref="T150" si="145">+S150/$N150</f>
        <v>5.6187952842584252E-2</v>
      </c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4.95" customHeight="1">
      <c r="A151" s="32" t="s">
        <v>490</v>
      </c>
      <c r="B151" s="217" t="s">
        <v>491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 t="s">
        <v>193</v>
      </c>
      <c r="I151" s="267" t="s">
        <v>65</v>
      </c>
      <c r="J151" s="219"/>
      <c r="K151" s="220">
        <v>10</v>
      </c>
      <c r="L151" s="221" t="s">
        <v>29</v>
      </c>
      <c r="M151" s="259" t="s">
        <v>127</v>
      </c>
      <c r="N151" s="222">
        <v>0</v>
      </c>
      <c r="O151" s="222">
        <v>0</v>
      </c>
      <c r="P151" s="224" t="e">
        <f t="shared" si="130"/>
        <v>#DIV/0!</v>
      </c>
      <c r="Q151" s="222">
        <v>0</v>
      </c>
      <c r="R151" s="224" t="e">
        <f t="shared" si="130"/>
        <v>#DIV/0!</v>
      </c>
      <c r="S151" s="222">
        <v>0</v>
      </c>
      <c r="T151" s="224" t="e">
        <f t="shared" ref="T151" si="146">+S151/$N151</f>
        <v>#DIV/0!</v>
      </c>
    </row>
    <row r="152" spans="1:43" ht="24.95" customHeight="1">
      <c r="A152" s="32" t="s">
        <v>492</v>
      </c>
      <c r="B152" s="217" t="s">
        <v>491</v>
      </c>
      <c r="C152" s="266" t="s">
        <v>167</v>
      </c>
      <c r="D152" s="267" t="s">
        <v>190</v>
      </c>
      <c r="E152" s="267" t="s">
        <v>172</v>
      </c>
      <c r="F152" s="267" t="s">
        <v>191</v>
      </c>
      <c r="G152" s="267" t="s">
        <v>175</v>
      </c>
      <c r="H152" s="267" t="s">
        <v>193</v>
      </c>
      <c r="I152" s="267" t="s">
        <v>65</v>
      </c>
      <c r="J152" s="267"/>
      <c r="K152" s="268" t="s">
        <v>144</v>
      </c>
      <c r="L152" s="269" t="s">
        <v>29</v>
      </c>
      <c r="M152" s="259" t="s">
        <v>127</v>
      </c>
      <c r="N152" s="222">
        <v>2256663519662.9102</v>
      </c>
      <c r="O152" s="222">
        <v>436351890900</v>
      </c>
      <c r="P152" s="224">
        <f t="shared" si="130"/>
        <v>0.19336152115632205</v>
      </c>
      <c r="Q152" s="222">
        <v>436319492250</v>
      </c>
      <c r="R152" s="224">
        <f t="shared" si="130"/>
        <v>0.19334716427514873</v>
      </c>
      <c r="S152" s="222">
        <v>436319492250</v>
      </c>
      <c r="T152" s="224">
        <f t="shared" ref="T152" si="147">+S152/$N152</f>
        <v>0.19334716427514873</v>
      </c>
    </row>
    <row r="153" spans="1:43" ht="33" customHeight="1">
      <c r="A153" s="32" t="s">
        <v>493</v>
      </c>
      <c r="B153" s="210" t="s">
        <v>494</v>
      </c>
      <c r="C153" s="211" t="s">
        <v>167</v>
      </c>
      <c r="D153" s="212" t="s">
        <v>190</v>
      </c>
      <c r="E153" s="212" t="s">
        <v>172</v>
      </c>
      <c r="F153" s="212" t="s">
        <v>191</v>
      </c>
      <c r="G153" s="212" t="s">
        <v>175</v>
      </c>
      <c r="H153" s="212">
        <v>4103009</v>
      </c>
      <c r="I153" s="212"/>
      <c r="J153" s="212"/>
      <c r="K153" s="252">
        <v>10</v>
      </c>
      <c r="L153" s="214" t="s">
        <v>29</v>
      </c>
      <c r="M153" s="210" t="s">
        <v>195</v>
      </c>
      <c r="N153" s="215">
        <v>5264000000</v>
      </c>
      <c r="O153" s="215">
        <v>5135031951</v>
      </c>
      <c r="P153" s="216">
        <f t="shared" si="130"/>
        <v>0.9754999906914894</v>
      </c>
      <c r="Q153" s="215">
        <v>0</v>
      </c>
      <c r="R153" s="216">
        <f t="shared" si="130"/>
        <v>0</v>
      </c>
      <c r="S153" s="215">
        <v>0</v>
      </c>
      <c r="T153" s="216">
        <f t="shared" ref="T153" si="148">+S153/$N153</f>
        <v>0</v>
      </c>
    </row>
    <row r="154" spans="1:43" ht="24.95" customHeight="1">
      <c r="A154" s="32" t="s">
        <v>495</v>
      </c>
      <c r="B154" s="217" t="s">
        <v>496</v>
      </c>
      <c r="C154" s="266" t="s">
        <v>167</v>
      </c>
      <c r="D154" s="267" t="s">
        <v>190</v>
      </c>
      <c r="E154" s="267" t="s">
        <v>172</v>
      </c>
      <c r="F154" s="267" t="s">
        <v>191</v>
      </c>
      <c r="G154" s="267" t="s">
        <v>175</v>
      </c>
      <c r="H154" s="267">
        <v>4103009</v>
      </c>
      <c r="I154" s="267" t="s">
        <v>54</v>
      </c>
      <c r="J154" s="219"/>
      <c r="K154" s="270">
        <v>10</v>
      </c>
      <c r="L154" s="221" t="s">
        <v>29</v>
      </c>
      <c r="M154" s="259" t="s">
        <v>178</v>
      </c>
      <c r="N154" s="222">
        <v>0</v>
      </c>
      <c r="O154" s="222">
        <v>0</v>
      </c>
      <c r="P154" s="224" t="e">
        <f t="shared" si="130"/>
        <v>#DIV/0!</v>
      </c>
      <c r="Q154" s="222">
        <v>0</v>
      </c>
      <c r="R154" s="224" t="e">
        <f t="shared" si="130"/>
        <v>#DIV/0!</v>
      </c>
      <c r="S154" s="222">
        <v>0</v>
      </c>
      <c r="T154" s="224" t="e">
        <f t="shared" ref="T154" si="149">+S154/$N154</f>
        <v>#DIV/0!</v>
      </c>
    </row>
    <row r="155" spans="1:43" ht="24.95" customHeight="1">
      <c r="A155" s="32" t="s">
        <v>781</v>
      </c>
      <c r="B155" s="217" t="s">
        <v>496</v>
      </c>
      <c r="C155" s="266" t="s">
        <v>167</v>
      </c>
      <c r="D155" s="267" t="s">
        <v>190</v>
      </c>
      <c r="E155" s="267" t="s">
        <v>172</v>
      </c>
      <c r="F155" s="267" t="s">
        <v>191</v>
      </c>
      <c r="G155" s="267" t="s">
        <v>175</v>
      </c>
      <c r="H155" s="267">
        <v>4103009</v>
      </c>
      <c r="I155" s="267" t="s">
        <v>54</v>
      </c>
      <c r="J155" s="219"/>
      <c r="K155" s="270">
        <v>11</v>
      </c>
      <c r="L155" s="221" t="s">
        <v>29</v>
      </c>
      <c r="M155" s="259" t="s">
        <v>178</v>
      </c>
      <c r="N155" s="222">
        <v>5264000000</v>
      </c>
      <c r="O155" s="222">
        <v>5135031951</v>
      </c>
      <c r="P155" s="224">
        <f t="shared" si="130"/>
        <v>0.9754999906914894</v>
      </c>
      <c r="Q155" s="222">
        <v>0</v>
      </c>
      <c r="R155" s="224">
        <f t="shared" si="130"/>
        <v>0</v>
      </c>
      <c r="S155" s="222">
        <v>0</v>
      </c>
      <c r="T155" s="224">
        <f t="shared" ref="T155" si="150">+S155/$N155</f>
        <v>0</v>
      </c>
    </row>
    <row r="156" spans="1:43" s="64" customFormat="1" ht="36" customHeight="1">
      <c r="A156" s="32" t="s">
        <v>499</v>
      </c>
      <c r="B156" s="226" t="s">
        <v>298</v>
      </c>
      <c r="C156" s="227" t="s">
        <v>167</v>
      </c>
      <c r="D156" s="228" t="s">
        <v>190</v>
      </c>
      <c r="E156" s="228" t="s">
        <v>172</v>
      </c>
      <c r="F156" s="228" t="s">
        <v>22</v>
      </c>
      <c r="G156" s="228"/>
      <c r="H156" s="228"/>
      <c r="I156" s="228"/>
      <c r="J156" s="228"/>
      <c r="K156" s="229"/>
      <c r="L156" s="230"/>
      <c r="M156" s="231" t="s">
        <v>264</v>
      </c>
      <c r="N156" s="232">
        <v>26000000000</v>
      </c>
      <c r="O156" s="232">
        <v>1652131076</v>
      </c>
      <c r="P156" s="233">
        <f t="shared" si="130"/>
        <v>6.3543502923076922E-2</v>
      </c>
      <c r="Q156" s="232">
        <v>309744362</v>
      </c>
      <c r="R156" s="233">
        <f t="shared" si="130"/>
        <v>1.1913244692307692E-2</v>
      </c>
      <c r="S156" s="232">
        <v>205478015</v>
      </c>
      <c r="T156" s="233">
        <f t="shared" ref="T156" si="151">+S156/$N156</f>
        <v>7.9030005769230773E-3</v>
      </c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32.25" customHeight="1">
      <c r="A157" s="32" t="s">
        <v>642</v>
      </c>
      <c r="B157" s="210" t="s">
        <v>500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197</v>
      </c>
      <c r="I157" s="212"/>
      <c r="J157" s="212"/>
      <c r="K157" s="213">
        <v>11</v>
      </c>
      <c r="L157" s="214" t="s">
        <v>29</v>
      </c>
      <c r="M157" s="210" t="s">
        <v>198</v>
      </c>
      <c r="N157" s="215">
        <v>2722234333</v>
      </c>
      <c r="O157" s="215">
        <v>0</v>
      </c>
      <c r="P157" s="216">
        <f t="shared" si="130"/>
        <v>0</v>
      </c>
      <c r="Q157" s="215">
        <v>0</v>
      </c>
      <c r="R157" s="216">
        <f t="shared" si="130"/>
        <v>0</v>
      </c>
      <c r="S157" s="215">
        <v>0</v>
      </c>
      <c r="T157" s="216">
        <f t="shared" ref="T157" si="152">+S157/$N157</f>
        <v>0</v>
      </c>
    </row>
    <row r="158" spans="1:43" ht="24.95" customHeight="1">
      <c r="A158" s="32" t="s">
        <v>643</v>
      </c>
      <c r="B158" s="217" t="s">
        <v>501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197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2722234333</v>
      </c>
      <c r="O158" s="222">
        <v>0</v>
      </c>
      <c r="P158" s="224">
        <f t="shared" si="130"/>
        <v>0</v>
      </c>
      <c r="Q158" s="222">
        <v>0</v>
      </c>
      <c r="R158" s="224">
        <f t="shared" si="130"/>
        <v>0</v>
      </c>
      <c r="S158" s="222">
        <v>0</v>
      </c>
      <c r="T158" s="224">
        <f t="shared" ref="T158" si="153">+S158/$N158</f>
        <v>0</v>
      </c>
    </row>
    <row r="159" spans="1:43" ht="32.25" customHeight="1">
      <c r="A159" s="32" t="s">
        <v>644</v>
      </c>
      <c r="B159" s="210" t="s">
        <v>502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199</v>
      </c>
      <c r="I159" s="212"/>
      <c r="J159" s="212"/>
      <c r="K159" s="213">
        <v>11</v>
      </c>
      <c r="L159" s="214" t="s">
        <v>29</v>
      </c>
      <c r="M159" s="210" t="s">
        <v>200</v>
      </c>
      <c r="N159" s="215">
        <v>2304259288</v>
      </c>
      <c r="O159" s="215">
        <v>0</v>
      </c>
      <c r="P159" s="216">
        <f t="shared" si="130"/>
        <v>0</v>
      </c>
      <c r="Q159" s="215">
        <v>0</v>
      </c>
      <c r="R159" s="216">
        <f t="shared" si="130"/>
        <v>0</v>
      </c>
      <c r="S159" s="215">
        <v>0</v>
      </c>
      <c r="T159" s="216">
        <f t="shared" ref="T159" si="154">+S159/$N159</f>
        <v>0</v>
      </c>
    </row>
    <row r="160" spans="1:43" ht="24.95" customHeight="1">
      <c r="A160" s="32" t="s">
        <v>645</v>
      </c>
      <c r="B160" s="217" t="s">
        <v>503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199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2304259288</v>
      </c>
      <c r="O160" s="222">
        <v>0</v>
      </c>
      <c r="P160" s="224">
        <f t="shared" si="130"/>
        <v>0</v>
      </c>
      <c r="Q160" s="222">
        <v>0</v>
      </c>
      <c r="R160" s="224">
        <f t="shared" si="130"/>
        <v>0</v>
      </c>
      <c r="S160" s="222">
        <v>0</v>
      </c>
      <c r="T160" s="224">
        <f t="shared" ref="T160" si="155">+S160/$N160</f>
        <v>0</v>
      </c>
    </row>
    <row r="161" spans="1:43" ht="32.25" customHeight="1">
      <c r="A161" s="32" t="s">
        <v>646</v>
      </c>
      <c r="B161" s="210" t="s">
        <v>504</v>
      </c>
      <c r="C161" s="211" t="s">
        <v>167</v>
      </c>
      <c r="D161" s="212" t="s">
        <v>190</v>
      </c>
      <c r="E161" s="212" t="s">
        <v>172</v>
      </c>
      <c r="F161" s="212" t="s">
        <v>22</v>
      </c>
      <c r="G161" s="212" t="s">
        <v>175</v>
      </c>
      <c r="H161" s="212" t="s">
        <v>201</v>
      </c>
      <c r="I161" s="212"/>
      <c r="J161" s="212"/>
      <c r="K161" s="213">
        <v>11</v>
      </c>
      <c r="L161" s="214" t="s">
        <v>29</v>
      </c>
      <c r="M161" s="210" t="s">
        <v>202</v>
      </c>
      <c r="N161" s="215">
        <v>2444410079</v>
      </c>
      <c r="O161" s="215">
        <v>1652131076</v>
      </c>
      <c r="P161" s="216">
        <f t="shared" si="130"/>
        <v>0.67588130575696259</v>
      </c>
      <c r="Q161" s="215">
        <v>309744362</v>
      </c>
      <c r="R161" s="216">
        <f t="shared" si="130"/>
        <v>0.12671538407611024</v>
      </c>
      <c r="S161" s="215">
        <v>205478015</v>
      </c>
      <c r="T161" s="216">
        <f t="shared" ref="T161" si="156">+S161/$N161</f>
        <v>8.4060369724895084E-2</v>
      </c>
    </row>
    <row r="162" spans="1:43" ht="24.95" customHeight="1">
      <c r="A162" s="32" t="s">
        <v>647</v>
      </c>
      <c r="B162" s="217" t="s">
        <v>505</v>
      </c>
      <c r="C162" s="218" t="s">
        <v>167</v>
      </c>
      <c r="D162" s="219" t="s">
        <v>190</v>
      </c>
      <c r="E162" s="219" t="s">
        <v>172</v>
      </c>
      <c r="F162" s="219" t="s">
        <v>22</v>
      </c>
      <c r="G162" s="219" t="s">
        <v>175</v>
      </c>
      <c r="H162" s="219" t="s">
        <v>201</v>
      </c>
      <c r="I162" s="219" t="s">
        <v>54</v>
      </c>
      <c r="J162" s="219"/>
      <c r="K162" s="220">
        <v>11</v>
      </c>
      <c r="L162" s="221" t="s">
        <v>29</v>
      </c>
      <c r="M162" s="259" t="s">
        <v>178</v>
      </c>
      <c r="N162" s="222">
        <v>2444410079</v>
      </c>
      <c r="O162" s="222">
        <v>1652131076</v>
      </c>
      <c r="P162" s="224">
        <f t="shared" si="130"/>
        <v>0.67588130575696259</v>
      </c>
      <c r="Q162" s="222">
        <v>309744362</v>
      </c>
      <c r="R162" s="224">
        <f t="shared" si="130"/>
        <v>0.12671538407611024</v>
      </c>
      <c r="S162" s="222">
        <v>205478015</v>
      </c>
      <c r="T162" s="224">
        <f t="shared" ref="T162" si="157">+S162/$N162</f>
        <v>8.4060369724895084E-2</v>
      </c>
    </row>
    <row r="163" spans="1:43" ht="32.25" customHeight="1">
      <c r="A163" s="32" t="s">
        <v>648</v>
      </c>
      <c r="B163" s="210" t="s">
        <v>506</v>
      </c>
      <c r="C163" s="211" t="s">
        <v>167</v>
      </c>
      <c r="D163" s="212" t="s">
        <v>190</v>
      </c>
      <c r="E163" s="212" t="s">
        <v>172</v>
      </c>
      <c r="F163" s="212" t="s">
        <v>22</v>
      </c>
      <c r="G163" s="212" t="s">
        <v>175</v>
      </c>
      <c r="H163" s="212" t="s">
        <v>203</v>
      </c>
      <c r="I163" s="212"/>
      <c r="J163" s="212"/>
      <c r="K163" s="213">
        <v>11</v>
      </c>
      <c r="L163" s="214" t="s">
        <v>29</v>
      </c>
      <c r="M163" s="210" t="s">
        <v>204</v>
      </c>
      <c r="N163" s="215">
        <v>18529096300</v>
      </c>
      <c r="O163" s="215">
        <v>0</v>
      </c>
      <c r="P163" s="216">
        <f t="shared" si="130"/>
        <v>0</v>
      </c>
      <c r="Q163" s="215">
        <v>0</v>
      </c>
      <c r="R163" s="216">
        <f t="shared" si="130"/>
        <v>0</v>
      </c>
      <c r="S163" s="215">
        <v>0</v>
      </c>
      <c r="T163" s="216">
        <f t="shared" ref="T163" si="158">+S163/$N163</f>
        <v>0</v>
      </c>
    </row>
    <row r="164" spans="1:43" ht="24.95" customHeight="1">
      <c r="A164" s="32" t="s">
        <v>649</v>
      </c>
      <c r="B164" s="217" t="s">
        <v>507</v>
      </c>
      <c r="C164" s="218" t="s">
        <v>167</v>
      </c>
      <c r="D164" s="219" t="s">
        <v>190</v>
      </c>
      <c r="E164" s="219" t="s">
        <v>172</v>
      </c>
      <c r="F164" s="219" t="s">
        <v>22</v>
      </c>
      <c r="G164" s="219" t="s">
        <v>175</v>
      </c>
      <c r="H164" s="219" t="s">
        <v>203</v>
      </c>
      <c r="I164" s="219" t="s">
        <v>54</v>
      </c>
      <c r="J164" s="219"/>
      <c r="K164" s="220">
        <v>11</v>
      </c>
      <c r="L164" s="221" t="s">
        <v>29</v>
      </c>
      <c r="M164" s="259" t="s">
        <v>178</v>
      </c>
      <c r="N164" s="222">
        <v>18529096300</v>
      </c>
      <c r="O164" s="222">
        <v>0</v>
      </c>
      <c r="P164" s="224">
        <f t="shared" si="130"/>
        <v>0</v>
      </c>
      <c r="Q164" s="222">
        <v>0</v>
      </c>
      <c r="R164" s="224">
        <f t="shared" si="130"/>
        <v>0</v>
      </c>
      <c r="S164" s="222">
        <v>0</v>
      </c>
      <c r="T164" s="224">
        <f t="shared" ref="T164" si="159">+S164/$N164</f>
        <v>0</v>
      </c>
    </row>
    <row r="165" spans="1:43" ht="44.25" customHeight="1">
      <c r="A165" s="32" t="s">
        <v>508</v>
      </c>
      <c r="B165" s="226" t="s">
        <v>299</v>
      </c>
      <c r="C165" s="227" t="s">
        <v>167</v>
      </c>
      <c r="D165" s="228" t="s">
        <v>190</v>
      </c>
      <c r="E165" s="228" t="s">
        <v>172</v>
      </c>
      <c r="F165" s="228" t="s">
        <v>205</v>
      </c>
      <c r="G165" s="228"/>
      <c r="H165" s="228"/>
      <c r="I165" s="228"/>
      <c r="J165" s="228"/>
      <c r="K165" s="229"/>
      <c r="L165" s="230"/>
      <c r="M165" s="231" t="s">
        <v>281</v>
      </c>
      <c r="N165" s="232">
        <v>557000000000</v>
      </c>
      <c r="O165" s="232">
        <v>264113318771.20001</v>
      </c>
      <c r="P165" s="233">
        <f t="shared" si="130"/>
        <v>0.47417112885314183</v>
      </c>
      <c r="Q165" s="232">
        <v>28475767819.709999</v>
      </c>
      <c r="R165" s="233">
        <f t="shared" si="130"/>
        <v>5.1123461076678631E-2</v>
      </c>
      <c r="S165" s="232">
        <v>27426432923.709999</v>
      </c>
      <c r="T165" s="233">
        <f t="shared" ref="T165" si="160">+S165/$N165</f>
        <v>4.9239556415996408E-2</v>
      </c>
    </row>
    <row r="166" spans="1:43" ht="44.25" hidden="1" customHeight="1">
      <c r="A166" s="32"/>
      <c r="B166" s="226"/>
      <c r="C166" s="227"/>
      <c r="D166" s="228"/>
      <c r="E166" s="228"/>
      <c r="F166" s="228"/>
      <c r="G166" s="228"/>
      <c r="H166" s="228"/>
      <c r="I166" s="228"/>
      <c r="J166" s="228"/>
      <c r="K166" s="229"/>
      <c r="L166" s="230"/>
      <c r="M166" s="231"/>
      <c r="N166" s="232"/>
      <c r="O166" s="232"/>
      <c r="P166" s="233" t="e">
        <f t="shared" si="130"/>
        <v>#DIV/0!</v>
      </c>
      <c r="Q166" s="232"/>
      <c r="R166" s="233" t="e">
        <f t="shared" si="130"/>
        <v>#DIV/0!</v>
      </c>
      <c r="S166" s="232"/>
      <c r="T166" s="233" t="e">
        <f t="shared" ref="T166" si="161">+S166/$N166</f>
        <v>#DIV/0!</v>
      </c>
    </row>
    <row r="167" spans="1:43" ht="33.75" customHeight="1">
      <c r="A167" s="32" t="s">
        <v>509</v>
      </c>
      <c r="B167" s="210" t="s">
        <v>510</v>
      </c>
      <c r="C167" s="211" t="s">
        <v>167</v>
      </c>
      <c r="D167" s="212" t="s">
        <v>190</v>
      </c>
      <c r="E167" s="212" t="s">
        <v>172</v>
      </c>
      <c r="F167" s="212" t="s">
        <v>205</v>
      </c>
      <c r="G167" s="212" t="s">
        <v>175</v>
      </c>
      <c r="H167" s="212" t="s">
        <v>207</v>
      </c>
      <c r="I167" s="212"/>
      <c r="J167" s="212"/>
      <c r="K167" s="213"/>
      <c r="L167" s="214"/>
      <c r="M167" s="210" t="s">
        <v>208</v>
      </c>
      <c r="N167" s="215">
        <v>533786185933</v>
      </c>
      <c r="O167" s="215">
        <v>246901756225.20001</v>
      </c>
      <c r="P167" s="216">
        <f t="shared" si="130"/>
        <v>0.46254804401437005</v>
      </c>
      <c r="Q167" s="215">
        <v>25796256382.709999</v>
      </c>
      <c r="R167" s="216">
        <f t="shared" si="130"/>
        <v>4.8326946373894931E-2</v>
      </c>
      <c r="S167" s="215">
        <v>25796256382.709999</v>
      </c>
      <c r="T167" s="216">
        <f t="shared" ref="T167" si="162">+S167/$N167</f>
        <v>4.8326946373894931E-2</v>
      </c>
    </row>
    <row r="168" spans="1:43" ht="24.95" customHeight="1">
      <c r="A168" s="32" t="s">
        <v>512</v>
      </c>
      <c r="B168" s="217" t="s">
        <v>511</v>
      </c>
      <c r="C168" s="266" t="s">
        <v>167</v>
      </c>
      <c r="D168" s="267" t="s">
        <v>190</v>
      </c>
      <c r="E168" s="267" t="s">
        <v>172</v>
      </c>
      <c r="F168" s="267" t="s">
        <v>205</v>
      </c>
      <c r="G168" s="267" t="s">
        <v>175</v>
      </c>
      <c r="H168" s="267" t="s">
        <v>207</v>
      </c>
      <c r="I168" s="267" t="s">
        <v>54</v>
      </c>
      <c r="J168" s="267"/>
      <c r="K168" s="268">
        <v>11</v>
      </c>
      <c r="L168" s="269" t="s">
        <v>29</v>
      </c>
      <c r="M168" s="259" t="s">
        <v>178</v>
      </c>
      <c r="N168" s="222">
        <v>51422315285.709999</v>
      </c>
      <c r="O168" s="222">
        <v>32268597108.560001</v>
      </c>
      <c r="P168" s="224">
        <f t="shared" si="130"/>
        <v>0.62752127999820495</v>
      </c>
      <c r="Q168" s="222">
        <v>2952787473.0300002</v>
      </c>
      <c r="R168" s="224">
        <f t="shared" si="130"/>
        <v>5.7422297238540809E-2</v>
      </c>
      <c r="S168" s="222">
        <v>2952787473.0300002</v>
      </c>
      <c r="T168" s="224">
        <f t="shared" ref="T168" si="163">+S168/$N168</f>
        <v>5.7422297238540809E-2</v>
      </c>
    </row>
    <row r="169" spans="1:43" ht="24.95" customHeight="1">
      <c r="A169" s="32" t="s">
        <v>513</v>
      </c>
      <c r="B169" s="217" t="s">
        <v>514</v>
      </c>
      <c r="C169" s="266" t="s">
        <v>167</v>
      </c>
      <c r="D169" s="267" t="s">
        <v>190</v>
      </c>
      <c r="E169" s="267" t="s">
        <v>172</v>
      </c>
      <c r="F169" s="267" t="s">
        <v>205</v>
      </c>
      <c r="G169" s="267" t="s">
        <v>175</v>
      </c>
      <c r="H169" s="267" t="s">
        <v>207</v>
      </c>
      <c r="I169" s="267" t="s">
        <v>65</v>
      </c>
      <c r="J169" s="267"/>
      <c r="K169" s="271" t="s">
        <v>28</v>
      </c>
      <c r="L169" s="269" t="s">
        <v>29</v>
      </c>
      <c r="M169" s="259" t="s">
        <v>127</v>
      </c>
      <c r="N169" s="222">
        <v>0</v>
      </c>
      <c r="O169" s="222"/>
      <c r="P169" s="224" t="e">
        <f t="shared" si="130"/>
        <v>#DIV/0!</v>
      </c>
      <c r="Q169" s="222"/>
      <c r="R169" s="224" t="e">
        <f t="shared" si="130"/>
        <v>#DIV/0!</v>
      </c>
      <c r="S169" s="222"/>
      <c r="T169" s="224" t="e">
        <f t="shared" ref="T169" si="164">+S169/$N169</f>
        <v>#DIV/0!</v>
      </c>
    </row>
    <row r="170" spans="1:43" ht="24.95" customHeight="1">
      <c r="A170" s="32" t="s">
        <v>515</v>
      </c>
      <c r="B170" s="217" t="s">
        <v>514</v>
      </c>
      <c r="C170" s="266" t="s">
        <v>167</v>
      </c>
      <c r="D170" s="267" t="s">
        <v>190</v>
      </c>
      <c r="E170" s="267" t="s">
        <v>172</v>
      </c>
      <c r="F170" s="267" t="s">
        <v>205</v>
      </c>
      <c r="G170" s="267" t="s">
        <v>175</v>
      </c>
      <c r="H170" s="267" t="s">
        <v>207</v>
      </c>
      <c r="I170" s="274" t="s">
        <v>65</v>
      </c>
      <c r="J170" s="273"/>
      <c r="K170" s="268">
        <v>11</v>
      </c>
      <c r="L170" s="269" t="s">
        <v>29</v>
      </c>
      <c r="M170" s="259" t="s">
        <v>127</v>
      </c>
      <c r="N170" s="222">
        <v>482363870647.28998</v>
      </c>
      <c r="O170" s="222">
        <v>214633159116.64001</v>
      </c>
      <c r="P170" s="224">
        <f t="shared" si="130"/>
        <v>0.44496110131262767</v>
      </c>
      <c r="Q170" s="222">
        <v>22843468909.68</v>
      </c>
      <c r="R170" s="224">
        <f t="shared" si="130"/>
        <v>4.7357338100438719E-2</v>
      </c>
      <c r="S170" s="222">
        <v>22843468909.68</v>
      </c>
      <c r="T170" s="224">
        <f t="shared" ref="T170" si="165">+S170/$N170</f>
        <v>4.7357338100438719E-2</v>
      </c>
    </row>
    <row r="171" spans="1:43" ht="34.5" customHeight="1">
      <c r="A171" s="32" t="s">
        <v>650</v>
      </c>
      <c r="B171" s="210" t="s">
        <v>516</v>
      </c>
      <c r="C171" s="211" t="s">
        <v>167</v>
      </c>
      <c r="D171" s="212" t="s">
        <v>190</v>
      </c>
      <c r="E171" s="212" t="s">
        <v>172</v>
      </c>
      <c r="F171" s="212" t="s">
        <v>205</v>
      </c>
      <c r="G171" s="212" t="s">
        <v>175</v>
      </c>
      <c r="H171" s="212" t="s">
        <v>209</v>
      </c>
      <c r="I171" s="212"/>
      <c r="J171" s="212"/>
      <c r="K171" s="213">
        <v>11</v>
      </c>
      <c r="L171" s="214" t="s">
        <v>29</v>
      </c>
      <c r="M171" s="210" t="s">
        <v>210</v>
      </c>
      <c r="N171" s="215">
        <v>23213814067</v>
      </c>
      <c r="O171" s="215">
        <v>17211562546</v>
      </c>
      <c r="P171" s="216">
        <f t="shared" si="130"/>
        <v>0.74143621967177709</v>
      </c>
      <c r="Q171" s="215">
        <v>2679511437</v>
      </c>
      <c r="R171" s="216">
        <f t="shared" si="130"/>
        <v>0.11542745320809242</v>
      </c>
      <c r="S171" s="215">
        <v>1630176541</v>
      </c>
      <c r="T171" s="216">
        <f t="shared" ref="T171" si="166">+S171/$N171</f>
        <v>7.0224416215920571E-2</v>
      </c>
    </row>
    <row r="172" spans="1:43" ht="24.95" customHeight="1">
      <c r="A172" s="32" t="s">
        <v>518</v>
      </c>
      <c r="B172" s="217" t="s">
        <v>517</v>
      </c>
      <c r="C172" s="266" t="s">
        <v>167</v>
      </c>
      <c r="D172" s="267" t="s">
        <v>190</v>
      </c>
      <c r="E172" s="267" t="s">
        <v>172</v>
      </c>
      <c r="F172" s="267" t="s">
        <v>205</v>
      </c>
      <c r="G172" s="267" t="s">
        <v>175</v>
      </c>
      <c r="H172" s="267" t="s">
        <v>209</v>
      </c>
      <c r="I172" s="267" t="s">
        <v>54</v>
      </c>
      <c r="J172" s="267"/>
      <c r="K172" s="268">
        <v>11</v>
      </c>
      <c r="L172" s="269" t="s">
        <v>29</v>
      </c>
      <c r="M172" s="259" t="s">
        <v>178</v>
      </c>
      <c r="N172" s="222">
        <v>23213814067</v>
      </c>
      <c r="O172" s="222">
        <v>17211562546</v>
      </c>
      <c r="P172" s="224">
        <f t="shared" si="130"/>
        <v>0.74143621967177709</v>
      </c>
      <c r="Q172" s="222">
        <v>2679511437</v>
      </c>
      <c r="R172" s="224">
        <f t="shared" si="130"/>
        <v>0.11542745320809242</v>
      </c>
      <c r="S172" s="222">
        <v>1630176541</v>
      </c>
      <c r="T172" s="224">
        <f t="shared" ref="T172" si="167">+S172/$N172</f>
        <v>7.0224416215920571E-2</v>
      </c>
    </row>
    <row r="173" spans="1:43" ht="40.5" customHeight="1">
      <c r="A173" s="32" t="s">
        <v>519</v>
      </c>
      <c r="B173" s="226" t="s">
        <v>520</v>
      </c>
      <c r="C173" s="227" t="s">
        <v>167</v>
      </c>
      <c r="D173" s="228" t="s">
        <v>190</v>
      </c>
      <c r="E173" s="228" t="s">
        <v>172</v>
      </c>
      <c r="F173" s="228" t="s">
        <v>211</v>
      </c>
      <c r="G173" s="228"/>
      <c r="H173" s="228"/>
      <c r="I173" s="228"/>
      <c r="J173" s="228"/>
      <c r="K173" s="229"/>
      <c r="L173" s="230"/>
      <c r="M173" s="231" t="s">
        <v>282</v>
      </c>
      <c r="N173" s="232">
        <v>1500000000</v>
      </c>
      <c r="O173" s="232">
        <v>0</v>
      </c>
      <c r="P173" s="233">
        <f t="shared" si="130"/>
        <v>0</v>
      </c>
      <c r="Q173" s="232">
        <v>0</v>
      </c>
      <c r="R173" s="233">
        <f t="shared" si="130"/>
        <v>0</v>
      </c>
      <c r="S173" s="232">
        <v>0</v>
      </c>
      <c r="T173" s="233">
        <f t="shared" ref="T173" si="168">+S173/$N173</f>
        <v>0</v>
      </c>
    </row>
    <row r="174" spans="1:43" s="90" customFormat="1" ht="36" customHeight="1">
      <c r="A174" s="32" t="s">
        <v>521</v>
      </c>
      <c r="B174" s="210" t="s">
        <v>522</v>
      </c>
      <c r="C174" s="211" t="s">
        <v>167</v>
      </c>
      <c r="D174" s="212" t="s">
        <v>190</v>
      </c>
      <c r="E174" s="212" t="s">
        <v>172</v>
      </c>
      <c r="F174" s="212" t="s">
        <v>211</v>
      </c>
      <c r="G174" s="212" t="s">
        <v>175</v>
      </c>
      <c r="H174" s="212" t="s">
        <v>213</v>
      </c>
      <c r="I174" s="212"/>
      <c r="J174" s="212"/>
      <c r="K174" s="213" t="s">
        <v>144</v>
      </c>
      <c r="L174" s="214" t="s">
        <v>29</v>
      </c>
      <c r="M174" s="210" t="s">
        <v>214</v>
      </c>
      <c r="N174" s="215">
        <v>1095000000</v>
      </c>
      <c r="O174" s="215">
        <v>0</v>
      </c>
      <c r="P174" s="216">
        <f t="shared" si="130"/>
        <v>0</v>
      </c>
      <c r="Q174" s="215">
        <v>0</v>
      </c>
      <c r="R174" s="216">
        <f t="shared" si="130"/>
        <v>0</v>
      </c>
      <c r="S174" s="215">
        <v>0</v>
      </c>
      <c r="T174" s="216">
        <f t="shared" ref="T174" si="169">+S174/$N174</f>
        <v>0</v>
      </c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s="90" customFormat="1" ht="24.95" customHeight="1">
      <c r="A175" s="32" t="s">
        <v>523</v>
      </c>
      <c r="B175" s="217" t="s">
        <v>524</v>
      </c>
      <c r="C175" s="218" t="s">
        <v>167</v>
      </c>
      <c r="D175" s="219" t="s">
        <v>190</v>
      </c>
      <c r="E175" s="219" t="s">
        <v>172</v>
      </c>
      <c r="F175" s="219" t="s">
        <v>211</v>
      </c>
      <c r="G175" s="219" t="s">
        <v>175</v>
      </c>
      <c r="H175" s="219" t="s">
        <v>213</v>
      </c>
      <c r="I175" s="219" t="s">
        <v>54</v>
      </c>
      <c r="J175" s="219"/>
      <c r="K175" s="220" t="s">
        <v>144</v>
      </c>
      <c r="L175" s="221" t="s">
        <v>29</v>
      </c>
      <c r="M175" s="259" t="s">
        <v>178</v>
      </c>
      <c r="N175" s="222">
        <v>1095000000</v>
      </c>
      <c r="O175" s="222"/>
      <c r="P175" s="224">
        <f t="shared" si="130"/>
        <v>0</v>
      </c>
      <c r="Q175" s="222"/>
      <c r="R175" s="224">
        <f t="shared" si="130"/>
        <v>0</v>
      </c>
      <c r="S175" s="222"/>
      <c r="T175" s="224">
        <f t="shared" ref="T175" si="170">+S175/$N175</f>
        <v>0</v>
      </c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s="90" customFormat="1" ht="24.95" customHeight="1">
      <c r="A176" s="32" t="s">
        <v>525</v>
      </c>
      <c r="B176" s="210" t="s">
        <v>526</v>
      </c>
      <c r="C176" s="211" t="s">
        <v>167</v>
      </c>
      <c r="D176" s="212" t="s">
        <v>190</v>
      </c>
      <c r="E176" s="212" t="s">
        <v>172</v>
      </c>
      <c r="F176" s="212" t="s">
        <v>211</v>
      </c>
      <c r="G176" s="212" t="s">
        <v>175</v>
      </c>
      <c r="H176" s="212" t="s">
        <v>215</v>
      </c>
      <c r="I176" s="212"/>
      <c r="J176" s="212"/>
      <c r="K176" s="213" t="s">
        <v>144</v>
      </c>
      <c r="L176" s="214" t="s">
        <v>29</v>
      </c>
      <c r="M176" s="210" t="s">
        <v>216</v>
      </c>
      <c r="N176" s="215">
        <v>405000000</v>
      </c>
      <c r="O176" s="215">
        <v>0</v>
      </c>
      <c r="P176" s="216">
        <f t="shared" si="130"/>
        <v>0</v>
      </c>
      <c r="Q176" s="215">
        <v>0</v>
      </c>
      <c r="R176" s="216">
        <f t="shared" si="130"/>
        <v>0</v>
      </c>
      <c r="S176" s="215">
        <v>0</v>
      </c>
      <c r="T176" s="216">
        <f t="shared" ref="T176" si="171">+S176/$N176</f>
        <v>0</v>
      </c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s="90" customFormat="1" ht="24.95" customHeight="1">
      <c r="A177" s="32" t="s">
        <v>527</v>
      </c>
      <c r="B177" s="217" t="s">
        <v>528</v>
      </c>
      <c r="C177" s="218" t="s">
        <v>167</v>
      </c>
      <c r="D177" s="219" t="s">
        <v>190</v>
      </c>
      <c r="E177" s="219" t="s">
        <v>172</v>
      </c>
      <c r="F177" s="219" t="s">
        <v>211</v>
      </c>
      <c r="G177" s="219" t="s">
        <v>175</v>
      </c>
      <c r="H177" s="219" t="s">
        <v>215</v>
      </c>
      <c r="I177" s="219" t="s">
        <v>54</v>
      </c>
      <c r="J177" s="219"/>
      <c r="K177" s="220" t="s">
        <v>144</v>
      </c>
      <c r="L177" s="221" t="s">
        <v>29</v>
      </c>
      <c r="M177" s="259" t="s">
        <v>178</v>
      </c>
      <c r="N177" s="222">
        <v>405000000</v>
      </c>
      <c r="O177" s="222"/>
      <c r="P177" s="224">
        <f t="shared" si="130"/>
        <v>0</v>
      </c>
      <c r="Q177" s="222"/>
      <c r="R177" s="224">
        <f t="shared" si="130"/>
        <v>0</v>
      </c>
      <c r="S177" s="222"/>
      <c r="T177" s="224">
        <f t="shared" ref="T177" si="172">+S177/$N177</f>
        <v>0</v>
      </c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s="90" customFormat="1" ht="57" hidden="1" customHeight="1">
      <c r="A178" s="32" t="s">
        <v>529</v>
      </c>
      <c r="B178" s="226" t="s">
        <v>530</v>
      </c>
      <c r="C178" s="227" t="s">
        <v>167</v>
      </c>
      <c r="D178" s="228" t="s">
        <v>190</v>
      </c>
      <c r="E178" s="228" t="s">
        <v>172</v>
      </c>
      <c r="F178" s="228" t="s">
        <v>217</v>
      </c>
      <c r="G178" s="228"/>
      <c r="H178" s="228"/>
      <c r="I178" s="228"/>
      <c r="J178" s="228"/>
      <c r="K178" s="229"/>
      <c r="L178" s="230"/>
      <c r="M178" s="231" t="s">
        <v>283</v>
      </c>
      <c r="N178" s="232">
        <v>0</v>
      </c>
      <c r="O178" s="232">
        <v>0</v>
      </c>
      <c r="P178" s="233" t="e">
        <f t="shared" si="130"/>
        <v>#DIV/0!</v>
      </c>
      <c r="Q178" s="232">
        <v>0</v>
      </c>
      <c r="R178" s="233" t="e">
        <f t="shared" si="130"/>
        <v>#DIV/0!</v>
      </c>
      <c r="S178" s="232">
        <v>0</v>
      </c>
      <c r="T178" s="233" t="e">
        <f t="shared" ref="T178" si="173">+S178/$N178</f>
        <v>#DIV/0!</v>
      </c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s="90" customFormat="1" ht="24.95" hidden="1" customHeight="1">
      <c r="A179" s="32" t="s">
        <v>651</v>
      </c>
      <c r="B179" s="210" t="s">
        <v>531</v>
      </c>
      <c r="C179" s="211" t="s">
        <v>167</v>
      </c>
      <c r="D179" s="212" t="s">
        <v>190</v>
      </c>
      <c r="E179" s="212" t="s">
        <v>172</v>
      </c>
      <c r="F179" s="212" t="s">
        <v>217</v>
      </c>
      <c r="G179" s="212" t="s">
        <v>175</v>
      </c>
      <c r="H179" s="212" t="s">
        <v>219</v>
      </c>
      <c r="I179" s="212"/>
      <c r="J179" s="212"/>
      <c r="K179" s="213">
        <v>11</v>
      </c>
      <c r="L179" s="214" t="s">
        <v>29</v>
      </c>
      <c r="M179" s="210" t="s">
        <v>220</v>
      </c>
      <c r="N179" s="215">
        <v>0</v>
      </c>
      <c r="O179" s="215">
        <v>0</v>
      </c>
      <c r="P179" s="216" t="e">
        <f t="shared" si="130"/>
        <v>#DIV/0!</v>
      </c>
      <c r="Q179" s="215">
        <v>0</v>
      </c>
      <c r="R179" s="216" t="e">
        <f t="shared" si="130"/>
        <v>#DIV/0!</v>
      </c>
      <c r="S179" s="215">
        <v>0</v>
      </c>
      <c r="T179" s="216" t="e">
        <f t="shared" ref="T179" si="174">+S179/$N179</f>
        <v>#DIV/0!</v>
      </c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s="90" customFormat="1" ht="24.95" hidden="1" customHeight="1">
      <c r="A180" s="32" t="s">
        <v>652</v>
      </c>
      <c r="B180" s="217" t="s">
        <v>532</v>
      </c>
      <c r="C180" s="266" t="s">
        <v>167</v>
      </c>
      <c r="D180" s="267" t="s">
        <v>190</v>
      </c>
      <c r="E180" s="267" t="s">
        <v>172</v>
      </c>
      <c r="F180" s="267" t="s">
        <v>217</v>
      </c>
      <c r="G180" s="267" t="s">
        <v>175</v>
      </c>
      <c r="H180" s="267" t="s">
        <v>219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>
        <v>0</v>
      </c>
      <c r="O180" s="222"/>
      <c r="P180" s="224" t="e">
        <f t="shared" si="130"/>
        <v>#DIV/0!</v>
      </c>
      <c r="Q180" s="222"/>
      <c r="R180" s="224" t="e">
        <f t="shared" si="130"/>
        <v>#DIV/0!</v>
      </c>
      <c r="S180" s="222"/>
      <c r="T180" s="224" t="e">
        <f t="shared" ref="T180" si="175">+S180/$N180</f>
        <v>#DIV/0!</v>
      </c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s="90" customFormat="1" ht="38.25" hidden="1" customHeight="1">
      <c r="A181" s="32" t="s">
        <v>653</v>
      </c>
      <c r="B181" s="210" t="s">
        <v>533</v>
      </c>
      <c r="C181" s="211" t="s">
        <v>167</v>
      </c>
      <c r="D181" s="212" t="s">
        <v>190</v>
      </c>
      <c r="E181" s="212" t="s">
        <v>172</v>
      </c>
      <c r="F181" s="212" t="s">
        <v>217</v>
      </c>
      <c r="G181" s="212" t="s">
        <v>175</v>
      </c>
      <c r="H181" s="212" t="s">
        <v>221</v>
      </c>
      <c r="I181" s="212"/>
      <c r="J181" s="212"/>
      <c r="K181" s="213">
        <v>11</v>
      </c>
      <c r="L181" s="214" t="s">
        <v>29</v>
      </c>
      <c r="M181" s="210" t="s">
        <v>222</v>
      </c>
      <c r="N181" s="215">
        <v>0</v>
      </c>
      <c r="O181" s="215">
        <v>0</v>
      </c>
      <c r="P181" s="216" t="e">
        <f t="shared" si="130"/>
        <v>#DIV/0!</v>
      </c>
      <c r="Q181" s="215">
        <v>0</v>
      </c>
      <c r="R181" s="216" t="e">
        <f t="shared" si="130"/>
        <v>#DIV/0!</v>
      </c>
      <c r="S181" s="215">
        <v>0</v>
      </c>
      <c r="T181" s="216" t="e">
        <f t="shared" ref="T181" si="176">+S181/$N181</f>
        <v>#DIV/0!</v>
      </c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s="90" customFormat="1" ht="24.95" hidden="1" customHeight="1">
      <c r="A182" s="32" t="s">
        <v>654</v>
      </c>
      <c r="B182" s="217" t="s">
        <v>535</v>
      </c>
      <c r="C182" s="266" t="s">
        <v>167</v>
      </c>
      <c r="D182" s="267" t="s">
        <v>190</v>
      </c>
      <c r="E182" s="267" t="s">
        <v>172</v>
      </c>
      <c r="F182" s="267" t="s">
        <v>217</v>
      </c>
      <c r="G182" s="267" t="s">
        <v>175</v>
      </c>
      <c r="H182" s="267" t="s">
        <v>221</v>
      </c>
      <c r="I182" s="274" t="s">
        <v>65</v>
      </c>
      <c r="J182" s="267"/>
      <c r="K182" s="268">
        <v>11</v>
      </c>
      <c r="L182" s="269" t="s">
        <v>29</v>
      </c>
      <c r="M182" s="259" t="s">
        <v>127</v>
      </c>
      <c r="N182" s="222">
        <v>0</v>
      </c>
      <c r="O182" s="222"/>
      <c r="P182" s="224" t="e">
        <f t="shared" si="130"/>
        <v>#DIV/0!</v>
      </c>
      <c r="Q182" s="222"/>
      <c r="R182" s="224" t="e">
        <f t="shared" si="130"/>
        <v>#DIV/0!</v>
      </c>
      <c r="S182" s="222"/>
      <c r="T182" s="224" t="e">
        <f t="shared" ref="T182" si="177">+S182/$N182</f>
        <v>#DIV/0!</v>
      </c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s="90" customFormat="1" ht="36" hidden="1" customHeight="1">
      <c r="A183" s="32" t="s">
        <v>655</v>
      </c>
      <c r="B183" s="210" t="s">
        <v>536</v>
      </c>
      <c r="C183" s="211" t="s">
        <v>167</v>
      </c>
      <c r="D183" s="212" t="s">
        <v>190</v>
      </c>
      <c r="E183" s="212" t="s">
        <v>172</v>
      </c>
      <c r="F183" s="212" t="s">
        <v>217</v>
      </c>
      <c r="G183" s="212" t="s">
        <v>175</v>
      </c>
      <c r="H183" s="212" t="s">
        <v>223</v>
      </c>
      <c r="I183" s="212"/>
      <c r="J183" s="212"/>
      <c r="K183" s="213">
        <v>11</v>
      </c>
      <c r="L183" s="214" t="s">
        <v>29</v>
      </c>
      <c r="M183" s="210" t="s">
        <v>224</v>
      </c>
      <c r="N183" s="215">
        <v>0</v>
      </c>
      <c r="O183" s="215">
        <v>0</v>
      </c>
      <c r="P183" s="216" t="e">
        <f t="shared" si="130"/>
        <v>#DIV/0!</v>
      </c>
      <c r="Q183" s="215">
        <v>0</v>
      </c>
      <c r="R183" s="216" t="e">
        <f t="shared" si="130"/>
        <v>#DIV/0!</v>
      </c>
      <c r="S183" s="215">
        <v>0</v>
      </c>
      <c r="T183" s="216" t="e">
        <f t="shared" ref="T183" si="178">+S183/$N183</f>
        <v>#DIV/0!</v>
      </c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s="90" customFormat="1" ht="24.95" hidden="1" customHeight="1">
      <c r="A184" s="32" t="s">
        <v>538</v>
      </c>
      <c r="B184" s="217" t="s">
        <v>537</v>
      </c>
      <c r="C184" s="266" t="s">
        <v>167</v>
      </c>
      <c r="D184" s="267" t="s">
        <v>190</v>
      </c>
      <c r="E184" s="267" t="s">
        <v>172</v>
      </c>
      <c r="F184" s="267" t="s">
        <v>217</v>
      </c>
      <c r="G184" s="267" t="s">
        <v>175</v>
      </c>
      <c r="H184" s="267" t="s">
        <v>223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0</v>
      </c>
      <c r="O184" s="222"/>
      <c r="P184" s="224" t="e">
        <f t="shared" si="130"/>
        <v>#DIV/0!</v>
      </c>
      <c r="Q184" s="222"/>
      <c r="R184" s="224" t="e">
        <f t="shared" si="130"/>
        <v>#DIV/0!</v>
      </c>
      <c r="S184" s="222"/>
      <c r="T184" s="224" t="e">
        <f t="shared" ref="T184" si="179">+S184/$N184</f>
        <v>#DIV/0!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s="90" customFormat="1" ht="36.75" hidden="1" customHeight="1">
      <c r="A185" s="32" t="s">
        <v>656</v>
      </c>
      <c r="B185" s="210" t="s">
        <v>540</v>
      </c>
      <c r="C185" s="211" t="s">
        <v>167</v>
      </c>
      <c r="D185" s="212" t="s">
        <v>190</v>
      </c>
      <c r="E185" s="212" t="s">
        <v>172</v>
      </c>
      <c r="F185" s="212" t="s">
        <v>217</v>
      </c>
      <c r="G185" s="212" t="s">
        <v>175</v>
      </c>
      <c r="H185" s="212" t="s">
        <v>225</v>
      </c>
      <c r="I185" s="212"/>
      <c r="J185" s="212"/>
      <c r="K185" s="213">
        <v>11</v>
      </c>
      <c r="L185" s="214" t="s">
        <v>29</v>
      </c>
      <c r="M185" s="210" t="s">
        <v>226</v>
      </c>
      <c r="N185" s="215">
        <v>0</v>
      </c>
      <c r="O185" s="215">
        <v>0</v>
      </c>
      <c r="P185" s="216" t="e">
        <f t="shared" si="130"/>
        <v>#DIV/0!</v>
      </c>
      <c r="Q185" s="215">
        <v>0</v>
      </c>
      <c r="R185" s="216" t="e">
        <f t="shared" si="130"/>
        <v>#DIV/0!</v>
      </c>
      <c r="S185" s="215">
        <v>0</v>
      </c>
      <c r="T185" s="216" t="e">
        <f t="shared" ref="T185" si="180">+S185/$N185</f>
        <v>#DIV/0!</v>
      </c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s="90" customFormat="1" ht="24.95" hidden="1" customHeight="1">
      <c r="A186" s="32" t="s">
        <v>542</v>
      </c>
      <c r="B186" s="217" t="s">
        <v>541</v>
      </c>
      <c r="C186" s="266" t="s">
        <v>167</v>
      </c>
      <c r="D186" s="267" t="s">
        <v>190</v>
      </c>
      <c r="E186" s="267" t="s">
        <v>172</v>
      </c>
      <c r="F186" s="267" t="s">
        <v>217</v>
      </c>
      <c r="G186" s="267" t="s">
        <v>175</v>
      </c>
      <c r="H186" s="267" t="s">
        <v>225</v>
      </c>
      <c r="I186" s="267" t="s">
        <v>54</v>
      </c>
      <c r="J186" s="267"/>
      <c r="K186" s="268">
        <v>11</v>
      </c>
      <c r="L186" s="269" t="s">
        <v>29</v>
      </c>
      <c r="M186" s="259" t="s">
        <v>178</v>
      </c>
      <c r="N186" s="222">
        <v>0</v>
      </c>
      <c r="O186" s="222"/>
      <c r="P186" s="224" t="e">
        <f t="shared" si="130"/>
        <v>#DIV/0!</v>
      </c>
      <c r="Q186" s="222"/>
      <c r="R186" s="224" t="e">
        <f t="shared" si="130"/>
        <v>#DIV/0!</v>
      </c>
      <c r="S186" s="222"/>
      <c r="T186" s="224" t="e">
        <f t="shared" ref="T186" si="181">+S186/$N186</f>
        <v>#DIV/0!</v>
      </c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s="90" customFormat="1" ht="42" customHeight="1">
      <c r="A187" s="32" t="s">
        <v>657</v>
      </c>
      <c r="B187" s="226" t="s">
        <v>658</v>
      </c>
      <c r="C187" s="227" t="s">
        <v>167</v>
      </c>
      <c r="D187" s="228" t="s">
        <v>190</v>
      </c>
      <c r="E187" s="228" t="s">
        <v>172</v>
      </c>
      <c r="F187" s="228">
        <v>18</v>
      </c>
      <c r="G187" s="228"/>
      <c r="H187" s="228"/>
      <c r="I187" s="228"/>
      <c r="J187" s="228"/>
      <c r="K187" s="229"/>
      <c r="L187" s="230"/>
      <c r="M187" s="231" t="s">
        <v>284</v>
      </c>
      <c r="N187" s="232">
        <v>0</v>
      </c>
      <c r="O187" s="232">
        <v>0</v>
      </c>
      <c r="P187" s="233" t="e">
        <f t="shared" si="130"/>
        <v>#DIV/0!</v>
      </c>
      <c r="Q187" s="232">
        <v>0</v>
      </c>
      <c r="R187" s="233" t="e">
        <f t="shared" si="130"/>
        <v>#DIV/0!</v>
      </c>
      <c r="S187" s="232">
        <v>0</v>
      </c>
      <c r="T187" s="233" t="e">
        <f t="shared" ref="T187" si="182">+S187/$N187</f>
        <v>#DIV/0!</v>
      </c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s="90" customFormat="1" ht="36" customHeight="1">
      <c r="A188" s="32" t="s">
        <v>659</v>
      </c>
      <c r="B188" s="210" t="s">
        <v>660</v>
      </c>
      <c r="C188" s="211" t="s">
        <v>167</v>
      </c>
      <c r="D188" s="212" t="s">
        <v>190</v>
      </c>
      <c r="E188" s="212" t="s">
        <v>172</v>
      </c>
      <c r="F188" s="212">
        <v>18</v>
      </c>
      <c r="G188" s="212" t="s">
        <v>175</v>
      </c>
      <c r="H188" s="212">
        <v>4103050</v>
      </c>
      <c r="I188" s="212"/>
      <c r="J188" s="212"/>
      <c r="K188" s="213">
        <v>11</v>
      </c>
      <c r="L188" s="214" t="s">
        <v>29</v>
      </c>
      <c r="M188" s="210" t="s">
        <v>269</v>
      </c>
      <c r="N188" s="215">
        <v>0</v>
      </c>
      <c r="O188" s="215">
        <v>0</v>
      </c>
      <c r="P188" s="216" t="e">
        <f t="shared" si="130"/>
        <v>#DIV/0!</v>
      </c>
      <c r="Q188" s="215">
        <v>0</v>
      </c>
      <c r="R188" s="216" t="e">
        <f t="shared" si="130"/>
        <v>#DIV/0!</v>
      </c>
      <c r="S188" s="215">
        <v>0</v>
      </c>
      <c r="T188" s="216" t="e">
        <f t="shared" ref="T188" si="183">+S188/$N188</f>
        <v>#DIV/0!</v>
      </c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s="90" customFormat="1" ht="24.95" customHeight="1">
      <c r="A189" s="32" t="s">
        <v>661</v>
      </c>
      <c r="B189" s="217" t="s">
        <v>662</v>
      </c>
      <c r="C189" s="266" t="s">
        <v>167</v>
      </c>
      <c r="D189" s="267" t="s">
        <v>190</v>
      </c>
      <c r="E189" s="267" t="s">
        <v>172</v>
      </c>
      <c r="F189" s="267">
        <v>18</v>
      </c>
      <c r="G189" s="267" t="s">
        <v>175</v>
      </c>
      <c r="H189" s="267">
        <v>4103050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0</v>
      </c>
      <c r="O189" s="222"/>
      <c r="P189" s="224" t="e">
        <f t="shared" si="130"/>
        <v>#DIV/0!</v>
      </c>
      <c r="Q189" s="222"/>
      <c r="R189" s="224" t="e">
        <f t="shared" si="130"/>
        <v>#DIV/0!</v>
      </c>
      <c r="S189" s="222"/>
      <c r="T189" s="224" t="e">
        <f t="shared" ref="T189" si="184">+S189/$N189</f>
        <v>#DIV/0!</v>
      </c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s="90" customFormat="1" ht="36" customHeight="1">
      <c r="A190" s="32" t="s">
        <v>663</v>
      </c>
      <c r="B190" s="226" t="s">
        <v>664</v>
      </c>
      <c r="C190" s="227" t="s">
        <v>167</v>
      </c>
      <c r="D190" s="228" t="s">
        <v>190</v>
      </c>
      <c r="E190" s="228" t="s">
        <v>172</v>
      </c>
      <c r="F190" s="228">
        <v>19</v>
      </c>
      <c r="G190" s="228"/>
      <c r="H190" s="228"/>
      <c r="I190" s="228"/>
      <c r="J190" s="228"/>
      <c r="K190" s="229"/>
      <c r="L190" s="230"/>
      <c r="M190" s="231" t="s">
        <v>285</v>
      </c>
      <c r="N190" s="232">
        <v>12733806741</v>
      </c>
      <c r="O190" s="232">
        <v>9570007295</v>
      </c>
      <c r="P190" s="233">
        <f t="shared" si="130"/>
        <v>0.75154331219640114</v>
      </c>
      <c r="Q190" s="232">
        <v>652770879.63999999</v>
      </c>
      <c r="R190" s="233">
        <f t="shared" si="130"/>
        <v>5.1262822886908144E-2</v>
      </c>
      <c r="S190" s="232">
        <v>413753574.63999999</v>
      </c>
      <c r="T190" s="233">
        <f t="shared" ref="T190" si="185">+S190/$N190</f>
        <v>3.2492528201154988E-2</v>
      </c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s="90" customFormat="1" ht="39.75" customHeight="1">
      <c r="A191" s="32" t="s">
        <v>665</v>
      </c>
      <c r="B191" s="210" t="s">
        <v>666</v>
      </c>
      <c r="C191" s="211" t="s">
        <v>167</v>
      </c>
      <c r="D191" s="212" t="s">
        <v>190</v>
      </c>
      <c r="E191" s="212" t="s">
        <v>172</v>
      </c>
      <c r="F191" s="212">
        <v>19</v>
      </c>
      <c r="G191" s="212" t="s">
        <v>175</v>
      </c>
      <c r="H191" s="212">
        <v>4103049</v>
      </c>
      <c r="I191" s="212"/>
      <c r="J191" s="212"/>
      <c r="K191" s="213">
        <v>11</v>
      </c>
      <c r="L191" s="214" t="s">
        <v>29</v>
      </c>
      <c r="M191" s="210" t="s">
        <v>228</v>
      </c>
      <c r="N191" s="215">
        <v>380000000</v>
      </c>
      <c r="O191" s="215">
        <v>272454258</v>
      </c>
      <c r="P191" s="216">
        <f t="shared" si="130"/>
        <v>0.71698488947368422</v>
      </c>
      <c r="Q191" s="215">
        <v>25270118</v>
      </c>
      <c r="R191" s="216">
        <f t="shared" si="130"/>
        <v>6.650031052631579E-2</v>
      </c>
      <c r="S191" s="215">
        <v>20993558</v>
      </c>
      <c r="T191" s="216">
        <f t="shared" ref="T191" si="186">+S191/$N191</f>
        <v>5.5246205263157898E-2</v>
      </c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s="90" customFormat="1" ht="24.95" customHeight="1">
      <c r="A192" s="32" t="s">
        <v>667</v>
      </c>
      <c r="B192" s="217" t="s">
        <v>668</v>
      </c>
      <c r="C192" s="266" t="s">
        <v>167</v>
      </c>
      <c r="D192" s="267" t="s">
        <v>190</v>
      </c>
      <c r="E192" s="267" t="s">
        <v>172</v>
      </c>
      <c r="F192" s="267">
        <v>19</v>
      </c>
      <c r="G192" s="267" t="s">
        <v>175</v>
      </c>
      <c r="H192" s="267">
        <v>4103049</v>
      </c>
      <c r="I192" s="267" t="s">
        <v>54</v>
      </c>
      <c r="J192" s="267"/>
      <c r="K192" s="268">
        <v>11</v>
      </c>
      <c r="L192" s="269" t="s">
        <v>29</v>
      </c>
      <c r="M192" s="259" t="s">
        <v>178</v>
      </c>
      <c r="N192" s="222">
        <v>380000000</v>
      </c>
      <c r="O192" s="222">
        <v>272454258</v>
      </c>
      <c r="P192" s="224">
        <f t="shared" si="130"/>
        <v>0.71698488947368422</v>
      </c>
      <c r="Q192" s="222">
        <v>25270118</v>
      </c>
      <c r="R192" s="224">
        <f t="shared" si="130"/>
        <v>6.650031052631579E-2</v>
      </c>
      <c r="S192" s="222">
        <v>20993558</v>
      </c>
      <c r="T192" s="224">
        <f t="shared" ref="T192" si="187">+S192/$N192</f>
        <v>5.5246205263157898E-2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s="90" customFormat="1" ht="34.5" customHeight="1">
      <c r="A193" s="32" t="s">
        <v>669</v>
      </c>
      <c r="B193" s="210" t="s">
        <v>670</v>
      </c>
      <c r="C193" s="211" t="s">
        <v>167</v>
      </c>
      <c r="D193" s="212" t="s">
        <v>190</v>
      </c>
      <c r="E193" s="212" t="s">
        <v>172</v>
      </c>
      <c r="F193" s="212">
        <v>19</v>
      </c>
      <c r="G193" s="212" t="s">
        <v>175</v>
      </c>
      <c r="H193" s="212">
        <v>4103052</v>
      </c>
      <c r="I193" s="212"/>
      <c r="J193" s="212"/>
      <c r="K193" s="213">
        <v>11</v>
      </c>
      <c r="L193" s="214" t="s">
        <v>29</v>
      </c>
      <c r="M193" s="210" t="s">
        <v>229</v>
      </c>
      <c r="N193" s="215">
        <v>12353806741</v>
      </c>
      <c r="O193" s="215">
        <v>9297553037</v>
      </c>
      <c r="P193" s="216">
        <f t="shared" si="130"/>
        <v>0.75260632062044008</v>
      </c>
      <c r="Q193" s="215">
        <v>627500761.63999999</v>
      </c>
      <c r="R193" s="216">
        <f t="shared" si="130"/>
        <v>5.079412158500432E-2</v>
      </c>
      <c r="S193" s="215">
        <v>392760016.63999999</v>
      </c>
      <c r="T193" s="216">
        <f t="shared" ref="T193" si="188">+S193/$N193</f>
        <v>3.1792630795858423E-2</v>
      </c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s="90" customFormat="1" ht="24.95" customHeight="1">
      <c r="A194" s="32" t="s">
        <v>671</v>
      </c>
      <c r="B194" s="217" t="s">
        <v>672</v>
      </c>
      <c r="C194" s="266" t="s">
        <v>167</v>
      </c>
      <c r="D194" s="267" t="s">
        <v>190</v>
      </c>
      <c r="E194" s="267" t="s">
        <v>172</v>
      </c>
      <c r="F194" s="267">
        <v>19</v>
      </c>
      <c r="G194" s="267" t="s">
        <v>175</v>
      </c>
      <c r="H194" s="267">
        <v>4103052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12353806741</v>
      </c>
      <c r="O194" s="222">
        <v>9297553037</v>
      </c>
      <c r="P194" s="224">
        <f t="shared" si="130"/>
        <v>0.75260632062044008</v>
      </c>
      <c r="Q194" s="222">
        <v>627500761.63999999</v>
      </c>
      <c r="R194" s="224">
        <f t="shared" si="130"/>
        <v>5.079412158500432E-2</v>
      </c>
      <c r="S194" s="222">
        <v>392760016.63999999</v>
      </c>
      <c r="T194" s="224">
        <f t="shared" ref="T194" si="189">+S194/$N194</f>
        <v>3.1792630795858423E-2</v>
      </c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s="90" customFormat="1" ht="24.95" customHeight="1">
      <c r="A195" s="32" t="s">
        <v>673</v>
      </c>
      <c r="B195" s="210" t="s">
        <v>674</v>
      </c>
      <c r="C195" s="211" t="s">
        <v>167</v>
      </c>
      <c r="D195" s="212" t="s">
        <v>190</v>
      </c>
      <c r="E195" s="212" t="s">
        <v>172</v>
      </c>
      <c r="F195" s="212">
        <v>19</v>
      </c>
      <c r="G195" s="212" t="s">
        <v>175</v>
      </c>
      <c r="H195" s="212">
        <v>4103060</v>
      </c>
      <c r="I195" s="212"/>
      <c r="J195" s="212"/>
      <c r="K195" s="213">
        <v>11</v>
      </c>
      <c r="L195" s="214" t="s">
        <v>29</v>
      </c>
      <c r="M195" s="210" t="s">
        <v>216</v>
      </c>
      <c r="N195" s="215">
        <v>0</v>
      </c>
      <c r="O195" s="215">
        <v>0</v>
      </c>
      <c r="P195" s="216" t="e">
        <f t="shared" si="130"/>
        <v>#DIV/0!</v>
      </c>
      <c r="Q195" s="215">
        <v>0</v>
      </c>
      <c r="R195" s="216" t="e">
        <f t="shared" si="130"/>
        <v>#DIV/0!</v>
      </c>
      <c r="S195" s="215">
        <v>0</v>
      </c>
      <c r="T195" s="216" t="e">
        <f t="shared" ref="T195" si="190">+S195/$N195</f>
        <v>#DIV/0!</v>
      </c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s="90" customFormat="1" ht="24.95" customHeight="1">
      <c r="A196" s="32" t="s">
        <v>675</v>
      </c>
      <c r="B196" s="217" t="s">
        <v>676</v>
      </c>
      <c r="C196" s="266" t="s">
        <v>167</v>
      </c>
      <c r="D196" s="267" t="s">
        <v>190</v>
      </c>
      <c r="E196" s="267" t="s">
        <v>172</v>
      </c>
      <c r="F196" s="267">
        <v>19</v>
      </c>
      <c r="G196" s="267" t="s">
        <v>175</v>
      </c>
      <c r="H196" s="267">
        <v>4103060</v>
      </c>
      <c r="I196" s="267" t="s">
        <v>54</v>
      </c>
      <c r="J196" s="267"/>
      <c r="K196" s="268">
        <v>11</v>
      </c>
      <c r="L196" s="269" t="s">
        <v>29</v>
      </c>
      <c r="M196" s="259" t="s">
        <v>178</v>
      </c>
      <c r="N196" s="222">
        <v>0</v>
      </c>
      <c r="O196" s="222">
        <v>0</v>
      </c>
      <c r="P196" s="224" t="e">
        <f t="shared" si="130"/>
        <v>#DIV/0!</v>
      </c>
      <c r="Q196" s="222">
        <v>0</v>
      </c>
      <c r="R196" s="224" t="e">
        <f t="shared" si="130"/>
        <v>#DIV/0!</v>
      </c>
      <c r="S196" s="222">
        <v>0</v>
      </c>
      <c r="T196" s="224" t="e">
        <f t="shared" ref="T196" si="191">+S196/$N196</f>
        <v>#DIV/0!</v>
      </c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s="90" customFormat="1" ht="47.25" customHeight="1">
      <c r="A197" s="32" t="s">
        <v>677</v>
      </c>
      <c r="B197" s="226" t="s">
        <v>678</v>
      </c>
      <c r="C197" s="227" t="s">
        <v>167</v>
      </c>
      <c r="D197" s="228" t="s">
        <v>190</v>
      </c>
      <c r="E197" s="228" t="s">
        <v>172</v>
      </c>
      <c r="F197" s="228">
        <v>20</v>
      </c>
      <c r="G197" s="228"/>
      <c r="H197" s="228"/>
      <c r="I197" s="228"/>
      <c r="J197" s="228"/>
      <c r="K197" s="229"/>
      <c r="L197" s="230"/>
      <c r="M197" s="231" t="s">
        <v>777</v>
      </c>
      <c r="N197" s="232">
        <v>960000000000</v>
      </c>
      <c r="O197" s="232">
        <v>4816936741</v>
      </c>
      <c r="P197" s="233">
        <f t="shared" si="130"/>
        <v>5.0176424385416666E-3</v>
      </c>
      <c r="Q197" s="232">
        <v>179730604</v>
      </c>
      <c r="R197" s="233">
        <f t="shared" si="130"/>
        <v>1.8721937916666668E-4</v>
      </c>
      <c r="S197" s="232">
        <v>110502831</v>
      </c>
      <c r="T197" s="233">
        <f t="shared" ref="T197" si="192">+S197/$N197</f>
        <v>1.1510711562500001E-4</v>
      </c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s="90" customFormat="1" ht="36.75" customHeight="1">
      <c r="A198" s="32" t="s">
        <v>679</v>
      </c>
      <c r="B198" s="210" t="s">
        <v>680</v>
      </c>
      <c r="C198" s="211" t="s">
        <v>167</v>
      </c>
      <c r="D198" s="212" t="s">
        <v>190</v>
      </c>
      <c r="E198" s="212" t="s">
        <v>172</v>
      </c>
      <c r="F198" s="212">
        <v>20</v>
      </c>
      <c r="G198" s="212" t="s">
        <v>175</v>
      </c>
      <c r="H198" s="212">
        <v>4103061</v>
      </c>
      <c r="I198" s="212"/>
      <c r="J198" s="212"/>
      <c r="K198" s="213">
        <v>11</v>
      </c>
      <c r="L198" s="214" t="s">
        <v>29</v>
      </c>
      <c r="M198" s="210" t="s">
        <v>231</v>
      </c>
      <c r="N198" s="215">
        <v>960000000000</v>
      </c>
      <c r="O198" s="215">
        <v>4816936741</v>
      </c>
      <c r="P198" s="216">
        <f t="shared" si="130"/>
        <v>5.0176424385416666E-3</v>
      </c>
      <c r="Q198" s="215">
        <v>179730604</v>
      </c>
      <c r="R198" s="216">
        <f t="shared" si="130"/>
        <v>1.8721937916666668E-4</v>
      </c>
      <c r="S198" s="215">
        <v>110502831</v>
      </c>
      <c r="T198" s="216">
        <f t="shared" ref="T198" si="193">+S198/$N198</f>
        <v>1.1510711562500001E-4</v>
      </c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s="90" customFormat="1" ht="24.95" customHeight="1">
      <c r="A199" s="32" t="s">
        <v>681</v>
      </c>
      <c r="B199" s="217" t="s">
        <v>682</v>
      </c>
      <c r="C199" s="266" t="s">
        <v>167</v>
      </c>
      <c r="D199" s="267" t="s">
        <v>190</v>
      </c>
      <c r="E199" s="267" t="s">
        <v>172</v>
      </c>
      <c r="F199" s="267">
        <v>20</v>
      </c>
      <c r="G199" s="267" t="s">
        <v>175</v>
      </c>
      <c r="H199" s="267">
        <v>4103061</v>
      </c>
      <c r="I199" s="267" t="s">
        <v>54</v>
      </c>
      <c r="J199" s="267"/>
      <c r="K199" s="268">
        <v>11</v>
      </c>
      <c r="L199" s="269" t="s">
        <v>29</v>
      </c>
      <c r="M199" s="259" t="s">
        <v>178</v>
      </c>
      <c r="N199" s="222">
        <v>52278387000</v>
      </c>
      <c r="O199" s="222">
        <v>4816936741</v>
      </c>
      <c r="P199" s="224">
        <f t="shared" si="130"/>
        <v>9.2140117884662351E-2</v>
      </c>
      <c r="Q199" s="222">
        <v>179730604</v>
      </c>
      <c r="R199" s="224">
        <f t="shared" si="130"/>
        <v>3.4379523606954438E-3</v>
      </c>
      <c r="S199" s="222">
        <v>110502831</v>
      </c>
      <c r="T199" s="224">
        <f t="shared" ref="T199" si="194">+S199/$N199</f>
        <v>2.1137383408558492E-3</v>
      </c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s="90" customFormat="1" ht="24.95" customHeight="1">
      <c r="A200" s="32" t="s">
        <v>683</v>
      </c>
      <c r="B200" s="217" t="s">
        <v>684</v>
      </c>
      <c r="C200" s="266" t="s">
        <v>167</v>
      </c>
      <c r="D200" s="267" t="s">
        <v>190</v>
      </c>
      <c r="E200" s="267" t="s">
        <v>172</v>
      </c>
      <c r="F200" s="267">
        <v>20</v>
      </c>
      <c r="G200" s="267" t="s">
        <v>175</v>
      </c>
      <c r="H200" s="267">
        <v>4103061</v>
      </c>
      <c r="I200" s="274" t="s">
        <v>65</v>
      </c>
      <c r="J200" s="267"/>
      <c r="K200" s="268">
        <v>11</v>
      </c>
      <c r="L200" s="269" t="s">
        <v>29</v>
      </c>
      <c r="M200" s="259" t="s">
        <v>127</v>
      </c>
      <c r="N200" s="222">
        <v>907721613000</v>
      </c>
      <c r="O200" s="222">
        <v>0</v>
      </c>
      <c r="P200" s="224">
        <f t="shared" ref="P200:R241" si="195">+O200/$N200</f>
        <v>0</v>
      </c>
      <c r="Q200" s="222">
        <v>0</v>
      </c>
      <c r="R200" s="224">
        <f t="shared" si="195"/>
        <v>0</v>
      </c>
      <c r="S200" s="222">
        <v>0</v>
      </c>
      <c r="T200" s="224">
        <f t="shared" ref="T200" si="196">+S200/$N200</f>
        <v>0</v>
      </c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52.5" customHeight="1">
      <c r="A201" s="32" t="s">
        <v>782</v>
      </c>
      <c r="B201" s="226" t="s">
        <v>692</v>
      </c>
      <c r="C201" s="227" t="s">
        <v>167</v>
      </c>
      <c r="D201" s="228">
        <v>4103</v>
      </c>
      <c r="E201" s="228" t="s">
        <v>172</v>
      </c>
      <c r="F201" s="228">
        <v>21</v>
      </c>
      <c r="G201" s="228"/>
      <c r="H201" s="228"/>
      <c r="I201" s="228"/>
      <c r="J201" s="228"/>
      <c r="K201" s="229"/>
      <c r="L201" s="230"/>
      <c r="M201" s="231" t="s">
        <v>778</v>
      </c>
      <c r="N201" s="232">
        <v>25000000000</v>
      </c>
      <c r="O201" s="232">
        <v>1956074938</v>
      </c>
      <c r="P201" s="233">
        <f t="shared" si="195"/>
        <v>7.8242997519999996E-2</v>
      </c>
      <c r="Q201" s="232">
        <v>242335017</v>
      </c>
      <c r="R201" s="233">
        <f t="shared" si="195"/>
        <v>9.6934006800000003E-3</v>
      </c>
      <c r="S201" s="232">
        <v>165889358</v>
      </c>
      <c r="T201" s="233">
        <f t="shared" ref="T201" si="197">+S201/$N201</f>
        <v>6.6355743199999996E-3</v>
      </c>
    </row>
    <row r="202" spans="1:43" ht="24.95" customHeight="1">
      <c r="A202" s="32" t="s">
        <v>783</v>
      </c>
      <c r="B202" s="210" t="s">
        <v>693</v>
      </c>
      <c r="C202" s="211" t="s">
        <v>167</v>
      </c>
      <c r="D202" s="212">
        <v>4103</v>
      </c>
      <c r="E202" s="212" t="s">
        <v>172</v>
      </c>
      <c r="F202" s="212">
        <v>21</v>
      </c>
      <c r="G202" s="212" t="s">
        <v>175</v>
      </c>
      <c r="H202" s="212" t="s">
        <v>219</v>
      </c>
      <c r="I202" s="212"/>
      <c r="J202" s="212"/>
      <c r="K202" s="213" t="s">
        <v>144</v>
      </c>
      <c r="L202" s="214" t="s">
        <v>29</v>
      </c>
      <c r="M202" s="210" t="s">
        <v>233</v>
      </c>
      <c r="N202" s="215">
        <v>2606454177</v>
      </c>
      <c r="O202" s="215">
        <v>0</v>
      </c>
      <c r="P202" s="216">
        <f t="shared" si="195"/>
        <v>0</v>
      </c>
      <c r="Q202" s="215">
        <v>0</v>
      </c>
      <c r="R202" s="216">
        <f t="shared" si="195"/>
        <v>0</v>
      </c>
      <c r="S202" s="215">
        <v>0</v>
      </c>
      <c r="T202" s="216">
        <f t="shared" ref="T202" si="198">+S202/$N202</f>
        <v>0</v>
      </c>
    </row>
    <row r="203" spans="1:43" ht="24.95" customHeight="1">
      <c r="A203" s="32" t="s">
        <v>784</v>
      </c>
      <c r="B203" s="217" t="s">
        <v>694</v>
      </c>
      <c r="C203" s="218" t="s">
        <v>167</v>
      </c>
      <c r="D203" s="219">
        <v>4103</v>
      </c>
      <c r="E203" s="219" t="s">
        <v>172</v>
      </c>
      <c r="F203" s="219">
        <v>21</v>
      </c>
      <c r="G203" s="219" t="s">
        <v>175</v>
      </c>
      <c r="H203" s="219" t="s">
        <v>219</v>
      </c>
      <c r="I203" s="219" t="s">
        <v>54</v>
      </c>
      <c r="J203" s="219"/>
      <c r="K203" s="220" t="s">
        <v>144</v>
      </c>
      <c r="L203" s="221" t="s">
        <v>29</v>
      </c>
      <c r="M203" s="259" t="s">
        <v>178</v>
      </c>
      <c r="N203" s="222">
        <v>2606454177</v>
      </c>
      <c r="O203" s="222"/>
      <c r="P203" s="224">
        <f t="shared" si="195"/>
        <v>0</v>
      </c>
      <c r="Q203" s="222">
        <v>0</v>
      </c>
      <c r="R203" s="224">
        <f t="shared" si="195"/>
        <v>0</v>
      </c>
      <c r="S203" s="222">
        <v>0</v>
      </c>
      <c r="T203" s="224">
        <f t="shared" ref="T203" si="199">+S203/$N203</f>
        <v>0</v>
      </c>
    </row>
    <row r="204" spans="1:43" ht="29.25" customHeight="1">
      <c r="A204" s="32" t="s">
        <v>785</v>
      </c>
      <c r="B204" s="210" t="s">
        <v>695</v>
      </c>
      <c r="C204" s="211" t="s">
        <v>167</v>
      </c>
      <c r="D204" s="212">
        <v>4103</v>
      </c>
      <c r="E204" s="212" t="s">
        <v>172</v>
      </c>
      <c r="F204" s="212">
        <v>21</v>
      </c>
      <c r="G204" s="212" t="s">
        <v>175</v>
      </c>
      <c r="H204" s="212" t="s">
        <v>234</v>
      </c>
      <c r="I204" s="212"/>
      <c r="J204" s="212"/>
      <c r="K204" s="213" t="s">
        <v>144</v>
      </c>
      <c r="L204" s="214" t="s">
        <v>29</v>
      </c>
      <c r="M204" s="210" t="s">
        <v>235</v>
      </c>
      <c r="N204" s="215">
        <v>1252740115</v>
      </c>
      <c r="O204" s="215">
        <v>0</v>
      </c>
      <c r="P204" s="216">
        <f t="shared" si="195"/>
        <v>0</v>
      </c>
      <c r="Q204" s="215">
        <v>0</v>
      </c>
      <c r="R204" s="216">
        <f t="shared" si="195"/>
        <v>0</v>
      </c>
      <c r="S204" s="215">
        <v>0</v>
      </c>
      <c r="T204" s="216">
        <f t="shared" ref="T204" si="200">+S204/$N204</f>
        <v>0</v>
      </c>
    </row>
    <row r="205" spans="1:43" ht="24.95" customHeight="1">
      <c r="A205" s="32" t="s">
        <v>786</v>
      </c>
      <c r="B205" s="217" t="s">
        <v>696</v>
      </c>
      <c r="C205" s="218" t="s">
        <v>167</v>
      </c>
      <c r="D205" s="219">
        <v>4103</v>
      </c>
      <c r="E205" s="219" t="s">
        <v>172</v>
      </c>
      <c r="F205" s="219">
        <v>21</v>
      </c>
      <c r="G205" s="219" t="s">
        <v>175</v>
      </c>
      <c r="H205" s="219" t="s">
        <v>234</v>
      </c>
      <c r="I205" s="219" t="s">
        <v>54</v>
      </c>
      <c r="J205" s="219"/>
      <c r="K205" s="220" t="s">
        <v>144</v>
      </c>
      <c r="L205" s="221" t="s">
        <v>29</v>
      </c>
      <c r="M205" s="259" t="s">
        <v>178</v>
      </c>
      <c r="N205" s="222">
        <v>1252740115</v>
      </c>
      <c r="O205" s="222"/>
      <c r="P205" s="224">
        <f t="shared" si="195"/>
        <v>0</v>
      </c>
      <c r="Q205" s="222">
        <v>0</v>
      </c>
      <c r="R205" s="224">
        <f t="shared" si="195"/>
        <v>0</v>
      </c>
      <c r="S205" s="222">
        <v>0</v>
      </c>
      <c r="T205" s="224">
        <f t="shared" ref="T205" si="201">+S205/$N205</f>
        <v>0</v>
      </c>
    </row>
    <row r="206" spans="1:43" ht="31.5" customHeight="1">
      <c r="A206" s="32" t="s">
        <v>787</v>
      </c>
      <c r="B206" s="210" t="s">
        <v>697</v>
      </c>
      <c r="C206" s="211" t="s">
        <v>167</v>
      </c>
      <c r="D206" s="212">
        <v>4103</v>
      </c>
      <c r="E206" s="212" t="s">
        <v>172</v>
      </c>
      <c r="F206" s="212">
        <v>21</v>
      </c>
      <c r="G206" s="212" t="s">
        <v>175</v>
      </c>
      <c r="H206" s="212" t="s">
        <v>197</v>
      </c>
      <c r="I206" s="212"/>
      <c r="J206" s="212"/>
      <c r="K206" s="213" t="s">
        <v>144</v>
      </c>
      <c r="L206" s="214" t="s">
        <v>29</v>
      </c>
      <c r="M206" s="210" t="s">
        <v>236</v>
      </c>
      <c r="N206" s="215">
        <v>1722076323</v>
      </c>
      <c r="O206" s="215">
        <v>0</v>
      </c>
      <c r="P206" s="216">
        <f t="shared" si="195"/>
        <v>0</v>
      </c>
      <c r="Q206" s="215">
        <v>0</v>
      </c>
      <c r="R206" s="216">
        <f t="shared" si="195"/>
        <v>0</v>
      </c>
      <c r="S206" s="215">
        <v>0</v>
      </c>
      <c r="T206" s="216">
        <f t="shared" ref="T206" si="202">+S206/$N206</f>
        <v>0</v>
      </c>
    </row>
    <row r="207" spans="1:43" ht="24.95" customHeight="1">
      <c r="A207" s="32" t="s">
        <v>788</v>
      </c>
      <c r="B207" s="217" t="s">
        <v>698</v>
      </c>
      <c r="C207" s="218" t="s">
        <v>167</v>
      </c>
      <c r="D207" s="219">
        <v>4103</v>
      </c>
      <c r="E207" s="219" t="s">
        <v>172</v>
      </c>
      <c r="F207" s="219">
        <v>21</v>
      </c>
      <c r="G207" s="219" t="s">
        <v>175</v>
      </c>
      <c r="H207" s="219" t="s">
        <v>197</v>
      </c>
      <c r="I207" s="219" t="s">
        <v>54</v>
      </c>
      <c r="J207" s="219"/>
      <c r="K207" s="220" t="s">
        <v>144</v>
      </c>
      <c r="L207" s="221" t="s">
        <v>29</v>
      </c>
      <c r="M207" s="259" t="s">
        <v>178</v>
      </c>
      <c r="N207" s="222">
        <v>1722076323</v>
      </c>
      <c r="O207" s="222"/>
      <c r="P207" s="224">
        <f t="shared" si="195"/>
        <v>0</v>
      </c>
      <c r="Q207" s="222"/>
      <c r="R207" s="224">
        <f t="shared" si="195"/>
        <v>0</v>
      </c>
      <c r="S207" s="222"/>
      <c r="T207" s="224">
        <f t="shared" ref="T207" si="203">+S207/$N207</f>
        <v>0</v>
      </c>
    </row>
    <row r="208" spans="1:43" ht="31.5" customHeight="1">
      <c r="A208" s="32" t="s">
        <v>789</v>
      </c>
      <c r="B208" s="210" t="s">
        <v>699</v>
      </c>
      <c r="C208" s="211" t="s">
        <v>167</v>
      </c>
      <c r="D208" s="212">
        <v>4103</v>
      </c>
      <c r="E208" s="212" t="s">
        <v>172</v>
      </c>
      <c r="F208" s="212">
        <v>21</v>
      </c>
      <c r="G208" s="212" t="s">
        <v>175</v>
      </c>
      <c r="H208" s="212" t="s">
        <v>203</v>
      </c>
      <c r="I208" s="212"/>
      <c r="J208" s="212"/>
      <c r="K208" s="213" t="s">
        <v>144</v>
      </c>
      <c r="L208" s="214" t="s">
        <v>29</v>
      </c>
      <c r="M208" s="210" t="s">
        <v>237</v>
      </c>
      <c r="N208" s="215">
        <v>4822978569</v>
      </c>
      <c r="O208" s="215">
        <v>0</v>
      </c>
      <c r="P208" s="216">
        <f t="shared" si="195"/>
        <v>0</v>
      </c>
      <c r="Q208" s="215">
        <v>0</v>
      </c>
      <c r="R208" s="216">
        <f t="shared" si="195"/>
        <v>0</v>
      </c>
      <c r="S208" s="215">
        <v>0</v>
      </c>
      <c r="T208" s="216">
        <f t="shared" ref="T208" si="204">+S208/$N208</f>
        <v>0</v>
      </c>
    </row>
    <row r="209" spans="1:20" ht="24.95" customHeight="1">
      <c r="A209" s="32" t="s">
        <v>790</v>
      </c>
      <c r="B209" s="217" t="s">
        <v>700</v>
      </c>
      <c r="C209" s="218" t="s">
        <v>167</v>
      </c>
      <c r="D209" s="219">
        <v>4103</v>
      </c>
      <c r="E209" s="219" t="s">
        <v>172</v>
      </c>
      <c r="F209" s="219">
        <v>21</v>
      </c>
      <c r="G209" s="219" t="s">
        <v>175</v>
      </c>
      <c r="H209" s="219" t="s">
        <v>203</v>
      </c>
      <c r="I209" s="219" t="s">
        <v>54</v>
      </c>
      <c r="J209" s="219"/>
      <c r="K209" s="220" t="s">
        <v>144</v>
      </c>
      <c r="L209" s="221" t="s">
        <v>29</v>
      </c>
      <c r="M209" s="259" t="s">
        <v>178</v>
      </c>
      <c r="N209" s="222">
        <v>4822978569</v>
      </c>
      <c r="O209" s="222">
        <v>0</v>
      </c>
      <c r="P209" s="224">
        <f t="shared" si="195"/>
        <v>0</v>
      </c>
      <c r="Q209" s="222">
        <v>0</v>
      </c>
      <c r="R209" s="224">
        <f t="shared" si="195"/>
        <v>0</v>
      </c>
      <c r="S209" s="222">
        <v>0</v>
      </c>
      <c r="T209" s="224">
        <f t="shared" ref="T209" si="205">+S209/$N209</f>
        <v>0</v>
      </c>
    </row>
    <row r="210" spans="1:20" ht="31.5" customHeight="1">
      <c r="A210" s="32" t="s">
        <v>791</v>
      </c>
      <c r="B210" s="210" t="s">
        <v>701</v>
      </c>
      <c r="C210" s="211" t="s">
        <v>167</v>
      </c>
      <c r="D210" s="212">
        <v>4103</v>
      </c>
      <c r="E210" s="212" t="s">
        <v>172</v>
      </c>
      <c r="F210" s="212">
        <v>21</v>
      </c>
      <c r="G210" s="212" t="s">
        <v>175</v>
      </c>
      <c r="H210" s="212" t="s">
        <v>223</v>
      </c>
      <c r="I210" s="212"/>
      <c r="J210" s="212"/>
      <c r="K210" s="213" t="s">
        <v>144</v>
      </c>
      <c r="L210" s="214" t="s">
        <v>29</v>
      </c>
      <c r="M210" s="210" t="s">
        <v>238</v>
      </c>
      <c r="N210" s="215">
        <v>14595750816</v>
      </c>
      <c r="O210" s="215">
        <v>1956074938</v>
      </c>
      <c r="P210" s="216">
        <f t="shared" si="195"/>
        <v>0.13401673971137765</v>
      </c>
      <c r="Q210" s="215">
        <v>242335017</v>
      </c>
      <c r="R210" s="216">
        <f t="shared" si="195"/>
        <v>1.6603121007954594E-2</v>
      </c>
      <c r="S210" s="215">
        <v>165889358</v>
      </c>
      <c r="T210" s="216">
        <f t="shared" ref="T210" si="206">+S210/$N210</f>
        <v>1.1365592636601505E-2</v>
      </c>
    </row>
    <row r="211" spans="1:20" ht="24.95" customHeight="1">
      <c r="A211" s="32" t="s">
        <v>792</v>
      </c>
      <c r="B211" s="217" t="s">
        <v>702</v>
      </c>
      <c r="C211" s="218" t="s">
        <v>167</v>
      </c>
      <c r="D211" s="219">
        <v>4103</v>
      </c>
      <c r="E211" s="219" t="s">
        <v>172</v>
      </c>
      <c r="F211" s="219">
        <v>21</v>
      </c>
      <c r="G211" s="219" t="s">
        <v>175</v>
      </c>
      <c r="H211" s="219" t="s">
        <v>223</v>
      </c>
      <c r="I211" s="219" t="s">
        <v>54</v>
      </c>
      <c r="J211" s="219"/>
      <c r="K211" s="220" t="s">
        <v>144</v>
      </c>
      <c r="L211" s="221" t="s">
        <v>29</v>
      </c>
      <c r="M211" s="259" t="s">
        <v>178</v>
      </c>
      <c r="N211" s="222">
        <v>14595750816</v>
      </c>
      <c r="O211" s="222">
        <v>1956074938</v>
      </c>
      <c r="P211" s="224">
        <f t="shared" si="195"/>
        <v>0.13401673971137765</v>
      </c>
      <c r="Q211" s="222">
        <v>242335017</v>
      </c>
      <c r="R211" s="224">
        <f t="shared" si="195"/>
        <v>1.6603121007954594E-2</v>
      </c>
      <c r="S211" s="222">
        <v>165889358</v>
      </c>
      <c r="T211" s="224">
        <f t="shared" ref="T211" si="207">+S211/$N211</f>
        <v>1.1365592636601505E-2</v>
      </c>
    </row>
    <row r="212" spans="1:20" ht="24.95" customHeight="1">
      <c r="A212" s="32" t="s">
        <v>793</v>
      </c>
      <c r="B212" s="217" t="s">
        <v>703</v>
      </c>
      <c r="C212" s="218" t="s">
        <v>167</v>
      </c>
      <c r="D212" s="219">
        <v>4103</v>
      </c>
      <c r="E212" s="219" t="s">
        <v>172</v>
      </c>
      <c r="F212" s="219">
        <v>21</v>
      </c>
      <c r="G212" s="219" t="s">
        <v>175</v>
      </c>
      <c r="H212" s="219" t="s">
        <v>223</v>
      </c>
      <c r="I212" s="225" t="s">
        <v>65</v>
      </c>
      <c r="J212" s="219"/>
      <c r="K212" s="220" t="s">
        <v>144</v>
      </c>
      <c r="L212" s="221" t="s">
        <v>29</v>
      </c>
      <c r="M212" s="259" t="s">
        <v>127</v>
      </c>
      <c r="N212" s="222">
        <v>0</v>
      </c>
      <c r="O212" s="222">
        <v>0</v>
      </c>
      <c r="P212" s="224" t="e">
        <f t="shared" si="195"/>
        <v>#DIV/0!</v>
      </c>
      <c r="Q212" s="222">
        <v>0</v>
      </c>
      <c r="R212" s="224" t="e">
        <f t="shared" si="195"/>
        <v>#DIV/0!</v>
      </c>
      <c r="S212" s="222">
        <v>0</v>
      </c>
      <c r="T212" s="224" t="e">
        <f t="shared" ref="T212" si="208">+S212/$N212</f>
        <v>#DIV/0!</v>
      </c>
    </row>
    <row r="213" spans="1:20" ht="52.5" customHeight="1">
      <c r="A213" s="32" t="s">
        <v>794</v>
      </c>
      <c r="B213" s="226" t="s">
        <v>704</v>
      </c>
      <c r="C213" s="227" t="s">
        <v>167</v>
      </c>
      <c r="D213" s="228">
        <v>4103</v>
      </c>
      <c r="E213" s="228" t="s">
        <v>172</v>
      </c>
      <c r="F213" s="228">
        <v>22</v>
      </c>
      <c r="G213" s="228"/>
      <c r="H213" s="228"/>
      <c r="I213" s="228"/>
      <c r="J213" s="228"/>
      <c r="K213" s="229"/>
      <c r="L213" s="230"/>
      <c r="M213" s="231" t="s">
        <v>239</v>
      </c>
      <c r="N213" s="232">
        <v>137284000000</v>
      </c>
      <c r="O213" s="232">
        <v>89238531854</v>
      </c>
      <c r="P213" s="233">
        <f t="shared" si="195"/>
        <v>0.65002864029311502</v>
      </c>
      <c r="Q213" s="232">
        <v>76352098696</v>
      </c>
      <c r="R213" s="233">
        <f t="shared" si="195"/>
        <v>0.55616166993968708</v>
      </c>
      <c r="S213" s="232">
        <v>76198764565</v>
      </c>
      <c r="T213" s="233">
        <f t="shared" ref="T213" si="209">+S213/$N213</f>
        <v>0.55504475805629205</v>
      </c>
    </row>
    <row r="214" spans="1:20" ht="31.5" customHeight="1">
      <c r="A214" s="32" t="s">
        <v>795</v>
      </c>
      <c r="B214" s="210" t="s">
        <v>705</v>
      </c>
      <c r="C214" s="211" t="s">
        <v>167</v>
      </c>
      <c r="D214" s="212">
        <v>4103</v>
      </c>
      <c r="E214" s="212" t="s">
        <v>172</v>
      </c>
      <c r="F214" s="212">
        <v>22</v>
      </c>
      <c r="G214" s="212" t="s">
        <v>175</v>
      </c>
      <c r="H214" s="212" t="s">
        <v>219</v>
      </c>
      <c r="I214" s="212"/>
      <c r="J214" s="212"/>
      <c r="K214" s="213" t="s">
        <v>144</v>
      </c>
      <c r="L214" s="214" t="s">
        <v>29</v>
      </c>
      <c r="M214" s="210" t="s">
        <v>240</v>
      </c>
      <c r="N214" s="215">
        <v>8350333435</v>
      </c>
      <c r="O214" s="215">
        <v>5812280682</v>
      </c>
      <c r="P214" s="216">
        <f t="shared" si="195"/>
        <v>0.69605372375169117</v>
      </c>
      <c r="Q214" s="215">
        <v>0</v>
      </c>
      <c r="R214" s="216">
        <f t="shared" si="195"/>
        <v>0</v>
      </c>
      <c r="S214" s="215">
        <v>0</v>
      </c>
      <c r="T214" s="216">
        <f t="shared" ref="T214" si="210">+S214/$N214</f>
        <v>0</v>
      </c>
    </row>
    <row r="215" spans="1:20" ht="24.95" customHeight="1">
      <c r="A215" s="32" t="s">
        <v>796</v>
      </c>
      <c r="B215" s="217" t="s">
        <v>706</v>
      </c>
      <c r="C215" s="218" t="s">
        <v>167</v>
      </c>
      <c r="D215" s="219">
        <v>4103</v>
      </c>
      <c r="E215" s="219" t="s">
        <v>172</v>
      </c>
      <c r="F215" s="219">
        <v>22</v>
      </c>
      <c r="G215" s="219" t="s">
        <v>175</v>
      </c>
      <c r="H215" s="219" t="s">
        <v>219</v>
      </c>
      <c r="I215" s="225" t="s">
        <v>54</v>
      </c>
      <c r="J215" s="219"/>
      <c r="K215" s="220" t="s">
        <v>144</v>
      </c>
      <c r="L215" s="221" t="s">
        <v>29</v>
      </c>
      <c r="M215" s="259" t="s">
        <v>178</v>
      </c>
      <c r="N215" s="222">
        <v>8350333435</v>
      </c>
      <c r="O215" s="222">
        <v>5812280682</v>
      </c>
      <c r="P215" s="224">
        <f t="shared" si="195"/>
        <v>0.69605372375169117</v>
      </c>
      <c r="Q215" s="222">
        <v>0</v>
      </c>
      <c r="R215" s="224">
        <f t="shared" si="195"/>
        <v>0</v>
      </c>
      <c r="S215" s="222">
        <v>0</v>
      </c>
      <c r="T215" s="224">
        <f t="shared" ref="T215" si="211">+S215/$N215</f>
        <v>0</v>
      </c>
    </row>
    <row r="216" spans="1:20" ht="31.5" customHeight="1">
      <c r="A216" s="32" t="s">
        <v>797</v>
      </c>
      <c r="B216" s="210" t="s">
        <v>707</v>
      </c>
      <c r="C216" s="211" t="s">
        <v>167</v>
      </c>
      <c r="D216" s="212">
        <v>4103</v>
      </c>
      <c r="E216" s="212" t="s">
        <v>172</v>
      </c>
      <c r="F216" s="212">
        <v>22</v>
      </c>
      <c r="G216" s="212" t="s">
        <v>175</v>
      </c>
      <c r="H216" s="212" t="s">
        <v>234</v>
      </c>
      <c r="I216" s="212"/>
      <c r="J216" s="212"/>
      <c r="K216" s="213" t="s">
        <v>144</v>
      </c>
      <c r="L216" s="214" t="s">
        <v>29</v>
      </c>
      <c r="M216" s="210" t="s">
        <v>241</v>
      </c>
      <c r="N216" s="215">
        <v>8986673675</v>
      </c>
      <c r="O216" s="215">
        <v>709656489</v>
      </c>
      <c r="P216" s="216">
        <f t="shared" si="195"/>
        <v>7.8967648616661265E-2</v>
      </c>
      <c r="Q216" s="215">
        <v>0</v>
      </c>
      <c r="R216" s="216">
        <f t="shared" si="195"/>
        <v>0</v>
      </c>
      <c r="S216" s="215">
        <v>0</v>
      </c>
      <c r="T216" s="216">
        <f t="shared" ref="T216" si="212">+S216/$N216</f>
        <v>0</v>
      </c>
    </row>
    <row r="217" spans="1:20" ht="24.95" customHeight="1">
      <c r="A217" s="32" t="s">
        <v>798</v>
      </c>
      <c r="B217" s="217" t="s">
        <v>708</v>
      </c>
      <c r="C217" s="218" t="s">
        <v>167</v>
      </c>
      <c r="D217" s="219">
        <v>4103</v>
      </c>
      <c r="E217" s="219" t="s">
        <v>172</v>
      </c>
      <c r="F217" s="219">
        <v>22</v>
      </c>
      <c r="G217" s="219" t="s">
        <v>175</v>
      </c>
      <c r="H217" s="219" t="s">
        <v>234</v>
      </c>
      <c r="I217" s="225" t="s">
        <v>54</v>
      </c>
      <c r="J217" s="219"/>
      <c r="K217" s="220" t="s">
        <v>144</v>
      </c>
      <c r="L217" s="221" t="s">
        <v>29</v>
      </c>
      <c r="M217" s="259" t="s">
        <v>178</v>
      </c>
      <c r="N217" s="222">
        <v>5871010369</v>
      </c>
      <c r="O217" s="222">
        <v>709656489</v>
      </c>
      <c r="P217" s="224">
        <f t="shared" si="195"/>
        <v>0.12087467818948422</v>
      </c>
      <c r="Q217" s="222">
        <v>0</v>
      </c>
      <c r="R217" s="224">
        <f t="shared" si="195"/>
        <v>0</v>
      </c>
      <c r="S217" s="222">
        <v>0</v>
      </c>
      <c r="T217" s="224">
        <f t="shared" ref="T217" si="213">+S217/$N217</f>
        <v>0</v>
      </c>
    </row>
    <row r="218" spans="1:20" ht="24.95" customHeight="1">
      <c r="A218" s="32" t="s">
        <v>799</v>
      </c>
      <c r="B218" s="217" t="s">
        <v>709</v>
      </c>
      <c r="C218" s="218" t="s">
        <v>167</v>
      </c>
      <c r="D218" s="219">
        <v>4103</v>
      </c>
      <c r="E218" s="219" t="s">
        <v>172</v>
      </c>
      <c r="F218" s="219">
        <v>22</v>
      </c>
      <c r="G218" s="219" t="s">
        <v>175</v>
      </c>
      <c r="H218" s="219" t="s">
        <v>234</v>
      </c>
      <c r="I218" s="225" t="s">
        <v>65</v>
      </c>
      <c r="J218" s="219"/>
      <c r="K218" s="220" t="s">
        <v>144</v>
      </c>
      <c r="L218" s="221" t="s">
        <v>29</v>
      </c>
      <c r="M218" s="259" t="s">
        <v>127</v>
      </c>
      <c r="N218" s="222">
        <v>3115663306</v>
      </c>
      <c r="O218" s="222">
        <v>0</v>
      </c>
      <c r="P218" s="224">
        <f t="shared" si="195"/>
        <v>0</v>
      </c>
      <c r="Q218" s="222">
        <v>0</v>
      </c>
      <c r="R218" s="224">
        <f t="shared" si="195"/>
        <v>0</v>
      </c>
      <c r="S218" s="222">
        <v>0</v>
      </c>
      <c r="T218" s="224">
        <f t="shared" ref="T218" si="214">+S218/$N218</f>
        <v>0</v>
      </c>
    </row>
    <row r="219" spans="1:20" ht="31.5" customHeight="1">
      <c r="A219" s="32" t="s">
        <v>800</v>
      </c>
      <c r="B219" s="210" t="s">
        <v>710</v>
      </c>
      <c r="C219" s="211" t="s">
        <v>167</v>
      </c>
      <c r="D219" s="212">
        <v>4103</v>
      </c>
      <c r="E219" s="212" t="s">
        <v>172</v>
      </c>
      <c r="F219" s="212">
        <v>22</v>
      </c>
      <c r="G219" s="212" t="s">
        <v>175</v>
      </c>
      <c r="H219" s="212">
        <v>4103051</v>
      </c>
      <c r="I219" s="212"/>
      <c r="J219" s="212"/>
      <c r="K219" s="213" t="s">
        <v>144</v>
      </c>
      <c r="L219" s="214" t="s">
        <v>29</v>
      </c>
      <c r="M219" s="210" t="s">
        <v>242</v>
      </c>
      <c r="N219" s="215">
        <v>1038023922</v>
      </c>
      <c r="O219" s="215">
        <v>0</v>
      </c>
      <c r="P219" s="216">
        <f t="shared" si="195"/>
        <v>0</v>
      </c>
      <c r="Q219" s="215">
        <v>0</v>
      </c>
      <c r="R219" s="216">
        <f t="shared" si="195"/>
        <v>0</v>
      </c>
      <c r="S219" s="215">
        <v>0</v>
      </c>
      <c r="T219" s="216">
        <f t="shared" ref="T219" si="215">+S219/$N219</f>
        <v>0</v>
      </c>
    </row>
    <row r="220" spans="1:20" ht="24.95" customHeight="1">
      <c r="A220" s="32" t="s">
        <v>801</v>
      </c>
      <c r="B220" s="217" t="s">
        <v>711</v>
      </c>
      <c r="C220" s="218" t="s">
        <v>167</v>
      </c>
      <c r="D220" s="219">
        <v>4103</v>
      </c>
      <c r="E220" s="219" t="s">
        <v>172</v>
      </c>
      <c r="F220" s="219">
        <v>22</v>
      </c>
      <c r="G220" s="219" t="s">
        <v>175</v>
      </c>
      <c r="H220" s="219">
        <v>4103051</v>
      </c>
      <c r="I220" s="225" t="s">
        <v>54</v>
      </c>
      <c r="J220" s="219"/>
      <c r="K220" s="220" t="s">
        <v>144</v>
      </c>
      <c r="L220" s="221" t="s">
        <v>29</v>
      </c>
      <c r="M220" s="259" t="s">
        <v>178</v>
      </c>
      <c r="N220" s="222">
        <v>1038023922</v>
      </c>
      <c r="O220" s="222">
        <v>0</v>
      </c>
      <c r="P220" s="224">
        <f t="shared" si="195"/>
        <v>0</v>
      </c>
      <c r="Q220" s="222">
        <v>0</v>
      </c>
      <c r="R220" s="224">
        <f t="shared" si="195"/>
        <v>0</v>
      </c>
      <c r="S220" s="222">
        <v>0</v>
      </c>
      <c r="T220" s="224">
        <f t="shared" ref="T220" si="216">+S220/$N220</f>
        <v>0</v>
      </c>
    </row>
    <row r="221" spans="1:20" ht="31.5" customHeight="1">
      <c r="A221" s="32" t="s">
        <v>802</v>
      </c>
      <c r="B221" s="210" t="s">
        <v>712</v>
      </c>
      <c r="C221" s="211" t="s">
        <v>167</v>
      </c>
      <c r="D221" s="212">
        <v>4103</v>
      </c>
      <c r="E221" s="212" t="s">
        <v>172</v>
      </c>
      <c r="F221" s="212">
        <v>22</v>
      </c>
      <c r="G221" s="212" t="s">
        <v>175</v>
      </c>
      <c r="H221" s="212">
        <v>4103055</v>
      </c>
      <c r="I221" s="212"/>
      <c r="J221" s="212"/>
      <c r="K221" s="213" t="s">
        <v>144</v>
      </c>
      <c r="L221" s="214" t="s">
        <v>29</v>
      </c>
      <c r="M221" s="210" t="s">
        <v>243</v>
      </c>
      <c r="N221" s="215">
        <v>4550769145</v>
      </c>
      <c r="O221" s="215">
        <v>0</v>
      </c>
      <c r="P221" s="216">
        <f t="shared" si="195"/>
        <v>0</v>
      </c>
      <c r="Q221" s="215">
        <v>0</v>
      </c>
      <c r="R221" s="216">
        <f t="shared" si="195"/>
        <v>0</v>
      </c>
      <c r="S221" s="215">
        <v>0</v>
      </c>
      <c r="T221" s="216">
        <f t="shared" ref="T221" si="217">+S221/$N221</f>
        <v>0</v>
      </c>
    </row>
    <row r="222" spans="1:20" ht="24.95" customHeight="1">
      <c r="A222" s="32" t="s">
        <v>803</v>
      </c>
      <c r="B222" s="217" t="s">
        <v>713</v>
      </c>
      <c r="C222" s="218" t="s">
        <v>167</v>
      </c>
      <c r="D222" s="219">
        <v>4103</v>
      </c>
      <c r="E222" s="219" t="s">
        <v>172</v>
      </c>
      <c r="F222" s="219">
        <v>22</v>
      </c>
      <c r="G222" s="219" t="s">
        <v>175</v>
      </c>
      <c r="H222" s="219" t="s">
        <v>203</v>
      </c>
      <c r="I222" s="225" t="s">
        <v>54</v>
      </c>
      <c r="J222" s="219"/>
      <c r="K222" s="220" t="s">
        <v>144</v>
      </c>
      <c r="L222" s="221" t="s">
        <v>29</v>
      </c>
      <c r="M222" s="259" t="s">
        <v>178</v>
      </c>
      <c r="N222" s="222">
        <v>396551404</v>
      </c>
      <c r="O222" s="222">
        <v>0</v>
      </c>
      <c r="P222" s="224">
        <f t="shared" si="195"/>
        <v>0</v>
      </c>
      <c r="Q222" s="222">
        <v>0</v>
      </c>
      <c r="R222" s="224">
        <f t="shared" si="195"/>
        <v>0</v>
      </c>
      <c r="S222" s="222">
        <v>0</v>
      </c>
      <c r="T222" s="224">
        <f t="shared" ref="T222" si="218">+S222/$N222</f>
        <v>0</v>
      </c>
    </row>
    <row r="223" spans="1:20" ht="24.95" customHeight="1">
      <c r="A223" s="32" t="s">
        <v>804</v>
      </c>
      <c r="B223" s="217" t="s">
        <v>714</v>
      </c>
      <c r="C223" s="218" t="s">
        <v>167</v>
      </c>
      <c r="D223" s="219">
        <v>4103</v>
      </c>
      <c r="E223" s="219" t="s">
        <v>172</v>
      </c>
      <c r="F223" s="219">
        <v>22</v>
      </c>
      <c r="G223" s="219" t="s">
        <v>175</v>
      </c>
      <c r="H223" s="219" t="s">
        <v>203</v>
      </c>
      <c r="I223" s="225" t="s">
        <v>65</v>
      </c>
      <c r="J223" s="219"/>
      <c r="K223" s="220" t="s">
        <v>144</v>
      </c>
      <c r="L223" s="221" t="s">
        <v>29</v>
      </c>
      <c r="M223" s="259" t="s">
        <v>127</v>
      </c>
      <c r="N223" s="222">
        <v>4154217741</v>
      </c>
      <c r="O223" s="222">
        <v>0</v>
      </c>
      <c r="P223" s="224">
        <f t="shared" si="195"/>
        <v>0</v>
      </c>
      <c r="Q223" s="222">
        <v>0</v>
      </c>
      <c r="R223" s="224">
        <f t="shared" si="195"/>
        <v>0</v>
      </c>
      <c r="S223" s="222">
        <v>0</v>
      </c>
      <c r="T223" s="224">
        <f t="shared" ref="T223" si="219">+S223/$N223</f>
        <v>0</v>
      </c>
    </row>
    <row r="224" spans="1:20" ht="31.5" customHeight="1">
      <c r="A224" s="32" t="s">
        <v>805</v>
      </c>
      <c r="B224" s="210" t="s">
        <v>715</v>
      </c>
      <c r="C224" s="211" t="s">
        <v>167</v>
      </c>
      <c r="D224" s="212">
        <v>4103</v>
      </c>
      <c r="E224" s="212" t="s">
        <v>172</v>
      </c>
      <c r="F224" s="212">
        <v>22</v>
      </c>
      <c r="G224" s="212" t="s">
        <v>175</v>
      </c>
      <c r="H224" s="212">
        <v>4103057</v>
      </c>
      <c r="I224" s="212"/>
      <c r="J224" s="212"/>
      <c r="K224" s="213" t="s">
        <v>144</v>
      </c>
      <c r="L224" s="214" t="s">
        <v>29</v>
      </c>
      <c r="M224" s="210" t="s">
        <v>244</v>
      </c>
      <c r="N224" s="215">
        <v>102633231456</v>
      </c>
      <c r="O224" s="215">
        <v>82716594683</v>
      </c>
      <c r="P224" s="216">
        <f t="shared" si="195"/>
        <v>0.80594358678515854</v>
      </c>
      <c r="Q224" s="215">
        <v>76352098696</v>
      </c>
      <c r="R224" s="216">
        <f t="shared" si="195"/>
        <v>0.74393154744165868</v>
      </c>
      <c r="S224" s="215">
        <v>76198764565</v>
      </c>
      <c r="T224" s="216">
        <f t="shared" ref="T224" si="220">+S224/$N224</f>
        <v>0.74243754663095896</v>
      </c>
    </row>
    <row r="225" spans="1:43" ht="24.95" customHeight="1">
      <c r="A225" s="32" t="s">
        <v>806</v>
      </c>
      <c r="B225" s="217" t="s">
        <v>716</v>
      </c>
      <c r="C225" s="218" t="s">
        <v>167</v>
      </c>
      <c r="D225" s="219">
        <v>4103</v>
      </c>
      <c r="E225" s="219" t="s">
        <v>172</v>
      </c>
      <c r="F225" s="219">
        <v>22</v>
      </c>
      <c r="G225" s="219" t="s">
        <v>175</v>
      </c>
      <c r="H225" s="219" t="s">
        <v>221</v>
      </c>
      <c r="I225" s="225" t="s">
        <v>54</v>
      </c>
      <c r="J225" s="219"/>
      <c r="K225" s="220" t="s">
        <v>144</v>
      </c>
      <c r="L225" s="221" t="s">
        <v>29</v>
      </c>
      <c r="M225" s="259" t="s">
        <v>178</v>
      </c>
      <c r="N225" s="222">
        <v>6561199369</v>
      </c>
      <c r="O225" s="222">
        <v>5241610683</v>
      </c>
      <c r="P225" s="224">
        <f t="shared" si="195"/>
        <v>0.79887995901561515</v>
      </c>
      <c r="Q225" s="222">
        <v>484762696</v>
      </c>
      <c r="R225" s="224">
        <f t="shared" si="195"/>
        <v>7.38832443181624E-2</v>
      </c>
      <c r="S225" s="222">
        <v>331428565</v>
      </c>
      <c r="T225" s="224">
        <f t="shared" ref="T225" si="221">+S225/$N225</f>
        <v>5.0513411704255745E-2</v>
      </c>
    </row>
    <row r="226" spans="1:43" ht="24.95" customHeight="1">
      <c r="A226" s="32" t="s">
        <v>807</v>
      </c>
      <c r="B226" s="217" t="s">
        <v>717</v>
      </c>
      <c r="C226" s="218" t="s">
        <v>167</v>
      </c>
      <c r="D226" s="219">
        <v>4103</v>
      </c>
      <c r="E226" s="219" t="s">
        <v>172</v>
      </c>
      <c r="F226" s="219">
        <v>22</v>
      </c>
      <c r="G226" s="219" t="s">
        <v>175</v>
      </c>
      <c r="H226" s="219" t="s">
        <v>221</v>
      </c>
      <c r="I226" s="225" t="s">
        <v>65</v>
      </c>
      <c r="J226" s="219"/>
      <c r="K226" s="220" t="s">
        <v>144</v>
      </c>
      <c r="L226" s="221" t="s">
        <v>29</v>
      </c>
      <c r="M226" s="259" t="s">
        <v>127</v>
      </c>
      <c r="N226" s="222">
        <v>96072032087</v>
      </c>
      <c r="O226" s="222">
        <v>77474984000</v>
      </c>
      <c r="P226" s="224">
        <f t="shared" si="195"/>
        <v>0.80642599429812145</v>
      </c>
      <c r="Q226" s="222">
        <v>75867336000</v>
      </c>
      <c r="R226" s="224">
        <f t="shared" si="195"/>
        <v>0.78969221689093427</v>
      </c>
      <c r="S226" s="222">
        <v>75867336000</v>
      </c>
      <c r="T226" s="224">
        <f t="shared" ref="T226" si="222">+S226/$N226</f>
        <v>0.78969221689093427</v>
      </c>
    </row>
    <row r="227" spans="1:43" ht="31.5" customHeight="1">
      <c r="A227" s="32" t="s">
        <v>808</v>
      </c>
      <c r="B227" s="210" t="s">
        <v>718</v>
      </c>
      <c r="C227" s="211" t="s">
        <v>167</v>
      </c>
      <c r="D227" s="212">
        <v>4103</v>
      </c>
      <c r="E227" s="212" t="s">
        <v>172</v>
      </c>
      <c r="F227" s="212">
        <v>22</v>
      </c>
      <c r="G227" s="212" t="s">
        <v>175</v>
      </c>
      <c r="H227" s="212">
        <v>4103062</v>
      </c>
      <c r="I227" s="212"/>
      <c r="J227" s="212"/>
      <c r="K227" s="213" t="s">
        <v>144</v>
      </c>
      <c r="L227" s="214" t="s">
        <v>29</v>
      </c>
      <c r="M227" s="210" t="s">
        <v>245</v>
      </c>
      <c r="N227" s="215">
        <v>11724968367</v>
      </c>
      <c r="O227" s="215">
        <v>0</v>
      </c>
      <c r="P227" s="216">
        <f t="shared" si="195"/>
        <v>0</v>
      </c>
      <c r="Q227" s="215">
        <v>0</v>
      </c>
      <c r="R227" s="216">
        <f t="shared" si="195"/>
        <v>0</v>
      </c>
      <c r="S227" s="215">
        <v>0</v>
      </c>
      <c r="T227" s="216">
        <f t="shared" ref="T227" si="223">+S227/$N227</f>
        <v>0</v>
      </c>
    </row>
    <row r="228" spans="1:43" ht="24.95" customHeight="1">
      <c r="A228" s="32" t="s">
        <v>809</v>
      </c>
      <c r="B228" s="217" t="s">
        <v>719</v>
      </c>
      <c r="C228" s="218" t="s">
        <v>167</v>
      </c>
      <c r="D228" s="219">
        <v>4103</v>
      </c>
      <c r="E228" s="219" t="s">
        <v>172</v>
      </c>
      <c r="F228" s="219">
        <v>22</v>
      </c>
      <c r="G228" s="219" t="s">
        <v>175</v>
      </c>
      <c r="H228" s="219" t="s">
        <v>246</v>
      </c>
      <c r="I228" s="225" t="s">
        <v>54</v>
      </c>
      <c r="J228" s="219"/>
      <c r="K228" s="220" t="s">
        <v>144</v>
      </c>
      <c r="L228" s="221" t="s">
        <v>29</v>
      </c>
      <c r="M228" s="259" t="s">
        <v>178</v>
      </c>
      <c r="N228" s="222">
        <v>1706379915</v>
      </c>
      <c r="O228" s="222">
        <v>0</v>
      </c>
      <c r="P228" s="224">
        <f t="shared" si="195"/>
        <v>0</v>
      </c>
      <c r="Q228" s="222">
        <v>0</v>
      </c>
      <c r="R228" s="224">
        <f t="shared" si="195"/>
        <v>0</v>
      </c>
      <c r="S228" s="222">
        <v>0</v>
      </c>
      <c r="T228" s="224">
        <f t="shared" ref="T228" si="224">+S228/$N228</f>
        <v>0</v>
      </c>
    </row>
    <row r="229" spans="1:43" ht="24.95" customHeight="1">
      <c r="A229" s="32" t="s">
        <v>810</v>
      </c>
      <c r="B229" s="217" t="s">
        <v>720</v>
      </c>
      <c r="C229" s="218" t="s">
        <v>167</v>
      </c>
      <c r="D229" s="219">
        <v>4103</v>
      </c>
      <c r="E229" s="219" t="s">
        <v>172</v>
      </c>
      <c r="F229" s="219">
        <v>22</v>
      </c>
      <c r="G229" s="219" t="s">
        <v>175</v>
      </c>
      <c r="H229" s="219" t="s">
        <v>246</v>
      </c>
      <c r="I229" s="225" t="s">
        <v>65</v>
      </c>
      <c r="J229" s="219"/>
      <c r="K229" s="220" t="s">
        <v>144</v>
      </c>
      <c r="L229" s="221" t="s">
        <v>29</v>
      </c>
      <c r="M229" s="259" t="s">
        <v>127</v>
      </c>
      <c r="N229" s="222">
        <v>10018588452</v>
      </c>
      <c r="O229" s="222">
        <v>0</v>
      </c>
      <c r="P229" s="224">
        <f t="shared" si="195"/>
        <v>0</v>
      </c>
      <c r="Q229" s="222">
        <v>0</v>
      </c>
      <c r="R229" s="224">
        <f t="shared" si="195"/>
        <v>0</v>
      </c>
      <c r="S229" s="222">
        <v>0</v>
      </c>
      <c r="T229" s="224">
        <f t="shared" ref="T229" si="225">+S229/$N229</f>
        <v>0</v>
      </c>
    </row>
    <row r="230" spans="1:43" s="90" customFormat="1" ht="43.5" customHeight="1">
      <c r="A230" s="32"/>
      <c r="B230" s="226" t="s">
        <v>685</v>
      </c>
      <c r="C230" s="227" t="s">
        <v>167</v>
      </c>
      <c r="D230" s="228" t="s">
        <v>190</v>
      </c>
      <c r="E230" s="228" t="s">
        <v>172</v>
      </c>
      <c r="F230" s="228">
        <v>23</v>
      </c>
      <c r="G230" s="228"/>
      <c r="H230" s="228"/>
      <c r="I230" s="228"/>
      <c r="J230" s="228"/>
      <c r="K230" s="229"/>
      <c r="L230" s="230"/>
      <c r="M230" s="231" t="s">
        <v>779</v>
      </c>
      <c r="N230" s="232">
        <v>1769368130080</v>
      </c>
      <c r="O230" s="232">
        <v>441117464231.08997</v>
      </c>
      <c r="P230" s="233">
        <f t="shared" si="195"/>
        <v>0.24930790643954084</v>
      </c>
      <c r="Q230" s="232">
        <v>406761280000</v>
      </c>
      <c r="R230" s="233">
        <f t="shared" si="195"/>
        <v>0.22989070114064322</v>
      </c>
      <c r="S230" s="232">
        <v>406761280000</v>
      </c>
      <c r="T230" s="233">
        <f t="shared" ref="T230" si="226">+S230/$N230</f>
        <v>0.22989070114064322</v>
      </c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s="90" customFormat="1" ht="36" customHeight="1">
      <c r="A231" s="32"/>
      <c r="B231" s="210" t="s">
        <v>721</v>
      </c>
      <c r="C231" s="211" t="s">
        <v>167</v>
      </c>
      <c r="D231" s="212" t="s">
        <v>190</v>
      </c>
      <c r="E231" s="212" t="s">
        <v>172</v>
      </c>
      <c r="F231" s="212">
        <v>23</v>
      </c>
      <c r="G231" s="212" t="s">
        <v>175</v>
      </c>
      <c r="H231" s="212">
        <v>4103065</v>
      </c>
      <c r="I231" s="212"/>
      <c r="J231" s="212"/>
      <c r="K231" s="213">
        <v>11</v>
      </c>
      <c r="L231" s="214" t="s">
        <v>29</v>
      </c>
      <c r="M231" s="210" t="s">
        <v>248</v>
      </c>
      <c r="N231" s="215">
        <v>1769368130080</v>
      </c>
      <c r="O231" s="215">
        <v>441117464231.08997</v>
      </c>
      <c r="P231" s="216">
        <f t="shared" si="195"/>
        <v>0.24930790643954084</v>
      </c>
      <c r="Q231" s="215">
        <v>406761280000</v>
      </c>
      <c r="R231" s="216">
        <f t="shared" si="195"/>
        <v>0.22989070114064322</v>
      </c>
      <c r="S231" s="215">
        <v>406761280000</v>
      </c>
      <c r="T231" s="216">
        <f t="shared" ref="T231" si="227">+S231/$N231</f>
        <v>0.22989070114064322</v>
      </c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1:43" s="90" customFormat="1" ht="27" customHeight="1">
      <c r="A232" s="32"/>
      <c r="B232" s="217" t="s">
        <v>722</v>
      </c>
      <c r="C232" s="266" t="s">
        <v>167</v>
      </c>
      <c r="D232" s="267" t="s">
        <v>190</v>
      </c>
      <c r="E232" s="267" t="s">
        <v>172</v>
      </c>
      <c r="F232" s="267">
        <v>23</v>
      </c>
      <c r="G232" s="267" t="s">
        <v>175</v>
      </c>
      <c r="H232" s="267">
        <v>4103065</v>
      </c>
      <c r="I232" s="267" t="s">
        <v>54</v>
      </c>
      <c r="J232" s="267"/>
      <c r="K232" s="268">
        <v>11</v>
      </c>
      <c r="L232" s="269" t="s">
        <v>29</v>
      </c>
      <c r="M232" s="259" t="s">
        <v>178</v>
      </c>
      <c r="N232" s="222">
        <v>19400000000</v>
      </c>
      <c r="O232" s="222">
        <v>152834398.5</v>
      </c>
      <c r="P232" s="224">
        <f t="shared" si="195"/>
        <v>7.8780617783505147E-3</v>
      </c>
      <c r="Q232" s="222">
        <v>0</v>
      </c>
      <c r="R232" s="224">
        <f t="shared" si="195"/>
        <v>0</v>
      </c>
      <c r="S232" s="222">
        <v>0</v>
      </c>
      <c r="T232" s="224">
        <f t="shared" ref="T232" si="228">+S232/$N232</f>
        <v>0</v>
      </c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1:43" s="90" customFormat="1" ht="27" customHeight="1">
      <c r="A233" s="32"/>
      <c r="B233" s="217" t="s">
        <v>722</v>
      </c>
      <c r="C233" s="266" t="s">
        <v>167</v>
      </c>
      <c r="D233" s="267" t="s">
        <v>190</v>
      </c>
      <c r="E233" s="267" t="s">
        <v>172</v>
      </c>
      <c r="F233" s="267">
        <v>23</v>
      </c>
      <c r="G233" s="267" t="s">
        <v>175</v>
      </c>
      <c r="H233" s="267">
        <v>4103065</v>
      </c>
      <c r="I233" s="267" t="s">
        <v>54</v>
      </c>
      <c r="J233" s="267"/>
      <c r="K233" s="268">
        <v>16</v>
      </c>
      <c r="L233" s="269" t="s">
        <v>156</v>
      </c>
      <c r="M233" s="259" t="s">
        <v>178</v>
      </c>
      <c r="N233" s="222">
        <v>68256379176</v>
      </c>
      <c r="O233" s="222">
        <v>34203349832.59</v>
      </c>
      <c r="P233" s="224">
        <f t="shared" si="195"/>
        <v>0.50110114608330159</v>
      </c>
      <c r="Q233" s="222">
        <v>0</v>
      </c>
      <c r="R233" s="224">
        <f t="shared" si="195"/>
        <v>0</v>
      </c>
      <c r="S233" s="222">
        <v>0</v>
      </c>
      <c r="T233" s="224">
        <f t="shared" ref="T233" si="229">+S233/$N233</f>
        <v>0</v>
      </c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1:43" s="90" customFormat="1" ht="27" customHeight="1">
      <c r="A234" s="32"/>
      <c r="B234" s="217" t="s">
        <v>723</v>
      </c>
      <c r="C234" s="266" t="s">
        <v>167</v>
      </c>
      <c r="D234" s="267" t="s">
        <v>190</v>
      </c>
      <c r="E234" s="267" t="s">
        <v>172</v>
      </c>
      <c r="F234" s="267">
        <v>23</v>
      </c>
      <c r="G234" s="267" t="s">
        <v>175</v>
      </c>
      <c r="H234" s="267">
        <v>4103065</v>
      </c>
      <c r="I234" s="274" t="s">
        <v>65</v>
      </c>
      <c r="J234" s="267"/>
      <c r="K234" s="268">
        <v>11</v>
      </c>
      <c r="L234" s="269" t="s">
        <v>29</v>
      </c>
      <c r="M234" s="259" t="s">
        <v>127</v>
      </c>
      <c r="N234" s="222">
        <v>368600000000</v>
      </c>
      <c r="O234" s="222">
        <v>94084400000</v>
      </c>
      <c r="P234" s="224">
        <f t="shared" si="195"/>
        <v>0.25524796527400978</v>
      </c>
      <c r="Q234" s="222">
        <v>94084400000</v>
      </c>
      <c r="R234" s="224">
        <f t="shared" si="195"/>
        <v>0.25524796527400978</v>
      </c>
      <c r="S234" s="222">
        <v>94084400000</v>
      </c>
      <c r="T234" s="224">
        <f t="shared" ref="T234" si="230">+S234/$N234</f>
        <v>0.25524796527400978</v>
      </c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1:43" s="90" customFormat="1" ht="27" customHeight="1">
      <c r="A235" s="32"/>
      <c r="B235" s="217" t="s">
        <v>723</v>
      </c>
      <c r="C235" s="266" t="s">
        <v>167</v>
      </c>
      <c r="D235" s="267" t="s">
        <v>190</v>
      </c>
      <c r="E235" s="267" t="s">
        <v>172</v>
      </c>
      <c r="F235" s="267">
        <v>23</v>
      </c>
      <c r="G235" s="267" t="s">
        <v>175</v>
      </c>
      <c r="H235" s="267">
        <v>4103065</v>
      </c>
      <c r="I235" s="274" t="s">
        <v>65</v>
      </c>
      <c r="J235" s="267"/>
      <c r="K235" s="268">
        <v>16</v>
      </c>
      <c r="L235" s="269" t="s">
        <v>156</v>
      </c>
      <c r="M235" s="259" t="s">
        <v>127</v>
      </c>
      <c r="N235" s="222">
        <v>1313111750904</v>
      </c>
      <c r="O235" s="222">
        <v>312676880000</v>
      </c>
      <c r="P235" s="224">
        <f t="shared" si="195"/>
        <v>0.23811901750535733</v>
      </c>
      <c r="Q235" s="222">
        <v>312676880000</v>
      </c>
      <c r="R235" s="224">
        <f t="shared" si="195"/>
        <v>0.23811901750535733</v>
      </c>
      <c r="S235" s="222">
        <v>312676880000</v>
      </c>
      <c r="T235" s="224">
        <f t="shared" ref="T235" si="231">+S235/$N235</f>
        <v>0.23811901750535733</v>
      </c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1:43" s="90" customFormat="1" ht="35.1" customHeight="1">
      <c r="A236" s="32" t="s">
        <v>543</v>
      </c>
      <c r="B236" s="188" t="s">
        <v>544</v>
      </c>
      <c r="C236" s="189" t="s">
        <v>167</v>
      </c>
      <c r="D236" s="191">
        <v>4199</v>
      </c>
      <c r="E236" s="191"/>
      <c r="F236" s="191"/>
      <c r="G236" s="191"/>
      <c r="H236" s="191"/>
      <c r="I236" s="191"/>
      <c r="J236" s="191"/>
      <c r="K236" s="192"/>
      <c r="L236" s="193"/>
      <c r="M236" s="188" t="s">
        <v>250</v>
      </c>
      <c r="N236" s="194">
        <v>3226548466</v>
      </c>
      <c r="O236" s="194">
        <v>582946409</v>
      </c>
      <c r="P236" s="195">
        <f t="shared" si="195"/>
        <v>0.18067182785036151</v>
      </c>
      <c r="Q236" s="194">
        <v>582946409</v>
      </c>
      <c r="R236" s="195">
        <f t="shared" si="195"/>
        <v>0.18067182785036151</v>
      </c>
      <c r="S236" s="194">
        <v>582946409</v>
      </c>
      <c r="T236" s="195">
        <f t="shared" ref="T236" si="232">+S236/$N236</f>
        <v>0.18067182785036151</v>
      </c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1:43" s="90" customFormat="1" ht="24.95" customHeight="1">
      <c r="A237" s="32" t="s">
        <v>545</v>
      </c>
      <c r="B237" s="196" t="s">
        <v>300</v>
      </c>
      <c r="C237" s="197" t="s">
        <v>167</v>
      </c>
      <c r="D237" s="198">
        <v>4199</v>
      </c>
      <c r="E237" s="198">
        <v>1500</v>
      </c>
      <c r="F237" s="198"/>
      <c r="G237" s="198"/>
      <c r="H237" s="198"/>
      <c r="I237" s="198"/>
      <c r="J237" s="198"/>
      <c r="K237" s="199"/>
      <c r="L237" s="200"/>
      <c r="M237" s="196" t="s">
        <v>170</v>
      </c>
      <c r="N237" s="201">
        <v>3226548466</v>
      </c>
      <c r="O237" s="201">
        <v>582946409</v>
      </c>
      <c r="P237" s="202">
        <f t="shared" si="195"/>
        <v>0.18067182785036151</v>
      </c>
      <c r="Q237" s="201">
        <v>582946409</v>
      </c>
      <c r="R237" s="202">
        <f t="shared" si="195"/>
        <v>0.18067182785036151</v>
      </c>
      <c r="S237" s="201">
        <v>582946409</v>
      </c>
      <c r="T237" s="202">
        <f t="shared" ref="T237" si="233">+S237/$N237</f>
        <v>0.18067182785036151</v>
      </c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1:43" s="90" customFormat="1" ht="66">
      <c r="A238" s="32" t="s">
        <v>546</v>
      </c>
      <c r="B238" s="203" t="s">
        <v>547</v>
      </c>
      <c r="C238" s="227" t="s">
        <v>167</v>
      </c>
      <c r="D238" s="228" t="s">
        <v>251</v>
      </c>
      <c r="E238" s="228" t="s">
        <v>172</v>
      </c>
      <c r="F238" s="228" t="s">
        <v>252</v>
      </c>
      <c r="G238" s="228"/>
      <c r="H238" s="228"/>
      <c r="I238" s="228"/>
      <c r="J238" s="228"/>
      <c r="K238" s="229"/>
      <c r="L238" s="230"/>
      <c r="M238" s="231" t="s">
        <v>287</v>
      </c>
      <c r="N238" s="232">
        <v>3226548466</v>
      </c>
      <c r="O238" s="232">
        <v>582946409</v>
      </c>
      <c r="P238" s="233">
        <f t="shared" si="195"/>
        <v>0.18067182785036151</v>
      </c>
      <c r="Q238" s="232">
        <v>582946409</v>
      </c>
      <c r="R238" s="233">
        <f t="shared" si="195"/>
        <v>0.18067182785036151</v>
      </c>
      <c r="S238" s="232">
        <v>582946409</v>
      </c>
      <c r="T238" s="233">
        <f t="shared" ref="T238" si="234">+S238/$N238</f>
        <v>0.18067182785036151</v>
      </c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1:43" s="90" customFormat="1" ht="24.95" customHeight="1">
      <c r="A239" s="32" t="s">
        <v>688</v>
      </c>
      <c r="B239" s="210" t="s">
        <v>548</v>
      </c>
      <c r="C239" s="211" t="s">
        <v>167</v>
      </c>
      <c r="D239" s="212" t="s">
        <v>251</v>
      </c>
      <c r="E239" s="212" t="s">
        <v>172</v>
      </c>
      <c r="F239" s="212" t="s">
        <v>252</v>
      </c>
      <c r="G239" s="212" t="s">
        <v>175</v>
      </c>
      <c r="H239" s="212" t="s">
        <v>254</v>
      </c>
      <c r="I239" s="212"/>
      <c r="J239" s="212"/>
      <c r="K239" s="213">
        <v>11</v>
      </c>
      <c r="L239" s="214" t="s">
        <v>29</v>
      </c>
      <c r="M239" s="210" t="s">
        <v>255</v>
      </c>
      <c r="N239" s="215">
        <v>3226548466</v>
      </c>
      <c r="O239" s="215">
        <v>582946409</v>
      </c>
      <c r="P239" s="216">
        <f t="shared" si="195"/>
        <v>0.18067182785036151</v>
      </c>
      <c r="Q239" s="215">
        <v>582946409</v>
      </c>
      <c r="R239" s="216">
        <f t="shared" si="195"/>
        <v>0.18067182785036151</v>
      </c>
      <c r="S239" s="215">
        <v>582946409</v>
      </c>
      <c r="T239" s="216">
        <f t="shared" ref="T239" si="235">+S239/$N239</f>
        <v>0.18067182785036151</v>
      </c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1:43" s="90" customFormat="1" ht="24.95" customHeight="1" thickBot="1">
      <c r="A240" s="32" t="s">
        <v>689</v>
      </c>
      <c r="B240" s="217" t="s">
        <v>549</v>
      </c>
      <c r="C240" s="218" t="s">
        <v>167</v>
      </c>
      <c r="D240" s="219" t="s">
        <v>251</v>
      </c>
      <c r="E240" s="219" t="s">
        <v>172</v>
      </c>
      <c r="F240" s="219" t="s">
        <v>252</v>
      </c>
      <c r="G240" s="219" t="s">
        <v>175</v>
      </c>
      <c r="H240" s="219" t="s">
        <v>254</v>
      </c>
      <c r="I240" s="219" t="s">
        <v>54</v>
      </c>
      <c r="J240" s="219"/>
      <c r="K240" s="275">
        <v>11</v>
      </c>
      <c r="L240" s="276" t="s">
        <v>29</v>
      </c>
      <c r="M240" s="217" t="s">
        <v>178</v>
      </c>
      <c r="N240" s="222">
        <v>3226548466</v>
      </c>
      <c r="O240" s="222">
        <v>582946409</v>
      </c>
      <c r="P240" s="224">
        <f t="shared" si="195"/>
        <v>0.18067182785036151</v>
      </c>
      <c r="Q240" s="222">
        <v>582946409</v>
      </c>
      <c r="R240" s="224">
        <f t="shared" si="195"/>
        <v>0.18067182785036151</v>
      </c>
      <c r="S240" s="222">
        <v>582946409</v>
      </c>
      <c r="T240" s="224">
        <f t="shared" ref="T240" si="236">+S240/$N240</f>
        <v>0.18067182785036151</v>
      </c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1:43" s="90" customFormat="1" ht="35.1" customHeight="1" thickBot="1">
      <c r="A241" s="32"/>
      <c r="B241" s="277" t="s">
        <v>288</v>
      </c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60" t="s">
        <v>256</v>
      </c>
      <c r="N241" s="265">
        <v>9866715907298</v>
      </c>
      <c r="O241" s="265">
        <v>3141255718173.2998</v>
      </c>
      <c r="P241" s="187">
        <f t="shared" si="195"/>
        <v>0.31836892312363463</v>
      </c>
      <c r="Q241" s="265">
        <v>2726803270961.3301</v>
      </c>
      <c r="R241" s="187">
        <f t="shared" si="195"/>
        <v>0.27636381715869884</v>
      </c>
      <c r="S241" s="265">
        <v>2724325388730.3301</v>
      </c>
      <c r="T241" s="187">
        <f t="shared" ref="T241" si="237">+S241/$N241</f>
        <v>0.27611268169941527</v>
      </c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1:43" s="90" customFormat="1" ht="16.5">
      <c r="A242" s="32"/>
      <c r="B242" s="279"/>
      <c r="C242" s="82"/>
      <c r="D242" s="82"/>
      <c r="E242" s="82"/>
      <c r="F242" s="82"/>
      <c r="G242" s="82"/>
      <c r="H242" s="83"/>
      <c r="I242" s="84"/>
      <c r="J242" s="84"/>
      <c r="K242" s="84"/>
      <c r="L242" s="84"/>
      <c r="M242" s="84"/>
      <c r="N242" s="86"/>
      <c r="O242" s="86"/>
      <c r="P242" s="87"/>
      <c r="Q242" s="86"/>
      <c r="R242" s="87"/>
      <c r="S242" s="86"/>
      <c r="T242" s="89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1:43" s="90" customFormat="1" ht="16.5">
      <c r="A243" s="32" t="s">
        <v>550</v>
      </c>
      <c r="B243" s="279"/>
      <c r="C243" s="82"/>
      <c r="D243" s="82"/>
      <c r="E243" s="82"/>
      <c r="F243" s="82"/>
      <c r="G243" s="82"/>
      <c r="H243" s="83"/>
      <c r="I243" s="84"/>
      <c r="J243" s="84"/>
      <c r="K243" s="84"/>
      <c r="L243" s="84"/>
      <c r="M243" s="84"/>
      <c r="N243" s="86">
        <f>+N241-'VIG_2020-IVTrim'!N204</f>
        <v>623910501131</v>
      </c>
      <c r="O243" s="86"/>
      <c r="P243" s="87"/>
      <c r="Q243" s="86"/>
      <c r="R243" s="87"/>
      <c r="S243" s="86"/>
      <c r="T243" s="89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1:43" s="8" customFormat="1" ht="16.5">
      <c r="A244" s="32"/>
      <c r="B244" s="280"/>
      <c r="C244" s="94"/>
      <c r="D244" s="93"/>
      <c r="E244" s="93"/>
      <c r="F244" s="93"/>
      <c r="G244" s="93"/>
      <c r="H244" s="93"/>
      <c r="I244" s="93"/>
      <c r="J244" s="93"/>
      <c r="K244" s="93"/>
      <c r="L244" s="93"/>
      <c r="M244" s="97" t="s">
        <v>289</v>
      </c>
      <c r="N244" s="281">
        <v>9866715907298</v>
      </c>
      <c r="O244" s="281">
        <v>3141255718173.2998</v>
      </c>
      <c r="P244" s="282">
        <v>0.31836892312363463</v>
      </c>
      <c r="Q244" s="281">
        <v>2726803270961.3301</v>
      </c>
      <c r="R244" s="282">
        <v>0.131938461684037</v>
      </c>
      <c r="S244" s="281">
        <v>2724325388730.3301</v>
      </c>
      <c r="T244" s="282">
        <v>0.86727271930429695</v>
      </c>
    </row>
    <row r="245" spans="1:43" s="289" customFormat="1" ht="16.5">
      <c r="A245" s="22"/>
      <c r="B245" s="283"/>
      <c r="C245" s="284"/>
      <c r="D245" s="285"/>
      <c r="E245" s="285"/>
      <c r="F245" s="285"/>
      <c r="G245" s="285"/>
      <c r="H245" s="285"/>
      <c r="I245" s="285"/>
      <c r="J245" s="285"/>
      <c r="K245" s="285"/>
      <c r="L245" s="285"/>
      <c r="M245" s="286" t="s">
        <v>290</v>
      </c>
      <c r="N245" s="98">
        <v>0</v>
      </c>
      <c r="O245" s="98">
        <v>0</v>
      </c>
      <c r="P245" s="287"/>
      <c r="Q245" s="98">
        <v>0</v>
      </c>
      <c r="R245" s="287"/>
      <c r="S245" s="98">
        <v>0</v>
      </c>
      <c r="T245" s="28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</row>
    <row r="246" spans="1:43" ht="18">
      <c r="A246" s="30"/>
      <c r="B246" s="279"/>
      <c r="C246" s="312"/>
      <c r="D246" s="317"/>
      <c r="E246" s="312"/>
      <c r="F246" s="312"/>
      <c r="G246" s="312"/>
      <c r="H246" s="312"/>
      <c r="I246" s="312"/>
      <c r="J246" s="312"/>
      <c r="K246" s="312"/>
      <c r="L246" s="312"/>
      <c r="M246" s="312"/>
      <c r="N246" s="359"/>
      <c r="O246" s="332"/>
      <c r="P246" s="333"/>
      <c r="Q246" s="332"/>
      <c r="R246" s="333"/>
      <c r="S246" s="332"/>
      <c r="T246" s="333"/>
    </row>
    <row r="247" spans="1:43" ht="18">
      <c r="A247" s="30"/>
      <c r="B247" s="279"/>
      <c r="C247" s="312"/>
      <c r="D247" s="317"/>
      <c r="E247" s="312"/>
      <c r="F247" s="312"/>
      <c r="G247" s="312"/>
      <c r="H247" s="312"/>
      <c r="I247" s="312"/>
      <c r="J247" s="312"/>
      <c r="K247" s="312"/>
      <c r="L247" s="312"/>
      <c r="M247" s="312"/>
      <c r="N247" s="332"/>
      <c r="O247" s="332"/>
      <c r="P247" s="333"/>
      <c r="Q247" s="332"/>
      <c r="R247" s="333"/>
      <c r="S247" s="332"/>
      <c r="T247" s="333"/>
    </row>
    <row r="248" spans="1:43" ht="18">
      <c r="A248" s="1"/>
      <c r="B248" s="156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32"/>
      <c r="O248" s="332"/>
      <c r="P248" s="333"/>
      <c r="Q248" s="332"/>
      <c r="R248" s="333"/>
      <c r="S248" s="332"/>
      <c r="T248" s="333"/>
    </row>
    <row r="249" spans="1:43" ht="30">
      <c r="A249" s="1"/>
      <c r="B249" s="156"/>
      <c r="C249" s="318"/>
      <c r="D249" s="318"/>
      <c r="E249" s="318"/>
      <c r="F249" s="318"/>
      <c r="G249" s="318"/>
      <c r="H249" s="318"/>
      <c r="I249" s="312"/>
      <c r="J249" s="312"/>
      <c r="K249" s="312"/>
      <c r="L249" s="312"/>
      <c r="M249" s="336" t="s">
        <v>738</v>
      </c>
      <c r="N249" s="319"/>
      <c r="O249" s="319"/>
      <c r="P249" s="319"/>
      <c r="Q249" s="319"/>
      <c r="R249" s="320"/>
      <c r="S249" s="319"/>
      <c r="T249" s="319"/>
    </row>
    <row r="250" spans="1:43" ht="30">
      <c r="A250" s="1"/>
      <c r="B250" s="156"/>
      <c r="C250" s="321"/>
      <c r="D250" s="322"/>
      <c r="E250" s="322"/>
      <c r="F250" s="322"/>
      <c r="G250" s="322"/>
      <c r="H250" s="322"/>
      <c r="I250" s="322"/>
      <c r="J250" s="322"/>
      <c r="K250" s="322"/>
      <c r="L250" s="322"/>
      <c r="M250" s="337" t="s">
        <v>739</v>
      </c>
      <c r="N250" s="360"/>
      <c r="O250" s="323"/>
      <c r="P250" s="323"/>
      <c r="Q250" s="323"/>
      <c r="R250" s="324"/>
      <c r="S250" s="323"/>
      <c r="T250" s="323"/>
    </row>
    <row r="251" spans="1:43" ht="30">
      <c r="A251" s="325"/>
      <c r="B251" s="314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334"/>
      <c r="O251" s="334"/>
      <c r="P251" s="329"/>
      <c r="Q251" s="329"/>
      <c r="R251" s="329"/>
    </row>
  </sheetData>
  <sheetProtection selectLockedCells="1" selectUnlockedCells="1"/>
  <autoFilter ref="A6:T244" xr:uid="{00000000-0009-0000-0000-000002000000}"/>
  <mergeCells count="3">
    <mergeCell ref="O5:P5"/>
    <mergeCell ref="Q5:R5"/>
    <mergeCell ref="S5:T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13AB4-D510-4701-BC49-B981CFEBBF7E}">
  <sheetPr>
    <tabColor theme="7" tint="0.59999389629810485"/>
    <pageSetUpPr fitToPage="1"/>
  </sheetPr>
  <dimension ref="A1:BC25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5.2851562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75.140625" style="9" customWidth="1"/>
    <col min="14" max="14" width="20" style="13" bestFit="1" customWidth="1"/>
    <col min="15" max="15" width="18.85546875" style="13" customWidth="1"/>
    <col min="16" max="16" width="18.42578125" style="13" customWidth="1"/>
    <col min="17" max="17" width="21.85546875" style="13" customWidth="1"/>
    <col min="18" max="19" width="19.140625" style="13" customWidth="1"/>
    <col min="20" max="20" width="23.710937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917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685"/>
      <c r="C5" s="685"/>
      <c r="D5" s="686"/>
      <c r="E5" s="687"/>
      <c r="F5" s="687"/>
      <c r="G5" s="687"/>
      <c r="H5" s="687"/>
      <c r="I5" s="688"/>
      <c r="J5" s="689"/>
      <c r="K5" s="690"/>
      <c r="L5" s="691"/>
      <c r="M5" s="692"/>
      <c r="N5" s="693"/>
      <c r="O5" s="793" t="s">
        <v>870</v>
      </c>
      <c r="P5" s="794"/>
      <c r="Q5" s="793" t="s">
        <v>871</v>
      </c>
      <c r="R5" s="794"/>
      <c r="S5" s="694"/>
      <c r="T5" s="695" t="s">
        <v>6</v>
      </c>
      <c r="U5" s="795" t="s">
        <v>7</v>
      </c>
      <c r="V5" s="796"/>
      <c r="W5" s="797"/>
      <c r="X5" s="798" t="s">
        <v>8</v>
      </c>
      <c r="Y5" s="799"/>
      <c r="Z5" s="800"/>
      <c r="AA5" s="801" t="s">
        <v>9</v>
      </c>
      <c r="AB5" s="802"/>
      <c r="AC5" s="803"/>
    </row>
    <row r="6" spans="1:29" s="25" customFormat="1" ht="36" customHeight="1" thickBot="1">
      <c r="A6" s="157"/>
      <c r="B6" s="696" t="s">
        <v>2</v>
      </c>
      <c r="C6" s="697" t="s">
        <v>10</v>
      </c>
      <c r="D6" s="698" t="s">
        <v>11</v>
      </c>
      <c r="E6" s="699" t="s">
        <v>12</v>
      </c>
      <c r="F6" s="699" t="s">
        <v>13</v>
      </c>
      <c r="G6" s="699" t="s">
        <v>14</v>
      </c>
      <c r="H6" s="699" t="s">
        <v>15</v>
      </c>
      <c r="I6" s="699" t="s">
        <v>16</v>
      </c>
      <c r="J6" s="700" t="s">
        <v>277</v>
      </c>
      <c r="K6" s="701" t="s">
        <v>3</v>
      </c>
      <c r="L6" s="702" t="s">
        <v>17</v>
      </c>
      <c r="M6" s="696" t="s">
        <v>5</v>
      </c>
      <c r="N6" s="703" t="s">
        <v>869</v>
      </c>
      <c r="O6" s="704" t="s">
        <v>873</v>
      </c>
      <c r="P6" s="705" t="s">
        <v>874</v>
      </c>
      <c r="Q6" s="706" t="s">
        <v>875</v>
      </c>
      <c r="R6" s="706" t="s">
        <v>876</v>
      </c>
      <c r="S6" s="707" t="s">
        <v>872</v>
      </c>
      <c r="T6" s="703" t="s">
        <v>6</v>
      </c>
      <c r="U6" s="708" t="s">
        <v>18</v>
      </c>
      <c r="V6" s="703" t="s">
        <v>877</v>
      </c>
      <c r="W6" s="709" t="s">
        <v>19</v>
      </c>
      <c r="X6" s="706" t="s">
        <v>18</v>
      </c>
      <c r="Y6" s="706" t="s">
        <v>912</v>
      </c>
      <c r="Z6" s="710" t="s">
        <v>879</v>
      </c>
      <c r="AA6" s="706" t="s">
        <v>18</v>
      </c>
      <c r="AB6" s="706" t="s">
        <v>913</v>
      </c>
      <c r="AC6" s="710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tr">
        <f>+CONCATENATE(B8,"=",K8)</f>
        <v>A=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f>+N9+N44+N90+N107</f>
        <v>179300000000</v>
      </c>
      <c r="O8" s="186">
        <f t="shared" ref="O8:S8" si="0">+O9+O44+O90+O107</f>
        <v>3803514274200</v>
      </c>
      <c r="P8" s="186">
        <f t="shared" si="0"/>
        <v>0</v>
      </c>
      <c r="Q8" s="186">
        <f t="shared" si="0"/>
        <v>548804873.13</v>
      </c>
      <c r="R8" s="186">
        <f t="shared" si="0"/>
        <v>548804873.13</v>
      </c>
      <c r="S8" s="186">
        <f t="shared" si="0"/>
        <v>22607000000</v>
      </c>
      <c r="T8" s="186">
        <f>+T9+T44+T90+T107</f>
        <v>3960207274200</v>
      </c>
      <c r="U8" s="186">
        <f>+U9+U44+U90+U107</f>
        <v>2583957051331.8901</v>
      </c>
      <c r="V8" s="186">
        <f>+V9+V44+V90+V107</f>
        <v>87509205868.110001</v>
      </c>
      <c r="W8" s="187">
        <f t="shared" ref="W8:W13" si="1">+IF(T8&gt;0,U8/T8,0)</f>
        <v>0.65248025480026783</v>
      </c>
      <c r="X8" s="186">
        <f>+X9+X44+X90+X107</f>
        <v>2488272012218.9502</v>
      </c>
      <c r="Y8" s="186">
        <f>+Y9+Y44+Y90+Y107</f>
        <v>95685039112.940002</v>
      </c>
      <c r="Z8" s="187">
        <f t="shared" ref="Z8:Z24" si="2">+IF(U8&gt;0,Y8/U8,0)</f>
        <v>3.7030429381022231E-2</v>
      </c>
      <c r="AA8" s="186">
        <f>+AA9+AA44+AA90+AA107</f>
        <v>2486503992717.4902</v>
      </c>
      <c r="AB8" s="186">
        <f>+AB9+AB44+AB90+AB107</f>
        <v>1768019501.46</v>
      </c>
      <c r="AC8" s="187">
        <f>+IF(U8&gt;0,(AA8/U8),0)</f>
        <v>0.96228534117307862</v>
      </c>
    </row>
    <row r="9" spans="1:29" ht="35.1" customHeight="1">
      <c r="A9" s="32" t="str">
        <f t="shared" ref="A9:A76" si="3">+CONCATENATE(B9,"=",K9)</f>
        <v>A-01=</v>
      </c>
      <c r="B9" s="188" t="str">
        <f>CONCATENATE(C9,"-",D9)</f>
        <v>A-01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f>+N10</f>
        <v>105148000000</v>
      </c>
      <c r="O9" s="194">
        <f t="shared" ref="O9:AB9" si="4">+O10</f>
        <v>0</v>
      </c>
      <c r="P9" s="194">
        <f t="shared" si="4"/>
        <v>0</v>
      </c>
      <c r="Q9" s="194">
        <f>+Q10</f>
        <v>0</v>
      </c>
      <c r="R9" s="194">
        <f t="shared" si="4"/>
        <v>0</v>
      </c>
      <c r="S9" s="194">
        <f t="shared" si="4"/>
        <v>0</v>
      </c>
      <c r="T9" s="194">
        <f t="shared" si="4"/>
        <v>105148000000</v>
      </c>
      <c r="U9" s="194">
        <f t="shared" si="4"/>
        <v>33165723715</v>
      </c>
      <c r="V9" s="194">
        <f t="shared" si="4"/>
        <v>71982276285</v>
      </c>
      <c r="W9" s="195">
        <f t="shared" si="1"/>
        <v>0.31541944416441586</v>
      </c>
      <c r="X9" s="194">
        <f t="shared" si="4"/>
        <v>28560598517</v>
      </c>
      <c r="Y9" s="194">
        <f t="shared" si="4"/>
        <v>4605125198</v>
      </c>
      <c r="Z9" s="195">
        <f t="shared" si="2"/>
        <v>0.13885194357803871</v>
      </c>
      <c r="AA9" s="194">
        <f t="shared" si="4"/>
        <v>28555554035</v>
      </c>
      <c r="AB9" s="194">
        <f t="shared" si="4"/>
        <v>5044482</v>
      </c>
      <c r="AC9" s="195">
        <f t="shared" ref="AC9:AC76" si="5">+IF(U9&gt;0,(AA9/U9),0)</f>
        <v>0.86099595716299904</v>
      </c>
    </row>
    <row r="10" spans="1:29" ht="24.95" customHeight="1">
      <c r="A10" s="32" t="str">
        <f t="shared" si="3"/>
        <v>A-01-01=</v>
      </c>
      <c r="B10" s="196" t="str">
        <f>CONCATENATE(C10,"-",D10,"-",E10)</f>
        <v>A-01-01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f>+N11+N24+N34</f>
        <v>105148000000</v>
      </c>
      <c r="O10" s="201">
        <f t="shared" ref="O10:U10" si="6">+O11+O24+O34</f>
        <v>0</v>
      </c>
      <c r="P10" s="201">
        <f t="shared" si="6"/>
        <v>0</v>
      </c>
      <c r="Q10" s="201">
        <f t="shared" si="6"/>
        <v>0</v>
      </c>
      <c r="R10" s="201">
        <f t="shared" si="6"/>
        <v>0</v>
      </c>
      <c r="S10" s="201">
        <f t="shared" si="6"/>
        <v>0</v>
      </c>
      <c r="T10" s="201">
        <f t="shared" si="6"/>
        <v>105148000000</v>
      </c>
      <c r="U10" s="201">
        <f t="shared" si="6"/>
        <v>33165723715</v>
      </c>
      <c r="V10" s="201">
        <f>+V11+V24+V34</f>
        <v>71982276285</v>
      </c>
      <c r="W10" s="202">
        <f t="shared" si="1"/>
        <v>0.31541944416441586</v>
      </c>
      <c r="X10" s="201">
        <f>+X11+X24+X34</f>
        <v>28560598517</v>
      </c>
      <c r="Y10" s="201">
        <f>+Y11+Y24+Y34</f>
        <v>4605125198</v>
      </c>
      <c r="Z10" s="202">
        <f t="shared" si="2"/>
        <v>0.13885194357803871</v>
      </c>
      <c r="AA10" s="201">
        <f>+AA11+AA24+AA34</f>
        <v>28555554035</v>
      </c>
      <c r="AB10" s="201">
        <f>+AB11+AB24+AB34</f>
        <v>5044482</v>
      </c>
      <c r="AC10" s="202">
        <f t="shared" si="5"/>
        <v>0.86099595716299904</v>
      </c>
    </row>
    <row r="11" spans="1:29" ht="24.95" customHeight="1">
      <c r="A11" s="32" t="str">
        <f t="shared" si="3"/>
        <v>A-01-01-01=10</v>
      </c>
      <c r="B11" s="203" t="str">
        <f>CONCATENATE(C11,"-",D11,"-",E11,"-",F11)</f>
        <v>A-01-01-01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f>SUM(N12)</f>
        <v>69237000000</v>
      </c>
      <c r="O11" s="208">
        <f t="shared" ref="O11:AB11" si="7">SUM(O12)</f>
        <v>0</v>
      </c>
      <c r="P11" s="208">
        <f t="shared" si="7"/>
        <v>0</v>
      </c>
      <c r="Q11" s="208">
        <f t="shared" si="7"/>
        <v>0</v>
      </c>
      <c r="R11" s="208">
        <f t="shared" si="7"/>
        <v>0</v>
      </c>
      <c r="S11" s="208">
        <f t="shared" si="7"/>
        <v>0</v>
      </c>
      <c r="T11" s="208">
        <f t="shared" si="7"/>
        <v>69237000000</v>
      </c>
      <c r="U11" s="208">
        <f t="shared" si="7"/>
        <v>19171079411</v>
      </c>
      <c r="V11" s="208">
        <f t="shared" si="7"/>
        <v>50065920589</v>
      </c>
      <c r="W11" s="209">
        <f t="shared" si="1"/>
        <v>0.27689067133180234</v>
      </c>
      <c r="X11" s="208">
        <f t="shared" si="7"/>
        <v>19171079411</v>
      </c>
      <c r="Y11" s="208">
        <f t="shared" si="7"/>
        <v>0</v>
      </c>
      <c r="Z11" s="209">
        <f t="shared" si="2"/>
        <v>0</v>
      </c>
      <c r="AA11" s="208">
        <f t="shared" si="7"/>
        <v>19166034929</v>
      </c>
      <c r="AB11" s="208">
        <f t="shared" si="7"/>
        <v>5044482</v>
      </c>
      <c r="AC11" s="209">
        <f t="shared" si="5"/>
        <v>0.99973687021518953</v>
      </c>
    </row>
    <row r="12" spans="1:29" ht="24.95" customHeight="1">
      <c r="A12" s="32" t="str">
        <f t="shared" si="3"/>
        <v>A-01-01-01-001=10</v>
      </c>
      <c r="B12" s="210" t="str">
        <f>CONCATENATE(C12,"-",D12,"-",E12,"-",F12,"-",G12)</f>
        <v>A-01-01-01-001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f>SUM(N13:N23)</f>
        <v>69237000000</v>
      </c>
      <c r="O12" s="215">
        <f t="shared" ref="O12:AB12" si="8">SUM(O13:O23)</f>
        <v>0</v>
      </c>
      <c r="P12" s="215">
        <f t="shared" si="8"/>
        <v>0</v>
      </c>
      <c r="Q12" s="215">
        <f t="shared" si="8"/>
        <v>0</v>
      </c>
      <c r="R12" s="215">
        <f t="shared" si="8"/>
        <v>0</v>
      </c>
      <c r="S12" s="215">
        <f t="shared" si="8"/>
        <v>0</v>
      </c>
      <c r="T12" s="215">
        <f t="shared" si="8"/>
        <v>69237000000</v>
      </c>
      <c r="U12" s="215">
        <f t="shared" si="8"/>
        <v>19171079411</v>
      </c>
      <c r="V12" s="215">
        <f t="shared" si="8"/>
        <v>50065920589</v>
      </c>
      <c r="W12" s="216">
        <f t="shared" si="1"/>
        <v>0.27689067133180234</v>
      </c>
      <c r="X12" s="215">
        <f t="shared" si="8"/>
        <v>19171079411</v>
      </c>
      <c r="Y12" s="215">
        <f t="shared" si="8"/>
        <v>0</v>
      </c>
      <c r="Z12" s="216">
        <f t="shared" si="2"/>
        <v>0</v>
      </c>
      <c r="AA12" s="215">
        <f t="shared" si="8"/>
        <v>19166034929</v>
      </c>
      <c r="AB12" s="215">
        <f t="shared" si="8"/>
        <v>5044482</v>
      </c>
      <c r="AC12" s="216">
        <f t="shared" si="5"/>
        <v>0.99973687021518953</v>
      </c>
    </row>
    <row r="13" spans="1:29" ht="24.95" customHeight="1">
      <c r="A13" s="32" t="str">
        <f t="shared" si="3"/>
        <v>A-01-01-01-001-001=10</v>
      </c>
      <c r="B13" s="217" t="str">
        <f>CONCATENATE(C13,"-",D13,"-",E13,"-",F13,"-",G13,"-",H13)</f>
        <v>A-01-01-01-001-001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57000000000</v>
      </c>
      <c r="O13" s="222"/>
      <c r="P13" s="222"/>
      <c r="Q13" s="222"/>
      <c r="R13" s="223"/>
      <c r="S13" s="223"/>
      <c r="T13" s="222">
        <f t="shared" ref="T13:T22" si="9">+N13-S13+O13-P13+Q13-R13</f>
        <v>57000000000</v>
      </c>
      <c r="U13" s="222">
        <v>17742130005</v>
      </c>
      <c r="V13" s="222">
        <f t="shared" ref="V13:V115" si="10">+T13-U13</f>
        <v>39257869995</v>
      </c>
      <c r="W13" s="224">
        <f t="shared" si="1"/>
        <v>0.31126543868421053</v>
      </c>
      <c r="X13" s="222">
        <v>17742130005</v>
      </c>
      <c r="Y13" s="222">
        <f>+U13-X13</f>
        <v>0</v>
      </c>
      <c r="Z13" s="224">
        <f t="shared" si="2"/>
        <v>0</v>
      </c>
      <c r="AA13" s="222">
        <v>17737085523</v>
      </c>
      <c r="AB13" s="222">
        <f t="shared" ref="AB13:AB115" si="11">+X13-AA13</f>
        <v>5044482</v>
      </c>
      <c r="AC13" s="224">
        <f t="shared" si="5"/>
        <v>0.99971567776819481</v>
      </c>
    </row>
    <row r="14" spans="1:29" ht="24.95" customHeight="1">
      <c r="A14" s="32" t="str">
        <f t="shared" si="3"/>
        <v>A-01-01-01-001-002=10</v>
      </c>
      <c r="B14" s="217" t="str">
        <f t="shared" ref="B14:B23" si="12">CONCATENATE(C14,"-",D14,"-",E14,"-",F14,"-",G14,"-",H14)</f>
        <v>A-01-01-01-001-002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276000000</v>
      </c>
      <c r="O14" s="222"/>
      <c r="P14" s="222"/>
      <c r="Q14" s="222"/>
      <c r="R14" s="222"/>
      <c r="S14" s="222"/>
      <c r="T14" s="222">
        <f t="shared" si="9"/>
        <v>276000000</v>
      </c>
      <c r="U14" s="222">
        <v>64655084</v>
      </c>
      <c r="V14" s="222">
        <f t="shared" si="10"/>
        <v>211344916</v>
      </c>
      <c r="W14" s="224">
        <f>+IF(T14&gt;0,U14/T14,0)</f>
        <v>0.23425755072463769</v>
      </c>
      <c r="X14" s="222">
        <v>64655084</v>
      </c>
      <c r="Y14" s="222">
        <f t="shared" ref="Y14:Y121" si="13">+U14-X14</f>
        <v>0</v>
      </c>
      <c r="Z14" s="224">
        <f t="shared" si="2"/>
        <v>0</v>
      </c>
      <c r="AA14" s="222">
        <v>64655084</v>
      </c>
      <c r="AB14" s="222">
        <f t="shared" si="11"/>
        <v>0</v>
      </c>
      <c r="AC14" s="224">
        <f t="shared" si="5"/>
        <v>1</v>
      </c>
    </row>
    <row r="15" spans="1:29" ht="24.95" customHeight="1">
      <c r="A15" s="32" t="str">
        <f t="shared" si="3"/>
        <v>A-01-01-01-001-003=10</v>
      </c>
      <c r="B15" s="217" t="str">
        <f t="shared" si="12"/>
        <v>A-01-01-01-001-003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540000000</v>
      </c>
      <c r="O15" s="222"/>
      <c r="P15" s="222"/>
      <c r="Q15" s="222"/>
      <c r="R15" s="222"/>
      <c r="S15" s="222"/>
      <c r="T15" s="222">
        <f t="shared" si="9"/>
        <v>540000000</v>
      </c>
      <c r="U15" s="222">
        <v>165305829</v>
      </c>
      <c r="V15" s="222">
        <f t="shared" si="10"/>
        <v>374694171</v>
      </c>
      <c r="W15" s="224">
        <f t="shared" ref="W15:W82" si="14">+IF(T15&gt;0,U15/T15,0)</f>
        <v>0.30612190555555557</v>
      </c>
      <c r="X15" s="222">
        <v>165305829</v>
      </c>
      <c r="Y15" s="222">
        <f t="shared" si="13"/>
        <v>0</v>
      </c>
      <c r="Z15" s="224">
        <f t="shared" si="2"/>
        <v>0</v>
      </c>
      <c r="AA15" s="222">
        <v>165305829</v>
      </c>
      <c r="AB15" s="222">
        <f t="shared" si="11"/>
        <v>0</v>
      </c>
      <c r="AC15" s="224">
        <f t="shared" si="5"/>
        <v>1</v>
      </c>
    </row>
    <row r="16" spans="1:29" ht="24.95" customHeight="1">
      <c r="A16" s="32" t="str">
        <f t="shared" si="3"/>
        <v>A-01-01-01-001-004=10</v>
      </c>
      <c r="B16" s="217" t="str">
        <f t="shared" si="12"/>
        <v>A-01-01-01-001-004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96000000</v>
      </c>
      <c r="O16" s="222"/>
      <c r="P16" s="222"/>
      <c r="Q16" s="222"/>
      <c r="R16" s="222"/>
      <c r="S16" s="222"/>
      <c r="T16" s="222">
        <f t="shared" si="9"/>
        <v>96000000</v>
      </c>
      <c r="U16" s="222">
        <v>28953128</v>
      </c>
      <c r="V16" s="222">
        <f t="shared" si="10"/>
        <v>67046872</v>
      </c>
      <c r="W16" s="224">
        <f t="shared" si="14"/>
        <v>0.30159508333333335</v>
      </c>
      <c r="X16" s="222">
        <v>28953128</v>
      </c>
      <c r="Y16" s="222">
        <f t="shared" si="13"/>
        <v>0</v>
      </c>
      <c r="Z16" s="224">
        <f t="shared" si="2"/>
        <v>0</v>
      </c>
      <c r="AA16" s="222">
        <v>28953128</v>
      </c>
      <c r="AB16" s="222">
        <f t="shared" si="11"/>
        <v>0</v>
      </c>
      <c r="AC16" s="224">
        <f t="shared" si="5"/>
        <v>1</v>
      </c>
    </row>
    <row r="17" spans="1:55" ht="24.95" customHeight="1">
      <c r="A17" s="32" t="str">
        <f t="shared" si="3"/>
        <v>A-01-01-01-001-005=10</v>
      </c>
      <c r="B17" s="217" t="str">
        <f t="shared" si="12"/>
        <v>A-01-01-01-001-005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80000000</v>
      </c>
      <c r="O17" s="222"/>
      <c r="P17" s="222"/>
      <c r="Q17" s="222"/>
      <c r="R17" s="222"/>
      <c r="S17" s="222"/>
      <c r="T17" s="222">
        <f t="shared" si="9"/>
        <v>80000000</v>
      </c>
      <c r="U17" s="222">
        <v>33611075</v>
      </c>
      <c r="V17" s="222">
        <f t="shared" si="10"/>
        <v>46388925</v>
      </c>
      <c r="W17" s="224">
        <f t="shared" si="14"/>
        <v>0.42013843750000002</v>
      </c>
      <c r="X17" s="222">
        <v>33611075</v>
      </c>
      <c r="Y17" s="222">
        <f t="shared" si="13"/>
        <v>0</v>
      </c>
      <c r="Z17" s="224">
        <f t="shared" si="2"/>
        <v>0</v>
      </c>
      <c r="AA17" s="222">
        <v>33611075</v>
      </c>
      <c r="AB17" s="222">
        <f t="shared" si="11"/>
        <v>0</v>
      </c>
      <c r="AC17" s="224">
        <f t="shared" si="5"/>
        <v>1</v>
      </c>
    </row>
    <row r="18" spans="1:55" ht="24.95" customHeight="1">
      <c r="A18" s="32" t="str">
        <f t="shared" si="3"/>
        <v>A-01-01-01-001-006=10</v>
      </c>
      <c r="B18" s="217" t="str">
        <f t="shared" si="12"/>
        <v>A-01-01-01-001-006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2448300000</v>
      </c>
      <c r="O18" s="222"/>
      <c r="P18" s="222"/>
      <c r="Q18" s="222"/>
      <c r="R18" s="222"/>
      <c r="S18" s="222"/>
      <c r="T18" s="222">
        <f t="shared" si="9"/>
        <v>2448300000</v>
      </c>
      <c r="U18" s="222">
        <v>32870122</v>
      </c>
      <c r="V18" s="222">
        <f t="shared" si="10"/>
        <v>2415429878</v>
      </c>
      <c r="W18" s="224">
        <f t="shared" si="14"/>
        <v>1.3425692112894662E-2</v>
      </c>
      <c r="X18" s="222">
        <v>32870122</v>
      </c>
      <c r="Y18" s="222">
        <f t="shared" si="13"/>
        <v>0</v>
      </c>
      <c r="Z18" s="224">
        <f t="shared" si="2"/>
        <v>0</v>
      </c>
      <c r="AA18" s="222">
        <v>32870122</v>
      </c>
      <c r="AB18" s="222">
        <f t="shared" si="11"/>
        <v>0</v>
      </c>
      <c r="AC18" s="224">
        <f t="shared" si="5"/>
        <v>1</v>
      </c>
    </row>
    <row r="19" spans="1:55" ht="24.95" customHeight="1">
      <c r="A19" s="32" t="str">
        <f t="shared" si="3"/>
        <v>A-01-01-01-001-007=10</v>
      </c>
      <c r="B19" s="217" t="str">
        <f t="shared" si="12"/>
        <v>A-01-01-01-001-007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1757500000</v>
      </c>
      <c r="O19" s="222"/>
      <c r="P19" s="222"/>
      <c r="Q19" s="222"/>
      <c r="R19" s="222"/>
      <c r="S19" s="222"/>
      <c r="T19" s="222">
        <f t="shared" si="9"/>
        <v>1757500000</v>
      </c>
      <c r="U19" s="222">
        <v>595392881</v>
      </c>
      <c r="V19" s="222">
        <f t="shared" si="10"/>
        <v>1162107119</v>
      </c>
      <c r="W19" s="224">
        <f t="shared" si="14"/>
        <v>0.33877262076813658</v>
      </c>
      <c r="X19" s="222">
        <v>595392881</v>
      </c>
      <c r="Y19" s="222">
        <f t="shared" si="13"/>
        <v>0</v>
      </c>
      <c r="Z19" s="224">
        <f t="shared" si="2"/>
        <v>0</v>
      </c>
      <c r="AA19" s="222">
        <v>595392881</v>
      </c>
      <c r="AB19" s="222">
        <f t="shared" si="11"/>
        <v>0</v>
      </c>
      <c r="AC19" s="224">
        <f t="shared" si="5"/>
        <v>1</v>
      </c>
    </row>
    <row r="20" spans="1:55" ht="24.95" customHeight="1">
      <c r="A20" s="32" t="str">
        <f t="shared" si="3"/>
        <v>A-01-01-01-001-008=10</v>
      </c>
      <c r="B20" s="217" t="str">
        <f t="shared" si="12"/>
        <v>A-01-01-01-001-008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210000000</v>
      </c>
      <c r="O20" s="222"/>
      <c r="P20" s="222"/>
      <c r="Q20" s="222"/>
      <c r="R20" s="222"/>
      <c r="S20" s="222"/>
      <c r="T20" s="222">
        <f t="shared" si="9"/>
        <v>210000000</v>
      </c>
      <c r="U20" s="222">
        <v>23407099</v>
      </c>
      <c r="V20" s="222">
        <f t="shared" si="10"/>
        <v>186592901</v>
      </c>
      <c r="W20" s="224">
        <f t="shared" si="14"/>
        <v>0.11146237619047619</v>
      </c>
      <c r="X20" s="222">
        <v>23407099</v>
      </c>
      <c r="Y20" s="222">
        <f t="shared" si="13"/>
        <v>0</v>
      </c>
      <c r="Z20" s="224">
        <f t="shared" si="2"/>
        <v>0</v>
      </c>
      <c r="AA20" s="222">
        <v>23407099</v>
      </c>
      <c r="AB20" s="222">
        <f t="shared" si="11"/>
        <v>0</v>
      </c>
      <c r="AC20" s="224">
        <f t="shared" si="5"/>
        <v>1</v>
      </c>
    </row>
    <row r="21" spans="1:55" ht="24.95" customHeight="1">
      <c r="A21" s="32" t="str">
        <f t="shared" si="3"/>
        <v>A-01-01-01-001-009=10</v>
      </c>
      <c r="B21" s="217" t="str">
        <f t="shared" si="12"/>
        <v>A-01-01-01-001-009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5100500000</v>
      </c>
      <c r="O21" s="222"/>
      <c r="P21" s="222"/>
      <c r="Q21" s="222"/>
      <c r="R21" s="222"/>
      <c r="S21" s="222"/>
      <c r="T21" s="222">
        <f t="shared" si="9"/>
        <v>5100500000</v>
      </c>
      <c r="U21" s="222">
        <v>17867608</v>
      </c>
      <c r="V21" s="222">
        <f t="shared" si="10"/>
        <v>5082632392</v>
      </c>
      <c r="W21" s="224">
        <f t="shared" si="14"/>
        <v>3.5031091069502988E-3</v>
      </c>
      <c r="X21" s="222">
        <v>17867608</v>
      </c>
      <c r="Y21" s="222">
        <f t="shared" si="13"/>
        <v>0</v>
      </c>
      <c r="Z21" s="224">
        <f t="shared" si="2"/>
        <v>0</v>
      </c>
      <c r="AA21" s="222">
        <v>17867608</v>
      </c>
      <c r="AB21" s="222">
        <f t="shared" si="11"/>
        <v>0</v>
      </c>
      <c r="AC21" s="224">
        <f t="shared" si="5"/>
        <v>1</v>
      </c>
    </row>
    <row r="22" spans="1:55" ht="24.95" customHeight="1">
      <c r="A22" s="32" t="str">
        <f t="shared" si="3"/>
        <v>A-01-01-01-001-010=10</v>
      </c>
      <c r="B22" s="217" t="str">
        <f t="shared" si="12"/>
        <v>A-01-01-01-001-010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1676700000</v>
      </c>
      <c r="O22" s="222"/>
      <c r="P22" s="222"/>
      <c r="Q22" s="222"/>
      <c r="R22" s="222"/>
      <c r="S22" s="222"/>
      <c r="T22" s="222">
        <f t="shared" si="9"/>
        <v>1676700000</v>
      </c>
      <c r="U22" s="222">
        <v>457958637</v>
      </c>
      <c r="V22" s="222">
        <f t="shared" si="10"/>
        <v>1218741363</v>
      </c>
      <c r="W22" s="224">
        <f t="shared" si="14"/>
        <v>0.27313093397745569</v>
      </c>
      <c r="X22" s="222">
        <v>457958637</v>
      </c>
      <c r="Y22" s="222">
        <f t="shared" si="13"/>
        <v>0</v>
      </c>
      <c r="Z22" s="224">
        <f t="shared" si="2"/>
        <v>0</v>
      </c>
      <c r="AA22" s="222">
        <v>457958637</v>
      </c>
      <c r="AB22" s="222">
        <f t="shared" si="11"/>
        <v>0</v>
      </c>
      <c r="AC22" s="224">
        <f t="shared" si="5"/>
        <v>1</v>
      </c>
    </row>
    <row r="23" spans="1:55" s="64" customFormat="1" ht="24.95" customHeight="1">
      <c r="A23" s="32" t="str">
        <f t="shared" si="3"/>
        <v>A-01-01-01-001-012=10</v>
      </c>
      <c r="B23" s="217" t="str">
        <f t="shared" si="12"/>
        <v>A-01-01-01-001-012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52000000</v>
      </c>
      <c r="O23" s="222"/>
      <c r="P23" s="222"/>
      <c r="Q23" s="222"/>
      <c r="R23" s="222"/>
      <c r="S23" s="222"/>
      <c r="T23" s="222">
        <f t="shared" ref="T23" si="15">+N23+O23-P23+Q23-R23-S23</f>
        <v>52000000</v>
      </c>
      <c r="U23" s="222">
        <v>8927943</v>
      </c>
      <c r="V23" s="222">
        <f t="shared" si="10"/>
        <v>43072057</v>
      </c>
      <c r="W23" s="224">
        <f t="shared" si="14"/>
        <v>0.17169121153846154</v>
      </c>
      <c r="X23" s="222">
        <v>8927943</v>
      </c>
      <c r="Y23" s="222">
        <f t="shared" si="13"/>
        <v>0</v>
      </c>
      <c r="Z23" s="224">
        <f t="shared" si="2"/>
        <v>0</v>
      </c>
      <c r="AA23" s="222">
        <v>8927943</v>
      </c>
      <c r="AB23" s="222">
        <f t="shared" si="11"/>
        <v>0</v>
      </c>
      <c r="AC23" s="224">
        <f t="shared" si="5"/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tr">
        <f t="shared" si="3"/>
        <v>A-01-01-02=10</v>
      </c>
      <c r="B24" s="226" t="str">
        <f>CONCATENATE(C24,"-",D24,"-",E24,"-",F24)</f>
        <v>A-01-01-02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f>SUM(N25:N33)</f>
        <v>28758000000</v>
      </c>
      <c r="O24" s="232">
        <f t="shared" ref="O24:S24" si="16">SUM(O25:O33)</f>
        <v>0</v>
      </c>
      <c r="P24" s="232">
        <f t="shared" si="16"/>
        <v>0</v>
      </c>
      <c r="Q24" s="232">
        <f t="shared" si="16"/>
        <v>0</v>
      </c>
      <c r="R24" s="232">
        <f t="shared" si="16"/>
        <v>0</v>
      </c>
      <c r="S24" s="232">
        <f t="shared" si="16"/>
        <v>0</v>
      </c>
      <c r="T24" s="232">
        <f>SUM(T25:T33)</f>
        <v>28758000000</v>
      </c>
      <c r="U24" s="232">
        <f t="shared" ref="U24:V24" si="17">SUM(U25:U33)</f>
        <v>12225656100</v>
      </c>
      <c r="V24" s="232">
        <f t="shared" si="17"/>
        <v>16532343900</v>
      </c>
      <c r="W24" s="233">
        <f t="shared" si="14"/>
        <v>0.42512191737951177</v>
      </c>
      <c r="X24" s="232">
        <f t="shared" ref="X24:AB24" si="18">SUM(X25:X33)</f>
        <v>7622856232</v>
      </c>
      <c r="Y24" s="232">
        <f t="shared" si="18"/>
        <v>4602799868</v>
      </c>
      <c r="Z24" s="233">
        <f t="shared" si="2"/>
        <v>0.37648694109758246</v>
      </c>
      <c r="AA24" s="232">
        <f t="shared" si="18"/>
        <v>7622856232</v>
      </c>
      <c r="AB24" s="232">
        <f t="shared" si="18"/>
        <v>0</v>
      </c>
      <c r="AC24" s="233">
        <f t="shared" si="5"/>
        <v>0.62351305890241748</v>
      </c>
    </row>
    <row r="25" spans="1:55" ht="24.95" customHeight="1">
      <c r="A25" s="32" t="str">
        <f t="shared" si="3"/>
        <v>A-01-01-02-001=10</v>
      </c>
      <c r="B25" s="217" t="str">
        <f t="shared" ref="B25:B33" si="19">CONCATENATE(C25,"-",D25,"-",E25,"-",F25,"-",G25)</f>
        <v>A-01-01-02-001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7690200000</v>
      </c>
      <c r="O25" s="222"/>
      <c r="P25" s="222"/>
      <c r="Q25" s="222"/>
      <c r="R25" s="222"/>
      <c r="S25" s="222"/>
      <c r="T25" s="222">
        <f t="shared" ref="T25:T33" si="20">+N25-S25+O25-P25+Q25-R25</f>
        <v>7690200000</v>
      </c>
      <c r="U25" s="222">
        <v>2377357800</v>
      </c>
      <c r="V25" s="222">
        <f t="shared" si="10"/>
        <v>5312842200</v>
      </c>
      <c r="W25" s="224">
        <f t="shared" si="14"/>
        <v>0.30914121869392214</v>
      </c>
      <c r="X25" s="222">
        <v>2377357800</v>
      </c>
      <c r="Y25" s="222">
        <f t="shared" si="13"/>
        <v>0</v>
      </c>
      <c r="Z25" s="224">
        <f>+IF(U25&gt;0,Y25/U25,0)</f>
        <v>0</v>
      </c>
      <c r="AA25" s="222">
        <v>2377357800</v>
      </c>
      <c r="AB25" s="222">
        <f t="shared" si="11"/>
        <v>0</v>
      </c>
      <c r="AC25" s="224">
        <f t="shared" si="5"/>
        <v>1</v>
      </c>
    </row>
    <row r="26" spans="1:55" ht="24.95" customHeight="1">
      <c r="A26" s="32" t="str">
        <f t="shared" si="3"/>
        <v>A-01-01-02-002=10</v>
      </c>
      <c r="B26" s="217" t="str">
        <f t="shared" si="19"/>
        <v>A-01-01-02-002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5447200000</v>
      </c>
      <c r="O26" s="222"/>
      <c r="P26" s="222"/>
      <c r="Q26" s="222"/>
      <c r="R26" s="222"/>
      <c r="S26" s="222"/>
      <c r="T26" s="222">
        <f t="shared" si="20"/>
        <v>5447200000</v>
      </c>
      <c r="U26" s="222">
        <v>1688008100</v>
      </c>
      <c r="V26" s="222">
        <f t="shared" si="10"/>
        <v>3759191900</v>
      </c>
      <c r="W26" s="224">
        <f t="shared" si="14"/>
        <v>0.30988546409164341</v>
      </c>
      <c r="X26" s="222">
        <v>1688008100</v>
      </c>
      <c r="Y26" s="222">
        <f t="shared" si="13"/>
        <v>0</v>
      </c>
      <c r="Z26" s="224">
        <f t="shared" ref="Z26:Z92" si="21">+IF(U26&gt;0,Y26/U26,0)</f>
        <v>0</v>
      </c>
      <c r="AA26" s="222">
        <v>1688008100</v>
      </c>
      <c r="AB26" s="222">
        <f t="shared" si="11"/>
        <v>0</v>
      </c>
      <c r="AC26" s="224">
        <f t="shared" si="5"/>
        <v>1</v>
      </c>
    </row>
    <row r="27" spans="1:55" ht="24.95" customHeight="1">
      <c r="A27" s="32" t="str">
        <f t="shared" si="3"/>
        <v>A-01-01-02-003=10</v>
      </c>
      <c r="B27" s="217" t="str">
        <f t="shared" si="19"/>
        <v>A-01-01-02-003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8895400000</v>
      </c>
      <c r="O27" s="222"/>
      <c r="P27" s="222"/>
      <c r="Q27" s="222"/>
      <c r="R27" s="222"/>
      <c r="S27" s="222"/>
      <c r="T27" s="222">
        <f t="shared" si="20"/>
        <v>8895400000</v>
      </c>
      <c r="U27" s="222">
        <v>6200000000</v>
      </c>
      <c r="V27" s="222">
        <f t="shared" si="10"/>
        <v>2695400000</v>
      </c>
      <c r="W27" s="224">
        <f t="shared" si="14"/>
        <v>0.69698945522404843</v>
      </c>
      <c r="X27" s="222">
        <v>1599619132</v>
      </c>
      <c r="Y27" s="222">
        <f t="shared" si="13"/>
        <v>4600380868</v>
      </c>
      <c r="Z27" s="224">
        <f t="shared" si="21"/>
        <v>0.74199691419354841</v>
      </c>
      <c r="AA27" s="222">
        <v>1599619132</v>
      </c>
      <c r="AB27" s="222">
        <f t="shared" si="11"/>
        <v>0</v>
      </c>
      <c r="AC27" s="224">
        <f t="shared" si="5"/>
        <v>0.25800308580645159</v>
      </c>
    </row>
    <row r="28" spans="1:55" ht="24.95" customHeight="1">
      <c r="A28" s="32" t="str">
        <f t="shared" si="3"/>
        <v>A-01-01-02-004=10</v>
      </c>
      <c r="B28" s="217" t="str">
        <f t="shared" si="19"/>
        <v>A-01-01-02-004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2732300000</v>
      </c>
      <c r="O28" s="222"/>
      <c r="P28" s="222"/>
      <c r="Q28" s="222"/>
      <c r="R28" s="222"/>
      <c r="S28" s="222"/>
      <c r="T28" s="222">
        <f t="shared" si="20"/>
        <v>2732300000</v>
      </c>
      <c r="U28" s="222">
        <v>793875100</v>
      </c>
      <c r="V28" s="222">
        <f t="shared" si="10"/>
        <v>1938424900</v>
      </c>
      <c r="W28" s="224">
        <f t="shared" si="14"/>
        <v>0.29055195256743405</v>
      </c>
      <c r="X28" s="222">
        <v>793875100</v>
      </c>
      <c r="Y28" s="222">
        <f t="shared" si="13"/>
        <v>0</v>
      </c>
      <c r="Z28" s="224">
        <f t="shared" si="21"/>
        <v>0</v>
      </c>
      <c r="AA28" s="222">
        <v>793875100</v>
      </c>
      <c r="AB28" s="222">
        <f t="shared" si="11"/>
        <v>0</v>
      </c>
      <c r="AC28" s="224">
        <f t="shared" si="5"/>
        <v>1</v>
      </c>
    </row>
    <row r="29" spans="1:55" ht="24.95" customHeight="1">
      <c r="A29" s="32" t="str">
        <f t="shared" si="3"/>
        <v>A-01-01-02-005=10</v>
      </c>
      <c r="B29" s="217" t="str">
        <f t="shared" si="19"/>
        <v>A-01-01-02-005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540000000</v>
      </c>
      <c r="O29" s="222"/>
      <c r="P29" s="222"/>
      <c r="Q29" s="222"/>
      <c r="R29" s="222"/>
      <c r="S29" s="222"/>
      <c r="T29" s="222">
        <f t="shared" si="20"/>
        <v>540000000</v>
      </c>
      <c r="U29" s="222">
        <v>173269600</v>
      </c>
      <c r="V29" s="222">
        <f t="shared" si="10"/>
        <v>366730400</v>
      </c>
      <c r="W29" s="224">
        <f t="shared" si="14"/>
        <v>0.32086962962962962</v>
      </c>
      <c r="X29" s="222">
        <v>170956800</v>
      </c>
      <c r="Y29" s="222">
        <f t="shared" si="13"/>
        <v>2312800</v>
      </c>
      <c r="Z29" s="224">
        <f t="shared" si="21"/>
        <v>1.3347984874438447E-2</v>
      </c>
      <c r="AA29" s="222">
        <v>170956800</v>
      </c>
      <c r="AB29" s="222">
        <f t="shared" si="11"/>
        <v>0</v>
      </c>
      <c r="AC29" s="224">
        <f t="shared" si="5"/>
        <v>0.98665201512556155</v>
      </c>
    </row>
    <row r="30" spans="1:55" ht="24.95" customHeight="1">
      <c r="A30" s="32" t="str">
        <f t="shared" si="3"/>
        <v>A-01-01-02-006=10</v>
      </c>
      <c r="B30" s="217" t="str">
        <f t="shared" si="19"/>
        <v>A-01-01-02-006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2071700000</v>
      </c>
      <c r="O30" s="222"/>
      <c r="P30" s="222"/>
      <c r="Q30" s="222"/>
      <c r="R30" s="222"/>
      <c r="S30" s="222"/>
      <c r="T30" s="222">
        <f t="shared" si="20"/>
        <v>2071700000</v>
      </c>
      <c r="U30" s="222">
        <v>595500200</v>
      </c>
      <c r="V30" s="222">
        <f t="shared" si="10"/>
        <v>1476199800</v>
      </c>
      <c r="W30" s="224">
        <f t="shared" si="14"/>
        <v>0.28744518994062845</v>
      </c>
      <c r="X30" s="222">
        <v>595500200</v>
      </c>
      <c r="Y30" s="222">
        <f t="shared" si="13"/>
        <v>0</v>
      </c>
      <c r="Z30" s="224">
        <f t="shared" si="21"/>
        <v>0</v>
      </c>
      <c r="AA30" s="222">
        <v>595500200</v>
      </c>
      <c r="AB30" s="222">
        <f t="shared" si="11"/>
        <v>0</v>
      </c>
      <c r="AC30" s="224">
        <f t="shared" si="5"/>
        <v>1</v>
      </c>
    </row>
    <row r="31" spans="1:55" ht="24.95" customHeight="1">
      <c r="A31" s="32" t="str">
        <f t="shared" si="3"/>
        <v>A-01-01-02-007=10</v>
      </c>
      <c r="B31" s="217" t="str">
        <f t="shared" si="19"/>
        <v>A-01-01-02-007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345300000</v>
      </c>
      <c r="O31" s="222"/>
      <c r="P31" s="222"/>
      <c r="Q31" s="222"/>
      <c r="R31" s="222"/>
      <c r="S31" s="222"/>
      <c r="T31" s="222">
        <f t="shared" si="20"/>
        <v>345300000</v>
      </c>
      <c r="U31" s="222">
        <v>99542800</v>
      </c>
      <c r="V31" s="222">
        <f t="shared" si="10"/>
        <v>245757200</v>
      </c>
      <c r="W31" s="224">
        <f t="shared" si="14"/>
        <v>0.28827917752678828</v>
      </c>
      <c r="X31" s="222">
        <v>99436600</v>
      </c>
      <c r="Y31" s="222">
        <f t="shared" si="13"/>
        <v>106200</v>
      </c>
      <c r="Z31" s="224">
        <f t="shared" si="21"/>
        <v>1.0668777651422303E-3</v>
      </c>
      <c r="AA31" s="222">
        <v>99436600</v>
      </c>
      <c r="AB31" s="222">
        <f t="shared" si="11"/>
        <v>0</v>
      </c>
      <c r="AC31" s="224">
        <f t="shared" si="5"/>
        <v>0.99893312223485775</v>
      </c>
    </row>
    <row r="32" spans="1:55" ht="24.95" customHeight="1">
      <c r="A32" s="32" t="str">
        <f t="shared" si="3"/>
        <v>A-01-01-02-008=10</v>
      </c>
      <c r="B32" s="217" t="str">
        <f t="shared" si="19"/>
        <v>A-01-01-02-008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345300000</v>
      </c>
      <c r="O32" s="222"/>
      <c r="P32" s="222"/>
      <c r="Q32" s="222"/>
      <c r="R32" s="222"/>
      <c r="S32" s="222"/>
      <c r="T32" s="222">
        <f t="shared" si="20"/>
        <v>345300000</v>
      </c>
      <c r="U32" s="222">
        <v>99436600</v>
      </c>
      <c r="V32" s="222">
        <f t="shared" si="10"/>
        <v>245863400</v>
      </c>
      <c r="W32" s="224">
        <f t="shared" si="14"/>
        <v>0.28797161888213146</v>
      </c>
      <c r="X32" s="222">
        <v>99436600</v>
      </c>
      <c r="Y32" s="222">
        <f t="shared" si="13"/>
        <v>0</v>
      </c>
      <c r="Z32" s="224">
        <f t="shared" si="21"/>
        <v>0</v>
      </c>
      <c r="AA32" s="222">
        <v>99436600</v>
      </c>
      <c r="AB32" s="222">
        <f t="shared" si="11"/>
        <v>0</v>
      </c>
      <c r="AC32" s="224">
        <f t="shared" si="5"/>
        <v>1</v>
      </c>
    </row>
    <row r="33" spans="1:29" ht="24.95" customHeight="1">
      <c r="A33" s="32" t="str">
        <f t="shared" si="3"/>
        <v>A-01-01-02-009=10</v>
      </c>
      <c r="B33" s="217" t="str">
        <f t="shared" si="19"/>
        <v>A-01-01-02-009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690600000</v>
      </c>
      <c r="O33" s="222"/>
      <c r="P33" s="222"/>
      <c r="Q33" s="222"/>
      <c r="R33" s="222"/>
      <c r="S33" s="222"/>
      <c r="T33" s="222">
        <f t="shared" si="20"/>
        <v>690600000</v>
      </c>
      <c r="U33" s="222">
        <v>198665900</v>
      </c>
      <c r="V33" s="222">
        <f t="shared" si="10"/>
        <v>491934100</v>
      </c>
      <c r="W33" s="224">
        <f t="shared" si="14"/>
        <v>0.28767144512018533</v>
      </c>
      <c r="X33" s="222">
        <v>198665900</v>
      </c>
      <c r="Y33" s="222">
        <f t="shared" si="13"/>
        <v>0</v>
      </c>
      <c r="Z33" s="224">
        <f t="shared" si="21"/>
        <v>0</v>
      </c>
      <c r="AA33" s="222">
        <v>198665900</v>
      </c>
      <c r="AB33" s="222">
        <f t="shared" si="11"/>
        <v>0</v>
      </c>
      <c r="AC33" s="224">
        <f t="shared" si="5"/>
        <v>1</v>
      </c>
    </row>
    <row r="34" spans="1:29" ht="24.95" customHeight="1">
      <c r="A34" s="32" t="str">
        <f t="shared" si="3"/>
        <v>A-01-01-03=10</v>
      </c>
      <c r="B34" s="226" t="str">
        <f>CONCATENATE(C34,"-",D34,"-",E34,"-",F34)</f>
        <v>A-01-01-03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f>+N35+N39+N40+N41+N42+N43</f>
        <v>7153000000</v>
      </c>
      <c r="O34" s="232">
        <f t="shared" ref="O34:AB34" si="22">+O35+O39+O40+O41+O42+O43</f>
        <v>0</v>
      </c>
      <c r="P34" s="232">
        <f t="shared" si="22"/>
        <v>0</v>
      </c>
      <c r="Q34" s="232">
        <f t="shared" si="22"/>
        <v>0</v>
      </c>
      <c r="R34" s="232">
        <f t="shared" si="22"/>
        <v>0</v>
      </c>
      <c r="S34" s="232">
        <f t="shared" si="22"/>
        <v>0</v>
      </c>
      <c r="T34" s="232">
        <f t="shared" si="22"/>
        <v>7153000000</v>
      </c>
      <c r="U34" s="232">
        <f t="shared" si="22"/>
        <v>1768988204</v>
      </c>
      <c r="V34" s="232">
        <f t="shared" si="22"/>
        <v>5384011796</v>
      </c>
      <c r="W34" s="233">
        <f t="shared" si="14"/>
        <v>0.24730717237522717</v>
      </c>
      <c r="X34" s="232">
        <f t="shared" si="22"/>
        <v>1766662874</v>
      </c>
      <c r="Y34" s="232">
        <f t="shared" si="22"/>
        <v>2325330</v>
      </c>
      <c r="Z34" s="233">
        <f t="shared" si="21"/>
        <v>1.3144971768279806E-3</v>
      </c>
      <c r="AA34" s="232">
        <f t="shared" si="22"/>
        <v>1766662874</v>
      </c>
      <c r="AB34" s="232">
        <f t="shared" si="22"/>
        <v>0</v>
      </c>
      <c r="AC34" s="233">
        <f t="shared" si="5"/>
        <v>0.99868550282317203</v>
      </c>
    </row>
    <row r="35" spans="1:29" ht="24.95" customHeight="1">
      <c r="A35" s="32" t="str">
        <f t="shared" si="3"/>
        <v>A-01-01-03-001=10</v>
      </c>
      <c r="B35" s="210" t="str">
        <f>CONCATENATE(C35,"-",D35,"-",E35,"-",F35,"-",G35)</f>
        <v>A-01-01-03-001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f>SUM(N36:N38)</f>
        <v>3551000000</v>
      </c>
      <c r="O35" s="215">
        <f t="shared" ref="O35:S35" si="23">SUM(O36:O38)</f>
        <v>0</v>
      </c>
      <c r="P35" s="215">
        <f t="shared" si="23"/>
        <v>0</v>
      </c>
      <c r="Q35" s="215">
        <f>SUM(Q36:Q38)</f>
        <v>0</v>
      </c>
      <c r="R35" s="215">
        <f t="shared" si="23"/>
        <v>0</v>
      </c>
      <c r="S35" s="215">
        <f t="shared" si="23"/>
        <v>0</v>
      </c>
      <c r="T35" s="215">
        <f>SUM(T36:T38)</f>
        <v>3551000000</v>
      </c>
      <c r="U35" s="215">
        <f t="shared" ref="U35:AB35" si="24">SUM(U36:U38)</f>
        <v>708392266</v>
      </c>
      <c r="V35" s="215">
        <f t="shared" si="24"/>
        <v>2842607734</v>
      </c>
      <c r="W35" s="216">
        <f t="shared" si="14"/>
        <v>0.19949092255702619</v>
      </c>
      <c r="X35" s="215">
        <f t="shared" si="24"/>
        <v>708392266</v>
      </c>
      <c r="Y35" s="215">
        <f t="shared" si="24"/>
        <v>0</v>
      </c>
      <c r="Z35" s="216">
        <f t="shared" si="21"/>
        <v>0</v>
      </c>
      <c r="AA35" s="215">
        <f t="shared" si="24"/>
        <v>708392266</v>
      </c>
      <c r="AB35" s="215">
        <f t="shared" si="24"/>
        <v>0</v>
      </c>
      <c r="AC35" s="216">
        <f t="shared" si="5"/>
        <v>1</v>
      </c>
    </row>
    <row r="36" spans="1:29" ht="24.95" customHeight="1">
      <c r="A36" s="32" t="str">
        <f t="shared" si="3"/>
        <v>A-01-01-03-001-001=10</v>
      </c>
      <c r="B36" s="217" t="str">
        <f>CONCATENATE(C36,"-",D36,"-",E36,"-",F36,"-",G36,"-",H36)</f>
        <v>A-01-01-03-001-001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2801000000</v>
      </c>
      <c r="O36" s="222"/>
      <c r="P36" s="222"/>
      <c r="Q36" s="222"/>
      <c r="R36" s="222"/>
      <c r="S36" s="222"/>
      <c r="T36" s="222">
        <f t="shared" ref="T36:T43" si="25">+N36-S36+O36-P36+Q36-R36</f>
        <v>2801000000</v>
      </c>
      <c r="U36" s="222">
        <v>506718599</v>
      </c>
      <c r="V36" s="222">
        <f t="shared" si="10"/>
        <v>2294281401</v>
      </c>
      <c r="W36" s="224">
        <f t="shared" si="14"/>
        <v>0.18090631881470903</v>
      </c>
      <c r="X36" s="222">
        <v>506718599</v>
      </c>
      <c r="Y36" s="222">
        <f t="shared" si="13"/>
        <v>0</v>
      </c>
      <c r="Z36" s="224">
        <f t="shared" si="21"/>
        <v>0</v>
      </c>
      <c r="AA36" s="222">
        <v>506718599</v>
      </c>
      <c r="AB36" s="222">
        <f t="shared" si="11"/>
        <v>0</v>
      </c>
      <c r="AC36" s="224">
        <f t="shared" si="5"/>
        <v>1</v>
      </c>
    </row>
    <row r="37" spans="1:29" ht="24.95" customHeight="1">
      <c r="A37" s="32" t="str">
        <f t="shared" si="3"/>
        <v>A-01-01-03-001-002=10</v>
      </c>
      <c r="B37" s="217" t="str">
        <f>CONCATENATE(C37,"-",D37,"-",E37,"-",F37,"-",G37,"-",H37)</f>
        <v>A-01-01-03-001-002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400000000</v>
      </c>
      <c r="O37" s="222"/>
      <c r="P37" s="222"/>
      <c r="Q37" s="222"/>
      <c r="R37" s="222"/>
      <c r="S37" s="222"/>
      <c r="T37" s="222">
        <f t="shared" si="25"/>
        <v>400000000</v>
      </c>
      <c r="U37" s="222">
        <v>145307864</v>
      </c>
      <c r="V37" s="222">
        <f t="shared" si="10"/>
        <v>254692136</v>
      </c>
      <c r="W37" s="224">
        <f t="shared" si="14"/>
        <v>0.36326965999999999</v>
      </c>
      <c r="X37" s="222">
        <v>145307864</v>
      </c>
      <c r="Y37" s="222">
        <f t="shared" si="13"/>
        <v>0</v>
      </c>
      <c r="Z37" s="224">
        <f t="shared" si="21"/>
        <v>0</v>
      </c>
      <c r="AA37" s="222">
        <v>145307864</v>
      </c>
      <c r="AB37" s="222">
        <f t="shared" si="11"/>
        <v>0</v>
      </c>
      <c r="AC37" s="224">
        <f t="shared" si="5"/>
        <v>1</v>
      </c>
    </row>
    <row r="38" spans="1:29" ht="24.95" customHeight="1">
      <c r="A38" s="32" t="str">
        <f t="shared" si="3"/>
        <v>A-01-01-03-001-003=10</v>
      </c>
      <c r="B38" s="234" t="str">
        <f>CONCATENATE(C38,"-",D38,"-",E38,"-",F38,"-",G38,"-",H38)</f>
        <v>A-01-01-03-001-003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350000000</v>
      </c>
      <c r="O38" s="239"/>
      <c r="P38" s="239"/>
      <c r="Q38" s="639"/>
      <c r="R38" s="639"/>
      <c r="S38" s="239"/>
      <c r="T38" s="239">
        <f t="shared" si="25"/>
        <v>350000000</v>
      </c>
      <c r="U38" s="239">
        <v>56365803</v>
      </c>
      <c r="V38" s="239">
        <f t="shared" si="10"/>
        <v>293634197</v>
      </c>
      <c r="W38" s="240">
        <f t="shared" si="14"/>
        <v>0.16104515142857143</v>
      </c>
      <c r="X38" s="239">
        <v>56365803</v>
      </c>
      <c r="Y38" s="239">
        <f t="shared" si="13"/>
        <v>0</v>
      </c>
      <c r="Z38" s="240">
        <f t="shared" si="21"/>
        <v>0</v>
      </c>
      <c r="AA38" s="239">
        <v>56365803</v>
      </c>
      <c r="AB38" s="239">
        <f t="shared" si="11"/>
        <v>0</v>
      </c>
      <c r="AC38" s="240">
        <f t="shared" si="5"/>
        <v>1</v>
      </c>
    </row>
    <row r="39" spans="1:29" ht="24.95" customHeight="1">
      <c r="A39" s="32" t="str">
        <f t="shared" si="3"/>
        <v>A-01-01-03-002=10</v>
      </c>
      <c r="B39" s="217" t="str">
        <f t="shared" ref="B39:B43" si="26">CONCATENATE(C39,"-",D39,"-",E39,"-",F39,"-",G39)</f>
        <v>A-01-01-03-002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2"/>
      <c r="R39" s="222"/>
      <c r="S39" s="223"/>
      <c r="T39" s="222">
        <f t="shared" si="25"/>
        <v>2160000000</v>
      </c>
      <c r="U39" s="222">
        <v>762481423</v>
      </c>
      <c r="V39" s="222">
        <f t="shared" si="10"/>
        <v>1397518577</v>
      </c>
      <c r="W39" s="224">
        <f t="shared" si="14"/>
        <v>0.35300065879629627</v>
      </c>
      <c r="X39" s="222">
        <v>762481423</v>
      </c>
      <c r="Y39" s="222">
        <f t="shared" si="13"/>
        <v>0</v>
      </c>
      <c r="Z39" s="224">
        <f t="shared" si="21"/>
        <v>0</v>
      </c>
      <c r="AA39" s="222">
        <v>762481423</v>
      </c>
      <c r="AB39" s="222">
        <f t="shared" si="11"/>
        <v>0</v>
      </c>
      <c r="AC39" s="224">
        <f t="shared" si="5"/>
        <v>1</v>
      </c>
    </row>
    <row r="40" spans="1:29" ht="24.95" customHeight="1">
      <c r="A40" s="32" t="str">
        <f t="shared" si="3"/>
        <v>A-01-01-03-005=10</v>
      </c>
      <c r="B40" s="217" t="str">
        <f t="shared" si="26"/>
        <v>A-01-01-03-005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12000000</v>
      </c>
      <c r="O40" s="222"/>
      <c r="P40" s="222"/>
      <c r="Q40" s="223"/>
      <c r="R40" s="222"/>
      <c r="S40" s="223"/>
      <c r="T40" s="222">
        <f t="shared" si="25"/>
        <v>12000000</v>
      </c>
      <c r="U40" s="222">
        <v>1393804</v>
      </c>
      <c r="V40" s="222">
        <f t="shared" si="10"/>
        <v>10606196</v>
      </c>
      <c r="W40" s="224">
        <f t="shared" si="14"/>
        <v>0.11615033333333333</v>
      </c>
      <c r="X40" s="222">
        <v>1393804</v>
      </c>
      <c r="Y40" s="222">
        <f t="shared" si="13"/>
        <v>0</v>
      </c>
      <c r="Z40" s="224">
        <f t="shared" si="21"/>
        <v>0</v>
      </c>
      <c r="AA40" s="222">
        <v>1393804</v>
      </c>
      <c r="AB40" s="222">
        <f t="shared" si="11"/>
        <v>0</v>
      </c>
      <c r="AC40" s="224">
        <f t="shared" si="5"/>
        <v>1</v>
      </c>
    </row>
    <row r="41" spans="1:29" ht="24.95" customHeight="1">
      <c r="A41" s="32" t="str">
        <f t="shared" si="3"/>
        <v>A-01-01-03-013=10</v>
      </c>
      <c r="B41" s="217" t="str">
        <f t="shared" si="26"/>
        <v>A-01-01-03-013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f t="shared" si="25"/>
        <v>30000000</v>
      </c>
      <c r="U41" s="222">
        <v>0</v>
      </c>
      <c r="V41" s="222">
        <f t="shared" si="10"/>
        <v>30000000</v>
      </c>
      <c r="W41" s="224">
        <f t="shared" si="14"/>
        <v>0</v>
      </c>
      <c r="X41" s="222">
        <v>0</v>
      </c>
      <c r="Y41" s="222">
        <f t="shared" si="13"/>
        <v>0</v>
      </c>
      <c r="Z41" s="224">
        <f t="shared" si="21"/>
        <v>0</v>
      </c>
      <c r="AA41" s="222">
        <v>0</v>
      </c>
      <c r="AB41" s="222">
        <f t="shared" si="11"/>
        <v>0</v>
      </c>
      <c r="AC41" s="224">
        <f t="shared" si="5"/>
        <v>0</v>
      </c>
    </row>
    <row r="42" spans="1:29" ht="24.95" customHeight="1">
      <c r="A42" s="32" t="str">
        <f t="shared" si="3"/>
        <v>A-01-01-03-016=10</v>
      </c>
      <c r="B42" s="217" t="str">
        <f t="shared" si="26"/>
        <v>A-01-01-03-016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840000000</v>
      </c>
      <c r="O42" s="222"/>
      <c r="P42" s="222"/>
      <c r="Q42" s="222"/>
      <c r="R42" s="222"/>
      <c r="S42" s="223"/>
      <c r="T42" s="222">
        <f t="shared" si="25"/>
        <v>840000000</v>
      </c>
      <c r="U42" s="222">
        <v>279477702</v>
      </c>
      <c r="V42" s="222">
        <f t="shared" si="10"/>
        <v>560522298</v>
      </c>
      <c r="W42" s="224">
        <f t="shared" si="14"/>
        <v>0.33271155000000002</v>
      </c>
      <c r="X42" s="222">
        <v>277152372</v>
      </c>
      <c r="Y42" s="222">
        <f t="shared" si="13"/>
        <v>2325330</v>
      </c>
      <c r="Z42" s="224">
        <f t="shared" si="21"/>
        <v>8.3202702160475039E-3</v>
      </c>
      <c r="AA42" s="222">
        <v>277152372</v>
      </c>
      <c r="AB42" s="222">
        <f t="shared" si="11"/>
        <v>0</v>
      </c>
      <c r="AC42" s="224">
        <f t="shared" si="5"/>
        <v>0.99167972978395247</v>
      </c>
    </row>
    <row r="43" spans="1:29" ht="24.95" customHeight="1">
      <c r="A43" s="32" t="str">
        <f t="shared" si="3"/>
        <v>A-01-01-03-030=10</v>
      </c>
      <c r="B43" s="217" t="str">
        <f t="shared" si="26"/>
        <v>A-01-01-03-030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560000000</v>
      </c>
      <c r="O43" s="222"/>
      <c r="P43" s="222"/>
      <c r="Q43" s="223"/>
      <c r="R43" s="222"/>
      <c r="S43" s="223"/>
      <c r="T43" s="222">
        <f t="shared" si="25"/>
        <v>560000000</v>
      </c>
      <c r="U43" s="222">
        <v>17243009</v>
      </c>
      <c r="V43" s="222">
        <f t="shared" si="10"/>
        <v>542756991</v>
      </c>
      <c r="W43" s="224">
        <f t="shared" si="14"/>
        <v>3.0791087500000001E-2</v>
      </c>
      <c r="X43" s="222">
        <v>17243009</v>
      </c>
      <c r="Y43" s="222">
        <f t="shared" si="13"/>
        <v>0</v>
      </c>
      <c r="Z43" s="224">
        <f t="shared" si="21"/>
        <v>0</v>
      </c>
      <c r="AA43" s="222">
        <v>17243009</v>
      </c>
      <c r="AB43" s="222">
        <f t="shared" si="11"/>
        <v>0</v>
      </c>
      <c r="AC43" s="224">
        <f t="shared" si="5"/>
        <v>1</v>
      </c>
    </row>
    <row r="44" spans="1:29" ht="35.1" customHeight="1">
      <c r="A44" s="32" t="str">
        <f t="shared" si="3"/>
        <v>A-02=</v>
      </c>
      <c r="B44" s="188" t="str">
        <f>CONCATENATE(C44,"-",D44)</f>
        <v>A-02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f>+N45</f>
        <v>42289000000</v>
      </c>
      <c r="O44" s="194">
        <f t="shared" ref="O44:V44" si="27">+O45</f>
        <v>0</v>
      </c>
      <c r="P44" s="194">
        <f t="shared" si="27"/>
        <v>0</v>
      </c>
      <c r="Q44" s="194">
        <f t="shared" si="27"/>
        <v>548804873.13</v>
      </c>
      <c r="R44" s="194">
        <f t="shared" si="27"/>
        <v>548804873.13</v>
      </c>
      <c r="S44" s="194">
        <f t="shared" si="27"/>
        <v>0</v>
      </c>
      <c r="T44" s="194">
        <f t="shared" si="27"/>
        <v>42289000000</v>
      </c>
      <c r="U44" s="194">
        <f t="shared" si="27"/>
        <v>34035089102.889999</v>
      </c>
      <c r="V44" s="194">
        <f t="shared" si="27"/>
        <v>8253910897.1099997</v>
      </c>
      <c r="W44" s="195">
        <f t="shared" si="14"/>
        <v>0.80482132712738541</v>
      </c>
      <c r="X44" s="194">
        <f t="shared" ref="X44:Y44" si="28">+X45</f>
        <v>11552697374.950001</v>
      </c>
      <c r="Y44" s="194">
        <f t="shared" si="28"/>
        <v>22482391727.940002</v>
      </c>
      <c r="Z44" s="195">
        <f t="shared" si="21"/>
        <v>0.66056509092643945</v>
      </c>
      <c r="AA44" s="194">
        <f t="shared" ref="AA44:AB44" si="29">+AA45</f>
        <v>9809767231.4899998</v>
      </c>
      <c r="AB44" s="194">
        <f t="shared" si="29"/>
        <v>1742930143.46</v>
      </c>
      <c r="AC44" s="195">
        <f t="shared" si="5"/>
        <v>0.28822510797120343</v>
      </c>
    </row>
    <row r="45" spans="1:29" ht="24.95" customHeight="1">
      <c r="A45" s="32" t="str">
        <f t="shared" si="3"/>
        <v>A-02-02=</v>
      </c>
      <c r="B45" s="196" t="str">
        <f>CONCATENATE(C45,"-",D45,"-",E45)</f>
        <v>A-02-02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f t="shared" ref="N45:V45" si="30">+N46+N65</f>
        <v>42289000000</v>
      </c>
      <c r="O45" s="201">
        <f t="shared" si="30"/>
        <v>0</v>
      </c>
      <c r="P45" s="201">
        <f t="shared" si="30"/>
        <v>0</v>
      </c>
      <c r="Q45" s="201">
        <f t="shared" si="30"/>
        <v>548804873.13</v>
      </c>
      <c r="R45" s="201">
        <f t="shared" si="30"/>
        <v>548804873.13</v>
      </c>
      <c r="S45" s="201">
        <f t="shared" si="30"/>
        <v>0</v>
      </c>
      <c r="T45" s="201">
        <f t="shared" si="30"/>
        <v>42289000000</v>
      </c>
      <c r="U45" s="201">
        <f t="shared" si="30"/>
        <v>34035089102.889999</v>
      </c>
      <c r="V45" s="201">
        <f t="shared" si="30"/>
        <v>8253910897.1099997</v>
      </c>
      <c r="W45" s="202">
        <f t="shared" si="14"/>
        <v>0.80482132712738541</v>
      </c>
      <c r="X45" s="201">
        <f t="shared" ref="X45:Y45" si="31">+X46+X65</f>
        <v>11552697374.950001</v>
      </c>
      <c r="Y45" s="201">
        <f t="shared" si="31"/>
        <v>22482391727.940002</v>
      </c>
      <c r="Z45" s="202">
        <f t="shared" si="21"/>
        <v>0.66056509092643945</v>
      </c>
      <c r="AA45" s="201">
        <f t="shared" ref="AA45:AB45" si="32">+AA46+AA65</f>
        <v>9809767231.4899998</v>
      </c>
      <c r="AB45" s="201">
        <f t="shared" si="32"/>
        <v>1742930143.46</v>
      </c>
      <c r="AC45" s="202">
        <f t="shared" si="5"/>
        <v>0.28822510797120343</v>
      </c>
    </row>
    <row r="46" spans="1:29" ht="24.95" customHeight="1">
      <c r="A46" s="32" t="str">
        <f t="shared" si="3"/>
        <v>A-02-02-01=10</v>
      </c>
      <c r="B46" s="203" t="str">
        <f>CONCATENATE(C46,"-",D46,"-",E46,"-",F46)</f>
        <v>A-02-02-01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f>+N47+N50+N52+N59</f>
        <v>655883077</v>
      </c>
      <c r="O46" s="208">
        <f t="shared" ref="O46:V46" si="33">+O47+O50+O52+O59</f>
        <v>0</v>
      </c>
      <c r="P46" s="208">
        <f t="shared" si="33"/>
        <v>0</v>
      </c>
      <c r="Q46" s="208">
        <f t="shared" si="33"/>
        <v>0</v>
      </c>
      <c r="R46" s="208">
        <f t="shared" si="33"/>
        <v>16000000</v>
      </c>
      <c r="S46" s="208">
        <f t="shared" si="33"/>
        <v>0</v>
      </c>
      <c r="T46" s="208">
        <f t="shared" si="33"/>
        <v>639883077</v>
      </c>
      <c r="U46" s="208">
        <f t="shared" si="33"/>
        <v>133209037</v>
      </c>
      <c r="V46" s="208">
        <f t="shared" si="33"/>
        <v>506674040</v>
      </c>
      <c r="W46" s="209">
        <f t="shared" si="14"/>
        <v>0.20817715265190551</v>
      </c>
      <c r="X46" s="208">
        <f t="shared" ref="X46:Y46" si="34">+X47+X50+X52+X59</f>
        <v>8482378</v>
      </c>
      <c r="Y46" s="208">
        <f t="shared" si="34"/>
        <v>124726659</v>
      </c>
      <c r="Z46" s="209">
        <f t="shared" si="21"/>
        <v>0.9363228036848581</v>
      </c>
      <c r="AA46" s="208">
        <f t="shared" ref="AA46:AB46" si="35">+AA47+AA50+AA52+AA59</f>
        <v>8482378</v>
      </c>
      <c r="AB46" s="208">
        <f t="shared" si="35"/>
        <v>0</v>
      </c>
      <c r="AC46" s="209">
        <f t="shared" si="5"/>
        <v>6.367719631514189E-2</v>
      </c>
    </row>
    <row r="47" spans="1:29" ht="24.95" customHeight="1">
      <c r="A47" s="32" t="str">
        <f t="shared" si="3"/>
        <v>A-02-02-01-001=10</v>
      </c>
      <c r="B47" s="210" t="str">
        <f>CONCATENATE(C47,"-",D47,"-",E47,"-",F47,"-",G47)</f>
        <v>A-02-02-01-001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f>SUM(N48:N49)</f>
        <v>23000000</v>
      </c>
      <c r="O47" s="215">
        <f t="shared" ref="O47:V47" si="36">SUM(O48:O49)</f>
        <v>0</v>
      </c>
      <c r="P47" s="215">
        <f t="shared" si="36"/>
        <v>0</v>
      </c>
      <c r="Q47" s="215">
        <f t="shared" si="36"/>
        <v>0</v>
      </c>
      <c r="R47" s="215">
        <f t="shared" si="36"/>
        <v>0</v>
      </c>
      <c r="S47" s="215">
        <f t="shared" si="36"/>
        <v>0</v>
      </c>
      <c r="T47" s="215">
        <f t="shared" si="36"/>
        <v>23000000</v>
      </c>
      <c r="U47" s="215">
        <f t="shared" si="36"/>
        <v>11000000</v>
      </c>
      <c r="V47" s="215">
        <f t="shared" si="36"/>
        <v>12000000</v>
      </c>
      <c r="W47" s="216">
        <f t="shared" si="14"/>
        <v>0.47826086956521741</v>
      </c>
      <c r="X47" s="215">
        <f t="shared" ref="X47:Y47" si="37">SUM(X48:X49)</f>
        <v>0</v>
      </c>
      <c r="Y47" s="215">
        <f t="shared" si="37"/>
        <v>11000000</v>
      </c>
      <c r="Z47" s="216">
        <f t="shared" si="21"/>
        <v>1</v>
      </c>
      <c r="AA47" s="215">
        <f t="shared" ref="AA47:AB47" si="38">SUM(AA48:AA49)</f>
        <v>0</v>
      </c>
      <c r="AB47" s="215">
        <f t="shared" si="38"/>
        <v>0</v>
      </c>
      <c r="AC47" s="216">
        <f t="shared" si="5"/>
        <v>0</v>
      </c>
    </row>
    <row r="48" spans="1:29" ht="24.95" customHeight="1">
      <c r="A48" s="32" t="str">
        <f t="shared" si="3"/>
        <v>A-02-02-01-001-005=10</v>
      </c>
      <c r="B48" s="217" t="str">
        <f>CONCATENATE(C48,"-",D48,"-",E48,"-",F48,"-",G48,"-",H48)</f>
        <v>A-02-02-01-001-005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11000000</v>
      </c>
      <c r="O48" s="222"/>
      <c r="P48" s="222"/>
      <c r="Q48" s="222"/>
      <c r="R48" s="223"/>
      <c r="S48" s="223"/>
      <c r="T48" s="222">
        <f>+N48-S48+O48-P48+Q48-R48</f>
        <v>11000000</v>
      </c>
      <c r="U48" s="222">
        <v>11000000</v>
      </c>
      <c r="V48" s="222">
        <f t="shared" si="10"/>
        <v>0</v>
      </c>
      <c r="W48" s="224">
        <f t="shared" si="14"/>
        <v>1</v>
      </c>
      <c r="X48" s="222">
        <v>0</v>
      </c>
      <c r="Y48" s="222">
        <f t="shared" ref="Y48:Y49" si="39">+U48-X48</f>
        <v>11000000</v>
      </c>
      <c r="Z48" s="224">
        <f t="shared" si="21"/>
        <v>1</v>
      </c>
      <c r="AA48" s="222">
        <v>0</v>
      </c>
      <c r="AB48" s="222">
        <f t="shared" si="11"/>
        <v>0</v>
      </c>
      <c r="AC48" s="224">
        <f t="shared" si="5"/>
        <v>0</v>
      </c>
    </row>
    <row r="49" spans="1:52" ht="24.95" customHeight="1">
      <c r="A49" s="32" t="str">
        <f t="shared" si="3"/>
        <v>A-02-02-01-001-007=10</v>
      </c>
      <c r="B49" s="217" t="str">
        <f>CONCATENATE(C49,"-",D49,"-",E49,"-",F49,"-",G49,"-",H49)</f>
        <v>A-02-02-01-001-007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12000000</v>
      </c>
      <c r="O49" s="222"/>
      <c r="P49" s="222"/>
      <c r="Q49" s="222"/>
      <c r="R49" s="223"/>
      <c r="S49" s="223"/>
      <c r="T49" s="222">
        <f>+N49-S49+O49-P49+Q49-R49</f>
        <v>12000000</v>
      </c>
      <c r="U49" s="222">
        <v>0</v>
      </c>
      <c r="V49" s="222">
        <f t="shared" si="10"/>
        <v>12000000</v>
      </c>
      <c r="W49" s="224">
        <f t="shared" si="14"/>
        <v>0</v>
      </c>
      <c r="X49" s="222">
        <v>0</v>
      </c>
      <c r="Y49" s="222">
        <f t="shared" si="39"/>
        <v>0</v>
      </c>
      <c r="Z49" s="224">
        <f t="shared" si="21"/>
        <v>0</v>
      </c>
      <c r="AA49" s="222">
        <v>0</v>
      </c>
      <c r="AB49" s="222">
        <f t="shared" si="11"/>
        <v>0</v>
      </c>
      <c r="AC49" s="224">
        <f t="shared" si="5"/>
        <v>0</v>
      </c>
    </row>
    <row r="50" spans="1:52" ht="33">
      <c r="A50" s="32" t="str">
        <f t="shared" si="3"/>
        <v>A-02-02-01-002=10</v>
      </c>
      <c r="B50" s="210" t="str">
        <f>CONCATENATE(C50,"-",D50,"-",E50,"-",F50,"-",G50)</f>
        <v>A-02-02-01-002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f>SUM(N51:N51)</f>
        <v>141060000</v>
      </c>
      <c r="O50" s="215">
        <f t="shared" ref="O50:AB50" si="40">SUM(O51:O51)</f>
        <v>0</v>
      </c>
      <c r="P50" s="215">
        <f t="shared" si="40"/>
        <v>0</v>
      </c>
      <c r="Q50" s="215">
        <f t="shared" si="40"/>
        <v>0</v>
      </c>
      <c r="R50" s="215">
        <f t="shared" si="40"/>
        <v>0</v>
      </c>
      <c r="S50" s="215">
        <f t="shared" si="40"/>
        <v>0</v>
      </c>
      <c r="T50" s="215">
        <f t="shared" si="40"/>
        <v>141060000</v>
      </c>
      <c r="U50" s="215">
        <f t="shared" si="40"/>
        <v>0</v>
      </c>
      <c r="V50" s="215">
        <f t="shared" si="40"/>
        <v>141060000</v>
      </c>
      <c r="W50" s="216">
        <f t="shared" si="14"/>
        <v>0</v>
      </c>
      <c r="X50" s="215">
        <f t="shared" si="40"/>
        <v>0</v>
      </c>
      <c r="Y50" s="215">
        <f t="shared" si="40"/>
        <v>0</v>
      </c>
      <c r="Z50" s="216">
        <f t="shared" si="21"/>
        <v>0</v>
      </c>
      <c r="AA50" s="215">
        <f t="shared" si="40"/>
        <v>0</v>
      </c>
      <c r="AB50" s="215">
        <f t="shared" si="40"/>
        <v>0</v>
      </c>
      <c r="AC50" s="216">
        <f t="shared" si="5"/>
        <v>0</v>
      </c>
    </row>
    <row r="51" spans="1:52" ht="24.95" customHeight="1">
      <c r="A51" s="32" t="str">
        <f t="shared" si="3"/>
        <v>A-02-02-01-002-008=10</v>
      </c>
      <c r="B51" s="217" t="str">
        <f>CONCATENATE(C51,"-",D51,"-",E51,"-",F51,"-",G51,"-",H51)</f>
        <v>A-02-02-01-002-008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141060000</v>
      </c>
      <c r="O51" s="222"/>
      <c r="P51" s="222"/>
      <c r="Q51" s="222"/>
      <c r="R51" s="223"/>
      <c r="S51" s="223"/>
      <c r="T51" s="222">
        <f>+N51-S51+O51-P51+Q51-R51</f>
        <v>141060000</v>
      </c>
      <c r="U51" s="222">
        <v>0</v>
      </c>
      <c r="V51" s="222">
        <f t="shared" si="10"/>
        <v>141060000</v>
      </c>
      <c r="W51" s="224">
        <f t="shared" si="14"/>
        <v>0</v>
      </c>
      <c r="X51" s="222">
        <v>0</v>
      </c>
      <c r="Y51" s="222">
        <f t="shared" si="13"/>
        <v>0</v>
      </c>
      <c r="Z51" s="224">
        <f t="shared" si="21"/>
        <v>0</v>
      </c>
      <c r="AA51" s="222">
        <v>0</v>
      </c>
      <c r="AB51" s="222">
        <f t="shared" si="11"/>
        <v>0</v>
      </c>
      <c r="AC51" s="224">
        <f t="shared" si="5"/>
        <v>0</v>
      </c>
    </row>
    <row r="52" spans="1:52" ht="33">
      <c r="A52" s="32" t="str">
        <f t="shared" si="3"/>
        <v>A-02-02-01-003=10</v>
      </c>
      <c r="B52" s="210" t="str">
        <f>CONCATENATE(C52,"-",D52,"-",E52,"-",F52,"-",G52)</f>
        <v>A-02-02-01-003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f>SUM(N53:N58)</f>
        <v>418823077</v>
      </c>
      <c r="O52" s="215">
        <f t="shared" ref="O52:AB52" si="41">SUM(O53:O58)</f>
        <v>0</v>
      </c>
      <c r="P52" s="215">
        <f t="shared" si="41"/>
        <v>0</v>
      </c>
      <c r="Q52" s="215">
        <f t="shared" si="41"/>
        <v>0</v>
      </c>
      <c r="R52" s="215">
        <f t="shared" si="41"/>
        <v>0</v>
      </c>
      <c r="S52" s="215">
        <f t="shared" si="41"/>
        <v>0</v>
      </c>
      <c r="T52" s="215">
        <f t="shared" si="41"/>
        <v>418823077</v>
      </c>
      <c r="U52" s="215">
        <f t="shared" si="41"/>
        <v>122209037</v>
      </c>
      <c r="V52" s="215">
        <f t="shared" si="41"/>
        <v>296614040</v>
      </c>
      <c r="W52" s="216">
        <f t="shared" si="14"/>
        <v>0.29179155522034428</v>
      </c>
      <c r="X52" s="215">
        <f t="shared" si="41"/>
        <v>8482378</v>
      </c>
      <c r="Y52" s="215">
        <f t="shared" si="41"/>
        <v>113726659</v>
      </c>
      <c r="Z52" s="216">
        <f t="shared" si="21"/>
        <v>0.93059123770036745</v>
      </c>
      <c r="AA52" s="215">
        <f t="shared" si="41"/>
        <v>8482378</v>
      </c>
      <c r="AB52" s="215">
        <f t="shared" si="41"/>
        <v>0</v>
      </c>
      <c r="AC52" s="216">
        <f t="shared" si="5"/>
        <v>6.9408762299632554E-2</v>
      </c>
    </row>
    <row r="53" spans="1:52" ht="27" customHeight="1">
      <c r="A53" s="32" t="str">
        <f t="shared" si="3"/>
        <v>A-02-02-01-003-002=10</v>
      </c>
      <c r="B53" s="217" t="str">
        <f>CONCATENATE(C53,"-",D53,"-",E53,"-",F53,"-",G53,"-",H53)</f>
        <v>A-02-02-01-003-002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195500000</v>
      </c>
      <c r="O53" s="222"/>
      <c r="P53" s="222"/>
      <c r="Q53" s="222"/>
      <c r="R53" s="223"/>
      <c r="S53" s="223"/>
      <c r="T53" s="222">
        <f t="shared" ref="T53:T58" si="42">+N53-S53+O53-P53+Q53-R53</f>
        <v>195500000</v>
      </c>
      <c r="U53" s="222">
        <v>3500000</v>
      </c>
      <c r="V53" s="222">
        <f t="shared" si="10"/>
        <v>192000000</v>
      </c>
      <c r="W53" s="224">
        <f t="shared" si="14"/>
        <v>1.7902813299232736E-2</v>
      </c>
      <c r="X53" s="222">
        <v>500000</v>
      </c>
      <c r="Y53" s="222">
        <f t="shared" si="13"/>
        <v>3000000</v>
      </c>
      <c r="Z53" s="224">
        <f t="shared" si="21"/>
        <v>0.8571428571428571</v>
      </c>
      <c r="AA53" s="222">
        <v>500000</v>
      </c>
      <c r="AB53" s="222">
        <f t="shared" ref="AB53:AB58" si="43">+X53-AA53</f>
        <v>0</v>
      </c>
      <c r="AC53" s="224">
        <f t="shared" si="5"/>
        <v>0.14285714285714285</v>
      </c>
    </row>
    <row r="54" spans="1:52" ht="27" customHeight="1">
      <c r="A54" s="32" t="str">
        <f t="shared" si="3"/>
        <v>A-02-02-01-003-003=10</v>
      </c>
      <c r="B54" s="217" t="str">
        <f t="shared" ref="B54:B58" si="44">CONCATENATE(C54,"-",D54,"-",E54,"-",F54,"-",G54,"-",H54)</f>
        <v>A-02-02-01-003-003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84823077</v>
      </c>
      <c r="O54" s="222"/>
      <c r="P54" s="222"/>
      <c r="Q54" s="222"/>
      <c r="R54" s="223"/>
      <c r="S54" s="223"/>
      <c r="T54" s="222">
        <f t="shared" si="42"/>
        <v>84823077</v>
      </c>
      <c r="U54" s="222">
        <v>41220582</v>
      </c>
      <c r="V54" s="222">
        <f t="shared" si="10"/>
        <v>43602495</v>
      </c>
      <c r="W54" s="224">
        <f t="shared" si="14"/>
        <v>0.48595952254832725</v>
      </c>
      <c r="X54" s="222">
        <v>7482378</v>
      </c>
      <c r="Y54" s="222">
        <f t="shared" si="13"/>
        <v>33738204</v>
      </c>
      <c r="Z54" s="224">
        <f t="shared" si="21"/>
        <v>0.81847956440789704</v>
      </c>
      <c r="AA54" s="222">
        <v>7482378</v>
      </c>
      <c r="AB54" s="222">
        <f t="shared" si="43"/>
        <v>0</v>
      </c>
      <c r="AC54" s="224">
        <f t="shared" si="5"/>
        <v>0.18152043559210299</v>
      </c>
    </row>
    <row r="55" spans="1:52" ht="30.75" customHeight="1">
      <c r="A55" s="32" t="str">
        <f t="shared" si="3"/>
        <v>A-02-02-01-003-005=10</v>
      </c>
      <c r="B55" s="217" t="str">
        <f t="shared" si="44"/>
        <v>A-02-02-01-003-005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26000000</v>
      </c>
      <c r="O55" s="222"/>
      <c r="P55" s="222"/>
      <c r="Q55" s="222"/>
      <c r="R55" s="223"/>
      <c r="S55" s="223"/>
      <c r="T55" s="222">
        <f t="shared" si="42"/>
        <v>26000000</v>
      </c>
      <c r="U55" s="222">
        <v>6000000</v>
      </c>
      <c r="V55" s="222">
        <f t="shared" si="10"/>
        <v>20000000</v>
      </c>
      <c r="W55" s="224">
        <f t="shared" si="14"/>
        <v>0.23076923076923078</v>
      </c>
      <c r="X55" s="222">
        <v>0</v>
      </c>
      <c r="Y55" s="222">
        <f t="shared" si="13"/>
        <v>6000000</v>
      </c>
      <c r="Z55" s="224">
        <f t="shared" si="21"/>
        <v>1</v>
      </c>
      <c r="AA55" s="222">
        <v>0</v>
      </c>
      <c r="AB55" s="222">
        <f t="shared" si="43"/>
        <v>0</v>
      </c>
      <c r="AC55" s="224">
        <f t="shared" si="5"/>
        <v>0</v>
      </c>
    </row>
    <row r="56" spans="1:52" ht="24" customHeight="1">
      <c r="A56" s="32" t="str">
        <f t="shared" si="3"/>
        <v>A-02-02-01-003-006=10</v>
      </c>
      <c r="B56" s="217" t="str">
        <f t="shared" si="44"/>
        <v>A-02-02-01-003-006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20000000</v>
      </c>
      <c r="O56" s="222"/>
      <c r="P56" s="222"/>
      <c r="Q56" s="222"/>
      <c r="R56" s="223"/>
      <c r="S56" s="223"/>
      <c r="T56" s="222">
        <f t="shared" si="42"/>
        <v>20000000</v>
      </c>
      <c r="U56" s="222">
        <v>20000000</v>
      </c>
      <c r="V56" s="222">
        <f t="shared" si="10"/>
        <v>0</v>
      </c>
      <c r="W56" s="224">
        <f t="shared" si="14"/>
        <v>1</v>
      </c>
      <c r="X56" s="222">
        <v>0</v>
      </c>
      <c r="Y56" s="222">
        <f t="shared" si="13"/>
        <v>20000000</v>
      </c>
      <c r="Z56" s="224">
        <f t="shared" si="21"/>
        <v>1</v>
      </c>
      <c r="AA56" s="222">
        <v>0</v>
      </c>
      <c r="AB56" s="222">
        <f t="shared" si="43"/>
        <v>0</v>
      </c>
      <c r="AC56" s="224">
        <f t="shared" si="5"/>
        <v>0</v>
      </c>
    </row>
    <row r="57" spans="1:52" ht="24" customHeight="1">
      <c r="A57" s="32" t="str">
        <f t="shared" si="3"/>
        <v>A-02-02-01-003-007=10</v>
      </c>
      <c r="B57" s="217" t="str">
        <f t="shared" si="44"/>
        <v>A-02-02-01-003-007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/>
      <c r="O57" s="222"/>
      <c r="P57" s="222"/>
      <c r="Q57" s="222"/>
      <c r="R57" s="223"/>
      <c r="S57" s="223"/>
      <c r="T57" s="222">
        <f t="shared" si="42"/>
        <v>0</v>
      </c>
      <c r="U57" s="222">
        <v>0</v>
      </c>
      <c r="V57" s="222">
        <f t="shared" si="10"/>
        <v>0</v>
      </c>
      <c r="W57" s="224">
        <f t="shared" si="14"/>
        <v>0</v>
      </c>
      <c r="X57" s="222">
        <v>0</v>
      </c>
      <c r="Y57" s="222">
        <f t="shared" si="13"/>
        <v>0</v>
      </c>
      <c r="Z57" s="224">
        <f t="shared" si="21"/>
        <v>0</v>
      </c>
      <c r="AA57" s="222">
        <v>0</v>
      </c>
      <c r="AB57" s="222">
        <f t="shared" si="43"/>
        <v>0</v>
      </c>
      <c r="AC57" s="224">
        <f t="shared" si="5"/>
        <v>0</v>
      </c>
    </row>
    <row r="58" spans="1:52" ht="24" customHeight="1">
      <c r="A58" s="32" t="str">
        <f t="shared" si="3"/>
        <v>A-02-02-01-003-008=10</v>
      </c>
      <c r="B58" s="217" t="str">
        <f t="shared" si="44"/>
        <v>A-02-02-01-003-008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92500000</v>
      </c>
      <c r="O58" s="222"/>
      <c r="P58" s="222"/>
      <c r="Q58" s="222"/>
      <c r="R58" s="223"/>
      <c r="S58" s="223"/>
      <c r="T58" s="222">
        <f t="shared" si="42"/>
        <v>92500000</v>
      </c>
      <c r="U58" s="222">
        <v>51488455</v>
      </c>
      <c r="V58" s="222">
        <f t="shared" si="10"/>
        <v>41011545</v>
      </c>
      <c r="W58" s="224">
        <f t="shared" si="14"/>
        <v>0.55663194594594589</v>
      </c>
      <c r="X58" s="222">
        <v>500000</v>
      </c>
      <c r="Y58" s="222">
        <f t="shared" si="13"/>
        <v>50988455</v>
      </c>
      <c r="Z58" s="224">
        <f t="shared" si="21"/>
        <v>0.99028908519395276</v>
      </c>
      <c r="AA58" s="222">
        <v>500000</v>
      </c>
      <c r="AB58" s="222">
        <f t="shared" si="43"/>
        <v>0</v>
      </c>
      <c r="AC58" s="224">
        <f t="shared" si="5"/>
        <v>9.7109148060472977E-3</v>
      </c>
    </row>
    <row r="59" spans="1:52" ht="24.95" customHeight="1">
      <c r="A59" s="32" t="str">
        <f t="shared" si="3"/>
        <v>A-02-02-01-004=10</v>
      </c>
      <c r="B59" s="210" t="str">
        <f>CONCATENATE(C59,"-",D59,"-",E59,"-",F59,"-",G59)</f>
        <v>A-02-02-01-004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f>SUM(N60:N64)</f>
        <v>73000000</v>
      </c>
      <c r="O59" s="215">
        <f t="shared" ref="O59:V59" si="45">SUM(O60:O64)</f>
        <v>0</v>
      </c>
      <c r="P59" s="215">
        <f t="shared" si="45"/>
        <v>0</v>
      </c>
      <c r="Q59" s="215">
        <f t="shared" si="45"/>
        <v>0</v>
      </c>
      <c r="R59" s="215">
        <f t="shared" si="45"/>
        <v>16000000</v>
      </c>
      <c r="S59" s="215">
        <f t="shared" si="45"/>
        <v>0</v>
      </c>
      <c r="T59" s="215">
        <f t="shared" si="45"/>
        <v>57000000</v>
      </c>
      <c r="U59" s="215">
        <f t="shared" si="45"/>
        <v>0</v>
      </c>
      <c r="V59" s="215">
        <f t="shared" si="45"/>
        <v>57000000</v>
      </c>
      <c r="W59" s="216">
        <f t="shared" si="14"/>
        <v>0</v>
      </c>
      <c r="X59" s="215">
        <f t="shared" ref="X59:AB59" si="46">SUM(X60:X64)</f>
        <v>0</v>
      </c>
      <c r="Y59" s="215">
        <f t="shared" si="46"/>
        <v>0</v>
      </c>
      <c r="Z59" s="216">
        <f t="shared" si="21"/>
        <v>0</v>
      </c>
      <c r="AA59" s="215">
        <f t="shared" si="46"/>
        <v>0</v>
      </c>
      <c r="AB59" s="215">
        <f t="shared" si="46"/>
        <v>0</v>
      </c>
      <c r="AC59" s="216">
        <f t="shared" si="5"/>
        <v>0</v>
      </c>
    </row>
    <row r="60" spans="1:52" ht="24.95" customHeight="1">
      <c r="A60" s="32" t="str">
        <f t="shared" si="3"/>
        <v>A-02-02-01-004-002=10</v>
      </c>
      <c r="B60" s="217" t="str">
        <f>CONCATENATE(C60,"-",D60,"-",E60,"-",F60,"-",G60,"-",H60)</f>
        <v>A-02-02-01-004-002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/>
      <c r="O60" s="222"/>
      <c r="P60" s="222"/>
      <c r="Q60" s="222"/>
      <c r="R60" s="223"/>
      <c r="S60" s="223"/>
      <c r="T60" s="222">
        <f>+N60-S60+O60-P60+Q60-R60</f>
        <v>0</v>
      </c>
      <c r="U60" s="222">
        <v>0</v>
      </c>
      <c r="V60" s="222">
        <f t="shared" si="10"/>
        <v>0</v>
      </c>
      <c r="W60" s="224">
        <f t="shared" si="14"/>
        <v>0</v>
      </c>
      <c r="X60" s="222">
        <v>0</v>
      </c>
      <c r="Y60" s="222">
        <f t="shared" si="13"/>
        <v>0</v>
      </c>
      <c r="Z60" s="224">
        <f t="shared" si="21"/>
        <v>0</v>
      </c>
      <c r="AA60" s="222">
        <v>0</v>
      </c>
      <c r="AB60" s="222">
        <f t="shared" ref="AB60:AB64" si="47">+X60-AA60</f>
        <v>0</v>
      </c>
      <c r="AC60" s="224">
        <f t="shared" si="5"/>
        <v>0</v>
      </c>
    </row>
    <row r="61" spans="1:52" s="64" customFormat="1" ht="24.95" customHeight="1">
      <c r="A61" s="32" t="str">
        <f t="shared" si="3"/>
        <v>A-02-02-01-004-005=10</v>
      </c>
      <c r="B61" s="217" t="str">
        <f>CONCATENATE(C61,"-",D61,"-",E61,"-",F61,"-",G61,"-",H61)</f>
        <v>A-02-02-01-004-005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10000000</v>
      </c>
      <c r="O61" s="222"/>
      <c r="P61" s="222"/>
      <c r="Q61" s="222"/>
      <c r="R61" s="222">
        <f>9000000</f>
        <v>9000000</v>
      </c>
      <c r="S61" s="223"/>
      <c r="T61" s="222">
        <f t="shared" ref="T61:T64" si="48">+N61-S61+O61-P61+Q61-R61</f>
        <v>1000000</v>
      </c>
      <c r="U61" s="222">
        <v>0</v>
      </c>
      <c r="V61" s="222">
        <f t="shared" si="10"/>
        <v>1000000</v>
      </c>
      <c r="W61" s="224">
        <f t="shared" si="14"/>
        <v>0</v>
      </c>
      <c r="X61" s="222">
        <v>0</v>
      </c>
      <c r="Y61" s="222">
        <f t="shared" si="13"/>
        <v>0</v>
      </c>
      <c r="Z61" s="224">
        <f t="shared" si="21"/>
        <v>0</v>
      </c>
      <c r="AA61" s="222">
        <v>0</v>
      </c>
      <c r="AB61" s="222">
        <f t="shared" si="47"/>
        <v>0</v>
      </c>
      <c r="AC61" s="224">
        <f t="shared" si="5"/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tr">
        <f t="shared" si="3"/>
        <v>A-02-02-01-004-006=10</v>
      </c>
      <c r="B62" s="217" t="str">
        <f>CONCATENATE(C62,"-",D62,"-",E62,"-",F62,"-",G62,"-",H62)</f>
        <v>A-02-02-01-004-006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28000000</v>
      </c>
      <c r="O62" s="222"/>
      <c r="P62" s="222"/>
      <c r="Q62" s="222"/>
      <c r="R62" s="223"/>
      <c r="S62" s="223"/>
      <c r="T62" s="222">
        <f t="shared" si="48"/>
        <v>28000000</v>
      </c>
      <c r="U62" s="222">
        <v>0</v>
      </c>
      <c r="V62" s="222">
        <f t="shared" si="10"/>
        <v>28000000</v>
      </c>
      <c r="W62" s="224">
        <f t="shared" si="14"/>
        <v>0</v>
      </c>
      <c r="X62" s="222">
        <v>0</v>
      </c>
      <c r="Y62" s="222">
        <f t="shared" si="13"/>
        <v>0</v>
      </c>
      <c r="Z62" s="224">
        <f t="shared" si="21"/>
        <v>0</v>
      </c>
      <c r="AA62" s="222">
        <v>0</v>
      </c>
      <c r="AB62" s="222">
        <f t="shared" si="47"/>
        <v>0</v>
      </c>
      <c r="AC62" s="224">
        <f t="shared" si="5"/>
        <v>0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tr">
        <f t="shared" si="3"/>
        <v>A-02-02-01-004-007=10</v>
      </c>
      <c r="B63" s="217" t="str">
        <f>CONCATENATE(C63,"-",D63,"-",E63,"-",F63,"-",G63,"-",H63)</f>
        <v>A-02-02-01-004-007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35000000</v>
      </c>
      <c r="O63" s="222"/>
      <c r="P63" s="222"/>
      <c r="Q63" s="222"/>
      <c r="R63" s="222">
        <f>7000000</f>
        <v>7000000</v>
      </c>
      <c r="S63" s="223"/>
      <c r="T63" s="222">
        <f t="shared" si="48"/>
        <v>28000000</v>
      </c>
      <c r="U63" s="222">
        <v>0</v>
      </c>
      <c r="V63" s="222">
        <f t="shared" si="10"/>
        <v>28000000</v>
      </c>
      <c r="W63" s="224">
        <f t="shared" si="14"/>
        <v>0</v>
      </c>
      <c r="X63" s="222">
        <v>0</v>
      </c>
      <c r="Y63" s="222">
        <f t="shared" si="13"/>
        <v>0</v>
      </c>
      <c r="Z63" s="224">
        <f t="shared" si="21"/>
        <v>0</v>
      </c>
      <c r="AA63" s="222">
        <v>0</v>
      </c>
      <c r="AB63" s="222">
        <f t="shared" si="47"/>
        <v>0</v>
      </c>
      <c r="AC63" s="224">
        <f t="shared" si="5"/>
        <v>0</v>
      </c>
    </row>
    <row r="64" spans="1:52" s="64" customFormat="1" ht="27.75" customHeight="1">
      <c r="A64" s="241" t="str">
        <f t="shared" si="3"/>
        <v>A-02-02-01-004-008=10</v>
      </c>
      <c r="B64" s="242" t="str">
        <f>CONCATENATE(C64,"-",D64,"-",E64,"-",F64,"-",G64,"-",H64)</f>
        <v>A-02-02-01-004-008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/>
      <c r="O64" s="222"/>
      <c r="P64" s="222"/>
      <c r="Q64" s="222"/>
      <c r="R64" s="222"/>
      <c r="S64" s="223"/>
      <c r="T64" s="222">
        <f t="shared" si="48"/>
        <v>0</v>
      </c>
      <c r="U64" s="222">
        <v>0</v>
      </c>
      <c r="V64" s="222">
        <f t="shared" si="10"/>
        <v>0</v>
      </c>
      <c r="W64" s="224">
        <f t="shared" si="14"/>
        <v>0</v>
      </c>
      <c r="X64" s="222">
        <v>0</v>
      </c>
      <c r="Y64" s="222">
        <f t="shared" si="13"/>
        <v>0</v>
      </c>
      <c r="Z64" s="224">
        <f t="shared" si="21"/>
        <v>0</v>
      </c>
      <c r="AA64" s="222">
        <v>0</v>
      </c>
      <c r="AB64" s="222">
        <f t="shared" si="47"/>
        <v>0</v>
      </c>
      <c r="AC64" s="224">
        <f t="shared" si="5"/>
        <v>0</v>
      </c>
    </row>
    <row r="65" spans="1:29" ht="24.95" customHeight="1">
      <c r="A65" s="32" t="str">
        <f t="shared" si="3"/>
        <v>A-02-02-02=10</v>
      </c>
      <c r="B65" s="203" t="str">
        <f>CONCATENATE(C65,"-",D65,"-",E65,"-",F65)</f>
        <v>A-02-02-02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f>+N66+N73+N76+N83+N89</f>
        <v>41633116923</v>
      </c>
      <c r="O65" s="208">
        <f t="shared" ref="O65:V65" si="49">+O66+O73+O76+O83+O89</f>
        <v>0</v>
      </c>
      <c r="P65" s="208">
        <f t="shared" si="49"/>
        <v>0</v>
      </c>
      <c r="Q65" s="208">
        <f t="shared" si="49"/>
        <v>548804873.13</v>
      </c>
      <c r="R65" s="208">
        <f t="shared" si="49"/>
        <v>532804873.13</v>
      </c>
      <c r="S65" s="208">
        <f t="shared" si="49"/>
        <v>0</v>
      </c>
      <c r="T65" s="208">
        <f t="shared" si="49"/>
        <v>41649116923</v>
      </c>
      <c r="U65" s="208">
        <f t="shared" si="49"/>
        <v>33901880065.889999</v>
      </c>
      <c r="V65" s="208">
        <f t="shared" si="49"/>
        <v>7747236857.1099997</v>
      </c>
      <c r="W65" s="209">
        <f t="shared" si="14"/>
        <v>0.81398796830595643</v>
      </c>
      <c r="X65" s="208">
        <f t="shared" ref="X65:AB65" si="50">+X66+X73+X76+X83+X89</f>
        <v>11544214996.950001</v>
      </c>
      <c r="Y65" s="208">
        <f t="shared" si="50"/>
        <v>22357665068.940002</v>
      </c>
      <c r="Z65" s="209">
        <f t="shared" si="21"/>
        <v>0.65948156932555846</v>
      </c>
      <c r="AA65" s="208">
        <f t="shared" si="50"/>
        <v>9801284853.4899998</v>
      </c>
      <c r="AB65" s="208">
        <f t="shared" si="50"/>
        <v>1742930143.46</v>
      </c>
      <c r="AC65" s="209">
        <f t="shared" si="5"/>
        <v>0.28910741334818929</v>
      </c>
    </row>
    <row r="66" spans="1:29" ht="54" customHeight="1">
      <c r="A66" s="32" t="str">
        <f t="shared" si="3"/>
        <v>A-02-02-02-006=10</v>
      </c>
      <c r="B66" s="210" t="str">
        <f>CONCATENATE(C66,"-",D66,"-",E66,"-",F66,"-",G66)</f>
        <v>A-02-02-02-006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f>SUM(N67:N72)</f>
        <v>4648096573</v>
      </c>
      <c r="O66" s="215">
        <f t="shared" ref="O66:V66" si="51">SUM(O67:O72)</f>
        <v>0</v>
      </c>
      <c r="P66" s="215">
        <f t="shared" si="51"/>
        <v>0</v>
      </c>
      <c r="Q66" s="215">
        <f t="shared" si="51"/>
        <v>202205305</v>
      </c>
      <c r="R66" s="215">
        <f t="shared" si="51"/>
        <v>0</v>
      </c>
      <c r="S66" s="215">
        <f t="shared" si="51"/>
        <v>0</v>
      </c>
      <c r="T66" s="215">
        <f t="shared" si="51"/>
        <v>4850301878</v>
      </c>
      <c r="U66" s="215">
        <f t="shared" si="51"/>
        <v>3319202092</v>
      </c>
      <c r="V66" s="215">
        <f t="shared" si="51"/>
        <v>1531099786</v>
      </c>
      <c r="W66" s="216">
        <f t="shared" si="14"/>
        <v>0.68432897075030263</v>
      </c>
      <c r="X66" s="215">
        <f t="shared" ref="X66:AB66" si="52">SUM(X67:X72)</f>
        <v>1638396933</v>
      </c>
      <c r="Y66" s="215">
        <f t="shared" si="52"/>
        <v>1680805159</v>
      </c>
      <c r="Z66" s="216">
        <f t="shared" si="21"/>
        <v>0.50638831635202519</v>
      </c>
      <c r="AA66" s="215">
        <f t="shared" si="52"/>
        <v>1582454182</v>
      </c>
      <c r="AB66" s="215">
        <f t="shared" si="52"/>
        <v>55942751</v>
      </c>
      <c r="AC66" s="216">
        <f t="shared" si="5"/>
        <v>0.47675740679184891</v>
      </c>
    </row>
    <row r="67" spans="1:29" ht="24.95" customHeight="1">
      <c r="A67" s="32" t="str">
        <f t="shared" si="3"/>
        <v>A-02-02-02-006-003=10</v>
      </c>
      <c r="B67" s="217" t="str">
        <f>CONCATENATE(C67,"-",D67,"-",E67,"-",F67,"-",G67,"-",H67)</f>
        <v>A-02-02-02-006-003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2">
        <f>104342700</f>
        <v>104342700</v>
      </c>
      <c r="R67" s="223"/>
      <c r="S67" s="223"/>
      <c r="T67" s="222">
        <f t="shared" ref="T67:T72" si="53">+N67-S67+O67-P67+Q67-R67</f>
        <v>116342700</v>
      </c>
      <c r="U67" s="222">
        <v>2000000</v>
      </c>
      <c r="V67" s="222">
        <f t="shared" si="10"/>
        <v>114342700</v>
      </c>
      <c r="W67" s="224">
        <f t="shared" si="14"/>
        <v>1.7190592963718394E-2</v>
      </c>
      <c r="X67" s="222">
        <v>2000000</v>
      </c>
      <c r="Y67" s="222">
        <f t="shared" si="13"/>
        <v>0</v>
      </c>
      <c r="Z67" s="224">
        <f t="shared" si="21"/>
        <v>0</v>
      </c>
      <c r="AA67" s="222">
        <v>2000000</v>
      </c>
      <c r="AB67" s="222">
        <f t="shared" ref="AB67:AB72" si="54">+X67-AA67</f>
        <v>0</v>
      </c>
      <c r="AC67" s="224">
        <f t="shared" si="5"/>
        <v>1</v>
      </c>
    </row>
    <row r="68" spans="1:29" ht="24.95" customHeight="1">
      <c r="A68" s="32" t="str">
        <f t="shared" si="3"/>
        <v>A-02-02-02-006-004=10</v>
      </c>
      <c r="B68" s="217" t="str">
        <f t="shared" ref="B68:B88" si="55">CONCATENATE(C68,"-",D68,"-",E68,"-",F68,"-",G68,"-",H68)</f>
        <v>A-02-02-02-006-004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1885720708</v>
      </c>
      <c r="O68" s="222"/>
      <c r="P68" s="222"/>
      <c r="Q68" s="222">
        <f>184500+65741905+31936200</f>
        <v>97862605</v>
      </c>
      <c r="R68" s="223"/>
      <c r="S68" s="223"/>
      <c r="T68" s="222">
        <f t="shared" si="53"/>
        <v>1983583313</v>
      </c>
      <c r="U68" s="222">
        <v>1559812073</v>
      </c>
      <c r="V68" s="222">
        <f t="shared" si="10"/>
        <v>423771240</v>
      </c>
      <c r="W68" s="224">
        <f t="shared" si="14"/>
        <v>0.78636075569768615</v>
      </c>
      <c r="X68" s="222">
        <v>789590897</v>
      </c>
      <c r="Y68" s="222">
        <f t="shared" si="13"/>
        <v>770221176</v>
      </c>
      <c r="Z68" s="224">
        <f t="shared" si="21"/>
        <v>0.49379100811716825</v>
      </c>
      <c r="AA68" s="222">
        <v>750224676</v>
      </c>
      <c r="AB68" s="222">
        <f t="shared" si="54"/>
        <v>39366221</v>
      </c>
      <c r="AC68" s="224">
        <f t="shared" si="5"/>
        <v>0.48097119453440723</v>
      </c>
    </row>
    <row r="69" spans="1:29" ht="24.95" customHeight="1">
      <c r="A69" s="32" t="str">
        <f t="shared" si="3"/>
        <v>A-02-02-02-006-005=10</v>
      </c>
      <c r="B69" s="217" t="str">
        <f t="shared" si="55"/>
        <v>A-02-02-02-006-005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62000000</v>
      </c>
      <c r="O69" s="222"/>
      <c r="P69" s="222"/>
      <c r="Q69" s="223"/>
      <c r="R69" s="223"/>
      <c r="S69" s="223"/>
      <c r="T69" s="222">
        <f t="shared" si="53"/>
        <v>62000000</v>
      </c>
      <c r="U69" s="222">
        <v>50000000</v>
      </c>
      <c r="V69" s="222">
        <f t="shared" si="10"/>
        <v>12000000</v>
      </c>
      <c r="W69" s="224">
        <f t="shared" si="14"/>
        <v>0.80645161290322576</v>
      </c>
      <c r="X69" s="222">
        <v>13167865</v>
      </c>
      <c r="Y69" s="222">
        <f t="shared" si="13"/>
        <v>36832135</v>
      </c>
      <c r="Z69" s="224">
        <f t="shared" si="21"/>
        <v>0.73664269999999998</v>
      </c>
      <c r="AA69" s="222">
        <v>0</v>
      </c>
      <c r="AB69" s="222">
        <f t="shared" si="54"/>
        <v>13167865</v>
      </c>
      <c r="AC69" s="224">
        <f t="shared" si="5"/>
        <v>0</v>
      </c>
    </row>
    <row r="70" spans="1:29" ht="24.95" customHeight="1">
      <c r="A70" s="32" t="str">
        <f t="shared" si="3"/>
        <v>A-02-02-02-006-006=10</v>
      </c>
      <c r="B70" s="217" t="str">
        <f t="shared" si="55"/>
        <v>A-02-02-02-006-006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/>
      <c r="O70" s="222"/>
      <c r="P70" s="222"/>
      <c r="Q70" s="223"/>
      <c r="R70" s="223"/>
      <c r="S70" s="223"/>
      <c r="T70" s="222">
        <f t="shared" si="53"/>
        <v>0</v>
      </c>
      <c r="U70" s="222">
        <v>0</v>
      </c>
      <c r="V70" s="222">
        <f t="shared" si="10"/>
        <v>0</v>
      </c>
      <c r="W70" s="224">
        <f t="shared" si="14"/>
        <v>0</v>
      </c>
      <c r="X70" s="222">
        <v>0</v>
      </c>
      <c r="Y70" s="222">
        <f t="shared" si="13"/>
        <v>0</v>
      </c>
      <c r="Z70" s="224">
        <f t="shared" si="21"/>
        <v>0</v>
      </c>
      <c r="AA70" s="222">
        <v>0</v>
      </c>
      <c r="AB70" s="222">
        <f t="shared" si="54"/>
        <v>0</v>
      </c>
      <c r="AC70" s="224">
        <f t="shared" si="5"/>
        <v>0</v>
      </c>
    </row>
    <row r="71" spans="1:29" ht="24.95" customHeight="1">
      <c r="A71" s="32" t="str">
        <f t="shared" si="3"/>
        <v>A-02-02-02-006-008=10</v>
      </c>
      <c r="B71" s="217" t="str">
        <f t="shared" si="55"/>
        <v>A-02-02-02-006-008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1588375865</v>
      </c>
      <c r="O71" s="222"/>
      <c r="P71" s="222"/>
      <c r="Q71" s="222"/>
      <c r="R71" s="223"/>
      <c r="S71" s="223"/>
      <c r="T71" s="222">
        <f t="shared" si="53"/>
        <v>1588375865</v>
      </c>
      <c r="U71" s="222">
        <v>1462418312</v>
      </c>
      <c r="V71" s="222">
        <f t="shared" si="10"/>
        <v>125957553</v>
      </c>
      <c r="W71" s="224">
        <f t="shared" si="14"/>
        <v>0.92070041117125634</v>
      </c>
      <c r="X71" s="222">
        <v>588666464</v>
      </c>
      <c r="Y71" s="222">
        <f t="shared" si="13"/>
        <v>873751848</v>
      </c>
      <c r="Z71" s="224">
        <f t="shared" si="21"/>
        <v>0.59747053276778173</v>
      </c>
      <c r="AA71" s="222">
        <v>588666464</v>
      </c>
      <c r="AB71" s="222">
        <f t="shared" si="54"/>
        <v>0</v>
      </c>
      <c r="AC71" s="224">
        <f t="shared" si="5"/>
        <v>0.40252946723221827</v>
      </c>
    </row>
    <row r="72" spans="1:29" ht="27" customHeight="1">
      <c r="A72" s="32" t="str">
        <f t="shared" si="3"/>
        <v>A-02-02-02-006-009=10</v>
      </c>
      <c r="B72" s="217" t="str">
        <f t="shared" si="55"/>
        <v>A-02-02-02-006-009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1100000000</v>
      </c>
      <c r="O72" s="222"/>
      <c r="P72" s="222"/>
      <c r="Q72" s="223"/>
      <c r="R72" s="223"/>
      <c r="S72" s="223"/>
      <c r="T72" s="222">
        <f t="shared" si="53"/>
        <v>1100000000</v>
      </c>
      <c r="U72" s="222">
        <v>244971707</v>
      </c>
      <c r="V72" s="222">
        <f t="shared" si="10"/>
        <v>855028293</v>
      </c>
      <c r="W72" s="224">
        <f t="shared" si="14"/>
        <v>0.22270155181818183</v>
      </c>
      <c r="X72" s="222">
        <v>244971707</v>
      </c>
      <c r="Y72" s="222">
        <f t="shared" si="13"/>
        <v>0</v>
      </c>
      <c r="Z72" s="224">
        <f t="shared" si="21"/>
        <v>0</v>
      </c>
      <c r="AA72" s="222">
        <v>241563042</v>
      </c>
      <c r="AB72" s="222">
        <f t="shared" si="54"/>
        <v>3408665</v>
      </c>
      <c r="AC72" s="224">
        <f t="shared" si="5"/>
        <v>0.98608547476056085</v>
      </c>
    </row>
    <row r="73" spans="1:29" ht="43.5" customHeight="1">
      <c r="A73" s="32" t="str">
        <f t="shared" si="3"/>
        <v>A-02-02-02-007=10</v>
      </c>
      <c r="B73" s="210" t="str">
        <f>CONCATENATE(C73,"-",D73,"-",E73,"-",F73,"-",G73)</f>
        <v>A-02-02-02-007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f>SUM(N74:N75)</f>
        <v>15081981155</v>
      </c>
      <c r="O73" s="215">
        <f t="shared" ref="O73:AB73" si="56">SUM(O74:O75)</f>
        <v>0</v>
      </c>
      <c r="P73" s="215">
        <f t="shared" si="56"/>
        <v>0</v>
      </c>
      <c r="Q73" s="215">
        <f t="shared" si="56"/>
        <v>32983435</v>
      </c>
      <c r="R73" s="215">
        <f t="shared" si="56"/>
        <v>29023435</v>
      </c>
      <c r="S73" s="215">
        <f t="shared" si="56"/>
        <v>0</v>
      </c>
      <c r="T73" s="215">
        <f t="shared" si="56"/>
        <v>15085941155</v>
      </c>
      <c r="U73" s="215">
        <f t="shared" si="56"/>
        <v>14673890617</v>
      </c>
      <c r="V73" s="215">
        <f t="shared" si="56"/>
        <v>412050538</v>
      </c>
      <c r="W73" s="216">
        <f t="shared" si="14"/>
        <v>0.97268645464234549</v>
      </c>
      <c r="X73" s="215">
        <f t="shared" si="56"/>
        <v>5067299902</v>
      </c>
      <c r="Y73" s="215">
        <f t="shared" si="56"/>
        <v>9606590715</v>
      </c>
      <c r="Z73" s="216">
        <f t="shared" si="21"/>
        <v>0.65467236779525739</v>
      </c>
      <c r="AA73" s="215">
        <f t="shared" si="56"/>
        <v>3831674509</v>
      </c>
      <c r="AB73" s="215">
        <f t="shared" si="56"/>
        <v>1235625393</v>
      </c>
      <c r="AC73" s="216">
        <f t="shared" si="5"/>
        <v>0.26112192117344307</v>
      </c>
    </row>
    <row r="74" spans="1:29" ht="24.95" customHeight="1">
      <c r="A74" s="32" t="str">
        <f t="shared" si="3"/>
        <v>A-02-02-02-007-001=10</v>
      </c>
      <c r="B74" s="217" t="str">
        <f t="shared" si="55"/>
        <v>A-02-02-02-007-001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520000000</v>
      </c>
      <c r="O74" s="222"/>
      <c r="P74" s="222"/>
      <c r="Q74" s="222">
        <f>32983435</f>
        <v>32983435</v>
      </c>
      <c r="R74" s="222">
        <f>29023435</f>
        <v>29023435</v>
      </c>
      <c r="S74" s="223"/>
      <c r="T74" s="222">
        <f>+N74-S74+O74-P74+Q74-R74</f>
        <v>523960000</v>
      </c>
      <c r="U74" s="222">
        <v>308551378</v>
      </c>
      <c r="V74" s="222">
        <f t="shared" si="10"/>
        <v>215408622</v>
      </c>
      <c r="W74" s="224">
        <f t="shared" si="14"/>
        <v>0.58888346056950913</v>
      </c>
      <c r="X74" s="222">
        <v>304574778</v>
      </c>
      <c r="Y74" s="222">
        <f t="shared" si="13"/>
        <v>3976600</v>
      </c>
      <c r="Z74" s="224">
        <f t="shared" si="21"/>
        <v>1.288796707302341E-2</v>
      </c>
      <c r="AA74" s="222">
        <v>120000</v>
      </c>
      <c r="AB74" s="222">
        <f t="shared" ref="AB74:AB75" si="57">+X74-AA74</f>
        <v>304454778</v>
      </c>
      <c r="AC74" s="224">
        <f t="shared" si="5"/>
        <v>3.8891416002685946E-4</v>
      </c>
    </row>
    <row r="75" spans="1:29" ht="24.95" customHeight="1">
      <c r="A75" s="32" t="str">
        <f t="shared" si="3"/>
        <v>A-02-02-02-007-002=10</v>
      </c>
      <c r="B75" s="217" t="str">
        <f t="shared" si="55"/>
        <v>A-02-02-02-007-002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14561981155</v>
      </c>
      <c r="O75" s="222"/>
      <c r="P75" s="222"/>
      <c r="Q75" s="222"/>
      <c r="R75" s="223"/>
      <c r="S75" s="223"/>
      <c r="T75" s="222">
        <f>+N75-S75+O75-P75+Q75-R75</f>
        <v>14561981155</v>
      </c>
      <c r="U75" s="222">
        <v>14365339239</v>
      </c>
      <c r="V75" s="222">
        <f t="shared" si="10"/>
        <v>196641916</v>
      </c>
      <c r="W75" s="224">
        <f t="shared" si="14"/>
        <v>0.98649621133917753</v>
      </c>
      <c r="X75" s="222">
        <v>4762725124</v>
      </c>
      <c r="Y75" s="222">
        <f t="shared" si="13"/>
        <v>9602614115</v>
      </c>
      <c r="Z75" s="224">
        <f t="shared" si="21"/>
        <v>0.66845717704529872</v>
      </c>
      <c r="AA75" s="222">
        <v>3831554509</v>
      </c>
      <c r="AB75" s="222">
        <f t="shared" si="57"/>
        <v>931170615</v>
      </c>
      <c r="AC75" s="224">
        <f t="shared" si="5"/>
        <v>0.26672217378604157</v>
      </c>
    </row>
    <row r="76" spans="1:29" ht="24.95" customHeight="1">
      <c r="A76" s="32" t="str">
        <f t="shared" si="3"/>
        <v>A-02-02-02-008=10</v>
      </c>
      <c r="B76" s="210" t="str">
        <f>CONCATENATE(C76,"-",D76,"-",E76,"-",F76,"-",G76)</f>
        <v>A-02-02-02-008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f>SUM(N77:N82)</f>
        <v>18842006651</v>
      </c>
      <c r="O76" s="215">
        <f t="shared" ref="O76:V76" si="58">SUM(O77:O82)</f>
        <v>0</v>
      </c>
      <c r="P76" s="215">
        <f t="shared" si="58"/>
        <v>0</v>
      </c>
      <c r="Q76" s="215">
        <f t="shared" si="58"/>
        <v>313616133.13</v>
      </c>
      <c r="R76" s="215">
        <f t="shared" si="58"/>
        <v>426855033.13</v>
      </c>
      <c r="S76" s="215">
        <f t="shared" si="58"/>
        <v>0</v>
      </c>
      <c r="T76" s="215">
        <f t="shared" si="58"/>
        <v>18728767751</v>
      </c>
      <c r="U76" s="215">
        <f t="shared" si="58"/>
        <v>14363752803.889999</v>
      </c>
      <c r="V76" s="215">
        <f t="shared" si="58"/>
        <v>4365014947.1099997</v>
      </c>
      <c r="W76" s="216">
        <f t="shared" si="14"/>
        <v>0.76693528345574491</v>
      </c>
      <c r="X76" s="215">
        <f t="shared" ref="X76:AB76" si="59">SUM(X77:X82)</f>
        <v>4355232175.3100004</v>
      </c>
      <c r="Y76" s="215">
        <f t="shared" si="59"/>
        <v>10008520628.58</v>
      </c>
      <c r="Z76" s="216">
        <f t="shared" si="21"/>
        <v>0.69679009136591985</v>
      </c>
      <c r="AA76" s="215">
        <f t="shared" si="59"/>
        <v>3904088442.8500004</v>
      </c>
      <c r="AB76" s="215">
        <f t="shared" si="59"/>
        <v>451143732.46000004</v>
      </c>
      <c r="AC76" s="216">
        <f t="shared" si="5"/>
        <v>0.27180142238264454</v>
      </c>
    </row>
    <row r="77" spans="1:29" ht="24.95" customHeight="1">
      <c r="A77" s="32" t="str">
        <f t="shared" ref="A77:A146" si="60">+CONCATENATE(B77,"=",K77)</f>
        <v>A-02-02-02-008-002=10</v>
      </c>
      <c r="B77" s="217" t="str">
        <f t="shared" si="55"/>
        <v>A-02-02-02-008-002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49955000</v>
      </c>
      <c r="O77" s="222"/>
      <c r="P77" s="222"/>
      <c r="Q77" s="223"/>
      <c r="R77" s="223"/>
      <c r="S77" s="223"/>
      <c r="T77" s="222">
        <f t="shared" ref="T77:T82" si="61">+N77-S77+O77-P77+Q77-R77</f>
        <v>49955000</v>
      </c>
      <c r="U77" s="222">
        <v>24625950</v>
      </c>
      <c r="V77" s="222">
        <f t="shared" si="10"/>
        <v>25329050</v>
      </c>
      <c r="W77" s="224">
        <f t="shared" si="14"/>
        <v>0.49296266639975977</v>
      </c>
      <c r="X77" s="222">
        <v>1019972.8</v>
      </c>
      <c r="Y77" s="222">
        <f t="shared" si="13"/>
        <v>23605977.199999999</v>
      </c>
      <c r="Z77" s="224">
        <f t="shared" si="21"/>
        <v>0.95858138264716686</v>
      </c>
      <c r="AA77" s="222">
        <v>1019972.8</v>
      </c>
      <c r="AB77" s="222">
        <f t="shared" ref="AB77:AB82" si="62">+X77-AA77</f>
        <v>0</v>
      </c>
      <c r="AC77" s="224">
        <f t="shared" ref="AC77:AC146" si="63">+IF(U77&gt;0,(AA77/U77),0)</f>
        <v>4.1418617352833094E-2</v>
      </c>
    </row>
    <row r="78" spans="1:29" ht="24.95" customHeight="1">
      <c r="A78" s="32" t="str">
        <f t="shared" si="60"/>
        <v>A-02-02-02-008-003=10</v>
      </c>
      <c r="B78" s="217" t="str">
        <f t="shared" si="55"/>
        <v>A-02-02-02-008-003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10819632797</v>
      </c>
      <c r="O78" s="222"/>
      <c r="P78" s="222"/>
      <c r="Q78" s="222">
        <f>11000000</f>
        <v>11000000</v>
      </c>
      <c r="R78" s="222">
        <f>5955863+169262335+146154331</f>
        <v>321372529</v>
      </c>
      <c r="S78" s="223"/>
      <c r="T78" s="222">
        <f t="shared" si="61"/>
        <v>10509260268</v>
      </c>
      <c r="U78" s="222">
        <v>9718593560</v>
      </c>
      <c r="V78" s="222">
        <f t="shared" si="10"/>
        <v>790666708</v>
      </c>
      <c r="W78" s="224">
        <f t="shared" si="14"/>
        <v>0.92476476099773386</v>
      </c>
      <c r="X78" s="222">
        <v>2622670642</v>
      </c>
      <c r="Y78" s="222">
        <f t="shared" si="13"/>
        <v>7095922918</v>
      </c>
      <c r="Z78" s="224">
        <f t="shared" si="21"/>
        <v>0.73013886980576648</v>
      </c>
      <c r="AA78" s="222">
        <v>2433486063</v>
      </c>
      <c r="AB78" s="222">
        <f t="shared" si="62"/>
        <v>189184579</v>
      </c>
      <c r="AC78" s="224">
        <f t="shared" si="63"/>
        <v>0.25039487946237354</v>
      </c>
    </row>
    <row r="79" spans="1:29" ht="30.75" customHeight="1">
      <c r="A79" s="32" t="str">
        <f t="shared" si="60"/>
        <v>A-02-02-02-008-004=10</v>
      </c>
      <c r="B79" s="217" t="str">
        <f t="shared" si="55"/>
        <v>A-02-02-02-008-004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2518099374</v>
      </c>
      <c r="O79" s="222"/>
      <c r="P79" s="222"/>
      <c r="Q79" s="222"/>
      <c r="R79" s="222">
        <f>82333302.13</f>
        <v>82333302.129999995</v>
      </c>
      <c r="S79" s="223"/>
      <c r="T79" s="223">
        <f t="shared" si="61"/>
        <v>2435766071.8699999</v>
      </c>
      <c r="U79" s="222">
        <v>1082290425.75</v>
      </c>
      <c r="V79" s="222">
        <f t="shared" si="10"/>
        <v>1353475646.1199999</v>
      </c>
      <c r="W79" s="224">
        <f t="shared" si="14"/>
        <v>0.44433266324261506</v>
      </c>
      <c r="X79" s="222">
        <v>702161473</v>
      </c>
      <c r="Y79" s="222">
        <f t="shared" si="13"/>
        <v>380128952.75</v>
      </c>
      <c r="Z79" s="224">
        <f t="shared" si="21"/>
        <v>0.35122638407022794</v>
      </c>
      <c r="AA79" s="222">
        <v>662138694</v>
      </c>
      <c r="AB79" s="222">
        <f t="shared" si="62"/>
        <v>40022779</v>
      </c>
      <c r="AC79" s="224">
        <f t="shared" si="63"/>
        <v>0.61179391247146486</v>
      </c>
    </row>
    <row r="80" spans="1:29" ht="24.95" customHeight="1">
      <c r="A80" s="32" t="str">
        <f t="shared" si="60"/>
        <v>A-02-02-02-008-005=10</v>
      </c>
      <c r="B80" s="217" t="str">
        <f t="shared" si="55"/>
        <v>A-02-02-02-008-005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4954700583</v>
      </c>
      <c r="O80" s="222"/>
      <c r="P80" s="222"/>
      <c r="Q80" s="222">
        <f>5955863</f>
        <v>5955863</v>
      </c>
      <c r="R80" s="222">
        <f>20268000+2881202</f>
        <v>23149202</v>
      </c>
      <c r="S80" s="223"/>
      <c r="T80" s="222">
        <f t="shared" si="61"/>
        <v>4937507244</v>
      </c>
      <c r="U80" s="222">
        <v>3305623971.1399999</v>
      </c>
      <c r="V80" s="222">
        <f t="shared" si="10"/>
        <v>1631883272.8600001</v>
      </c>
      <c r="W80" s="224">
        <f t="shared" si="14"/>
        <v>0.66949248027067798</v>
      </c>
      <c r="X80" s="222">
        <v>985604617.50999999</v>
      </c>
      <c r="Y80" s="222">
        <f t="shared" si="13"/>
        <v>2320019353.6300001</v>
      </c>
      <c r="Z80" s="224">
        <f t="shared" si="21"/>
        <v>0.70184006828517231</v>
      </c>
      <c r="AA80" s="222">
        <v>763668243.04999995</v>
      </c>
      <c r="AB80" s="222">
        <f t="shared" si="62"/>
        <v>221936374.46000004</v>
      </c>
      <c r="AC80" s="224">
        <f t="shared" si="63"/>
        <v>0.23102090549840615</v>
      </c>
    </row>
    <row r="81" spans="1:52" ht="26.25" customHeight="1">
      <c r="A81" s="32" t="str">
        <f t="shared" si="60"/>
        <v>A-02-02-02-008-007=10</v>
      </c>
      <c r="B81" s="217" t="str">
        <f t="shared" si="55"/>
        <v>A-02-02-02-008-007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396618897</v>
      </c>
      <c r="O81" s="222"/>
      <c r="P81" s="222"/>
      <c r="Q81" s="222">
        <f>20268000+82333302.13+29023435+146154331+18881202</f>
        <v>296660270.13</v>
      </c>
      <c r="R81" s="223"/>
      <c r="S81" s="223"/>
      <c r="T81" s="222">
        <f t="shared" si="61"/>
        <v>693279167.13</v>
      </c>
      <c r="U81" s="222">
        <v>151618897</v>
      </c>
      <c r="V81" s="222">
        <f t="shared" si="10"/>
        <v>541660270.13</v>
      </c>
      <c r="W81" s="224">
        <f t="shared" si="14"/>
        <v>0.21869818709202499</v>
      </c>
      <c r="X81" s="222">
        <v>42775470</v>
      </c>
      <c r="Y81" s="222">
        <f t="shared" si="13"/>
        <v>108843427</v>
      </c>
      <c r="Z81" s="224">
        <f t="shared" si="21"/>
        <v>0.71787507463532074</v>
      </c>
      <c r="AA81" s="222">
        <v>42775470</v>
      </c>
      <c r="AB81" s="222">
        <f t="shared" si="62"/>
        <v>0</v>
      </c>
      <c r="AC81" s="224">
        <f t="shared" si="63"/>
        <v>0.28212492536467931</v>
      </c>
    </row>
    <row r="82" spans="1:52" s="250" customFormat="1" ht="34.5" customHeight="1">
      <c r="A82" s="32" t="str">
        <f t="shared" si="60"/>
        <v>A-02-02-02-008-009=10</v>
      </c>
      <c r="B82" s="217" t="str">
        <f t="shared" si="55"/>
        <v>A-02-02-02-008-009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103000000</v>
      </c>
      <c r="O82" s="222"/>
      <c r="P82" s="222"/>
      <c r="Q82" s="223"/>
      <c r="R82" s="223"/>
      <c r="S82" s="223"/>
      <c r="T82" s="222">
        <f t="shared" si="61"/>
        <v>103000000</v>
      </c>
      <c r="U82" s="222">
        <v>81000000</v>
      </c>
      <c r="V82" s="222">
        <f t="shared" si="10"/>
        <v>22000000</v>
      </c>
      <c r="W82" s="224">
        <f t="shared" si="14"/>
        <v>0.78640776699029125</v>
      </c>
      <c r="X82" s="222">
        <v>1000000</v>
      </c>
      <c r="Y82" s="222">
        <f t="shared" si="13"/>
        <v>80000000</v>
      </c>
      <c r="Z82" s="224">
        <f t="shared" si="21"/>
        <v>0.98765432098765427</v>
      </c>
      <c r="AA82" s="222">
        <v>1000000</v>
      </c>
      <c r="AB82" s="222">
        <f t="shared" si="62"/>
        <v>0</v>
      </c>
      <c r="AC82" s="224">
        <f t="shared" si="63"/>
        <v>1.2345679012345678E-2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tr">
        <f t="shared" si="60"/>
        <v>A-02-02-02-009=10</v>
      </c>
      <c r="B83" s="210" t="str">
        <f>CONCATENATE(C83,"-",D83,"-",E83,"-",F83,"-",G83)</f>
        <v>A-02-02-02-009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f>SUM(N84:N88)</f>
        <v>2327016750</v>
      </c>
      <c r="O83" s="215">
        <f t="shared" ref="O83:AB83" si="64">SUM(O84:O88)</f>
        <v>0</v>
      </c>
      <c r="P83" s="215">
        <f t="shared" si="64"/>
        <v>0</v>
      </c>
      <c r="Q83" s="215">
        <f t="shared" si="64"/>
        <v>0</v>
      </c>
      <c r="R83" s="215">
        <f t="shared" si="64"/>
        <v>11000000</v>
      </c>
      <c r="S83" s="215">
        <f t="shared" si="64"/>
        <v>0</v>
      </c>
      <c r="T83" s="215">
        <f t="shared" si="64"/>
        <v>2316016750</v>
      </c>
      <c r="U83" s="215">
        <f t="shared" si="64"/>
        <v>1276113275</v>
      </c>
      <c r="V83" s="215">
        <f t="shared" si="64"/>
        <v>1039903475</v>
      </c>
      <c r="W83" s="216">
        <f t="shared" ref="W83:W153" si="65">+IF(T83&gt;0,U83/T83,0)</f>
        <v>0.5509948384440656</v>
      </c>
      <c r="X83" s="215">
        <f t="shared" si="64"/>
        <v>332750305.63999999</v>
      </c>
      <c r="Y83" s="215">
        <f t="shared" si="64"/>
        <v>943362969.36000001</v>
      </c>
      <c r="Z83" s="216">
        <f t="shared" si="21"/>
        <v>0.73924704635644511</v>
      </c>
      <c r="AA83" s="215">
        <f t="shared" si="64"/>
        <v>332532038.63999999</v>
      </c>
      <c r="AB83" s="215">
        <f t="shared" si="64"/>
        <v>218267</v>
      </c>
      <c r="AC83" s="216">
        <f t="shared" si="63"/>
        <v>0.26058191318478369</v>
      </c>
    </row>
    <row r="84" spans="1:52" ht="24.95" customHeight="1">
      <c r="A84" s="32" t="str">
        <f t="shared" si="60"/>
        <v>A-02-02-02-009-002=10</v>
      </c>
      <c r="B84" s="217" t="str">
        <f t="shared" si="55"/>
        <v>A-02-02-02-009-002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992069874</v>
      </c>
      <c r="O84" s="222"/>
      <c r="P84" s="222"/>
      <c r="Q84" s="223"/>
      <c r="R84" s="223"/>
      <c r="S84" s="223"/>
      <c r="T84" s="222">
        <f>+N84-S84+O84-P84+Q84-R84</f>
        <v>992069874</v>
      </c>
      <c r="U84" s="222">
        <v>642069874</v>
      </c>
      <c r="V84" s="222">
        <f t="shared" si="10"/>
        <v>350000000</v>
      </c>
      <c r="W84" s="224">
        <f t="shared" si="65"/>
        <v>0.64720226954497762</v>
      </c>
      <c r="X84" s="222">
        <v>116582904</v>
      </c>
      <c r="Y84" s="222">
        <f t="shared" si="13"/>
        <v>525486970</v>
      </c>
      <c r="Z84" s="224">
        <f t="shared" si="21"/>
        <v>0.81842645369154943</v>
      </c>
      <c r="AA84" s="222">
        <v>116582904</v>
      </c>
      <c r="AB84" s="222">
        <f t="shared" ref="AB84:AB89" si="66">+X84-AA84</f>
        <v>0</v>
      </c>
      <c r="AC84" s="224">
        <f t="shared" si="63"/>
        <v>0.18157354630845055</v>
      </c>
    </row>
    <row r="85" spans="1:52" ht="34.5" customHeight="1">
      <c r="A85" s="32" t="str">
        <f t="shared" si="60"/>
        <v>A-02-02-02-009-003=10</v>
      </c>
      <c r="B85" s="217" t="str">
        <f t="shared" si="55"/>
        <v>A-02-02-02-009-003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364946876</v>
      </c>
      <c r="O85" s="222"/>
      <c r="P85" s="222"/>
      <c r="Q85" s="223"/>
      <c r="R85" s="223"/>
      <c r="S85" s="223"/>
      <c r="T85" s="222">
        <f>+N85-S85+O85-P85+Q85-R85</f>
        <v>364946876</v>
      </c>
      <c r="U85" s="222">
        <v>159832826</v>
      </c>
      <c r="V85" s="222">
        <f t="shared" si="10"/>
        <v>205114050</v>
      </c>
      <c r="W85" s="224">
        <f t="shared" si="65"/>
        <v>0.43796189667890184</v>
      </c>
      <c r="X85" s="222">
        <v>5530385</v>
      </c>
      <c r="Y85" s="222">
        <f t="shared" si="13"/>
        <v>154302441</v>
      </c>
      <c r="Z85" s="224">
        <f t="shared" si="21"/>
        <v>0.96539894126629533</v>
      </c>
      <c r="AA85" s="222">
        <v>5530385</v>
      </c>
      <c r="AB85" s="222">
        <f t="shared" si="66"/>
        <v>0</v>
      </c>
      <c r="AC85" s="224">
        <f t="shared" si="63"/>
        <v>3.4601058733704677E-2</v>
      </c>
    </row>
    <row r="86" spans="1:52" ht="33">
      <c r="A86" s="32" t="str">
        <f t="shared" si="60"/>
        <v>A-02-02-02-009-004=10</v>
      </c>
      <c r="B86" s="217" t="str">
        <f t="shared" si="55"/>
        <v>A-02-02-02-009-004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115000000</v>
      </c>
      <c r="O86" s="222"/>
      <c r="P86" s="222"/>
      <c r="Q86" s="223"/>
      <c r="R86" s="222">
        <f>11000000</f>
        <v>11000000</v>
      </c>
      <c r="S86" s="223"/>
      <c r="T86" s="222">
        <f>+N86-S86+O86-P86+Q86-R86</f>
        <v>104000000</v>
      </c>
      <c r="U86" s="222">
        <v>24210575</v>
      </c>
      <c r="V86" s="222">
        <f t="shared" si="10"/>
        <v>79789425</v>
      </c>
      <c r="W86" s="224">
        <f t="shared" si="65"/>
        <v>0.23279399038461537</v>
      </c>
      <c r="X86" s="222">
        <v>24210575</v>
      </c>
      <c r="Y86" s="222">
        <f t="shared" si="13"/>
        <v>0</v>
      </c>
      <c r="Z86" s="224">
        <f t="shared" si="21"/>
        <v>0</v>
      </c>
      <c r="AA86" s="222">
        <v>23992308</v>
      </c>
      <c r="AB86" s="222">
        <f t="shared" si="66"/>
        <v>218267</v>
      </c>
      <c r="AC86" s="224">
        <f t="shared" si="63"/>
        <v>0.99098464204175241</v>
      </c>
    </row>
    <row r="87" spans="1:52" ht="24.95" customHeight="1">
      <c r="A87" s="32" t="str">
        <f t="shared" si="60"/>
        <v>A-02-02-02-009-006=10</v>
      </c>
      <c r="B87" s="217" t="str">
        <f t="shared" si="55"/>
        <v>A-02-02-02-009-006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830000000</v>
      </c>
      <c r="O87" s="222"/>
      <c r="P87" s="222"/>
      <c r="Q87" s="223"/>
      <c r="R87" s="223"/>
      <c r="S87" s="223"/>
      <c r="T87" s="222">
        <f>+N87-S87+O87-P87+Q87-R87</f>
        <v>830000000</v>
      </c>
      <c r="U87" s="222">
        <v>450000000</v>
      </c>
      <c r="V87" s="222">
        <f t="shared" si="10"/>
        <v>380000000</v>
      </c>
      <c r="W87" s="224">
        <f t="shared" si="65"/>
        <v>0.54216867469879515</v>
      </c>
      <c r="X87" s="222">
        <v>186426441.63999999</v>
      </c>
      <c r="Y87" s="222">
        <f t="shared" si="13"/>
        <v>263573558.36000001</v>
      </c>
      <c r="Z87" s="224">
        <f t="shared" si="21"/>
        <v>0.58571901857777786</v>
      </c>
      <c r="AA87" s="222">
        <v>186426441.63999999</v>
      </c>
      <c r="AB87" s="222">
        <f t="shared" si="66"/>
        <v>0</v>
      </c>
      <c r="AC87" s="224">
        <f t="shared" si="63"/>
        <v>0.41428098142222219</v>
      </c>
    </row>
    <row r="88" spans="1:52" ht="24.95" customHeight="1">
      <c r="A88" s="32" t="str">
        <f t="shared" si="60"/>
        <v>A-02-02-02-009-007=10</v>
      </c>
      <c r="B88" s="217" t="str">
        <f t="shared" si="55"/>
        <v>A-02-02-02-009-007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25000000</v>
      </c>
      <c r="O88" s="222"/>
      <c r="P88" s="222"/>
      <c r="Q88" s="223"/>
      <c r="R88" s="223"/>
      <c r="S88" s="223"/>
      <c r="T88" s="222">
        <f>+N88-S88+O88-P88+Q88-R88</f>
        <v>25000000</v>
      </c>
      <c r="U88" s="222">
        <v>0</v>
      </c>
      <c r="V88" s="222">
        <f>+T88-U88</f>
        <v>25000000</v>
      </c>
      <c r="W88" s="224">
        <f t="shared" si="65"/>
        <v>0</v>
      </c>
      <c r="X88" s="222">
        <v>0</v>
      </c>
      <c r="Y88" s="222">
        <f t="shared" si="13"/>
        <v>0</v>
      </c>
      <c r="Z88" s="224">
        <f t="shared" si="21"/>
        <v>0</v>
      </c>
      <c r="AA88" s="222">
        <v>0</v>
      </c>
      <c r="AB88" s="222">
        <f t="shared" si="66"/>
        <v>0</v>
      </c>
      <c r="AC88" s="224">
        <f t="shared" si="63"/>
        <v>0</v>
      </c>
    </row>
    <row r="89" spans="1:52" s="90" customFormat="1" ht="24.95" customHeight="1">
      <c r="A89" s="32" t="str">
        <f t="shared" si="60"/>
        <v>A-02-02-02-010=10</v>
      </c>
      <c r="B89" s="251" t="str">
        <f>CONCATENATE(C89,"-",D89,"-",E89,"-",F89,"-",G89)</f>
        <v>A-02-02-02-010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734015794</v>
      </c>
      <c r="O89" s="254"/>
      <c r="P89" s="254"/>
      <c r="Q89" s="254"/>
      <c r="R89" s="254">
        <f>184500+65741905</f>
        <v>65926405</v>
      </c>
      <c r="S89" s="254"/>
      <c r="T89" s="254">
        <f t="shared" ref="T89" si="67">+N89+O89-P89+Q89-R89-S89</f>
        <v>668089389</v>
      </c>
      <c r="U89" s="254">
        <v>268921278</v>
      </c>
      <c r="V89" s="254">
        <f t="shared" ref="V89" si="68">+T89-U89</f>
        <v>399168111</v>
      </c>
      <c r="W89" s="255">
        <f t="shared" si="65"/>
        <v>0.40252289952175846</v>
      </c>
      <c r="X89" s="254">
        <v>150535681</v>
      </c>
      <c r="Y89" s="254">
        <f t="shared" si="13"/>
        <v>118385597</v>
      </c>
      <c r="Z89" s="255">
        <f t="shared" si="21"/>
        <v>0.44022398629237514</v>
      </c>
      <c r="AA89" s="254">
        <v>150535681</v>
      </c>
      <c r="AB89" s="254">
        <f t="shared" si="66"/>
        <v>0</v>
      </c>
      <c r="AC89" s="255">
        <f t="shared" si="63"/>
        <v>0.55977601370762486</v>
      </c>
    </row>
    <row r="90" spans="1:52" ht="35.1" customHeight="1">
      <c r="A90" s="32" t="str">
        <f t="shared" si="60"/>
        <v>A-03=</v>
      </c>
      <c r="B90" s="188" t="str">
        <f>CONCATENATE(C90,"-",D90)</f>
        <v>A-03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f>+N91+N98+N104</f>
        <v>25816000000</v>
      </c>
      <c r="O90" s="194">
        <f t="shared" ref="O90:V90" si="69">+O91+O98+O104</f>
        <v>3803514274200</v>
      </c>
      <c r="P90" s="194">
        <f t="shared" si="69"/>
        <v>0</v>
      </c>
      <c r="Q90" s="194">
        <f t="shared" si="69"/>
        <v>0</v>
      </c>
      <c r="R90" s="194">
        <f t="shared" si="69"/>
        <v>0</v>
      </c>
      <c r="S90" s="194">
        <f t="shared" si="69"/>
        <v>22607000000</v>
      </c>
      <c r="T90" s="194">
        <f t="shared" si="69"/>
        <v>3806723274200</v>
      </c>
      <c r="U90" s="194">
        <f t="shared" si="69"/>
        <v>2516688336185</v>
      </c>
      <c r="V90" s="194">
        <f t="shared" si="69"/>
        <v>1293921015</v>
      </c>
      <c r="W90" s="195">
        <f t="shared" si="65"/>
        <v>0.66111670192625005</v>
      </c>
      <c r="X90" s="194">
        <f t="shared" ref="X90:Y90" si="70">+X91+X98+X104</f>
        <v>2448090813998</v>
      </c>
      <c r="Y90" s="194">
        <f t="shared" si="70"/>
        <v>68597522187</v>
      </c>
      <c r="Z90" s="195">
        <f t="shared" si="21"/>
        <v>2.7257058889932188E-2</v>
      </c>
      <c r="AA90" s="194">
        <f t="shared" ref="AA90:AB90" si="71">+AA91+AA98+AA104</f>
        <v>2448070994407</v>
      </c>
      <c r="AB90" s="194">
        <f t="shared" si="71"/>
        <v>19819591</v>
      </c>
      <c r="AC90" s="195">
        <f t="shared" si="63"/>
        <v>0.97273506584370484</v>
      </c>
    </row>
    <row r="91" spans="1:52" ht="24.95" customHeight="1">
      <c r="A91" s="32" t="str">
        <f t="shared" si="60"/>
        <v>A-03-03=</v>
      </c>
      <c r="B91" s="196" t="str">
        <f>CONCATENATE(C91,"-",D91,"-",E91)</f>
        <v>A-03-03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f>+N92</f>
        <v>22607000000</v>
      </c>
      <c r="O91" s="201">
        <f t="shared" ref="O91:V91" si="72">+O92</f>
        <v>3803514274200</v>
      </c>
      <c r="P91" s="201">
        <f t="shared" si="72"/>
        <v>0</v>
      </c>
      <c r="Q91" s="201">
        <f t="shared" si="72"/>
        <v>0</v>
      </c>
      <c r="R91" s="201">
        <f t="shared" si="72"/>
        <v>0</v>
      </c>
      <c r="S91" s="201">
        <f t="shared" si="72"/>
        <v>22607000000</v>
      </c>
      <c r="T91" s="201">
        <f t="shared" si="72"/>
        <v>3803514274200</v>
      </c>
      <c r="U91" s="201">
        <f t="shared" si="72"/>
        <v>2514773257200</v>
      </c>
      <c r="V91" s="201">
        <f t="shared" si="72"/>
        <v>0</v>
      </c>
      <c r="W91" s="202">
        <f t="shared" si="65"/>
        <v>0.66117097923312951</v>
      </c>
      <c r="X91" s="201">
        <f t="shared" ref="X91:Y91" si="73">+X92</f>
        <v>2446251300291</v>
      </c>
      <c r="Y91" s="201">
        <f t="shared" si="73"/>
        <v>68521956909</v>
      </c>
      <c r="Z91" s="202">
        <f t="shared" si="21"/>
        <v>2.7247767452916908E-2</v>
      </c>
      <c r="AA91" s="201">
        <f t="shared" ref="AA91:AB91" si="74">+AA92</f>
        <v>2446231480700</v>
      </c>
      <c r="AB91" s="201">
        <f t="shared" si="74"/>
        <v>19819591</v>
      </c>
      <c r="AC91" s="202">
        <f t="shared" si="63"/>
        <v>0.97274435128345693</v>
      </c>
    </row>
    <row r="92" spans="1:52" s="64" customFormat="1" ht="24.95" customHeight="1">
      <c r="A92" s="32" t="str">
        <f t="shared" si="60"/>
        <v>A-03-03-01=</v>
      </c>
      <c r="B92" s="203" t="str">
        <f>CONCATENATE(C92,"-",D92,"-",E92,"-",F92)</f>
        <v>A-03-03-01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f>SUM(N93:N97)</f>
        <v>22607000000</v>
      </c>
      <c r="O92" s="208">
        <f t="shared" ref="O92:V92" si="75">SUM(O93:O97)</f>
        <v>3803514274200</v>
      </c>
      <c r="P92" s="208">
        <f t="shared" si="75"/>
        <v>0</v>
      </c>
      <c r="Q92" s="208">
        <f t="shared" si="75"/>
        <v>0</v>
      </c>
      <c r="R92" s="208">
        <f t="shared" si="75"/>
        <v>0</v>
      </c>
      <c r="S92" s="208">
        <f t="shared" si="75"/>
        <v>22607000000</v>
      </c>
      <c r="T92" s="208">
        <f t="shared" si="75"/>
        <v>3803514274200</v>
      </c>
      <c r="U92" s="208">
        <f t="shared" si="75"/>
        <v>2514773257200</v>
      </c>
      <c r="V92" s="208">
        <f t="shared" si="75"/>
        <v>0</v>
      </c>
      <c r="W92" s="209">
        <f t="shared" si="65"/>
        <v>0.66117097923312951</v>
      </c>
      <c r="X92" s="208">
        <f t="shared" ref="X92:Y92" si="76">SUM(X93:X97)</f>
        <v>2446251300291</v>
      </c>
      <c r="Y92" s="208">
        <f t="shared" si="76"/>
        <v>68521956909</v>
      </c>
      <c r="Z92" s="209">
        <f t="shared" si="21"/>
        <v>2.7247767452916908E-2</v>
      </c>
      <c r="AA92" s="208">
        <f t="shared" ref="AA92:AB92" si="77">SUM(AA93:AA97)</f>
        <v>2446231480700</v>
      </c>
      <c r="AB92" s="208">
        <f t="shared" si="77"/>
        <v>19819591</v>
      </c>
      <c r="AC92" s="209">
        <f t="shared" si="63"/>
        <v>0.97274435128345693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tr">
        <f t="shared" si="60"/>
        <v>A-03-03-01-082=54</v>
      </c>
      <c r="B93" s="217" t="str">
        <f>CONCATENATE(C93,"-",D93,"-",E93,"-",F93,"-",G93)</f>
        <v>A-03-03-01-082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3"/>
      <c r="O93" s="222"/>
      <c r="P93" s="222"/>
      <c r="Q93" s="222"/>
      <c r="R93" s="222"/>
      <c r="S93" s="222"/>
      <c r="T93" s="223">
        <f>+N93+O93-P93+Q93-R93-S93</f>
        <v>0</v>
      </c>
      <c r="U93" s="223"/>
      <c r="V93" s="222">
        <f t="shared" ref="V93" si="78">+T93-U93</f>
        <v>0</v>
      </c>
      <c r="W93" s="224">
        <f t="shared" si="65"/>
        <v>0</v>
      </c>
      <c r="X93" s="222"/>
      <c r="Y93" s="222">
        <f t="shared" ref="Y93:Y97" si="79">+U93-X93</f>
        <v>0</v>
      </c>
      <c r="Z93" s="224">
        <f t="shared" ref="Z93:Z156" si="80">+IF(U93&gt;0,Y93/U93,0)</f>
        <v>0</v>
      </c>
      <c r="AA93" s="222"/>
      <c r="AB93" s="222">
        <f t="shared" ref="AB93:AB97" si="81">+X93-AA93</f>
        <v>0</v>
      </c>
      <c r="AC93" s="224">
        <f t="shared" si="63"/>
        <v>0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ht="24.95" customHeight="1">
      <c r="A94" s="32" t="str">
        <f t="shared" si="60"/>
        <v>A-03-03-01-082=54</v>
      </c>
      <c r="B94" s="217" t="str">
        <f>CONCATENATE(C94,"-",D94,"-",E94,"-",F94,"-",G94)</f>
        <v>A-03-03-01-082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19" t="s">
        <v>130</v>
      </c>
      <c r="H94" s="219"/>
      <c r="I94" s="219"/>
      <c r="J94" s="219"/>
      <c r="K94" s="220">
        <v>54</v>
      </c>
      <c r="L94" s="221" t="s">
        <v>29</v>
      </c>
      <c r="M94" s="217" t="s">
        <v>132</v>
      </c>
      <c r="N94" s="223"/>
      <c r="O94" s="222">
        <v>2985799234200</v>
      </c>
      <c r="P94" s="222"/>
      <c r="Q94" s="222"/>
      <c r="R94" s="222"/>
      <c r="S94" s="222"/>
      <c r="T94" s="223">
        <f>+N94+O94-P94+Q94-R94-S94</f>
        <v>2985799234200</v>
      </c>
      <c r="U94" s="223">
        <v>1966038617200</v>
      </c>
      <c r="V94" s="222"/>
      <c r="W94" s="224">
        <f t="shared" si="65"/>
        <v>0.65846309915300472</v>
      </c>
      <c r="X94" s="222">
        <v>1897516660291</v>
      </c>
      <c r="Y94" s="222">
        <f t="shared" si="79"/>
        <v>68521956909</v>
      </c>
      <c r="Z94" s="224">
        <f t="shared" si="80"/>
        <v>3.4852803149201542E-2</v>
      </c>
      <c r="AA94" s="222">
        <v>1897496840700</v>
      </c>
      <c r="AB94" s="222">
        <f t="shared" si="81"/>
        <v>19819591</v>
      </c>
      <c r="AC94" s="224">
        <f t="shared" si="63"/>
        <v>0.96513711587333106</v>
      </c>
    </row>
    <row r="95" spans="1:52" ht="24.95" customHeight="1">
      <c r="A95" s="32" t="str">
        <f t="shared" si="60"/>
        <v>A-03-03-01-082=54</v>
      </c>
      <c r="B95" s="217" t="str">
        <f>CONCATENATE(C95,"-",D95,"-",E95,"-",F95,"-",G95)</f>
        <v>A-03-03-01-082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130</v>
      </c>
      <c r="H95" s="219"/>
      <c r="I95" s="219"/>
      <c r="J95" s="219"/>
      <c r="K95" s="220">
        <v>54</v>
      </c>
      <c r="L95" s="221" t="s">
        <v>29</v>
      </c>
      <c r="M95" s="217" t="s">
        <v>133</v>
      </c>
      <c r="N95" s="223"/>
      <c r="O95" s="222">
        <v>817715040000</v>
      </c>
      <c r="P95" s="222"/>
      <c r="Q95" s="222"/>
      <c r="R95" s="222"/>
      <c r="S95" s="222"/>
      <c r="T95" s="223">
        <f>+N95+O95-P95+Q95-R95-S95</f>
        <v>817715040000</v>
      </c>
      <c r="U95" s="223">
        <v>548734640000</v>
      </c>
      <c r="V95" s="222"/>
      <c r="W95" s="224">
        <f t="shared" si="65"/>
        <v>0.67105851446733811</v>
      </c>
      <c r="X95" s="222">
        <v>548734640000</v>
      </c>
      <c r="Y95" s="222">
        <f t="shared" si="79"/>
        <v>0</v>
      </c>
      <c r="Z95" s="224">
        <f t="shared" si="80"/>
        <v>0</v>
      </c>
      <c r="AA95" s="222">
        <v>548734640000</v>
      </c>
      <c r="AB95" s="222">
        <f t="shared" si="81"/>
        <v>0</v>
      </c>
      <c r="AC95" s="224">
        <f t="shared" si="63"/>
        <v>1</v>
      </c>
    </row>
    <row r="96" spans="1:52" ht="24.95" customHeight="1">
      <c r="A96" s="32" t="str">
        <f t="shared" si="60"/>
        <v>A-03-03-01-999=10</v>
      </c>
      <c r="B96" s="217" t="str">
        <f>CONCATENATE(C96,"-",D96,"-",E96,"-",F96,"-",G96)</f>
        <v>A-03-03-01-999</v>
      </c>
      <c r="C96" s="218" t="s">
        <v>23</v>
      </c>
      <c r="D96" s="219" t="s">
        <v>65</v>
      </c>
      <c r="E96" s="219" t="s">
        <v>65</v>
      </c>
      <c r="F96" s="219" t="s">
        <v>25</v>
      </c>
      <c r="G96" s="219" t="s">
        <v>134</v>
      </c>
      <c r="H96" s="219"/>
      <c r="I96" s="219"/>
      <c r="J96" s="219"/>
      <c r="K96" s="220" t="s">
        <v>28</v>
      </c>
      <c r="L96" s="221" t="s">
        <v>29</v>
      </c>
      <c r="M96" s="217" t="s">
        <v>135</v>
      </c>
      <c r="N96" s="223">
        <v>11607000000</v>
      </c>
      <c r="O96" s="222"/>
      <c r="P96" s="222"/>
      <c r="Q96" s="222"/>
      <c r="R96" s="222"/>
      <c r="S96" s="222">
        <v>11607000000</v>
      </c>
      <c r="T96" s="223">
        <f>+N96-S96+O96-P96+Q96-R96</f>
        <v>0</v>
      </c>
      <c r="U96" s="223"/>
      <c r="V96" s="222">
        <f t="shared" ref="V96:V97" si="82">+T96-U96</f>
        <v>0</v>
      </c>
      <c r="W96" s="224">
        <f t="shared" si="65"/>
        <v>0</v>
      </c>
      <c r="X96" s="222"/>
      <c r="Y96" s="222">
        <f t="shared" si="79"/>
        <v>0</v>
      </c>
      <c r="Z96" s="224">
        <f t="shared" si="80"/>
        <v>0</v>
      </c>
      <c r="AA96" s="222"/>
      <c r="AB96" s="222">
        <f t="shared" si="81"/>
        <v>0</v>
      </c>
      <c r="AC96" s="224">
        <f t="shared" si="63"/>
        <v>0</v>
      </c>
    </row>
    <row r="97" spans="1:52" ht="24.95" customHeight="1">
      <c r="A97" s="32" t="str">
        <f t="shared" si="60"/>
        <v>A-03-03-01-999=11</v>
      </c>
      <c r="B97" s="217" t="str">
        <f>CONCATENATE(C97,"-",D97,"-",E97,"-",F97,"-",G97)</f>
        <v>A-03-03-01-999</v>
      </c>
      <c r="C97" s="218" t="s">
        <v>23</v>
      </c>
      <c r="D97" s="219" t="s">
        <v>65</v>
      </c>
      <c r="E97" s="219" t="s">
        <v>65</v>
      </c>
      <c r="F97" s="219" t="s">
        <v>25</v>
      </c>
      <c r="G97" s="219" t="s">
        <v>134</v>
      </c>
      <c r="H97" s="219"/>
      <c r="I97" s="219"/>
      <c r="J97" s="219"/>
      <c r="K97" s="220">
        <v>11</v>
      </c>
      <c r="L97" s="221" t="s">
        <v>29</v>
      </c>
      <c r="M97" s="217" t="s">
        <v>135</v>
      </c>
      <c r="N97" s="223">
        <v>11000000000</v>
      </c>
      <c r="O97" s="222"/>
      <c r="P97" s="222"/>
      <c r="Q97" s="222"/>
      <c r="R97" s="222"/>
      <c r="S97" s="222">
        <v>11000000000</v>
      </c>
      <c r="T97" s="223">
        <f>+N97-S97+O97-P97+Q97-R97</f>
        <v>0</v>
      </c>
      <c r="U97" s="223"/>
      <c r="V97" s="222">
        <f t="shared" si="82"/>
        <v>0</v>
      </c>
      <c r="W97" s="224">
        <f t="shared" si="65"/>
        <v>0</v>
      </c>
      <c r="X97" s="222"/>
      <c r="Y97" s="222">
        <f t="shared" si="79"/>
        <v>0</v>
      </c>
      <c r="Z97" s="224">
        <f t="shared" si="80"/>
        <v>0</v>
      </c>
      <c r="AA97" s="222"/>
      <c r="AB97" s="222">
        <f t="shared" si="81"/>
        <v>0</v>
      </c>
      <c r="AC97" s="224">
        <f t="shared" si="63"/>
        <v>0</v>
      </c>
    </row>
    <row r="98" spans="1:52" ht="24.95" customHeight="1">
      <c r="A98" s="32" t="str">
        <f t="shared" si="60"/>
        <v>A-03-04=</v>
      </c>
      <c r="B98" s="196" t="str">
        <f>CONCATENATE(C98,"-",D98,"-",E98)</f>
        <v>A-03-04</v>
      </c>
      <c r="C98" s="197" t="s">
        <v>23</v>
      </c>
      <c r="D98" s="198" t="s">
        <v>65</v>
      </c>
      <c r="E98" s="198" t="s">
        <v>136</v>
      </c>
      <c r="F98" s="198"/>
      <c r="G98" s="198"/>
      <c r="H98" s="198"/>
      <c r="I98" s="198"/>
      <c r="J98" s="198"/>
      <c r="K98" s="199"/>
      <c r="L98" s="200"/>
      <c r="M98" s="196" t="s">
        <v>137</v>
      </c>
      <c r="N98" s="201">
        <f>+N99</f>
        <v>534000000</v>
      </c>
      <c r="O98" s="201">
        <f t="shared" ref="O98:AB99" si="83">+O99</f>
        <v>0</v>
      </c>
      <c r="P98" s="201">
        <f t="shared" si="83"/>
        <v>0</v>
      </c>
      <c r="Q98" s="201">
        <f t="shared" si="83"/>
        <v>0</v>
      </c>
      <c r="R98" s="201">
        <f t="shared" si="83"/>
        <v>0</v>
      </c>
      <c r="S98" s="201">
        <f t="shared" si="83"/>
        <v>0</v>
      </c>
      <c r="T98" s="201">
        <f t="shared" si="83"/>
        <v>534000000</v>
      </c>
      <c r="U98" s="201">
        <f t="shared" si="83"/>
        <v>191000968</v>
      </c>
      <c r="V98" s="201">
        <f t="shared" si="83"/>
        <v>342999032</v>
      </c>
      <c r="W98" s="202">
        <f t="shared" si="65"/>
        <v>0.35767971535580523</v>
      </c>
      <c r="X98" s="201">
        <f t="shared" si="83"/>
        <v>115435690</v>
      </c>
      <c r="Y98" s="201">
        <f t="shared" si="83"/>
        <v>75565278</v>
      </c>
      <c r="Z98" s="202">
        <f t="shared" si="80"/>
        <v>0.39562772268253638</v>
      </c>
      <c r="AA98" s="201">
        <f t="shared" si="83"/>
        <v>115435690</v>
      </c>
      <c r="AB98" s="201">
        <f t="shared" si="83"/>
        <v>0</v>
      </c>
      <c r="AC98" s="202">
        <f t="shared" si="63"/>
        <v>0.60437227731746368</v>
      </c>
    </row>
    <row r="99" spans="1:52" ht="24.95" customHeight="1">
      <c r="A99" s="32" t="str">
        <f t="shared" si="60"/>
        <v>A-03-04-02=10</v>
      </c>
      <c r="B99" s="203" t="str">
        <f>CONCATENATE(C99,"-",D99,"-",E99,"-",F99)</f>
        <v>A-03-04-02</v>
      </c>
      <c r="C99" s="204" t="s">
        <v>23</v>
      </c>
      <c r="D99" s="205" t="s">
        <v>65</v>
      </c>
      <c r="E99" s="205" t="s">
        <v>136</v>
      </c>
      <c r="F99" s="205" t="s">
        <v>54</v>
      </c>
      <c r="G99" s="205"/>
      <c r="H99" s="205"/>
      <c r="I99" s="205"/>
      <c r="J99" s="205"/>
      <c r="K99" s="206" t="s">
        <v>28</v>
      </c>
      <c r="L99" s="207" t="s">
        <v>29</v>
      </c>
      <c r="M99" s="203" t="s">
        <v>138</v>
      </c>
      <c r="N99" s="208">
        <f>+N100</f>
        <v>534000000</v>
      </c>
      <c r="O99" s="208">
        <f t="shared" si="83"/>
        <v>0</v>
      </c>
      <c r="P99" s="208">
        <f t="shared" si="83"/>
        <v>0</v>
      </c>
      <c r="Q99" s="208">
        <f t="shared" si="83"/>
        <v>0</v>
      </c>
      <c r="R99" s="208">
        <f t="shared" si="83"/>
        <v>0</v>
      </c>
      <c r="S99" s="208">
        <f t="shared" si="83"/>
        <v>0</v>
      </c>
      <c r="T99" s="208">
        <f t="shared" si="83"/>
        <v>534000000</v>
      </c>
      <c r="U99" s="208">
        <f t="shared" si="83"/>
        <v>191000968</v>
      </c>
      <c r="V99" s="208">
        <f t="shared" si="83"/>
        <v>342999032</v>
      </c>
      <c r="W99" s="209">
        <f t="shared" si="65"/>
        <v>0.35767971535580523</v>
      </c>
      <c r="X99" s="208">
        <f t="shared" si="83"/>
        <v>115435690</v>
      </c>
      <c r="Y99" s="208">
        <f t="shared" si="83"/>
        <v>75565278</v>
      </c>
      <c r="Z99" s="209">
        <f t="shared" si="80"/>
        <v>0.39562772268253638</v>
      </c>
      <c r="AA99" s="208">
        <f t="shared" si="83"/>
        <v>115435690</v>
      </c>
      <c r="AB99" s="208">
        <f t="shared" si="83"/>
        <v>0</v>
      </c>
      <c r="AC99" s="209">
        <f t="shared" si="63"/>
        <v>0.60437227731746368</v>
      </c>
    </row>
    <row r="100" spans="1:52" s="64" customFormat="1" ht="24.95" customHeight="1">
      <c r="A100" s="32" t="str">
        <f t="shared" si="60"/>
        <v>A-03-04-02-012=10</v>
      </c>
      <c r="B100" s="210" t="str">
        <f>CONCATENATE(C100,"-",D100,"-",E100,"-",F100,"-",G100)</f>
        <v>A-03-04-02-012</v>
      </c>
      <c r="C100" s="211" t="s">
        <v>23</v>
      </c>
      <c r="D100" s="212" t="s">
        <v>65</v>
      </c>
      <c r="E100" s="212" t="s">
        <v>136</v>
      </c>
      <c r="F100" s="212" t="s">
        <v>54</v>
      </c>
      <c r="G100" s="212" t="s">
        <v>52</v>
      </c>
      <c r="H100" s="212"/>
      <c r="I100" s="212"/>
      <c r="J100" s="212"/>
      <c r="K100" s="213" t="s">
        <v>28</v>
      </c>
      <c r="L100" s="214" t="s">
        <v>29</v>
      </c>
      <c r="M100" s="210" t="s">
        <v>139</v>
      </c>
      <c r="N100" s="215">
        <f>SUM(N101:N103)</f>
        <v>534000000</v>
      </c>
      <c r="O100" s="215">
        <f t="shared" ref="O100:V100" si="84">SUM(O101:O103)</f>
        <v>0</v>
      </c>
      <c r="P100" s="215">
        <f t="shared" si="84"/>
        <v>0</v>
      </c>
      <c r="Q100" s="215">
        <f t="shared" si="84"/>
        <v>0</v>
      </c>
      <c r="R100" s="215">
        <f t="shared" si="84"/>
        <v>0</v>
      </c>
      <c r="S100" s="215">
        <f t="shared" si="84"/>
        <v>0</v>
      </c>
      <c r="T100" s="215">
        <f t="shared" si="84"/>
        <v>534000000</v>
      </c>
      <c r="U100" s="215">
        <f t="shared" si="84"/>
        <v>191000968</v>
      </c>
      <c r="V100" s="215">
        <f t="shared" si="84"/>
        <v>342999032</v>
      </c>
      <c r="W100" s="216">
        <f t="shared" si="65"/>
        <v>0.35767971535580523</v>
      </c>
      <c r="X100" s="215">
        <f t="shared" ref="X100:Y100" si="85">SUM(X101:X103)</f>
        <v>115435690</v>
      </c>
      <c r="Y100" s="215">
        <f t="shared" si="85"/>
        <v>75565278</v>
      </c>
      <c r="Z100" s="216">
        <f t="shared" si="80"/>
        <v>0.39562772268253638</v>
      </c>
      <c r="AA100" s="215">
        <f>SUM(AA101:AA103)</f>
        <v>115435690</v>
      </c>
      <c r="AB100" s="215">
        <f>SUM(AB101:AB103)</f>
        <v>0</v>
      </c>
      <c r="AC100" s="216">
        <f t="shared" si="63"/>
        <v>0.60437227731746368</v>
      </c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</row>
    <row r="101" spans="1:52" ht="24.95" customHeight="1">
      <c r="A101" s="32" t="str">
        <f t="shared" si="60"/>
        <v>A-03-04-02-012-001=10</v>
      </c>
      <c r="B101" s="217" t="str">
        <f>CONCATENATE(C101,"-",D101,"-",E101,"-",F101,"-",G101,"-",H101)</f>
        <v>A-03-04-02-012-001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19" t="s">
        <v>52</v>
      </c>
      <c r="H101" s="219" t="s">
        <v>31</v>
      </c>
      <c r="I101" s="219"/>
      <c r="J101" s="219"/>
      <c r="K101" s="220" t="s">
        <v>28</v>
      </c>
      <c r="L101" s="221" t="s">
        <v>29</v>
      </c>
      <c r="M101" s="217" t="s">
        <v>140</v>
      </c>
      <c r="N101" s="222">
        <v>367000000</v>
      </c>
      <c r="O101" s="222"/>
      <c r="P101" s="222"/>
      <c r="Q101" s="222"/>
      <c r="R101" s="222"/>
      <c r="S101" s="222"/>
      <c r="T101" s="222">
        <f>+N101-S101+O101-P101+Q101-R101</f>
        <v>367000000</v>
      </c>
      <c r="U101" s="222">
        <v>70036620</v>
      </c>
      <c r="V101" s="222">
        <f t="shared" si="10"/>
        <v>296963380</v>
      </c>
      <c r="W101" s="224">
        <f t="shared" si="65"/>
        <v>0.19083547683923704</v>
      </c>
      <c r="X101" s="222">
        <v>56839470</v>
      </c>
      <c r="Y101" s="222">
        <f t="shared" si="13"/>
        <v>13197150</v>
      </c>
      <c r="Z101" s="224">
        <f t="shared" si="80"/>
        <v>0.18843213735899877</v>
      </c>
      <c r="AA101" s="222">
        <v>56839470</v>
      </c>
      <c r="AB101" s="222">
        <f t="shared" si="11"/>
        <v>0</v>
      </c>
      <c r="AC101" s="224">
        <f t="shared" si="63"/>
        <v>0.81156786264100123</v>
      </c>
    </row>
    <row r="102" spans="1:52" ht="24.95" customHeight="1">
      <c r="A102" s="32" t="str">
        <f t="shared" si="60"/>
        <v>A-03-04-02-012-002=10</v>
      </c>
      <c r="B102" s="217" t="str">
        <f>CONCATENATE(C102,"-",D102,"-",E102,"-",F102,"-",G102,"-",H102)</f>
        <v>A-03-04-02-012-002</v>
      </c>
      <c r="C102" s="218" t="s">
        <v>23</v>
      </c>
      <c r="D102" s="219" t="s">
        <v>65</v>
      </c>
      <c r="E102" s="219" t="s">
        <v>136</v>
      </c>
      <c r="F102" s="219" t="s">
        <v>54</v>
      </c>
      <c r="G102" s="219" t="s">
        <v>52</v>
      </c>
      <c r="H102" s="219" t="s">
        <v>34</v>
      </c>
      <c r="I102" s="219"/>
      <c r="J102" s="219"/>
      <c r="K102" s="220" t="s">
        <v>28</v>
      </c>
      <c r="L102" s="221" t="s">
        <v>29</v>
      </c>
      <c r="M102" s="217" t="s">
        <v>141</v>
      </c>
      <c r="N102" s="222">
        <v>167000000</v>
      </c>
      <c r="O102" s="222"/>
      <c r="P102" s="222"/>
      <c r="Q102" s="223"/>
      <c r="R102" s="223"/>
      <c r="S102" s="223"/>
      <c r="T102" s="222">
        <f>+N102-S102+O102-P102+Q102-R102</f>
        <v>167000000</v>
      </c>
      <c r="U102" s="222">
        <v>120964348</v>
      </c>
      <c r="V102" s="222">
        <f t="shared" si="10"/>
        <v>46035652</v>
      </c>
      <c r="W102" s="224">
        <f t="shared" si="65"/>
        <v>0.72433741317365274</v>
      </c>
      <c r="X102" s="222">
        <v>58596220</v>
      </c>
      <c r="Y102" s="222">
        <f t="shared" si="13"/>
        <v>62368128</v>
      </c>
      <c r="Z102" s="224">
        <f t="shared" si="80"/>
        <v>0.51559099049581125</v>
      </c>
      <c r="AA102" s="222">
        <v>58596220</v>
      </c>
      <c r="AB102" s="222">
        <f t="shared" si="11"/>
        <v>0</v>
      </c>
      <c r="AC102" s="224">
        <f t="shared" si="63"/>
        <v>0.4844090095041888</v>
      </c>
    </row>
    <row r="103" spans="1:52" s="64" customFormat="1" ht="24.95" customHeight="1">
      <c r="A103" s="32" t="str">
        <f t="shared" si="60"/>
        <v>A-03-04-02-025=10</v>
      </c>
      <c r="B103" s="217" t="str">
        <f>CONCATENATE(C103,"-",D103,"-",E103,"-",F103,"-",G103)</f>
        <v>A-03-04-02-025</v>
      </c>
      <c r="C103" s="218" t="s">
        <v>23</v>
      </c>
      <c r="D103" s="219" t="s">
        <v>65</v>
      </c>
      <c r="E103" s="219" t="s">
        <v>136</v>
      </c>
      <c r="F103" s="219" t="s">
        <v>54</v>
      </c>
      <c r="G103" s="225" t="s">
        <v>142</v>
      </c>
      <c r="H103" s="219"/>
      <c r="I103" s="219"/>
      <c r="J103" s="219"/>
      <c r="K103" s="220" t="s">
        <v>28</v>
      </c>
      <c r="L103" s="221" t="s">
        <v>29</v>
      </c>
      <c r="M103" s="217" t="s">
        <v>260</v>
      </c>
      <c r="N103" s="222">
        <v>0</v>
      </c>
      <c r="O103" s="222"/>
      <c r="P103" s="222"/>
      <c r="Q103" s="223"/>
      <c r="R103" s="223"/>
      <c r="S103" s="223"/>
      <c r="T103" s="223">
        <f t="shared" ref="T103" si="86">+N103+O103-P103+Q103-R103-S103</f>
        <v>0</v>
      </c>
      <c r="U103" s="223">
        <v>0</v>
      </c>
      <c r="V103" s="222">
        <f t="shared" si="10"/>
        <v>0</v>
      </c>
      <c r="W103" s="224">
        <f t="shared" si="65"/>
        <v>0</v>
      </c>
      <c r="X103" s="222">
        <v>0</v>
      </c>
      <c r="Y103" s="222">
        <f t="shared" si="13"/>
        <v>0</v>
      </c>
      <c r="Z103" s="224">
        <f t="shared" si="80"/>
        <v>0</v>
      </c>
      <c r="AA103" s="222">
        <v>0</v>
      </c>
      <c r="AB103" s="222">
        <f t="shared" si="11"/>
        <v>0</v>
      </c>
      <c r="AC103" s="224">
        <f t="shared" si="63"/>
        <v>0</v>
      </c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</row>
    <row r="104" spans="1:52" ht="24.95" customHeight="1">
      <c r="A104" s="32" t="str">
        <f t="shared" si="60"/>
        <v>A-03-10=</v>
      </c>
      <c r="B104" s="196" t="str">
        <f>CONCATENATE(C104,"-",D104,"-",E104)</f>
        <v>A-03-10</v>
      </c>
      <c r="C104" s="197" t="s">
        <v>23</v>
      </c>
      <c r="D104" s="198" t="s">
        <v>65</v>
      </c>
      <c r="E104" s="198" t="s">
        <v>28</v>
      </c>
      <c r="F104" s="198"/>
      <c r="G104" s="198"/>
      <c r="H104" s="198"/>
      <c r="I104" s="198"/>
      <c r="J104" s="198"/>
      <c r="K104" s="199"/>
      <c r="L104" s="200"/>
      <c r="M104" s="196" t="s">
        <v>143</v>
      </c>
      <c r="N104" s="201">
        <f>+N105</f>
        <v>2675000000</v>
      </c>
      <c r="O104" s="201">
        <f t="shared" ref="O104:V104" si="87">+O105</f>
        <v>0</v>
      </c>
      <c r="P104" s="201">
        <f t="shared" si="87"/>
        <v>0</v>
      </c>
      <c r="Q104" s="201">
        <f t="shared" si="87"/>
        <v>0</v>
      </c>
      <c r="R104" s="201">
        <f t="shared" si="87"/>
        <v>0</v>
      </c>
      <c r="S104" s="201">
        <f t="shared" si="87"/>
        <v>0</v>
      </c>
      <c r="T104" s="201">
        <f t="shared" si="87"/>
        <v>2675000000</v>
      </c>
      <c r="U104" s="201">
        <f t="shared" si="87"/>
        <v>1724078017</v>
      </c>
      <c r="V104" s="201">
        <f t="shared" si="87"/>
        <v>950921983</v>
      </c>
      <c r="W104" s="202">
        <f t="shared" si="65"/>
        <v>0.64451514654205611</v>
      </c>
      <c r="X104" s="201">
        <f t="shared" ref="X104:AB104" si="88">+X105</f>
        <v>1724078017</v>
      </c>
      <c r="Y104" s="201">
        <f t="shared" si="88"/>
        <v>0</v>
      </c>
      <c r="Z104" s="202">
        <f t="shared" si="80"/>
        <v>0</v>
      </c>
      <c r="AA104" s="201">
        <f t="shared" si="88"/>
        <v>1724078017</v>
      </c>
      <c r="AB104" s="201">
        <f t="shared" si="88"/>
        <v>0</v>
      </c>
      <c r="AC104" s="202">
        <f t="shared" si="63"/>
        <v>1</v>
      </c>
    </row>
    <row r="105" spans="1:52" ht="16.5">
      <c r="A105" s="32" t="str">
        <f t="shared" si="60"/>
        <v>A-03-10-01=11</v>
      </c>
      <c r="B105" s="203" t="str">
        <f>CONCATENATE(C105,"-",D105,"-",E105,"-",F105)</f>
        <v>A-03-10-01</v>
      </c>
      <c r="C105" s="204" t="s">
        <v>23</v>
      </c>
      <c r="D105" s="205" t="s">
        <v>65</v>
      </c>
      <c r="E105" s="205" t="s">
        <v>28</v>
      </c>
      <c r="F105" s="205" t="s">
        <v>25</v>
      </c>
      <c r="G105" s="205"/>
      <c r="H105" s="205"/>
      <c r="I105" s="205"/>
      <c r="J105" s="205"/>
      <c r="K105" s="206" t="s">
        <v>144</v>
      </c>
      <c r="L105" s="207" t="s">
        <v>29</v>
      </c>
      <c r="M105" s="203" t="s">
        <v>145</v>
      </c>
      <c r="N105" s="208">
        <f t="shared" ref="N105:V105" si="89">SUM(N106:N106)</f>
        <v>2675000000</v>
      </c>
      <c r="O105" s="208">
        <f t="shared" si="89"/>
        <v>0</v>
      </c>
      <c r="P105" s="208">
        <f t="shared" si="89"/>
        <v>0</v>
      </c>
      <c r="Q105" s="208">
        <f t="shared" si="89"/>
        <v>0</v>
      </c>
      <c r="R105" s="208">
        <f t="shared" si="89"/>
        <v>0</v>
      </c>
      <c r="S105" s="208">
        <f t="shared" si="89"/>
        <v>0</v>
      </c>
      <c r="T105" s="208">
        <f t="shared" si="89"/>
        <v>2675000000</v>
      </c>
      <c r="U105" s="208">
        <f t="shared" si="89"/>
        <v>1724078017</v>
      </c>
      <c r="V105" s="208">
        <f t="shared" si="89"/>
        <v>950921983</v>
      </c>
      <c r="W105" s="209">
        <f t="shared" si="65"/>
        <v>0.64451514654205611</v>
      </c>
      <c r="X105" s="208">
        <f t="shared" ref="X105:Y105" si="90">SUM(X106:X106)</f>
        <v>1724078017</v>
      </c>
      <c r="Y105" s="208">
        <f t="shared" si="90"/>
        <v>0</v>
      </c>
      <c r="Z105" s="209">
        <f t="shared" si="80"/>
        <v>0</v>
      </c>
      <c r="AA105" s="208">
        <f t="shared" ref="AA105:AB105" si="91">SUM(AA106:AA106)</f>
        <v>1724078017</v>
      </c>
      <c r="AB105" s="208">
        <f t="shared" si="91"/>
        <v>0</v>
      </c>
      <c r="AC105" s="209">
        <f t="shared" si="63"/>
        <v>1</v>
      </c>
    </row>
    <row r="106" spans="1:52" ht="24.95" customHeight="1">
      <c r="A106" s="32" t="str">
        <f t="shared" si="60"/>
        <v>A-03-10-01-001=10</v>
      </c>
      <c r="B106" s="217" t="str">
        <f>CONCATENATE(C106,"-",D106,"-",E106,"-",F106,"-",G106)</f>
        <v>A-03-10-01-001</v>
      </c>
      <c r="C106" s="218" t="s">
        <v>23</v>
      </c>
      <c r="D106" s="219" t="s">
        <v>65</v>
      </c>
      <c r="E106" s="219" t="s">
        <v>28</v>
      </c>
      <c r="F106" s="219" t="s">
        <v>25</v>
      </c>
      <c r="G106" s="219" t="s">
        <v>31</v>
      </c>
      <c r="H106" s="219"/>
      <c r="I106" s="219"/>
      <c r="J106" s="219"/>
      <c r="K106" s="220">
        <v>10</v>
      </c>
      <c r="L106" s="221" t="s">
        <v>29</v>
      </c>
      <c r="M106" s="259" t="s">
        <v>146</v>
      </c>
      <c r="N106" s="222">
        <v>2675000000</v>
      </c>
      <c r="O106" s="222"/>
      <c r="P106" s="222"/>
      <c r="Q106" s="222"/>
      <c r="R106" s="222"/>
      <c r="S106" s="222"/>
      <c r="T106" s="223">
        <f>+N106-S106+O106-P106+Q106-R106</f>
        <v>2675000000</v>
      </c>
      <c r="U106" s="223">
        <v>1724078017</v>
      </c>
      <c r="V106" s="222">
        <f t="shared" si="10"/>
        <v>950921983</v>
      </c>
      <c r="W106" s="224">
        <f t="shared" si="65"/>
        <v>0.64451514654205611</v>
      </c>
      <c r="X106" s="222">
        <v>1724078017</v>
      </c>
      <c r="Y106" s="222">
        <f t="shared" si="13"/>
        <v>0</v>
      </c>
      <c r="Z106" s="224">
        <f t="shared" si="80"/>
        <v>0</v>
      </c>
      <c r="AA106" s="222">
        <v>1724078017</v>
      </c>
      <c r="AB106" s="222">
        <f t="shared" si="11"/>
        <v>0</v>
      </c>
      <c r="AC106" s="224">
        <f t="shared" si="63"/>
        <v>1</v>
      </c>
    </row>
    <row r="107" spans="1:52" ht="35.1" customHeight="1">
      <c r="A107" s="32" t="str">
        <f t="shared" si="60"/>
        <v>A-08=</v>
      </c>
      <c r="B107" s="188" t="str">
        <f>CONCATENATE(C107,"-",D107)</f>
        <v>A-08</v>
      </c>
      <c r="C107" s="189" t="s">
        <v>23</v>
      </c>
      <c r="D107" s="191" t="s">
        <v>148</v>
      </c>
      <c r="E107" s="191"/>
      <c r="F107" s="191"/>
      <c r="G107" s="191"/>
      <c r="H107" s="191"/>
      <c r="I107" s="191"/>
      <c r="J107" s="191"/>
      <c r="K107" s="192"/>
      <c r="L107" s="193"/>
      <c r="M107" s="188" t="s">
        <v>149</v>
      </c>
      <c r="N107" s="194">
        <f>+N108+N113</f>
        <v>6047000000</v>
      </c>
      <c r="O107" s="194">
        <f t="shared" ref="O107:V107" si="92">+O108+O113</f>
        <v>0</v>
      </c>
      <c r="P107" s="194">
        <f t="shared" si="92"/>
        <v>0</v>
      </c>
      <c r="Q107" s="194">
        <f t="shared" si="92"/>
        <v>0</v>
      </c>
      <c r="R107" s="194">
        <f t="shared" si="92"/>
        <v>0</v>
      </c>
      <c r="S107" s="194">
        <f t="shared" si="92"/>
        <v>0</v>
      </c>
      <c r="T107" s="194">
        <f t="shared" si="92"/>
        <v>6047000000</v>
      </c>
      <c r="U107" s="194">
        <f t="shared" si="92"/>
        <v>67902329</v>
      </c>
      <c r="V107" s="194">
        <f t="shared" si="92"/>
        <v>5979097671</v>
      </c>
      <c r="W107" s="195">
        <f t="shared" si="65"/>
        <v>1.1229093600132297E-2</v>
      </c>
      <c r="X107" s="194">
        <f t="shared" ref="X107:AB107" si="93">+X108+X113</f>
        <v>67902329</v>
      </c>
      <c r="Y107" s="194">
        <f t="shared" si="93"/>
        <v>0</v>
      </c>
      <c r="Z107" s="195">
        <f t="shared" si="80"/>
        <v>0</v>
      </c>
      <c r="AA107" s="194">
        <f t="shared" si="93"/>
        <v>67677044</v>
      </c>
      <c r="AB107" s="194">
        <f t="shared" si="93"/>
        <v>225285</v>
      </c>
      <c r="AC107" s="195">
        <f t="shared" si="63"/>
        <v>0.99668221983961702</v>
      </c>
    </row>
    <row r="108" spans="1:52" ht="24.95" customHeight="1">
      <c r="A108" s="32" t="str">
        <f t="shared" si="60"/>
        <v>A-08-01=</v>
      </c>
      <c r="B108" s="196" t="str">
        <f>CONCATENATE(C108,"-",D108,"-",E108)</f>
        <v>A-08-01</v>
      </c>
      <c r="C108" s="197" t="s">
        <v>23</v>
      </c>
      <c r="D108" s="198" t="s">
        <v>148</v>
      </c>
      <c r="E108" s="198" t="s">
        <v>25</v>
      </c>
      <c r="F108" s="198"/>
      <c r="G108" s="198"/>
      <c r="H108" s="198"/>
      <c r="I108" s="198"/>
      <c r="J108" s="198"/>
      <c r="K108" s="199"/>
      <c r="L108" s="200"/>
      <c r="M108" s="196" t="s">
        <v>150</v>
      </c>
      <c r="N108" s="201">
        <f>+N109</f>
        <v>134000000</v>
      </c>
      <c r="O108" s="201">
        <f t="shared" ref="O108:AB108" si="94">+O109</f>
        <v>0</v>
      </c>
      <c r="P108" s="201">
        <f t="shared" si="94"/>
        <v>0</v>
      </c>
      <c r="Q108" s="201">
        <f t="shared" si="94"/>
        <v>0</v>
      </c>
      <c r="R108" s="201">
        <f t="shared" si="94"/>
        <v>0</v>
      </c>
      <c r="S108" s="201">
        <f t="shared" si="94"/>
        <v>0</v>
      </c>
      <c r="T108" s="201">
        <f t="shared" si="94"/>
        <v>134000000</v>
      </c>
      <c r="U108" s="201">
        <f t="shared" si="94"/>
        <v>67902329</v>
      </c>
      <c r="V108" s="201">
        <f t="shared" si="94"/>
        <v>66097671</v>
      </c>
      <c r="W108" s="202">
        <f t="shared" si="65"/>
        <v>0.5067337985074627</v>
      </c>
      <c r="X108" s="201">
        <f t="shared" si="94"/>
        <v>67902329</v>
      </c>
      <c r="Y108" s="201">
        <f t="shared" si="94"/>
        <v>0</v>
      </c>
      <c r="Z108" s="202">
        <f t="shared" si="80"/>
        <v>0</v>
      </c>
      <c r="AA108" s="201">
        <f t="shared" si="94"/>
        <v>67677044</v>
      </c>
      <c r="AB108" s="201">
        <f t="shared" si="94"/>
        <v>225285</v>
      </c>
      <c r="AC108" s="202">
        <f t="shared" si="63"/>
        <v>0.99668221983961702</v>
      </c>
    </row>
    <row r="109" spans="1:52" ht="16.5">
      <c r="A109" s="32" t="str">
        <f t="shared" si="60"/>
        <v>A-08-01-02=10</v>
      </c>
      <c r="B109" s="203" t="str">
        <f>CONCATENATE(C109,"-",D109,"-",E109,"-",F109)</f>
        <v>A-08-01-02</v>
      </c>
      <c r="C109" s="204" t="s">
        <v>23</v>
      </c>
      <c r="D109" s="205" t="s">
        <v>148</v>
      </c>
      <c r="E109" s="205" t="s">
        <v>25</v>
      </c>
      <c r="F109" s="205" t="s">
        <v>54</v>
      </c>
      <c r="G109" s="205"/>
      <c r="H109" s="205"/>
      <c r="I109" s="205"/>
      <c r="J109" s="205"/>
      <c r="K109" s="206" t="s">
        <v>28</v>
      </c>
      <c r="L109" s="207" t="s">
        <v>29</v>
      </c>
      <c r="M109" s="203" t="s">
        <v>151</v>
      </c>
      <c r="N109" s="208">
        <f>SUM(N110:N112)</f>
        <v>134000000</v>
      </c>
      <c r="O109" s="208">
        <f t="shared" ref="O109:V109" si="95">SUM(O110:O112)</f>
        <v>0</v>
      </c>
      <c r="P109" s="208">
        <f t="shared" si="95"/>
        <v>0</v>
      </c>
      <c r="Q109" s="208">
        <f t="shared" si="95"/>
        <v>0</v>
      </c>
      <c r="R109" s="208">
        <f t="shared" si="95"/>
        <v>0</v>
      </c>
      <c r="S109" s="208">
        <f t="shared" si="95"/>
        <v>0</v>
      </c>
      <c r="T109" s="208">
        <f t="shared" si="95"/>
        <v>134000000</v>
      </c>
      <c r="U109" s="208">
        <f t="shared" si="95"/>
        <v>67902329</v>
      </c>
      <c r="V109" s="208">
        <f t="shared" si="95"/>
        <v>66097671</v>
      </c>
      <c r="W109" s="209">
        <f t="shared" si="65"/>
        <v>0.5067337985074627</v>
      </c>
      <c r="X109" s="208">
        <f t="shared" ref="X109:AB109" si="96">SUM(X110:X112)</f>
        <v>67902329</v>
      </c>
      <c r="Y109" s="208">
        <f t="shared" si="96"/>
        <v>0</v>
      </c>
      <c r="Z109" s="209">
        <f t="shared" si="80"/>
        <v>0</v>
      </c>
      <c r="AA109" s="208">
        <f t="shared" si="96"/>
        <v>67677044</v>
      </c>
      <c r="AB109" s="208">
        <f t="shared" si="96"/>
        <v>225285</v>
      </c>
      <c r="AC109" s="209">
        <f t="shared" si="63"/>
        <v>0.99668221983961702</v>
      </c>
    </row>
    <row r="110" spans="1:52" ht="24.95" customHeight="1">
      <c r="A110" s="32" t="str">
        <f t="shared" si="60"/>
        <v>A-08-01-02-001=10</v>
      </c>
      <c r="B110" s="217" t="str">
        <f>CONCATENATE(C110,"-",D110,"-",E110,"-",F110,"-",G110)</f>
        <v>A-08-01-02-001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31</v>
      </c>
      <c r="H110" s="219"/>
      <c r="I110" s="219"/>
      <c r="J110" s="219"/>
      <c r="K110" s="220" t="s">
        <v>28</v>
      </c>
      <c r="L110" s="221" t="s">
        <v>29</v>
      </c>
      <c r="M110" s="259" t="s">
        <v>152</v>
      </c>
      <c r="N110" s="222">
        <v>60000000</v>
      </c>
      <c r="O110" s="222"/>
      <c r="P110" s="222"/>
      <c r="Q110" s="222"/>
      <c r="R110" s="222"/>
      <c r="S110" s="222"/>
      <c r="T110" s="222">
        <f>+N110-S110+O110-P110+Q110-R110</f>
        <v>60000000</v>
      </c>
      <c r="U110" s="222">
        <v>50544836</v>
      </c>
      <c r="V110" s="222">
        <f t="shared" si="10"/>
        <v>9455164</v>
      </c>
      <c r="W110" s="224">
        <f t="shared" si="65"/>
        <v>0.84241393333333336</v>
      </c>
      <c r="X110" s="222">
        <v>50544836</v>
      </c>
      <c r="Y110" s="222">
        <f t="shared" si="13"/>
        <v>0</v>
      </c>
      <c r="Z110" s="224">
        <f t="shared" si="80"/>
        <v>0</v>
      </c>
      <c r="AA110" s="222">
        <v>50544836</v>
      </c>
      <c r="AB110" s="222">
        <f t="shared" si="11"/>
        <v>0</v>
      </c>
      <c r="AC110" s="224">
        <f t="shared" si="63"/>
        <v>1</v>
      </c>
    </row>
    <row r="111" spans="1:52" ht="24.95" customHeight="1">
      <c r="A111" s="32" t="str">
        <f t="shared" si="60"/>
        <v>A-08-01-02-004=10</v>
      </c>
      <c r="B111" s="217" t="str">
        <f>CONCATENATE(C111,"-",D111,"-",E111,"-",F111,"-",G111)</f>
        <v>A-08-01-02-004</v>
      </c>
      <c r="C111" s="218" t="s">
        <v>23</v>
      </c>
      <c r="D111" s="219" t="s">
        <v>148</v>
      </c>
      <c r="E111" s="219" t="s">
        <v>25</v>
      </c>
      <c r="F111" s="219" t="s">
        <v>54</v>
      </c>
      <c r="G111" s="219" t="s">
        <v>38</v>
      </c>
      <c r="H111" s="219"/>
      <c r="I111" s="219"/>
      <c r="J111" s="219"/>
      <c r="K111" s="220" t="s">
        <v>28</v>
      </c>
      <c r="L111" s="221" t="s">
        <v>29</v>
      </c>
      <c r="M111" s="259" t="s">
        <v>153</v>
      </c>
      <c r="N111" s="222">
        <v>59000000</v>
      </c>
      <c r="O111" s="223"/>
      <c r="P111" s="222"/>
      <c r="Q111" s="223"/>
      <c r="R111" s="222"/>
      <c r="S111" s="222"/>
      <c r="T111" s="222">
        <f>+N111-S111+O111-P111+Q111-R111</f>
        <v>59000000</v>
      </c>
      <c r="U111" s="222">
        <v>11220143</v>
      </c>
      <c r="V111" s="222">
        <f t="shared" si="10"/>
        <v>47779857</v>
      </c>
      <c r="W111" s="224">
        <f t="shared" si="65"/>
        <v>0.19017191525423729</v>
      </c>
      <c r="X111" s="222">
        <v>11220143</v>
      </c>
      <c r="Y111" s="222">
        <f t="shared" si="13"/>
        <v>0</v>
      </c>
      <c r="Z111" s="224">
        <f t="shared" si="80"/>
        <v>0</v>
      </c>
      <c r="AA111" s="222">
        <v>10994858</v>
      </c>
      <c r="AB111" s="222">
        <f t="shared" si="11"/>
        <v>225285</v>
      </c>
      <c r="AC111" s="224">
        <f t="shared" si="63"/>
        <v>0.97992137889864683</v>
      </c>
    </row>
    <row r="112" spans="1:52" ht="24.95" customHeight="1">
      <c r="A112" s="32" t="str">
        <f t="shared" si="60"/>
        <v>A-08-01-02-006=10</v>
      </c>
      <c r="B112" s="217" t="str">
        <f>CONCATENATE(C112,"-",D112,"-",E112,"-",F112,"-",G112)</f>
        <v>A-08-01-02-006</v>
      </c>
      <c r="C112" s="218" t="s">
        <v>23</v>
      </c>
      <c r="D112" s="219" t="s">
        <v>148</v>
      </c>
      <c r="E112" s="219" t="s">
        <v>25</v>
      </c>
      <c r="F112" s="219" t="s">
        <v>54</v>
      </c>
      <c r="G112" s="219" t="s">
        <v>42</v>
      </c>
      <c r="H112" s="219"/>
      <c r="I112" s="219"/>
      <c r="J112" s="219"/>
      <c r="K112" s="220" t="s">
        <v>28</v>
      </c>
      <c r="L112" s="221" t="s">
        <v>29</v>
      </c>
      <c r="M112" s="259" t="s">
        <v>154</v>
      </c>
      <c r="N112" s="222">
        <v>15000000</v>
      </c>
      <c r="O112" s="222"/>
      <c r="P112" s="222"/>
      <c r="Q112" s="222"/>
      <c r="R112" s="222"/>
      <c r="S112" s="222"/>
      <c r="T112" s="222">
        <f>+N112-S112+O112-P112+Q112-R112</f>
        <v>15000000</v>
      </c>
      <c r="U112" s="222">
        <v>6137350</v>
      </c>
      <c r="V112" s="222">
        <f t="shared" si="10"/>
        <v>8862650</v>
      </c>
      <c r="W112" s="224">
        <f t="shared" si="65"/>
        <v>0.40915666666666667</v>
      </c>
      <c r="X112" s="222">
        <v>6137350</v>
      </c>
      <c r="Y112" s="222">
        <f t="shared" si="13"/>
        <v>0</v>
      </c>
      <c r="Z112" s="224">
        <f t="shared" si="80"/>
        <v>0</v>
      </c>
      <c r="AA112" s="222">
        <v>6137350</v>
      </c>
      <c r="AB112" s="222">
        <f t="shared" si="11"/>
        <v>0</v>
      </c>
      <c r="AC112" s="224">
        <f t="shared" si="63"/>
        <v>1</v>
      </c>
    </row>
    <row r="113" spans="1:29" ht="24.95" customHeight="1">
      <c r="A113" s="32" t="str">
        <f t="shared" si="60"/>
        <v>A-08-04=</v>
      </c>
      <c r="B113" s="196" t="str">
        <f>CONCATENATE(C113,"-",D113,"-",E113)</f>
        <v>A-08-04</v>
      </c>
      <c r="C113" s="197" t="s">
        <v>23</v>
      </c>
      <c r="D113" s="198" t="s">
        <v>148</v>
      </c>
      <c r="E113" s="198" t="s">
        <v>136</v>
      </c>
      <c r="F113" s="198"/>
      <c r="G113" s="198"/>
      <c r="H113" s="198"/>
      <c r="I113" s="198"/>
      <c r="J113" s="198"/>
      <c r="K113" s="199"/>
      <c r="L113" s="200"/>
      <c r="M113" s="196" t="s">
        <v>155</v>
      </c>
      <c r="N113" s="201">
        <f t="shared" ref="N113:V113" si="97">SUM(N114:N115)</f>
        <v>5913000000</v>
      </c>
      <c r="O113" s="201">
        <f t="shared" si="97"/>
        <v>0</v>
      </c>
      <c r="P113" s="201">
        <f t="shared" si="97"/>
        <v>0</v>
      </c>
      <c r="Q113" s="201">
        <f t="shared" si="97"/>
        <v>0</v>
      </c>
      <c r="R113" s="201">
        <f t="shared" si="97"/>
        <v>0</v>
      </c>
      <c r="S113" s="201">
        <f t="shared" si="97"/>
        <v>0</v>
      </c>
      <c r="T113" s="201">
        <f t="shared" si="97"/>
        <v>5913000000</v>
      </c>
      <c r="U113" s="201">
        <f t="shared" si="97"/>
        <v>0</v>
      </c>
      <c r="V113" s="201">
        <f t="shared" si="97"/>
        <v>5913000000</v>
      </c>
      <c r="W113" s="202">
        <f t="shared" si="65"/>
        <v>0</v>
      </c>
      <c r="X113" s="201">
        <f>SUM(X114:X115)</f>
        <v>0</v>
      </c>
      <c r="Y113" s="201">
        <f>SUM(Y114:Y115)</f>
        <v>0</v>
      </c>
      <c r="Z113" s="202">
        <f t="shared" si="80"/>
        <v>0</v>
      </c>
      <c r="AA113" s="201">
        <f>SUM(AA114:AA115)</f>
        <v>0</v>
      </c>
      <c r="AB113" s="201">
        <f>SUM(AB114:AB115)</f>
        <v>0</v>
      </c>
      <c r="AC113" s="202">
        <f t="shared" si="63"/>
        <v>0</v>
      </c>
    </row>
    <row r="114" spans="1:29" ht="24.95" customHeight="1">
      <c r="A114" s="32"/>
      <c r="B114" s="217" t="str">
        <f>CONCATENATE(C114,"-",D114,"-",E114,"-",F114)</f>
        <v>A-08-04-01</v>
      </c>
      <c r="C114" s="218" t="s">
        <v>23</v>
      </c>
      <c r="D114" s="219" t="s">
        <v>148</v>
      </c>
      <c r="E114" s="219" t="s">
        <v>136</v>
      </c>
      <c r="F114" s="219" t="s">
        <v>25</v>
      </c>
      <c r="G114" s="219"/>
      <c r="H114" s="219"/>
      <c r="I114" s="219"/>
      <c r="J114" s="219"/>
      <c r="K114" s="220">
        <v>10</v>
      </c>
      <c r="L114" s="221" t="s">
        <v>156</v>
      </c>
      <c r="M114" s="259" t="s">
        <v>157</v>
      </c>
      <c r="N114" s="222">
        <v>0</v>
      </c>
      <c r="O114" s="223"/>
      <c r="P114" s="222"/>
      <c r="Q114" s="222"/>
      <c r="R114" s="222"/>
      <c r="S114" s="222"/>
      <c r="T114" s="223">
        <f>+N114-S114+O114-P114+Q114-R114</f>
        <v>0</v>
      </c>
      <c r="U114" s="223">
        <v>0</v>
      </c>
      <c r="V114" s="222">
        <f t="shared" si="10"/>
        <v>0</v>
      </c>
      <c r="W114" s="224">
        <f t="shared" si="65"/>
        <v>0</v>
      </c>
      <c r="X114" s="222">
        <v>0</v>
      </c>
      <c r="Y114" s="222">
        <f t="shared" si="13"/>
        <v>0</v>
      </c>
      <c r="Z114" s="224">
        <f t="shared" si="80"/>
        <v>0</v>
      </c>
      <c r="AA114" s="222">
        <v>0</v>
      </c>
      <c r="AB114" s="222">
        <f t="shared" si="11"/>
        <v>0</v>
      </c>
      <c r="AC114" s="224">
        <f t="shared" si="63"/>
        <v>0</v>
      </c>
    </row>
    <row r="115" spans="1:29" ht="24.95" customHeight="1" thickBot="1">
      <c r="A115" s="32" t="str">
        <f t="shared" si="60"/>
        <v>A-08-04-01=11</v>
      </c>
      <c r="B115" s="217" t="str">
        <f>CONCATENATE(C115,"-",D115,"-",E115,"-",F115)</f>
        <v>A-08-04-01</v>
      </c>
      <c r="C115" s="218" t="s">
        <v>23</v>
      </c>
      <c r="D115" s="219" t="s">
        <v>148</v>
      </c>
      <c r="E115" s="219" t="s">
        <v>136</v>
      </c>
      <c r="F115" s="219" t="s">
        <v>25</v>
      </c>
      <c r="G115" s="219"/>
      <c r="H115" s="219"/>
      <c r="I115" s="219"/>
      <c r="J115" s="219"/>
      <c r="K115" s="220" t="s">
        <v>144</v>
      </c>
      <c r="L115" s="221" t="s">
        <v>156</v>
      </c>
      <c r="M115" s="259" t="s">
        <v>157</v>
      </c>
      <c r="N115" s="222">
        <v>5913000000</v>
      </c>
      <c r="O115" s="223"/>
      <c r="P115" s="222"/>
      <c r="Q115" s="222"/>
      <c r="R115" s="222"/>
      <c r="S115" s="222"/>
      <c r="T115" s="223">
        <f>+N115-S115+O115-P115+Q115-R115</f>
        <v>5913000000</v>
      </c>
      <c r="U115" s="223">
        <v>0</v>
      </c>
      <c r="V115" s="222">
        <f t="shared" si="10"/>
        <v>5913000000</v>
      </c>
      <c r="W115" s="224">
        <f t="shared" si="65"/>
        <v>0</v>
      </c>
      <c r="X115" s="222">
        <v>0</v>
      </c>
      <c r="Y115" s="222">
        <f t="shared" si="13"/>
        <v>0</v>
      </c>
      <c r="Z115" s="224">
        <f t="shared" si="80"/>
        <v>0</v>
      </c>
      <c r="AA115" s="222">
        <v>0</v>
      </c>
      <c r="AB115" s="222">
        <f t="shared" si="11"/>
        <v>0</v>
      </c>
      <c r="AC115" s="224">
        <f t="shared" si="63"/>
        <v>0</v>
      </c>
    </row>
    <row r="116" spans="1:29" ht="35.1" customHeight="1" thickBot="1">
      <c r="A116" s="32" t="str">
        <f t="shared" si="60"/>
        <v>C
=</v>
      </c>
      <c r="B116" s="260" t="s">
        <v>278</v>
      </c>
      <c r="C116" s="261" t="s">
        <v>167</v>
      </c>
      <c r="D116" s="262"/>
      <c r="E116" s="262"/>
      <c r="F116" s="262"/>
      <c r="G116" s="262"/>
      <c r="H116" s="262"/>
      <c r="I116" s="262"/>
      <c r="J116" s="262"/>
      <c r="K116" s="263"/>
      <c r="L116" s="264"/>
      <c r="M116" s="260" t="s">
        <v>168</v>
      </c>
      <c r="N116" s="265">
        <f t="shared" ref="N116:V116" si="98">+N117+N146+N237</f>
        <v>6230508633098</v>
      </c>
      <c r="O116" s="265">
        <f t="shared" si="98"/>
        <v>0</v>
      </c>
      <c r="P116" s="265">
        <f t="shared" si="98"/>
        <v>0</v>
      </c>
      <c r="Q116" s="265">
        <f t="shared" si="98"/>
        <v>76251228709.320007</v>
      </c>
      <c r="R116" s="265">
        <f t="shared" si="98"/>
        <v>76251228709.320007</v>
      </c>
      <c r="S116" s="265">
        <f t="shared" si="98"/>
        <v>324000000000</v>
      </c>
      <c r="T116" s="265">
        <f t="shared" si="98"/>
        <v>5906508633098</v>
      </c>
      <c r="U116" s="265">
        <f t="shared" si="98"/>
        <v>1769494834272.6602</v>
      </c>
      <c r="V116" s="265">
        <f t="shared" si="98"/>
        <v>4137013798825.3403</v>
      </c>
      <c r="W116" s="187">
        <f t="shared" si="65"/>
        <v>0.29958389027945082</v>
      </c>
      <c r="X116" s="265">
        <f>+X117+X146+X237</f>
        <v>1396132986500.4602</v>
      </c>
      <c r="Y116" s="265">
        <f>+Y117+Y146+Y237</f>
        <v>373361847772.20001</v>
      </c>
      <c r="Z116" s="187">
        <f t="shared" si="80"/>
        <v>0.21099911711563038</v>
      </c>
      <c r="AA116" s="265">
        <f>+AA117+AA146+AA237</f>
        <v>1273255314041.8</v>
      </c>
      <c r="AB116" s="265">
        <f>+AB117+AB146+AB237</f>
        <v>122877672458.66</v>
      </c>
      <c r="AC116" s="187">
        <f t="shared" si="63"/>
        <v>0.71955864994947205</v>
      </c>
    </row>
    <row r="117" spans="1:29" ht="35.1" customHeight="1">
      <c r="A117" s="32" t="str">
        <f t="shared" si="60"/>
        <v>C-4101=</v>
      </c>
      <c r="B117" s="188" t="str">
        <f>CONCATENATE(C117,"-",D117)</f>
        <v>C-4101</v>
      </c>
      <c r="C117" s="189" t="s">
        <v>167</v>
      </c>
      <c r="D117" s="191">
        <v>4101</v>
      </c>
      <c r="E117" s="191"/>
      <c r="F117" s="191"/>
      <c r="G117" s="191"/>
      <c r="H117" s="191"/>
      <c r="I117" s="191"/>
      <c r="J117" s="191"/>
      <c r="K117" s="192"/>
      <c r="L117" s="193"/>
      <c r="M117" s="188" t="s">
        <v>169</v>
      </c>
      <c r="N117" s="194">
        <f>+N118</f>
        <v>10248574078</v>
      </c>
      <c r="O117" s="194">
        <f t="shared" ref="O117:S117" si="99">+O118</f>
        <v>0</v>
      </c>
      <c r="P117" s="194">
        <f t="shared" si="99"/>
        <v>0</v>
      </c>
      <c r="Q117" s="194">
        <f t="shared" si="99"/>
        <v>0</v>
      </c>
      <c r="R117" s="194">
        <f t="shared" si="99"/>
        <v>0</v>
      </c>
      <c r="S117" s="194">
        <f t="shared" si="99"/>
        <v>0</v>
      </c>
      <c r="T117" s="194">
        <f>+T118</f>
        <v>10248574078</v>
      </c>
      <c r="U117" s="194">
        <f t="shared" ref="U117:AB117" si="100">+U118</f>
        <v>10248574078</v>
      </c>
      <c r="V117" s="194">
        <f t="shared" si="100"/>
        <v>0</v>
      </c>
      <c r="W117" s="195">
        <f t="shared" si="65"/>
        <v>1</v>
      </c>
      <c r="X117" s="194">
        <f t="shared" si="100"/>
        <v>10248574078</v>
      </c>
      <c r="Y117" s="194">
        <f t="shared" si="100"/>
        <v>0</v>
      </c>
      <c r="Z117" s="195">
        <f t="shared" si="80"/>
        <v>0</v>
      </c>
      <c r="AA117" s="194">
        <f t="shared" si="100"/>
        <v>10248574078</v>
      </c>
      <c r="AB117" s="194">
        <f t="shared" si="100"/>
        <v>0</v>
      </c>
      <c r="AC117" s="195">
        <f t="shared" si="63"/>
        <v>1</v>
      </c>
    </row>
    <row r="118" spans="1:29" ht="24.95" customHeight="1">
      <c r="A118" s="32" t="str">
        <f t="shared" si="60"/>
        <v>C-4101-1500=</v>
      </c>
      <c r="B118" s="196" t="str">
        <f>CONCATENATE(C118,"-",D118,"-",E118)</f>
        <v>C-4101-1500</v>
      </c>
      <c r="C118" s="197" t="s">
        <v>167</v>
      </c>
      <c r="D118" s="198">
        <v>4101</v>
      </c>
      <c r="E118" s="198">
        <v>1500</v>
      </c>
      <c r="F118" s="198"/>
      <c r="G118" s="198"/>
      <c r="H118" s="198"/>
      <c r="I118" s="198"/>
      <c r="J118" s="198"/>
      <c r="K118" s="199"/>
      <c r="L118" s="200"/>
      <c r="M118" s="196" t="s">
        <v>170</v>
      </c>
      <c r="N118" s="201">
        <f t="shared" ref="N118:V118" si="101">+N119+N132</f>
        <v>10248574078</v>
      </c>
      <c r="O118" s="201">
        <f t="shared" si="101"/>
        <v>0</v>
      </c>
      <c r="P118" s="201">
        <f t="shared" si="101"/>
        <v>0</v>
      </c>
      <c r="Q118" s="201">
        <f t="shared" si="101"/>
        <v>0</v>
      </c>
      <c r="R118" s="201">
        <f t="shared" si="101"/>
        <v>0</v>
      </c>
      <c r="S118" s="201">
        <f t="shared" si="101"/>
        <v>0</v>
      </c>
      <c r="T118" s="201">
        <f t="shared" si="101"/>
        <v>10248574078</v>
      </c>
      <c r="U118" s="201">
        <f t="shared" si="101"/>
        <v>10248574078</v>
      </c>
      <c r="V118" s="201">
        <f t="shared" si="101"/>
        <v>0</v>
      </c>
      <c r="W118" s="202">
        <f t="shared" si="65"/>
        <v>1</v>
      </c>
      <c r="X118" s="201">
        <f t="shared" ref="X118:Y118" si="102">+X119+X132</f>
        <v>10248574078</v>
      </c>
      <c r="Y118" s="201">
        <f t="shared" si="102"/>
        <v>0</v>
      </c>
      <c r="Z118" s="202">
        <f t="shared" si="80"/>
        <v>0</v>
      </c>
      <c r="AA118" s="201">
        <f t="shared" ref="AA118:AB118" si="103">+AA119+AA132</f>
        <v>10248574078</v>
      </c>
      <c r="AB118" s="201">
        <f t="shared" si="103"/>
        <v>0</v>
      </c>
      <c r="AC118" s="202">
        <f t="shared" si="63"/>
        <v>1</v>
      </c>
    </row>
    <row r="119" spans="1:29" ht="36" hidden="1" customHeight="1">
      <c r="A119" s="32" t="str">
        <f t="shared" si="60"/>
        <v>C-4101-1500-5=</v>
      </c>
      <c r="B119" s="203" t="str">
        <f>CONCATENATE(C119,"-",D119,"-",E119,"-",F119)</f>
        <v>C-4101-1500-5</v>
      </c>
      <c r="C119" s="227" t="s">
        <v>167</v>
      </c>
      <c r="D119" s="228" t="s">
        <v>171</v>
      </c>
      <c r="E119" s="228" t="s">
        <v>172</v>
      </c>
      <c r="F119" s="228" t="s">
        <v>261</v>
      </c>
      <c r="G119" s="228"/>
      <c r="H119" s="228"/>
      <c r="I119" s="228"/>
      <c r="J119" s="228"/>
      <c r="K119" s="229"/>
      <c r="L119" s="230"/>
      <c r="M119" s="231" t="s">
        <v>279</v>
      </c>
      <c r="N119" s="232">
        <f t="shared" ref="N119:V119" si="104">+N120+N122+N124+N126+N128+N130</f>
        <v>0</v>
      </c>
      <c r="O119" s="232">
        <f t="shared" si="104"/>
        <v>0</v>
      </c>
      <c r="P119" s="232">
        <f t="shared" si="104"/>
        <v>0</v>
      </c>
      <c r="Q119" s="232">
        <f t="shared" si="104"/>
        <v>0</v>
      </c>
      <c r="R119" s="232">
        <f t="shared" si="104"/>
        <v>0</v>
      </c>
      <c r="S119" s="232">
        <f t="shared" si="104"/>
        <v>0</v>
      </c>
      <c r="T119" s="232">
        <f t="shared" si="104"/>
        <v>0</v>
      </c>
      <c r="U119" s="232">
        <f t="shared" si="104"/>
        <v>0</v>
      </c>
      <c r="V119" s="232">
        <f t="shared" si="104"/>
        <v>0</v>
      </c>
      <c r="W119" s="233">
        <f t="shared" si="65"/>
        <v>0</v>
      </c>
      <c r="X119" s="232">
        <f t="shared" ref="X119:Y119" si="105">+X120+X122+X124+X126+X128+X130</f>
        <v>0</v>
      </c>
      <c r="Y119" s="232">
        <f t="shared" si="105"/>
        <v>0</v>
      </c>
      <c r="Z119" s="233">
        <f t="shared" si="80"/>
        <v>0</v>
      </c>
      <c r="AA119" s="232">
        <f t="shared" ref="AA119:AB119" si="106">+AA120+AA122+AA124+AA126+AA128+AA130</f>
        <v>0</v>
      </c>
      <c r="AB119" s="232">
        <f t="shared" si="106"/>
        <v>0</v>
      </c>
      <c r="AC119" s="233">
        <f t="shared" si="63"/>
        <v>0</v>
      </c>
    </row>
    <row r="120" spans="1:29" ht="24.95" hidden="1" customHeight="1">
      <c r="A120" s="32" t="str">
        <f t="shared" si="60"/>
        <v>C-4101-1500-5-0-4101073=11</v>
      </c>
      <c r="B120" s="210" t="str">
        <f>CONCATENATE(C120,"-",D120,"-",E120,"-",F120,"-",G120,"-",H120)</f>
        <v>C-4101-1500-5-0-4101073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176</v>
      </c>
      <c r="I120" s="212"/>
      <c r="J120" s="212"/>
      <c r="K120" s="213">
        <v>11</v>
      </c>
      <c r="L120" s="214" t="s">
        <v>29</v>
      </c>
      <c r="M120" s="210" t="s">
        <v>177</v>
      </c>
      <c r="N120" s="215">
        <f>+N121</f>
        <v>0</v>
      </c>
      <c r="O120" s="215">
        <f t="shared" ref="O120:AB120" si="107">+O121</f>
        <v>0</v>
      </c>
      <c r="P120" s="215">
        <f t="shared" si="107"/>
        <v>0</v>
      </c>
      <c r="Q120" s="215">
        <f t="shared" si="107"/>
        <v>0</v>
      </c>
      <c r="R120" s="215">
        <f t="shared" si="107"/>
        <v>0</v>
      </c>
      <c r="S120" s="215">
        <f t="shared" si="107"/>
        <v>0</v>
      </c>
      <c r="T120" s="215">
        <f t="shared" si="107"/>
        <v>0</v>
      </c>
      <c r="U120" s="215">
        <f t="shared" si="107"/>
        <v>0</v>
      </c>
      <c r="V120" s="215">
        <f t="shared" si="107"/>
        <v>0</v>
      </c>
      <c r="W120" s="216">
        <f t="shared" si="65"/>
        <v>0</v>
      </c>
      <c r="X120" s="215">
        <f t="shared" si="107"/>
        <v>0</v>
      </c>
      <c r="Y120" s="215">
        <f t="shared" si="107"/>
        <v>0</v>
      </c>
      <c r="Z120" s="216">
        <f t="shared" si="80"/>
        <v>0</v>
      </c>
      <c r="AA120" s="215">
        <f t="shared" si="107"/>
        <v>0</v>
      </c>
      <c r="AB120" s="215">
        <f t="shared" si="107"/>
        <v>0</v>
      </c>
      <c r="AC120" s="216">
        <f t="shared" si="63"/>
        <v>0</v>
      </c>
    </row>
    <row r="121" spans="1:29" ht="24.95" hidden="1" customHeight="1">
      <c r="A121" s="32" t="str">
        <f t="shared" si="60"/>
        <v>C-4101-1500-5-0-4101073-02=11</v>
      </c>
      <c r="B121" s="217" t="str">
        <f>CONCATENATE(C121,"-",D121,"-",E121,"-",F121,"-",G121,"-",H121,"-",I121)</f>
        <v>C-4101-1500-5-0-4101073-02</v>
      </c>
      <c r="C121" s="218" t="s">
        <v>167</v>
      </c>
      <c r="D121" s="219" t="s">
        <v>171</v>
      </c>
      <c r="E121" s="219" t="s">
        <v>172</v>
      </c>
      <c r="F121" s="219" t="s">
        <v>261</v>
      </c>
      <c r="G121" s="219" t="s">
        <v>175</v>
      </c>
      <c r="H121" s="219" t="s">
        <v>176</v>
      </c>
      <c r="I121" s="219" t="s">
        <v>54</v>
      </c>
      <c r="J121" s="219"/>
      <c r="K121" s="220">
        <v>11</v>
      </c>
      <c r="L121" s="221" t="s">
        <v>29</v>
      </c>
      <c r="M121" s="217" t="s">
        <v>178</v>
      </c>
      <c r="N121" s="222"/>
      <c r="O121" s="222"/>
      <c r="P121" s="222"/>
      <c r="Q121" s="222"/>
      <c r="R121" s="223"/>
      <c r="S121" s="222"/>
      <c r="T121" s="222">
        <f>+N121-S121+O121-P121+Q121-R121</f>
        <v>0</v>
      </c>
      <c r="U121" s="222"/>
      <c r="V121" s="222">
        <f t="shared" ref="V121:V187" si="108">+T121-U121</f>
        <v>0</v>
      </c>
      <c r="W121" s="224">
        <f t="shared" si="65"/>
        <v>0</v>
      </c>
      <c r="X121" s="222"/>
      <c r="Y121" s="222">
        <f t="shared" si="13"/>
        <v>0</v>
      </c>
      <c r="Z121" s="224">
        <f t="shared" si="80"/>
        <v>0</v>
      </c>
      <c r="AA121" s="222"/>
      <c r="AB121" s="222">
        <f t="shared" ref="AB121:AB187" si="109">+X121-AA121</f>
        <v>0</v>
      </c>
      <c r="AC121" s="224">
        <f t="shared" si="63"/>
        <v>0</v>
      </c>
    </row>
    <row r="122" spans="1:29" ht="31.5" hidden="1" customHeight="1">
      <c r="A122" s="32" t="str">
        <f t="shared" si="60"/>
        <v>C-4101-1500-5-0-4101074=11</v>
      </c>
      <c r="B122" s="210" t="str">
        <f>CONCATENATE(C122,"-",D122,"-",E122,"-",F122,"-",G122,"-",H122)</f>
        <v>C-4101-1500-5-0-4101074</v>
      </c>
      <c r="C122" s="211" t="s">
        <v>167</v>
      </c>
      <c r="D122" s="212" t="s">
        <v>171</v>
      </c>
      <c r="E122" s="212" t="s">
        <v>172</v>
      </c>
      <c r="F122" s="212" t="s">
        <v>261</v>
      </c>
      <c r="G122" s="212" t="s">
        <v>175</v>
      </c>
      <c r="H122" s="212" t="s">
        <v>179</v>
      </c>
      <c r="I122" s="212"/>
      <c r="J122" s="212"/>
      <c r="K122" s="213">
        <v>11</v>
      </c>
      <c r="L122" s="214" t="s">
        <v>29</v>
      </c>
      <c r="M122" s="210" t="s">
        <v>180</v>
      </c>
      <c r="N122" s="215">
        <f>+N123</f>
        <v>0</v>
      </c>
      <c r="O122" s="215">
        <f t="shared" ref="O122:AB122" si="110">+O123</f>
        <v>0</v>
      </c>
      <c r="P122" s="215">
        <f t="shared" si="110"/>
        <v>0</v>
      </c>
      <c r="Q122" s="215">
        <f t="shared" si="110"/>
        <v>0</v>
      </c>
      <c r="R122" s="215">
        <f t="shared" si="110"/>
        <v>0</v>
      </c>
      <c r="S122" s="215">
        <f t="shared" si="110"/>
        <v>0</v>
      </c>
      <c r="T122" s="215">
        <f t="shared" si="110"/>
        <v>0</v>
      </c>
      <c r="U122" s="215">
        <f t="shared" si="110"/>
        <v>0</v>
      </c>
      <c r="V122" s="215">
        <f t="shared" si="110"/>
        <v>0</v>
      </c>
      <c r="W122" s="216">
        <f t="shared" si="65"/>
        <v>0</v>
      </c>
      <c r="X122" s="215">
        <f t="shared" si="110"/>
        <v>0</v>
      </c>
      <c r="Y122" s="215">
        <f t="shared" si="110"/>
        <v>0</v>
      </c>
      <c r="Z122" s="216">
        <f t="shared" si="80"/>
        <v>0</v>
      </c>
      <c r="AA122" s="215">
        <f t="shared" si="110"/>
        <v>0</v>
      </c>
      <c r="AB122" s="215">
        <f t="shared" si="110"/>
        <v>0</v>
      </c>
      <c r="AC122" s="216">
        <f t="shared" si="63"/>
        <v>0</v>
      </c>
    </row>
    <row r="123" spans="1:29" ht="24.95" hidden="1" customHeight="1">
      <c r="A123" s="32" t="str">
        <f t="shared" si="60"/>
        <v>C-4101-1500-5-0-4101074-02=11</v>
      </c>
      <c r="B123" s="217" t="str">
        <f>CONCATENATE(C123,"-",D123,"-",E123,"-",F123,"-",G123,"-",H123,"-",I123)</f>
        <v>C-4101-1500-5-0-4101074-02</v>
      </c>
      <c r="C123" s="218" t="s">
        <v>167</v>
      </c>
      <c r="D123" s="219" t="s">
        <v>171</v>
      </c>
      <c r="E123" s="219" t="s">
        <v>172</v>
      </c>
      <c r="F123" s="219">
        <v>5</v>
      </c>
      <c r="G123" s="219" t="s">
        <v>175</v>
      </c>
      <c r="H123" s="219" t="s">
        <v>179</v>
      </c>
      <c r="I123" s="219" t="s">
        <v>54</v>
      </c>
      <c r="J123" s="219"/>
      <c r="K123" s="220">
        <v>11</v>
      </c>
      <c r="L123" s="221" t="s">
        <v>29</v>
      </c>
      <c r="M123" s="259" t="s">
        <v>178</v>
      </c>
      <c r="N123" s="222"/>
      <c r="O123" s="222"/>
      <c r="P123" s="222"/>
      <c r="Q123" s="222"/>
      <c r="R123" s="636"/>
      <c r="S123" s="636"/>
      <c r="T123" s="222">
        <f>+N123-S123+O123-P123+Q123-R123</f>
        <v>0</v>
      </c>
      <c r="U123" s="222"/>
      <c r="V123" s="222">
        <f t="shared" ref="V123" si="111">+T123-U123</f>
        <v>0</v>
      </c>
      <c r="W123" s="224">
        <f t="shared" si="65"/>
        <v>0</v>
      </c>
      <c r="X123" s="222"/>
      <c r="Y123" s="222">
        <f t="shared" ref="Y123" si="112">+U123-X123</f>
        <v>0</v>
      </c>
      <c r="Z123" s="224">
        <f t="shared" si="80"/>
        <v>0</v>
      </c>
      <c r="AA123" s="222"/>
      <c r="AB123" s="222">
        <f t="shared" ref="AB123" si="113">+X123-AA123</f>
        <v>0</v>
      </c>
      <c r="AC123" s="224">
        <f t="shared" si="63"/>
        <v>0</v>
      </c>
    </row>
    <row r="124" spans="1:29" ht="31.5" hidden="1" customHeight="1">
      <c r="A124" s="32" t="str">
        <f t="shared" si="60"/>
        <v>C-4101-1500-5-0-4101077=11</v>
      </c>
      <c r="B124" s="210" t="str">
        <f>CONCATENATE(C124,"-",D124,"-",E124,"-",F124,"-",G124,"-",H124)</f>
        <v>C-4101-1500-5-0-4101077</v>
      </c>
      <c r="C124" s="211" t="s">
        <v>167</v>
      </c>
      <c r="D124" s="212" t="s">
        <v>171</v>
      </c>
      <c r="E124" s="212" t="s">
        <v>172</v>
      </c>
      <c r="F124" s="212" t="s">
        <v>261</v>
      </c>
      <c r="G124" s="212" t="s">
        <v>175</v>
      </c>
      <c r="H124" s="212" t="s">
        <v>181</v>
      </c>
      <c r="I124" s="212"/>
      <c r="J124" s="212"/>
      <c r="K124" s="213">
        <v>11</v>
      </c>
      <c r="L124" s="214" t="s">
        <v>29</v>
      </c>
      <c r="M124" s="210" t="s">
        <v>182</v>
      </c>
      <c r="N124" s="215">
        <f t="shared" ref="N124:V124" si="114">SUM(N125:N125)</f>
        <v>0</v>
      </c>
      <c r="O124" s="215">
        <f t="shared" si="114"/>
        <v>0</v>
      </c>
      <c r="P124" s="215">
        <f t="shared" si="114"/>
        <v>0</v>
      </c>
      <c r="Q124" s="215">
        <f t="shared" si="114"/>
        <v>0</v>
      </c>
      <c r="R124" s="215">
        <f t="shared" si="114"/>
        <v>0</v>
      </c>
      <c r="S124" s="215">
        <f t="shared" si="114"/>
        <v>0</v>
      </c>
      <c r="T124" s="215">
        <f t="shared" si="114"/>
        <v>0</v>
      </c>
      <c r="U124" s="215">
        <f t="shared" si="114"/>
        <v>0</v>
      </c>
      <c r="V124" s="215">
        <f t="shared" si="114"/>
        <v>0</v>
      </c>
      <c r="W124" s="216">
        <f t="shared" si="65"/>
        <v>0</v>
      </c>
      <c r="X124" s="215">
        <f t="shared" ref="X124:Y124" si="115">SUM(X125:X125)</f>
        <v>0</v>
      </c>
      <c r="Y124" s="215">
        <f t="shared" si="115"/>
        <v>0</v>
      </c>
      <c r="Z124" s="216">
        <f t="shared" si="80"/>
        <v>0</v>
      </c>
      <c r="AA124" s="215">
        <f t="shared" ref="AA124:AB124" si="116">SUM(AA125:AA125)</f>
        <v>0</v>
      </c>
      <c r="AB124" s="215">
        <f t="shared" si="116"/>
        <v>0</v>
      </c>
      <c r="AC124" s="216">
        <f t="shared" si="63"/>
        <v>0</v>
      </c>
    </row>
    <row r="125" spans="1:29" ht="24.95" hidden="1" customHeight="1">
      <c r="A125" s="32" t="str">
        <f t="shared" si="60"/>
        <v>C-4101-1500-5-0-4101077-02=11</v>
      </c>
      <c r="B125" s="217" t="str">
        <f>CONCATENATE(C125,"-",D125,"-",E125,"-",F125,"-",G125,"-",H125,"-",I125)</f>
        <v>C-4101-1500-5-0-4101077-02</v>
      </c>
      <c r="C125" s="218" t="s">
        <v>167</v>
      </c>
      <c r="D125" s="219" t="s">
        <v>171</v>
      </c>
      <c r="E125" s="219" t="s">
        <v>172</v>
      </c>
      <c r="F125" s="219" t="s">
        <v>261</v>
      </c>
      <c r="G125" s="219" t="s">
        <v>175</v>
      </c>
      <c r="H125" s="219" t="s">
        <v>181</v>
      </c>
      <c r="I125" s="225" t="s">
        <v>54</v>
      </c>
      <c r="J125" s="219"/>
      <c r="K125" s="220">
        <v>11</v>
      </c>
      <c r="L125" s="221" t="s">
        <v>29</v>
      </c>
      <c r="M125" s="217" t="s">
        <v>178</v>
      </c>
      <c r="N125" s="222"/>
      <c r="O125" s="222"/>
      <c r="P125" s="222"/>
      <c r="Q125" s="222"/>
      <c r="R125" s="223"/>
      <c r="S125" s="222"/>
      <c r="T125" s="222">
        <f>+N125-S125+O125-P125+Q125-R125</f>
        <v>0</v>
      </c>
      <c r="U125" s="222"/>
      <c r="V125" s="222">
        <f t="shared" si="108"/>
        <v>0</v>
      </c>
      <c r="W125" s="224">
        <f t="shared" si="65"/>
        <v>0</v>
      </c>
      <c r="X125" s="222"/>
      <c r="Y125" s="222">
        <f t="shared" ref="Y125:Y187" si="117">+U125-X125</f>
        <v>0</v>
      </c>
      <c r="Z125" s="224">
        <f t="shared" si="80"/>
        <v>0</v>
      </c>
      <c r="AA125" s="222"/>
      <c r="AB125" s="222">
        <f t="shared" si="109"/>
        <v>0</v>
      </c>
      <c r="AC125" s="224">
        <f t="shared" si="63"/>
        <v>0</v>
      </c>
    </row>
    <row r="126" spans="1:29" ht="31.5" hidden="1" customHeight="1">
      <c r="A126" s="32" t="str">
        <f t="shared" si="60"/>
        <v>C-4101-1500-5-0-4101078=11</v>
      </c>
      <c r="B126" s="210" t="str">
        <f>CONCATENATE(C126,"-",D126,"-",E126,"-",F126,"-",G126,"-",H126)</f>
        <v>C-4101-1500-5-0-4101078</v>
      </c>
      <c r="C126" s="211" t="s">
        <v>167</v>
      </c>
      <c r="D126" s="212" t="s">
        <v>171</v>
      </c>
      <c r="E126" s="212" t="s">
        <v>172</v>
      </c>
      <c r="F126" s="212" t="s">
        <v>261</v>
      </c>
      <c r="G126" s="212" t="s">
        <v>175</v>
      </c>
      <c r="H126" s="212" t="s">
        <v>183</v>
      </c>
      <c r="I126" s="212"/>
      <c r="J126" s="212"/>
      <c r="K126" s="213">
        <v>11</v>
      </c>
      <c r="L126" s="214" t="s">
        <v>29</v>
      </c>
      <c r="M126" s="210" t="s">
        <v>184</v>
      </c>
      <c r="N126" s="215">
        <f>+N127</f>
        <v>0</v>
      </c>
      <c r="O126" s="215">
        <f t="shared" ref="O126:AB126" si="118">+O127</f>
        <v>0</v>
      </c>
      <c r="P126" s="215">
        <f t="shared" si="118"/>
        <v>0</v>
      </c>
      <c r="Q126" s="215">
        <f t="shared" si="118"/>
        <v>0</v>
      </c>
      <c r="R126" s="215">
        <f t="shared" si="118"/>
        <v>0</v>
      </c>
      <c r="S126" s="215">
        <f t="shared" si="118"/>
        <v>0</v>
      </c>
      <c r="T126" s="215">
        <f t="shared" si="118"/>
        <v>0</v>
      </c>
      <c r="U126" s="215">
        <f t="shared" si="118"/>
        <v>0</v>
      </c>
      <c r="V126" s="215">
        <f t="shared" si="118"/>
        <v>0</v>
      </c>
      <c r="W126" s="216">
        <f t="shared" si="65"/>
        <v>0</v>
      </c>
      <c r="X126" s="215">
        <f t="shared" si="118"/>
        <v>0</v>
      </c>
      <c r="Y126" s="215">
        <f t="shared" si="118"/>
        <v>0</v>
      </c>
      <c r="Z126" s="216">
        <f t="shared" si="80"/>
        <v>0</v>
      </c>
      <c r="AA126" s="215">
        <f t="shared" si="118"/>
        <v>0</v>
      </c>
      <c r="AB126" s="215">
        <f t="shared" si="118"/>
        <v>0</v>
      </c>
      <c r="AC126" s="216">
        <f t="shared" si="63"/>
        <v>0</v>
      </c>
    </row>
    <row r="127" spans="1:29" ht="24.95" hidden="1" customHeight="1">
      <c r="A127" s="32" t="str">
        <f t="shared" si="60"/>
        <v>C-4101-1500-5-0-4101078-02=11</v>
      </c>
      <c r="B127" s="217" t="str">
        <f>CONCATENATE(C127,"-",D127,"-",E127,"-",F127,"-",G127,"-",H127,"-",I127)</f>
        <v>C-4101-1500-5-0-4101078-02</v>
      </c>
      <c r="C127" s="218" t="s">
        <v>167</v>
      </c>
      <c r="D127" s="219" t="s">
        <v>171</v>
      </c>
      <c r="E127" s="219" t="s">
        <v>172</v>
      </c>
      <c r="F127" s="219" t="s">
        <v>261</v>
      </c>
      <c r="G127" s="219" t="s">
        <v>175</v>
      </c>
      <c r="H127" s="219" t="s">
        <v>183</v>
      </c>
      <c r="I127" s="219" t="s">
        <v>54</v>
      </c>
      <c r="J127" s="219"/>
      <c r="K127" s="220">
        <v>11</v>
      </c>
      <c r="L127" s="221" t="s">
        <v>29</v>
      </c>
      <c r="M127" s="217" t="s">
        <v>178</v>
      </c>
      <c r="N127" s="222"/>
      <c r="O127" s="222"/>
      <c r="P127" s="222"/>
      <c r="Q127" s="222"/>
      <c r="R127" s="223"/>
      <c r="S127" s="222"/>
      <c r="T127" s="223">
        <f>+N127-S127+O127-P127+Q127-R127</f>
        <v>0</v>
      </c>
      <c r="U127" s="222"/>
      <c r="V127" s="222">
        <f t="shared" si="108"/>
        <v>0</v>
      </c>
      <c r="W127" s="224">
        <f t="shared" si="65"/>
        <v>0</v>
      </c>
      <c r="X127" s="222"/>
      <c r="Y127" s="222">
        <f t="shared" si="117"/>
        <v>0</v>
      </c>
      <c r="Z127" s="224">
        <f t="shared" si="80"/>
        <v>0</v>
      </c>
      <c r="AA127" s="222"/>
      <c r="AB127" s="222">
        <f t="shared" si="109"/>
        <v>0</v>
      </c>
      <c r="AC127" s="224">
        <f t="shared" si="63"/>
        <v>0</v>
      </c>
    </row>
    <row r="128" spans="1:29" ht="24.95" hidden="1" customHeight="1">
      <c r="A128" s="32" t="str">
        <f t="shared" si="60"/>
        <v>C-4101-1500-5-0-4101080=11</v>
      </c>
      <c r="B128" s="210" t="str">
        <f>CONCATENATE(C128,"-",D128,"-",E128,"-",F128,"-",G128,"-",H128)</f>
        <v>C-4101-1500-5-0-4101080</v>
      </c>
      <c r="C128" s="211" t="s">
        <v>167</v>
      </c>
      <c r="D128" s="212" t="s">
        <v>171</v>
      </c>
      <c r="E128" s="212" t="s">
        <v>172</v>
      </c>
      <c r="F128" s="212" t="s">
        <v>261</v>
      </c>
      <c r="G128" s="212" t="s">
        <v>175</v>
      </c>
      <c r="H128" s="212" t="s">
        <v>185</v>
      </c>
      <c r="I128" s="212"/>
      <c r="J128" s="212"/>
      <c r="K128" s="213">
        <v>11</v>
      </c>
      <c r="L128" s="214" t="s">
        <v>29</v>
      </c>
      <c r="M128" s="210" t="s">
        <v>186</v>
      </c>
      <c r="N128" s="215">
        <f>+N129</f>
        <v>0</v>
      </c>
      <c r="O128" s="215">
        <f t="shared" ref="O128:AB128" si="119">+O129</f>
        <v>0</v>
      </c>
      <c r="P128" s="215">
        <f t="shared" si="119"/>
        <v>0</v>
      </c>
      <c r="Q128" s="215">
        <f t="shared" si="119"/>
        <v>0</v>
      </c>
      <c r="R128" s="215">
        <f t="shared" si="119"/>
        <v>0</v>
      </c>
      <c r="S128" s="215">
        <f t="shared" si="119"/>
        <v>0</v>
      </c>
      <c r="T128" s="215">
        <f t="shared" si="119"/>
        <v>0</v>
      </c>
      <c r="U128" s="215">
        <f t="shared" si="119"/>
        <v>0</v>
      </c>
      <c r="V128" s="215">
        <f t="shared" si="119"/>
        <v>0</v>
      </c>
      <c r="W128" s="216">
        <f t="shared" si="65"/>
        <v>0</v>
      </c>
      <c r="X128" s="215">
        <f t="shared" si="119"/>
        <v>0</v>
      </c>
      <c r="Y128" s="215">
        <f t="shared" si="119"/>
        <v>0</v>
      </c>
      <c r="Z128" s="216">
        <f t="shared" si="80"/>
        <v>0</v>
      </c>
      <c r="AA128" s="215">
        <f t="shared" si="119"/>
        <v>0</v>
      </c>
      <c r="AB128" s="215">
        <f t="shared" si="119"/>
        <v>0</v>
      </c>
      <c r="AC128" s="216">
        <f t="shared" si="63"/>
        <v>0</v>
      </c>
    </row>
    <row r="129" spans="1:29" ht="24.95" hidden="1" customHeight="1">
      <c r="A129" s="32" t="str">
        <f t="shared" si="60"/>
        <v>C-4101-1500-5-0-4101080-02=11</v>
      </c>
      <c r="B129" s="217" t="str">
        <f>CONCATENATE(C129,"-",D129,"-",E129,"-",F129,"-",G129,"-",H129,"-",I129)</f>
        <v>C-4101-1500-5-0-4101080-02</v>
      </c>
      <c r="C129" s="218" t="s">
        <v>167</v>
      </c>
      <c r="D129" s="219" t="s">
        <v>171</v>
      </c>
      <c r="E129" s="219" t="s">
        <v>172</v>
      </c>
      <c r="F129" s="219">
        <v>5</v>
      </c>
      <c r="G129" s="219" t="s">
        <v>175</v>
      </c>
      <c r="H129" s="219" t="s">
        <v>185</v>
      </c>
      <c r="I129" s="219" t="s">
        <v>54</v>
      </c>
      <c r="J129" s="219"/>
      <c r="K129" s="220">
        <v>11</v>
      </c>
      <c r="L129" s="221" t="s">
        <v>29</v>
      </c>
      <c r="M129" s="259" t="s">
        <v>178</v>
      </c>
      <c r="N129" s="222"/>
      <c r="O129" s="222"/>
      <c r="P129" s="222"/>
      <c r="Q129" s="222"/>
      <c r="R129" s="222"/>
      <c r="S129" s="222"/>
      <c r="T129" s="222">
        <f>+N129-S129+O129-P129+Q129-R129</f>
        <v>0</v>
      </c>
      <c r="U129" s="222"/>
      <c r="V129" s="222">
        <f t="shared" ref="V129" si="120">+T129-U129</f>
        <v>0</v>
      </c>
      <c r="W129" s="224">
        <f t="shared" si="65"/>
        <v>0</v>
      </c>
      <c r="X129" s="222"/>
      <c r="Y129" s="222">
        <f t="shared" ref="Y129" si="121">+U129-X129</f>
        <v>0</v>
      </c>
      <c r="Z129" s="224">
        <f t="shared" si="80"/>
        <v>0</v>
      </c>
      <c r="AA129" s="222"/>
      <c r="AB129" s="222">
        <f t="shared" ref="AB129" si="122">+X129-AA129</f>
        <v>0</v>
      </c>
      <c r="AC129" s="224">
        <f t="shared" si="63"/>
        <v>0</v>
      </c>
    </row>
    <row r="130" spans="1:29" ht="31.5" hidden="1" customHeight="1">
      <c r="A130" s="32" t="str">
        <f t="shared" si="60"/>
        <v>C-4101-1500-5-0-4101081=11</v>
      </c>
      <c r="B130" s="210" t="str">
        <f>CONCATENATE(C130,"-",D130,"-",E130,"-",F130,"-",G130,"-",H130)</f>
        <v>C-4101-1500-5-0-4101081</v>
      </c>
      <c r="C130" s="211" t="s">
        <v>167</v>
      </c>
      <c r="D130" s="212" t="s">
        <v>171</v>
      </c>
      <c r="E130" s="212" t="s">
        <v>172</v>
      </c>
      <c r="F130" s="212" t="s">
        <v>261</v>
      </c>
      <c r="G130" s="212" t="s">
        <v>175</v>
      </c>
      <c r="H130" s="212" t="s">
        <v>187</v>
      </c>
      <c r="I130" s="212"/>
      <c r="J130" s="212"/>
      <c r="K130" s="213">
        <v>11</v>
      </c>
      <c r="L130" s="214" t="s">
        <v>29</v>
      </c>
      <c r="M130" s="210" t="s">
        <v>188</v>
      </c>
      <c r="N130" s="215">
        <f>+N131</f>
        <v>0</v>
      </c>
      <c r="O130" s="215">
        <f t="shared" ref="O130:AB130" si="123">+O131</f>
        <v>0</v>
      </c>
      <c r="P130" s="215">
        <f t="shared" si="123"/>
        <v>0</v>
      </c>
      <c r="Q130" s="215">
        <f t="shared" si="123"/>
        <v>0</v>
      </c>
      <c r="R130" s="215">
        <f t="shared" si="123"/>
        <v>0</v>
      </c>
      <c r="S130" s="215">
        <f t="shared" si="123"/>
        <v>0</v>
      </c>
      <c r="T130" s="215">
        <f t="shared" si="123"/>
        <v>0</v>
      </c>
      <c r="U130" s="215">
        <f t="shared" si="123"/>
        <v>0</v>
      </c>
      <c r="V130" s="215">
        <f t="shared" si="123"/>
        <v>0</v>
      </c>
      <c r="W130" s="216">
        <f t="shared" si="65"/>
        <v>0</v>
      </c>
      <c r="X130" s="215">
        <f t="shared" si="123"/>
        <v>0</v>
      </c>
      <c r="Y130" s="215">
        <f t="shared" si="123"/>
        <v>0</v>
      </c>
      <c r="Z130" s="216">
        <f t="shared" si="80"/>
        <v>0</v>
      </c>
      <c r="AA130" s="215">
        <f t="shared" si="123"/>
        <v>0</v>
      </c>
      <c r="AB130" s="215">
        <f t="shared" si="123"/>
        <v>0</v>
      </c>
      <c r="AC130" s="216">
        <f t="shared" si="63"/>
        <v>0</v>
      </c>
    </row>
    <row r="131" spans="1:29" ht="24.95" hidden="1" customHeight="1">
      <c r="A131" s="32" t="str">
        <f t="shared" si="60"/>
        <v>C-4101-1500-5-0-4101081-02=11</v>
      </c>
      <c r="B131" s="217" t="str">
        <f>CONCATENATE(C131,"-",D131,"-",E131,"-",F131,"-",G131,"-",H131,"-",I131)</f>
        <v>C-4101-1500-5-0-4101081-02</v>
      </c>
      <c r="C131" s="218" t="s">
        <v>167</v>
      </c>
      <c r="D131" s="219" t="s">
        <v>171</v>
      </c>
      <c r="E131" s="219" t="s">
        <v>172</v>
      </c>
      <c r="F131" s="219" t="s">
        <v>261</v>
      </c>
      <c r="G131" s="219" t="s">
        <v>175</v>
      </c>
      <c r="H131" s="219" t="s">
        <v>187</v>
      </c>
      <c r="I131" s="219" t="s">
        <v>54</v>
      </c>
      <c r="J131" s="219"/>
      <c r="K131" s="220">
        <v>11</v>
      </c>
      <c r="L131" s="221" t="s">
        <v>29</v>
      </c>
      <c r="M131" s="217" t="s">
        <v>178</v>
      </c>
      <c r="N131" s="222"/>
      <c r="O131" s="222"/>
      <c r="P131" s="222"/>
      <c r="Q131" s="222"/>
      <c r="R131" s="222"/>
      <c r="S131" s="222"/>
      <c r="T131" s="222">
        <f>+N131-S131+O131-P131+Q131-R131</f>
        <v>0</v>
      </c>
      <c r="U131" s="222"/>
      <c r="V131" s="222">
        <f t="shared" si="108"/>
        <v>0</v>
      </c>
      <c r="W131" s="224">
        <f t="shared" si="65"/>
        <v>0</v>
      </c>
      <c r="X131" s="222"/>
      <c r="Y131" s="222">
        <f t="shared" si="117"/>
        <v>0</v>
      </c>
      <c r="Z131" s="224">
        <f t="shared" si="80"/>
        <v>0</v>
      </c>
      <c r="AA131" s="222"/>
      <c r="AB131" s="222">
        <f t="shared" si="109"/>
        <v>0</v>
      </c>
      <c r="AC131" s="224">
        <f t="shared" si="63"/>
        <v>0</v>
      </c>
    </row>
    <row r="132" spans="1:29" ht="60.75" customHeight="1">
      <c r="A132" s="32" t="str">
        <f t="shared" si="60"/>
        <v>C-4101-1500-6=</v>
      </c>
      <c r="B132" s="226" t="str">
        <f>CONCATENATE(C132,"-",D132,"-",E132,"-",F132)</f>
        <v>C-4101-1500-6</v>
      </c>
      <c r="C132" s="227" t="s">
        <v>167</v>
      </c>
      <c r="D132" s="228" t="s">
        <v>171</v>
      </c>
      <c r="E132" s="228" t="s">
        <v>172</v>
      </c>
      <c r="F132" s="228" t="s">
        <v>173</v>
      </c>
      <c r="G132" s="228"/>
      <c r="H132" s="228"/>
      <c r="I132" s="228"/>
      <c r="J132" s="228"/>
      <c r="K132" s="229"/>
      <c r="L132" s="230"/>
      <c r="M132" s="231" t="s">
        <v>174</v>
      </c>
      <c r="N132" s="232">
        <f>+N137+N139+N141+N143+N133+N135</f>
        <v>10248574078</v>
      </c>
      <c r="O132" s="232">
        <f t="shared" ref="O132:V132" si="124">+O137+O139+O141+O143+O133+O135</f>
        <v>0</v>
      </c>
      <c r="P132" s="232">
        <f t="shared" si="124"/>
        <v>0</v>
      </c>
      <c r="Q132" s="232">
        <f t="shared" si="124"/>
        <v>0</v>
      </c>
      <c r="R132" s="232">
        <f t="shared" si="124"/>
        <v>0</v>
      </c>
      <c r="S132" s="232">
        <f t="shared" si="124"/>
        <v>0</v>
      </c>
      <c r="T132" s="232">
        <f t="shared" si="124"/>
        <v>10248574078</v>
      </c>
      <c r="U132" s="232">
        <f t="shared" si="124"/>
        <v>10248574078</v>
      </c>
      <c r="V132" s="232">
        <f t="shared" si="124"/>
        <v>0</v>
      </c>
      <c r="W132" s="233">
        <f t="shared" si="65"/>
        <v>1</v>
      </c>
      <c r="X132" s="232">
        <f t="shared" ref="X132:AB132" si="125">+X137+X139+X141+X143+X133+X135</f>
        <v>10248574078</v>
      </c>
      <c r="Y132" s="232">
        <f t="shared" si="125"/>
        <v>0</v>
      </c>
      <c r="Z132" s="233">
        <f t="shared" si="80"/>
        <v>0</v>
      </c>
      <c r="AA132" s="232">
        <f t="shared" si="125"/>
        <v>10248574078</v>
      </c>
      <c r="AB132" s="232">
        <f t="shared" si="125"/>
        <v>0</v>
      </c>
      <c r="AC132" s="233">
        <f t="shared" si="63"/>
        <v>1</v>
      </c>
    </row>
    <row r="133" spans="1:29" ht="24.95" customHeight="1">
      <c r="A133" s="32" t="str">
        <f t="shared" si="60"/>
        <v>C-4101-1500-6-0-4101073=11</v>
      </c>
      <c r="B133" s="210" t="str">
        <f>CONCATENATE(C133,"-",D133,"-",E133,"-",F133,"-",G133,"-",H133)</f>
        <v>C-4101-1500-6-0-4101073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176</v>
      </c>
      <c r="I133" s="212"/>
      <c r="J133" s="212"/>
      <c r="K133" s="213" t="s">
        <v>144</v>
      </c>
      <c r="L133" s="214" t="s">
        <v>29</v>
      </c>
      <c r="M133" s="210" t="s">
        <v>177</v>
      </c>
      <c r="N133" s="215">
        <f t="shared" ref="N133:V133" si="126">SUM(N134:N134)</f>
        <v>1189683575</v>
      </c>
      <c r="O133" s="215">
        <f t="shared" si="126"/>
        <v>0</v>
      </c>
      <c r="P133" s="215">
        <f t="shared" si="126"/>
        <v>0</v>
      </c>
      <c r="Q133" s="215">
        <f t="shared" si="126"/>
        <v>0</v>
      </c>
      <c r="R133" s="215">
        <f t="shared" si="126"/>
        <v>0</v>
      </c>
      <c r="S133" s="215">
        <f t="shared" si="126"/>
        <v>0</v>
      </c>
      <c r="T133" s="215">
        <f t="shared" si="126"/>
        <v>1189683575</v>
      </c>
      <c r="U133" s="215">
        <f t="shared" si="126"/>
        <v>1189683575</v>
      </c>
      <c r="V133" s="215">
        <f t="shared" si="126"/>
        <v>0</v>
      </c>
      <c r="W133" s="216">
        <f t="shared" si="65"/>
        <v>1</v>
      </c>
      <c r="X133" s="215">
        <f t="shared" ref="X133:Y133" si="127">SUM(X134:X134)</f>
        <v>1189683575</v>
      </c>
      <c r="Y133" s="215">
        <f t="shared" si="127"/>
        <v>0</v>
      </c>
      <c r="Z133" s="216">
        <f t="shared" si="80"/>
        <v>0</v>
      </c>
      <c r="AA133" s="215">
        <f t="shared" ref="AA133:AB133" si="128">SUM(AA134:AA134)</f>
        <v>1189683575</v>
      </c>
      <c r="AB133" s="215">
        <f t="shared" si="128"/>
        <v>0</v>
      </c>
      <c r="AC133" s="216">
        <f t="shared" si="63"/>
        <v>1</v>
      </c>
    </row>
    <row r="134" spans="1:29" ht="24.95" customHeight="1">
      <c r="A134" s="32" t="str">
        <f t="shared" si="60"/>
        <v>C-4101-1500-6-0-4101073-02=11</v>
      </c>
      <c r="B134" s="217" t="str">
        <f>CONCATENATE(C134,"-",D134,"-",E134,"-",F134,"-",G134,"-",H134,"-",I134)</f>
        <v>C-4101-1500-6-0-4101073-02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176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1189683575</v>
      </c>
      <c r="O134" s="222"/>
      <c r="P134" s="222"/>
      <c r="Q134" s="223"/>
      <c r="R134" s="222"/>
      <c r="S134" s="222"/>
      <c r="T134" s="222">
        <f>+N134-S134+O134-P134+Q134-R134</f>
        <v>1189683575</v>
      </c>
      <c r="U134" s="222">
        <v>1189683575</v>
      </c>
      <c r="V134" s="222">
        <f t="shared" si="108"/>
        <v>0</v>
      </c>
      <c r="W134" s="224">
        <f t="shared" si="65"/>
        <v>1</v>
      </c>
      <c r="X134" s="222">
        <v>1189683575</v>
      </c>
      <c r="Y134" s="222">
        <f t="shared" si="117"/>
        <v>0</v>
      </c>
      <c r="Z134" s="224">
        <f t="shared" si="80"/>
        <v>0</v>
      </c>
      <c r="AA134" s="222">
        <v>1189683575</v>
      </c>
      <c r="AB134" s="222">
        <f t="shared" si="109"/>
        <v>0</v>
      </c>
      <c r="AC134" s="224">
        <f t="shared" si="63"/>
        <v>1</v>
      </c>
    </row>
    <row r="135" spans="1:29" ht="31.5" customHeight="1">
      <c r="A135" s="32" t="str">
        <f t="shared" si="60"/>
        <v>C-4101-1500-6-0-4101074=11</v>
      </c>
      <c r="B135" s="210" t="str">
        <f>CONCATENATE(C135,"-",D135,"-",E135,"-",F135,"-",G135,"-",H135)</f>
        <v>C-4101-1500-6-0-4101074</v>
      </c>
      <c r="C135" s="211" t="s">
        <v>167</v>
      </c>
      <c r="D135" s="212" t="s">
        <v>171</v>
      </c>
      <c r="E135" s="212" t="s">
        <v>172</v>
      </c>
      <c r="F135" s="212" t="s">
        <v>173</v>
      </c>
      <c r="G135" s="212" t="s">
        <v>175</v>
      </c>
      <c r="H135" s="212" t="s">
        <v>179</v>
      </c>
      <c r="I135" s="212"/>
      <c r="J135" s="212"/>
      <c r="K135" s="213" t="s">
        <v>144</v>
      </c>
      <c r="L135" s="214" t="s">
        <v>29</v>
      </c>
      <c r="M135" s="210" t="s">
        <v>180</v>
      </c>
      <c r="N135" s="215">
        <f>+N136</f>
        <v>115014864</v>
      </c>
      <c r="O135" s="215">
        <f t="shared" ref="O135:AB135" si="129">+O136</f>
        <v>0</v>
      </c>
      <c r="P135" s="215">
        <f t="shared" si="129"/>
        <v>0</v>
      </c>
      <c r="Q135" s="215">
        <f t="shared" si="129"/>
        <v>0</v>
      </c>
      <c r="R135" s="215">
        <f t="shared" si="129"/>
        <v>0</v>
      </c>
      <c r="S135" s="215">
        <f t="shared" si="129"/>
        <v>0</v>
      </c>
      <c r="T135" s="215">
        <f t="shared" si="129"/>
        <v>115014864</v>
      </c>
      <c r="U135" s="215">
        <f t="shared" si="129"/>
        <v>115014864</v>
      </c>
      <c r="V135" s="215">
        <f t="shared" si="129"/>
        <v>0</v>
      </c>
      <c r="W135" s="216">
        <f t="shared" si="65"/>
        <v>1</v>
      </c>
      <c r="X135" s="215">
        <f t="shared" si="129"/>
        <v>115014864</v>
      </c>
      <c r="Y135" s="215">
        <f t="shared" si="129"/>
        <v>0</v>
      </c>
      <c r="Z135" s="216">
        <f t="shared" si="80"/>
        <v>0</v>
      </c>
      <c r="AA135" s="215">
        <f t="shared" si="129"/>
        <v>115014864</v>
      </c>
      <c r="AB135" s="215">
        <f t="shared" si="129"/>
        <v>0</v>
      </c>
      <c r="AC135" s="216">
        <f t="shared" si="63"/>
        <v>1</v>
      </c>
    </row>
    <row r="136" spans="1:29" ht="24.95" customHeight="1">
      <c r="A136" s="32" t="str">
        <f t="shared" si="60"/>
        <v>C-4101-1500-6-0-4101074-02=11</v>
      </c>
      <c r="B136" s="217" t="str">
        <f>CONCATENATE(C136,"-",D136,"-",E136,"-",F136,"-",G136,"-",H136,"-",I136)</f>
        <v>C-4101-1500-6-0-4101074-02</v>
      </c>
      <c r="C136" s="218" t="s">
        <v>167</v>
      </c>
      <c r="D136" s="219" t="s">
        <v>171</v>
      </c>
      <c r="E136" s="219" t="s">
        <v>172</v>
      </c>
      <c r="F136" s="219" t="s">
        <v>173</v>
      </c>
      <c r="G136" s="219" t="s">
        <v>175</v>
      </c>
      <c r="H136" s="219" t="s">
        <v>179</v>
      </c>
      <c r="I136" s="219" t="s">
        <v>54</v>
      </c>
      <c r="J136" s="219"/>
      <c r="K136" s="220" t="s">
        <v>144</v>
      </c>
      <c r="L136" s="221" t="s">
        <v>29</v>
      </c>
      <c r="M136" s="259" t="s">
        <v>178</v>
      </c>
      <c r="N136" s="222">
        <v>115014864</v>
      </c>
      <c r="O136" s="222"/>
      <c r="P136" s="222"/>
      <c r="Q136" s="222"/>
      <c r="R136" s="222"/>
      <c r="S136" s="222"/>
      <c r="T136" s="222">
        <f>+N136-S136+O136-P136+Q136-R136</f>
        <v>115014864</v>
      </c>
      <c r="U136" s="222">
        <v>115014864</v>
      </c>
      <c r="V136" s="222">
        <f t="shared" si="108"/>
        <v>0</v>
      </c>
      <c r="W136" s="224">
        <f t="shared" si="65"/>
        <v>1</v>
      </c>
      <c r="X136" s="222">
        <v>115014864</v>
      </c>
      <c r="Y136" s="222">
        <f t="shared" si="117"/>
        <v>0</v>
      </c>
      <c r="Z136" s="224">
        <f t="shared" si="80"/>
        <v>0</v>
      </c>
      <c r="AA136" s="222">
        <v>115014864</v>
      </c>
      <c r="AB136" s="222">
        <f t="shared" si="109"/>
        <v>0</v>
      </c>
      <c r="AC136" s="224">
        <f t="shared" si="63"/>
        <v>1</v>
      </c>
    </row>
    <row r="137" spans="1:29" ht="31.5" customHeight="1">
      <c r="A137" s="32" t="str">
        <f t="shared" si="60"/>
        <v>C-4101-1500-6-0-4101077=11</v>
      </c>
      <c r="B137" s="210" t="str">
        <f>CONCATENATE(C137,"-",D137,"-",E137,"-",F137,"-",G137,"-",H137)</f>
        <v>C-4101-1500-6-0-4101077</v>
      </c>
      <c r="C137" s="211" t="s">
        <v>167</v>
      </c>
      <c r="D137" s="212" t="s">
        <v>171</v>
      </c>
      <c r="E137" s="212" t="s">
        <v>172</v>
      </c>
      <c r="F137" s="212" t="s">
        <v>173</v>
      </c>
      <c r="G137" s="212" t="s">
        <v>175</v>
      </c>
      <c r="H137" s="212" t="s">
        <v>181</v>
      </c>
      <c r="I137" s="212"/>
      <c r="J137" s="212"/>
      <c r="K137" s="213" t="s">
        <v>144</v>
      </c>
      <c r="L137" s="214" t="s">
        <v>29</v>
      </c>
      <c r="M137" s="210" t="s">
        <v>182</v>
      </c>
      <c r="N137" s="215">
        <f>+N138</f>
        <v>0</v>
      </c>
      <c r="O137" s="215">
        <f t="shared" ref="O137:AB137" si="130">+O138</f>
        <v>0</v>
      </c>
      <c r="P137" s="215">
        <f t="shared" si="130"/>
        <v>0</v>
      </c>
      <c r="Q137" s="215">
        <f t="shared" si="130"/>
        <v>0</v>
      </c>
      <c r="R137" s="215">
        <f t="shared" si="130"/>
        <v>0</v>
      </c>
      <c r="S137" s="215">
        <f t="shared" si="130"/>
        <v>0</v>
      </c>
      <c r="T137" s="215">
        <f t="shared" si="130"/>
        <v>0</v>
      </c>
      <c r="U137" s="215">
        <f t="shared" si="130"/>
        <v>0</v>
      </c>
      <c r="V137" s="215">
        <f t="shared" si="130"/>
        <v>0</v>
      </c>
      <c r="W137" s="216">
        <f t="shared" si="65"/>
        <v>0</v>
      </c>
      <c r="X137" s="215">
        <f t="shared" si="130"/>
        <v>0</v>
      </c>
      <c r="Y137" s="215">
        <f t="shared" si="130"/>
        <v>0</v>
      </c>
      <c r="Z137" s="216">
        <f t="shared" si="80"/>
        <v>0</v>
      </c>
      <c r="AA137" s="215">
        <f t="shared" si="130"/>
        <v>0</v>
      </c>
      <c r="AB137" s="215">
        <f t="shared" si="130"/>
        <v>0</v>
      </c>
      <c r="AC137" s="216">
        <f t="shared" si="63"/>
        <v>0</v>
      </c>
    </row>
    <row r="138" spans="1:29" ht="24.95" customHeight="1">
      <c r="A138" s="32" t="str">
        <f t="shared" si="60"/>
        <v>C-4101-1500-6-0-4101077-02=11</v>
      </c>
      <c r="B138" s="217" t="str">
        <f>CONCATENATE(C138,"-",D138,"-",E138,"-",F138,"-",G138,"-",H138,"-",I138)</f>
        <v>C-4101-1500-6-0-4101077-02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181</v>
      </c>
      <c r="I138" s="219" t="s">
        <v>54</v>
      </c>
      <c r="J138" s="219"/>
      <c r="K138" s="220" t="s">
        <v>144</v>
      </c>
      <c r="L138" s="221" t="s">
        <v>29</v>
      </c>
      <c r="M138" s="259" t="s">
        <v>178</v>
      </c>
      <c r="N138" s="222"/>
      <c r="O138" s="222"/>
      <c r="P138" s="222"/>
      <c r="Q138" s="222"/>
      <c r="R138" s="222"/>
      <c r="S138" s="222"/>
      <c r="T138" s="222">
        <f>+N138-S138+O138-P138+Q138-R138</f>
        <v>0</v>
      </c>
      <c r="U138" s="222"/>
      <c r="V138" s="222">
        <f t="shared" si="108"/>
        <v>0</v>
      </c>
      <c r="W138" s="224">
        <f t="shared" si="65"/>
        <v>0</v>
      </c>
      <c r="X138" s="222"/>
      <c r="Y138" s="222">
        <f t="shared" si="117"/>
        <v>0</v>
      </c>
      <c r="Z138" s="224">
        <f t="shared" si="80"/>
        <v>0</v>
      </c>
      <c r="AA138" s="222"/>
      <c r="AB138" s="222">
        <f t="shared" si="109"/>
        <v>0</v>
      </c>
      <c r="AC138" s="224">
        <f t="shared" si="63"/>
        <v>0</v>
      </c>
    </row>
    <row r="139" spans="1:29" ht="31.5" customHeight="1">
      <c r="A139" s="32" t="str">
        <f t="shared" si="60"/>
        <v>C-4101-1500-6-0-4101078=11</v>
      </c>
      <c r="B139" s="210" t="str">
        <f>CONCATENATE(C139,"-",D139,"-",E139,"-",F139,"-",G139,"-",H139)</f>
        <v>C-4101-1500-6-0-4101078</v>
      </c>
      <c r="C139" s="211" t="s">
        <v>167</v>
      </c>
      <c r="D139" s="212" t="s">
        <v>171</v>
      </c>
      <c r="E139" s="212" t="s">
        <v>172</v>
      </c>
      <c r="F139" s="212" t="s">
        <v>173</v>
      </c>
      <c r="G139" s="212" t="s">
        <v>175</v>
      </c>
      <c r="H139" s="212" t="s">
        <v>183</v>
      </c>
      <c r="I139" s="212"/>
      <c r="J139" s="212"/>
      <c r="K139" s="213" t="s">
        <v>144</v>
      </c>
      <c r="L139" s="214" t="s">
        <v>29</v>
      </c>
      <c r="M139" s="210" t="s">
        <v>184</v>
      </c>
      <c r="N139" s="215">
        <f t="shared" ref="N139:V139" si="131">SUM(N140:N140)</f>
        <v>0</v>
      </c>
      <c r="O139" s="215">
        <f t="shared" si="131"/>
        <v>0</v>
      </c>
      <c r="P139" s="215">
        <f t="shared" si="131"/>
        <v>0</v>
      </c>
      <c r="Q139" s="215">
        <f t="shared" si="131"/>
        <v>0</v>
      </c>
      <c r="R139" s="215">
        <f t="shared" si="131"/>
        <v>0</v>
      </c>
      <c r="S139" s="215">
        <f t="shared" si="131"/>
        <v>0</v>
      </c>
      <c r="T139" s="215">
        <f t="shared" si="131"/>
        <v>0</v>
      </c>
      <c r="U139" s="215">
        <f t="shared" si="131"/>
        <v>0</v>
      </c>
      <c r="V139" s="215">
        <f t="shared" si="131"/>
        <v>0</v>
      </c>
      <c r="W139" s="216">
        <f t="shared" si="65"/>
        <v>0</v>
      </c>
      <c r="X139" s="215">
        <f t="shared" ref="X139:Y139" si="132">SUM(X140:X140)</f>
        <v>0</v>
      </c>
      <c r="Y139" s="215">
        <f t="shared" si="132"/>
        <v>0</v>
      </c>
      <c r="Z139" s="216">
        <f t="shared" si="80"/>
        <v>0</v>
      </c>
      <c r="AA139" s="215">
        <f t="shared" ref="AA139:AB139" si="133">SUM(AA140:AA140)</f>
        <v>0</v>
      </c>
      <c r="AB139" s="215">
        <f t="shared" si="133"/>
        <v>0</v>
      </c>
      <c r="AC139" s="216">
        <f t="shared" si="63"/>
        <v>0</v>
      </c>
    </row>
    <row r="140" spans="1:29" ht="24.95" customHeight="1">
      <c r="A140" s="32" t="str">
        <f t="shared" si="60"/>
        <v>C-4101-1500-6-0-4101078-02=11</v>
      </c>
      <c r="B140" s="217" t="str">
        <f>CONCATENATE(C140,"-",D140,"-",E140,"-",F140,"-",G140,"-",H140,"-",I140)</f>
        <v>C-4101-1500-6-0-4101078-02</v>
      </c>
      <c r="C140" s="218" t="s">
        <v>167</v>
      </c>
      <c r="D140" s="219" t="s">
        <v>171</v>
      </c>
      <c r="E140" s="219" t="s">
        <v>172</v>
      </c>
      <c r="F140" s="219" t="s">
        <v>173</v>
      </c>
      <c r="G140" s="219" t="s">
        <v>175</v>
      </c>
      <c r="H140" s="219" t="s">
        <v>183</v>
      </c>
      <c r="I140" s="219" t="s">
        <v>54</v>
      </c>
      <c r="J140" s="219"/>
      <c r="K140" s="220" t="s">
        <v>144</v>
      </c>
      <c r="L140" s="221" t="s">
        <v>29</v>
      </c>
      <c r="M140" s="259" t="s">
        <v>178</v>
      </c>
      <c r="N140" s="222">
        <v>0</v>
      </c>
      <c r="O140" s="222"/>
      <c r="P140" s="222"/>
      <c r="Q140" s="222"/>
      <c r="R140" s="222"/>
      <c r="S140" s="222"/>
      <c r="T140" s="222">
        <f>+N140-S140+O140-P140+Q140-R140</f>
        <v>0</v>
      </c>
      <c r="U140" s="222">
        <v>0</v>
      </c>
      <c r="V140" s="222">
        <f t="shared" si="108"/>
        <v>0</v>
      </c>
      <c r="W140" s="224">
        <f t="shared" si="65"/>
        <v>0</v>
      </c>
      <c r="X140" s="222">
        <v>0</v>
      </c>
      <c r="Y140" s="222">
        <f t="shared" si="117"/>
        <v>0</v>
      </c>
      <c r="Z140" s="224">
        <f t="shared" si="80"/>
        <v>0</v>
      </c>
      <c r="AA140" s="222">
        <v>0</v>
      </c>
      <c r="AB140" s="222">
        <f t="shared" si="109"/>
        <v>0</v>
      </c>
      <c r="AC140" s="224">
        <f t="shared" si="63"/>
        <v>0</v>
      </c>
    </row>
    <row r="141" spans="1:29" ht="24.95" customHeight="1">
      <c r="A141" s="32" t="str">
        <f t="shared" si="60"/>
        <v>C-4101-1500-6-0-4101080=11</v>
      </c>
      <c r="B141" s="210" t="str">
        <f>CONCATENATE(C141,"-",D141,"-",E141,"-",F141,"-",G141,"-",H141)</f>
        <v>C-4101-1500-6-0-4101080</v>
      </c>
      <c r="C141" s="211" t="s">
        <v>167</v>
      </c>
      <c r="D141" s="212" t="s">
        <v>171</v>
      </c>
      <c r="E141" s="212" t="s">
        <v>172</v>
      </c>
      <c r="F141" s="212" t="s">
        <v>173</v>
      </c>
      <c r="G141" s="212" t="s">
        <v>175</v>
      </c>
      <c r="H141" s="212" t="s">
        <v>185</v>
      </c>
      <c r="I141" s="212"/>
      <c r="J141" s="212"/>
      <c r="K141" s="213" t="s">
        <v>144</v>
      </c>
      <c r="L141" s="214" t="s">
        <v>29</v>
      </c>
      <c r="M141" s="210" t="s">
        <v>186</v>
      </c>
      <c r="N141" s="215">
        <f>+N142</f>
        <v>8943875639</v>
      </c>
      <c r="O141" s="215">
        <f t="shared" ref="O141:AB141" si="134">+O142</f>
        <v>0</v>
      </c>
      <c r="P141" s="215">
        <f t="shared" si="134"/>
        <v>0</v>
      </c>
      <c r="Q141" s="215">
        <f t="shared" si="134"/>
        <v>0</v>
      </c>
      <c r="R141" s="215">
        <f t="shared" si="134"/>
        <v>0</v>
      </c>
      <c r="S141" s="215">
        <f t="shared" si="134"/>
        <v>0</v>
      </c>
      <c r="T141" s="215">
        <f t="shared" si="134"/>
        <v>8943875639</v>
      </c>
      <c r="U141" s="215">
        <f t="shared" si="134"/>
        <v>8943875639</v>
      </c>
      <c r="V141" s="215">
        <f t="shared" si="134"/>
        <v>0</v>
      </c>
      <c r="W141" s="216">
        <f t="shared" si="65"/>
        <v>1</v>
      </c>
      <c r="X141" s="215">
        <f t="shared" si="134"/>
        <v>8943875639</v>
      </c>
      <c r="Y141" s="215">
        <f t="shared" si="134"/>
        <v>0</v>
      </c>
      <c r="Z141" s="216">
        <f t="shared" si="80"/>
        <v>0</v>
      </c>
      <c r="AA141" s="215">
        <f t="shared" si="134"/>
        <v>8943875639</v>
      </c>
      <c r="AB141" s="215">
        <f t="shared" si="134"/>
        <v>0</v>
      </c>
      <c r="AC141" s="216">
        <f t="shared" si="63"/>
        <v>1</v>
      </c>
    </row>
    <row r="142" spans="1:29" ht="24.95" customHeight="1">
      <c r="A142" s="32" t="str">
        <f t="shared" si="60"/>
        <v>C-4101-1500-6-0-4101080-02=11</v>
      </c>
      <c r="B142" s="217" t="str">
        <f>CONCATENATE(C142,"-",D142,"-",E142,"-",F142,"-",G142,"-",H142,"-",I142)</f>
        <v>C-4101-1500-6-0-4101080-02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185</v>
      </c>
      <c r="I142" s="219" t="s">
        <v>54</v>
      </c>
      <c r="J142" s="219"/>
      <c r="K142" s="220" t="s">
        <v>144</v>
      </c>
      <c r="L142" s="221" t="s">
        <v>29</v>
      </c>
      <c r="M142" s="259" t="s">
        <v>178</v>
      </c>
      <c r="N142" s="222">
        <v>8943875639</v>
      </c>
      <c r="O142" s="222"/>
      <c r="P142" s="222"/>
      <c r="Q142" s="222"/>
      <c r="R142" s="222"/>
      <c r="S142" s="222"/>
      <c r="T142" s="222">
        <f>+N142-S142+O142-P142+Q142-R142</f>
        <v>8943875639</v>
      </c>
      <c r="U142" s="222">
        <v>8943875639</v>
      </c>
      <c r="V142" s="222">
        <f t="shared" si="108"/>
        <v>0</v>
      </c>
      <c r="W142" s="224">
        <f t="shared" si="65"/>
        <v>1</v>
      </c>
      <c r="X142" s="222">
        <v>8943875639</v>
      </c>
      <c r="Y142" s="222">
        <f t="shared" si="117"/>
        <v>0</v>
      </c>
      <c r="Z142" s="224">
        <f t="shared" si="80"/>
        <v>0</v>
      </c>
      <c r="AA142" s="222">
        <v>8943875639</v>
      </c>
      <c r="AB142" s="222">
        <f t="shared" si="109"/>
        <v>0</v>
      </c>
      <c r="AC142" s="224">
        <f t="shared" si="63"/>
        <v>1</v>
      </c>
    </row>
    <row r="143" spans="1:29" ht="31.5" customHeight="1">
      <c r="A143" s="32" t="str">
        <f t="shared" si="60"/>
        <v>C-4101-1500-6-0-4101081=11</v>
      </c>
      <c r="B143" s="210" t="str">
        <f>CONCATENATE(C143,"-",D143,"-",E143,"-",F143,"-",G143,"-",H143)</f>
        <v>C-4101-1500-6-0-4101081</v>
      </c>
      <c r="C143" s="211" t="s">
        <v>167</v>
      </c>
      <c r="D143" s="212" t="s">
        <v>171</v>
      </c>
      <c r="E143" s="212" t="s">
        <v>172</v>
      </c>
      <c r="F143" s="212" t="s">
        <v>173</v>
      </c>
      <c r="G143" s="212" t="s">
        <v>175</v>
      </c>
      <c r="H143" s="212" t="s">
        <v>187</v>
      </c>
      <c r="I143" s="212"/>
      <c r="J143" s="212"/>
      <c r="K143" s="213" t="s">
        <v>144</v>
      </c>
      <c r="L143" s="214" t="s">
        <v>29</v>
      </c>
      <c r="M143" s="210" t="s">
        <v>188</v>
      </c>
      <c r="N143" s="215">
        <f>SUM(N144:N145)</f>
        <v>0</v>
      </c>
      <c r="O143" s="215">
        <f t="shared" ref="O143:AB143" si="135">SUM(O144:O145)</f>
        <v>0</v>
      </c>
      <c r="P143" s="215">
        <f t="shared" si="135"/>
        <v>0</v>
      </c>
      <c r="Q143" s="215">
        <f t="shared" si="135"/>
        <v>0</v>
      </c>
      <c r="R143" s="215">
        <f t="shared" si="135"/>
        <v>0</v>
      </c>
      <c r="S143" s="215">
        <f t="shared" si="135"/>
        <v>0</v>
      </c>
      <c r="T143" s="215">
        <f t="shared" si="135"/>
        <v>0</v>
      </c>
      <c r="U143" s="215">
        <f t="shared" si="135"/>
        <v>0</v>
      </c>
      <c r="V143" s="215">
        <f t="shared" si="135"/>
        <v>0</v>
      </c>
      <c r="W143" s="216">
        <f t="shared" si="65"/>
        <v>0</v>
      </c>
      <c r="X143" s="215">
        <f t="shared" si="135"/>
        <v>0</v>
      </c>
      <c r="Y143" s="215">
        <f t="shared" si="135"/>
        <v>0</v>
      </c>
      <c r="Z143" s="216">
        <f t="shared" si="80"/>
        <v>0</v>
      </c>
      <c r="AA143" s="215">
        <f t="shared" si="135"/>
        <v>0</v>
      </c>
      <c r="AB143" s="215">
        <f t="shared" si="135"/>
        <v>0</v>
      </c>
      <c r="AC143" s="216">
        <f t="shared" si="63"/>
        <v>0</v>
      </c>
    </row>
    <row r="144" spans="1:29" ht="24.95" customHeight="1">
      <c r="A144" s="32" t="str">
        <f t="shared" si="60"/>
        <v>C-4101-1500-6-0-4101081-02=11</v>
      </c>
      <c r="B144" s="217" t="str">
        <f>CONCATENATE(C144,"-",D144,"-",E144,"-",F144,"-",G144,"-",H144,"-",I144)</f>
        <v>C-4101-1500-6-0-4101081-02</v>
      </c>
      <c r="C144" s="218" t="s">
        <v>167</v>
      </c>
      <c r="D144" s="219" t="s">
        <v>171</v>
      </c>
      <c r="E144" s="219" t="s">
        <v>172</v>
      </c>
      <c r="F144" s="219" t="s">
        <v>173</v>
      </c>
      <c r="G144" s="219" t="s">
        <v>175</v>
      </c>
      <c r="H144" s="219" t="s">
        <v>187</v>
      </c>
      <c r="I144" s="219" t="s">
        <v>54</v>
      </c>
      <c r="J144" s="219"/>
      <c r="K144" s="220" t="s">
        <v>144</v>
      </c>
      <c r="L144" s="221" t="s">
        <v>29</v>
      </c>
      <c r="M144" s="259" t="s">
        <v>178</v>
      </c>
      <c r="N144" s="222">
        <v>0</v>
      </c>
      <c r="O144" s="222"/>
      <c r="P144" s="222"/>
      <c r="Q144" s="222"/>
      <c r="R144" s="222"/>
      <c r="S144" s="222"/>
      <c r="T144" s="222">
        <f>+N144-S144+O144-P144+Q144-R144</f>
        <v>0</v>
      </c>
      <c r="U144" s="222">
        <v>0</v>
      </c>
      <c r="V144" s="222">
        <f t="shared" si="108"/>
        <v>0</v>
      </c>
      <c r="W144" s="224">
        <f t="shared" si="65"/>
        <v>0</v>
      </c>
      <c r="X144" s="222">
        <v>0</v>
      </c>
      <c r="Y144" s="222">
        <f t="shared" si="117"/>
        <v>0</v>
      </c>
      <c r="Z144" s="224">
        <f t="shared" si="80"/>
        <v>0</v>
      </c>
      <c r="AA144" s="222">
        <v>0</v>
      </c>
      <c r="AB144" s="222">
        <f t="shared" si="109"/>
        <v>0</v>
      </c>
      <c r="AC144" s="224">
        <f t="shared" si="63"/>
        <v>0</v>
      </c>
    </row>
    <row r="145" spans="1:52" ht="24.95" customHeight="1">
      <c r="A145" s="32" t="str">
        <f t="shared" si="60"/>
        <v>C-4101-1500-6-0-4101081-03=11</v>
      </c>
      <c r="B145" s="217" t="str">
        <f>CONCATENATE(C145,"-",D145,"-",E145,"-",F145,"-",G145,"-",H145,"-",I145)</f>
        <v>C-4101-1500-6-0-4101081-03</v>
      </c>
      <c r="C145" s="218" t="s">
        <v>167</v>
      </c>
      <c r="D145" s="219" t="s">
        <v>171</v>
      </c>
      <c r="E145" s="219" t="s">
        <v>172</v>
      </c>
      <c r="F145" s="219" t="s">
        <v>173</v>
      </c>
      <c r="G145" s="219" t="s">
        <v>175</v>
      </c>
      <c r="H145" s="219" t="s">
        <v>187</v>
      </c>
      <c r="I145" s="225" t="s">
        <v>65</v>
      </c>
      <c r="J145" s="219"/>
      <c r="K145" s="220" t="s">
        <v>144</v>
      </c>
      <c r="L145" s="221" t="s">
        <v>29</v>
      </c>
      <c r="M145" s="259" t="s">
        <v>127</v>
      </c>
      <c r="N145" s="222">
        <v>0</v>
      </c>
      <c r="O145" s="222"/>
      <c r="P145" s="222"/>
      <c r="Q145" s="222"/>
      <c r="R145" s="222"/>
      <c r="S145" s="222"/>
      <c r="T145" s="222">
        <f>+N145-S145+O145-P145+Q145-R145</f>
        <v>0</v>
      </c>
      <c r="U145" s="222">
        <v>0</v>
      </c>
      <c r="V145" s="222">
        <f t="shared" si="108"/>
        <v>0</v>
      </c>
      <c r="W145" s="224">
        <f t="shared" si="65"/>
        <v>0</v>
      </c>
      <c r="X145" s="222">
        <v>0</v>
      </c>
      <c r="Y145" s="222">
        <f t="shared" si="117"/>
        <v>0</v>
      </c>
      <c r="Z145" s="224">
        <f t="shared" si="80"/>
        <v>0</v>
      </c>
      <c r="AA145" s="222">
        <v>0</v>
      </c>
      <c r="AB145" s="222">
        <f t="shared" si="109"/>
        <v>0</v>
      </c>
      <c r="AC145" s="224">
        <f t="shared" si="63"/>
        <v>0</v>
      </c>
    </row>
    <row r="146" spans="1:52" ht="35.1" customHeight="1">
      <c r="A146" s="32" t="str">
        <f t="shared" si="60"/>
        <v>C-4103=</v>
      </c>
      <c r="B146" s="188" t="str">
        <f>CONCATENATE(C146,"-",D146)</f>
        <v>C-4103</v>
      </c>
      <c r="C146" s="189" t="s">
        <v>167</v>
      </c>
      <c r="D146" s="191">
        <v>4103</v>
      </c>
      <c r="E146" s="191"/>
      <c r="F146" s="191"/>
      <c r="G146" s="191"/>
      <c r="H146" s="191"/>
      <c r="I146" s="191"/>
      <c r="J146" s="191"/>
      <c r="K146" s="192"/>
      <c r="L146" s="193"/>
      <c r="M146" s="188" t="s">
        <v>189</v>
      </c>
      <c r="N146" s="194">
        <f>+N147</f>
        <v>6217033510554</v>
      </c>
      <c r="O146" s="194">
        <f t="shared" ref="O146:V146" si="136">+O147</f>
        <v>0</v>
      </c>
      <c r="P146" s="194">
        <f t="shared" si="136"/>
        <v>0</v>
      </c>
      <c r="Q146" s="194">
        <f t="shared" si="136"/>
        <v>76251228709.320007</v>
      </c>
      <c r="R146" s="194">
        <f t="shared" si="136"/>
        <v>76251228709.320007</v>
      </c>
      <c r="S146" s="194">
        <f t="shared" si="136"/>
        <v>324000000000</v>
      </c>
      <c r="T146" s="194">
        <f t="shared" si="136"/>
        <v>5893033510554</v>
      </c>
      <c r="U146" s="194">
        <f t="shared" si="136"/>
        <v>1757111127438.0601</v>
      </c>
      <c r="V146" s="194">
        <f t="shared" si="136"/>
        <v>4135922383115.9404</v>
      </c>
      <c r="W146" s="195">
        <f t="shared" si="65"/>
        <v>0.29816750987266577</v>
      </c>
      <c r="X146" s="194">
        <f t="shared" ref="X146:Y146" si="137">+X147</f>
        <v>1385301466013.4602</v>
      </c>
      <c r="Y146" s="194">
        <f t="shared" si="137"/>
        <v>371809661424.60004</v>
      </c>
      <c r="Z146" s="195">
        <f t="shared" si="80"/>
        <v>0.21160281533628084</v>
      </c>
      <c r="AA146" s="194">
        <f t="shared" ref="AA146:AB146" si="138">+AA147</f>
        <v>1262423793554.8</v>
      </c>
      <c r="AB146" s="194">
        <f t="shared" si="138"/>
        <v>122877672458.66</v>
      </c>
      <c r="AC146" s="195">
        <f t="shared" si="63"/>
        <v>0.71846553916909373</v>
      </c>
    </row>
    <row r="147" spans="1:52" ht="24.95" customHeight="1">
      <c r="A147" s="32" t="str">
        <f t="shared" ref="A147:A210" si="139">+CONCATENATE(B147,"=",K147)</f>
        <v>C-4103-1500=</v>
      </c>
      <c r="B147" s="196" t="str">
        <f>CONCATENATE(C147,"-",D147,"-",E147)</f>
        <v>C-4103-1500</v>
      </c>
      <c r="C147" s="197" t="s">
        <v>167</v>
      </c>
      <c r="D147" s="198">
        <v>4103</v>
      </c>
      <c r="E147" s="198">
        <v>1500</v>
      </c>
      <c r="F147" s="198"/>
      <c r="G147" s="198"/>
      <c r="H147" s="198"/>
      <c r="I147" s="198"/>
      <c r="J147" s="198"/>
      <c r="K147" s="199"/>
      <c r="L147" s="200"/>
      <c r="M147" s="196" t="s">
        <v>170</v>
      </c>
      <c r="N147" s="201">
        <f t="shared" ref="N147:V147" si="140">+N148+N157+N166+N174+N179+N188+N191+N198+N202+N231+N214</f>
        <v>6217033510554</v>
      </c>
      <c r="O147" s="201">
        <f t="shared" si="140"/>
        <v>0</v>
      </c>
      <c r="P147" s="201">
        <f t="shared" si="140"/>
        <v>0</v>
      </c>
      <c r="Q147" s="201">
        <f t="shared" si="140"/>
        <v>76251228709.320007</v>
      </c>
      <c r="R147" s="201">
        <f t="shared" si="140"/>
        <v>76251228709.320007</v>
      </c>
      <c r="S147" s="201">
        <f t="shared" si="140"/>
        <v>324000000000</v>
      </c>
      <c r="T147" s="201">
        <f t="shared" si="140"/>
        <v>5893033510554</v>
      </c>
      <c r="U147" s="201">
        <f t="shared" si="140"/>
        <v>1757111127438.0601</v>
      </c>
      <c r="V147" s="201">
        <f t="shared" si="140"/>
        <v>4135922383115.9404</v>
      </c>
      <c r="W147" s="202">
        <f t="shared" si="65"/>
        <v>0.29816750987266577</v>
      </c>
      <c r="X147" s="201">
        <f>+X148+X157+X166+X174+X179+X188+X191+X198+X202+X231+X214</f>
        <v>1385301466013.4602</v>
      </c>
      <c r="Y147" s="201">
        <f>+Y148+Y157+Y166+Y174+Y179+Y188+Y191+Y198+Y202+Y231+Y214</f>
        <v>371809661424.60004</v>
      </c>
      <c r="Z147" s="202">
        <f t="shared" si="80"/>
        <v>0.21160281533628084</v>
      </c>
      <c r="AA147" s="201">
        <f>+AA148+AA157+AA166+AA174+AA179+AA188+AA191+AA198+AA202+AA231+AA214</f>
        <v>1262423793554.8</v>
      </c>
      <c r="AB147" s="201">
        <f>+AB148+AB157+AB166+AB174+AB179+AB188+AB191+AB198+AB202+AB231+AB214</f>
        <v>122877672458.66</v>
      </c>
      <c r="AC147" s="202">
        <f t="shared" ref="AC147:AC210" si="141">+IF(U147&gt;0,(AA147/U147),0)</f>
        <v>0.71846553916909373</v>
      </c>
    </row>
    <row r="148" spans="1:52" ht="37.5" customHeight="1">
      <c r="A148" s="32" t="str">
        <f t="shared" si="139"/>
        <v>C-4103-1500-12=</v>
      </c>
      <c r="B148" s="203" t="str">
        <f>CONCATENATE(C148,"-",D148,"-",E148,"-",F148)</f>
        <v>C-4103-1500-12</v>
      </c>
      <c r="C148" s="227" t="s">
        <v>167</v>
      </c>
      <c r="D148" s="228" t="s">
        <v>190</v>
      </c>
      <c r="E148" s="228" t="s">
        <v>172</v>
      </c>
      <c r="F148" s="228" t="s">
        <v>191</v>
      </c>
      <c r="G148" s="228"/>
      <c r="H148" s="228"/>
      <c r="I148" s="228"/>
      <c r="J148" s="228"/>
      <c r="K148" s="229"/>
      <c r="L148" s="230"/>
      <c r="M148" s="231" t="s">
        <v>280</v>
      </c>
      <c r="N148" s="232">
        <f>+N149+N154</f>
        <v>2404147573733</v>
      </c>
      <c r="O148" s="232">
        <f t="shared" ref="O148:V148" si="142">+O149+O154</f>
        <v>0</v>
      </c>
      <c r="P148" s="232">
        <f t="shared" si="142"/>
        <v>0</v>
      </c>
      <c r="Q148" s="232">
        <f t="shared" si="142"/>
        <v>15022347665.059999</v>
      </c>
      <c r="R148" s="232">
        <f t="shared" si="142"/>
        <v>15022347665.059999</v>
      </c>
      <c r="S148" s="232">
        <f t="shared" si="142"/>
        <v>0</v>
      </c>
      <c r="T148" s="232">
        <f t="shared" si="142"/>
        <v>2404147573733.0005</v>
      </c>
      <c r="U148" s="232">
        <f t="shared" si="142"/>
        <v>605968345870.12</v>
      </c>
      <c r="V148" s="232">
        <f t="shared" si="142"/>
        <v>1798179227862.8804</v>
      </c>
      <c r="W148" s="233">
        <f t="shared" si="65"/>
        <v>0.2520512270090029</v>
      </c>
      <c r="X148" s="232">
        <f t="shared" ref="X148:Y148" si="143">+X149+X154</f>
        <v>549494828603.31</v>
      </c>
      <c r="Y148" s="232">
        <f t="shared" si="143"/>
        <v>56473517266.809998</v>
      </c>
      <c r="Z148" s="233">
        <f t="shared" si="80"/>
        <v>9.3195490575862905E-2</v>
      </c>
      <c r="AA148" s="232">
        <f t="shared" ref="AA148:AB148" si="144">+AA149+AA154</f>
        <v>434036528597.31</v>
      </c>
      <c r="AB148" s="232">
        <f t="shared" si="144"/>
        <v>115458300006</v>
      </c>
      <c r="AC148" s="233">
        <f t="shared" si="141"/>
        <v>0.71626930937138267</v>
      </c>
    </row>
    <row r="149" spans="1:52" ht="31.5" customHeight="1">
      <c r="A149" s="32" t="str">
        <f t="shared" si="139"/>
        <v>C-4103-1500-12-0-4103006=</v>
      </c>
      <c r="B149" s="210" t="str">
        <f>CONCATENATE(C149,"-",D149,"-",E149,"-",F149,"-",G149,"-",H149)</f>
        <v>C-4103-1500-12-0-4103006</v>
      </c>
      <c r="C149" s="211" t="s">
        <v>167</v>
      </c>
      <c r="D149" s="212" t="s">
        <v>190</v>
      </c>
      <c r="E149" s="212" t="s">
        <v>172</v>
      </c>
      <c r="F149" s="212" t="s">
        <v>191</v>
      </c>
      <c r="G149" s="212" t="s">
        <v>175</v>
      </c>
      <c r="H149" s="212" t="s">
        <v>193</v>
      </c>
      <c r="I149" s="212"/>
      <c r="J149" s="212"/>
      <c r="K149" s="213"/>
      <c r="L149" s="214"/>
      <c r="M149" s="210" t="s">
        <v>194</v>
      </c>
      <c r="N149" s="215">
        <f t="shared" ref="N149" si="145">SUM(N150:N153)</f>
        <v>2398883573733</v>
      </c>
      <c r="O149" s="215">
        <f t="shared" ref="O149:V149" si="146">SUM(O150:O153)</f>
        <v>0</v>
      </c>
      <c r="P149" s="215">
        <f t="shared" si="146"/>
        <v>0</v>
      </c>
      <c r="Q149" s="215">
        <f t="shared" si="146"/>
        <v>15022347665.059999</v>
      </c>
      <c r="R149" s="215">
        <f t="shared" si="146"/>
        <v>14893379616.059999</v>
      </c>
      <c r="S149" s="215">
        <f t="shared" si="146"/>
        <v>0</v>
      </c>
      <c r="T149" s="215">
        <f t="shared" si="146"/>
        <v>2399012541782.0005</v>
      </c>
      <c r="U149" s="215">
        <f t="shared" si="146"/>
        <v>600833313919.12</v>
      </c>
      <c r="V149" s="215">
        <f t="shared" si="146"/>
        <v>1798179227862.8804</v>
      </c>
      <c r="W149" s="216">
        <f t="shared" si="65"/>
        <v>0.25045025961924211</v>
      </c>
      <c r="X149" s="215">
        <f t="shared" ref="X149:Y149" si="147">SUM(X150:X153)</f>
        <v>549494828603.31</v>
      </c>
      <c r="Y149" s="215">
        <f t="shared" si="147"/>
        <v>51338485315.809998</v>
      </c>
      <c r="Z149" s="216">
        <f t="shared" si="80"/>
        <v>8.5445470692926365E-2</v>
      </c>
      <c r="AA149" s="215">
        <f t="shared" ref="AA149:AB149" si="148">SUM(AA150:AA153)</f>
        <v>434036528597.31</v>
      </c>
      <c r="AB149" s="215">
        <f t="shared" si="148"/>
        <v>115458300006</v>
      </c>
      <c r="AC149" s="216">
        <f t="shared" si="141"/>
        <v>0.72239091698523394</v>
      </c>
    </row>
    <row r="150" spans="1:52" s="64" customFormat="1" ht="24.95" customHeight="1">
      <c r="A150" s="32" t="str">
        <f t="shared" si="139"/>
        <v>C-4103-1500-12-0-4103006-02=10</v>
      </c>
      <c r="B150" s="217" t="str">
        <f>CONCATENATE(C150,"-",D150,"-",E150,"-",F150,"-",G150,"-",H150,"-",I150)</f>
        <v>C-4103-1500-12-0-4103006-02</v>
      </c>
      <c r="C150" s="266" t="s">
        <v>167</v>
      </c>
      <c r="D150" s="267" t="s">
        <v>190</v>
      </c>
      <c r="E150" s="267" t="s">
        <v>172</v>
      </c>
      <c r="F150" s="267" t="s">
        <v>191</v>
      </c>
      <c r="G150" s="267" t="s">
        <v>175</v>
      </c>
      <c r="H150" s="267" t="s">
        <v>193</v>
      </c>
      <c r="I150" s="267" t="s">
        <v>54</v>
      </c>
      <c r="J150" s="219"/>
      <c r="K150" s="220">
        <v>10</v>
      </c>
      <c r="L150" s="221" t="s">
        <v>29</v>
      </c>
      <c r="M150" s="259" t="s">
        <v>178</v>
      </c>
      <c r="N150" s="222">
        <v>0</v>
      </c>
      <c r="O150" s="637"/>
      <c r="P150" s="638"/>
      <c r="Q150" s="223"/>
      <c r="R150" s="223"/>
      <c r="S150" s="223"/>
      <c r="T150" s="222">
        <f>+N150-S150+O150-P150+Q150-R150</f>
        <v>0</v>
      </c>
      <c r="U150" s="222">
        <v>0</v>
      </c>
      <c r="V150" s="222">
        <f>+T150-U150</f>
        <v>0</v>
      </c>
      <c r="W150" s="224">
        <f t="shared" si="65"/>
        <v>0</v>
      </c>
      <c r="X150" s="222">
        <v>0</v>
      </c>
      <c r="Y150" s="222">
        <f>+U150-X150</f>
        <v>0</v>
      </c>
      <c r="Z150" s="224">
        <f t="shared" si="80"/>
        <v>0</v>
      </c>
      <c r="AA150" s="222">
        <v>0</v>
      </c>
      <c r="AB150" s="222">
        <f>+X150-AA150</f>
        <v>0</v>
      </c>
      <c r="AC150" s="224">
        <f t="shared" si="141"/>
        <v>0</v>
      </c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</row>
    <row r="151" spans="1:52" s="64" customFormat="1" ht="24.95" customHeight="1">
      <c r="A151" s="32" t="str">
        <f t="shared" si="139"/>
        <v>C-4103-1500-12-0-4103006-02=11</v>
      </c>
      <c r="B151" s="217" t="str">
        <f>CONCATENATE(C151,"-",D151,"-",E151,"-",F151,"-",G151,"-",H151,"-",I151)</f>
        <v>C-4103-1500-12-0-4103006-02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 t="s">
        <v>193</v>
      </c>
      <c r="I151" s="267" t="s">
        <v>54</v>
      </c>
      <c r="J151" s="219"/>
      <c r="K151" s="220">
        <v>11</v>
      </c>
      <c r="L151" s="221" t="s">
        <v>29</v>
      </c>
      <c r="M151" s="259" t="s">
        <v>178</v>
      </c>
      <c r="N151" s="223">
        <v>137428156966</v>
      </c>
      <c r="O151" s="637"/>
      <c r="P151" s="638"/>
      <c r="Q151" s="222">
        <f>715716082+3426736692.09+272086+649172244</f>
        <v>4791897104.0900002</v>
      </c>
      <c r="R151" s="222">
        <f>10101482511.97</f>
        <v>10101482511.969999</v>
      </c>
      <c r="S151" s="223"/>
      <c r="T151" s="222">
        <f>+N151-S151+O151-P151+Q151-R151</f>
        <v>132118571558.12</v>
      </c>
      <c r="U151" s="222">
        <v>67283392471.120003</v>
      </c>
      <c r="V151" s="222">
        <f>+T151-U151</f>
        <v>64835179086.999992</v>
      </c>
      <c r="W151" s="224">
        <f t="shared" si="65"/>
        <v>0.50926521288887472</v>
      </c>
      <c r="X151" s="222">
        <v>18565707155.310001</v>
      </c>
      <c r="Y151" s="222">
        <f>+U151-X151</f>
        <v>48717685315.809998</v>
      </c>
      <c r="Z151" s="224">
        <f t="shared" si="80"/>
        <v>0.72406701752919267</v>
      </c>
      <c r="AA151" s="222">
        <v>18387832947.310001</v>
      </c>
      <c r="AB151" s="222">
        <f>+X151-AA151</f>
        <v>177874208</v>
      </c>
      <c r="AC151" s="224">
        <f t="shared" si="141"/>
        <v>0.27328932552267776</v>
      </c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</row>
    <row r="152" spans="1:52" ht="24.95" customHeight="1">
      <c r="A152" s="32" t="str">
        <f t="shared" si="139"/>
        <v>C-4103-1500-12-0-4103006-03=10</v>
      </c>
      <c r="B152" s="217" t="str">
        <f>CONCATENATE(C152,"-",D152,"-",E152,"-",F152,"-",G152,"-",H152,"-",I152)</f>
        <v>C-4103-1500-12-0-4103006-03</v>
      </c>
      <c r="C152" s="266" t="s">
        <v>167</v>
      </c>
      <c r="D152" s="267" t="s">
        <v>190</v>
      </c>
      <c r="E152" s="267" t="s">
        <v>172</v>
      </c>
      <c r="F152" s="267" t="s">
        <v>191</v>
      </c>
      <c r="G152" s="267" t="s">
        <v>175</v>
      </c>
      <c r="H152" s="267" t="s">
        <v>193</v>
      </c>
      <c r="I152" s="267" t="s">
        <v>65</v>
      </c>
      <c r="J152" s="219"/>
      <c r="K152" s="220">
        <v>10</v>
      </c>
      <c r="L152" s="221" t="s">
        <v>29</v>
      </c>
      <c r="M152" s="259" t="s">
        <v>127</v>
      </c>
      <c r="N152" s="222">
        <v>0</v>
      </c>
      <c r="O152" s="637"/>
      <c r="P152" s="638"/>
      <c r="Q152" s="223"/>
      <c r="R152" s="223"/>
      <c r="S152" s="223"/>
      <c r="T152" s="222">
        <f>+N152-S152+O152-P152+Q152-R152</f>
        <v>0</v>
      </c>
      <c r="U152" s="222">
        <v>0</v>
      </c>
      <c r="V152" s="222">
        <f>+T152-U152</f>
        <v>0</v>
      </c>
      <c r="W152" s="224">
        <f t="shared" si="65"/>
        <v>0</v>
      </c>
      <c r="X152" s="222">
        <v>0</v>
      </c>
      <c r="Y152" s="222">
        <f>+U152-X152</f>
        <v>0</v>
      </c>
      <c r="Z152" s="224">
        <f t="shared" si="80"/>
        <v>0</v>
      </c>
      <c r="AA152" s="222">
        <v>0</v>
      </c>
      <c r="AB152" s="222">
        <f t="shared" ref="AB152:AB153" si="149">+X152-AA152</f>
        <v>0</v>
      </c>
      <c r="AC152" s="224">
        <f t="shared" si="141"/>
        <v>0</v>
      </c>
    </row>
    <row r="153" spans="1:52" ht="24.95" customHeight="1">
      <c r="A153" s="32" t="str">
        <f t="shared" si="139"/>
        <v>C-4103-1500-12-0-4103006-03=11</v>
      </c>
      <c r="B153" s="217" t="str">
        <f>CONCATENATE(C153,"-",D153,"-",E153,"-",F153,"-",G153,"-",H153,"-",I153)</f>
        <v>C-4103-1500-12-0-4103006-03</v>
      </c>
      <c r="C153" s="266" t="s">
        <v>167</v>
      </c>
      <c r="D153" s="267" t="s">
        <v>190</v>
      </c>
      <c r="E153" s="267" t="s">
        <v>172</v>
      </c>
      <c r="F153" s="267" t="s">
        <v>191</v>
      </c>
      <c r="G153" s="267" t="s">
        <v>175</v>
      </c>
      <c r="H153" s="267" t="s">
        <v>193</v>
      </c>
      <c r="I153" s="267" t="s">
        <v>65</v>
      </c>
      <c r="J153" s="267"/>
      <c r="K153" s="268" t="s">
        <v>144</v>
      </c>
      <c r="L153" s="269" t="s">
        <v>29</v>
      </c>
      <c r="M153" s="259" t="s">
        <v>127</v>
      </c>
      <c r="N153" s="223">
        <v>2261455416767</v>
      </c>
      <c r="O153" s="223"/>
      <c r="P153" s="638"/>
      <c r="Q153" s="222">
        <f>10230450560.97</f>
        <v>10230450560.969999</v>
      </c>
      <c r="R153" s="222">
        <f>715716082+3426736692.09+272086+649172244</f>
        <v>4791897104.0900002</v>
      </c>
      <c r="S153" s="638"/>
      <c r="T153" s="222">
        <f>+N153-S153+O153-P153+Q153-R153</f>
        <v>2266893970223.8804</v>
      </c>
      <c r="U153" s="222">
        <v>533549921448</v>
      </c>
      <c r="V153" s="222">
        <f>+T153-U153</f>
        <v>1733344048775.8804</v>
      </c>
      <c r="W153" s="224">
        <f t="shared" si="65"/>
        <v>0.23536606848678773</v>
      </c>
      <c r="X153" s="222">
        <v>530929121448</v>
      </c>
      <c r="Y153" s="222">
        <f>+U153-X153</f>
        <v>2620800000</v>
      </c>
      <c r="Z153" s="224">
        <f t="shared" si="80"/>
        <v>4.9120052213435178E-3</v>
      </c>
      <c r="AA153" s="222">
        <v>415648695650</v>
      </c>
      <c r="AB153" s="222">
        <f t="shared" si="149"/>
        <v>115280425798</v>
      </c>
      <c r="AC153" s="224">
        <f t="shared" si="141"/>
        <v>0.77902494020048185</v>
      </c>
    </row>
    <row r="154" spans="1:52" ht="33" customHeight="1">
      <c r="A154" s="32" t="str">
        <f t="shared" si="139"/>
        <v>C-4103-1500-12-0-4103009=10</v>
      </c>
      <c r="B154" s="210" t="str">
        <f>CONCATENATE(C154,"-",D154,"-",E154,"-",F154,"-",G154,"-",H154)</f>
        <v>C-4103-1500-12-0-4103009</v>
      </c>
      <c r="C154" s="211" t="s">
        <v>167</v>
      </c>
      <c r="D154" s="212" t="s">
        <v>190</v>
      </c>
      <c r="E154" s="212" t="s">
        <v>172</v>
      </c>
      <c r="F154" s="212" t="s">
        <v>191</v>
      </c>
      <c r="G154" s="212" t="s">
        <v>175</v>
      </c>
      <c r="H154" s="212">
        <v>4103009</v>
      </c>
      <c r="I154" s="212"/>
      <c r="J154" s="212"/>
      <c r="K154" s="252">
        <v>10</v>
      </c>
      <c r="L154" s="214" t="s">
        <v>29</v>
      </c>
      <c r="M154" s="210" t="s">
        <v>195</v>
      </c>
      <c r="N154" s="215">
        <f>+N156</f>
        <v>5264000000</v>
      </c>
      <c r="O154" s="215">
        <f>+O156</f>
        <v>0</v>
      </c>
      <c r="P154" s="215">
        <f t="shared" ref="P154:AB154" si="150">+P156</f>
        <v>0</v>
      </c>
      <c r="Q154" s="215">
        <f t="shared" si="150"/>
        <v>0</v>
      </c>
      <c r="R154" s="215">
        <f t="shared" si="150"/>
        <v>128968049</v>
      </c>
      <c r="S154" s="215">
        <f t="shared" si="150"/>
        <v>0</v>
      </c>
      <c r="T154" s="215">
        <f t="shared" si="150"/>
        <v>5135031951</v>
      </c>
      <c r="U154" s="215">
        <f t="shared" si="150"/>
        <v>5135031951</v>
      </c>
      <c r="V154" s="215">
        <f t="shared" si="150"/>
        <v>0</v>
      </c>
      <c r="W154" s="216">
        <f t="shared" ref="W154:W242" si="151">+IF(T154&gt;0,U154/T154,0)</f>
        <v>1</v>
      </c>
      <c r="X154" s="215">
        <f t="shared" si="150"/>
        <v>0</v>
      </c>
      <c r="Y154" s="215">
        <f t="shared" si="150"/>
        <v>5135031951</v>
      </c>
      <c r="Z154" s="216">
        <f t="shared" si="80"/>
        <v>1</v>
      </c>
      <c r="AA154" s="215">
        <f t="shared" si="150"/>
        <v>0</v>
      </c>
      <c r="AB154" s="215">
        <f t="shared" si="150"/>
        <v>0</v>
      </c>
      <c r="AC154" s="216">
        <f t="shared" si="141"/>
        <v>0</v>
      </c>
    </row>
    <row r="155" spans="1:52" ht="24.95" customHeight="1">
      <c r="A155" s="32" t="str">
        <f t="shared" si="139"/>
        <v>C-4103-1500-12-0-4103009-02=10</v>
      </c>
      <c r="B155" s="217" t="str">
        <f>CONCATENATE(C155,"-",D155,"-",E155,"-",F155,"-",G155,"-",H155,"-",I155)</f>
        <v>C-4103-1500-12-0-4103009-02</v>
      </c>
      <c r="C155" s="266" t="s">
        <v>167</v>
      </c>
      <c r="D155" s="267" t="s">
        <v>190</v>
      </c>
      <c r="E155" s="267" t="s">
        <v>172</v>
      </c>
      <c r="F155" s="267" t="s">
        <v>191</v>
      </c>
      <c r="G155" s="267" t="s">
        <v>175</v>
      </c>
      <c r="H155" s="267">
        <v>4103009</v>
      </c>
      <c r="I155" s="267" t="s">
        <v>54</v>
      </c>
      <c r="J155" s="219"/>
      <c r="K155" s="270">
        <v>10</v>
      </c>
      <c r="L155" s="221" t="s">
        <v>29</v>
      </c>
      <c r="M155" s="259" t="s">
        <v>178</v>
      </c>
      <c r="N155" s="222">
        <v>0</v>
      </c>
      <c r="O155" s="222"/>
      <c r="P155" s="636"/>
      <c r="Q155" s="222"/>
      <c r="R155" s="223"/>
      <c r="S155" s="222"/>
      <c r="T155" s="222">
        <f>+N155-S155+O155-P155+Q155-R155</f>
        <v>0</v>
      </c>
      <c r="U155" s="222">
        <v>0</v>
      </c>
      <c r="V155" s="222">
        <f>+T155-U155</f>
        <v>0</v>
      </c>
      <c r="W155" s="224">
        <f t="shared" si="151"/>
        <v>0</v>
      </c>
      <c r="X155" s="222">
        <v>0</v>
      </c>
      <c r="Y155" s="222">
        <f>+U155-X155</f>
        <v>0</v>
      </c>
      <c r="Z155" s="224">
        <f t="shared" si="80"/>
        <v>0</v>
      </c>
      <c r="AA155" s="222">
        <v>0</v>
      </c>
      <c r="AB155" s="222">
        <f t="shared" ref="AB155:AB156" si="152">+X155-AA155</f>
        <v>0</v>
      </c>
      <c r="AC155" s="224">
        <f t="shared" si="141"/>
        <v>0</v>
      </c>
    </row>
    <row r="156" spans="1:52" ht="24.95" customHeight="1">
      <c r="A156" s="32" t="str">
        <f t="shared" si="139"/>
        <v>C-4103-1500-12-0-4103009-02=11</v>
      </c>
      <c r="B156" s="217" t="str">
        <f>CONCATENATE(C156,"-",D156,"-",E156,"-",F156,"-",G156,"-",H156,"-",I156)</f>
        <v>C-4103-1500-12-0-4103009-02</v>
      </c>
      <c r="C156" s="266" t="s">
        <v>167</v>
      </c>
      <c r="D156" s="267" t="s">
        <v>190</v>
      </c>
      <c r="E156" s="267" t="s">
        <v>172</v>
      </c>
      <c r="F156" s="267" t="s">
        <v>191</v>
      </c>
      <c r="G156" s="267" t="s">
        <v>175</v>
      </c>
      <c r="H156" s="267">
        <v>4103009</v>
      </c>
      <c r="I156" s="267" t="s">
        <v>54</v>
      </c>
      <c r="J156" s="219"/>
      <c r="K156" s="270">
        <v>11</v>
      </c>
      <c r="L156" s="221" t="s">
        <v>29</v>
      </c>
      <c r="M156" s="259" t="s">
        <v>178</v>
      </c>
      <c r="N156" s="222">
        <v>5264000000</v>
      </c>
      <c r="O156" s="222"/>
      <c r="P156" s="636"/>
      <c r="Q156" s="222"/>
      <c r="R156" s="222">
        <f>128968049</f>
        <v>128968049</v>
      </c>
      <c r="S156" s="222"/>
      <c r="T156" s="222">
        <f>+N156-S156+O156-P156+Q156-R156</f>
        <v>5135031951</v>
      </c>
      <c r="U156" s="222">
        <v>5135031951</v>
      </c>
      <c r="V156" s="222">
        <f>+T156-U156</f>
        <v>0</v>
      </c>
      <c r="W156" s="224">
        <f t="shared" si="151"/>
        <v>1</v>
      </c>
      <c r="X156" s="222">
        <v>0</v>
      </c>
      <c r="Y156" s="222">
        <f>+U156-X156</f>
        <v>5135031951</v>
      </c>
      <c r="Z156" s="224">
        <f t="shared" si="80"/>
        <v>1</v>
      </c>
      <c r="AA156" s="222">
        <v>0</v>
      </c>
      <c r="AB156" s="222">
        <f t="shared" si="152"/>
        <v>0</v>
      </c>
      <c r="AC156" s="224">
        <f t="shared" si="141"/>
        <v>0</v>
      </c>
    </row>
    <row r="157" spans="1:52" s="64" customFormat="1" ht="36" customHeight="1">
      <c r="A157" s="32" t="str">
        <f t="shared" si="139"/>
        <v>C-4103-1500-13=</v>
      </c>
      <c r="B157" s="226" t="str">
        <f>CONCATENATE(C157,"-",D157,"-",E157,"-",F157)</f>
        <v>C-4103-1500-13</v>
      </c>
      <c r="C157" s="227" t="s">
        <v>167</v>
      </c>
      <c r="D157" s="228" t="s">
        <v>190</v>
      </c>
      <c r="E157" s="228" t="s">
        <v>172</v>
      </c>
      <c r="F157" s="228" t="s">
        <v>22</v>
      </c>
      <c r="G157" s="228"/>
      <c r="H157" s="228"/>
      <c r="I157" s="228"/>
      <c r="J157" s="228"/>
      <c r="K157" s="229"/>
      <c r="L157" s="230"/>
      <c r="M157" s="231" t="s">
        <v>264</v>
      </c>
      <c r="N157" s="232">
        <f>+N158+N160+N162+N164</f>
        <v>26000000000</v>
      </c>
      <c r="O157" s="232">
        <f t="shared" ref="O157:AB157" si="153">+O158+O160+O162+O164</f>
        <v>0</v>
      </c>
      <c r="P157" s="232">
        <f t="shared" si="153"/>
        <v>0</v>
      </c>
      <c r="Q157" s="232">
        <f t="shared" si="153"/>
        <v>0</v>
      </c>
      <c r="R157" s="232">
        <f t="shared" si="153"/>
        <v>0</v>
      </c>
      <c r="S157" s="232">
        <f t="shared" si="153"/>
        <v>0</v>
      </c>
      <c r="T157" s="232">
        <f t="shared" si="153"/>
        <v>26000000000</v>
      </c>
      <c r="U157" s="232">
        <f t="shared" si="153"/>
        <v>1652076907</v>
      </c>
      <c r="V157" s="232">
        <f t="shared" si="153"/>
        <v>24347923093</v>
      </c>
      <c r="W157" s="233">
        <f t="shared" si="151"/>
        <v>6.3541419500000001E-2</v>
      </c>
      <c r="X157" s="232">
        <f t="shared" si="153"/>
        <v>354779895</v>
      </c>
      <c r="Y157" s="232">
        <f t="shared" si="153"/>
        <v>1297297012</v>
      </c>
      <c r="Z157" s="233">
        <f t="shared" ref="Z157:Z224" si="154">+IF(U157&gt;0,Y157/U157,0)</f>
        <v>0.78525219165235871</v>
      </c>
      <c r="AA157" s="232">
        <f t="shared" si="153"/>
        <v>334453082</v>
      </c>
      <c r="AB157" s="232">
        <f t="shared" si="153"/>
        <v>20326813</v>
      </c>
      <c r="AC157" s="233">
        <f t="shared" si="141"/>
        <v>0.20244401491413136</v>
      </c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</row>
    <row r="158" spans="1:52" ht="32.25" customHeight="1">
      <c r="A158" s="32" t="str">
        <f t="shared" si="139"/>
        <v>C-4103-1500-13-0-4103051=11</v>
      </c>
      <c r="B158" s="210" t="str">
        <f>CONCATENATE(C158,"-",D158,"-",E158,"-",F158,"-",G158,"-",H158)</f>
        <v>C-4103-1500-13-0-4103051</v>
      </c>
      <c r="C158" s="211" t="s">
        <v>167</v>
      </c>
      <c r="D158" s="212" t="s">
        <v>190</v>
      </c>
      <c r="E158" s="212" t="s">
        <v>172</v>
      </c>
      <c r="F158" s="212" t="s">
        <v>22</v>
      </c>
      <c r="G158" s="212" t="s">
        <v>175</v>
      </c>
      <c r="H158" s="212" t="s">
        <v>197</v>
      </c>
      <c r="I158" s="212"/>
      <c r="J158" s="212"/>
      <c r="K158" s="213">
        <v>11</v>
      </c>
      <c r="L158" s="214" t="s">
        <v>29</v>
      </c>
      <c r="M158" s="210" t="s">
        <v>198</v>
      </c>
      <c r="N158" s="215">
        <f>+N159</f>
        <v>2722234333</v>
      </c>
      <c r="O158" s="215">
        <f t="shared" ref="O158:AB158" si="155">+O159</f>
        <v>0</v>
      </c>
      <c r="P158" s="215">
        <f t="shared" si="155"/>
        <v>0</v>
      </c>
      <c r="Q158" s="215">
        <f t="shared" si="155"/>
        <v>0</v>
      </c>
      <c r="R158" s="215">
        <f t="shared" si="155"/>
        <v>0</v>
      </c>
      <c r="S158" s="215">
        <f t="shared" si="155"/>
        <v>0</v>
      </c>
      <c r="T158" s="215">
        <f t="shared" si="155"/>
        <v>2722234333</v>
      </c>
      <c r="U158" s="215">
        <f t="shared" si="155"/>
        <v>0</v>
      </c>
      <c r="V158" s="215">
        <f t="shared" si="155"/>
        <v>2722234333</v>
      </c>
      <c r="W158" s="216">
        <f t="shared" si="151"/>
        <v>0</v>
      </c>
      <c r="X158" s="215">
        <f t="shared" si="155"/>
        <v>0</v>
      </c>
      <c r="Y158" s="215">
        <f t="shared" si="155"/>
        <v>0</v>
      </c>
      <c r="Z158" s="216">
        <f t="shared" si="154"/>
        <v>0</v>
      </c>
      <c r="AA158" s="215">
        <f t="shared" si="155"/>
        <v>0</v>
      </c>
      <c r="AB158" s="215">
        <f t="shared" si="155"/>
        <v>0</v>
      </c>
      <c r="AC158" s="216">
        <f t="shared" si="141"/>
        <v>0</v>
      </c>
    </row>
    <row r="159" spans="1:52" ht="24.95" customHeight="1">
      <c r="A159" s="32" t="str">
        <f t="shared" si="139"/>
        <v>C-4103-1500-13-0-4103051-02=11</v>
      </c>
      <c r="B159" s="217" t="str">
        <f>CONCATENATE(C159,"-",D159,"-",E159,"-",F159,"-",G159,"-",H159,"-",I159)</f>
        <v>C-4103-1500-13-0-4103051-02</v>
      </c>
      <c r="C159" s="218" t="s">
        <v>167</v>
      </c>
      <c r="D159" s="219" t="s">
        <v>190</v>
      </c>
      <c r="E159" s="219" t="s">
        <v>172</v>
      </c>
      <c r="F159" s="219" t="s">
        <v>22</v>
      </c>
      <c r="G159" s="219" t="s">
        <v>175</v>
      </c>
      <c r="H159" s="219" t="s">
        <v>197</v>
      </c>
      <c r="I159" s="219" t="s">
        <v>54</v>
      </c>
      <c r="J159" s="219"/>
      <c r="K159" s="220">
        <v>11</v>
      </c>
      <c r="L159" s="221" t="s">
        <v>29</v>
      </c>
      <c r="M159" s="259" t="s">
        <v>178</v>
      </c>
      <c r="N159" s="222">
        <v>2722234333</v>
      </c>
      <c r="O159" s="222"/>
      <c r="P159" s="222"/>
      <c r="Q159" s="222"/>
      <c r="R159" s="222"/>
      <c r="S159" s="222"/>
      <c r="T159" s="222">
        <f>+N159-S159+O159-P159+Q159-R159</f>
        <v>2722234333</v>
      </c>
      <c r="U159" s="222">
        <v>0</v>
      </c>
      <c r="V159" s="222">
        <f t="shared" si="108"/>
        <v>2722234333</v>
      </c>
      <c r="W159" s="224">
        <f t="shared" si="151"/>
        <v>0</v>
      </c>
      <c r="X159" s="222">
        <v>0</v>
      </c>
      <c r="Y159" s="222">
        <f t="shared" si="117"/>
        <v>0</v>
      </c>
      <c r="Z159" s="224">
        <f t="shared" si="154"/>
        <v>0</v>
      </c>
      <c r="AA159" s="222">
        <v>0</v>
      </c>
      <c r="AB159" s="222">
        <f t="shared" si="109"/>
        <v>0</v>
      </c>
      <c r="AC159" s="224">
        <f t="shared" si="141"/>
        <v>0</v>
      </c>
    </row>
    <row r="160" spans="1:52" ht="32.25" customHeight="1">
      <c r="A160" s="32" t="str">
        <f t="shared" si="139"/>
        <v>C-4103-1500-13-0-4103053=11</v>
      </c>
      <c r="B160" s="210" t="str">
        <f>CONCATENATE(C160,"-",D160,"-",E160,"-",F160,"-",G160,"-",H160)</f>
        <v>C-4103-1500-13-0-4103053</v>
      </c>
      <c r="C160" s="211" t="s">
        <v>167</v>
      </c>
      <c r="D160" s="212" t="s">
        <v>190</v>
      </c>
      <c r="E160" s="212" t="s">
        <v>172</v>
      </c>
      <c r="F160" s="212" t="s">
        <v>22</v>
      </c>
      <c r="G160" s="212" t="s">
        <v>175</v>
      </c>
      <c r="H160" s="212" t="s">
        <v>199</v>
      </c>
      <c r="I160" s="212"/>
      <c r="J160" s="212"/>
      <c r="K160" s="213">
        <v>11</v>
      </c>
      <c r="L160" s="214" t="s">
        <v>29</v>
      </c>
      <c r="M160" s="210" t="s">
        <v>200</v>
      </c>
      <c r="N160" s="215">
        <f>+N161</f>
        <v>2304259288</v>
      </c>
      <c r="O160" s="215">
        <f t="shared" ref="O160:AB160" si="156">+O161</f>
        <v>0</v>
      </c>
      <c r="P160" s="215">
        <f t="shared" si="156"/>
        <v>0</v>
      </c>
      <c r="Q160" s="215">
        <f t="shared" si="156"/>
        <v>0</v>
      </c>
      <c r="R160" s="215">
        <f t="shared" si="156"/>
        <v>0</v>
      </c>
      <c r="S160" s="215">
        <f t="shared" si="156"/>
        <v>0</v>
      </c>
      <c r="T160" s="215">
        <f t="shared" si="156"/>
        <v>2304259288</v>
      </c>
      <c r="U160" s="215">
        <f t="shared" si="156"/>
        <v>0</v>
      </c>
      <c r="V160" s="215">
        <f t="shared" si="156"/>
        <v>2304259288</v>
      </c>
      <c r="W160" s="216">
        <f t="shared" si="151"/>
        <v>0</v>
      </c>
      <c r="X160" s="215">
        <f t="shared" si="156"/>
        <v>0</v>
      </c>
      <c r="Y160" s="215">
        <f t="shared" si="156"/>
        <v>0</v>
      </c>
      <c r="Z160" s="216">
        <f t="shared" si="154"/>
        <v>0</v>
      </c>
      <c r="AA160" s="215">
        <f t="shared" si="156"/>
        <v>0</v>
      </c>
      <c r="AB160" s="215">
        <f t="shared" si="156"/>
        <v>0</v>
      </c>
      <c r="AC160" s="216">
        <f t="shared" si="141"/>
        <v>0</v>
      </c>
    </row>
    <row r="161" spans="1:52" ht="24.95" customHeight="1">
      <c r="A161" s="32" t="str">
        <f t="shared" si="139"/>
        <v>C-4103-1500-13-0-4103053-02=11</v>
      </c>
      <c r="B161" s="217" t="str">
        <f>CONCATENATE(C161,"-",D161,"-",E161,"-",F161,"-",G161,"-",H161,"-",I161)</f>
        <v>C-4103-1500-13-0-4103053-02</v>
      </c>
      <c r="C161" s="218" t="s">
        <v>167</v>
      </c>
      <c r="D161" s="219" t="s">
        <v>190</v>
      </c>
      <c r="E161" s="219" t="s">
        <v>172</v>
      </c>
      <c r="F161" s="219" t="s">
        <v>22</v>
      </c>
      <c r="G161" s="219" t="s">
        <v>175</v>
      </c>
      <c r="H161" s="219" t="s">
        <v>199</v>
      </c>
      <c r="I161" s="219" t="s">
        <v>54</v>
      </c>
      <c r="J161" s="219"/>
      <c r="K161" s="220">
        <v>11</v>
      </c>
      <c r="L161" s="221" t="s">
        <v>29</v>
      </c>
      <c r="M161" s="259" t="s">
        <v>178</v>
      </c>
      <c r="N161" s="222">
        <v>2304259288</v>
      </c>
      <c r="O161" s="222"/>
      <c r="P161" s="222"/>
      <c r="Q161" s="222"/>
      <c r="R161" s="222"/>
      <c r="S161" s="222"/>
      <c r="T161" s="222">
        <f>+N161-S161+O161-P161+Q161-R161</f>
        <v>2304259288</v>
      </c>
      <c r="U161" s="222">
        <v>0</v>
      </c>
      <c r="V161" s="222">
        <f t="shared" si="108"/>
        <v>2304259288</v>
      </c>
      <c r="W161" s="224">
        <f t="shared" si="151"/>
        <v>0</v>
      </c>
      <c r="X161" s="222">
        <v>0</v>
      </c>
      <c r="Y161" s="222">
        <f t="shared" si="117"/>
        <v>0</v>
      </c>
      <c r="Z161" s="224">
        <f t="shared" si="154"/>
        <v>0</v>
      </c>
      <c r="AA161" s="222">
        <v>0</v>
      </c>
      <c r="AB161" s="222">
        <f t="shared" si="109"/>
        <v>0</v>
      </c>
      <c r="AC161" s="224">
        <f t="shared" si="141"/>
        <v>0</v>
      </c>
    </row>
    <row r="162" spans="1:52" ht="32.25" customHeight="1">
      <c r="A162" s="32" t="str">
        <f t="shared" si="139"/>
        <v>C-4103-1500-13-0-4103054=11</v>
      </c>
      <c r="B162" s="210" t="str">
        <f>CONCATENATE(C162,"-",D162,"-",E162,"-",F162,"-",G162,"-",H162)</f>
        <v>C-4103-1500-13-0-4103054</v>
      </c>
      <c r="C162" s="211" t="s">
        <v>167</v>
      </c>
      <c r="D162" s="212" t="s">
        <v>190</v>
      </c>
      <c r="E162" s="212" t="s">
        <v>172</v>
      </c>
      <c r="F162" s="212" t="s">
        <v>22</v>
      </c>
      <c r="G162" s="212" t="s">
        <v>175</v>
      </c>
      <c r="H162" s="212" t="s">
        <v>201</v>
      </c>
      <c r="I162" s="212"/>
      <c r="J162" s="212"/>
      <c r="K162" s="213">
        <v>11</v>
      </c>
      <c r="L162" s="214" t="s">
        <v>29</v>
      </c>
      <c r="M162" s="210" t="s">
        <v>202</v>
      </c>
      <c r="N162" s="215">
        <f>+N163</f>
        <v>2444410079</v>
      </c>
      <c r="O162" s="215">
        <f t="shared" ref="O162:AB162" si="157">+O163</f>
        <v>0</v>
      </c>
      <c r="P162" s="215">
        <f t="shared" si="157"/>
        <v>0</v>
      </c>
      <c r="Q162" s="215">
        <f t="shared" si="157"/>
        <v>0</v>
      </c>
      <c r="R162" s="215">
        <f t="shared" si="157"/>
        <v>0</v>
      </c>
      <c r="S162" s="215">
        <f t="shared" si="157"/>
        <v>0</v>
      </c>
      <c r="T162" s="215">
        <f t="shared" si="157"/>
        <v>2444410079</v>
      </c>
      <c r="U162" s="215">
        <f t="shared" si="157"/>
        <v>1652076907</v>
      </c>
      <c r="V162" s="215">
        <f t="shared" si="157"/>
        <v>792333172</v>
      </c>
      <c r="W162" s="216">
        <f t="shared" si="151"/>
        <v>0.67585914539996461</v>
      </c>
      <c r="X162" s="215">
        <f t="shared" si="157"/>
        <v>354779895</v>
      </c>
      <c r="Y162" s="215">
        <f t="shared" si="157"/>
        <v>1297297012</v>
      </c>
      <c r="Z162" s="216">
        <f t="shared" si="154"/>
        <v>0.78525219165235871</v>
      </c>
      <c r="AA162" s="215">
        <f t="shared" si="157"/>
        <v>334453082</v>
      </c>
      <c r="AB162" s="215">
        <f t="shared" si="157"/>
        <v>20326813</v>
      </c>
      <c r="AC162" s="216">
        <f t="shared" si="141"/>
        <v>0.20244401491413136</v>
      </c>
    </row>
    <row r="163" spans="1:52" ht="24.95" customHeight="1">
      <c r="A163" s="32" t="str">
        <f t="shared" si="139"/>
        <v>C-4103-1500-13-0-4103054-02=11</v>
      </c>
      <c r="B163" s="217" t="str">
        <f>CONCATENATE(C163,"-",D163,"-",E163,"-",F163,"-",G163,"-",H163,"-",I163)</f>
        <v>C-4103-1500-13-0-4103054-02</v>
      </c>
      <c r="C163" s="218" t="s">
        <v>167</v>
      </c>
      <c r="D163" s="219" t="s">
        <v>190</v>
      </c>
      <c r="E163" s="219" t="s">
        <v>172</v>
      </c>
      <c r="F163" s="219" t="s">
        <v>22</v>
      </c>
      <c r="G163" s="219" t="s">
        <v>175</v>
      </c>
      <c r="H163" s="219" t="s">
        <v>201</v>
      </c>
      <c r="I163" s="219" t="s">
        <v>54</v>
      </c>
      <c r="J163" s="219"/>
      <c r="K163" s="220">
        <v>11</v>
      </c>
      <c r="L163" s="221" t="s">
        <v>29</v>
      </c>
      <c r="M163" s="259" t="s">
        <v>178</v>
      </c>
      <c r="N163" s="222">
        <v>2444410079</v>
      </c>
      <c r="O163" s="222"/>
      <c r="P163" s="222"/>
      <c r="Q163" s="222"/>
      <c r="R163" s="222"/>
      <c r="S163" s="222"/>
      <c r="T163" s="222">
        <f>+N163-S163+O163-P163+Q163-R163</f>
        <v>2444410079</v>
      </c>
      <c r="U163" s="222">
        <v>1652076907</v>
      </c>
      <c r="V163" s="222">
        <f t="shared" si="108"/>
        <v>792333172</v>
      </c>
      <c r="W163" s="224">
        <f t="shared" si="151"/>
        <v>0.67585914539996461</v>
      </c>
      <c r="X163" s="222">
        <v>354779895</v>
      </c>
      <c r="Y163" s="222">
        <f t="shared" si="117"/>
        <v>1297297012</v>
      </c>
      <c r="Z163" s="224">
        <f t="shared" si="154"/>
        <v>0.78525219165235871</v>
      </c>
      <c r="AA163" s="222">
        <v>334453082</v>
      </c>
      <c r="AB163" s="222">
        <f t="shared" si="109"/>
        <v>20326813</v>
      </c>
      <c r="AC163" s="224">
        <f t="shared" si="141"/>
        <v>0.20244401491413136</v>
      </c>
    </row>
    <row r="164" spans="1:52" ht="32.25" customHeight="1">
      <c r="A164" s="32" t="str">
        <f t="shared" si="139"/>
        <v>C-4103-1500-13-0-4103055=11</v>
      </c>
      <c r="B164" s="210" t="str">
        <f>CONCATENATE(C164,"-",D164,"-",E164,"-",F164,"-",G164,"-",H164)</f>
        <v>C-4103-1500-13-0-4103055</v>
      </c>
      <c r="C164" s="211" t="s">
        <v>167</v>
      </c>
      <c r="D164" s="212" t="s">
        <v>190</v>
      </c>
      <c r="E164" s="212" t="s">
        <v>172</v>
      </c>
      <c r="F164" s="212" t="s">
        <v>22</v>
      </c>
      <c r="G164" s="212" t="s">
        <v>175</v>
      </c>
      <c r="H164" s="212" t="s">
        <v>203</v>
      </c>
      <c r="I164" s="212"/>
      <c r="J164" s="212"/>
      <c r="K164" s="213">
        <v>11</v>
      </c>
      <c r="L164" s="214" t="s">
        <v>29</v>
      </c>
      <c r="M164" s="210" t="s">
        <v>204</v>
      </c>
      <c r="N164" s="215">
        <f t="shared" ref="N164:V164" si="158">SUM(N165:N165)</f>
        <v>18529096300</v>
      </c>
      <c r="O164" s="215">
        <f t="shared" si="158"/>
        <v>0</v>
      </c>
      <c r="P164" s="215">
        <f t="shared" si="158"/>
        <v>0</v>
      </c>
      <c r="Q164" s="215">
        <f t="shared" si="158"/>
        <v>0</v>
      </c>
      <c r="R164" s="215">
        <f t="shared" si="158"/>
        <v>0</v>
      </c>
      <c r="S164" s="215">
        <f t="shared" si="158"/>
        <v>0</v>
      </c>
      <c r="T164" s="215">
        <f t="shared" si="158"/>
        <v>18529096300</v>
      </c>
      <c r="U164" s="215">
        <f t="shared" si="158"/>
        <v>0</v>
      </c>
      <c r="V164" s="215">
        <f t="shared" si="158"/>
        <v>18529096300</v>
      </c>
      <c r="W164" s="216">
        <f t="shared" si="151"/>
        <v>0</v>
      </c>
      <c r="X164" s="215">
        <f t="shared" ref="X164:Y164" si="159">SUM(X165:X165)</f>
        <v>0</v>
      </c>
      <c r="Y164" s="215">
        <f t="shared" si="159"/>
        <v>0</v>
      </c>
      <c r="Z164" s="216">
        <f t="shared" si="154"/>
        <v>0</v>
      </c>
      <c r="AA164" s="215">
        <f t="shared" ref="AA164:AB164" si="160">SUM(AA165:AA165)</f>
        <v>0</v>
      </c>
      <c r="AB164" s="215">
        <f t="shared" si="160"/>
        <v>0</v>
      </c>
      <c r="AC164" s="216">
        <f t="shared" si="141"/>
        <v>0</v>
      </c>
    </row>
    <row r="165" spans="1:52" ht="24.95" customHeight="1">
      <c r="A165" s="32" t="str">
        <f t="shared" si="139"/>
        <v>C-4103-1500-13-0-4103055-02=11</v>
      </c>
      <c r="B165" s="217" t="str">
        <f>CONCATENATE(C165,"-",D165,"-",E165,"-",F165,"-",G165,"-",H165,"-",I165)</f>
        <v>C-4103-1500-13-0-4103055-02</v>
      </c>
      <c r="C165" s="218" t="s">
        <v>167</v>
      </c>
      <c r="D165" s="219" t="s">
        <v>190</v>
      </c>
      <c r="E165" s="219" t="s">
        <v>172</v>
      </c>
      <c r="F165" s="219" t="s">
        <v>22</v>
      </c>
      <c r="G165" s="219" t="s">
        <v>175</v>
      </c>
      <c r="H165" s="219" t="s">
        <v>203</v>
      </c>
      <c r="I165" s="219" t="s">
        <v>54</v>
      </c>
      <c r="J165" s="219"/>
      <c r="K165" s="220">
        <v>11</v>
      </c>
      <c r="L165" s="221" t="s">
        <v>29</v>
      </c>
      <c r="M165" s="259" t="s">
        <v>178</v>
      </c>
      <c r="N165" s="222">
        <v>18529096300</v>
      </c>
      <c r="O165" s="222"/>
      <c r="P165" s="222"/>
      <c r="Q165" s="222"/>
      <c r="R165" s="222"/>
      <c r="S165" s="222"/>
      <c r="T165" s="222">
        <f>+N165-S165+O165-P165+Q165-R165</f>
        <v>18529096300</v>
      </c>
      <c r="U165" s="222">
        <v>0</v>
      </c>
      <c r="V165" s="222">
        <f t="shared" si="108"/>
        <v>18529096300</v>
      </c>
      <c r="W165" s="224">
        <f t="shared" si="151"/>
        <v>0</v>
      </c>
      <c r="X165" s="222">
        <v>0</v>
      </c>
      <c r="Y165" s="222">
        <f t="shared" si="117"/>
        <v>0</v>
      </c>
      <c r="Z165" s="224">
        <f t="shared" si="154"/>
        <v>0</v>
      </c>
      <c r="AA165" s="222">
        <v>0</v>
      </c>
      <c r="AB165" s="222">
        <f t="shared" si="109"/>
        <v>0</v>
      </c>
      <c r="AC165" s="224">
        <f t="shared" si="141"/>
        <v>0</v>
      </c>
    </row>
    <row r="166" spans="1:52" ht="44.25" customHeight="1">
      <c r="A166" s="32" t="str">
        <f t="shared" si="139"/>
        <v>C-4103-1500-14=</v>
      </c>
      <c r="B166" s="226" t="str">
        <f>CONCATENATE(C166,"-",D166,"-",E166,"-",F166)</f>
        <v>C-4103-1500-14</v>
      </c>
      <c r="C166" s="227" t="s">
        <v>167</v>
      </c>
      <c r="D166" s="228" t="s">
        <v>190</v>
      </c>
      <c r="E166" s="228" t="s">
        <v>172</v>
      </c>
      <c r="F166" s="228" t="s">
        <v>205</v>
      </c>
      <c r="G166" s="228"/>
      <c r="H166" s="228"/>
      <c r="I166" s="228"/>
      <c r="J166" s="228"/>
      <c r="K166" s="229"/>
      <c r="L166" s="230"/>
      <c r="M166" s="231" t="s">
        <v>281</v>
      </c>
      <c r="N166" s="232">
        <f>+N168+N172+N167</f>
        <v>881000000000</v>
      </c>
      <c r="O166" s="232">
        <f t="shared" ref="O166:T166" si="161">+O168+O172+O167</f>
        <v>0</v>
      </c>
      <c r="P166" s="232">
        <f t="shared" si="161"/>
        <v>0</v>
      </c>
      <c r="Q166" s="232">
        <f t="shared" si="161"/>
        <v>24581940781.259998</v>
      </c>
      <c r="R166" s="232">
        <f t="shared" si="161"/>
        <v>24581940781.259998</v>
      </c>
      <c r="S166" s="232">
        <f t="shared" si="161"/>
        <v>324000000000</v>
      </c>
      <c r="T166" s="232">
        <f t="shared" si="161"/>
        <v>557000000000</v>
      </c>
      <c r="U166" s="232">
        <f t="shared" ref="U166:V166" si="162">+U168+U172</f>
        <v>274040964477.85001</v>
      </c>
      <c r="V166" s="232">
        <f t="shared" si="162"/>
        <v>282959035522.14996</v>
      </c>
      <c r="W166" s="233">
        <f t="shared" si="151"/>
        <v>0.4919945502295332</v>
      </c>
      <c r="X166" s="232">
        <f t="shared" ref="X166:Y166" si="163">+X168+X172</f>
        <v>36174648993.009995</v>
      </c>
      <c r="Y166" s="232">
        <f t="shared" si="163"/>
        <v>237866315484.84</v>
      </c>
      <c r="Z166" s="233">
        <f t="shared" si="154"/>
        <v>0.86799546899152036</v>
      </c>
      <c r="AA166" s="232">
        <f t="shared" ref="AA166:AB166" si="164">+AA168+AA172</f>
        <v>35802022553.009995</v>
      </c>
      <c r="AB166" s="232">
        <f t="shared" si="164"/>
        <v>372626440</v>
      </c>
      <c r="AC166" s="233">
        <f t="shared" si="141"/>
        <v>0.1306447837870742</v>
      </c>
    </row>
    <row r="167" spans="1:52" ht="44.25" hidden="1" customHeight="1">
      <c r="A167" s="32"/>
      <c r="B167" s="226"/>
      <c r="C167" s="227"/>
      <c r="D167" s="228"/>
      <c r="E167" s="228"/>
      <c r="F167" s="228"/>
      <c r="G167" s="228"/>
      <c r="H167" s="228"/>
      <c r="I167" s="228"/>
      <c r="J167" s="228"/>
      <c r="K167" s="229"/>
      <c r="L167" s="230"/>
      <c r="M167" s="231"/>
      <c r="N167" s="682">
        <v>526000000000</v>
      </c>
      <c r="O167" s="232"/>
      <c r="P167" s="232"/>
      <c r="Q167" s="232"/>
      <c r="R167" s="232"/>
      <c r="S167" s="682">
        <f>526000000000</f>
        <v>526000000000</v>
      </c>
      <c r="T167" s="232"/>
      <c r="U167" s="232"/>
      <c r="V167" s="232"/>
      <c r="W167" s="233"/>
      <c r="X167" s="232"/>
      <c r="Y167" s="232"/>
      <c r="Z167" s="233"/>
      <c r="AA167" s="232"/>
      <c r="AB167" s="232"/>
      <c r="AC167" s="233"/>
    </row>
    <row r="168" spans="1:52" ht="33.75" customHeight="1">
      <c r="A168" s="32" t="str">
        <f t="shared" si="139"/>
        <v>C-4103-1500-14-0-4103016=</v>
      </c>
      <c r="B168" s="210" t="str">
        <f>CONCATENATE(C168,"-",D168,"-",E168,"-",F168,"-",G168,"-",H168)</f>
        <v>C-4103-1500-14-0-4103016</v>
      </c>
      <c r="C168" s="211" t="s">
        <v>167</v>
      </c>
      <c r="D168" s="212" t="s">
        <v>190</v>
      </c>
      <c r="E168" s="212" t="s">
        <v>172</v>
      </c>
      <c r="F168" s="212" t="s">
        <v>205</v>
      </c>
      <c r="G168" s="212" t="s">
        <v>175</v>
      </c>
      <c r="H168" s="212" t="s">
        <v>207</v>
      </c>
      <c r="I168" s="212"/>
      <c r="J168" s="212"/>
      <c r="K168" s="213"/>
      <c r="L168" s="214"/>
      <c r="M168" s="210" t="s">
        <v>208</v>
      </c>
      <c r="N168" s="215">
        <f>SUM(N169:N171)</f>
        <v>331786185933</v>
      </c>
      <c r="O168" s="215">
        <f t="shared" ref="O168:V168" si="165">SUM(O169:O171)</f>
        <v>0</v>
      </c>
      <c r="P168" s="215">
        <f t="shared" si="165"/>
        <v>0</v>
      </c>
      <c r="Q168" s="215">
        <f t="shared" si="165"/>
        <v>24581940781.259998</v>
      </c>
      <c r="R168" s="215">
        <f t="shared" si="165"/>
        <v>24581940781.259998</v>
      </c>
      <c r="S168" s="215">
        <f t="shared" si="165"/>
        <v>-202000000000</v>
      </c>
      <c r="T168" s="215">
        <f t="shared" si="165"/>
        <v>533786185933</v>
      </c>
      <c r="U168" s="215">
        <f t="shared" si="165"/>
        <v>256492601286.85001</v>
      </c>
      <c r="V168" s="215">
        <f t="shared" si="165"/>
        <v>277293584646.14996</v>
      </c>
      <c r="W168" s="216">
        <f t="shared" si="151"/>
        <v>0.48051562225899297</v>
      </c>
      <c r="X168" s="215">
        <f t="shared" ref="X168:Y168" si="166">SUM(X169:X171)</f>
        <v>32920143917.009998</v>
      </c>
      <c r="Y168" s="215">
        <f t="shared" si="166"/>
        <v>223572457369.84</v>
      </c>
      <c r="Z168" s="216">
        <f t="shared" si="154"/>
        <v>0.87165265683358417</v>
      </c>
      <c r="AA168" s="215">
        <f t="shared" ref="AA168:AB168" si="167">SUM(AA169:AA171)</f>
        <v>32820601268.009998</v>
      </c>
      <c r="AB168" s="215">
        <f t="shared" si="167"/>
        <v>99542649</v>
      </c>
      <c r="AC168" s="216">
        <f t="shared" si="141"/>
        <v>0.1279592514690312</v>
      </c>
    </row>
    <row r="169" spans="1:52" ht="24.95" customHeight="1">
      <c r="A169" s="32" t="str">
        <f t="shared" si="139"/>
        <v>C-4103-1500-14-0-4103016-02=11</v>
      </c>
      <c r="B169" s="217" t="str">
        <f>CONCATENATE(C169,"-",D169,"-",E169,"-",F169,"-",G169,"-",H169,"-",I169)</f>
        <v>C-4103-1500-14-0-4103016-02</v>
      </c>
      <c r="C169" s="266" t="s">
        <v>167</v>
      </c>
      <c r="D169" s="267" t="s">
        <v>190</v>
      </c>
      <c r="E169" s="267" t="s">
        <v>172</v>
      </c>
      <c r="F169" s="267" t="s">
        <v>205</v>
      </c>
      <c r="G169" s="267" t="s">
        <v>175</v>
      </c>
      <c r="H169" s="267" t="s">
        <v>207</v>
      </c>
      <c r="I169" s="267" t="s">
        <v>54</v>
      </c>
      <c r="J169" s="267"/>
      <c r="K169" s="268">
        <v>11</v>
      </c>
      <c r="L169" s="269" t="s">
        <v>29</v>
      </c>
      <c r="M169" s="259" t="s">
        <v>178</v>
      </c>
      <c r="N169" s="222">
        <v>27122315285.709999</v>
      </c>
      <c r="O169" s="222"/>
      <c r="P169" s="223"/>
      <c r="Q169" s="222">
        <f>2900000000+15000000000+6400000000+281940781.26</f>
        <v>24581940781.259998</v>
      </c>
      <c r="R169" s="223"/>
      <c r="S169" s="223"/>
      <c r="T169" s="222">
        <f>+N169-S169+O169-P169+Q169-R169</f>
        <v>51704256066.970001</v>
      </c>
      <c r="U169" s="222">
        <v>34005894202.560001</v>
      </c>
      <c r="V169" s="222">
        <f t="shared" ref="V169" si="168">+T169-U169</f>
        <v>17698361864.41</v>
      </c>
      <c r="W169" s="224">
        <f t="shared" si="151"/>
        <v>0.65770009645847771</v>
      </c>
      <c r="X169" s="222">
        <v>3737856502.3200002</v>
      </c>
      <c r="Y169" s="222">
        <f t="shared" ref="Y169" si="169">+U169-X169</f>
        <v>30268037700.240002</v>
      </c>
      <c r="Z169" s="224">
        <f t="shared" si="154"/>
        <v>0.89008209929563886</v>
      </c>
      <c r="AA169" s="222">
        <v>3638313853.3200002</v>
      </c>
      <c r="AB169" s="222">
        <f t="shared" ref="AB169" si="170">+X169-AA169</f>
        <v>99542649</v>
      </c>
      <c r="AC169" s="224">
        <f t="shared" si="141"/>
        <v>0.10699068319297729</v>
      </c>
    </row>
    <row r="170" spans="1:52" ht="24.95" customHeight="1">
      <c r="A170" s="32" t="str">
        <f t="shared" si="139"/>
        <v>C-4103-1500-14-0-4103016-03=10</v>
      </c>
      <c r="B170" s="217" t="str">
        <f>CONCATENATE(C170,"-",D170,"-",E170,"-",F170,"-",G170,"-",H170,"-",I170)</f>
        <v>C-4103-1500-14-0-4103016-03</v>
      </c>
      <c r="C170" s="266" t="s">
        <v>167</v>
      </c>
      <c r="D170" s="267" t="s">
        <v>190</v>
      </c>
      <c r="E170" s="267" t="s">
        <v>172</v>
      </c>
      <c r="F170" s="267" t="s">
        <v>205</v>
      </c>
      <c r="G170" s="267" t="s">
        <v>175</v>
      </c>
      <c r="H170" s="267" t="s">
        <v>207</v>
      </c>
      <c r="I170" s="267" t="s">
        <v>65</v>
      </c>
      <c r="J170" s="267"/>
      <c r="K170" s="271" t="s">
        <v>28</v>
      </c>
      <c r="L170" s="269" t="s">
        <v>29</v>
      </c>
      <c r="M170" s="259" t="s">
        <v>127</v>
      </c>
      <c r="N170" s="222"/>
      <c r="O170" s="222"/>
      <c r="P170" s="223"/>
      <c r="Q170" s="223"/>
      <c r="R170" s="223"/>
      <c r="S170" s="223"/>
      <c r="T170" s="222">
        <f>+N170-S170+O170-P170+Q170-R170</f>
        <v>0</v>
      </c>
      <c r="U170" s="222"/>
      <c r="V170" s="222">
        <f t="shared" si="108"/>
        <v>0</v>
      </c>
      <c r="W170" s="224">
        <f t="shared" si="151"/>
        <v>0</v>
      </c>
      <c r="X170" s="222"/>
      <c r="Y170" s="222">
        <f t="shared" si="117"/>
        <v>0</v>
      </c>
      <c r="Z170" s="224">
        <f t="shared" si="154"/>
        <v>0</v>
      </c>
      <c r="AA170" s="222"/>
      <c r="AB170" s="222">
        <f t="shared" si="109"/>
        <v>0</v>
      </c>
      <c r="AC170" s="224">
        <f t="shared" si="141"/>
        <v>0</v>
      </c>
    </row>
    <row r="171" spans="1:52" ht="24.95" customHeight="1">
      <c r="A171" s="32" t="str">
        <f t="shared" si="139"/>
        <v>C-4103-1500-14-0-4103016-03=11</v>
      </c>
      <c r="B171" s="217" t="str">
        <f>CONCATENATE(C171,"-",D171,"-",E171,"-",F171,"-",G171,"-",H171,"-",I171)</f>
        <v>C-4103-1500-14-0-4103016-03</v>
      </c>
      <c r="C171" s="266" t="s">
        <v>167</v>
      </c>
      <c r="D171" s="267" t="s">
        <v>190</v>
      </c>
      <c r="E171" s="267" t="s">
        <v>172</v>
      </c>
      <c r="F171" s="267" t="s">
        <v>205</v>
      </c>
      <c r="G171" s="267" t="s">
        <v>175</v>
      </c>
      <c r="H171" s="267" t="s">
        <v>207</v>
      </c>
      <c r="I171" s="274" t="s">
        <v>65</v>
      </c>
      <c r="J171" s="273"/>
      <c r="K171" s="268">
        <v>11</v>
      </c>
      <c r="L171" s="269" t="s">
        <v>29</v>
      </c>
      <c r="M171" s="259" t="s">
        <v>127</v>
      </c>
      <c r="N171" s="222">
        <v>304663870647.28998</v>
      </c>
      <c r="O171" s="222"/>
      <c r="P171" s="223"/>
      <c r="Q171" s="223"/>
      <c r="R171" s="222">
        <f>2900000000+15000000000+6400000000+281940781.26</f>
        <v>24581940781.259998</v>
      </c>
      <c r="S171" s="223">
        <v>-202000000000</v>
      </c>
      <c r="T171" s="222">
        <f>+N171-S171+O171-P171+Q171-R171</f>
        <v>482081929866.02997</v>
      </c>
      <c r="U171" s="222">
        <v>222486707084.29001</v>
      </c>
      <c r="V171" s="222">
        <f t="shared" si="108"/>
        <v>259595222781.73996</v>
      </c>
      <c r="W171" s="224">
        <f t="shared" si="151"/>
        <v>0.4615122312220224</v>
      </c>
      <c r="X171" s="222">
        <v>29182287414.689999</v>
      </c>
      <c r="Y171" s="222">
        <f t="shared" si="117"/>
        <v>193304419669.60001</v>
      </c>
      <c r="Z171" s="224">
        <f t="shared" si="154"/>
        <v>0.86883581586906145</v>
      </c>
      <c r="AA171" s="222">
        <v>29182287414.689999</v>
      </c>
      <c r="AB171" s="222">
        <f t="shared" si="109"/>
        <v>0</v>
      </c>
      <c r="AC171" s="224">
        <f t="shared" si="141"/>
        <v>0.13116418413093853</v>
      </c>
    </row>
    <row r="172" spans="1:52" ht="34.5" customHeight="1">
      <c r="A172" s="32" t="str">
        <f t="shared" si="139"/>
        <v>C-4103-1500-14-0-4103048=11</v>
      </c>
      <c r="B172" s="210" t="str">
        <f>CONCATENATE(C172,"-",D172,"-",E172,"-",F172,"-",G172,"-",H172)</f>
        <v>C-4103-1500-14-0-4103048</v>
      </c>
      <c r="C172" s="211" t="s">
        <v>167</v>
      </c>
      <c r="D172" s="212" t="s">
        <v>190</v>
      </c>
      <c r="E172" s="212" t="s">
        <v>172</v>
      </c>
      <c r="F172" s="212" t="s">
        <v>205</v>
      </c>
      <c r="G172" s="212" t="s">
        <v>175</v>
      </c>
      <c r="H172" s="212" t="s">
        <v>209</v>
      </c>
      <c r="I172" s="212"/>
      <c r="J172" s="212"/>
      <c r="K172" s="213">
        <v>11</v>
      </c>
      <c r="L172" s="214" t="s">
        <v>29</v>
      </c>
      <c r="M172" s="210" t="s">
        <v>210</v>
      </c>
      <c r="N172" s="215">
        <f t="shared" ref="N172:V172" si="171">SUM(N173:N173)</f>
        <v>23213814067</v>
      </c>
      <c r="O172" s="215">
        <f t="shared" si="171"/>
        <v>0</v>
      </c>
      <c r="P172" s="215">
        <f t="shared" si="171"/>
        <v>0</v>
      </c>
      <c r="Q172" s="215">
        <f t="shared" si="171"/>
        <v>0</v>
      </c>
      <c r="R172" s="215">
        <f t="shared" si="171"/>
        <v>0</v>
      </c>
      <c r="S172" s="215">
        <f t="shared" si="171"/>
        <v>0</v>
      </c>
      <c r="T172" s="215">
        <f t="shared" si="171"/>
        <v>23213814067</v>
      </c>
      <c r="U172" s="215">
        <f t="shared" si="171"/>
        <v>17548363191</v>
      </c>
      <c r="V172" s="215">
        <f t="shared" si="171"/>
        <v>5665450876</v>
      </c>
      <c r="W172" s="216">
        <f t="shared" si="151"/>
        <v>0.75594484992219269</v>
      </c>
      <c r="X172" s="215">
        <f t="shared" ref="X172:Y172" si="172">SUM(X173:X173)</f>
        <v>3254505076</v>
      </c>
      <c r="Y172" s="215">
        <f t="shared" si="172"/>
        <v>14293858115</v>
      </c>
      <c r="Z172" s="216">
        <f t="shared" si="154"/>
        <v>0.81454081838988079</v>
      </c>
      <c r="AA172" s="215">
        <f t="shared" ref="AA172:AB172" si="173">SUM(AA173:AA173)</f>
        <v>2981421285</v>
      </c>
      <c r="AB172" s="215">
        <f t="shared" si="173"/>
        <v>273083791</v>
      </c>
      <c r="AC172" s="216">
        <f t="shared" si="141"/>
        <v>0.16989740026175643</v>
      </c>
    </row>
    <row r="173" spans="1:52" ht="24.95" customHeight="1">
      <c r="A173" s="32" t="str">
        <f t="shared" si="139"/>
        <v>C-4103-1500-14-0-4103048-02=11</v>
      </c>
      <c r="B173" s="217" t="str">
        <f>CONCATENATE(C173,"-",D173,"-",E173,"-",F173,"-",G173,"-",H173,"-",I173)</f>
        <v>C-4103-1500-14-0-4103048-02</v>
      </c>
      <c r="C173" s="266" t="s">
        <v>167</v>
      </c>
      <c r="D173" s="267" t="s">
        <v>190</v>
      </c>
      <c r="E173" s="267" t="s">
        <v>172</v>
      </c>
      <c r="F173" s="267" t="s">
        <v>205</v>
      </c>
      <c r="G173" s="267" t="s">
        <v>175</v>
      </c>
      <c r="H173" s="267" t="s">
        <v>209</v>
      </c>
      <c r="I173" s="267" t="s">
        <v>54</v>
      </c>
      <c r="J173" s="267"/>
      <c r="K173" s="268">
        <v>11</v>
      </c>
      <c r="L173" s="269" t="s">
        <v>29</v>
      </c>
      <c r="M173" s="259" t="s">
        <v>178</v>
      </c>
      <c r="N173" s="222">
        <v>23213814067</v>
      </c>
      <c r="O173" s="222"/>
      <c r="P173" s="222"/>
      <c r="Q173" s="222"/>
      <c r="R173" s="223"/>
      <c r="S173" s="222"/>
      <c r="T173" s="222">
        <f>+N173-S173+O173-P173+Q173-R173</f>
        <v>23213814067</v>
      </c>
      <c r="U173" s="222">
        <v>17548363191</v>
      </c>
      <c r="V173" s="222">
        <f t="shared" ref="V173" si="174">+T173-U173</f>
        <v>5665450876</v>
      </c>
      <c r="W173" s="224">
        <f t="shared" si="151"/>
        <v>0.75594484992219269</v>
      </c>
      <c r="X173" s="222">
        <v>3254505076</v>
      </c>
      <c r="Y173" s="222">
        <f t="shared" ref="Y173" si="175">+U173-X173</f>
        <v>14293858115</v>
      </c>
      <c r="Z173" s="224">
        <f t="shared" si="154"/>
        <v>0.81454081838988079</v>
      </c>
      <c r="AA173" s="222">
        <v>2981421285</v>
      </c>
      <c r="AB173" s="222">
        <f t="shared" ref="AB173" si="176">+X173-AA173</f>
        <v>273083791</v>
      </c>
      <c r="AC173" s="224">
        <f t="shared" si="141"/>
        <v>0.16989740026175643</v>
      </c>
    </row>
    <row r="174" spans="1:52" ht="40.5" customHeight="1">
      <c r="A174" s="32" t="str">
        <f t="shared" si="139"/>
        <v>C-4103-1500-16=</v>
      </c>
      <c r="B174" s="226" t="str">
        <f>CONCATENATE(C174,"-",D174,"-",E174,"-",F174)</f>
        <v>C-4103-1500-16</v>
      </c>
      <c r="C174" s="227" t="s">
        <v>167</v>
      </c>
      <c r="D174" s="228" t="s">
        <v>190</v>
      </c>
      <c r="E174" s="228" t="s">
        <v>172</v>
      </c>
      <c r="F174" s="228" t="s">
        <v>211</v>
      </c>
      <c r="G174" s="228"/>
      <c r="H174" s="228"/>
      <c r="I174" s="228"/>
      <c r="J174" s="228"/>
      <c r="K174" s="229"/>
      <c r="L174" s="230"/>
      <c r="M174" s="231" t="s">
        <v>282</v>
      </c>
      <c r="N174" s="232">
        <f>+N175+N177</f>
        <v>1500000000</v>
      </c>
      <c r="O174" s="232">
        <f t="shared" ref="O174:V174" si="177">+O175+O177</f>
        <v>0</v>
      </c>
      <c r="P174" s="232">
        <f t="shared" si="177"/>
        <v>0</v>
      </c>
      <c r="Q174" s="232">
        <f t="shared" si="177"/>
        <v>0</v>
      </c>
      <c r="R174" s="232">
        <f t="shared" si="177"/>
        <v>0</v>
      </c>
      <c r="S174" s="232">
        <f t="shared" si="177"/>
        <v>0</v>
      </c>
      <c r="T174" s="232">
        <f t="shared" si="177"/>
        <v>1500000000</v>
      </c>
      <c r="U174" s="232">
        <f t="shared" si="177"/>
        <v>0</v>
      </c>
      <c r="V174" s="232">
        <f t="shared" si="177"/>
        <v>1500000000</v>
      </c>
      <c r="W174" s="233">
        <f t="shared" si="151"/>
        <v>0</v>
      </c>
      <c r="X174" s="232">
        <f t="shared" ref="X174:AB174" si="178">+X175+X177</f>
        <v>0</v>
      </c>
      <c r="Y174" s="232">
        <f t="shared" si="178"/>
        <v>0</v>
      </c>
      <c r="Z174" s="233">
        <f t="shared" si="154"/>
        <v>0</v>
      </c>
      <c r="AA174" s="232">
        <f t="shared" si="178"/>
        <v>0</v>
      </c>
      <c r="AB174" s="232">
        <f t="shared" si="178"/>
        <v>0</v>
      </c>
      <c r="AC174" s="233">
        <f t="shared" si="141"/>
        <v>0</v>
      </c>
    </row>
    <row r="175" spans="1:52" s="90" customFormat="1" ht="36" customHeight="1">
      <c r="A175" s="32" t="str">
        <f t="shared" si="139"/>
        <v>C-4103-1500-16-0-4103056=11</v>
      </c>
      <c r="B175" s="210" t="str">
        <f>CONCATENATE(C175,"-",D175,"-",E175,"-",F175,"-",G175,"-",H175)</f>
        <v>C-4103-1500-16-0-4103056</v>
      </c>
      <c r="C175" s="211" t="s">
        <v>167</v>
      </c>
      <c r="D175" s="212" t="s">
        <v>190</v>
      </c>
      <c r="E175" s="212" t="s">
        <v>172</v>
      </c>
      <c r="F175" s="212" t="s">
        <v>211</v>
      </c>
      <c r="G175" s="212" t="s">
        <v>175</v>
      </c>
      <c r="H175" s="212" t="s">
        <v>213</v>
      </c>
      <c r="I175" s="212"/>
      <c r="J175" s="212"/>
      <c r="K175" s="213" t="s">
        <v>144</v>
      </c>
      <c r="L175" s="214" t="s">
        <v>29</v>
      </c>
      <c r="M175" s="210" t="s">
        <v>214</v>
      </c>
      <c r="N175" s="215">
        <f>+N176</f>
        <v>1095000000</v>
      </c>
      <c r="O175" s="215">
        <f t="shared" ref="O175:AB175" si="179">+O176</f>
        <v>0</v>
      </c>
      <c r="P175" s="215">
        <f t="shared" si="179"/>
        <v>0</v>
      </c>
      <c r="Q175" s="215">
        <f t="shared" si="179"/>
        <v>0</v>
      </c>
      <c r="R175" s="215">
        <f t="shared" si="179"/>
        <v>0</v>
      </c>
      <c r="S175" s="215">
        <f t="shared" si="179"/>
        <v>0</v>
      </c>
      <c r="T175" s="215">
        <f t="shared" si="179"/>
        <v>1095000000</v>
      </c>
      <c r="U175" s="215">
        <f t="shared" si="179"/>
        <v>0</v>
      </c>
      <c r="V175" s="215">
        <f t="shared" si="179"/>
        <v>1095000000</v>
      </c>
      <c r="W175" s="216">
        <f t="shared" si="151"/>
        <v>0</v>
      </c>
      <c r="X175" s="215">
        <f t="shared" si="179"/>
        <v>0</v>
      </c>
      <c r="Y175" s="215">
        <f t="shared" si="179"/>
        <v>0</v>
      </c>
      <c r="Z175" s="216">
        <f t="shared" si="154"/>
        <v>0</v>
      </c>
      <c r="AA175" s="215">
        <f t="shared" si="179"/>
        <v>0</v>
      </c>
      <c r="AB175" s="215">
        <f t="shared" si="179"/>
        <v>0</v>
      </c>
      <c r="AC175" s="216">
        <f t="shared" si="141"/>
        <v>0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24.95" customHeight="1">
      <c r="A176" s="32" t="str">
        <f t="shared" si="139"/>
        <v>C-4103-1500-16-0-4103056-02=11</v>
      </c>
      <c r="B176" s="217" t="str">
        <f>CONCATENATE(C176,"-",D176,"-",E176,"-",F176,"-",G176,"-",H176,"-",I176)</f>
        <v>C-4103-1500-16-0-4103056-02</v>
      </c>
      <c r="C176" s="218" t="s">
        <v>167</v>
      </c>
      <c r="D176" s="219" t="s">
        <v>190</v>
      </c>
      <c r="E176" s="219" t="s">
        <v>172</v>
      </c>
      <c r="F176" s="219" t="s">
        <v>211</v>
      </c>
      <c r="G176" s="219" t="s">
        <v>175</v>
      </c>
      <c r="H176" s="219" t="s">
        <v>213</v>
      </c>
      <c r="I176" s="219" t="s">
        <v>54</v>
      </c>
      <c r="J176" s="219"/>
      <c r="K176" s="220" t="s">
        <v>144</v>
      </c>
      <c r="L176" s="221" t="s">
        <v>29</v>
      </c>
      <c r="M176" s="259" t="s">
        <v>178</v>
      </c>
      <c r="N176" s="222">
        <v>1095000000</v>
      </c>
      <c r="O176" s="222"/>
      <c r="P176" s="222"/>
      <c r="Q176" s="222"/>
      <c r="R176" s="222"/>
      <c r="S176" s="222"/>
      <c r="T176" s="222">
        <f>+N176-S176+O176-P176+Q176-R176</f>
        <v>1095000000</v>
      </c>
      <c r="U176" s="222"/>
      <c r="V176" s="222">
        <f t="shared" si="108"/>
        <v>1095000000</v>
      </c>
      <c r="W176" s="224">
        <f t="shared" si="151"/>
        <v>0</v>
      </c>
      <c r="X176" s="222"/>
      <c r="Y176" s="222">
        <f t="shared" si="117"/>
        <v>0</v>
      </c>
      <c r="Z176" s="224">
        <f t="shared" si="154"/>
        <v>0</v>
      </c>
      <c r="AA176" s="222"/>
      <c r="AB176" s="222">
        <f t="shared" si="109"/>
        <v>0</v>
      </c>
      <c r="AC176" s="224">
        <f t="shared" si="141"/>
        <v>0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tr">
        <f t="shared" si="139"/>
        <v>C-4103-1500-16-0-4103060=11</v>
      </c>
      <c r="B177" s="210" t="str">
        <f>CONCATENATE(C177,"-",D177,"-",E177,"-",F177,"-",G177,"-",H177)</f>
        <v>C-4103-1500-16-0-4103060</v>
      </c>
      <c r="C177" s="211" t="s">
        <v>167</v>
      </c>
      <c r="D177" s="212" t="s">
        <v>190</v>
      </c>
      <c r="E177" s="212" t="s">
        <v>172</v>
      </c>
      <c r="F177" s="212" t="s">
        <v>211</v>
      </c>
      <c r="G177" s="212" t="s">
        <v>175</v>
      </c>
      <c r="H177" s="212" t="s">
        <v>215</v>
      </c>
      <c r="I177" s="212"/>
      <c r="J177" s="212"/>
      <c r="K177" s="213" t="s">
        <v>144</v>
      </c>
      <c r="L177" s="214" t="s">
        <v>29</v>
      </c>
      <c r="M177" s="210" t="s">
        <v>216</v>
      </c>
      <c r="N177" s="215">
        <f>+N178</f>
        <v>405000000</v>
      </c>
      <c r="O177" s="215">
        <f t="shared" ref="O177:AB177" si="180">+O178</f>
        <v>0</v>
      </c>
      <c r="P177" s="215">
        <f t="shared" si="180"/>
        <v>0</v>
      </c>
      <c r="Q177" s="215">
        <f t="shared" si="180"/>
        <v>0</v>
      </c>
      <c r="R177" s="215">
        <f t="shared" si="180"/>
        <v>0</v>
      </c>
      <c r="S177" s="215">
        <f t="shared" si="180"/>
        <v>0</v>
      </c>
      <c r="T177" s="215">
        <f t="shared" si="180"/>
        <v>405000000</v>
      </c>
      <c r="U177" s="215">
        <f t="shared" si="180"/>
        <v>0</v>
      </c>
      <c r="V177" s="215">
        <f t="shared" si="180"/>
        <v>405000000</v>
      </c>
      <c r="W177" s="216">
        <f t="shared" si="151"/>
        <v>0</v>
      </c>
      <c r="X177" s="215">
        <f t="shared" si="180"/>
        <v>0</v>
      </c>
      <c r="Y177" s="215">
        <f t="shared" si="180"/>
        <v>0</v>
      </c>
      <c r="Z177" s="216">
        <f t="shared" si="154"/>
        <v>0</v>
      </c>
      <c r="AA177" s="215">
        <f t="shared" si="180"/>
        <v>0</v>
      </c>
      <c r="AB177" s="215">
        <f t="shared" si="180"/>
        <v>0</v>
      </c>
      <c r="AC177" s="216">
        <f t="shared" si="141"/>
        <v>0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24.95" customHeight="1">
      <c r="A178" s="32" t="str">
        <f t="shared" si="139"/>
        <v>C-4103-1500-16-0-4103060-02=11</v>
      </c>
      <c r="B178" s="217" t="str">
        <f>CONCATENATE(C178,"-",D178,"-",E178,"-",F178,"-",G178,"-",H178,"-",I178)</f>
        <v>C-4103-1500-16-0-4103060-02</v>
      </c>
      <c r="C178" s="218" t="s">
        <v>167</v>
      </c>
      <c r="D178" s="219" t="s">
        <v>190</v>
      </c>
      <c r="E178" s="219" t="s">
        <v>172</v>
      </c>
      <c r="F178" s="219" t="s">
        <v>211</v>
      </c>
      <c r="G178" s="219" t="s">
        <v>175</v>
      </c>
      <c r="H178" s="219" t="s">
        <v>215</v>
      </c>
      <c r="I178" s="219" t="s">
        <v>54</v>
      </c>
      <c r="J178" s="219"/>
      <c r="K178" s="220" t="s">
        <v>144</v>
      </c>
      <c r="L178" s="221" t="s">
        <v>29</v>
      </c>
      <c r="M178" s="259" t="s">
        <v>178</v>
      </c>
      <c r="N178" s="222">
        <v>405000000</v>
      </c>
      <c r="O178" s="222"/>
      <c r="P178" s="222"/>
      <c r="Q178" s="222"/>
      <c r="R178" s="222"/>
      <c r="S178" s="222"/>
      <c r="T178" s="222">
        <f>+N178-S178+O178-P178+Q178-R178</f>
        <v>405000000</v>
      </c>
      <c r="U178" s="222"/>
      <c r="V178" s="222">
        <f t="shared" si="108"/>
        <v>405000000</v>
      </c>
      <c r="W178" s="224">
        <f t="shared" si="151"/>
        <v>0</v>
      </c>
      <c r="X178" s="222"/>
      <c r="Y178" s="222">
        <f t="shared" si="117"/>
        <v>0</v>
      </c>
      <c r="Z178" s="224">
        <f t="shared" si="154"/>
        <v>0</v>
      </c>
      <c r="AA178" s="222"/>
      <c r="AB178" s="222">
        <f t="shared" si="109"/>
        <v>0</v>
      </c>
      <c r="AC178" s="224">
        <f t="shared" si="141"/>
        <v>0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57" hidden="1" customHeight="1">
      <c r="A179" s="32" t="str">
        <f t="shared" si="139"/>
        <v>C-4103-1500-17=</v>
      </c>
      <c r="B179" s="226" t="str">
        <f>CONCATENATE(C179,"-",D179,"-",E179,"-",F179)</f>
        <v>C-4103-1500-17</v>
      </c>
      <c r="C179" s="227" t="s">
        <v>167</v>
      </c>
      <c r="D179" s="228" t="s">
        <v>190</v>
      </c>
      <c r="E179" s="228" t="s">
        <v>172</v>
      </c>
      <c r="F179" s="228" t="s">
        <v>217</v>
      </c>
      <c r="G179" s="228"/>
      <c r="H179" s="228"/>
      <c r="I179" s="228"/>
      <c r="J179" s="228"/>
      <c r="K179" s="229"/>
      <c r="L179" s="230"/>
      <c r="M179" s="231" t="s">
        <v>283</v>
      </c>
      <c r="N179" s="232">
        <f t="shared" ref="N179:V179" si="181">+N184+N186+N182+N180</f>
        <v>0</v>
      </c>
      <c r="O179" s="232">
        <f t="shared" si="181"/>
        <v>0</v>
      </c>
      <c r="P179" s="232">
        <f t="shared" si="181"/>
        <v>0</v>
      </c>
      <c r="Q179" s="232">
        <f t="shared" si="181"/>
        <v>0</v>
      </c>
      <c r="R179" s="232">
        <f t="shared" si="181"/>
        <v>0</v>
      </c>
      <c r="S179" s="232">
        <f t="shared" si="181"/>
        <v>0</v>
      </c>
      <c r="T179" s="232">
        <f t="shared" si="181"/>
        <v>0</v>
      </c>
      <c r="U179" s="232">
        <f t="shared" si="181"/>
        <v>0</v>
      </c>
      <c r="V179" s="232">
        <f t="shared" si="181"/>
        <v>0</v>
      </c>
      <c r="W179" s="233">
        <f t="shared" si="151"/>
        <v>0</v>
      </c>
      <c r="X179" s="232">
        <f t="shared" ref="X179:Y179" si="182">+X184+X186+X182+X180</f>
        <v>0</v>
      </c>
      <c r="Y179" s="232">
        <f t="shared" si="182"/>
        <v>0</v>
      </c>
      <c r="Z179" s="233">
        <f t="shared" si="154"/>
        <v>0</v>
      </c>
      <c r="AA179" s="232">
        <f t="shared" ref="AA179:AB179" si="183">+AA184+AA186+AA182+AA180</f>
        <v>0</v>
      </c>
      <c r="AB179" s="232">
        <f t="shared" si="183"/>
        <v>0</v>
      </c>
      <c r="AC179" s="233">
        <f t="shared" si="141"/>
        <v>0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24.95" hidden="1" customHeight="1">
      <c r="A180" s="32" t="str">
        <f t="shared" si="139"/>
        <v>C-4103-1500-17-0-4103005=11</v>
      </c>
      <c r="B180" s="210" t="str">
        <f>CONCATENATE(C180,"-",D180,"-",E180,"-",F180,"-",G180,"-",H180)</f>
        <v>C-4103-1500-17-0-4103005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219</v>
      </c>
      <c r="I180" s="212"/>
      <c r="J180" s="212"/>
      <c r="K180" s="213">
        <v>11</v>
      </c>
      <c r="L180" s="214" t="s">
        <v>29</v>
      </c>
      <c r="M180" s="210" t="s">
        <v>220</v>
      </c>
      <c r="N180" s="215">
        <f>N181</f>
        <v>0</v>
      </c>
      <c r="O180" s="215">
        <f t="shared" ref="O180:AB180" si="184">O181</f>
        <v>0</v>
      </c>
      <c r="P180" s="215">
        <f t="shared" si="184"/>
        <v>0</v>
      </c>
      <c r="Q180" s="215">
        <f t="shared" si="184"/>
        <v>0</v>
      </c>
      <c r="R180" s="215">
        <f t="shared" si="184"/>
        <v>0</v>
      </c>
      <c r="S180" s="215">
        <f t="shared" si="184"/>
        <v>0</v>
      </c>
      <c r="T180" s="215">
        <f t="shared" si="184"/>
        <v>0</v>
      </c>
      <c r="U180" s="215">
        <f t="shared" si="184"/>
        <v>0</v>
      </c>
      <c r="V180" s="215">
        <f t="shared" si="184"/>
        <v>0</v>
      </c>
      <c r="W180" s="216">
        <f t="shared" si="151"/>
        <v>0</v>
      </c>
      <c r="X180" s="215">
        <f t="shared" si="184"/>
        <v>0</v>
      </c>
      <c r="Y180" s="215">
        <f t="shared" si="184"/>
        <v>0</v>
      </c>
      <c r="Z180" s="216">
        <f t="shared" si="154"/>
        <v>0</v>
      </c>
      <c r="AA180" s="215">
        <f t="shared" si="184"/>
        <v>0</v>
      </c>
      <c r="AB180" s="215">
        <f t="shared" si="184"/>
        <v>0</v>
      </c>
      <c r="AC180" s="216">
        <f t="shared" si="141"/>
        <v>0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hidden="1" customHeight="1">
      <c r="A181" s="32" t="str">
        <f t="shared" si="139"/>
        <v>C-4103-1500-17-0-4103005-02=11</v>
      </c>
      <c r="B181" s="217" t="str">
        <f>CONCATENATE(C181,"-",D181,"-",E181,"-",F181,"-",G181,"-",H181,"-",I181)</f>
        <v>C-4103-1500-17-0-4103005-02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219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/>
      <c r="O181" s="222"/>
      <c r="P181" s="222"/>
      <c r="Q181" s="222"/>
      <c r="R181" s="222"/>
      <c r="S181" s="222"/>
      <c r="T181" s="222">
        <f>+N181-S181+O181-P181+Q181-R181</f>
        <v>0</v>
      </c>
      <c r="U181" s="222"/>
      <c r="V181" s="222">
        <f>+T181-U181</f>
        <v>0</v>
      </c>
      <c r="W181" s="224">
        <f t="shared" si="151"/>
        <v>0</v>
      </c>
      <c r="X181" s="222"/>
      <c r="Y181" s="222">
        <f>+U181-X181</f>
        <v>0</v>
      </c>
      <c r="Z181" s="224">
        <f t="shared" si="154"/>
        <v>0</v>
      </c>
      <c r="AA181" s="222"/>
      <c r="AB181" s="222">
        <f>+X181-AA181</f>
        <v>0</v>
      </c>
      <c r="AC181" s="224">
        <f t="shared" si="141"/>
        <v>0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38.25" hidden="1" customHeight="1">
      <c r="A182" s="32" t="str">
        <f t="shared" si="139"/>
        <v>C-4103-1500-17-0-4103057=11</v>
      </c>
      <c r="B182" s="210" t="str">
        <f>CONCATENATE(C182,"-",D182,"-",E182,"-",F182,"-",G182,"-",H182)</f>
        <v>C-4103-1500-17-0-4103057</v>
      </c>
      <c r="C182" s="211" t="s">
        <v>167</v>
      </c>
      <c r="D182" s="212" t="s">
        <v>190</v>
      </c>
      <c r="E182" s="212" t="s">
        <v>172</v>
      </c>
      <c r="F182" s="212" t="s">
        <v>217</v>
      </c>
      <c r="G182" s="212" t="s">
        <v>175</v>
      </c>
      <c r="H182" s="212" t="s">
        <v>221</v>
      </c>
      <c r="I182" s="212"/>
      <c r="J182" s="212"/>
      <c r="K182" s="213">
        <v>11</v>
      </c>
      <c r="L182" s="214" t="s">
        <v>29</v>
      </c>
      <c r="M182" s="210" t="s">
        <v>222</v>
      </c>
      <c r="N182" s="215">
        <f t="shared" ref="N182:V182" si="185">SUM(N183:N183)</f>
        <v>0</v>
      </c>
      <c r="O182" s="215">
        <f t="shared" si="185"/>
        <v>0</v>
      </c>
      <c r="P182" s="215">
        <f t="shared" si="185"/>
        <v>0</v>
      </c>
      <c r="Q182" s="215">
        <f t="shared" si="185"/>
        <v>0</v>
      </c>
      <c r="R182" s="215">
        <f t="shared" si="185"/>
        <v>0</v>
      </c>
      <c r="S182" s="215">
        <f t="shared" si="185"/>
        <v>0</v>
      </c>
      <c r="T182" s="215">
        <f t="shared" si="185"/>
        <v>0</v>
      </c>
      <c r="U182" s="215">
        <f t="shared" si="185"/>
        <v>0</v>
      </c>
      <c r="V182" s="215">
        <f t="shared" si="185"/>
        <v>0</v>
      </c>
      <c r="W182" s="216">
        <f t="shared" si="151"/>
        <v>0</v>
      </c>
      <c r="X182" s="215">
        <f t="shared" ref="X182:Y182" si="186">SUM(X183:X183)</f>
        <v>0</v>
      </c>
      <c r="Y182" s="215">
        <f t="shared" si="186"/>
        <v>0</v>
      </c>
      <c r="Z182" s="216">
        <f t="shared" si="154"/>
        <v>0</v>
      </c>
      <c r="AA182" s="215">
        <f t="shared" ref="AA182:AB182" si="187">SUM(AA183:AA183)</f>
        <v>0</v>
      </c>
      <c r="AB182" s="215">
        <f t="shared" si="187"/>
        <v>0</v>
      </c>
      <c r="AC182" s="216">
        <f t="shared" si="141"/>
        <v>0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24.95" hidden="1" customHeight="1">
      <c r="A183" s="32" t="str">
        <f t="shared" si="139"/>
        <v>C-4103-1500-17-0-4103057-03=11</v>
      </c>
      <c r="B183" s="217" t="str">
        <f>CONCATENATE(C183,"-",D183,"-",E183,"-",F183,"-",G183,"-",H183,"-",I183)</f>
        <v>C-4103-1500-17-0-4103057-03</v>
      </c>
      <c r="C183" s="266" t="s">
        <v>167</v>
      </c>
      <c r="D183" s="267" t="s">
        <v>190</v>
      </c>
      <c r="E183" s="267" t="s">
        <v>172</v>
      </c>
      <c r="F183" s="267" t="s">
        <v>217</v>
      </c>
      <c r="G183" s="267" t="s">
        <v>175</v>
      </c>
      <c r="H183" s="267" t="s">
        <v>221</v>
      </c>
      <c r="I183" s="274" t="s">
        <v>65</v>
      </c>
      <c r="J183" s="267"/>
      <c r="K183" s="268">
        <v>11</v>
      </c>
      <c r="L183" s="269" t="s">
        <v>29</v>
      </c>
      <c r="M183" s="259" t="s">
        <v>127</v>
      </c>
      <c r="N183" s="222"/>
      <c r="O183" s="222"/>
      <c r="P183" s="222"/>
      <c r="Q183" s="222"/>
      <c r="R183" s="222"/>
      <c r="S183" s="222"/>
      <c r="T183" s="222">
        <f>+N183-S183+O183-P183+Q183-R183</f>
        <v>0</v>
      </c>
      <c r="U183" s="222"/>
      <c r="V183" s="222">
        <f>+T183-U183</f>
        <v>0</v>
      </c>
      <c r="W183" s="224">
        <f t="shared" si="151"/>
        <v>0</v>
      </c>
      <c r="X183" s="222"/>
      <c r="Y183" s="222">
        <f>+U183-X183</f>
        <v>0</v>
      </c>
      <c r="Z183" s="224">
        <f t="shared" si="154"/>
        <v>0</v>
      </c>
      <c r="AA183" s="222"/>
      <c r="AB183" s="222">
        <f>+X183-AA183</f>
        <v>0</v>
      </c>
      <c r="AC183" s="224">
        <f t="shared" si="141"/>
        <v>0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36" hidden="1" customHeight="1">
      <c r="A184" s="32" t="str">
        <f t="shared" si="139"/>
        <v>C-4103-1500-17-0-4103058=11</v>
      </c>
      <c r="B184" s="210" t="str">
        <f>CONCATENATE(C184,"-",D184,"-",E184,"-",F184,"-",G184,"-",H184)</f>
        <v>C-4103-1500-17-0-4103058</v>
      </c>
      <c r="C184" s="211" t="s">
        <v>167</v>
      </c>
      <c r="D184" s="212" t="s">
        <v>190</v>
      </c>
      <c r="E184" s="212" t="s">
        <v>172</v>
      </c>
      <c r="F184" s="212" t="s">
        <v>217</v>
      </c>
      <c r="G184" s="212" t="s">
        <v>175</v>
      </c>
      <c r="H184" s="212" t="s">
        <v>223</v>
      </c>
      <c r="I184" s="212"/>
      <c r="J184" s="212"/>
      <c r="K184" s="213">
        <v>11</v>
      </c>
      <c r="L184" s="214" t="s">
        <v>29</v>
      </c>
      <c r="M184" s="210" t="s">
        <v>224</v>
      </c>
      <c r="N184" s="215">
        <f t="shared" ref="N184:V184" si="188">SUM(N185:N185)</f>
        <v>0</v>
      </c>
      <c r="O184" s="215">
        <f t="shared" si="188"/>
        <v>0</v>
      </c>
      <c r="P184" s="215">
        <f t="shared" si="188"/>
        <v>0</v>
      </c>
      <c r="Q184" s="215">
        <f t="shared" si="188"/>
        <v>0</v>
      </c>
      <c r="R184" s="215">
        <f t="shared" si="188"/>
        <v>0</v>
      </c>
      <c r="S184" s="215">
        <f t="shared" si="188"/>
        <v>0</v>
      </c>
      <c r="T184" s="215">
        <f t="shared" si="188"/>
        <v>0</v>
      </c>
      <c r="U184" s="215">
        <f t="shared" si="188"/>
        <v>0</v>
      </c>
      <c r="V184" s="215">
        <f t="shared" si="188"/>
        <v>0</v>
      </c>
      <c r="W184" s="216">
        <f t="shared" si="151"/>
        <v>0</v>
      </c>
      <c r="X184" s="215">
        <f t="shared" ref="X184:Y184" si="189">SUM(X185:X185)</f>
        <v>0</v>
      </c>
      <c r="Y184" s="215">
        <f t="shared" si="189"/>
        <v>0</v>
      </c>
      <c r="Z184" s="216">
        <f t="shared" si="154"/>
        <v>0</v>
      </c>
      <c r="AA184" s="215">
        <f t="shared" ref="AA184:AB184" si="190">SUM(AA185:AA185)</f>
        <v>0</v>
      </c>
      <c r="AB184" s="215">
        <f t="shared" si="190"/>
        <v>0</v>
      </c>
      <c r="AC184" s="216">
        <f t="shared" si="141"/>
        <v>0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24.95" hidden="1" customHeight="1">
      <c r="A185" s="32" t="str">
        <f t="shared" si="139"/>
        <v>C-4103-1500-17-0-4103058-02=11</v>
      </c>
      <c r="B185" s="217" t="str">
        <f>CONCATENATE(C185,"-",D185,"-",E185,"-",F185,"-",G185,"-",H185,"-",I185)</f>
        <v>C-4103-1500-17-0-4103058-02</v>
      </c>
      <c r="C185" s="266" t="s">
        <v>167</v>
      </c>
      <c r="D185" s="267" t="s">
        <v>190</v>
      </c>
      <c r="E185" s="267" t="s">
        <v>172</v>
      </c>
      <c r="F185" s="267" t="s">
        <v>217</v>
      </c>
      <c r="G185" s="267" t="s">
        <v>175</v>
      </c>
      <c r="H185" s="267" t="s">
        <v>223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/>
      <c r="O185" s="222"/>
      <c r="P185" s="222"/>
      <c r="Q185" s="223"/>
      <c r="R185" s="222"/>
      <c r="S185" s="222"/>
      <c r="T185" s="222">
        <f>+N185-S185+O185-P185+Q185-R185</f>
        <v>0</v>
      </c>
      <c r="U185" s="222"/>
      <c r="V185" s="222">
        <f t="shared" ref="V185" si="191">+T185-U185</f>
        <v>0</v>
      </c>
      <c r="W185" s="224">
        <f t="shared" si="151"/>
        <v>0</v>
      </c>
      <c r="X185" s="222"/>
      <c r="Y185" s="222">
        <f t="shared" ref="Y185" si="192">+U185-X185</f>
        <v>0</v>
      </c>
      <c r="Z185" s="224">
        <f t="shared" si="154"/>
        <v>0</v>
      </c>
      <c r="AA185" s="222"/>
      <c r="AB185" s="222">
        <f t="shared" ref="AB185" si="193">+X185-AA185</f>
        <v>0</v>
      </c>
      <c r="AC185" s="224">
        <f t="shared" si="141"/>
        <v>0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6.75" hidden="1" customHeight="1">
      <c r="A186" s="32" t="str">
        <f t="shared" si="139"/>
        <v>C-4103-1500-17-0-4103059=11</v>
      </c>
      <c r="B186" s="210" t="str">
        <f>CONCATENATE(C186,"-",D186,"-",E186,"-",F186,"-",G186,"-",H186)</f>
        <v>C-4103-1500-17-0-4103059</v>
      </c>
      <c r="C186" s="211" t="s">
        <v>167</v>
      </c>
      <c r="D186" s="212" t="s">
        <v>190</v>
      </c>
      <c r="E186" s="212" t="s">
        <v>172</v>
      </c>
      <c r="F186" s="212" t="s">
        <v>217</v>
      </c>
      <c r="G186" s="212" t="s">
        <v>175</v>
      </c>
      <c r="H186" s="212" t="s">
        <v>225</v>
      </c>
      <c r="I186" s="212"/>
      <c r="J186" s="212"/>
      <c r="K186" s="213">
        <v>11</v>
      </c>
      <c r="L186" s="214" t="s">
        <v>29</v>
      </c>
      <c r="M186" s="210" t="s">
        <v>226</v>
      </c>
      <c r="N186" s="215">
        <f>SUM(N187:N187)</f>
        <v>0</v>
      </c>
      <c r="O186" s="215">
        <f t="shared" ref="O186:V186" si="194">SUM(O187:O187)</f>
        <v>0</v>
      </c>
      <c r="P186" s="215">
        <f t="shared" si="194"/>
        <v>0</v>
      </c>
      <c r="Q186" s="215">
        <f t="shared" si="194"/>
        <v>0</v>
      </c>
      <c r="R186" s="215">
        <f t="shared" si="194"/>
        <v>0</v>
      </c>
      <c r="S186" s="215">
        <f t="shared" si="194"/>
        <v>0</v>
      </c>
      <c r="T186" s="215">
        <f t="shared" si="194"/>
        <v>0</v>
      </c>
      <c r="U186" s="215">
        <f t="shared" si="194"/>
        <v>0</v>
      </c>
      <c r="V186" s="215">
        <f t="shared" si="194"/>
        <v>0</v>
      </c>
      <c r="W186" s="216">
        <f t="shared" si="151"/>
        <v>0</v>
      </c>
      <c r="X186" s="215">
        <f t="shared" ref="X186:Y186" si="195">SUM(X187:X187)</f>
        <v>0</v>
      </c>
      <c r="Y186" s="215">
        <f t="shared" si="195"/>
        <v>0</v>
      </c>
      <c r="Z186" s="216">
        <f t="shared" si="154"/>
        <v>0</v>
      </c>
      <c r="AA186" s="215">
        <f t="shared" ref="AA186:AB186" si="196">SUM(AA187:AA187)</f>
        <v>0</v>
      </c>
      <c r="AB186" s="215">
        <f t="shared" si="196"/>
        <v>0</v>
      </c>
      <c r="AC186" s="216">
        <f t="shared" si="141"/>
        <v>0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hidden="1" customHeight="1">
      <c r="A187" s="32" t="str">
        <f t="shared" si="139"/>
        <v>C-4103-1500-17-0-4103059-02=11</v>
      </c>
      <c r="B187" s="217" t="str">
        <f>CONCATENATE(C187,"-",D187,"-",E187,"-",F187,"-",G187,"-",H187,"-",I187)</f>
        <v>C-4103-1500-17-0-4103059-02</v>
      </c>
      <c r="C187" s="266" t="s">
        <v>167</v>
      </c>
      <c r="D187" s="267" t="s">
        <v>190</v>
      </c>
      <c r="E187" s="267" t="s">
        <v>172</v>
      </c>
      <c r="F187" s="267" t="s">
        <v>217</v>
      </c>
      <c r="G187" s="267" t="s">
        <v>175</v>
      </c>
      <c r="H187" s="267" t="s">
        <v>225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/>
      <c r="O187" s="222"/>
      <c r="P187" s="222"/>
      <c r="Q187" s="222"/>
      <c r="R187" s="222"/>
      <c r="S187" s="222"/>
      <c r="T187" s="222">
        <f>+N187-S187+O187-P187+Q187-R187</f>
        <v>0</v>
      </c>
      <c r="U187" s="222"/>
      <c r="V187" s="222">
        <f t="shared" si="108"/>
        <v>0</v>
      </c>
      <c r="W187" s="224">
        <f t="shared" si="151"/>
        <v>0</v>
      </c>
      <c r="X187" s="222"/>
      <c r="Y187" s="222">
        <f t="shared" si="117"/>
        <v>0</v>
      </c>
      <c r="Z187" s="224">
        <f t="shared" si="154"/>
        <v>0</v>
      </c>
      <c r="AA187" s="222"/>
      <c r="AB187" s="222">
        <f t="shared" si="109"/>
        <v>0</v>
      </c>
      <c r="AC187" s="224">
        <f t="shared" si="141"/>
        <v>0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42" customHeight="1">
      <c r="A188" s="32" t="str">
        <f t="shared" si="139"/>
        <v>C-4103-1500-18=</v>
      </c>
      <c r="B188" s="226" t="str">
        <f>CONCATENATE(C188,"-",D188,"-",E188,"-",F188)</f>
        <v>C-4103-1500-18</v>
      </c>
      <c r="C188" s="227" t="s">
        <v>167</v>
      </c>
      <c r="D188" s="228" t="s">
        <v>190</v>
      </c>
      <c r="E188" s="228" t="s">
        <v>172</v>
      </c>
      <c r="F188" s="228">
        <v>18</v>
      </c>
      <c r="G188" s="228"/>
      <c r="H188" s="228"/>
      <c r="I188" s="228"/>
      <c r="J188" s="228"/>
      <c r="K188" s="229"/>
      <c r="L188" s="230"/>
      <c r="M188" s="231" t="s">
        <v>284</v>
      </c>
      <c r="N188" s="232">
        <f>+N189</f>
        <v>0</v>
      </c>
      <c r="O188" s="232">
        <f t="shared" ref="O188:AB188" si="197">+O189</f>
        <v>0</v>
      </c>
      <c r="P188" s="232">
        <f t="shared" si="197"/>
        <v>0</v>
      </c>
      <c r="Q188" s="232">
        <f t="shared" si="197"/>
        <v>0</v>
      </c>
      <c r="R188" s="232">
        <f t="shared" si="197"/>
        <v>0</v>
      </c>
      <c r="S188" s="232">
        <f t="shared" si="197"/>
        <v>0</v>
      </c>
      <c r="T188" s="232">
        <f t="shared" si="197"/>
        <v>0</v>
      </c>
      <c r="U188" s="232">
        <f t="shared" si="197"/>
        <v>0</v>
      </c>
      <c r="V188" s="232">
        <f t="shared" si="197"/>
        <v>0</v>
      </c>
      <c r="W188" s="233">
        <f t="shared" si="151"/>
        <v>0</v>
      </c>
      <c r="X188" s="232">
        <f t="shared" si="197"/>
        <v>0</v>
      </c>
      <c r="Y188" s="232">
        <f t="shared" si="197"/>
        <v>0</v>
      </c>
      <c r="Z188" s="233">
        <f t="shared" si="154"/>
        <v>0</v>
      </c>
      <c r="AA188" s="232">
        <f t="shared" si="197"/>
        <v>0</v>
      </c>
      <c r="AB188" s="232">
        <f t="shared" si="197"/>
        <v>0</v>
      </c>
      <c r="AC188" s="233">
        <f t="shared" si="141"/>
        <v>0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36" customHeight="1">
      <c r="A189" s="32" t="str">
        <f t="shared" si="139"/>
        <v>C-4103-1500-18-0-4103050=11</v>
      </c>
      <c r="B189" s="210" t="str">
        <f>CONCATENATE(C189,"-",D189,"-",E189,"-",F189,"-",G189,"-",H189)</f>
        <v>C-4103-1500-18-0-4103050</v>
      </c>
      <c r="C189" s="211" t="s">
        <v>167</v>
      </c>
      <c r="D189" s="212" t="s">
        <v>190</v>
      </c>
      <c r="E189" s="212" t="s">
        <v>172</v>
      </c>
      <c r="F189" s="212">
        <v>18</v>
      </c>
      <c r="G189" s="212" t="s">
        <v>175</v>
      </c>
      <c r="H189" s="212">
        <v>4103050</v>
      </c>
      <c r="I189" s="212"/>
      <c r="J189" s="212"/>
      <c r="K189" s="213">
        <v>11</v>
      </c>
      <c r="L189" s="214" t="s">
        <v>29</v>
      </c>
      <c r="M189" s="210" t="s">
        <v>269</v>
      </c>
      <c r="N189" s="215">
        <f>N190</f>
        <v>0</v>
      </c>
      <c r="O189" s="215">
        <f t="shared" ref="O189:AB189" si="198">O190</f>
        <v>0</v>
      </c>
      <c r="P189" s="215">
        <f t="shared" si="198"/>
        <v>0</v>
      </c>
      <c r="Q189" s="215">
        <f t="shared" si="198"/>
        <v>0</v>
      </c>
      <c r="R189" s="215">
        <f t="shared" si="198"/>
        <v>0</v>
      </c>
      <c r="S189" s="215">
        <f t="shared" si="198"/>
        <v>0</v>
      </c>
      <c r="T189" s="215">
        <f t="shared" si="198"/>
        <v>0</v>
      </c>
      <c r="U189" s="215">
        <f t="shared" si="198"/>
        <v>0</v>
      </c>
      <c r="V189" s="215">
        <f t="shared" si="198"/>
        <v>0</v>
      </c>
      <c r="W189" s="216">
        <f t="shared" si="151"/>
        <v>0</v>
      </c>
      <c r="X189" s="215">
        <f t="shared" si="198"/>
        <v>0</v>
      </c>
      <c r="Y189" s="215">
        <f t="shared" si="198"/>
        <v>0</v>
      </c>
      <c r="Z189" s="216">
        <f t="shared" si="154"/>
        <v>0</v>
      </c>
      <c r="AA189" s="215">
        <f t="shared" si="198"/>
        <v>0</v>
      </c>
      <c r="AB189" s="215">
        <f t="shared" si="198"/>
        <v>0</v>
      </c>
      <c r="AC189" s="216">
        <f t="shared" si="141"/>
        <v>0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tr">
        <f t="shared" si="139"/>
        <v>C-4103-1500-18-0-4103050-02=11</v>
      </c>
      <c r="B190" s="217" t="str">
        <f>CONCATENATE(C190,"-",D190,"-",E190,"-",F190,"-",G190,"-",H190,"-",I190)</f>
        <v>C-4103-1500-18-0-4103050-02</v>
      </c>
      <c r="C190" s="266" t="s">
        <v>167</v>
      </c>
      <c r="D190" s="267" t="s">
        <v>190</v>
      </c>
      <c r="E190" s="267" t="s">
        <v>172</v>
      </c>
      <c r="F190" s="267">
        <v>18</v>
      </c>
      <c r="G190" s="267" t="s">
        <v>175</v>
      </c>
      <c r="H190" s="267">
        <v>4103050</v>
      </c>
      <c r="I190" s="267" t="s">
        <v>54</v>
      </c>
      <c r="J190" s="267"/>
      <c r="K190" s="268">
        <v>11</v>
      </c>
      <c r="L190" s="269" t="s">
        <v>29</v>
      </c>
      <c r="M190" s="259" t="s">
        <v>178</v>
      </c>
      <c r="N190" s="222"/>
      <c r="O190" s="222"/>
      <c r="P190" s="222"/>
      <c r="Q190" s="222"/>
      <c r="R190" s="223"/>
      <c r="S190" s="222"/>
      <c r="T190" s="222">
        <f>+N190-S190+O190-P190+Q190-R190</f>
        <v>0</v>
      </c>
      <c r="U190" s="222"/>
      <c r="V190" s="222">
        <f>+T190-U190</f>
        <v>0</v>
      </c>
      <c r="W190" s="224">
        <f t="shared" si="151"/>
        <v>0</v>
      </c>
      <c r="X190" s="222"/>
      <c r="Y190" s="222">
        <f>+U190-X190</f>
        <v>0</v>
      </c>
      <c r="Z190" s="224">
        <f t="shared" si="154"/>
        <v>0</v>
      </c>
      <c r="AA190" s="222"/>
      <c r="AB190" s="222">
        <f>+X190-AA190</f>
        <v>0</v>
      </c>
      <c r="AC190" s="224">
        <f t="shared" si="141"/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36" customHeight="1">
      <c r="A191" s="32" t="str">
        <f t="shared" si="139"/>
        <v>C-4103-1500-19=</v>
      </c>
      <c r="B191" s="226" t="str">
        <f>CONCATENATE(C191,"-",D191,"-",E191,"-",F191)</f>
        <v>C-4103-1500-19</v>
      </c>
      <c r="C191" s="227" t="s">
        <v>167</v>
      </c>
      <c r="D191" s="228" t="s">
        <v>190</v>
      </c>
      <c r="E191" s="228" t="s">
        <v>172</v>
      </c>
      <c r="F191" s="228">
        <v>19</v>
      </c>
      <c r="G191" s="228"/>
      <c r="H191" s="228"/>
      <c r="I191" s="228"/>
      <c r="J191" s="228"/>
      <c r="K191" s="229"/>
      <c r="L191" s="230"/>
      <c r="M191" s="231" t="s">
        <v>285</v>
      </c>
      <c r="N191" s="232">
        <f>+N192+N194+N196</f>
        <v>12733806741</v>
      </c>
      <c r="O191" s="232">
        <f t="shared" ref="O191:V191" si="199">+O192+O194+O196</f>
        <v>0</v>
      </c>
      <c r="P191" s="232">
        <f t="shared" si="199"/>
        <v>0</v>
      </c>
      <c r="Q191" s="232">
        <f t="shared" si="199"/>
        <v>0</v>
      </c>
      <c r="R191" s="232">
        <f t="shared" si="199"/>
        <v>0</v>
      </c>
      <c r="S191" s="232">
        <f t="shared" si="199"/>
        <v>0</v>
      </c>
      <c r="T191" s="232">
        <f t="shared" si="199"/>
        <v>12733806741</v>
      </c>
      <c r="U191" s="232">
        <f t="shared" si="199"/>
        <v>9616786636</v>
      </c>
      <c r="V191" s="232">
        <f t="shared" si="199"/>
        <v>3117020105</v>
      </c>
      <c r="W191" s="233">
        <f t="shared" si="151"/>
        <v>0.75521694585140087</v>
      </c>
      <c r="X191" s="232">
        <f t="shared" ref="X191:AB191" si="200">+X192+X194+X196</f>
        <v>1036766131.0599999</v>
      </c>
      <c r="Y191" s="232">
        <f t="shared" si="200"/>
        <v>8580020504.9400005</v>
      </c>
      <c r="Z191" s="233">
        <f t="shared" si="154"/>
        <v>0.8921920418636603</v>
      </c>
      <c r="AA191" s="232">
        <f t="shared" si="200"/>
        <v>733539685.05999994</v>
      </c>
      <c r="AB191" s="232">
        <f t="shared" si="200"/>
        <v>303226446</v>
      </c>
      <c r="AC191" s="233">
        <f t="shared" si="141"/>
        <v>7.6277005285115482E-2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39.75" customHeight="1">
      <c r="A192" s="32" t="str">
        <f t="shared" si="139"/>
        <v>C-4103-1500-19-0-4103049=11</v>
      </c>
      <c r="B192" s="210" t="str">
        <f>CONCATENATE(C192,"-",D192,"-",E192,"-",F192,"-",G192,"-",H192)</f>
        <v>C-4103-1500-19-0-4103049</v>
      </c>
      <c r="C192" s="211" t="s">
        <v>167</v>
      </c>
      <c r="D192" s="212" t="s">
        <v>190</v>
      </c>
      <c r="E192" s="212" t="s">
        <v>172</v>
      </c>
      <c r="F192" s="212">
        <v>19</v>
      </c>
      <c r="G192" s="212" t="s">
        <v>175</v>
      </c>
      <c r="H192" s="212">
        <v>4103049</v>
      </c>
      <c r="I192" s="212"/>
      <c r="J192" s="212"/>
      <c r="K192" s="213">
        <v>11</v>
      </c>
      <c r="L192" s="214" t="s">
        <v>29</v>
      </c>
      <c r="M192" s="210" t="s">
        <v>228</v>
      </c>
      <c r="N192" s="215">
        <f>N193</f>
        <v>380000000</v>
      </c>
      <c r="O192" s="215">
        <f t="shared" ref="O192:AB196" si="201">O193</f>
        <v>0</v>
      </c>
      <c r="P192" s="215">
        <f t="shared" si="201"/>
        <v>0</v>
      </c>
      <c r="Q192" s="215">
        <f t="shared" si="201"/>
        <v>0</v>
      </c>
      <c r="R192" s="215">
        <f t="shared" si="201"/>
        <v>0</v>
      </c>
      <c r="S192" s="215">
        <f t="shared" si="201"/>
        <v>0</v>
      </c>
      <c r="T192" s="215">
        <f t="shared" si="201"/>
        <v>380000000</v>
      </c>
      <c r="U192" s="215">
        <f t="shared" si="201"/>
        <v>272454258</v>
      </c>
      <c r="V192" s="215">
        <f t="shared" si="201"/>
        <v>107545742</v>
      </c>
      <c r="W192" s="216">
        <f t="shared" si="151"/>
        <v>0.71698488947368422</v>
      </c>
      <c r="X192" s="215">
        <f t="shared" si="201"/>
        <v>45943619</v>
      </c>
      <c r="Y192" s="215">
        <f t="shared" si="201"/>
        <v>226510639</v>
      </c>
      <c r="Z192" s="216">
        <f t="shared" si="154"/>
        <v>0.83137125718916094</v>
      </c>
      <c r="AA192" s="215">
        <f t="shared" si="201"/>
        <v>45943619</v>
      </c>
      <c r="AB192" s="215">
        <f t="shared" si="201"/>
        <v>0</v>
      </c>
      <c r="AC192" s="216">
        <f t="shared" si="141"/>
        <v>0.16862874281083909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24.95" customHeight="1">
      <c r="A193" s="32" t="str">
        <f t="shared" si="139"/>
        <v>C-4103-1500-19-0-4103049-02=11</v>
      </c>
      <c r="B193" s="217" t="str">
        <f>CONCATENATE(C193,"-",D193,"-",E193,"-",F193,"-",G193,"-",H193,"-",I193)</f>
        <v>C-4103-1500-19-0-4103049-02</v>
      </c>
      <c r="C193" s="266" t="s">
        <v>167</v>
      </c>
      <c r="D193" s="267" t="s">
        <v>190</v>
      </c>
      <c r="E193" s="267" t="s">
        <v>172</v>
      </c>
      <c r="F193" s="267">
        <v>19</v>
      </c>
      <c r="G193" s="267" t="s">
        <v>175</v>
      </c>
      <c r="H193" s="267">
        <v>4103049</v>
      </c>
      <c r="I193" s="267" t="s">
        <v>54</v>
      </c>
      <c r="J193" s="267"/>
      <c r="K193" s="268">
        <v>11</v>
      </c>
      <c r="L193" s="269" t="s">
        <v>29</v>
      </c>
      <c r="M193" s="259" t="s">
        <v>178</v>
      </c>
      <c r="N193" s="222">
        <v>380000000</v>
      </c>
      <c r="O193" s="222"/>
      <c r="P193" s="222"/>
      <c r="Q193" s="222"/>
      <c r="R193" s="223"/>
      <c r="S193" s="222"/>
      <c r="T193" s="222">
        <f>+N193-S193+O193-P193+Q193-R193</f>
        <v>380000000</v>
      </c>
      <c r="U193" s="222">
        <v>272454258</v>
      </c>
      <c r="V193" s="222">
        <f>+T193-U193</f>
        <v>107545742</v>
      </c>
      <c r="W193" s="224">
        <f t="shared" si="151"/>
        <v>0.71698488947368422</v>
      </c>
      <c r="X193" s="222">
        <v>45943619</v>
      </c>
      <c r="Y193" s="222">
        <f>+U193-X193</f>
        <v>226510639</v>
      </c>
      <c r="Z193" s="224">
        <f t="shared" si="154"/>
        <v>0.83137125718916094</v>
      </c>
      <c r="AA193" s="222">
        <v>45943619</v>
      </c>
      <c r="AB193" s="222">
        <f>+X193-AA193</f>
        <v>0</v>
      </c>
      <c r="AC193" s="224">
        <f t="shared" si="141"/>
        <v>0.16862874281083909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34.5" customHeight="1">
      <c r="A194" s="32" t="str">
        <f t="shared" si="139"/>
        <v>C-4103-1500-19-0-4103052=11</v>
      </c>
      <c r="B194" s="210" t="str">
        <f>CONCATENATE(C194,"-",D194,"-",E194,"-",F194,"-",G194,"-",H194)</f>
        <v>C-4103-1500-19-0-4103052</v>
      </c>
      <c r="C194" s="211" t="s">
        <v>167</v>
      </c>
      <c r="D194" s="212" t="s">
        <v>190</v>
      </c>
      <c r="E194" s="212" t="s">
        <v>172</v>
      </c>
      <c r="F194" s="212">
        <v>19</v>
      </c>
      <c r="G194" s="212" t="s">
        <v>175</v>
      </c>
      <c r="H194" s="212">
        <v>4103052</v>
      </c>
      <c r="I194" s="212"/>
      <c r="J194" s="212"/>
      <c r="K194" s="213">
        <v>11</v>
      </c>
      <c r="L194" s="214" t="s">
        <v>29</v>
      </c>
      <c r="M194" s="210" t="s">
        <v>229</v>
      </c>
      <c r="N194" s="215">
        <f>N195</f>
        <v>12353806741</v>
      </c>
      <c r="O194" s="215">
        <f t="shared" si="201"/>
        <v>0</v>
      </c>
      <c r="P194" s="215">
        <f t="shared" si="201"/>
        <v>0</v>
      </c>
      <c r="Q194" s="215">
        <f t="shared" si="201"/>
        <v>0</v>
      </c>
      <c r="R194" s="215">
        <f t="shared" si="201"/>
        <v>0</v>
      </c>
      <c r="S194" s="215">
        <f t="shared" si="201"/>
        <v>0</v>
      </c>
      <c r="T194" s="215">
        <f t="shared" si="201"/>
        <v>12353806741</v>
      </c>
      <c r="U194" s="215">
        <f t="shared" si="201"/>
        <v>9344332378</v>
      </c>
      <c r="V194" s="215">
        <f t="shared" si="201"/>
        <v>3009474363</v>
      </c>
      <c r="W194" s="216">
        <f t="shared" si="151"/>
        <v>0.7563929543262069</v>
      </c>
      <c r="X194" s="215">
        <f t="shared" si="201"/>
        <v>990822512.05999994</v>
      </c>
      <c r="Y194" s="215">
        <f t="shared" si="201"/>
        <v>8353509865.9400005</v>
      </c>
      <c r="Z194" s="216">
        <f t="shared" si="154"/>
        <v>0.89396540362875354</v>
      </c>
      <c r="AA194" s="215">
        <f t="shared" si="201"/>
        <v>687596066.05999994</v>
      </c>
      <c r="AB194" s="215">
        <f t="shared" si="201"/>
        <v>303226446</v>
      </c>
      <c r="AC194" s="216">
        <f t="shared" si="141"/>
        <v>7.3584290267633704E-2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tr">
        <f t="shared" si="139"/>
        <v>C-4103-1500-19-0-4103052-02=11</v>
      </c>
      <c r="B195" s="217" t="str">
        <f>CONCATENATE(C195,"-",D195,"-",E195,"-",F195,"-",G195,"-",H195,"-",I195)</f>
        <v>C-4103-1500-19-0-4103052-02</v>
      </c>
      <c r="C195" s="266" t="s">
        <v>167</v>
      </c>
      <c r="D195" s="267" t="s">
        <v>190</v>
      </c>
      <c r="E195" s="267" t="s">
        <v>172</v>
      </c>
      <c r="F195" s="267">
        <v>19</v>
      </c>
      <c r="G195" s="267" t="s">
        <v>175</v>
      </c>
      <c r="H195" s="267">
        <v>4103052</v>
      </c>
      <c r="I195" s="267" t="s">
        <v>54</v>
      </c>
      <c r="J195" s="267"/>
      <c r="K195" s="268">
        <v>11</v>
      </c>
      <c r="L195" s="269" t="s">
        <v>29</v>
      </c>
      <c r="M195" s="259" t="s">
        <v>178</v>
      </c>
      <c r="N195" s="222">
        <v>12353806741</v>
      </c>
      <c r="O195" s="222"/>
      <c r="P195" s="222"/>
      <c r="Q195" s="222"/>
      <c r="R195" s="223"/>
      <c r="S195" s="222"/>
      <c r="T195" s="222">
        <f>+N195-S195+O195-P195+Q195-R195</f>
        <v>12353806741</v>
      </c>
      <c r="U195" s="222">
        <v>9344332378</v>
      </c>
      <c r="V195" s="222">
        <f>+T195-U195</f>
        <v>3009474363</v>
      </c>
      <c r="W195" s="224">
        <f t="shared" si="151"/>
        <v>0.7563929543262069</v>
      </c>
      <c r="X195" s="222">
        <v>990822512.05999994</v>
      </c>
      <c r="Y195" s="222">
        <f>+U195-X195</f>
        <v>8353509865.9400005</v>
      </c>
      <c r="Z195" s="224">
        <f t="shared" si="154"/>
        <v>0.89396540362875354</v>
      </c>
      <c r="AA195" s="222">
        <v>687596066.05999994</v>
      </c>
      <c r="AB195" s="222">
        <f>+X195-AA195</f>
        <v>303226446</v>
      </c>
      <c r="AC195" s="224">
        <f t="shared" si="141"/>
        <v>7.3584290267633704E-2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24.95" customHeight="1">
      <c r="A196" s="32" t="str">
        <f t="shared" si="139"/>
        <v>C-4103-1500-19-0-4103060=11</v>
      </c>
      <c r="B196" s="210" t="str">
        <f>CONCATENATE(C196,"-",D196,"-",E196,"-",F196,"-",G196,"-",H196)</f>
        <v>C-4103-1500-19-0-4103060</v>
      </c>
      <c r="C196" s="211" t="s">
        <v>167</v>
      </c>
      <c r="D196" s="212" t="s">
        <v>190</v>
      </c>
      <c r="E196" s="212" t="s">
        <v>172</v>
      </c>
      <c r="F196" s="212">
        <v>19</v>
      </c>
      <c r="G196" s="212" t="s">
        <v>175</v>
      </c>
      <c r="H196" s="212">
        <v>4103060</v>
      </c>
      <c r="I196" s="212"/>
      <c r="J196" s="212"/>
      <c r="K196" s="213">
        <v>11</v>
      </c>
      <c r="L196" s="214" t="s">
        <v>29</v>
      </c>
      <c r="M196" s="210" t="s">
        <v>216</v>
      </c>
      <c r="N196" s="215">
        <f>N197</f>
        <v>0</v>
      </c>
      <c r="O196" s="215">
        <f t="shared" si="201"/>
        <v>0</v>
      </c>
      <c r="P196" s="215">
        <f t="shared" si="201"/>
        <v>0</v>
      </c>
      <c r="Q196" s="215">
        <f t="shared" si="201"/>
        <v>0</v>
      </c>
      <c r="R196" s="215">
        <f t="shared" si="201"/>
        <v>0</v>
      </c>
      <c r="S196" s="215">
        <f t="shared" si="201"/>
        <v>0</v>
      </c>
      <c r="T196" s="215">
        <f t="shared" si="201"/>
        <v>0</v>
      </c>
      <c r="U196" s="215">
        <f t="shared" si="201"/>
        <v>0</v>
      </c>
      <c r="V196" s="215">
        <f t="shared" si="201"/>
        <v>0</v>
      </c>
      <c r="W196" s="216">
        <f t="shared" si="151"/>
        <v>0</v>
      </c>
      <c r="X196" s="215">
        <f t="shared" si="201"/>
        <v>0</v>
      </c>
      <c r="Y196" s="215">
        <f t="shared" si="201"/>
        <v>0</v>
      </c>
      <c r="Z196" s="216">
        <f t="shared" si="154"/>
        <v>0</v>
      </c>
      <c r="AA196" s="215">
        <f t="shared" si="201"/>
        <v>0</v>
      </c>
      <c r="AB196" s="215">
        <f t="shared" si="201"/>
        <v>0</v>
      </c>
      <c r="AC196" s="216">
        <f t="shared" si="141"/>
        <v>0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24.95" customHeight="1">
      <c r="A197" s="32" t="str">
        <f t="shared" si="139"/>
        <v>C-4103-1500-19-0-4103060-02=11</v>
      </c>
      <c r="B197" s="217" t="str">
        <f>CONCATENATE(C197,"-",D197,"-",E197,"-",F197,"-",G197,"-",H197,"-",I197)</f>
        <v>C-4103-1500-19-0-4103060-02</v>
      </c>
      <c r="C197" s="266" t="s">
        <v>167</v>
      </c>
      <c r="D197" s="267" t="s">
        <v>190</v>
      </c>
      <c r="E197" s="267" t="s">
        <v>172</v>
      </c>
      <c r="F197" s="267">
        <v>19</v>
      </c>
      <c r="G197" s="267" t="s">
        <v>175</v>
      </c>
      <c r="H197" s="267">
        <v>4103060</v>
      </c>
      <c r="I197" s="267" t="s">
        <v>54</v>
      </c>
      <c r="J197" s="267"/>
      <c r="K197" s="268">
        <v>11</v>
      </c>
      <c r="L197" s="269" t="s">
        <v>29</v>
      </c>
      <c r="M197" s="259" t="s">
        <v>178</v>
      </c>
      <c r="N197" s="222"/>
      <c r="O197" s="222"/>
      <c r="P197" s="222"/>
      <c r="Q197" s="222"/>
      <c r="R197" s="222"/>
      <c r="S197" s="222"/>
      <c r="T197" s="222">
        <f>+N197-S197+O197-P197+Q197-R197</f>
        <v>0</v>
      </c>
      <c r="U197" s="222">
        <v>0</v>
      </c>
      <c r="V197" s="222">
        <f>+T197-U197</f>
        <v>0</v>
      </c>
      <c r="W197" s="224">
        <f t="shared" si="151"/>
        <v>0</v>
      </c>
      <c r="X197" s="222">
        <v>0</v>
      </c>
      <c r="Y197" s="222">
        <f>+U197-X197</f>
        <v>0</v>
      </c>
      <c r="Z197" s="224">
        <f t="shared" si="154"/>
        <v>0</v>
      </c>
      <c r="AA197" s="222">
        <v>0</v>
      </c>
      <c r="AB197" s="222">
        <f>+X197-AA197</f>
        <v>0</v>
      </c>
      <c r="AC197" s="224">
        <f t="shared" si="141"/>
        <v>0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47.25" customHeight="1">
      <c r="A198" s="32" t="str">
        <f t="shared" si="139"/>
        <v>C-4103-1500-20=</v>
      </c>
      <c r="B198" s="226" t="str">
        <f>CONCATENATE(C198,"-",D198,"-",E198,"-",F198)</f>
        <v>C-4103-1500-20</v>
      </c>
      <c r="C198" s="227" t="s">
        <v>167</v>
      </c>
      <c r="D198" s="228" t="s">
        <v>190</v>
      </c>
      <c r="E198" s="228" t="s">
        <v>172</v>
      </c>
      <c r="F198" s="228">
        <v>20</v>
      </c>
      <c r="G198" s="228"/>
      <c r="H198" s="228"/>
      <c r="I198" s="228"/>
      <c r="J198" s="228"/>
      <c r="K198" s="229"/>
      <c r="L198" s="230"/>
      <c r="M198" s="231" t="s">
        <v>777</v>
      </c>
      <c r="N198" s="232">
        <f>+N199</f>
        <v>960000000000</v>
      </c>
      <c r="O198" s="232">
        <f t="shared" ref="O198:V198" si="202">+O199</f>
        <v>0</v>
      </c>
      <c r="P198" s="232">
        <f t="shared" si="202"/>
        <v>0</v>
      </c>
      <c r="Q198" s="232">
        <f t="shared" si="202"/>
        <v>0</v>
      </c>
      <c r="R198" s="232">
        <f t="shared" si="202"/>
        <v>0</v>
      </c>
      <c r="S198" s="232">
        <f t="shared" si="202"/>
        <v>0</v>
      </c>
      <c r="T198" s="232">
        <f t="shared" si="202"/>
        <v>960000000000</v>
      </c>
      <c r="U198" s="232">
        <f t="shared" si="202"/>
        <v>187067994141</v>
      </c>
      <c r="V198" s="232">
        <f t="shared" si="202"/>
        <v>772932005859</v>
      </c>
      <c r="W198" s="233">
        <f t="shared" si="151"/>
        <v>0.19486249389687499</v>
      </c>
      <c r="X198" s="232">
        <f t="shared" ref="X198:Y198" si="203">+X199</f>
        <v>152940431657.01001</v>
      </c>
      <c r="Y198" s="232">
        <f t="shared" si="203"/>
        <v>34127562483.990002</v>
      </c>
      <c r="Z198" s="233">
        <f t="shared" si="154"/>
        <v>0.18243400021848102</v>
      </c>
      <c r="AA198" s="232">
        <f t="shared" ref="AA198:AB198" si="204">+AA199</f>
        <v>152905771723.01001</v>
      </c>
      <c r="AB198" s="232">
        <f t="shared" si="204"/>
        <v>34659934</v>
      </c>
      <c r="AC198" s="233">
        <f t="shared" si="141"/>
        <v>0.81738071990957106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36.75" customHeight="1">
      <c r="A199" s="32" t="str">
        <f t="shared" si="139"/>
        <v>C-4103-1500-20-0-4103061=11</v>
      </c>
      <c r="B199" s="210" t="str">
        <f>CONCATENATE(C199,"-",D199,"-",E199,"-",F199,"-",G199,"-",H199)</f>
        <v>C-4103-1500-20-0-4103061</v>
      </c>
      <c r="C199" s="211" t="s">
        <v>167</v>
      </c>
      <c r="D199" s="212" t="s">
        <v>190</v>
      </c>
      <c r="E199" s="212" t="s">
        <v>172</v>
      </c>
      <c r="F199" s="212">
        <v>20</v>
      </c>
      <c r="G199" s="212" t="s">
        <v>175</v>
      </c>
      <c r="H199" s="212">
        <v>4103061</v>
      </c>
      <c r="I199" s="212"/>
      <c r="J199" s="212"/>
      <c r="K199" s="213">
        <v>11</v>
      </c>
      <c r="L199" s="214" t="s">
        <v>29</v>
      </c>
      <c r="M199" s="210" t="s">
        <v>231</v>
      </c>
      <c r="N199" s="215">
        <f>SUM(N200:N201)</f>
        <v>960000000000</v>
      </c>
      <c r="O199" s="215">
        <f t="shared" ref="O199:V199" si="205">SUM(O200:O201)</f>
        <v>0</v>
      </c>
      <c r="P199" s="215">
        <f t="shared" si="205"/>
        <v>0</v>
      </c>
      <c r="Q199" s="215">
        <f t="shared" si="205"/>
        <v>0</v>
      </c>
      <c r="R199" s="215">
        <f t="shared" si="205"/>
        <v>0</v>
      </c>
      <c r="S199" s="215">
        <f t="shared" si="205"/>
        <v>0</v>
      </c>
      <c r="T199" s="215">
        <f t="shared" si="205"/>
        <v>960000000000</v>
      </c>
      <c r="U199" s="215">
        <f t="shared" si="205"/>
        <v>187067994141</v>
      </c>
      <c r="V199" s="215">
        <f t="shared" si="205"/>
        <v>772932005859</v>
      </c>
      <c r="W199" s="216">
        <f t="shared" si="151"/>
        <v>0.19486249389687499</v>
      </c>
      <c r="X199" s="215">
        <f t="shared" ref="X199:Y199" si="206">SUM(X200:X201)</f>
        <v>152940431657.01001</v>
      </c>
      <c r="Y199" s="215">
        <f t="shared" si="206"/>
        <v>34127562483.990002</v>
      </c>
      <c r="Z199" s="216">
        <f t="shared" si="154"/>
        <v>0.18243400021848102</v>
      </c>
      <c r="AA199" s="215">
        <f t="shared" ref="AA199:AB199" si="207">SUM(AA200:AA201)</f>
        <v>152905771723.01001</v>
      </c>
      <c r="AB199" s="215">
        <f t="shared" si="207"/>
        <v>34659934</v>
      </c>
      <c r="AC199" s="216">
        <f t="shared" si="141"/>
        <v>0.81738071990957106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>
      <c r="A200" s="32" t="str">
        <f t="shared" si="139"/>
        <v>C-4103-1500-20-0-4103061-02=11</v>
      </c>
      <c r="B200" s="217" t="str">
        <f>CONCATENATE(C200,"-",D200,"-",E200,"-",F200,"-",G200,"-",H200,"-",I200)</f>
        <v>C-4103-1500-20-0-4103061-02</v>
      </c>
      <c r="C200" s="266" t="s">
        <v>167</v>
      </c>
      <c r="D200" s="267" t="s">
        <v>190</v>
      </c>
      <c r="E200" s="267" t="s">
        <v>172</v>
      </c>
      <c r="F200" s="267">
        <v>20</v>
      </c>
      <c r="G200" s="267" t="s">
        <v>175</v>
      </c>
      <c r="H200" s="267">
        <v>4103061</v>
      </c>
      <c r="I200" s="267" t="s">
        <v>54</v>
      </c>
      <c r="J200" s="267"/>
      <c r="K200" s="268">
        <v>11</v>
      </c>
      <c r="L200" s="269" t="s">
        <v>29</v>
      </c>
      <c r="M200" s="259" t="s">
        <v>178</v>
      </c>
      <c r="N200" s="222">
        <v>52278387000</v>
      </c>
      <c r="O200" s="222"/>
      <c r="P200" s="222"/>
      <c r="Q200" s="222"/>
      <c r="R200" s="223"/>
      <c r="S200" s="222"/>
      <c r="T200" s="222">
        <f>+N200+O200-P200+Q200-R200-S200</f>
        <v>52278387000</v>
      </c>
      <c r="U200" s="222">
        <v>35067994141</v>
      </c>
      <c r="V200" s="222">
        <f>+T200-U200</f>
        <v>17210392859</v>
      </c>
      <c r="W200" s="224">
        <f t="shared" si="151"/>
        <v>0.67079334603418428</v>
      </c>
      <c r="X200" s="222">
        <v>940431657.00999999</v>
      </c>
      <c r="Y200" s="222">
        <f>+U200-X200</f>
        <v>34127562483.990002</v>
      </c>
      <c r="Z200" s="224">
        <f t="shared" si="154"/>
        <v>0.97318262193073413</v>
      </c>
      <c r="AA200" s="222">
        <v>905771723.00999999</v>
      </c>
      <c r="AB200" s="222">
        <f>+X200-AA200</f>
        <v>34659934</v>
      </c>
      <c r="AC200" s="224">
        <f t="shared" si="141"/>
        <v>2.5829014324803095E-2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24.95" customHeight="1">
      <c r="A201" s="32" t="str">
        <f t="shared" si="139"/>
        <v>C-4103-1500-20-0-4103061-03=11</v>
      </c>
      <c r="B201" s="217" t="str">
        <f>CONCATENATE(C201,"-",D201,"-",E201,"-",F201,"-",G201,"-",H201,"-",I201)</f>
        <v>C-4103-1500-20-0-4103061-03</v>
      </c>
      <c r="C201" s="266" t="s">
        <v>167</v>
      </c>
      <c r="D201" s="267" t="s">
        <v>190</v>
      </c>
      <c r="E201" s="267" t="s">
        <v>172</v>
      </c>
      <c r="F201" s="267">
        <v>20</v>
      </c>
      <c r="G201" s="267" t="s">
        <v>175</v>
      </c>
      <c r="H201" s="267">
        <v>4103061</v>
      </c>
      <c r="I201" s="274" t="s">
        <v>65</v>
      </c>
      <c r="J201" s="267"/>
      <c r="K201" s="268">
        <v>11</v>
      </c>
      <c r="L201" s="269" t="s">
        <v>29</v>
      </c>
      <c r="M201" s="259" t="s">
        <v>127</v>
      </c>
      <c r="N201" s="222">
        <v>907721613000</v>
      </c>
      <c r="O201" s="222"/>
      <c r="P201" s="222"/>
      <c r="Q201" s="222"/>
      <c r="R201" s="223"/>
      <c r="S201" s="222"/>
      <c r="T201" s="222">
        <f>+N201+O201-P201+Q201-R201-S201</f>
        <v>907721613000</v>
      </c>
      <c r="U201" s="222">
        <v>152000000000</v>
      </c>
      <c r="V201" s="222">
        <f>+T201-U201</f>
        <v>755721613000</v>
      </c>
      <c r="W201" s="224">
        <f t="shared" si="151"/>
        <v>0.1674522208385491</v>
      </c>
      <c r="X201" s="222">
        <v>152000000000</v>
      </c>
      <c r="Y201" s="222">
        <f>+U201-X201</f>
        <v>0</v>
      </c>
      <c r="Z201" s="224">
        <f t="shared" si="154"/>
        <v>0</v>
      </c>
      <c r="AA201" s="222">
        <v>152000000000</v>
      </c>
      <c r="AB201" s="222">
        <f>+X201-AA201</f>
        <v>0</v>
      </c>
      <c r="AC201" s="224">
        <f t="shared" si="141"/>
        <v>1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ht="52.5" customHeight="1">
      <c r="A202" s="32" t="str">
        <f t="shared" si="139"/>
        <v>C-4103-1500-21=</v>
      </c>
      <c r="B202" s="226" t="str">
        <f>CONCATENATE(C202,"-",D202,"-",E202,"-",F202)</f>
        <v>C-4103-1500-21</v>
      </c>
      <c r="C202" s="227" t="s">
        <v>167</v>
      </c>
      <c r="D202" s="228">
        <v>4103</v>
      </c>
      <c r="E202" s="228" t="s">
        <v>172</v>
      </c>
      <c r="F202" s="228">
        <v>21</v>
      </c>
      <c r="G202" s="228"/>
      <c r="H202" s="228"/>
      <c r="I202" s="228"/>
      <c r="J202" s="228"/>
      <c r="K202" s="229"/>
      <c r="L202" s="230"/>
      <c r="M202" s="231" t="s">
        <v>778</v>
      </c>
      <c r="N202" s="232">
        <f>+N207+N209+N211+N203+N205</f>
        <v>25000000000</v>
      </c>
      <c r="O202" s="232">
        <f t="shared" ref="O202:AB202" si="208">+O207+O209+O211+O203+O205</f>
        <v>0</v>
      </c>
      <c r="P202" s="232">
        <f t="shared" si="208"/>
        <v>0</v>
      </c>
      <c r="Q202" s="232">
        <f t="shared" si="208"/>
        <v>16740482418</v>
      </c>
      <c r="R202" s="232">
        <f t="shared" si="208"/>
        <v>16740482418</v>
      </c>
      <c r="S202" s="232">
        <f t="shared" si="208"/>
        <v>0</v>
      </c>
      <c r="T202" s="232">
        <f t="shared" si="208"/>
        <v>25000000000</v>
      </c>
      <c r="U202" s="232">
        <f t="shared" si="208"/>
        <v>1955924938</v>
      </c>
      <c r="V202" s="232">
        <f t="shared" si="208"/>
        <v>23044075062</v>
      </c>
      <c r="W202" s="233">
        <f t="shared" si="151"/>
        <v>7.8236997520000004E-2</v>
      </c>
      <c r="X202" s="232">
        <f t="shared" si="208"/>
        <v>280709454</v>
      </c>
      <c r="Y202" s="232">
        <f t="shared" si="208"/>
        <v>1675215484</v>
      </c>
      <c r="Z202" s="233">
        <f t="shared" si="154"/>
        <v>0.85648250168176954</v>
      </c>
      <c r="AA202" s="232">
        <f t="shared" si="208"/>
        <v>271426493</v>
      </c>
      <c r="AB202" s="232">
        <f t="shared" si="208"/>
        <v>9282961</v>
      </c>
      <c r="AC202" s="233">
        <f t="shared" si="141"/>
        <v>0.13877142610469645</v>
      </c>
    </row>
    <row r="203" spans="1:52" ht="24.95" customHeight="1">
      <c r="A203" s="32" t="str">
        <f t="shared" si="139"/>
        <v>C-4103-1500-21-0-4103005=11</v>
      </c>
      <c r="B203" s="210" t="str">
        <f>CONCATENATE(C203,"-",D203,"-",E203,"-",F203,"-",G203,"-",H203)</f>
        <v>C-4103-1500-21-0-4103005</v>
      </c>
      <c r="C203" s="211" t="s">
        <v>167</v>
      </c>
      <c r="D203" s="212">
        <v>4103</v>
      </c>
      <c r="E203" s="212" t="s">
        <v>172</v>
      </c>
      <c r="F203" s="212">
        <v>21</v>
      </c>
      <c r="G203" s="212" t="s">
        <v>175</v>
      </c>
      <c r="H203" s="212" t="s">
        <v>219</v>
      </c>
      <c r="I203" s="212"/>
      <c r="J203" s="212"/>
      <c r="K203" s="213" t="s">
        <v>144</v>
      </c>
      <c r="L203" s="214" t="s">
        <v>29</v>
      </c>
      <c r="M203" s="210" t="s">
        <v>233</v>
      </c>
      <c r="N203" s="215">
        <f t="shared" ref="N203:V203" si="209">SUM(N204:N204)</f>
        <v>2606454177</v>
      </c>
      <c r="O203" s="215">
        <f t="shared" si="209"/>
        <v>0</v>
      </c>
      <c r="P203" s="215">
        <f t="shared" si="209"/>
        <v>0</v>
      </c>
      <c r="Q203" s="215">
        <f t="shared" si="209"/>
        <v>130864071</v>
      </c>
      <c r="R203" s="215">
        <f t="shared" si="209"/>
        <v>261728142</v>
      </c>
      <c r="S203" s="215">
        <f t="shared" si="209"/>
        <v>0</v>
      </c>
      <c r="T203" s="215">
        <f t="shared" si="209"/>
        <v>2475590106</v>
      </c>
      <c r="U203" s="215">
        <f t="shared" si="209"/>
        <v>0</v>
      </c>
      <c r="V203" s="215">
        <f t="shared" si="209"/>
        <v>2475590106</v>
      </c>
      <c r="W203" s="216">
        <f t="shared" si="151"/>
        <v>0</v>
      </c>
      <c r="X203" s="215">
        <f t="shared" ref="X203:Y203" si="210">SUM(X204:X204)</f>
        <v>0</v>
      </c>
      <c r="Y203" s="215">
        <f t="shared" si="210"/>
        <v>0</v>
      </c>
      <c r="Z203" s="216">
        <f t="shared" si="154"/>
        <v>0</v>
      </c>
      <c r="AA203" s="215">
        <f t="shared" ref="AA203:AB203" si="211">SUM(AA204:AA204)</f>
        <v>0</v>
      </c>
      <c r="AB203" s="215">
        <f t="shared" si="211"/>
        <v>0</v>
      </c>
      <c r="AC203" s="216">
        <f t="shared" si="141"/>
        <v>0</v>
      </c>
    </row>
    <row r="204" spans="1:52" ht="24.95" customHeight="1">
      <c r="A204" s="32" t="str">
        <f t="shared" si="139"/>
        <v>C-4103-1500-21-0-4103005-02=11</v>
      </c>
      <c r="B204" s="217" t="str">
        <f>CONCATENATE(C204,"-",D204,"-",E204,"-",F204,"-",G204,"-",H204,"-",I204)</f>
        <v>C-4103-1500-21-0-4103005-02</v>
      </c>
      <c r="C204" s="218" t="s">
        <v>167</v>
      </c>
      <c r="D204" s="219">
        <v>4103</v>
      </c>
      <c r="E204" s="219" t="s">
        <v>172</v>
      </c>
      <c r="F204" s="219">
        <v>21</v>
      </c>
      <c r="G204" s="219" t="s">
        <v>175</v>
      </c>
      <c r="H204" s="219" t="s">
        <v>219</v>
      </c>
      <c r="I204" s="219" t="s">
        <v>54</v>
      </c>
      <c r="J204" s="219"/>
      <c r="K204" s="220" t="s">
        <v>144</v>
      </c>
      <c r="L204" s="221" t="s">
        <v>29</v>
      </c>
      <c r="M204" s="259" t="s">
        <v>178</v>
      </c>
      <c r="N204" s="222">
        <v>2606454177</v>
      </c>
      <c r="O204" s="222"/>
      <c r="P204" s="222"/>
      <c r="Q204" s="222">
        <f>130864071</f>
        <v>130864071</v>
      </c>
      <c r="R204" s="222">
        <f>261728142</f>
        <v>261728142</v>
      </c>
      <c r="S204" s="222"/>
      <c r="T204" s="222">
        <f>+N204-S204+O204-P204+Q204-R204</f>
        <v>2475590106</v>
      </c>
      <c r="U204" s="222"/>
      <c r="V204" s="222">
        <f t="shared" ref="V204" si="212">+T204-U204</f>
        <v>2475590106</v>
      </c>
      <c r="W204" s="224">
        <f t="shared" si="151"/>
        <v>0</v>
      </c>
      <c r="X204" s="222">
        <v>0</v>
      </c>
      <c r="Y204" s="222">
        <f t="shared" ref="Y204" si="213">+U204-X204</f>
        <v>0</v>
      </c>
      <c r="Z204" s="224">
        <f t="shared" si="154"/>
        <v>0</v>
      </c>
      <c r="AA204" s="222">
        <v>0</v>
      </c>
      <c r="AB204" s="222">
        <f t="shared" ref="AB204" si="214">+X204-AA204</f>
        <v>0</v>
      </c>
      <c r="AC204" s="224">
        <f t="shared" si="141"/>
        <v>0</v>
      </c>
    </row>
    <row r="205" spans="1:52" ht="29.25" customHeight="1">
      <c r="A205" s="32" t="str">
        <f t="shared" si="139"/>
        <v>C-4103-1500-21-0-4103050=11</v>
      </c>
      <c r="B205" s="210" t="str">
        <f>CONCATENATE(C205,"-",D205,"-",E205,"-",F205,"-",G205,"-",H205)</f>
        <v>C-4103-1500-21-0-4103050</v>
      </c>
      <c r="C205" s="211" t="s">
        <v>167</v>
      </c>
      <c r="D205" s="212">
        <v>4103</v>
      </c>
      <c r="E205" s="212" t="s">
        <v>172</v>
      </c>
      <c r="F205" s="212">
        <v>21</v>
      </c>
      <c r="G205" s="212" t="s">
        <v>175</v>
      </c>
      <c r="H205" s="212" t="s">
        <v>234</v>
      </c>
      <c r="I205" s="212"/>
      <c r="J205" s="212"/>
      <c r="K205" s="213" t="s">
        <v>144</v>
      </c>
      <c r="L205" s="214" t="s">
        <v>29</v>
      </c>
      <c r="M205" s="210" t="s">
        <v>235</v>
      </c>
      <c r="N205" s="215">
        <f>+N206</f>
        <v>1252740115</v>
      </c>
      <c r="O205" s="215">
        <f t="shared" ref="O205:AB205" si="215">+O206</f>
        <v>0</v>
      </c>
      <c r="P205" s="215">
        <f t="shared" si="215"/>
        <v>0</v>
      </c>
      <c r="Q205" s="215">
        <f t="shared" si="215"/>
        <v>139030957</v>
      </c>
      <c r="R205" s="215">
        <f t="shared" si="215"/>
        <v>278061914</v>
      </c>
      <c r="S205" s="215">
        <f t="shared" si="215"/>
        <v>0</v>
      </c>
      <c r="T205" s="215">
        <f t="shared" si="215"/>
        <v>1113709158</v>
      </c>
      <c r="U205" s="215">
        <f t="shared" si="215"/>
        <v>0</v>
      </c>
      <c r="V205" s="215">
        <f t="shared" si="215"/>
        <v>1113709158</v>
      </c>
      <c r="W205" s="216">
        <f t="shared" si="151"/>
        <v>0</v>
      </c>
      <c r="X205" s="215">
        <f t="shared" si="215"/>
        <v>0</v>
      </c>
      <c r="Y205" s="215">
        <f t="shared" si="215"/>
        <v>0</v>
      </c>
      <c r="Z205" s="216">
        <f t="shared" si="154"/>
        <v>0</v>
      </c>
      <c r="AA205" s="215">
        <f t="shared" si="215"/>
        <v>0</v>
      </c>
      <c r="AB205" s="215">
        <f t="shared" si="215"/>
        <v>0</v>
      </c>
      <c r="AC205" s="216">
        <f t="shared" si="141"/>
        <v>0</v>
      </c>
    </row>
    <row r="206" spans="1:52" ht="24.95" customHeight="1">
      <c r="A206" s="32" t="str">
        <f t="shared" si="139"/>
        <v>C-4103-1500-21-0-4103050-02=11</v>
      </c>
      <c r="B206" s="217" t="str">
        <f>CONCATENATE(C206,"-",D206,"-",E206,"-",F206,"-",G206,"-",H206,"-",I206)</f>
        <v>C-4103-1500-21-0-4103050-02</v>
      </c>
      <c r="C206" s="218" t="s">
        <v>167</v>
      </c>
      <c r="D206" s="219">
        <v>4103</v>
      </c>
      <c r="E206" s="219" t="s">
        <v>172</v>
      </c>
      <c r="F206" s="219">
        <v>21</v>
      </c>
      <c r="G206" s="219" t="s">
        <v>175</v>
      </c>
      <c r="H206" s="219" t="s">
        <v>234</v>
      </c>
      <c r="I206" s="219" t="s">
        <v>54</v>
      </c>
      <c r="J206" s="219"/>
      <c r="K206" s="220" t="s">
        <v>144</v>
      </c>
      <c r="L206" s="221" t="s">
        <v>29</v>
      </c>
      <c r="M206" s="259" t="s">
        <v>178</v>
      </c>
      <c r="N206" s="222">
        <v>1252740115</v>
      </c>
      <c r="O206" s="222"/>
      <c r="P206" s="222"/>
      <c r="Q206" s="222">
        <f>139030957</f>
        <v>139030957</v>
      </c>
      <c r="R206" s="222">
        <f>278061914</f>
        <v>278061914</v>
      </c>
      <c r="S206" s="222"/>
      <c r="T206" s="222">
        <f>+N206-S206+O206-P206+Q206-R206</f>
        <v>1113709158</v>
      </c>
      <c r="U206" s="222"/>
      <c r="V206" s="222">
        <f t="shared" ref="V206" si="216">+T206-U206</f>
        <v>1113709158</v>
      </c>
      <c r="W206" s="224">
        <f t="shared" si="151"/>
        <v>0</v>
      </c>
      <c r="X206" s="222">
        <v>0</v>
      </c>
      <c r="Y206" s="222">
        <f t="shared" ref="Y206" si="217">+U206-X206</f>
        <v>0</v>
      </c>
      <c r="Z206" s="224">
        <f t="shared" si="154"/>
        <v>0</v>
      </c>
      <c r="AA206" s="222">
        <v>0</v>
      </c>
      <c r="AB206" s="222">
        <f t="shared" ref="AB206" si="218">+X206-AA206</f>
        <v>0</v>
      </c>
      <c r="AC206" s="224">
        <f t="shared" si="141"/>
        <v>0</v>
      </c>
    </row>
    <row r="207" spans="1:52" ht="31.5" customHeight="1">
      <c r="A207" s="32" t="str">
        <f t="shared" si="139"/>
        <v>C-4103-1500-21-0-4103051=11</v>
      </c>
      <c r="B207" s="210" t="str">
        <f>CONCATENATE(C207,"-",D207,"-",E207,"-",F207,"-",G207,"-",H207)</f>
        <v>C-4103-1500-21-0-4103051</v>
      </c>
      <c r="C207" s="211" t="s">
        <v>167</v>
      </c>
      <c r="D207" s="212">
        <v>4103</v>
      </c>
      <c r="E207" s="212" t="s">
        <v>172</v>
      </c>
      <c r="F207" s="212">
        <v>21</v>
      </c>
      <c r="G207" s="212" t="s">
        <v>175</v>
      </c>
      <c r="H207" s="212" t="s">
        <v>197</v>
      </c>
      <c r="I207" s="212"/>
      <c r="J207" s="212"/>
      <c r="K207" s="213" t="s">
        <v>144</v>
      </c>
      <c r="L207" s="214" t="s">
        <v>29</v>
      </c>
      <c r="M207" s="210" t="s">
        <v>236</v>
      </c>
      <c r="N207" s="215">
        <f>+N208</f>
        <v>1722076323</v>
      </c>
      <c r="O207" s="215">
        <f t="shared" ref="O207:AB207" si="219">+O208</f>
        <v>0</v>
      </c>
      <c r="P207" s="215">
        <f t="shared" si="219"/>
        <v>0</v>
      </c>
      <c r="Q207" s="215">
        <f t="shared" si="219"/>
        <v>185321568</v>
      </c>
      <c r="R207" s="215">
        <f t="shared" si="219"/>
        <v>370643136</v>
      </c>
      <c r="S207" s="215">
        <f t="shared" si="219"/>
        <v>0</v>
      </c>
      <c r="T207" s="215">
        <f t="shared" si="219"/>
        <v>1536754755</v>
      </c>
      <c r="U207" s="215">
        <f t="shared" si="219"/>
        <v>0</v>
      </c>
      <c r="V207" s="215">
        <f t="shared" si="219"/>
        <v>1536754755</v>
      </c>
      <c r="W207" s="216">
        <f t="shared" si="151"/>
        <v>0</v>
      </c>
      <c r="X207" s="215">
        <f t="shared" si="219"/>
        <v>0</v>
      </c>
      <c r="Y207" s="215">
        <f t="shared" si="219"/>
        <v>0</v>
      </c>
      <c r="Z207" s="216">
        <f t="shared" si="154"/>
        <v>0</v>
      </c>
      <c r="AA207" s="215">
        <f t="shared" si="219"/>
        <v>0</v>
      </c>
      <c r="AB207" s="215">
        <f t="shared" si="219"/>
        <v>0</v>
      </c>
      <c r="AC207" s="216">
        <f t="shared" si="141"/>
        <v>0</v>
      </c>
    </row>
    <row r="208" spans="1:52" ht="24.95" customHeight="1">
      <c r="A208" s="32" t="str">
        <f t="shared" si="139"/>
        <v>C-4103-1500-21-0-4103051-02=11</v>
      </c>
      <c r="B208" s="217" t="str">
        <f>CONCATENATE(C208,"-",D208,"-",E208,"-",F208,"-",G208,"-",H208,"-",I208)</f>
        <v>C-4103-1500-21-0-4103051-02</v>
      </c>
      <c r="C208" s="218" t="s">
        <v>167</v>
      </c>
      <c r="D208" s="219">
        <v>4103</v>
      </c>
      <c r="E208" s="219" t="s">
        <v>172</v>
      </c>
      <c r="F208" s="219">
        <v>21</v>
      </c>
      <c r="G208" s="219" t="s">
        <v>175</v>
      </c>
      <c r="H208" s="219" t="s">
        <v>197</v>
      </c>
      <c r="I208" s="219" t="s">
        <v>54</v>
      </c>
      <c r="J208" s="219"/>
      <c r="K208" s="220" t="s">
        <v>144</v>
      </c>
      <c r="L208" s="221" t="s">
        <v>29</v>
      </c>
      <c r="M208" s="259" t="s">
        <v>178</v>
      </c>
      <c r="N208" s="222">
        <v>1722076323</v>
      </c>
      <c r="O208" s="222"/>
      <c r="P208" s="222"/>
      <c r="Q208" s="222">
        <f>185321568</f>
        <v>185321568</v>
      </c>
      <c r="R208" s="222">
        <f>370643136</f>
        <v>370643136</v>
      </c>
      <c r="S208" s="222"/>
      <c r="T208" s="222">
        <f>+N208-S208+O208-P208+Q208-R208</f>
        <v>1536754755</v>
      </c>
      <c r="U208" s="222"/>
      <c r="V208" s="222">
        <f t="shared" ref="V208" si="220">+T208-U208</f>
        <v>1536754755</v>
      </c>
      <c r="W208" s="224">
        <f t="shared" si="151"/>
        <v>0</v>
      </c>
      <c r="X208" s="222"/>
      <c r="Y208" s="222">
        <f t="shared" ref="Y208" si="221">+U208-X208</f>
        <v>0</v>
      </c>
      <c r="Z208" s="224">
        <f t="shared" si="154"/>
        <v>0</v>
      </c>
      <c r="AA208" s="222"/>
      <c r="AB208" s="222">
        <f t="shared" ref="AB208" si="222">+X208-AA208</f>
        <v>0</v>
      </c>
      <c r="AC208" s="224">
        <f t="shared" si="141"/>
        <v>0</v>
      </c>
    </row>
    <row r="209" spans="1:29" ht="31.5" customHeight="1">
      <c r="A209" s="32" t="str">
        <f t="shared" si="139"/>
        <v>C-4103-1500-21-0-4103055=11</v>
      </c>
      <c r="B209" s="210" t="str">
        <f>CONCATENATE(C209,"-",D209,"-",E209,"-",F209,"-",G209,"-",H209)</f>
        <v>C-4103-1500-21-0-4103055</v>
      </c>
      <c r="C209" s="211" t="s">
        <v>167</v>
      </c>
      <c r="D209" s="212">
        <v>4103</v>
      </c>
      <c r="E209" s="212" t="s">
        <v>172</v>
      </c>
      <c r="F209" s="212">
        <v>21</v>
      </c>
      <c r="G209" s="212" t="s">
        <v>175</v>
      </c>
      <c r="H209" s="212" t="s">
        <v>203</v>
      </c>
      <c r="I209" s="212"/>
      <c r="J209" s="212"/>
      <c r="K209" s="213" t="s">
        <v>144</v>
      </c>
      <c r="L209" s="214" t="s">
        <v>29</v>
      </c>
      <c r="M209" s="210" t="s">
        <v>237</v>
      </c>
      <c r="N209" s="215">
        <f t="shared" ref="N209:V209" si="223">SUM(N210:N210)</f>
        <v>4822978569</v>
      </c>
      <c r="O209" s="215">
        <f t="shared" si="223"/>
        <v>0</v>
      </c>
      <c r="P209" s="215">
        <f t="shared" si="223"/>
        <v>0</v>
      </c>
      <c r="Q209" s="215">
        <f t="shared" si="223"/>
        <v>259693938</v>
      </c>
      <c r="R209" s="215">
        <f t="shared" si="223"/>
        <v>519387876</v>
      </c>
      <c r="S209" s="215">
        <f t="shared" si="223"/>
        <v>0</v>
      </c>
      <c r="T209" s="215">
        <f t="shared" si="223"/>
        <v>4563284631</v>
      </c>
      <c r="U209" s="215">
        <f t="shared" si="223"/>
        <v>0</v>
      </c>
      <c r="V209" s="215">
        <f t="shared" si="223"/>
        <v>4563284631</v>
      </c>
      <c r="W209" s="216">
        <f t="shared" si="151"/>
        <v>0</v>
      </c>
      <c r="X209" s="215">
        <f t="shared" ref="X209:Y209" si="224">SUM(X210:X210)</f>
        <v>0</v>
      </c>
      <c r="Y209" s="215">
        <f t="shared" si="224"/>
        <v>0</v>
      </c>
      <c r="Z209" s="216">
        <f t="shared" si="154"/>
        <v>0</v>
      </c>
      <c r="AA209" s="215">
        <f t="shared" ref="AA209:AB209" si="225">SUM(AA210:AA210)</f>
        <v>0</v>
      </c>
      <c r="AB209" s="215">
        <f t="shared" si="225"/>
        <v>0</v>
      </c>
      <c r="AC209" s="216">
        <f t="shared" si="141"/>
        <v>0</v>
      </c>
    </row>
    <row r="210" spans="1:29" ht="24.95" customHeight="1">
      <c r="A210" s="32" t="str">
        <f t="shared" si="139"/>
        <v>C-4103-1500-21-0-4103055-02=11</v>
      </c>
      <c r="B210" s="217" t="str">
        <f>CONCATENATE(C210,"-",D210,"-",E210,"-",F210,"-",G210,"-",H210,"-",I210)</f>
        <v>C-4103-1500-21-0-4103055-02</v>
      </c>
      <c r="C210" s="218" t="s">
        <v>167</v>
      </c>
      <c r="D210" s="219">
        <v>4103</v>
      </c>
      <c r="E210" s="219" t="s">
        <v>172</v>
      </c>
      <c r="F210" s="219">
        <v>21</v>
      </c>
      <c r="G210" s="219" t="s">
        <v>175</v>
      </c>
      <c r="H210" s="219" t="s">
        <v>203</v>
      </c>
      <c r="I210" s="219" t="s">
        <v>54</v>
      </c>
      <c r="J210" s="219"/>
      <c r="K210" s="220" t="s">
        <v>144</v>
      </c>
      <c r="L210" s="221" t="s">
        <v>29</v>
      </c>
      <c r="M210" s="259" t="s">
        <v>178</v>
      </c>
      <c r="N210" s="222">
        <v>4822978569</v>
      </c>
      <c r="O210" s="222"/>
      <c r="P210" s="222"/>
      <c r="Q210" s="222">
        <f>259693938</f>
        <v>259693938</v>
      </c>
      <c r="R210" s="222">
        <f>519387876</f>
        <v>519387876</v>
      </c>
      <c r="S210" s="222"/>
      <c r="T210" s="222">
        <f>+N210-S210+O210-P210+Q210-R210</f>
        <v>4563284631</v>
      </c>
      <c r="U210" s="222">
        <v>0</v>
      </c>
      <c r="V210" s="222">
        <f t="shared" ref="V210" si="226">+T210-U210</f>
        <v>4563284631</v>
      </c>
      <c r="W210" s="224">
        <f t="shared" si="151"/>
        <v>0</v>
      </c>
      <c r="X210" s="222">
        <v>0</v>
      </c>
      <c r="Y210" s="222">
        <f t="shared" ref="Y210" si="227">+U210-X210</f>
        <v>0</v>
      </c>
      <c r="Z210" s="224">
        <f t="shared" si="154"/>
        <v>0</v>
      </c>
      <c r="AA210" s="222">
        <v>0</v>
      </c>
      <c r="AB210" s="222">
        <f t="shared" ref="AB210" si="228">+X210-AA210</f>
        <v>0</v>
      </c>
      <c r="AC210" s="224">
        <f t="shared" si="141"/>
        <v>0</v>
      </c>
    </row>
    <row r="211" spans="1:29" ht="31.5" customHeight="1">
      <c r="A211" s="32" t="str">
        <f t="shared" ref="A211:A241" si="229">+CONCATENATE(B211,"=",K211)</f>
        <v>C-4103-1500-21-0-4103058=11</v>
      </c>
      <c r="B211" s="210" t="str">
        <f>CONCATENATE(C211,"-",D211,"-",E211,"-",F211,"-",G211,"-",H211)</f>
        <v>C-4103-1500-21-0-4103058</v>
      </c>
      <c r="C211" s="211" t="s">
        <v>167</v>
      </c>
      <c r="D211" s="212">
        <v>4103</v>
      </c>
      <c r="E211" s="212" t="s">
        <v>172</v>
      </c>
      <c r="F211" s="212">
        <v>21</v>
      </c>
      <c r="G211" s="212" t="s">
        <v>175</v>
      </c>
      <c r="H211" s="212" t="s">
        <v>223</v>
      </c>
      <c r="I211" s="212"/>
      <c r="J211" s="212"/>
      <c r="K211" s="213" t="s">
        <v>144</v>
      </c>
      <c r="L211" s="214" t="s">
        <v>29</v>
      </c>
      <c r="M211" s="210" t="s">
        <v>238</v>
      </c>
      <c r="N211" s="215">
        <f>SUM(N212:N213)</f>
        <v>14595750816</v>
      </c>
      <c r="O211" s="215">
        <f t="shared" ref="O211:V211" si="230">SUM(O212:O213)</f>
        <v>0</v>
      </c>
      <c r="P211" s="215">
        <f t="shared" si="230"/>
        <v>0</v>
      </c>
      <c r="Q211" s="215">
        <f t="shared" si="230"/>
        <v>16025571884</v>
      </c>
      <c r="R211" s="215">
        <f t="shared" si="230"/>
        <v>15310661350</v>
      </c>
      <c r="S211" s="215">
        <f t="shared" si="230"/>
        <v>0</v>
      </c>
      <c r="T211" s="215">
        <f t="shared" si="230"/>
        <v>15310661350</v>
      </c>
      <c r="U211" s="215">
        <f t="shared" si="230"/>
        <v>1955924938</v>
      </c>
      <c r="V211" s="215">
        <f t="shared" si="230"/>
        <v>13354736412</v>
      </c>
      <c r="W211" s="216">
        <f t="shared" si="151"/>
        <v>0.12774921300182765</v>
      </c>
      <c r="X211" s="215">
        <f t="shared" ref="X211:Y211" si="231">SUM(X212:X213)</f>
        <v>280709454</v>
      </c>
      <c r="Y211" s="215">
        <f t="shared" si="231"/>
        <v>1675215484</v>
      </c>
      <c r="Z211" s="216">
        <f t="shared" si="154"/>
        <v>0.85648250168176954</v>
      </c>
      <c r="AA211" s="215">
        <f t="shared" ref="AA211:AB211" si="232">SUM(AA212:AA213)</f>
        <v>271426493</v>
      </c>
      <c r="AB211" s="215">
        <f t="shared" si="232"/>
        <v>9282961</v>
      </c>
      <c r="AC211" s="216">
        <f t="shared" ref="AC211:AC242" si="233">+IF(U211&gt;0,(AA211/U211),0)</f>
        <v>0.13877142610469645</v>
      </c>
    </row>
    <row r="212" spans="1:29" ht="24.95" customHeight="1">
      <c r="A212" s="32" t="str">
        <f t="shared" si="229"/>
        <v>C-4103-1500-21-0-4103058-02=11</v>
      </c>
      <c r="B212" s="217" t="str">
        <f>CONCATENATE(C212,"-",D212,"-",E212,"-",F212,"-",G212,"-",H212,"-",I212)</f>
        <v>C-4103-1500-21-0-4103058-02</v>
      </c>
      <c r="C212" s="218" t="s">
        <v>167</v>
      </c>
      <c r="D212" s="219">
        <v>4103</v>
      </c>
      <c r="E212" s="219" t="s">
        <v>172</v>
      </c>
      <c r="F212" s="219">
        <v>21</v>
      </c>
      <c r="G212" s="219" t="s">
        <v>175</v>
      </c>
      <c r="H212" s="219" t="s">
        <v>223</v>
      </c>
      <c r="I212" s="219" t="s">
        <v>54</v>
      </c>
      <c r="J212" s="219"/>
      <c r="K212" s="220" t="s">
        <v>144</v>
      </c>
      <c r="L212" s="221" t="s">
        <v>29</v>
      </c>
      <c r="M212" s="259" t="s">
        <v>178</v>
      </c>
      <c r="N212" s="223">
        <v>0</v>
      </c>
      <c r="O212" s="222"/>
      <c r="P212" s="222"/>
      <c r="Q212" s="222">
        <f>14595750816+1429821068</f>
        <v>16025571884</v>
      </c>
      <c r="R212" s="222">
        <f>714910534</f>
        <v>714910534</v>
      </c>
      <c r="S212" s="222"/>
      <c r="T212" s="222">
        <f>+N212-S212+O212-P212+Q212-R212</f>
        <v>15310661350</v>
      </c>
      <c r="U212" s="222">
        <v>1955924938</v>
      </c>
      <c r="V212" s="222">
        <f t="shared" ref="V212:V213" si="234">+T212-U212</f>
        <v>13354736412</v>
      </c>
      <c r="W212" s="224">
        <f t="shared" si="151"/>
        <v>0.12774921300182765</v>
      </c>
      <c r="X212" s="222">
        <v>280709454</v>
      </c>
      <c r="Y212" s="222">
        <f t="shared" ref="Y212:Y213" si="235">+U212-X212</f>
        <v>1675215484</v>
      </c>
      <c r="Z212" s="224">
        <f t="shared" si="154"/>
        <v>0.85648250168176954</v>
      </c>
      <c r="AA212" s="222">
        <v>271426493</v>
      </c>
      <c r="AB212" s="222">
        <f t="shared" ref="AB212:AB213" si="236">+X212-AA212</f>
        <v>9282961</v>
      </c>
      <c r="AC212" s="224">
        <f t="shared" si="233"/>
        <v>0.13877142610469645</v>
      </c>
    </row>
    <row r="213" spans="1:29" ht="24.95" customHeight="1">
      <c r="A213" s="32" t="str">
        <f t="shared" si="229"/>
        <v>C-4103-1500-21-0-4103058-03=11</v>
      </c>
      <c r="B213" s="217" t="str">
        <f>CONCATENATE(C213,"-",D213,"-",E213,"-",F213,"-",G213,"-",H213,"-",I213)</f>
        <v>C-4103-1500-21-0-4103058-03</v>
      </c>
      <c r="C213" s="218" t="s">
        <v>167</v>
      </c>
      <c r="D213" s="219">
        <v>4103</v>
      </c>
      <c r="E213" s="219" t="s">
        <v>172</v>
      </c>
      <c r="F213" s="219">
        <v>21</v>
      </c>
      <c r="G213" s="219" t="s">
        <v>175</v>
      </c>
      <c r="H213" s="219" t="s">
        <v>223</v>
      </c>
      <c r="I213" s="225" t="s">
        <v>65</v>
      </c>
      <c r="J213" s="219"/>
      <c r="K213" s="220" t="s">
        <v>144</v>
      </c>
      <c r="L213" s="221" t="s">
        <v>29</v>
      </c>
      <c r="M213" s="259" t="s">
        <v>127</v>
      </c>
      <c r="N213" s="223">
        <v>14595750816</v>
      </c>
      <c r="O213" s="222"/>
      <c r="P213" s="222"/>
      <c r="Q213" s="222"/>
      <c r="R213" s="222">
        <v>14595750816</v>
      </c>
      <c r="S213" s="222"/>
      <c r="T213" s="222">
        <f>+N213-S213+O213-P213+Q213-R213</f>
        <v>0</v>
      </c>
      <c r="U213" s="222">
        <v>0</v>
      </c>
      <c r="V213" s="222">
        <f t="shared" si="234"/>
        <v>0</v>
      </c>
      <c r="W213" s="224">
        <f t="shared" si="151"/>
        <v>0</v>
      </c>
      <c r="X213" s="222">
        <v>0</v>
      </c>
      <c r="Y213" s="222">
        <f t="shared" si="235"/>
        <v>0</v>
      </c>
      <c r="Z213" s="224">
        <f t="shared" si="154"/>
        <v>0</v>
      </c>
      <c r="AA213" s="222">
        <v>0</v>
      </c>
      <c r="AB213" s="222">
        <f t="shared" si="236"/>
        <v>0</v>
      </c>
      <c r="AC213" s="224">
        <f t="shared" si="233"/>
        <v>0</v>
      </c>
    </row>
    <row r="214" spans="1:29" ht="52.5" customHeight="1">
      <c r="A214" s="32" t="str">
        <f t="shared" si="229"/>
        <v>C-4103-1500-22=</v>
      </c>
      <c r="B214" s="226" t="str">
        <f>CONCATENATE(C214,"-",D214,"-",E214,"-",F214)</f>
        <v>C-4103-1500-22</v>
      </c>
      <c r="C214" s="227" t="s">
        <v>167</v>
      </c>
      <c r="D214" s="228">
        <v>4103</v>
      </c>
      <c r="E214" s="228" t="s">
        <v>172</v>
      </c>
      <c r="F214" s="228">
        <v>22</v>
      </c>
      <c r="G214" s="228"/>
      <c r="H214" s="228"/>
      <c r="I214" s="228"/>
      <c r="J214" s="228"/>
      <c r="K214" s="229"/>
      <c r="L214" s="230"/>
      <c r="M214" s="231" t="s">
        <v>239</v>
      </c>
      <c r="N214" s="232">
        <f t="shared" ref="N214:V214" si="237">+N215+N217+N220+N222+N225+N228</f>
        <v>137284000000</v>
      </c>
      <c r="O214" s="232">
        <f t="shared" si="237"/>
        <v>0</v>
      </c>
      <c r="P214" s="232">
        <f t="shared" si="237"/>
        <v>0</v>
      </c>
      <c r="Q214" s="232">
        <f t="shared" si="237"/>
        <v>17906457845</v>
      </c>
      <c r="R214" s="232">
        <f t="shared" si="237"/>
        <v>17906457845</v>
      </c>
      <c r="S214" s="232">
        <f t="shared" si="237"/>
        <v>0</v>
      </c>
      <c r="T214" s="232">
        <f t="shared" si="237"/>
        <v>137284000000</v>
      </c>
      <c r="U214" s="232">
        <f t="shared" si="237"/>
        <v>89243010237</v>
      </c>
      <c r="V214" s="232">
        <f t="shared" si="237"/>
        <v>48040989763</v>
      </c>
      <c r="W214" s="233">
        <f t="shared" si="151"/>
        <v>0.65006126159639865</v>
      </c>
      <c r="X214" s="232">
        <f>+X215+X217+X220+X222+X225+X228</f>
        <v>78634311040</v>
      </c>
      <c r="Y214" s="232">
        <f>+Y215+Y217+Y220+Y222+Y225+Y228</f>
        <v>10608699197</v>
      </c>
      <c r="Z214" s="233">
        <f t="shared" si="154"/>
        <v>0.11887428683576219</v>
      </c>
      <c r="AA214" s="232">
        <f>+AA215+AA217+AA220+AA222+AA225+AA228</f>
        <v>78529659963</v>
      </c>
      <c r="AB214" s="232">
        <f>+AB215+AB217+AB220+AB222+AB225+AB228</f>
        <v>104651077</v>
      </c>
      <c r="AC214" s="233">
        <f t="shared" si="233"/>
        <v>0.87995306023912823</v>
      </c>
    </row>
    <row r="215" spans="1:29" ht="31.5" customHeight="1">
      <c r="A215" s="32" t="str">
        <f t="shared" si="229"/>
        <v>C-4103-1500-22-0-4103005=11</v>
      </c>
      <c r="B215" s="210" t="str">
        <f>CONCATENATE(C215,"-",D215,"-",E215,"-",F215,"-",G215,"-",H215)</f>
        <v>C-4103-1500-22-0-4103005</v>
      </c>
      <c r="C215" s="211" t="s">
        <v>167</v>
      </c>
      <c r="D215" s="212">
        <v>4103</v>
      </c>
      <c r="E215" s="212" t="s">
        <v>172</v>
      </c>
      <c r="F215" s="212">
        <v>22</v>
      </c>
      <c r="G215" s="212" t="s">
        <v>175</v>
      </c>
      <c r="H215" s="212" t="s">
        <v>219</v>
      </c>
      <c r="I215" s="212"/>
      <c r="J215" s="212"/>
      <c r="K215" s="213" t="s">
        <v>144</v>
      </c>
      <c r="L215" s="214" t="s">
        <v>29</v>
      </c>
      <c r="M215" s="210" t="s">
        <v>240</v>
      </c>
      <c r="N215" s="215">
        <f t="shared" ref="N215:V215" si="238">SUM(N216:N216)</f>
        <v>8350333435</v>
      </c>
      <c r="O215" s="215">
        <f t="shared" si="238"/>
        <v>0</v>
      </c>
      <c r="P215" s="215">
        <f t="shared" si="238"/>
        <v>0</v>
      </c>
      <c r="Q215" s="215">
        <f t="shared" si="238"/>
        <v>681063106</v>
      </c>
      <c r="R215" s="215">
        <f t="shared" si="238"/>
        <v>0</v>
      </c>
      <c r="S215" s="215">
        <f t="shared" si="238"/>
        <v>0</v>
      </c>
      <c r="T215" s="215">
        <f t="shared" si="238"/>
        <v>9031396541</v>
      </c>
      <c r="U215" s="215">
        <f t="shared" si="238"/>
        <v>5812280682</v>
      </c>
      <c r="V215" s="215">
        <f t="shared" si="238"/>
        <v>3219115859</v>
      </c>
      <c r="W215" s="216">
        <f t="shared" si="151"/>
        <v>0.64356388910772333</v>
      </c>
      <c r="X215" s="215">
        <f t="shared" ref="X215:Y215" si="239">SUM(X216:X216)</f>
        <v>499634199</v>
      </c>
      <c r="Y215" s="215">
        <f t="shared" si="239"/>
        <v>5312646483</v>
      </c>
      <c r="Z215" s="216">
        <f t="shared" si="154"/>
        <v>0.91403818460672204</v>
      </c>
      <c r="AA215" s="215">
        <f t="shared" ref="AA215:AB215" si="240">SUM(AA216:AA216)</f>
        <v>499634199</v>
      </c>
      <c r="AB215" s="215">
        <f t="shared" si="240"/>
        <v>0</v>
      </c>
      <c r="AC215" s="216">
        <f t="shared" si="233"/>
        <v>8.5961815393278004E-2</v>
      </c>
    </row>
    <row r="216" spans="1:29" ht="24.95" customHeight="1">
      <c r="A216" s="32" t="str">
        <f t="shared" si="229"/>
        <v>C-4103-1500-22-0-4103005-02=11</v>
      </c>
      <c r="B216" s="217" t="str">
        <f>CONCATENATE(C216,"-",D216,"-",E216,"-",F216,"-",G216,"-",H216,"-",I216)</f>
        <v>C-4103-1500-22-0-4103005-02</v>
      </c>
      <c r="C216" s="218" t="s">
        <v>167</v>
      </c>
      <c r="D216" s="219">
        <v>4103</v>
      </c>
      <c r="E216" s="219" t="s">
        <v>172</v>
      </c>
      <c r="F216" s="219">
        <v>22</v>
      </c>
      <c r="G216" s="219" t="s">
        <v>175</v>
      </c>
      <c r="H216" s="219" t="s">
        <v>219</v>
      </c>
      <c r="I216" s="225" t="s">
        <v>54</v>
      </c>
      <c r="J216" s="219"/>
      <c r="K216" s="220" t="s">
        <v>144</v>
      </c>
      <c r="L216" s="221" t="s">
        <v>29</v>
      </c>
      <c r="M216" s="259" t="s">
        <v>178</v>
      </c>
      <c r="N216" s="223">
        <v>8350333435</v>
      </c>
      <c r="O216" s="222"/>
      <c r="P216" s="222"/>
      <c r="Q216" s="222">
        <f>681063106</f>
        <v>681063106</v>
      </c>
      <c r="R216" s="222"/>
      <c r="S216" s="222"/>
      <c r="T216" s="222">
        <f>+N216-S216+O216-P216+Q216-R216</f>
        <v>9031396541</v>
      </c>
      <c r="U216" s="222">
        <v>5812280682</v>
      </c>
      <c r="V216" s="222">
        <f t="shared" ref="V216" si="241">+T216-U216</f>
        <v>3219115859</v>
      </c>
      <c r="W216" s="224">
        <f t="shared" si="151"/>
        <v>0.64356388910772333</v>
      </c>
      <c r="X216" s="222">
        <v>499634199</v>
      </c>
      <c r="Y216" s="222">
        <f t="shared" ref="Y216" si="242">+U216-X216</f>
        <v>5312646483</v>
      </c>
      <c r="Z216" s="224">
        <f t="shared" si="154"/>
        <v>0.91403818460672204</v>
      </c>
      <c r="AA216" s="222">
        <v>499634199</v>
      </c>
      <c r="AB216" s="222">
        <f t="shared" ref="AB216" si="243">+X216-AA216</f>
        <v>0</v>
      </c>
      <c r="AC216" s="224">
        <f t="shared" si="233"/>
        <v>8.5961815393278004E-2</v>
      </c>
    </row>
    <row r="217" spans="1:29" ht="31.5" customHeight="1">
      <c r="A217" s="32" t="str">
        <f t="shared" si="229"/>
        <v>C-4103-1500-22-0-4103050=11</v>
      </c>
      <c r="B217" s="210" t="str">
        <f>CONCATENATE(C217,"-",D217,"-",E217,"-",F217,"-",G217,"-",H217)</f>
        <v>C-4103-1500-22-0-4103050</v>
      </c>
      <c r="C217" s="211" t="s">
        <v>167</v>
      </c>
      <c r="D217" s="212">
        <v>4103</v>
      </c>
      <c r="E217" s="212" t="s">
        <v>172</v>
      </c>
      <c r="F217" s="212">
        <v>22</v>
      </c>
      <c r="G217" s="212" t="s">
        <v>175</v>
      </c>
      <c r="H217" s="212" t="s">
        <v>234</v>
      </c>
      <c r="I217" s="212"/>
      <c r="J217" s="212"/>
      <c r="K217" s="213" t="s">
        <v>144</v>
      </c>
      <c r="L217" s="214" t="s">
        <v>29</v>
      </c>
      <c r="M217" s="210" t="s">
        <v>241</v>
      </c>
      <c r="N217" s="215">
        <f>SUM(N218:N219)</f>
        <v>8986673675</v>
      </c>
      <c r="O217" s="215">
        <f t="shared" ref="O217:V217" si="244">SUM(O218:O219)</f>
        <v>0</v>
      </c>
      <c r="P217" s="215">
        <f t="shared" si="244"/>
        <v>0</v>
      </c>
      <c r="Q217" s="215">
        <f t="shared" si="244"/>
        <v>417203180</v>
      </c>
      <c r="R217" s="215">
        <f t="shared" si="244"/>
        <v>3115663306</v>
      </c>
      <c r="S217" s="215">
        <f t="shared" si="244"/>
        <v>0</v>
      </c>
      <c r="T217" s="215">
        <f t="shared" si="244"/>
        <v>6288213549</v>
      </c>
      <c r="U217" s="215">
        <f t="shared" si="244"/>
        <v>709656489</v>
      </c>
      <c r="V217" s="215">
        <f t="shared" si="244"/>
        <v>5578557060</v>
      </c>
      <c r="W217" s="216">
        <f t="shared" si="151"/>
        <v>0.11285502368361122</v>
      </c>
      <c r="X217" s="215">
        <f t="shared" ref="X217:Y217" si="245">SUM(X218:X219)</f>
        <v>0</v>
      </c>
      <c r="Y217" s="215">
        <f t="shared" si="245"/>
        <v>709656489</v>
      </c>
      <c r="Z217" s="216">
        <f t="shared" si="154"/>
        <v>1</v>
      </c>
      <c r="AA217" s="215">
        <f t="shared" ref="AA217:AB217" si="246">SUM(AA218:AA219)</f>
        <v>0</v>
      </c>
      <c r="AB217" s="215">
        <f t="shared" si="246"/>
        <v>0</v>
      </c>
      <c r="AC217" s="216">
        <f t="shared" si="233"/>
        <v>0</v>
      </c>
    </row>
    <row r="218" spans="1:29" ht="24.95" customHeight="1">
      <c r="A218" s="32" t="str">
        <f t="shared" si="229"/>
        <v>C-4103-1500-22-0-4103050-02=11</v>
      </c>
      <c r="B218" s="217" t="str">
        <f>CONCATENATE(C218,"-",D218,"-",E218,"-",F218,"-",G218,"-",H218,"-",I218)</f>
        <v>C-4103-1500-22-0-4103050-02</v>
      </c>
      <c r="C218" s="218" t="s">
        <v>167</v>
      </c>
      <c r="D218" s="219">
        <v>4103</v>
      </c>
      <c r="E218" s="219" t="s">
        <v>172</v>
      </c>
      <c r="F218" s="219">
        <v>22</v>
      </c>
      <c r="G218" s="219" t="s">
        <v>175</v>
      </c>
      <c r="H218" s="219" t="s">
        <v>234</v>
      </c>
      <c r="I218" s="225" t="s">
        <v>54</v>
      </c>
      <c r="J218" s="219"/>
      <c r="K218" s="220" t="s">
        <v>144</v>
      </c>
      <c r="L218" s="221" t="s">
        <v>29</v>
      </c>
      <c r="M218" s="259" t="s">
        <v>178</v>
      </c>
      <c r="N218" s="223">
        <v>5871010369</v>
      </c>
      <c r="O218" s="222"/>
      <c r="P218" s="222"/>
      <c r="Q218" s="222">
        <f>417203180</f>
        <v>417203180</v>
      </c>
      <c r="R218" s="222"/>
      <c r="S218" s="222"/>
      <c r="T218" s="222">
        <f>+N218-S218+O218-P218+Q218-R218</f>
        <v>6288213549</v>
      </c>
      <c r="U218" s="222">
        <v>709656489</v>
      </c>
      <c r="V218" s="222">
        <f t="shared" ref="V218:V219" si="247">+T218-U218</f>
        <v>5578557060</v>
      </c>
      <c r="W218" s="224">
        <f t="shared" si="151"/>
        <v>0.11285502368361122</v>
      </c>
      <c r="X218" s="222">
        <v>0</v>
      </c>
      <c r="Y218" s="222">
        <f t="shared" ref="Y218:Y219" si="248">+U218-X218</f>
        <v>709656489</v>
      </c>
      <c r="Z218" s="224">
        <f t="shared" si="154"/>
        <v>1</v>
      </c>
      <c r="AA218" s="222">
        <v>0</v>
      </c>
      <c r="AB218" s="222">
        <f t="shared" ref="AB218:AB219" si="249">+X218-AA218</f>
        <v>0</v>
      </c>
      <c r="AC218" s="224">
        <f t="shared" si="233"/>
        <v>0</v>
      </c>
    </row>
    <row r="219" spans="1:29" ht="24.95" customHeight="1">
      <c r="A219" s="32" t="str">
        <f t="shared" si="229"/>
        <v>C-4103-1500-22-0-4103050-03=11</v>
      </c>
      <c r="B219" s="217" t="str">
        <f>CONCATENATE(C219,"-",D219,"-",E219,"-",F219,"-",G219,"-",H219,"-",I219)</f>
        <v>C-4103-1500-22-0-4103050-03</v>
      </c>
      <c r="C219" s="218" t="s">
        <v>167</v>
      </c>
      <c r="D219" s="219">
        <v>4103</v>
      </c>
      <c r="E219" s="219" t="s">
        <v>172</v>
      </c>
      <c r="F219" s="219">
        <v>22</v>
      </c>
      <c r="G219" s="219" t="s">
        <v>175</v>
      </c>
      <c r="H219" s="219" t="s">
        <v>234</v>
      </c>
      <c r="I219" s="225" t="s">
        <v>65</v>
      </c>
      <c r="J219" s="219"/>
      <c r="K219" s="220" t="s">
        <v>144</v>
      </c>
      <c r="L219" s="221" t="s">
        <v>29</v>
      </c>
      <c r="M219" s="259" t="s">
        <v>127</v>
      </c>
      <c r="N219" s="223">
        <v>3115663306</v>
      </c>
      <c r="O219" s="222"/>
      <c r="P219" s="222"/>
      <c r="Q219" s="222"/>
      <c r="R219" s="222">
        <f>3115663306</f>
        <v>3115663306</v>
      </c>
      <c r="S219" s="222"/>
      <c r="T219" s="222">
        <f>+N219-S219+O219-P219+Q219-R219</f>
        <v>0</v>
      </c>
      <c r="U219" s="222">
        <v>0</v>
      </c>
      <c r="V219" s="222">
        <f t="shared" si="247"/>
        <v>0</v>
      </c>
      <c r="W219" s="224">
        <f t="shared" si="151"/>
        <v>0</v>
      </c>
      <c r="X219" s="222">
        <v>0</v>
      </c>
      <c r="Y219" s="222">
        <f t="shared" si="248"/>
        <v>0</v>
      </c>
      <c r="Z219" s="224">
        <f t="shared" si="154"/>
        <v>0</v>
      </c>
      <c r="AA219" s="222">
        <v>0</v>
      </c>
      <c r="AB219" s="222">
        <f t="shared" si="249"/>
        <v>0</v>
      </c>
      <c r="AC219" s="224">
        <f t="shared" si="233"/>
        <v>0</v>
      </c>
    </row>
    <row r="220" spans="1:29" ht="31.5" customHeight="1">
      <c r="A220" s="32" t="str">
        <f t="shared" si="229"/>
        <v>C-4103-1500-22-0-4103051=11</v>
      </c>
      <c r="B220" s="210" t="str">
        <f>CONCATENATE(C220,"-",D220,"-",E220,"-",F220,"-",G220,"-",H220)</f>
        <v>C-4103-1500-22-0-4103051</v>
      </c>
      <c r="C220" s="211" t="s">
        <v>167</v>
      </c>
      <c r="D220" s="212">
        <v>4103</v>
      </c>
      <c r="E220" s="212" t="s">
        <v>172</v>
      </c>
      <c r="F220" s="212">
        <v>22</v>
      </c>
      <c r="G220" s="212" t="s">
        <v>175</v>
      </c>
      <c r="H220" s="212">
        <v>4103051</v>
      </c>
      <c r="I220" s="212"/>
      <c r="J220" s="212"/>
      <c r="K220" s="213" t="s">
        <v>144</v>
      </c>
      <c r="L220" s="214" t="s">
        <v>29</v>
      </c>
      <c r="M220" s="210" t="s">
        <v>242</v>
      </c>
      <c r="N220" s="215">
        <f t="shared" ref="N220:V220" si="250">SUM(N221:N221)</f>
        <v>1038023922</v>
      </c>
      <c r="O220" s="215">
        <f t="shared" si="250"/>
        <v>0</v>
      </c>
      <c r="P220" s="215">
        <f t="shared" si="250"/>
        <v>0</v>
      </c>
      <c r="Q220" s="215">
        <f t="shared" si="250"/>
        <v>2230593423</v>
      </c>
      <c r="R220" s="215">
        <f t="shared" si="250"/>
        <v>0</v>
      </c>
      <c r="S220" s="215">
        <f t="shared" si="250"/>
        <v>0</v>
      </c>
      <c r="T220" s="215">
        <f t="shared" si="250"/>
        <v>3268617345</v>
      </c>
      <c r="U220" s="215">
        <f t="shared" si="250"/>
        <v>0</v>
      </c>
      <c r="V220" s="215">
        <f t="shared" si="250"/>
        <v>3268617345</v>
      </c>
      <c r="W220" s="216">
        <f t="shared" si="151"/>
        <v>0</v>
      </c>
      <c r="X220" s="215">
        <f t="shared" ref="X220:Y220" si="251">SUM(X221:X221)</f>
        <v>0</v>
      </c>
      <c r="Y220" s="215">
        <f t="shared" si="251"/>
        <v>0</v>
      </c>
      <c r="Z220" s="216">
        <f t="shared" si="154"/>
        <v>0</v>
      </c>
      <c r="AA220" s="215">
        <f t="shared" ref="AA220:AB220" si="252">SUM(AA221:AA221)</f>
        <v>0</v>
      </c>
      <c r="AB220" s="215">
        <f t="shared" si="252"/>
        <v>0</v>
      </c>
      <c r="AC220" s="216">
        <f t="shared" si="233"/>
        <v>0</v>
      </c>
    </row>
    <row r="221" spans="1:29" ht="24.95" customHeight="1">
      <c r="A221" s="32" t="str">
        <f t="shared" si="229"/>
        <v>C-4103-1500-22-0-4103051-02=11</v>
      </c>
      <c r="B221" s="217" t="str">
        <f>CONCATENATE(C221,"-",D221,"-",E221,"-",F221,"-",G221,"-",H221,"-",I221)</f>
        <v>C-4103-1500-22-0-4103051-02</v>
      </c>
      <c r="C221" s="218" t="s">
        <v>167</v>
      </c>
      <c r="D221" s="219">
        <v>4103</v>
      </c>
      <c r="E221" s="219" t="s">
        <v>172</v>
      </c>
      <c r="F221" s="219">
        <v>22</v>
      </c>
      <c r="G221" s="219" t="s">
        <v>175</v>
      </c>
      <c r="H221" s="219">
        <v>4103051</v>
      </c>
      <c r="I221" s="225" t="s">
        <v>54</v>
      </c>
      <c r="J221" s="219"/>
      <c r="K221" s="220" t="s">
        <v>144</v>
      </c>
      <c r="L221" s="221" t="s">
        <v>29</v>
      </c>
      <c r="M221" s="259" t="s">
        <v>178</v>
      </c>
      <c r="N221" s="223">
        <v>1038023922</v>
      </c>
      <c r="O221" s="222"/>
      <c r="P221" s="222"/>
      <c r="Q221" s="222">
        <f>2230593423</f>
        <v>2230593423</v>
      </c>
      <c r="R221" s="222"/>
      <c r="S221" s="222"/>
      <c r="T221" s="222">
        <f>+N221-S221+O221-P221+Q221-R221</f>
        <v>3268617345</v>
      </c>
      <c r="U221" s="222">
        <v>0</v>
      </c>
      <c r="V221" s="222">
        <f t="shared" ref="V221" si="253">+T221-U221</f>
        <v>3268617345</v>
      </c>
      <c r="W221" s="224">
        <f t="shared" si="151"/>
        <v>0</v>
      </c>
      <c r="X221" s="222">
        <v>0</v>
      </c>
      <c r="Y221" s="222">
        <f t="shared" ref="Y221" si="254">+U221-X221</f>
        <v>0</v>
      </c>
      <c r="Z221" s="224">
        <f t="shared" si="154"/>
        <v>0</v>
      </c>
      <c r="AA221" s="222">
        <v>0</v>
      </c>
      <c r="AB221" s="222">
        <f t="shared" ref="AB221" si="255">+X221-AA221</f>
        <v>0</v>
      </c>
      <c r="AC221" s="224">
        <f t="shared" si="233"/>
        <v>0</v>
      </c>
    </row>
    <row r="222" spans="1:29" ht="31.5" customHeight="1">
      <c r="A222" s="32" t="str">
        <f t="shared" si="229"/>
        <v>C-4103-1500-22-0-4103055=11</v>
      </c>
      <c r="B222" s="210" t="str">
        <f>CONCATENATE(C222,"-",D222,"-",E222,"-",F222,"-",G222,"-",H222)</f>
        <v>C-4103-1500-22-0-4103055</v>
      </c>
      <c r="C222" s="211" t="s">
        <v>167</v>
      </c>
      <c r="D222" s="212">
        <v>4103</v>
      </c>
      <c r="E222" s="212" t="s">
        <v>172</v>
      </c>
      <c r="F222" s="212">
        <v>22</v>
      </c>
      <c r="G222" s="212" t="s">
        <v>175</v>
      </c>
      <c r="H222" s="212">
        <v>4103055</v>
      </c>
      <c r="I222" s="212"/>
      <c r="J222" s="212"/>
      <c r="K222" s="213" t="s">
        <v>144</v>
      </c>
      <c r="L222" s="214" t="s">
        <v>29</v>
      </c>
      <c r="M222" s="210" t="s">
        <v>243</v>
      </c>
      <c r="N222" s="215">
        <f>SUM(N223:N224)</f>
        <v>4550769145</v>
      </c>
      <c r="O222" s="215">
        <f t="shared" ref="O222:V222" si="256">SUM(O223:O224)</f>
        <v>0</v>
      </c>
      <c r="P222" s="215">
        <f t="shared" si="256"/>
        <v>0</v>
      </c>
      <c r="Q222" s="215">
        <f t="shared" si="256"/>
        <v>12479945236</v>
      </c>
      <c r="R222" s="215">
        <f t="shared" si="256"/>
        <v>0</v>
      </c>
      <c r="S222" s="215">
        <f t="shared" si="256"/>
        <v>0</v>
      </c>
      <c r="T222" s="215">
        <f t="shared" si="256"/>
        <v>17030714381</v>
      </c>
      <c r="U222" s="215">
        <f t="shared" si="256"/>
        <v>0</v>
      </c>
      <c r="V222" s="215">
        <f t="shared" si="256"/>
        <v>17030714381</v>
      </c>
      <c r="W222" s="216">
        <f t="shared" si="151"/>
        <v>0</v>
      </c>
      <c r="X222" s="215">
        <f t="shared" ref="X222:Y222" si="257">SUM(X223:X224)</f>
        <v>0</v>
      </c>
      <c r="Y222" s="215">
        <f t="shared" si="257"/>
        <v>0</v>
      </c>
      <c r="Z222" s="216">
        <f t="shared" si="154"/>
        <v>0</v>
      </c>
      <c r="AA222" s="215">
        <f t="shared" ref="AA222:AB222" si="258">SUM(AA223:AA224)</f>
        <v>0</v>
      </c>
      <c r="AB222" s="215">
        <f t="shared" si="258"/>
        <v>0</v>
      </c>
      <c r="AC222" s="216">
        <f t="shared" si="233"/>
        <v>0</v>
      </c>
    </row>
    <row r="223" spans="1:29" ht="24.95" customHeight="1">
      <c r="A223" s="32" t="str">
        <f t="shared" si="229"/>
        <v>C-4103-1500-22-0-4103055-02=11</v>
      </c>
      <c r="B223" s="217" t="str">
        <f>CONCATENATE(C223,"-",D223,"-",E223,"-",F223,"-",G223,"-",H223,"-",I223)</f>
        <v>C-4103-1500-22-0-4103055-02</v>
      </c>
      <c r="C223" s="218" t="s">
        <v>167</v>
      </c>
      <c r="D223" s="219">
        <v>4103</v>
      </c>
      <c r="E223" s="219" t="s">
        <v>172</v>
      </c>
      <c r="F223" s="219">
        <v>22</v>
      </c>
      <c r="G223" s="219" t="s">
        <v>175</v>
      </c>
      <c r="H223" s="219" t="s">
        <v>203</v>
      </c>
      <c r="I223" s="225" t="s">
        <v>54</v>
      </c>
      <c r="J223" s="219"/>
      <c r="K223" s="220" t="s">
        <v>144</v>
      </c>
      <c r="L223" s="221" t="s">
        <v>29</v>
      </c>
      <c r="M223" s="259" t="s">
        <v>178</v>
      </c>
      <c r="N223" s="223">
        <v>396551404</v>
      </c>
      <c r="O223" s="222"/>
      <c r="P223" s="222"/>
      <c r="Q223" s="222">
        <f>26756584+91806393</f>
        <v>118562977</v>
      </c>
      <c r="R223" s="222"/>
      <c r="S223" s="222"/>
      <c r="T223" s="222">
        <f>+N223-S223+O223-P223+Q223-R223</f>
        <v>515114381</v>
      </c>
      <c r="U223" s="222">
        <v>0</v>
      </c>
      <c r="V223" s="222">
        <f t="shared" ref="V223:V224" si="259">+T223-U223</f>
        <v>515114381</v>
      </c>
      <c r="W223" s="224">
        <f t="shared" si="151"/>
        <v>0</v>
      </c>
      <c r="X223" s="222">
        <v>0</v>
      </c>
      <c r="Y223" s="222">
        <f t="shared" ref="Y223:Y224" si="260">+U223-X223</f>
        <v>0</v>
      </c>
      <c r="Z223" s="224">
        <f t="shared" si="154"/>
        <v>0</v>
      </c>
      <c r="AA223" s="222">
        <v>0</v>
      </c>
      <c r="AB223" s="222">
        <f t="shared" ref="AB223:AB224" si="261">+X223-AA223</f>
        <v>0</v>
      </c>
      <c r="AC223" s="224">
        <f t="shared" si="233"/>
        <v>0</v>
      </c>
    </row>
    <row r="224" spans="1:29" ht="24.95" customHeight="1">
      <c r="A224" s="32" t="str">
        <f t="shared" si="229"/>
        <v>C-4103-1500-22-0-4103055-03=11</v>
      </c>
      <c r="B224" s="217" t="str">
        <f>CONCATENATE(C224,"-",D224,"-",E224,"-",F224,"-",G224,"-",H224,"-",I224)</f>
        <v>C-4103-1500-22-0-4103055-03</v>
      </c>
      <c r="C224" s="218" t="s">
        <v>167</v>
      </c>
      <c r="D224" s="219">
        <v>4103</v>
      </c>
      <c r="E224" s="219" t="s">
        <v>172</v>
      </c>
      <c r="F224" s="219">
        <v>22</v>
      </c>
      <c r="G224" s="219" t="s">
        <v>175</v>
      </c>
      <c r="H224" s="219" t="s">
        <v>203</v>
      </c>
      <c r="I224" s="225" t="s">
        <v>65</v>
      </c>
      <c r="J224" s="219"/>
      <c r="K224" s="220" t="s">
        <v>144</v>
      </c>
      <c r="L224" s="221" t="s">
        <v>29</v>
      </c>
      <c r="M224" s="259" t="s">
        <v>127</v>
      </c>
      <c r="N224" s="223">
        <v>4154217741</v>
      </c>
      <c r="O224" s="222"/>
      <c r="P224" s="222"/>
      <c r="Q224" s="222">
        <f>2342793807+10018588452</f>
        <v>12361382259</v>
      </c>
      <c r="R224" s="222"/>
      <c r="S224" s="222"/>
      <c r="T224" s="222">
        <f>+N224-S224+O224-P224+Q224-R224</f>
        <v>16515600000</v>
      </c>
      <c r="U224" s="222">
        <v>0</v>
      </c>
      <c r="V224" s="222">
        <f t="shared" si="259"/>
        <v>16515600000</v>
      </c>
      <c r="W224" s="224">
        <f t="shared" si="151"/>
        <v>0</v>
      </c>
      <c r="X224" s="222">
        <v>0</v>
      </c>
      <c r="Y224" s="222">
        <f t="shared" si="260"/>
        <v>0</v>
      </c>
      <c r="Z224" s="224">
        <f t="shared" si="154"/>
        <v>0</v>
      </c>
      <c r="AA224" s="222">
        <v>0</v>
      </c>
      <c r="AB224" s="222">
        <f t="shared" si="261"/>
        <v>0</v>
      </c>
      <c r="AC224" s="224">
        <f t="shared" si="233"/>
        <v>0</v>
      </c>
    </row>
    <row r="225" spans="1:52" ht="31.5" customHeight="1">
      <c r="A225" s="32" t="str">
        <f t="shared" si="229"/>
        <v>C-4103-1500-22-0-4103057=11</v>
      </c>
      <c r="B225" s="210" t="str">
        <f>CONCATENATE(C225,"-",D225,"-",E225,"-",F225,"-",G225,"-",H225)</f>
        <v>C-4103-1500-22-0-4103057</v>
      </c>
      <c r="C225" s="211" t="s">
        <v>167</v>
      </c>
      <c r="D225" s="212">
        <v>4103</v>
      </c>
      <c r="E225" s="212" t="s">
        <v>172</v>
      </c>
      <c r="F225" s="212">
        <v>22</v>
      </c>
      <c r="G225" s="212" t="s">
        <v>175</v>
      </c>
      <c r="H225" s="212">
        <v>4103057</v>
      </c>
      <c r="I225" s="212"/>
      <c r="J225" s="212"/>
      <c r="K225" s="213" t="s">
        <v>144</v>
      </c>
      <c r="L225" s="214" t="s">
        <v>29</v>
      </c>
      <c r="M225" s="210" t="s">
        <v>244</v>
      </c>
      <c r="N225" s="215">
        <f>SUM(N226:N227)</f>
        <v>102633231456</v>
      </c>
      <c r="O225" s="215">
        <f t="shared" ref="O225:V225" si="262">SUM(O226:O227)</f>
        <v>0</v>
      </c>
      <c r="P225" s="215">
        <f t="shared" si="262"/>
        <v>0</v>
      </c>
      <c r="Q225" s="215">
        <f t="shared" si="262"/>
        <v>202411169</v>
      </c>
      <c r="R225" s="215">
        <f t="shared" si="262"/>
        <v>4772206087</v>
      </c>
      <c r="S225" s="215">
        <f t="shared" si="262"/>
        <v>0</v>
      </c>
      <c r="T225" s="215">
        <f t="shared" si="262"/>
        <v>98063436538</v>
      </c>
      <c r="U225" s="215">
        <f t="shared" si="262"/>
        <v>82721073066</v>
      </c>
      <c r="V225" s="215">
        <f t="shared" si="262"/>
        <v>15342363472</v>
      </c>
      <c r="W225" s="216">
        <f t="shared" si="151"/>
        <v>0.8435465448321835</v>
      </c>
      <c r="X225" s="215">
        <f t="shared" ref="X225:Y225" si="263">SUM(X226:X227)</f>
        <v>78134676841</v>
      </c>
      <c r="Y225" s="215">
        <f t="shared" si="263"/>
        <v>4586396225</v>
      </c>
      <c r="Z225" s="216">
        <f t="shared" ref="Z225:Z242" si="264">+IF(U225&gt;0,Y225/U225,0)</f>
        <v>5.5444109402941241E-2</v>
      </c>
      <c r="AA225" s="215">
        <f t="shared" ref="AA225:AB225" si="265">SUM(AA226:AA227)</f>
        <v>78030025764</v>
      </c>
      <c r="AB225" s="215">
        <f t="shared" si="265"/>
        <v>104651077</v>
      </c>
      <c r="AC225" s="216">
        <f t="shared" si="233"/>
        <v>0.94329078276998179</v>
      </c>
    </row>
    <row r="226" spans="1:52" ht="24.95" customHeight="1">
      <c r="A226" s="32" t="str">
        <f t="shared" si="229"/>
        <v>C-4103-1500-22-0-4103057-02=11</v>
      </c>
      <c r="B226" s="217" t="str">
        <f>CONCATENATE(C226,"-",D226,"-",E226,"-",F226,"-",G226,"-",H226,"-",I226)</f>
        <v>C-4103-1500-22-0-4103057-02</v>
      </c>
      <c r="C226" s="218" t="s">
        <v>167</v>
      </c>
      <c r="D226" s="219">
        <v>4103</v>
      </c>
      <c r="E226" s="219" t="s">
        <v>172</v>
      </c>
      <c r="F226" s="219">
        <v>22</v>
      </c>
      <c r="G226" s="219" t="s">
        <v>175</v>
      </c>
      <c r="H226" s="219" t="s">
        <v>221</v>
      </c>
      <c r="I226" s="225" t="s">
        <v>54</v>
      </c>
      <c r="J226" s="219"/>
      <c r="K226" s="220" t="s">
        <v>144</v>
      </c>
      <c r="L226" s="221" t="s">
        <v>29</v>
      </c>
      <c r="M226" s="259" t="s">
        <v>178</v>
      </c>
      <c r="N226" s="223">
        <v>6561199369</v>
      </c>
      <c r="O226" s="222"/>
      <c r="P226" s="222"/>
      <c r="Q226" s="222">
        <f>202411169</f>
        <v>202411169</v>
      </c>
      <c r="R226" s="222"/>
      <c r="S226" s="222"/>
      <c r="T226" s="222">
        <f>+N226-S226+O226-P226+Q226-R226</f>
        <v>6763610538</v>
      </c>
      <c r="U226" s="222">
        <v>5246089066</v>
      </c>
      <c r="V226" s="222">
        <f t="shared" ref="V226:V227" si="266">+T226-U226</f>
        <v>1517521472</v>
      </c>
      <c r="W226" s="224">
        <f t="shared" si="151"/>
        <v>0.77563440953997753</v>
      </c>
      <c r="X226" s="222">
        <v>2168091841</v>
      </c>
      <c r="Y226" s="222">
        <f t="shared" ref="Y226:Y227" si="267">+U226-X226</f>
        <v>3077997225</v>
      </c>
      <c r="Z226" s="224">
        <f t="shared" si="264"/>
        <v>0.58672225848176252</v>
      </c>
      <c r="AA226" s="222">
        <v>2063440764</v>
      </c>
      <c r="AB226" s="222">
        <f t="shared" ref="AB226:AB227" si="268">+X226-AA226</f>
        <v>104651077</v>
      </c>
      <c r="AC226" s="224">
        <f t="shared" si="233"/>
        <v>0.39332934268562036</v>
      </c>
    </row>
    <row r="227" spans="1:52" ht="24.95" customHeight="1">
      <c r="A227" s="32" t="str">
        <f t="shared" si="229"/>
        <v>C-4103-1500-22-0-4103057-03=11</v>
      </c>
      <c r="B227" s="217" t="str">
        <f>CONCATENATE(C227,"-",D227,"-",E227,"-",F227,"-",G227,"-",H227,"-",I227)</f>
        <v>C-4103-1500-22-0-4103057-03</v>
      </c>
      <c r="C227" s="218" t="s">
        <v>167</v>
      </c>
      <c r="D227" s="219">
        <v>4103</v>
      </c>
      <c r="E227" s="219" t="s">
        <v>172</v>
      </c>
      <c r="F227" s="219">
        <v>22</v>
      </c>
      <c r="G227" s="219" t="s">
        <v>175</v>
      </c>
      <c r="H227" s="219" t="s">
        <v>221</v>
      </c>
      <c r="I227" s="225" t="s">
        <v>65</v>
      </c>
      <c r="J227" s="219"/>
      <c r="K227" s="220" t="s">
        <v>144</v>
      </c>
      <c r="L227" s="221" t="s">
        <v>29</v>
      </c>
      <c r="M227" s="259" t="s">
        <v>127</v>
      </c>
      <c r="N227" s="223">
        <v>96072032087</v>
      </c>
      <c r="O227" s="222"/>
      <c r="P227" s="222"/>
      <c r="Q227" s="222"/>
      <c r="R227" s="222">
        <f>4772206087</f>
        <v>4772206087</v>
      </c>
      <c r="S227" s="222"/>
      <c r="T227" s="222">
        <f>+N227-S227+O227-P227+Q227-R227</f>
        <v>91299826000</v>
      </c>
      <c r="U227" s="222">
        <v>77474984000</v>
      </c>
      <c r="V227" s="222">
        <f t="shared" si="266"/>
        <v>13824842000</v>
      </c>
      <c r="W227" s="224">
        <f t="shared" si="151"/>
        <v>0.84857756464946599</v>
      </c>
      <c r="X227" s="222">
        <v>75966585000</v>
      </c>
      <c r="Y227" s="222">
        <f t="shared" si="267"/>
        <v>1508399000</v>
      </c>
      <c r="Z227" s="224">
        <f t="shared" si="264"/>
        <v>1.9469497405769066E-2</v>
      </c>
      <c r="AA227" s="222">
        <v>75966585000</v>
      </c>
      <c r="AB227" s="222">
        <f t="shared" si="268"/>
        <v>0</v>
      </c>
      <c r="AC227" s="224">
        <f t="shared" si="233"/>
        <v>0.98053050259423091</v>
      </c>
    </row>
    <row r="228" spans="1:52" ht="31.5" customHeight="1">
      <c r="A228" s="32" t="str">
        <f t="shared" si="229"/>
        <v>C-4103-1500-22-0-4103062=11</v>
      </c>
      <c r="B228" s="210" t="str">
        <f>CONCATENATE(C228,"-",D228,"-",E228,"-",F228,"-",G228,"-",H228)</f>
        <v>C-4103-1500-22-0-4103062</v>
      </c>
      <c r="C228" s="211" t="s">
        <v>167</v>
      </c>
      <c r="D228" s="212">
        <v>4103</v>
      </c>
      <c r="E228" s="212" t="s">
        <v>172</v>
      </c>
      <c r="F228" s="212">
        <v>22</v>
      </c>
      <c r="G228" s="212" t="s">
        <v>175</v>
      </c>
      <c r="H228" s="212">
        <v>4103062</v>
      </c>
      <c r="I228" s="212"/>
      <c r="J228" s="212"/>
      <c r="K228" s="213" t="s">
        <v>144</v>
      </c>
      <c r="L228" s="214" t="s">
        <v>29</v>
      </c>
      <c r="M228" s="210" t="s">
        <v>245</v>
      </c>
      <c r="N228" s="215">
        <f>SUM(N229:N230)</f>
        <v>11724968367</v>
      </c>
      <c r="O228" s="215">
        <f t="shared" ref="O228:V228" si="269">SUM(O229:O230)</f>
        <v>0</v>
      </c>
      <c r="P228" s="215">
        <f t="shared" si="269"/>
        <v>0</v>
      </c>
      <c r="Q228" s="215">
        <f t="shared" si="269"/>
        <v>1895241731</v>
      </c>
      <c r="R228" s="215">
        <f t="shared" si="269"/>
        <v>10018588452</v>
      </c>
      <c r="S228" s="215">
        <f t="shared" si="269"/>
        <v>0</v>
      </c>
      <c r="T228" s="215">
        <f t="shared" si="269"/>
        <v>3601621646</v>
      </c>
      <c r="U228" s="215">
        <f t="shared" si="269"/>
        <v>0</v>
      </c>
      <c r="V228" s="215">
        <f t="shared" si="269"/>
        <v>3601621646</v>
      </c>
      <c r="W228" s="216">
        <f t="shared" si="151"/>
        <v>0</v>
      </c>
      <c r="X228" s="215">
        <f t="shared" ref="X228:Y228" si="270">SUM(X229:X230)</f>
        <v>0</v>
      </c>
      <c r="Y228" s="215">
        <f t="shared" si="270"/>
        <v>0</v>
      </c>
      <c r="Z228" s="216">
        <f t="shared" si="264"/>
        <v>0</v>
      </c>
      <c r="AA228" s="215">
        <f t="shared" ref="AA228:AB228" si="271">SUM(AA229:AA230)</f>
        <v>0</v>
      </c>
      <c r="AB228" s="215">
        <f t="shared" si="271"/>
        <v>0</v>
      </c>
      <c r="AC228" s="216">
        <f t="shared" si="233"/>
        <v>0</v>
      </c>
    </row>
    <row r="229" spans="1:52" ht="24.95" customHeight="1">
      <c r="A229" s="32" t="str">
        <f t="shared" si="229"/>
        <v>C-4103-1500-22-0-4103062-02=11</v>
      </c>
      <c r="B229" s="217" t="str">
        <f>CONCATENATE(C229,"-",D229,"-",E229,"-",F229,"-",G229,"-",H229,"-",I229)</f>
        <v>C-4103-1500-22-0-4103062-02</v>
      </c>
      <c r="C229" s="218" t="s">
        <v>167</v>
      </c>
      <c r="D229" s="219">
        <v>4103</v>
      </c>
      <c r="E229" s="219" t="s">
        <v>172</v>
      </c>
      <c r="F229" s="219">
        <v>22</v>
      </c>
      <c r="G229" s="219" t="s">
        <v>175</v>
      </c>
      <c r="H229" s="219" t="s">
        <v>246</v>
      </c>
      <c r="I229" s="225" t="s">
        <v>54</v>
      </c>
      <c r="J229" s="219"/>
      <c r="K229" s="220" t="s">
        <v>144</v>
      </c>
      <c r="L229" s="221" t="s">
        <v>29</v>
      </c>
      <c r="M229" s="259" t="s">
        <v>178</v>
      </c>
      <c r="N229" s="223">
        <v>1706379915</v>
      </c>
      <c r="O229" s="222"/>
      <c r="P229" s="222"/>
      <c r="Q229" s="222">
        <f>1895241731</f>
        <v>1895241731</v>
      </c>
      <c r="R229" s="222"/>
      <c r="S229" s="222"/>
      <c r="T229" s="222">
        <f>+N229-S229+O229-P229+Q229-R229</f>
        <v>3601621646</v>
      </c>
      <c r="U229" s="222">
        <v>0</v>
      </c>
      <c r="V229" s="222">
        <f t="shared" ref="V229:V230" si="272">+T229-U229</f>
        <v>3601621646</v>
      </c>
      <c r="W229" s="224">
        <f t="shared" si="151"/>
        <v>0</v>
      </c>
      <c r="X229" s="222">
        <v>0</v>
      </c>
      <c r="Y229" s="222">
        <f t="shared" ref="Y229:Y230" si="273">+U229-X229</f>
        <v>0</v>
      </c>
      <c r="Z229" s="224">
        <f t="shared" si="264"/>
        <v>0</v>
      </c>
      <c r="AA229" s="222">
        <v>0</v>
      </c>
      <c r="AB229" s="222">
        <f t="shared" ref="AB229:AB230" si="274">+X229-AA229</f>
        <v>0</v>
      </c>
      <c r="AC229" s="224">
        <f t="shared" si="233"/>
        <v>0</v>
      </c>
    </row>
    <row r="230" spans="1:52" ht="24.95" customHeight="1">
      <c r="A230" s="32" t="str">
        <f t="shared" si="229"/>
        <v>C-4103-1500-22-0-4103062-03=11</v>
      </c>
      <c r="B230" s="217" t="str">
        <f>CONCATENATE(C230,"-",D230,"-",E230,"-",F230,"-",G230,"-",H230,"-",I230)</f>
        <v>C-4103-1500-22-0-4103062-03</v>
      </c>
      <c r="C230" s="218" t="s">
        <v>167</v>
      </c>
      <c r="D230" s="219">
        <v>4103</v>
      </c>
      <c r="E230" s="219" t="s">
        <v>172</v>
      </c>
      <c r="F230" s="219">
        <v>22</v>
      </c>
      <c r="G230" s="219" t="s">
        <v>175</v>
      </c>
      <c r="H230" s="219" t="s">
        <v>246</v>
      </c>
      <c r="I230" s="225" t="s">
        <v>65</v>
      </c>
      <c r="J230" s="219"/>
      <c r="K230" s="220" t="s">
        <v>144</v>
      </c>
      <c r="L230" s="221" t="s">
        <v>29</v>
      </c>
      <c r="M230" s="259" t="s">
        <v>127</v>
      </c>
      <c r="N230" s="223">
        <v>10018588452</v>
      </c>
      <c r="O230" s="222"/>
      <c r="P230" s="222"/>
      <c r="Q230" s="222"/>
      <c r="R230" s="222">
        <f>10018588452</f>
        <v>10018588452</v>
      </c>
      <c r="S230" s="222"/>
      <c r="T230" s="222">
        <f>+N230-S230+O230-P230+Q230-R230</f>
        <v>0</v>
      </c>
      <c r="U230" s="222">
        <v>0</v>
      </c>
      <c r="V230" s="222">
        <f t="shared" si="272"/>
        <v>0</v>
      </c>
      <c r="W230" s="224">
        <f t="shared" si="151"/>
        <v>0</v>
      </c>
      <c r="X230" s="222">
        <v>0</v>
      </c>
      <c r="Y230" s="222">
        <f t="shared" si="273"/>
        <v>0</v>
      </c>
      <c r="Z230" s="224">
        <f t="shared" si="264"/>
        <v>0</v>
      </c>
      <c r="AA230" s="222">
        <v>0</v>
      </c>
      <c r="AB230" s="222">
        <f t="shared" si="274"/>
        <v>0</v>
      </c>
      <c r="AC230" s="224">
        <f t="shared" si="233"/>
        <v>0</v>
      </c>
    </row>
    <row r="231" spans="1:52" s="90" customFormat="1" ht="43.5" customHeight="1">
      <c r="A231" s="32"/>
      <c r="B231" s="226" t="str">
        <f>CONCATENATE(C231,"-",D231,"-",E231,"-",F231)</f>
        <v>C-4103-1500-23</v>
      </c>
      <c r="C231" s="227" t="s">
        <v>167</v>
      </c>
      <c r="D231" s="228" t="s">
        <v>190</v>
      </c>
      <c r="E231" s="228" t="s">
        <v>172</v>
      </c>
      <c r="F231" s="228">
        <v>23</v>
      </c>
      <c r="G231" s="228"/>
      <c r="H231" s="228"/>
      <c r="I231" s="228"/>
      <c r="J231" s="228"/>
      <c r="K231" s="229"/>
      <c r="L231" s="230"/>
      <c r="M231" s="231" t="s">
        <v>779</v>
      </c>
      <c r="N231" s="232">
        <f>+N232</f>
        <v>1769368130080</v>
      </c>
      <c r="O231" s="232">
        <f t="shared" ref="O231:V231" si="275">+O232</f>
        <v>0</v>
      </c>
      <c r="P231" s="232">
        <f t="shared" si="275"/>
        <v>0</v>
      </c>
      <c r="Q231" s="232">
        <f t="shared" si="275"/>
        <v>2000000000</v>
      </c>
      <c r="R231" s="232">
        <f t="shared" si="275"/>
        <v>2000000000</v>
      </c>
      <c r="S231" s="232">
        <f t="shared" si="275"/>
        <v>0</v>
      </c>
      <c r="T231" s="232">
        <f t="shared" si="275"/>
        <v>1769368130080</v>
      </c>
      <c r="U231" s="232">
        <f t="shared" si="275"/>
        <v>587566024231.08997</v>
      </c>
      <c r="V231" s="232">
        <f t="shared" si="275"/>
        <v>1181802105848.9102</v>
      </c>
      <c r="W231" s="233">
        <f t="shared" si="151"/>
        <v>0.33207675341395676</v>
      </c>
      <c r="X231" s="232">
        <f t="shared" ref="X231:Y231" si="276">+X232</f>
        <v>566384990240.07007</v>
      </c>
      <c r="Y231" s="232">
        <f t="shared" si="276"/>
        <v>21181033991.02</v>
      </c>
      <c r="Z231" s="233">
        <f t="shared" si="264"/>
        <v>3.6048772593238798E-2</v>
      </c>
      <c r="AA231" s="232">
        <f t="shared" ref="AA231:AB231" si="277">+AA232</f>
        <v>559810391458.41003</v>
      </c>
      <c r="AB231" s="232">
        <f t="shared" si="277"/>
        <v>6574598781.6599998</v>
      </c>
      <c r="AC231" s="233">
        <f t="shared" si="233"/>
        <v>0.95276167847008864</v>
      </c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1:52" s="90" customFormat="1" ht="36" customHeight="1">
      <c r="A232" s="32"/>
      <c r="B232" s="210" t="str">
        <f>CONCATENATE(C232,"-",D232,"-",E232,"-",F232,"-",G232,"-",H232)</f>
        <v>C-4103-1500-23-0-4103065</v>
      </c>
      <c r="C232" s="211" t="s">
        <v>167</v>
      </c>
      <c r="D232" s="212" t="s">
        <v>190</v>
      </c>
      <c r="E232" s="212" t="s">
        <v>172</v>
      </c>
      <c r="F232" s="212">
        <v>23</v>
      </c>
      <c r="G232" s="212" t="s">
        <v>175</v>
      </c>
      <c r="H232" s="212">
        <v>4103065</v>
      </c>
      <c r="I232" s="212"/>
      <c r="J232" s="212"/>
      <c r="K232" s="213">
        <v>11</v>
      </c>
      <c r="L232" s="214" t="s">
        <v>29</v>
      </c>
      <c r="M232" s="210" t="s">
        <v>248</v>
      </c>
      <c r="N232" s="215">
        <f>SUM(N233:N236)</f>
        <v>1769368130080</v>
      </c>
      <c r="O232" s="215">
        <f t="shared" ref="O232:AB232" si="278">SUM(O233:O236)</f>
        <v>0</v>
      </c>
      <c r="P232" s="215">
        <f t="shared" si="278"/>
        <v>0</v>
      </c>
      <c r="Q232" s="215">
        <f t="shared" si="278"/>
        <v>2000000000</v>
      </c>
      <c r="R232" s="215">
        <f t="shared" si="278"/>
        <v>2000000000</v>
      </c>
      <c r="S232" s="215">
        <f t="shared" si="278"/>
        <v>0</v>
      </c>
      <c r="T232" s="215">
        <f t="shared" si="278"/>
        <v>1769368130080</v>
      </c>
      <c r="U232" s="215">
        <f t="shared" si="278"/>
        <v>587566024231.08997</v>
      </c>
      <c r="V232" s="215">
        <f t="shared" si="278"/>
        <v>1181802105848.9102</v>
      </c>
      <c r="W232" s="216">
        <f t="shared" si="151"/>
        <v>0.33207675341395676</v>
      </c>
      <c r="X232" s="215">
        <f t="shared" si="278"/>
        <v>566384990240.07007</v>
      </c>
      <c r="Y232" s="215">
        <f t="shared" si="278"/>
        <v>21181033991.02</v>
      </c>
      <c r="Z232" s="216">
        <f t="shared" si="264"/>
        <v>3.6048772593238798E-2</v>
      </c>
      <c r="AA232" s="215">
        <f t="shared" si="278"/>
        <v>559810391458.41003</v>
      </c>
      <c r="AB232" s="215">
        <f t="shared" si="278"/>
        <v>6574598781.6599998</v>
      </c>
      <c r="AC232" s="216">
        <f t="shared" si="233"/>
        <v>0.95276167847008864</v>
      </c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1:52" s="90" customFormat="1" ht="27" customHeight="1">
      <c r="A233" s="32"/>
      <c r="B233" s="217" t="str">
        <f>CONCATENATE(C233,"-",D233,"-",E233,"-",F233,"-",G233,"-",H233,"-",I233)</f>
        <v>C-4103-1500-23-0-4103065-02</v>
      </c>
      <c r="C233" s="266" t="s">
        <v>167</v>
      </c>
      <c r="D233" s="267" t="s">
        <v>190</v>
      </c>
      <c r="E233" s="267" t="s">
        <v>172</v>
      </c>
      <c r="F233" s="267">
        <v>23</v>
      </c>
      <c r="G233" s="267" t="s">
        <v>175</v>
      </c>
      <c r="H233" s="267">
        <v>4103065</v>
      </c>
      <c r="I233" s="267" t="s">
        <v>54</v>
      </c>
      <c r="J233" s="267"/>
      <c r="K233" s="268">
        <v>11</v>
      </c>
      <c r="L233" s="269" t="s">
        <v>29</v>
      </c>
      <c r="M233" s="259" t="s">
        <v>178</v>
      </c>
      <c r="N233" s="222">
        <v>19400000000</v>
      </c>
      <c r="O233" s="222"/>
      <c r="P233" s="222"/>
      <c r="Q233" s="222">
        <f>2000000000</f>
        <v>2000000000</v>
      </c>
      <c r="R233" s="222"/>
      <c r="S233" s="222"/>
      <c r="T233" s="222">
        <f>+N233+O233-P233+Q233-R233-S233</f>
        <v>21400000000</v>
      </c>
      <c r="U233" s="222">
        <v>152834398.5</v>
      </c>
      <c r="V233" s="222">
        <f>+T233-U233</f>
        <v>21247165601.5</v>
      </c>
      <c r="W233" s="224">
        <f t="shared" si="151"/>
        <v>7.1417943224299065E-3</v>
      </c>
      <c r="X233" s="222">
        <v>0</v>
      </c>
      <c r="Y233" s="222">
        <f>+U233-X233</f>
        <v>152834398.5</v>
      </c>
      <c r="Z233" s="224">
        <f t="shared" si="264"/>
        <v>1</v>
      </c>
      <c r="AA233" s="222">
        <v>0</v>
      </c>
      <c r="AB233" s="222">
        <f>+X233-AA233</f>
        <v>0</v>
      </c>
      <c r="AC233" s="224">
        <f t="shared" si="233"/>
        <v>0</v>
      </c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1:52" s="90" customFormat="1" ht="27" customHeight="1">
      <c r="A234" s="32"/>
      <c r="B234" s="217" t="str">
        <f>CONCATENATE(C234,"-",D234,"-",E234,"-",F234,"-",G234,"-",H234,"-",I234)</f>
        <v>C-4103-1500-23-0-4103065-02</v>
      </c>
      <c r="C234" s="266" t="s">
        <v>167</v>
      </c>
      <c r="D234" s="267" t="s">
        <v>190</v>
      </c>
      <c r="E234" s="267" t="s">
        <v>172</v>
      </c>
      <c r="F234" s="267">
        <v>23</v>
      </c>
      <c r="G234" s="267" t="s">
        <v>175</v>
      </c>
      <c r="H234" s="267">
        <v>4103065</v>
      </c>
      <c r="I234" s="267" t="s">
        <v>54</v>
      </c>
      <c r="J234" s="267"/>
      <c r="K234" s="268">
        <v>16</v>
      </c>
      <c r="L234" s="269" t="s">
        <v>156</v>
      </c>
      <c r="M234" s="259" t="s">
        <v>178</v>
      </c>
      <c r="N234" s="222">
        <v>68256379176</v>
      </c>
      <c r="O234" s="222"/>
      <c r="P234" s="222"/>
      <c r="Q234" s="222"/>
      <c r="R234" s="222"/>
      <c r="S234" s="222"/>
      <c r="T234" s="222">
        <f>+N234+O234-P234+Q234-R234-S234</f>
        <v>68256379176</v>
      </c>
      <c r="U234" s="222">
        <v>34203349832.59</v>
      </c>
      <c r="V234" s="222">
        <f>+T234-U234</f>
        <v>34053029343.41</v>
      </c>
      <c r="W234" s="224">
        <f t="shared" si="151"/>
        <v>0.50110114608330159</v>
      </c>
      <c r="X234" s="222">
        <v>13175150240.07</v>
      </c>
      <c r="Y234" s="222">
        <f>+U234-X234</f>
        <v>21028199592.52</v>
      </c>
      <c r="Z234" s="224">
        <f t="shared" si="264"/>
        <v>0.61479941863716769</v>
      </c>
      <c r="AA234" s="222">
        <v>6600551458.4099998</v>
      </c>
      <c r="AB234" s="222">
        <f>+X234-AA234</f>
        <v>6574598781.6599998</v>
      </c>
      <c r="AC234" s="224">
        <f t="shared" si="233"/>
        <v>0.19297967861968865</v>
      </c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1:52" s="90" customFormat="1" ht="27" customHeight="1">
      <c r="A235" s="32"/>
      <c r="B235" s="217" t="str">
        <f>CONCATENATE(C235,"-",D235,"-",E235,"-",F235,"-",G235,"-",H235,"-",I235)</f>
        <v>C-4103-1500-23-0-4103065-03</v>
      </c>
      <c r="C235" s="266" t="s">
        <v>167</v>
      </c>
      <c r="D235" s="267" t="s">
        <v>190</v>
      </c>
      <c r="E235" s="267" t="s">
        <v>172</v>
      </c>
      <c r="F235" s="267">
        <v>23</v>
      </c>
      <c r="G235" s="267" t="s">
        <v>175</v>
      </c>
      <c r="H235" s="267">
        <v>4103065</v>
      </c>
      <c r="I235" s="274" t="s">
        <v>65</v>
      </c>
      <c r="J235" s="267"/>
      <c r="K235" s="268">
        <v>11</v>
      </c>
      <c r="L235" s="269" t="s">
        <v>29</v>
      </c>
      <c r="M235" s="259" t="s">
        <v>127</v>
      </c>
      <c r="N235" s="222">
        <v>368600000000</v>
      </c>
      <c r="O235" s="222"/>
      <c r="P235" s="222"/>
      <c r="Q235" s="222"/>
      <c r="R235" s="222">
        <f>2000000000</f>
        <v>2000000000</v>
      </c>
      <c r="S235" s="222"/>
      <c r="T235" s="222">
        <f>+N235+O235-P235+Q235-R235-S235</f>
        <v>366600000000</v>
      </c>
      <c r="U235" s="222">
        <v>127084400000</v>
      </c>
      <c r="V235" s="222">
        <f>+T235-U235</f>
        <v>239515600000</v>
      </c>
      <c r="W235" s="224">
        <f t="shared" si="151"/>
        <v>0.34665684669939989</v>
      </c>
      <c r="X235" s="222">
        <v>127084400000</v>
      </c>
      <c r="Y235" s="222">
        <f>+U235-X235</f>
        <v>0</v>
      </c>
      <c r="Z235" s="224">
        <f t="shared" si="264"/>
        <v>0</v>
      </c>
      <c r="AA235" s="222">
        <v>127084400000</v>
      </c>
      <c r="AB235" s="222">
        <f>+X235-AA235</f>
        <v>0</v>
      </c>
      <c r="AC235" s="224">
        <f t="shared" si="233"/>
        <v>1</v>
      </c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1:52" s="90" customFormat="1" ht="27" customHeight="1">
      <c r="A236" s="32"/>
      <c r="B236" s="217" t="str">
        <f>CONCATENATE(C236,"-",D236,"-",E236,"-",F236,"-",G236,"-",H236,"-",I236)</f>
        <v>C-4103-1500-23-0-4103065-03</v>
      </c>
      <c r="C236" s="266" t="s">
        <v>167</v>
      </c>
      <c r="D236" s="267" t="s">
        <v>190</v>
      </c>
      <c r="E236" s="267" t="s">
        <v>172</v>
      </c>
      <c r="F236" s="267">
        <v>23</v>
      </c>
      <c r="G236" s="267" t="s">
        <v>175</v>
      </c>
      <c r="H236" s="267">
        <v>4103065</v>
      </c>
      <c r="I236" s="274" t="s">
        <v>65</v>
      </c>
      <c r="J236" s="267"/>
      <c r="K236" s="268">
        <v>16</v>
      </c>
      <c r="L236" s="269" t="s">
        <v>156</v>
      </c>
      <c r="M236" s="259" t="s">
        <v>127</v>
      </c>
      <c r="N236" s="222">
        <v>1313111750904</v>
      </c>
      <c r="O236" s="222"/>
      <c r="P236" s="222"/>
      <c r="Q236" s="222"/>
      <c r="R236" s="222"/>
      <c r="S236" s="222"/>
      <c r="T236" s="222">
        <f>+N236+O236-P236+Q236-R236-S236</f>
        <v>1313111750904</v>
      </c>
      <c r="U236" s="222">
        <v>426125440000</v>
      </c>
      <c r="V236" s="222">
        <f>+T236-U236</f>
        <v>886986310904</v>
      </c>
      <c r="W236" s="224">
        <f t="shared" si="151"/>
        <v>0.32451574643714654</v>
      </c>
      <c r="X236" s="222">
        <v>426125440000</v>
      </c>
      <c r="Y236" s="222">
        <f>+U236-X236</f>
        <v>0</v>
      </c>
      <c r="Z236" s="224">
        <f t="shared" si="264"/>
        <v>0</v>
      </c>
      <c r="AA236" s="222">
        <v>426125440000</v>
      </c>
      <c r="AB236" s="222">
        <f>+X236-AA236</f>
        <v>0</v>
      </c>
      <c r="AC236" s="224">
        <f t="shared" si="233"/>
        <v>1</v>
      </c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1:52" s="90" customFormat="1" ht="35.1" customHeight="1">
      <c r="A237" s="32" t="str">
        <f t="shared" si="229"/>
        <v>C-4199=</v>
      </c>
      <c r="B237" s="188" t="str">
        <f>CONCATENATE(C237,"-",D237)</f>
        <v>C-4199</v>
      </c>
      <c r="C237" s="189" t="s">
        <v>167</v>
      </c>
      <c r="D237" s="191">
        <v>4199</v>
      </c>
      <c r="E237" s="191"/>
      <c r="F237" s="191"/>
      <c r="G237" s="191"/>
      <c r="H237" s="191"/>
      <c r="I237" s="191"/>
      <c r="J237" s="191"/>
      <c r="K237" s="192"/>
      <c r="L237" s="193"/>
      <c r="M237" s="188" t="s">
        <v>250</v>
      </c>
      <c r="N237" s="194">
        <f>+N238</f>
        <v>3226548466</v>
      </c>
      <c r="O237" s="194">
        <f t="shared" ref="O237:AB240" si="279">+O238</f>
        <v>0</v>
      </c>
      <c r="P237" s="194">
        <f t="shared" si="279"/>
        <v>0</v>
      </c>
      <c r="Q237" s="194">
        <f t="shared" si="279"/>
        <v>0</v>
      </c>
      <c r="R237" s="194">
        <f t="shared" si="279"/>
        <v>0</v>
      </c>
      <c r="S237" s="194">
        <f t="shared" si="279"/>
        <v>0</v>
      </c>
      <c r="T237" s="194">
        <f t="shared" si="279"/>
        <v>3226548466</v>
      </c>
      <c r="U237" s="194">
        <f t="shared" si="279"/>
        <v>2135132756.5999999</v>
      </c>
      <c r="V237" s="194">
        <f t="shared" si="279"/>
        <v>1091415709.4000001</v>
      </c>
      <c r="W237" s="195">
        <f t="shared" si="151"/>
        <v>0.66173893840403264</v>
      </c>
      <c r="X237" s="194">
        <f t="shared" si="279"/>
        <v>582946409</v>
      </c>
      <c r="Y237" s="194">
        <f t="shared" si="279"/>
        <v>1552186347.5999999</v>
      </c>
      <c r="Z237" s="195">
        <f t="shared" si="264"/>
        <v>0.72697416252079428</v>
      </c>
      <c r="AA237" s="194">
        <f t="shared" si="279"/>
        <v>582946409</v>
      </c>
      <c r="AB237" s="194">
        <f t="shared" si="279"/>
        <v>0</v>
      </c>
      <c r="AC237" s="195">
        <f t="shared" si="233"/>
        <v>0.27302583747920567</v>
      </c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1:52" s="90" customFormat="1" ht="24.95" customHeight="1">
      <c r="A238" s="32" t="str">
        <f t="shared" si="229"/>
        <v>C-4199-1500=</v>
      </c>
      <c r="B238" s="196" t="str">
        <f>CONCATENATE(C238,"-",D238,"-",E238)</f>
        <v>C-4199-1500</v>
      </c>
      <c r="C238" s="197" t="s">
        <v>167</v>
      </c>
      <c r="D238" s="198">
        <v>4199</v>
      </c>
      <c r="E238" s="198">
        <v>1500</v>
      </c>
      <c r="F238" s="198"/>
      <c r="G238" s="198"/>
      <c r="H238" s="198"/>
      <c r="I238" s="198"/>
      <c r="J238" s="198"/>
      <c r="K238" s="199"/>
      <c r="L238" s="200"/>
      <c r="M238" s="196" t="s">
        <v>170</v>
      </c>
      <c r="N238" s="201">
        <f>+N239</f>
        <v>3226548466</v>
      </c>
      <c r="O238" s="201">
        <f t="shared" si="279"/>
        <v>0</v>
      </c>
      <c r="P238" s="201">
        <f t="shared" si="279"/>
        <v>0</v>
      </c>
      <c r="Q238" s="201">
        <f t="shared" si="279"/>
        <v>0</v>
      </c>
      <c r="R238" s="201">
        <f t="shared" si="279"/>
        <v>0</v>
      </c>
      <c r="S238" s="201">
        <f t="shared" si="279"/>
        <v>0</v>
      </c>
      <c r="T238" s="201">
        <f t="shared" si="279"/>
        <v>3226548466</v>
      </c>
      <c r="U238" s="201">
        <f t="shared" si="279"/>
        <v>2135132756.5999999</v>
      </c>
      <c r="V238" s="201">
        <f t="shared" si="279"/>
        <v>1091415709.4000001</v>
      </c>
      <c r="W238" s="202">
        <f t="shared" si="151"/>
        <v>0.66173893840403264</v>
      </c>
      <c r="X238" s="201">
        <f t="shared" si="279"/>
        <v>582946409</v>
      </c>
      <c r="Y238" s="201">
        <f t="shared" si="279"/>
        <v>1552186347.5999999</v>
      </c>
      <c r="Z238" s="202">
        <f t="shared" si="264"/>
        <v>0.72697416252079428</v>
      </c>
      <c r="AA238" s="201">
        <f t="shared" si="279"/>
        <v>582946409</v>
      </c>
      <c r="AB238" s="201">
        <f t="shared" si="279"/>
        <v>0</v>
      </c>
      <c r="AC238" s="202">
        <f t="shared" si="233"/>
        <v>0.27302583747920567</v>
      </c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1:52" s="90" customFormat="1" ht="33">
      <c r="A239" s="32" t="str">
        <f t="shared" si="229"/>
        <v>C-4199-1500-2=</v>
      </c>
      <c r="B239" s="203" t="str">
        <f>CONCATENATE(C239,"-",D239,"-",E239,"-",F239)</f>
        <v>C-4199-1500-2</v>
      </c>
      <c r="C239" s="227" t="s">
        <v>167</v>
      </c>
      <c r="D239" s="228" t="s">
        <v>251</v>
      </c>
      <c r="E239" s="228" t="s">
        <v>172</v>
      </c>
      <c r="F239" s="228" t="s">
        <v>252</v>
      </c>
      <c r="G239" s="228"/>
      <c r="H239" s="228"/>
      <c r="I239" s="228"/>
      <c r="J239" s="228"/>
      <c r="K239" s="229"/>
      <c r="L239" s="230"/>
      <c r="M239" s="231" t="s">
        <v>287</v>
      </c>
      <c r="N239" s="232">
        <f>+N240</f>
        <v>3226548466</v>
      </c>
      <c r="O239" s="232">
        <f t="shared" si="279"/>
        <v>0</v>
      </c>
      <c r="P239" s="232">
        <f t="shared" si="279"/>
        <v>0</v>
      </c>
      <c r="Q239" s="232">
        <f t="shared" si="279"/>
        <v>0</v>
      </c>
      <c r="R239" s="232">
        <f t="shared" si="279"/>
        <v>0</v>
      </c>
      <c r="S239" s="232">
        <f t="shared" si="279"/>
        <v>0</v>
      </c>
      <c r="T239" s="232">
        <f t="shared" si="279"/>
        <v>3226548466</v>
      </c>
      <c r="U239" s="232">
        <f t="shared" si="279"/>
        <v>2135132756.5999999</v>
      </c>
      <c r="V239" s="232">
        <f t="shared" si="279"/>
        <v>1091415709.4000001</v>
      </c>
      <c r="W239" s="233">
        <f t="shared" si="151"/>
        <v>0.66173893840403264</v>
      </c>
      <c r="X239" s="232">
        <f t="shared" si="279"/>
        <v>582946409</v>
      </c>
      <c r="Y239" s="232">
        <f t="shared" si="279"/>
        <v>1552186347.5999999</v>
      </c>
      <c r="Z239" s="233">
        <f t="shared" si="264"/>
        <v>0.72697416252079428</v>
      </c>
      <c r="AA239" s="232">
        <f t="shared" si="279"/>
        <v>582946409</v>
      </c>
      <c r="AB239" s="232">
        <f t="shared" si="279"/>
        <v>0</v>
      </c>
      <c r="AC239" s="233">
        <f t="shared" si="233"/>
        <v>0.27302583747920567</v>
      </c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1:52" s="90" customFormat="1" ht="24.95" customHeight="1">
      <c r="A240" s="32" t="str">
        <f t="shared" si="229"/>
        <v>C-4199-1500-2-0-4199062=11</v>
      </c>
      <c r="B240" s="210" t="str">
        <f>CONCATENATE(C240,"-",D240,"-",E240,"-",F240,"-",G240,"-",H240)</f>
        <v>C-4199-1500-2-0-4199062</v>
      </c>
      <c r="C240" s="211" t="s">
        <v>167</v>
      </c>
      <c r="D240" s="212" t="s">
        <v>251</v>
      </c>
      <c r="E240" s="212" t="s">
        <v>172</v>
      </c>
      <c r="F240" s="212" t="s">
        <v>252</v>
      </c>
      <c r="G240" s="212" t="s">
        <v>175</v>
      </c>
      <c r="H240" s="212" t="s">
        <v>254</v>
      </c>
      <c r="I240" s="212"/>
      <c r="J240" s="212"/>
      <c r="K240" s="213">
        <v>11</v>
      </c>
      <c r="L240" s="214" t="s">
        <v>29</v>
      </c>
      <c r="M240" s="210" t="s">
        <v>255</v>
      </c>
      <c r="N240" s="215">
        <f>+N241</f>
        <v>3226548466</v>
      </c>
      <c r="O240" s="215">
        <f t="shared" si="279"/>
        <v>0</v>
      </c>
      <c r="P240" s="215">
        <f t="shared" si="279"/>
        <v>0</v>
      </c>
      <c r="Q240" s="215">
        <f t="shared" si="279"/>
        <v>0</v>
      </c>
      <c r="R240" s="215">
        <f t="shared" si="279"/>
        <v>0</v>
      </c>
      <c r="S240" s="215">
        <f t="shared" si="279"/>
        <v>0</v>
      </c>
      <c r="T240" s="215">
        <f t="shared" si="279"/>
        <v>3226548466</v>
      </c>
      <c r="U240" s="215">
        <f t="shared" si="279"/>
        <v>2135132756.5999999</v>
      </c>
      <c r="V240" s="215">
        <f t="shared" si="279"/>
        <v>1091415709.4000001</v>
      </c>
      <c r="W240" s="216">
        <f t="shared" si="151"/>
        <v>0.66173893840403264</v>
      </c>
      <c r="X240" s="215">
        <f t="shared" si="279"/>
        <v>582946409</v>
      </c>
      <c r="Y240" s="215">
        <f t="shared" si="279"/>
        <v>1552186347.5999999</v>
      </c>
      <c r="Z240" s="216">
        <f t="shared" si="264"/>
        <v>0.72697416252079428</v>
      </c>
      <c r="AA240" s="215">
        <f t="shared" si="279"/>
        <v>582946409</v>
      </c>
      <c r="AB240" s="215">
        <f t="shared" si="279"/>
        <v>0</v>
      </c>
      <c r="AC240" s="216">
        <f t="shared" si="233"/>
        <v>0.27302583747920567</v>
      </c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1:52" s="90" customFormat="1" ht="24.95" customHeight="1" thickBot="1">
      <c r="A241" s="32" t="str">
        <f t="shared" si="229"/>
        <v>C-4199-1500-2-0-4199062-02=11</v>
      </c>
      <c r="B241" s="217" t="str">
        <f>CONCATENATE(C241,"-",D241,"-",E241,"-",F241,"-",G241,"-",H241,"-",I241)</f>
        <v>C-4199-1500-2-0-4199062-02</v>
      </c>
      <c r="C241" s="218" t="s">
        <v>167</v>
      </c>
      <c r="D241" s="219" t="s">
        <v>251</v>
      </c>
      <c r="E241" s="219" t="s">
        <v>172</v>
      </c>
      <c r="F241" s="219" t="s">
        <v>252</v>
      </c>
      <c r="G241" s="219" t="s">
        <v>175</v>
      </c>
      <c r="H241" s="219" t="s">
        <v>254</v>
      </c>
      <c r="I241" s="219" t="s">
        <v>54</v>
      </c>
      <c r="J241" s="219"/>
      <c r="K241" s="275">
        <v>11</v>
      </c>
      <c r="L241" s="276" t="s">
        <v>29</v>
      </c>
      <c r="M241" s="217" t="s">
        <v>178</v>
      </c>
      <c r="N241" s="222">
        <v>3226548466</v>
      </c>
      <c r="O241" s="222"/>
      <c r="P241" s="222"/>
      <c r="Q241" s="222"/>
      <c r="R241" s="222"/>
      <c r="S241" s="222"/>
      <c r="T241" s="222">
        <f>+N241-S241+O241-P241+Q241-R241</f>
        <v>3226548466</v>
      </c>
      <c r="U241" s="222">
        <v>2135132756.5999999</v>
      </c>
      <c r="V241" s="222">
        <f t="shared" ref="V241" si="280">+T241-U241</f>
        <v>1091415709.4000001</v>
      </c>
      <c r="W241" s="224">
        <f t="shared" si="151"/>
        <v>0.66173893840403264</v>
      </c>
      <c r="X241" s="222">
        <v>582946409</v>
      </c>
      <c r="Y241" s="222">
        <f t="shared" ref="Y241" si="281">+U241-X241</f>
        <v>1552186347.5999999</v>
      </c>
      <c r="Z241" s="224">
        <f t="shared" si="264"/>
        <v>0.72697416252079428</v>
      </c>
      <c r="AA241" s="222">
        <v>582946409</v>
      </c>
      <c r="AB241" s="222">
        <f t="shared" ref="AB241" si="282">+X241-AA241</f>
        <v>0</v>
      </c>
      <c r="AC241" s="224">
        <f t="shared" si="233"/>
        <v>0.27302583747920567</v>
      </c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1:52" s="90" customFormat="1" ht="35.1" customHeight="1" thickBot="1">
      <c r="A242" s="32"/>
      <c r="B242" s="277" t="s">
        <v>288</v>
      </c>
      <c r="C242" s="278"/>
      <c r="D242" s="278"/>
      <c r="E242" s="278"/>
      <c r="F242" s="278"/>
      <c r="G242" s="278"/>
      <c r="H242" s="278"/>
      <c r="I242" s="278"/>
      <c r="J242" s="278"/>
      <c r="K242" s="278"/>
      <c r="L242" s="278"/>
      <c r="M242" s="260" t="s">
        <v>256</v>
      </c>
      <c r="N242" s="265">
        <f t="shared" ref="N242:V242" si="283">+N8+N116</f>
        <v>6409808633098</v>
      </c>
      <c r="O242" s="265">
        <f t="shared" si="283"/>
        <v>3803514274200</v>
      </c>
      <c r="P242" s="265">
        <f t="shared" si="283"/>
        <v>0</v>
      </c>
      <c r="Q242" s="265">
        <f t="shared" si="283"/>
        <v>76800033582.450012</v>
      </c>
      <c r="R242" s="265">
        <f t="shared" si="283"/>
        <v>76800033582.450012</v>
      </c>
      <c r="S242" s="265">
        <f t="shared" si="283"/>
        <v>346607000000</v>
      </c>
      <c r="T242" s="265">
        <f t="shared" si="283"/>
        <v>9866715907298</v>
      </c>
      <c r="U242" s="265">
        <f t="shared" si="283"/>
        <v>4353451885604.5503</v>
      </c>
      <c r="V242" s="265">
        <f t="shared" si="283"/>
        <v>4224523004693.4502</v>
      </c>
      <c r="W242" s="187">
        <f t="shared" si="151"/>
        <v>0.44122602966448876</v>
      </c>
      <c r="X242" s="265">
        <f>+X8+X116</f>
        <v>3884404998719.4102</v>
      </c>
      <c r="Y242" s="265">
        <f>+Y8+Y116</f>
        <v>469046886885.14001</v>
      </c>
      <c r="Z242" s="187">
        <f t="shared" si="264"/>
        <v>0.10774137379033073</v>
      </c>
      <c r="AA242" s="265">
        <f>+AA8+AA116</f>
        <v>3759759306759.29</v>
      </c>
      <c r="AB242" s="265">
        <f>+AB8+AB116</f>
        <v>124645691960.12001</v>
      </c>
      <c r="AC242" s="187">
        <f t="shared" si="233"/>
        <v>0.86362716427200936</v>
      </c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1:52" s="90" customFormat="1" ht="16.5">
      <c r="A243" s="32"/>
      <c r="B243" s="279"/>
      <c r="C243" s="82"/>
      <c r="D243" s="82"/>
      <c r="E243" s="82"/>
      <c r="F243" s="82"/>
      <c r="G243" s="82"/>
      <c r="H243" s="83"/>
      <c r="I243" s="84"/>
      <c r="J243" s="84"/>
      <c r="K243" s="84"/>
      <c r="L243" s="84"/>
      <c r="M243" s="84"/>
      <c r="N243" s="86"/>
      <c r="O243" s="86"/>
      <c r="P243" s="86"/>
      <c r="Q243" s="86"/>
      <c r="R243" s="86"/>
      <c r="S243" s="86"/>
      <c r="T243" s="86"/>
      <c r="U243" s="86"/>
      <c r="V243" s="86"/>
      <c r="W243" s="87"/>
      <c r="X243" s="86"/>
      <c r="Y243" s="86"/>
      <c r="Z243" s="87"/>
      <c r="AA243" s="86"/>
      <c r="AB243" s="86"/>
      <c r="AC243" s="89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1:52" s="90" customFormat="1" ht="16.5">
      <c r="A244" s="32" t="str">
        <f t="shared" ref="A244" si="284">+CONCATENATE(B244,"=",K244)</f>
        <v>=</v>
      </c>
      <c r="B244" s="279"/>
      <c r="C244" s="82"/>
      <c r="D244" s="82"/>
      <c r="E244" s="82"/>
      <c r="F244" s="82"/>
      <c r="G244" s="82"/>
      <c r="H244" s="83"/>
      <c r="I244" s="84"/>
      <c r="J244" s="84"/>
      <c r="K244" s="84"/>
      <c r="L244" s="84"/>
      <c r="M244" s="84"/>
      <c r="N244" s="86"/>
      <c r="O244" s="86"/>
      <c r="P244" s="86"/>
      <c r="Q244" s="86"/>
      <c r="R244" s="86"/>
      <c r="S244" s="86"/>
      <c r="T244" s="86"/>
      <c r="U244" s="86"/>
      <c r="V244" s="86"/>
      <c r="W244" s="87"/>
      <c r="X244" s="86"/>
      <c r="Y244" s="86"/>
      <c r="Z244" s="87"/>
      <c r="AA244" s="86"/>
      <c r="AB244" s="86"/>
      <c r="AC244" s="89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1:52" s="90" customFormat="1" ht="16.5">
      <c r="A245" s="32"/>
      <c r="B245" s="316"/>
      <c r="C245" s="85"/>
      <c r="D245" s="84"/>
      <c r="E245" s="84"/>
      <c r="F245" s="84"/>
      <c r="G245" s="84"/>
      <c r="H245" s="84"/>
      <c r="I245" s="84"/>
      <c r="J245" s="84"/>
      <c r="K245" s="84"/>
      <c r="L245" s="84"/>
      <c r="M245" s="366"/>
      <c r="N245" s="669"/>
      <c r="O245" s="669"/>
      <c r="P245" s="669"/>
      <c r="Q245" s="667"/>
      <c r="R245" s="667"/>
      <c r="S245" s="669"/>
      <c r="T245" s="669"/>
      <c r="U245" s="669"/>
      <c r="V245" s="669"/>
      <c r="W245" s="671"/>
      <c r="X245" s="669"/>
      <c r="Y245" s="669"/>
      <c r="Z245" s="671"/>
      <c r="AA245" s="669"/>
      <c r="AB245" s="669"/>
      <c r="AC245" s="671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1:52" s="374" customFormat="1" ht="16.5">
      <c r="A246" s="369"/>
      <c r="B246" s="672"/>
      <c r="C246" s="370"/>
      <c r="D246" s="371"/>
      <c r="E246" s="371"/>
      <c r="F246" s="371"/>
      <c r="G246" s="371"/>
      <c r="H246" s="371"/>
      <c r="I246" s="371"/>
      <c r="J246" s="371"/>
      <c r="K246" s="371"/>
      <c r="L246" s="371"/>
      <c r="M246" s="86"/>
      <c r="N246" s="359"/>
      <c r="O246" s="359"/>
      <c r="P246" s="359"/>
      <c r="Q246" s="359"/>
      <c r="R246" s="359"/>
      <c r="S246" s="359"/>
      <c r="T246" s="359"/>
      <c r="U246" s="359"/>
      <c r="V246" s="359"/>
      <c r="W246" s="372"/>
      <c r="X246" s="359"/>
      <c r="Y246" s="359"/>
      <c r="Z246" s="372"/>
      <c r="AA246" s="359"/>
      <c r="AB246" s="359"/>
      <c r="AC246" s="37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1:52" ht="18">
      <c r="A247" s="30"/>
      <c r="B247" s="279"/>
      <c r="C247" s="312"/>
      <c r="D247" s="317"/>
      <c r="E247" s="312"/>
      <c r="F247" s="312"/>
      <c r="G247" s="312"/>
      <c r="H247" s="312"/>
      <c r="I247" s="312"/>
      <c r="J247" s="312"/>
      <c r="K247" s="312"/>
      <c r="L247" s="312"/>
      <c r="M247" s="312"/>
      <c r="N247" s="335"/>
      <c r="O247" s="632"/>
      <c r="P247" s="332"/>
      <c r="Q247" s="332"/>
      <c r="R247" s="633"/>
      <c r="S247" s="633"/>
      <c r="T247" s="359"/>
      <c r="U247" s="332"/>
      <c r="V247" s="332"/>
      <c r="W247" s="333"/>
      <c r="X247" s="332"/>
      <c r="Y247" s="332"/>
      <c r="Z247" s="333"/>
      <c r="AA247" s="332"/>
      <c r="AB247" s="332"/>
      <c r="AC247" s="333"/>
    </row>
    <row r="248" spans="1:52" ht="18">
      <c r="A248" s="30"/>
      <c r="B248" s="279"/>
      <c r="C248" s="312"/>
      <c r="D248" s="317"/>
      <c r="E248" s="312"/>
      <c r="F248" s="312"/>
      <c r="G248" s="312"/>
      <c r="H248" s="312"/>
      <c r="I248" s="312"/>
      <c r="J248" s="312"/>
      <c r="K248" s="312"/>
      <c r="L248" s="312"/>
      <c r="M248" s="312"/>
      <c r="N248" s="332"/>
      <c r="O248" s="632"/>
      <c r="P248" s="332"/>
      <c r="Q248" s="359"/>
      <c r="R248" s="633"/>
      <c r="S248" s="633"/>
      <c r="T248" s="332"/>
      <c r="U248" s="332"/>
      <c r="V248" s="332"/>
      <c r="W248" s="333"/>
      <c r="X248" s="332"/>
      <c r="Y248" s="332"/>
      <c r="Z248" s="333"/>
      <c r="AA248" s="332"/>
      <c r="AB248" s="332"/>
      <c r="AC248" s="333"/>
    </row>
    <row r="249" spans="1:52" ht="18">
      <c r="A249" s="1"/>
      <c r="B249" s="156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32"/>
      <c r="O249" s="632"/>
      <c r="P249" s="332"/>
      <c r="Q249" s="332"/>
      <c r="R249" s="332"/>
      <c r="S249" s="332"/>
      <c r="T249" s="332"/>
      <c r="U249" s="332"/>
      <c r="V249" s="332"/>
      <c r="W249" s="333"/>
      <c r="X249" s="332"/>
      <c r="Y249" s="631"/>
      <c r="Z249" s="333"/>
      <c r="AA249" s="332"/>
      <c r="AB249" s="332"/>
      <c r="AC249" s="333"/>
    </row>
    <row r="250" spans="1:52" ht="30">
      <c r="A250" s="1"/>
      <c r="B250" s="156"/>
      <c r="C250" s="318"/>
      <c r="D250" s="318"/>
      <c r="E250" s="318"/>
      <c r="F250" s="318"/>
      <c r="G250" s="318"/>
      <c r="H250" s="318"/>
      <c r="I250" s="312"/>
      <c r="J250" s="312"/>
      <c r="K250" s="312"/>
      <c r="L250" s="312"/>
      <c r="M250" s="336" t="s">
        <v>738</v>
      </c>
      <c r="N250" s="628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20"/>
      <c r="AA250" s="319"/>
      <c r="AB250" s="319"/>
      <c r="AC250" s="319"/>
    </row>
    <row r="251" spans="1:52" ht="30">
      <c r="A251" s="1"/>
      <c r="B251" s="156"/>
      <c r="C251" s="321"/>
      <c r="D251" s="322"/>
      <c r="E251" s="322"/>
      <c r="F251" s="322"/>
      <c r="G251" s="322"/>
      <c r="H251" s="322"/>
      <c r="I251" s="322"/>
      <c r="J251" s="322"/>
      <c r="K251" s="322"/>
      <c r="L251" s="322"/>
      <c r="M251" s="337" t="s">
        <v>739</v>
      </c>
      <c r="N251" s="628"/>
      <c r="P251" s="323"/>
      <c r="Q251" s="323"/>
      <c r="R251" s="323"/>
      <c r="S251" s="323"/>
      <c r="T251" s="360"/>
      <c r="U251" s="323"/>
      <c r="V251" s="323"/>
      <c r="W251" s="323"/>
      <c r="X251" s="323"/>
      <c r="Y251" s="323"/>
      <c r="Z251" s="324"/>
      <c r="AA251" s="323"/>
      <c r="AB251" s="323"/>
      <c r="AC251" s="323"/>
    </row>
    <row r="252" spans="1:52" ht="30">
      <c r="A252" s="325"/>
      <c r="B252" s="314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628"/>
      <c r="P252" s="309"/>
      <c r="Q252" s="309"/>
      <c r="R252" s="630"/>
      <c r="S252" s="630"/>
      <c r="T252" s="334"/>
      <c r="U252" s="334"/>
      <c r="V252" s="629"/>
      <c r="W252" s="329"/>
      <c r="X252" s="329"/>
      <c r="Y252" s="329"/>
      <c r="Z252" s="329"/>
    </row>
    <row r="253" spans="1:52" ht="16.5">
      <c r="N253" s="628"/>
      <c r="O253" s="628"/>
    </row>
    <row r="254" spans="1:52" ht="16.5">
      <c r="N254" s="628"/>
      <c r="O254" s="628"/>
    </row>
    <row r="255" spans="1:52" ht="16.5">
      <c r="N255" s="628"/>
    </row>
    <row r="256" spans="1:52" ht="16.5">
      <c r="N256" s="628"/>
    </row>
    <row r="257" spans="14:14" ht="16.5">
      <c r="N257" s="628"/>
    </row>
  </sheetData>
  <sheetProtection selectLockedCells="1" selectUnlockedCells="1"/>
  <autoFilter ref="A6:AC245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3EE3-4CF9-426B-899B-44F0D2E8C639}">
  <sheetPr>
    <tabColor theme="7" tint="0.59999389629810485"/>
    <pageSetUpPr fitToPage="1"/>
  </sheetPr>
  <dimension ref="A1:BA25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4.5703125" style="9" customWidth="1" outlineLevel="1"/>
    <col min="3" max="3" width="6" style="9" customWidth="1" outlineLevel="1"/>
    <col min="4" max="4" width="7.85546875" style="9" customWidth="1" outlineLevel="1"/>
    <col min="5" max="6" width="5.85546875" style="9" customWidth="1" outlineLevel="1"/>
    <col min="7" max="7" width="8" style="9" customWidth="1" outlineLevel="1"/>
    <col min="8" max="8" width="5.42578125" style="9" customWidth="1" outlineLevel="1"/>
    <col min="9" max="9" width="5.28515625" style="9" bestFit="1" customWidth="1"/>
    <col min="10" max="10" width="5.7109375" style="9" bestFit="1" customWidth="1"/>
    <col min="11" max="11" width="73.5703125" style="9" customWidth="1"/>
    <col min="12" max="12" width="20" style="13" bestFit="1" customWidth="1"/>
    <col min="13" max="13" width="19.7109375" style="13" customWidth="1"/>
    <col min="14" max="14" width="18.42578125" style="13" customWidth="1"/>
    <col min="15" max="15" width="21.85546875" style="13" customWidth="1"/>
    <col min="16" max="17" width="19.140625" style="13" customWidth="1"/>
    <col min="18" max="18" width="23.7109375" style="13" bestFit="1" customWidth="1"/>
    <col min="19" max="19" width="19.5703125" style="13" bestFit="1" customWidth="1"/>
    <col min="20" max="20" width="20.5703125" style="13" customWidth="1"/>
    <col min="21" max="21" width="12.85546875" style="13" customWidth="1"/>
    <col min="22" max="22" width="19.5703125" style="13" bestFit="1" customWidth="1"/>
    <col min="23" max="23" width="18.28515625" style="13" customWidth="1"/>
    <col min="24" max="24" width="12.5703125" style="13" customWidth="1"/>
    <col min="25" max="25" width="19.5703125" style="13" customWidth="1"/>
    <col min="26" max="26" width="22.140625" style="13" customWidth="1"/>
    <col min="27" max="27" width="12.140625" style="13" customWidth="1"/>
    <col min="28" max="28" width="11.42578125" style="13"/>
    <col min="29" max="29" width="13.85546875" style="13" customWidth="1"/>
    <col min="30" max="16384" width="11.42578125" style="13"/>
  </cols>
  <sheetData>
    <row r="1" spans="1:27" s="8" customForma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5">
        <v>6</v>
      </c>
      <c r="M1" s="6"/>
      <c r="N1" s="6"/>
      <c r="O1" s="6"/>
      <c r="P1" s="6"/>
      <c r="Q1" s="6"/>
      <c r="R1" s="6"/>
      <c r="S1" s="5">
        <v>13</v>
      </c>
      <c r="T1" s="6"/>
      <c r="U1" s="7"/>
      <c r="V1" s="5">
        <v>14</v>
      </c>
      <c r="W1" s="326"/>
      <c r="X1" s="7"/>
      <c r="Y1" s="5">
        <v>16</v>
      </c>
      <c r="Z1" s="6"/>
      <c r="AA1" s="7"/>
    </row>
    <row r="2" spans="1:27" ht="30">
      <c r="A2" s="1"/>
      <c r="C2" s="10"/>
      <c r="D2" s="10"/>
      <c r="E2" s="10"/>
      <c r="F2" s="10"/>
      <c r="G2" s="10"/>
      <c r="H2" s="10"/>
      <c r="I2" s="10"/>
      <c r="J2" s="10"/>
      <c r="K2" s="10"/>
      <c r="L2" s="812" t="s">
        <v>0</v>
      </c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</row>
    <row r="3" spans="1:27" ht="25.5">
      <c r="A3" s="1"/>
      <c r="C3" s="14"/>
      <c r="D3" s="14"/>
      <c r="E3" s="14"/>
      <c r="F3" s="14"/>
      <c r="G3" s="14"/>
      <c r="H3" s="14"/>
      <c r="I3" s="14"/>
      <c r="J3" s="14"/>
      <c r="K3" s="14"/>
      <c r="L3" s="813" t="s">
        <v>918</v>
      </c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</row>
    <row r="4" spans="1:27">
      <c r="A4" s="1"/>
      <c r="B4" s="17"/>
      <c r="C4" s="17"/>
      <c r="D4" s="17"/>
      <c r="E4" s="17"/>
      <c r="F4" s="17"/>
      <c r="G4" s="17"/>
      <c r="H4" s="18"/>
      <c r="I4" s="18"/>
      <c r="J4" s="18"/>
      <c r="K4" s="18"/>
      <c r="L4" s="20"/>
      <c r="M4" s="20"/>
      <c r="N4" s="20"/>
      <c r="O4" s="20"/>
      <c r="P4" s="20" t="s">
        <v>276</v>
      </c>
      <c r="Q4" s="20"/>
      <c r="R4" s="20"/>
      <c r="S4" s="20"/>
      <c r="T4" s="20"/>
      <c r="U4" s="21"/>
      <c r="V4" s="20"/>
      <c r="W4" s="20"/>
      <c r="X4" s="21"/>
      <c r="Y4" s="20"/>
      <c r="Z4" s="20"/>
      <c r="AA4" s="21"/>
    </row>
    <row r="5" spans="1:27" s="25" customFormat="1" ht="27" customHeight="1">
      <c r="A5" s="22"/>
      <c r="B5" s="814" t="s">
        <v>2</v>
      </c>
      <c r="C5" s="814"/>
      <c r="D5" s="814"/>
      <c r="E5" s="814"/>
      <c r="F5" s="814"/>
      <c r="G5" s="814"/>
      <c r="H5" s="814"/>
      <c r="I5" s="815" t="s">
        <v>3</v>
      </c>
      <c r="J5" s="815" t="s">
        <v>4</v>
      </c>
      <c r="K5" s="816" t="s">
        <v>5</v>
      </c>
      <c r="L5" s="818" t="s">
        <v>869</v>
      </c>
      <c r="M5" s="820" t="s">
        <v>870</v>
      </c>
      <c r="N5" s="821"/>
      <c r="O5" s="820" t="s">
        <v>871</v>
      </c>
      <c r="P5" s="821"/>
      <c r="Q5" s="818" t="s">
        <v>872</v>
      </c>
      <c r="R5" s="804" t="s">
        <v>6</v>
      </c>
      <c r="S5" s="806" t="s">
        <v>7</v>
      </c>
      <c r="T5" s="807"/>
      <c r="U5" s="808"/>
      <c r="V5" s="809" t="s">
        <v>8</v>
      </c>
      <c r="W5" s="810"/>
      <c r="X5" s="811"/>
      <c r="Y5" s="806" t="s">
        <v>9</v>
      </c>
      <c r="Z5" s="807"/>
      <c r="AA5" s="808"/>
    </row>
    <row r="6" spans="1:27" s="25" customFormat="1" ht="48.75" customHeight="1">
      <c r="A6" s="22"/>
      <c r="B6" s="113" t="s">
        <v>10</v>
      </c>
      <c r="C6" s="113" t="s">
        <v>11</v>
      </c>
      <c r="D6" s="113" t="s">
        <v>12</v>
      </c>
      <c r="E6" s="113" t="s">
        <v>13</v>
      </c>
      <c r="F6" s="113" t="s">
        <v>14</v>
      </c>
      <c r="G6" s="113" t="s">
        <v>15</v>
      </c>
      <c r="H6" s="113" t="s">
        <v>16</v>
      </c>
      <c r="I6" s="815"/>
      <c r="J6" s="815" t="s">
        <v>17</v>
      </c>
      <c r="K6" s="817"/>
      <c r="L6" s="819"/>
      <c r="M6" s="114" t="s">
        <v>873</v>
      </c>
      <c r="N6" s="114" t="s">
        <v>874</v>
      </c>
      <c r="O6" s="114" t="s">
        <v>875</v>
      </c>
      <c r="P6" s="114" t="s">
        <v>876</v>
      </c>
      <c r="Q6" s="819"/>
      <c r="R6" s="805" t="s">
        <v>6</v>
      </c>
      <c r="S6" s="112" t="s">
        <v>18</v>
      </c>
      <c r="T6" s="112" t="s">
        <v>877</v>
      </c>
      <c r="U6" s="115" t="s">
        <v>19</v>
      </c>
      <c r="V6" s="112" t="s">
        <v>18</v>
      </c>
      <c r="W6" s="114" t="s">
        <v>912</v>
      </c>
      <c r="X6" s="116" t="s">
        <v>879</v>
      </c>
      <c r="Y6" s="114" t="s">
        <v>18</v>
      </c>
      <c r="Z6" s="114" t="s">
        <v>913</v>
      </c>
      <c r="AA6" s="116" t="s">
        <v>20</v>
      </c>
    </row>
    <row r="7" spans="1:27" s="640" customFormat="1" ht="16.5">
      <c r="A7" s="30"/>
      <c r="B7" s="711"/>
      <c r="C7" s="712"/>
      <c r="D7" s="712"/>
      <c r="E7" s="712"/>
      <c r="F7" s="712"/>
      <c r="G7" s="711"/>
      <c r="H7" s="711"/>
      <c r="I7" s="711"/>
      <c r="J7" s="711"/>
      <c r="K7" s="713"/>
      <c r="L7" s="714">
        <v>1</v>
      </c>
      <c r="M7" s="714">
        <v>2</v>
      </c>
      <c r="N7" s="714">
        <v>3</v>
      </c>
      <c r="O7" s="714">
        <v>4</v>
      </c>
      <c r="P7" s="714">
        <v>5</v>
      </c>
      <c r="Q7" s="714"/>
      <c r="R7" s="714" t="s">
        <v>895</v>
      </c>
      <c r="S7" s="715" t="s">
        <v>21</v>
      </c>
      <c r="T7" s="714" t="s">
        <v>894</v>
      </c>
      <c r="U7" s="714" t="s">
        <v>893</v>
      </c>
      <c r="V7" s="716">
        <v>10</v>
      </c>
      <c r="W7" s="714" t="s">
        <v>892</v>
      </c>
      <c r="X7" s="714" t="s">
        <v>891</v>
      </c>
      <c r="Y7" s="715" t="s">
        <v>22</v>
      </c>
      <c r="Z7" s="714" t="s">
        <v>890</v>
      </c>
      <c r="AA7" s="714" t="s">
        <v>889</v>
      </c>
    </row>
    <row r="8" spans="1:27" ht="35.1" customHeight="1">
      <c r="A8" s="32" t="e">
        <f>+CONCATENATE(#REF!,"=",I8)</f>
        <v>#REF!</v>
      </c>
      <c r="B8" s="118" t="s">
        <v>23</v>
      </c>
      <c r="C8" s="119"/>
      <c r="D8" s="119"/>
      <c r="E8" s="119"/>
      <c r="F8" s="119"/>
      <c r="G8" s="119"/>
      <c r="H8" s="119"/>
      <c r="I8" s="119"/>
      <c r="J8" s="119"/>
      <c r="K8" s="119" t="s">
        <v>24</v>
      </c>
      <c r="L8" s="120">
        <f>+L9+L44+L90+L107</f>
        <v>179300000000</v>
      </c>
      <c r="M8" s="120">
        <f t="shared" ref="M8:Q8" si="0">+M9+M44+M90+M107</f>
        <v>3803514274200</v>
      </c>
      <c r="N8" s="717">
        <f t="shared" si="0"/>
        <v>0</v>
      </c>
      <c r="O8" s="120">
        <f t="shared" si="0"/>
        <v>548804873.13</v>
      </c>
      <c r="P8" s="120">
        <f t="shared" si="0"/>
        <v>548804873.13</v>
      </c>
      <c r="Q8" s="120">
        <f t="shared" si="0"/>
        <v>22607000000</v>
      </c>
      <c r="R8" s="120">
        <f>+R9+R44+R90+R107</f>
        <v>3960207274200</v>
      </c>
      <c r="S8" s="120">
        <f>+S9+S44+S90+S107</f>
        <v>3129492188003.8398</v>
      </c>
      <c r="T8" s="120">
        <f>+T9+T44+T90+T107</f>
        <v>78981089496.160004</v>
      </c>
      <c r="U8" s="121">
        <f t="shared" ref="U8:U13" si="1">+IF(R8&gt;0,S8/R8,0)</f>
        <v>0.79023444262422537</v>
      </c>
      <c r="V8" s="120">
        <f>+V9+V44+V90+V107</f>
        <v>3097177284910.48</v>
      </c>
      <c r="W8" s="120">
        <f>+W9+W44+W90+W107</f>
        <v>32314903093.360001</v>
      </c>
      <c r="X8" s="121">
        <f t="shared" ref="X8:X24" si="2">+IF(S8&gt;0,W8/S8,0)</f>
        <v>1.032592547034674E-2</v>
      </c>
      <c r="Y8" s="120">
        <f>+Y9+Y44+Y90+Y107</f>
        <v>3094871210537.48</v>
      </c>
      <c r="Z8" s="120">
        <f>+Z9+Z44+Z90+Z107</f>
        <v>2306074373</v>
      </c>
      <c r="AA8" s="718">
        <f>+IF(S8&gt;0,(Y8/S8),0)</f>
        <v>0.98893719000192071</v>
      </c>
    </row>
    <row r="9" spans="1:27" ht="24" customHeight="1">
      <c r="A9" s="32" t="e">
        <f>+CONCATENATE(#REF!,"=",I9)</f>
        <v>#REF!</v>
      </c>
      <c r="B9" s="123" t="s">
        <v>23</v>
      </c>
      <c r="C9" s="123" t="s">
        <v>25</v>
      </c>
      <c r="D9" s="123"/>
      <c r="E9" s="123"/>
      <c r="F9" s="123"/>
      <c r="G9" s="123"/>
      <c r="H9" s="123"/>
      <c r="I9" s="124"/>
      <c r="J9" s="124"/>
      <c r="K9" s="124" t="s">
        <v>26</v>
      </c>
      <c r="L9" s="125">
        <f>+L10</f>
        <v>105148000000</v>
      </c>
      <c r="M9" s="719">
        <f t="shared" ref="M9:Z9" si="3">+M10</f>
        <v>0</v>
      </c>
      <c r="N9" s="719">
        <f t="shared" si="3"/>
        <v>0</v>
      </c>
      <c r="O9" s="719">
        <f>+O10</f>
        <v>0</v>
      </c>
      <c r="P9" s="719">
        <f t="shared" si="3"/>
        <v>0</v>
      </c>
      <c r="Q9" s="719">
        <f t="shared" si="3"/>
        <v>0</v>
      </c>
      <c r="R9" s="125">
        <f t="shared" si="3"/>
        <v>105148000000</v>
      </c>
      <c r="S9" s="125">
        <f t="shared" si="3"/>
        <v>40768059743</v>
      </c>
      <c r="T9" s="125">
        <f t="shared" si="3"/>
        <v>64379940257</v>
      </c>
      <c r="U9" s="126">
        <f t="shared" si="1"/>
        <v>0.38772073404154145</v>
      </c>
      <c r="V9" s="125">
        <f t="shared" si="3"/>
        <v>36613075852</v>
      </c>
      <c r="W9" s="125">
        <f t="shared" si="3"/>
        <v>4154983891</v>
      </c>
      <c r="X9" s="126">
        <f t="shared" si="2"/>
        <v>0.10191762662223393</v>
      </c>
      <c r="Y9" s="125">
        <f t="shared" si="3"/>
        <v>36582356929</v>
      </c>
      <c r="Z9" s="125">
        <f t="shared" si="3"/>
        <v>30718923</v>
      </c>
      <c r="AA9" s="720">
        <f t="shared" ref="AA9:AA76" si="4">+IF(S9&gt;0,(Y9/S9),0)</f>
        <v>0.89732886871765594</v>
      </c>
    </row>
    <row r="10" spans="1:27" ht="24" customHeight="1">
      <c r="A10" s="32" t="e">
        <f>+CONCATENATE(#REF!,"=",I10)</f>
        <v>#REF!</v>
      </c>
      <c r="B10" s="128" t="s">
        <v>23</v>
      </c>
      <c r="C10" s="128" t="s">
        <v>25</v>
      </c>
      <c r="D10" s="128" t="s">
        <v>25</v>
      </c>
      <c r="E10" s="128"/>
      <c r="F10" s="128"/>
      <c r="G10" s="128"/>
      <c r="H10" s="128"/>
      <c r="I10" s="129"/>
      <c r="J10" s="129"/>
      <c r="K10" s="129" t="s">
        <v>27</v>
      </c>
      <c r="L10" s="130">
        <f>+L11+L24+L34</f>
        <v>105148000000</v>
      </c>
      <c r="M10" s="721">
        <f t="shared" ref="M10:S10" si="5">+M11+M24+M34</f>
        <v>0</v>
      </c>
      <c r="N10" s="721">
        <f t="shared" si="5"/>
        <v>0</v>
      </c>
      <c r="O10" s="721">
        <f t="shared" si="5"/>
        <v>0</v>
      </c>
      <c r="P10" s="721">
        <f t="shared" si="5"/>
        <v>0</v>
      </c>
      <c r="Q10" s="721">
        <f t="shared" si="5"/>
        <v>0</v>
      </c>
      <c r="R10" s="130">
        <f t="shared" si="5"/>
        <v>105148000000</v>
      </c>
      <c r="S10" s="130">
        <f t="shared" si="5"/>
        <v>40768059743</v>
      </c>
      <c r="T10" s="130">
        <f>+T11+T24+T34</f>
        <v>64379940257</v>
      </c>
      <c r="U10" s="131">
        <f t="shared" si="1"/>
        <v>0.38772073404154145</v>
      </c>
      <c r="V10" s="130">
        <f>+V11+V24+V34</f>
        <v>36613075852</v>
      </c>
      <c r="W10" s="130">
        <f>+W11+W24+W34</f>
        <v>4154983891</v>
      </c>
      <c r="X10" s="131">
        <f t="shared" si="2"/>
        <v>0.10191762662223393</v>
      </c>
      <c r="Y10" s="130">
        <f>+Y11+Y24+Y34</f>
        <v>36582356929</v>
      </c>
      <c r="Z10" s="130">
        <f>+Z11+Z24+Z34</f>
        <v>30718923</v>
      </c>
      <c r="AA10" s="722">
        <f t="shared" si="4"/>
        <v>0.89732886871765594</v>
      </c>
    </row>
    <row r="11" spans="1:27" ht="24" customHeight="1">
      <c r="A11" s="32" t="e">
        <f>+CONCATENATE(#REF!,"=",I11)</f>
        <v>#REF!</v>
      </c>
      <c r="B11" s="133" t="s">
        <v>23</v>
      </c>
      <c r="C11" s="133" t="s">
        <v>25</v>
      </c>
      <c r="D11" s="133" t="s">
        <v>25</v>
      </c>
      <c r="E11" s="133" t="s">
        <v>25</v>
      </c>
      <c r="F11" s="133"/>
      <c r="G11" s="133"/>
      <c r="H11" s="133"/>
      <c r="I11" s="133" t="s">
        <v>28</v>
      </c>
      <c r="J11" s="134" t="s">
        <v>29</v>
      </c>
      <c r="K11" s="134" t="s">
        <v>30</v>
      </c>
      <c r="L11" s="135">
        <f>SUM(L12)</f>
        <v>69237000000</v>
      </c>
      <c r="M11" s="136">
        <f t="shared" ref="M11:Z11" si="6">SUM(M12)</f>
        <v>0</v>
      </c>
      <c r="N11" s="136">
        <f t="shared" si="6"/>
        <v>0</v>
      </c>
      <c r="O11" s="136">
        <f t="shared" si="6"/>
        <v>0</v>
      </c>
      <c r="P11" s="136">
        <f t="shared" si="6"/>
        <v>0</v>
      </c>
      <c r="Q11" s="136">
        <f t="shared" si="6"/>
        <v>0</v>
      </c>
      <c r="R11" s="135">
        <f t="shared" si="6"/>
        <v>69237000000</v>
      </c>
      <c r="S11" s="135">
        <f t="shared" si="6"/>
        <v>24372163171</v>
      </c>
      <c r="T11" s="135">
        <f t="shared" si="6"/>
        <v>44864836829</v>
      </c>
      <c r="U11" s="137">
        <f t="shared" si="1"/>
        <v>0.35201067595360863</v>
      </c>
      <c r="V11" s="135">
        <f t="shared" si="6"/>
        <v>24372163171</v>
      </c>
      <c r="W11" s="136">
        <f t="shared" si="6"/>
        <v>0</v>
      </c>
      <c r="X11" s="137">
        <f t="shared" si="2"/>
        <v>0</v>
      </c>
      <c r="Y11" s="135">
        <f t="shared" si="6"/>
        <v>24356031712</v>
      </c>
      <c r="Z11" s="135">
        <f t="shared" si="6"/>
        <v>16131459</v>
      </c>
      <c r="AA11" s="723">
        <f t="shared" si="4"/>
        <v>0.99933811952239038</v>
      </c>
    </row>
    <row r="12" spans="1:27" ht="24.95" customHeight="1">
      <c r="A12" s="32" t="e">
        <f>+CONCATENATE(#REF!,"=",I12)</f>
        <v>#REF!</v>
      </c>
      <c r="B12" s="139" t="s">
        <v>23</v>
      </c>
      <c r="C12" s="139" t="s">
        <v>25</v>
      </c>
      <c r="D12" s="139" t="s">
        <v>25</v>
      </c>
      <c r="E12" s="139" t="s">
        <v>25</v>
      </c>
      <c r="F12" s="139" t="s">
        <v>31</v>
      </c>
      <c r="G12" s="139"/>
      <c r="H12" s="139"/>
      <c r="I12" s="139" t="s">
        <v>28</v>
      </c>
      <c r="J12" s="140" t="s">
        <v>29</v>
      </c>
      <c r="K12" s="140" t="s">
        <v>32</v>
      </c>
      <c r="L12" s="141">
        <f>SUM(L13:L23)</f>
        <v>69237000000</v>
      </c>
      <c r="M12" s="142">
        <f t="shared" ref="M12:Z12" si="7">SUM(M13:M23)</f>
        <v>0</v>
      </c>
      <c r="N12" s="142">
        <f t="shared" si="7"/>
        <v>0</v>
      </c>
      <c r="O12" s="142">
        <f t="shared" si="7"/>
        <v>0</v>
      </c>
      <c r="P12" s="142">
        <f t="shared" si="7"/>
        <v>0</v>
      </c>
      <c r="Q12" s="142">
        <f t="shared" si="7"/>
        <v>0</v>
      </c>
      <c r="R12" s="141">
        <f t="shared" si="7"/>
        <v>69237000000</v>
      </c>
      <c r="S12" s="141">
        <f t="shared" si="7"/>
        <v>24372163171</v>
      </c>
      <c r="T12" s="141">
        <f t="shared" si="7"/>
        <v>44864836829</v>
      </c>
      <c r="U12" s="143">
        <f t="shared" si="1"/>
        <v>0.35201067595360863</v>
      </c>
      <c r="V12" s="141">
        <f t="shared" si="7"/>
        <v>24372163171</v>
      </c>
      <c r="W12" s="142">
        <f t="shared" si="7"/>
        <v>0</v>
      </c>
      <c r="X12" s="143">
        <f t="shared" si="2"/>
        <v>0</v>
      </c>
      <c r="Y12" s="141">
        <f t="shared" si="7"/>
        <v>24356031712</v>
      </c>
      <c r="Z12" s="141">
        <f t="shared" si="7"/>
        <v>16131459</v>
      </c>
      <c r="AA12" s="724">
        <f t="shared" si="4"/>
        <v>0.99933811952239038</v>
      </c>
    </row>
    <row r="13" spans="1:27" ht="24.95" customHeight="1">
      <c r="A13" s="32" t="e">
        <f>+CONCATENATE(#REF!,"=",I13)</f>
        <v>#REF!</v>
      </c>
      <c r="B13" s="145" t="s">
        <v>23</v>
      </c>
      <c r="C13" s="145" t="s">
        <v>25</v>
      </c>
      <c r="D13" s="145" t="s">
        <v>25</v>
      </c>
      <c r="E13" s="145" t="s">
        <v>25</v>
      </c>
      <c r="F13" s="145" t="s">
        <v>31</v>
      </c>
      <c r="G13" s="145" t="s">
        <v>31</v>
      </c>
      <c r="H13" s="145"/>
      <c r="I13" s="145" t="s">
        <v>28</v>
      </c>
      <c r="J13" s="145" t="s">
        <v>29</v>
      </c>
      <c r="K13" s="147" t="s">
        <v>33</v>
      </c>
      <c r="L13" s="148">
        <v>57000000000</v>
      </c>
      <c r="M13" s="148"/>
      <c r="N13" s="148"/>
      <c r="O13" s="148"/>
      <c r="P13" s="149"/>
      <c r="Q13" s="149"/>
      <c r="R13" s="148">
        <f t="shared" ref="R13:R22" si="8">+L13-Q13+M13-N13+O13-P13</f>
        <v>57000000000</v>
      </c>
      <c r="S13" s="148">
        <v>22297943109</v>
      </c>
      <c r="T13" s="148">
        <f t="shared" ref="T13:T115" si="9">+R13-S13</f>
        <v>34702056891</v>
      </c>
      <c r="U13" s="150">
        <f t="shared" si="1"/>
        <v>0.39119198436842106</v>
      </c>
      <c r="V13" s="148">
        <v>22297943109</v>
      </c>
      <c r="W13" s="148">
        <f>+S13-V13</f>
        <v>0</v>
      </c>
      <c r="X13" s="150">
        <f t="shared" si="2"/>
        <v>0</v>
      </c>
      <c r="Y13" s="148">
        <v>22291235132</v>
      </c>
      <c r="Z13" s="148">
        <f t="shared" ref="Z13:Z115" si="10">+V13-Y13</f>
        <v>6707977</v>
      </c>
      <c r="AA13" s="150">
        <f t="shared" si="4"/>
        <v>0.99969916610840703</v>
      </c>
    </row>
    <row r="14" spans="1:27" ht="24.95" customHeight="1">
      <c r="A14" s="32" t="e">
        <f>+CONCATENATE(#REF!,"=",I14)</f>
        <v>#REF!</v>
      </c>
      <c r="B14" s="145" t="s">
        <v>23</v>
      </c>
      <c r="C14" s="145" t="s">
        <v>25</v>
      </c>
      <c r="D14" s="145" t="s">
        <v>25</v>
      </c>
      <c r="E14" s="145" t="s">
        <v>25</v>
      </c>
      <c r="F14" s="145" t="s">
        <v>31</v>
      </c>
      <c r="G14" s="145" t="s">
        <v>34</v>
      </c>
      <c r="H14" s="145"/>
      <c r="I14" s="145" t="s">
        <v>28</v>
      </c>
      <c r="J14" s="145" t="s">
        <v>29</v>
      </c>
      <c r="K14" s="147" t="s">
        <v>35</v>
      </c>
      <c r="L14" s="148">
        <v>276000000</v>
      </c>
      <c r="M14" s="148"/>
      <c r="N14" s="148"/>
      <c r="O14" s="148"/>
      <c r="P14" s="148"/>
      <c r="Q14" s="148"/>
      <c r="R14" s="148">
        <f t="shared" si="8"/>
        <v>276000000</v>
      </c>
      <c r="S14" s="148">
        <v>80818855</v>
      </c>
      <c r="T14" s="148">
        <f t="shared" si="9"/>
        <v>195181145</v>
      </c>
      <c r="U14" s="150">
        <f>+IF(R14&gt;0,S14/R14,0)</f>
        <v>0.29282193840579712</v>
      </c>
      <c r="V14" s="148">
        <v>80818855</v>
      </c>
      <c r="W14" s="148">
        <f t="shared" ref="W14:W121" si="11">+S14-V14</f>
        <v>0</v>
      </c>
      <c r="X14" s="150">
        <f t="shared" si="2"/>
        <v>0</v>
      </c>
      <c r="Y14" s="148">
        <v>80818855</v>
      </c>
      <c r="Z14" s="148">
        <f t="shared" si="10"/>
        <v>0</v>
      </c>
      <c r="AA14" s="150">
        <f t="shared" si="4"/>
        <v>1</v>
      </c>
    </row>
    <row r="15" spans="1:27" ht="24.95" customHeight="1">
      <c r="A15" s="32" t="e">
        <f>+CONCATENATE(#REF!,"=",I15)</f>
        <v>#REF!</v>
      </c>
      <c r="B15" s="145" t="s">
        <v>23</v>
      </c>
      <c r="C15" s="145" t="s">
        <v>25</v>
      </c>
      <c r="D15" s="145" t="s">
        <v>25</v>
      </c>
      <c r="E15" s="145" t="s">
        <v>25</v>
      </c>
      <c r="F15" s="145" t="s">
        <v>31</v>
      </c>
      <c r="G15" s="145" t="s">
        <v>36</v>
      </c>
      <c r="H15" s="145"/>
      <c r="I15" s="145" t="s">
        <v>28</v>
      </c>
      <c r="J15" s="145" t="s">
        <v>29</v>
      </c>
      <c r="K15" s="147" t="s">
        <v>37</v>
      </c>
      <c r="L15" s="148">
        <v>540000000</v>
      </c>
      <c r="M15" s="148"/>
      <c r="N15" s="148"/>
      <c r="O15" s="148"/>
      <c r="P15" s="148"/>
      <c r="Q15" s="148"/>
      <c r="R15" s="148">
        <f t="shared" si="8"/>
        <v>540000000</v>
      </c>
      <c r="S15" s="148">
        <v>209087056</v>
      </c>
      <c r="T15" s="148">
        <f t="shared" si="9"/>
        <v>330912944</v>
      </c>
      <c r="U15" s="150">
        <f t="shared" ref="U15:U82" si="12">+IF(R15&gt;0,S15/R15,0)</f>
        <v>0.38719825185185186</v>
      </c>
      <c r="V15" s="148">
        <v>209087056</v>
      </c>
      <c r="W15" s="148">
        <f t="shared" si="11"/>
        <v>0</v>
      </c>
      <c r="X15" s="150">
        <f t="shared" si="2"/>
        <v>0</v>
      </c>
      <c r="Y15" s="148">
        <v>209087056</v>
      </c>
      <c r="Z15" s="148">
        <f t="shared" si="10"/>
        <v>0</v>
      </c>
      <c r="AA15" s="150">
        <f t="shared" si="4"/>
        <v>1</v>
      </c>
    </row>
    <row r="16" spans="1:27" ht="24.95" customHeight="1">
      <c r="A16" s="32" t="e">
        <f>+CONCATENATE(#REF!,"=",I16)</f>
        <v>#REF!</v>
      </c>
      <c r="B16" s="145" t="s">
        <v>23</v>
      </c>
      <c r="C16" s="145" t="s">
        <v>25</v>
      </c>
      <c r="D16" s="145" t="s">
        <v>25</v>
      </c>
      <c r="E16" s="145" t="s">
        <v>25</v>
      </c>
      <c r="F16" s="145" t="s">
        <v>31</v>
      </c>
      <c r="G16" s="145" t="s">
        <v>38</v>
      </c>
      <c r="H16" s="145"/>
      <c r="I16" s="145" t="s">
        <v>28</v>
      </c>
      <c r="J16" s="145" t="s">
        <v>29</v>
      </c>
      <c r="K16" s="147" t="s">
        <v>39</v>
      </c>
      <c r="L16" s="148">
        <v>96000000</v>
      </c>
      <c r="M16" s="148"/>
      <c r="N16" s="148"/>
      <c r="O16" s="148"/>
      <c r="P16" s="148"/>
      <c r="Q16" s="148"/>
      <c r="R16" s="148">
        <f t="shared" si="8"/>
        <v>96000000</v>
      </c>
      <c r="S16" s="148">
        <v>36492705</v>
      </c>
      <c r="T16" s="148">
        <f t="shared" si="9"/>
        <v>59507295</v>
      </c>
      <c r="U16" s="150">
        <f t="shared" si="12"/>
        <v>0.38013234374999999</v>
      </c>
      <c r="V16" s="148">
        <v>36492705</v>
      </c>
      <c r="W16" s="148">
        <f t="shared" si="11"/>
        <v>0</v>
      </c>
      <c r="X16" s="150">
        <f t="shared" si="2"/>
        <v>0</v>
      </c>
      <c r="Y16" s="148">
        <v>36492705</v>
      </c>
      <c r="Z16" s="148">
        <f t="shared" si="10"/>
        <v>0</v>
      </c>
      <c r="AA16" s="150">
        <f t="shared" si="4"/>
        <v>1</v>
      </c>
    </row>
    <row r="17" spans="1:53" ht="24.95" customHeight="1">
      <c r="A17" s="32" t="e">
        <f>+CONCATENATE(#REF!,"=",I17)</f>
        <v>#REF!</v>
      </c>
      <c r="B17" s="145" t="s">
        <v>23</v>
      </c>
      <c r="C17" s="145" t="s">
        <v>25</v>
      </c>
      <c r="D17" s="145" t="s">
        <v>25</v>
      </c>
      <c r="E17" s="145" t="s">
        <v>25</v>
      </c>
      <c r="F17" s="145" t="s">
        <v>31</v>
      </c>
      <c r="G17" s="145" t="s">
        <v>40</v>
      </c>
      <c r="H17" s="145"/>
      <c r="I17" s="145" t="s">
        <v>28</v>
      </c>
      <c r="J17" s="145" t="s">
        <v>29</v>
      </c>
      <c r="K17" s="147" t="s">
        <v>41</v>
      </c>
      <c r="L17" s="148">
        <v>80000000</v>
      </c>
      <c r="M17" s="148"/>
      <c r="N17" s="148"/>
      <c r="O17" s="148"/>
      <c r="P17" s="148"/>
      <c r="Q17" s="148"/>
      <c r="R17" s="148">
        <f t="shared" si="8"/>
        <v>80000000</v>
      </c>
      <c r="S17" s="148">
        <v>42297723</v>
      </c>
      <c r="T17" s="148">
        <f t="shared" si="9"/>
        <v>37702277</v>
      </c>
      <c r="U17" s="150">
        <f t="shared" si="12"/>
        <v>0.52872153749999995</v>
      </c>
      <c r="V17" s="148">
        <v>42297723</v>
      </c>
      <c r="W17" s="148">
        <f t="shared" si="11"/>
        <v>0</v>
      </c>
      <c r="X17" s="150">
        <f t="shared" si="2"/>
        <v>0</v>
      </c>
      <c r="Y17" s="148">
        <v>42297723</v>
      </c>
      <c r="Z17" s="148">
        <f t="shared" si="10"/>
        <v>0</v>
      </c>
      <c r="AA17" s="150">
        <f t="shared" si="4"/>
        <v>1</v>
      </c>
    </row>
    <row r="18" spans="1:53" ht="24.95" customHeight="1">
      <c r="A18" s="32" t="e">
        <f>+CONCATENATE(#REF!,"=",I18)</f>
        <v>#REF!</v>
      </c>
      <c r="B18" s="145" t="s">
        <v>23</v>
      </c>
      <c r="C18" s="145" t="s">
        <v>25</v>
      </c>
      <c r="D18" s="145" t="s">
        <v>25</v>
      </c>
      <c r="E18" s="145" t="s">
        <v>25</v>
      </c>
      <c r="F18" s="145" t="s">
        <v>31</v>
      </c>
      <c r="G18" s="145" t="s">
        <v>42</v>
      </c>
      <c r="H18" s="145"/>
      <c r="I18" s="145" t="s">
        <v>28</v>
      </c>
      <c r="J18" s="145" t="s">
        <v>29</v>
      </c>
      <c r="K18" s="147" t="s">
        <v>43</v>
      </c>
      <c r="L18" s="148">
        <v>2448300000</v>
      </c>
      <c r="M18" s="148"/>
      <c r="N18" s="148"/>
      <c r="O18" s="148"/>
      <c r="P18" s="148"/>
      <c r="Q18" s="148"/>
      <c r="R18" s="148">
        <f t="shared" si="8"/>
        <v>2448300000</v>
      </c>
      <c r="S18" s="148">
        <v>34760121</v>
      </c>
      <c r="T18" s="148">
        <f t="shared" si="9"/>
        <v>2413539879</v>
      </c>
      <c r="U18" s="150">
        <f t="shared" si="12"/>
        <v>1.4197655924519053E-2</v>
      </c>
      <c r="V18" s="148">
        <v>34760121</v>
      </c>
      <c r="W18" s="148">
        <f t="shared" si="11"/>
        <v>0</v>
      </c>
      <c r="X18" s="150">
        <f t="shared" si="2"/>
        <v>0</v>
      </c>
      <c r="Y18" s="148">
        <v>34760121</v>
      </c>
      <c r="Z18" s="148">
        <f t="shared" si="10"/>
        <v>0</v>
      </c>
      <c r="AA18" s="150">
        <f t="shared" si="4"/>
        <v>1</v>
      </c>
    </row>
    <row r="19" spans="1:53" ht="24.95" customHeight="1">
      <c r="A19" s="32" t="e">
        <f>+CONCATENATE(#REF!,"=",I19)</f>
        <v>#REF!</v>
      </c>
      <c r="B19" s="145" t="s">
        <v>23</v>
      </c>
      <c r="C19" s="145" t="s">
        <v>25</v>
      </c>
      <c r="D19" s="145" t="s">
        <v>25</v>
      </c>
      <c r="E19" s="145" t="s">
        <v>25</v>
      </c>
      <c r="F19" s="145" t="s">
        <v>31</v>
      </c>
      <c r="G19" s="145" t="s">
        <v>44</v>
      </c>
      <c r="H19" s="145"/>
      <c r="I19" s="145" t="s">
        <v>28</v>
      </c>
      <c r="J19" s="145" t="s">
        <v>29</v>
      </c>
      <c r="K19" s="147" t="s">
        <v>45</v>
      </c>
      <c r="L19" s="148">
        <v>1757500000</v>
      </c>
      <c r="M19" s="148"/>
      <c r="N19" s="148"/>
      <c r="O19" s="148"/>
      <c r="P19" s="148"/>
      <c r="Q19" s="148"/>
      <c r="R19" s="148">
        <f t="shared" si="8"/>
        <v>1757500000</v>
      </c>
      <c r="S19" s="148">
        <v>820713899</v>
      </c>
      <c r="T19" s="148">
        <f t="shared" si="9"/>
        <v>936786101</v>
      </c>
      <c r="U19" s="150">
        <f t="shared" si="12"/>
        <v>0.46697803641536273</v>
      </c>
      <c r="V19" s="148">
        <v>820713899</v>
      </c>
      <c r="W19" s="148">
        <f t="shared" si="11"/>
        <v>0</v>
      </c>
      <c r="X19" s="150">
        <f t="shared" si="2"/>
        <v>0</v>
      </c>
      <c r="Y19" s="148">
        <v>820713899</v>
      </c>
      <c r="Z19" s="148">
        <f t="shared" si="10"/>
        <v>0</v>
      </c>
      <c r="AA19" s="150">
        <f t="shared" si="4"/>
        <v>1</v>
      </c>
    </row>
    <row r="20" spans="1:53" ht="24.95" customHeight="1">
      <c r="A20" s="32" t="e">
        <f>+CONCATENATE(#REF!,"=",I20)</f>
        <v>#REF!</v>
      </c>
      <c r="B20" s="145" t="s">
        <v>23</v>
      </c>
      <c r="C20" s="145" t="s">
        <v>25</v>
      </c>
      <c r="D20" s="145" t="s">
        <v>25</v>
      </c>
      <c r="E20" s="145" t="s">
        <v>25</v>
      </c>
      <c r="F20" s="145" t="s">
        <v>31</v>
      </c>
      <c r="G20" s="145" t="s">
        <v>46</v>
      </c>
      <c r="H20" s="145"/>
      <c r="I20" s="145" t="s">
        <v>28</v>
      </c>
      <c r="J20" s="145" t="s">
        <v>29</v>
      </c>
      <c r="K20" s="147" t="s">
        <v>47</v>
      </c>
      <c r="L20" s="148">
        <v>210000000</v>
      </c>
      <c r="M20" s="148"/>
      <c r="N20" s="148"/>
      <c r="O20" s="148"/>
      <c r="P20" s="148"/>
      <c r="Q20" s="148"/>
      <c r="R20" s="148">
        <f t="shared" si="8"/>
        <v>210000000</v>
      </c>
      <c r="S20" s="148">
        <v>29921097</v>
      </c>
      <c r="T20" s="148">
        <f t="shared" si="9"/>
        <v>180078903</v>
      </c>
      <c r="U20" s="150">
        <f t="shared" si="12"/>
        <v>0.14248141428571429</v>
      </c>
      <c r="V20" s="148">
        <v>29921097</v>
      </c>
      <c r="W20" s="148">
        <f t="shared" si="11"/>
        <v>0</v>
      </c>
      <c r="X20" s="150">
        <f t="shared" si="2"/>
        <v>0</v>
      </c>
      <c r="Y20" s="148">
        <v>29921097</v>
      </c>
      <c r="Z20" s="148">
        <f t="shared" si="10"/>
        <v>0</v>
      </c>
      <c r="AA20" s="150">
        <f t="shared" si="4"/>
        <v>1</v>
      </c>
    </row>
    <row r="21" spans="1:53" ht="24.95" customHeight="1">
      <c r="A21" s="32" t="e">
        <f>+CONCATENATE(#REF!,"=",I21)</f>
        <v>#REF!</v>
      </c>
      <c r="B21" s="145" t="s">
        <v>23</v>
      </c>
      <c r="C21" s="145" t="s">
        <v>25</v>
      </c>
      <c r="D21" s="145" t="s">
        <v>25</v>
      </c>
      <c r="E21" s="145" t="s">
        <v>25</v>
      </c>
      <c r="F21" s="145" t="s">
        <v>31</v>
      </c>
      <c r="G21" s="145" t="s">
        <v>48</v>
      </c>
      <c r="H21" s="145"/>
      <c r="I21" s="145" t="s">
        <v>28</v>
      </c>
      <c r="J21" s="145" t="s">
        <v>29</v>
      </c>
      <c r="K21" s="147" t="s">
        <v>49</v>
      </c>
      <c r="L21" s="148">
        <v>5100500000</v>
      </c>
      <c r="M21" s="148"/>
      <c r="N21" s="148"/>
      <c r="O21" s="148"/>
      <c r="P21" s="148"/>
      <c r="Q21" s="148"/>
      <c r="R21" s="148">
        <f t="shared" si="8"/>
        <v>5100500000</v>
      </c>
      <c r="S21" s="148">
        <v>19590699</v>
      </c>
      <c r="T21" s="148">
        <f t="shared" si="9"/>
        <v>5080909301</v>
      </c>
      <c r="U21" s="150">
        <f t="shared" si="12"/>
        <v>3.8409369669640233E-3</v>
      </c>
      <c r="V21" s="148">
        <v>19590699</v>
      </c>
      <c r="W21" s="148">
        <f t="shared" si="11"/>
        <v>0</v>
      </c>
      <c r="X21" s="150">
        <f t="shared" si="2"/>
        <v>0</v>
      </c>
      <c r="Y21" s="148">
        <v>19590699</v>
      </c>
      <c r="Z21" s="148">
        <f t="shared" si="10"/>
        <v>0</v>
      </c>
      <c r="AA21" s="150">
        <f t="shared" si="4"/>
        <v>1</v>
      </c>
    </row>
    <row r="22" spans="1:53" ht="24.95" customHeight="1">
      <c r="A22" s="32" t="e">
        <f>+CONCATENATE(#REF!,"=",I22)</f>
        <v>#REF!</v>
      </c>
      <c r="B22" s="145" t="s">
        <v>23</v>
      </c>
      <c r="C22" s="145" t="s">
        <v>25</v>
      </c>
      <c r="D22" s="145" t="s">
        <v>25</v>
      </c>
      <c r="E22" s="145" t="s">
        <v>25</v>
      </c>
      <c r="F22" s="145" t="s">
        <v>31</v>
      </c>
      <c r="G22" s="145" t="s">
        <v>50</v>
      </c>
      <c r="H22" s="145"/>
      <c r="I22" s="145" t="s">
        <v>28</v>
      </c>
      <c r="J22" s="145" t="s">
        <v>29</v>
      </c>
      <c r="K22" s="147" t="s">
        <v>51</v>
      </c>
      <c r="L22" s="148">
        <v>1676700000</v>
      </c>
      <c r="M22" s="148"/>
      <c r="N22" s="148"/>
      <c r="O22" s="148"/>
      <c r="P22" s="148"/>
      <c r="Q22" s="148"/>
      <c r="R22" s="148">
        <f t="shared" si="8"/>
        <v>1676700000</v>
      </c>
      <c r="S22" s="148">
        <v>789232491</v>
      </c>
      <c r="T22" s="148">
        <f t="shared" si="9"/>
        <v>887467509</v>
      </c>
      <c r="U22" s="150">
        <f t="shared" si="12"/>
        <v>0.47070584541062804</v>
      </c>
      <c r="V22" s="148">
        <v>789232491</v>
      </c>
      <c r="W22" s="148">
        <f t="shared" si="11"/>
        <v>0</v>
      </c>
      <c r="X22" s="150">
        <f t="shared" si="2"/>
        <v>0</v>
      </c>
      <c r="Y22" s="148">
        <v>779809009</v>
      </c>
      <c r="Z22" s="148">
        <f t="shared" si="10"/>
        <v>9423482</v>
      </c>
      <c r="AA22" s="150">
        <f t="shared" si="4"/>
        <v>0.98805994164272182</v>
      </c>
    </row>
    <row r="23" spans="1:53" s="64" customFormat="1" ht="24.95" customHeight="1">
      <c r="A23" s="32" t="e">
        <f>+CONCATENATE(#REF!,"=",I23)</f>
        <v>#REF!</v>
      </c>
      <c r="B23" s="145" t="s">
        <v>23</v>
      </c>
      <c r="C23" s="145" t="s">
        <v>25</v>
      </c>
      <c r="D23" s="145" t="s">
        <v>25</v>
      </c>
      <c r="E23" s="145" t="s">
        <v>25</v>
      </c>
      <c r="F23" s="145" t="s">
        <v>31</v>
      </c>
      <c r="G23" s="151" t="s">
        <v>52</v>
      </c>
      <c r="H23" s="145"/>
      <c r="I23" s="145" t="s">
        <v>28</v>
      </c>
      <c r="J23" s="145" t="s">
        <v>29</v>
      </c>
      <c r="K23" s="147" t="s">
        <v>53</v>
      </c>
      <c r="L23" s="148">
        <v>52000000</v>
      </c>
      <c r="M23" s="148"/>
      <c r="N23" s="148"/>
      <c r="O23" s="148"/>
      <c r="P23" s="148"/>
      <c r="Q23" s="148"/>
      <c r="R23" s="148">
        <f t="shared" ref="R23" si="13">+L23+M23-N23+O23-P23-Q23</f>
        <v>52000000</v>
      </c>
      <c r="S23" s="148">
        <v>11305416</v>
      </c>
      <c r="T23" s="148">
        <f t="shared" si="9"/>
        <v>40694584</v>
      </c>
      <c r="U23" s="150">
        <f t="shared" si="12"/>
        <v>0.21741184615384615</v>
      </c>
      <c r="V23" s="148">
        <v>11305416</v>
      </c>
      <c r="W23" s="148">
        <f t="shared" si="11"/>
        <v>0</v>
      </c>
      <c r="X23" s="150">
        <f t="shared" si="2"/>
        <v>0</v>
      </c>
      <c r="Y23" s="148">
        <v>11305416</v>
      </c>
      <c r="Z23" s="148">
        <f t="shared" si="10"/>
        <v>0</v>
      </c>
      <c r="AA23" s="150">
        <f t="shared" si="4"/>
        <v>1</v>
      </c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</row>
    <row r="24" spans="1:53" ht="24.95" customHeight="1">
      <c r="A24" s="32" t="e">
        <f>+CONCATENATE(#REF!,"=",I24)</f>
        <v>#REF!</v>
      </c>
      <c r="B24" s="133" t="s">
        <v>23</v>
      </c>
      <c r="C24" s="133" t="s">
        <v>25</v>
      </c>
      <c r="D24" s="133" t="s">
        <v>25</v>
      </c>
      <c r="E24" s="133" t="s">
        <v>54</v>
      </c>
      <c r="F24" s="134"/>
      <c r="G24" s="134"/>
      <c r="H24" s="134"/>
      <c r="I24" s="133" t="s">
        <v>28</v>
      </c>
      <c r="J24" s="134" t="s">
        <v>29</v>
      </c>
      <c r="K24" s="134" t="s">
        <v>55</v>
      </c>
      <c r="L24" s="135">
        <f>SUM(L25:L33)</f>
        <v>28758000000</v>
      </c>
      <c r="M24" s="136">
        <f t="shared" ref="M24:Q24" si="14">SUM(M25:M33)</f>
        <v>0</v>
      </c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135">
        <f>SUM(R25:R33)</f>
        <v>28758000000</v>
      </c>
      <c r="S24" s="135">
        <f t="shared" ref="S24:T24" si="15">SUM(S25:S33)</f>
        <v>13815203300</v>
      </c>
      <c r="T24" s="135">
        <f t="shared" si="15"/>
        <v>14942796700</v>
      </c>
      <c r="U24" s="137">
        <f t="shared" si="12"/>
        <v>0.48039513526670841</v>
      </c>
      <c r="V24" s="135">
        <f t="shared" ref="V24:Z24" si="16">SUM(V25:V33)</f>
        <v>9662544739</v>
      </c>
      <c r="W24" s="135">
        <f t="shared" si="16"/>
        <v>4152658561</v>
      </c>
      <c r="X24" s="137">
        <f t="shared" si="2"/>
        <v>0.30058613476936674</v>
      </c>
      <c r="Y24" s="135">
        <f t="shared" si="16"/>
        <v>9662544739</v>
      </c>
      <c r="Z24" s="136">
        <f t="shared" si="16"/>
        <v>0</v>
      </c>
      <c r="AA24" s="723">
        <f t="shared" si="4"/>
        <v>0.69941386523063331</v>
      </c>
    </row>
    <row r="25" spans="1:53" ht="24.95" customHeight="1">
      <c r="A25" s="32" t="e">
        <f>+CONCATENATE(#REF!,"=",I25)</f>
        <v>#REF!</v>
      </c>
      <c r="B25" s="145" t="s">
        <v>23</v>
      </c>
      <c r="C25" s="145" t="s">
        <v>25</v>
      </c>
      <c r="D25" s="145" t="s">
        <v>25</v>
      </c>
      <c r="E25" s="145" t="s">
        <v>54</v>
      </c>
      <c r="F25" s="145" t="s">
        <v>31</v>
      </c>
      <c r="G25" s="145"/>
      <c r="H25" s="145"/>
      <c r="I25" s="145" t="s">
        <v>28</v>
      </c>
      <c r="J25" s="145" t="s">
        <v>29</v>
      </c>
      <c r="K25" s="147" t="s">
        <v>56</v>
      </c>
      <c r="L25" s="148">
        <v>7690200000</v>
      </c>
      <c r="M25" s="148"/>
      <c r="N25" s="148"/>
      <c r="O25" s="148"/>
      <c r="P25" s="148"/>
      <c r="Q25" s="148"/>
      <c r="R25" s="148">
        <f t="shared" ref="R25:R33" si="17">+L25-Q25+M25-N25+O25-P25</f>
        <v>7690200000</v>
      </c>
      <c r="S25" s="148">
        <v>2979736700</v>
      </c>
      <c r="T25" s="148">
        <f t="shared" si="9"/>
        <v>4710463300</v>
      </c>
      <c r="U25" s="150">
        <f t="shared" si="12"/>
        <v>0.38747193831109722</v>
      </c>
      <c r="V25" s="148">
        <v>2979736700</v>
      </c>
      <c r="W25" s="148">
        <f t="shared" si="11"/>
        <v>0</v>
      </c>
      <c r="X25" s="150">
        <f>+IF(S25&gt;0,W25/S25,0)</f>
        <v>0</v>
      </c>
      <c r="Y25" s="148">
        <v>2979736700</v>
      </c>
      <c r="Z25" s="148">
        <f t="shared" si="10"/>
        <v>0</v>
      </c>
      <c r="AA25" s="150">
        <f t="shared" si="4"/>
        <v>1</v>
      </c>
    </row>
    <row r="26" spans="1:53" ht="24.95" customHeight="1">
      <c r="A26" s="32" t="e">
        <f>+CONCATENATE(#REF!,"=",I26)</f>
        <v>#REF!</v>
      </c>
      <c r="B26" s="145" t="s">
        <v>23</v>
      </c>
      <c r="C26" s="145" t="s">
        <v>25</v>
      </c>
      <c r="D26" s="145" t="s">
        <v>25</v>
      </c>
      <c r="E26" s="145" t="s">
        <v>54</v>
      </c>
      <c r="F26" s="145" t="s">
        <v>34</v>
      </c>
      <c r="G26" s="145"/>
      <c r="H26" s="145"/>
      <c r="I26" s="145" t="s">
        <v>28</v>
      </c>
      <c r="J26" s="145" t="s">
        <v>29</v>
      </c>
      <c r="K26" s="147" t="s">
        <v>57</v>
      </c>
      <c r="L26" s="148">
        <v>5447200000</v>
      </c>
      <c r="M26" s="148"/>
      <c r="N26" s="148"/>
      <c r="O26" s="148"/>
      <c r="P26" s="148"/>
      <c r="Q26" s="148"/>
      <c r="R26" s="148">
        <f t="shared" si="17"/>
        <v>5447200000</v>
      </c>
      <c r="S26" s="148">
        <v>2116243000</v>
      </c>
      <c r="T26" s="148">
        <f t="shared" si="9"/>
        <v>3330957000</v>
      </c>
      <c r="U26" s="150">
        <f t="shared" si="12"/>
        <v>0.38850106476721985</v>
      </c>
      <c r="V26" s="148">
        <v>2116243000</v>
      </c>
      <c r="W26" s="148">
        <f t="shared" si="11"/>
        <v>0</v>
      </c>
      <c r="X26" s="150">
        <f t="shared" ref="X26:X92" si="18">+IF(S26&gt;0,W26/S26,0)</f>
        <v>0</v>
      </c>
      <c r="Y26" s="148">
        <v>2116243000</v>
      </c>
      <c r="Z26" s="148">
        <f t="shared" si="10"/>
        <v>0</v>
      </c>
      <c r="AA26" s="150">
        <f t="shared" si="4"/>
        <v>1</v>
      </c>
    </row>
    <row r="27" spans="1:53" ht="24.95" customHeight="1">
      <c r="A27" s="32" t="e">
        <f>+CONCATENATE(#REF!,"=",I27)</f>
        <v>#REF!</v>
      </c>
      <c r="B27" s="145" t="s">
        <v>23</v>
      </c>
      <c r="C27" s="145" t="s">
        <v>25</v>
      </c>
      <c r="D27" s="145" t="s">
        <v>25</v>
      </c>
      <c r="E27" s="145" t="s">
        <v>54</v>
      </c>
      <c r="F27" s="145" t="s">
        <v>36</v>
      </c>
      <c r="G27" s="145"/>
      <c r="H27" s="145"/>
      <c r="I27" s="145" t="s">
        <v>28</v>
      </c>
      <c r="J27" s="145" t="s">
        <v>29</v>
      </c>
      <c r="K27" s="147" t="s">
        <v>58</v>
      </c>
      <c r="L27" s="148">
        <v>8895400000</v>
      </c>
      <c r="M27" s="148"/>
      <c r="N27" s="148"/>
      <c r="O27" s="148"/>
      <c r="P27" s="148"/>
      <c r="Q27" s="148"/>
      <c r="R27" s="148">
        <f t="shared" si="17"/>
        <v>8895400000</v>
      </c>
      <c r="S27" s="148">
        <v>6200000000</v>
      </c>
      <c r="T27" s="148">
        <f t="shared" si="9"/>
        <v>2695400000</v>
      </c>
      <c r="U27" s="150">
        <f t="shared" si="12"/>
        <v>0.69698945522404843</v>
      </c>
      <c r="V27" s="148">
        <v>2047447639</v>
      </c>
      <c r="W27" s="148">
        <f t="shared" si="11"/>
        <v>4152552361</v>
      </c>
      <c r="X27" s="150">
        <f t="shared" si="18"/>
        <v>0.66976650983870967</v>
      </c>
      <c r="Y27" s="148">
        <v>2047447639</v>
      </c>
      <c r="Z27" s="148">
        <f t="shared" si="10"/>
        <v>0</v>
      </c>
      <c r="AA27" s="150">
        <f t="shared" si="4"/>
        <v>0.33023349016129033</v>
      </c>
    </row>
    <row r="28" spans="1:53" ht="24.95" customHeight="1">
      <c r="A28" s="32" t="e">
        <f>+CONCATENATE(#REF!,"=",I28)</f>
        <v>#REF!</v>
      </c>
      <c r="B28" s="145" t="s">
        <v>23</v>
      </c>
      <c r="C28" s="145" t="s">
        <v>25</v>
      </c>
      <c r="D28" s="145" t="s">
        <v>25</v>
      </c>
      <c r="E28" s="145" t="s">
        <v>54</v>
      </c>
      <c r="F28" s="145" t="s">
        <v>38</v>
      </c>
      <c r="G28" s="145"/>
      <c r="H28" s="145"/>
      <c r="I28" s="145" t="s">
        <v>28</v>
      </c>
      <c r="J28" s="145" t="s">
        <v>29</v>
      </c>
      <c r="K28" s="147" t="s">
        <v>59</v>
      </c>
      <c r="L28" s="148">
        <v>2732300000</v>
      </c>
      <c r="M28" s="148"/>
      <c r="N28" s="148"/>
      <c r="O28" s="148"/>
      <c r="P28" s="148"/>
      <c r="Q28" s="148"/>
      <c r="R28" s="148">
        <f t="shared" si="17"/>
        <v>2732300000</v>
      </c>
      <c r="S28" s="148">
        <v>1022645000</v>
      </c>
      <c r="T28" s="148">
        <f t="shared" si="9"/>
        <v>1709655000</v>
      </c>
      <c r="U28" s="150">
        <f t="shared" si="12"/>
        <v>0.3742799106979468</v>
      </c>
      <c r="V28" s="148">
        <v>1022645000</v>
      </c>
      <c r="W28" s="148">
        <f t="shared" si="11"/>
        <v>0</v>
      </c>
      <c r="X28" s="150">
        <f t="shared" si="18"/>
        <v>0</v>
      </c>
      <c r="Y28" s="148">
        <v>1022645000</v>
      </c>
      <c r="Z28" s="148">
        <f t="shared" si="10"/>
        <v>0</v>
      </c>
      <c r="AA28" s="150">
        <f t="shared" si="4"/>
        <v>1</v>
      </c>
    </row>
    <row r="29" spans="1:53" ht="24.95" customHeight="1">
      <c r="A29" s="32" t="e">
        <f>+CONCATENATE(#REF!,"=",I29)</f>
        <v>#REF!</v>
      </c>
      <c r="B29" s="145" t="s">
        <v>23</v>
      </c>
      <c r="C29" s="145" t="s">
        <v>25</v>
      </c>
      <c r="D29" s="145" t="s">
        <v>25</v>
      </c>
      <c r="E29" s="145" t="s">
        <v>54</v>
      </c>
      <c r="F29" s="145" t="s">
        <v>40</v>
      </c>
      <c r="G29" s="145"/>
      <c r="H29" s="145"/>
      <c r="I29" s="145" t="s">
        <v>28</v>
      </c>
      <c r="J29" s="145" t="s">
        <v>29</v>
      </c>
      <c r="K29" s="147" t="s">
        <v>60</v>
      </c>
      <c r="L29" s="148">
        <v>540000000</v>
      </c>
      <c r="M29" s="148"/>
      <c r="N29" s="148"/>
      <c r="O29" s="148"/>
      <c r="P29" s="148"/>
      <c r="Q29" s="148"/>
      <c r="R29" s="148">
        <f t="shared" si="17"/>
        <v>540000000</v>
      </c>
      <c r="S29" s="148">
        <v>217301100</v>
      </c>
      <c r="T29" s="148">
        <f t="shared" si="9"/>
        <v>322698900</v>
      </c>
      <c r="U29" s="150">
        <f t="shared" si="12"/>
        <v>0.40240944444444443</v>
      </c>
      <c r="V29" s="148">
        <v>217301100</v>
      </c>
      <c r="W29" s="148">
        <f t="shared" si="11"/>
        <v>0</v>
      </c>
      <c r="X29" s="150">
        <f t="shared" si="18"/>
        <v>0</v>
      </c>
      <c r="Y29" s="148">
        <v>217301100</v>
      </c>
      <c r="Z29" s="148">
        <f t="shared" si="10"/>
        <v>0</v>
      </c>
      <c r="AA29" s="150">
        <f t="shared" si="4"/>
        <v>1</v>
      </c>
    </row>
    <row r="30" spans="1:53" ht="24.95" customHeight="1">
      <c r="A30" s="32" t="e">
        <f>+CONCATENATE(#REF!,"=",I30)</f>
        <v>#REF!</v>
      </c>
      <c r="B30" s="145" t="s">
        <v>23</v>
      </c>
      <c r="C30" s="145" t="s">
        <v>25</v>
      </c>
      <c r="D30" s="145" t="s">
        <v>25</v>
      </c>
      <c r="E30" s="145" t="s">
        <v>54</v>
      </c>
      <c r="F30" s="145" t="s">
        <v>42</v>
      </c>
      <c r="G30" s="145"/>
      <c r="H30" s="145"/>
      <c r="I30" s="145" t="s">
        <v>28</v>
      </c>
      <c r="J30" s="145" t="s">
        <v>29</v>
      </c>
      <c r="K30" s="147" t="s">
        <v>61</v>
      </c>
      <c r="L30" s="148">
        <v>2071700000</v>
      </c>
      <c r="M30" s="148"/>
      <c r="N30" s="148"/>
      <c r="O30" s="148"/>
      <c r="P30" s="148"/>
      <c r="Q30" s="148"/>
      <c r="R30" s="148">
        <f t="shared" si="17"/>
        <v>2071700000</v>
      </c>
      <c r="S30" s="148">
        <v>767100200</v>
      </c>
      <c r="T30" s="148">
        <f t="shared" si="9"/>
        <v>1304599800</v>
      </c>
      <c r="U30" s="150">
        <f t="shared" si="12"/>
        <v>0.37027571559588746</v>
      </c>
      <c r="V30" s="148">
        <v>767100200</v>
      </c>
      <c r="W30" s="148">
        <f t="shared" si="11"/>
        <v>0</v>
      </c>
      <c r="X30" s="150">
        <f t="shared" si="18"/>
        <v>0</v>
      </c>
      <c r="Y30" s="148">
        <v>767100200</v>
      </c>
      <c r="Z30" s="148">
        <f t="shared" si="10"/>
        <v>0</v>
      </c>
      <c r="AA30" s="150">
        <f t="shared" si="4"/>
        <v>1</v>
      </c>
    </row>
    <row r="31" spans="1:53" ht="24.95" customHeight="1">
      <c r="A31" s="32" t="e">
        <f>+CONCATENATE(#REF!,"=",I31)</f>
        <v>#REF!</v>
      </c>
      <c r="B31" s="145" t="s">
        <v>23</v>
      </c>
      <c r="C31" s="145" t="s">
        <v>25</v>
      </c>
      <c r="D31" s="145" t="s">
        <v>25</v>
      </c>
      <c r="E31" s="145" t="s">
        <v>54</v>
      </c>
      <c r="F31" s="145" t="s">
        <v>44</v>
      </c>
      <c r="G31" s="145"/>
      <c r="H31" s="145"/>
      <c r="I31" s="145" t="s">
        <v>28</v>
      </c>
      <c r="J31" s="145" t="s">
        <v>29</v>
      </c>
      <c r="K31" s="147" t="s">
        <v>62</v>
      </c>
      <c r="L31" s="148">
        <v>345300000</v>
      </c>
      <c r="M31" s="148"/>
      <c r="N31" s="148"/>
      <c r="O31" s="148"/>
      <c r="P31" s="148"/>
      <c r="Q31" s="148"/>
      <c r="R31" s="148">
        <f t="shared" si="17"/>
        <v>345300000</v>
      </c>
      <c r="S31" s="148">
        <v>128188300</v>
      </c>
      <c r="T31" s="148">
        <f t="shared" si="9"/>
        <v>217111700</v>
      </c>
      <c r="U31" s="150">
        <f t="shared" si="12"/>
        <v>0.37123747465971618</v>
      </c>
      <c r="V31" s="148">
        <v>128082100</v>
      </c>
      <c r="W31" s="148">
        <f t="shared" si="11"/>
        <v>106200</v>
      </c>
      <c r="X31" s="150">
        <f t="shared" si="18"/>
        <v>8.2846874480744343E-4</v>
      </c>
      <c r="Y31" s="148">
        <v>128082100</v>
      </c>
      <c r="Z31" s="148">
        <f t="shared" si="10"/>
        <v>0</v>
      </c>
      <c r="AA31" s="150">
        <f t="shared" si="4"/>
        <v>0.99917153125519254</v>
      </c>
    </row>
    <row r="32" spans="1:53" ht="24.95" customHeight="1">
      <c r="A32" s="32" t="e">
        <f>+CONCATENATE(#REF!,"=",I32)</f>
        <v>#REF!</v>
      </c>
      <c r="B32" s="145" t="s">
        <v>23</v>
      </c>
      <c r="C32" s="145" t="s">
        <v>25</v>
      </c>
      <c r="D32" s="145" t="s">
        <v>25</v>
      </c>
      <c r="E32" s="145" t="s">
        <v>54</v>
      </c>
      <c r="F32" s="145" t="s">
        <v>46</v>
      </c>
      <c r="G32" s="145"/>
      <c r="H32" s="145"/>
      <c r="I32" s="145" t="s">
        <v>28</v>
      </c>
      <c r="J32" s="145" t="s">
        <v>29</v>
      </c>
      <c r="K32" s="147" t="s">
        <v>63</v>
      </c>
      <c r="L32" s="148">
        <v>345300000</v>
      </c>
      <c r="M32" s="148"/>
      <c r="N32" s="148"/>
      <c r="O32" s="148"/>
      <c r="P32" s="148"/>
      <c r="Q32" s="148"/>
      <c r="R32" s="148">
        <f t="shared" si="17"/>
        <v>345300000</v>
      </c>
      <c r="S32" s="148">
        <v>128082100</v>
      </c>
      <c r="T32" s="148">
        <f t="shared" si="9"/>
        <v>217217900</v>
      </c>
      <c r="U32" s="150">
        <f t="shared" si="12"/>
        <v>0.37092991601505937</v>
      </c>
      <c r="V32" s="148">
        <v>128082100</v>
      </c>
      <c r="W32" s="148">
        <f t="shared" si="11"/>
        <v>0</v>
      </c>
      <c r="X32" s="150">
        <f t="shared" si="18"/>
        <v>0</v>
      </c>
      <c r="Y32" s="148">
        <v>128082100</v>
      </c>
      <c r="Z32" s="148">
        <f t="shared" si="10"/>
        <v>0</v>
      </c>
      <c r="AA32" s="150">
        <f t="shared" si="4"/>
        <v>1</v>
      </c>
    </row>
    <row r="33" spans="1:27" ht="24.75" customHeight="1">
      <c r="A33" s="32" t="e">
        <f>+CONCATENATE(#REF!,"=",I33)</f>
        <v>#REF!</v>
      </c>
      <c r="B33" s="145" t="s">
        <v>23</v>
      </c>
      <c r="C33" s="145" t="s">
        <v>25</v>
      </c>
      <c r="D33" s="145" t="s">
        <v>25</v>
      </c>
      <c r="E33" s="145" t="s">
        <v>54</v>
      </c>
      <c r="F33" s="145" t="s">
        <v>48</v>
      </c>
      <c r="G33" s="145"/>
      <c r="H33" s="145"/>
      <c r="I33" s="145" t="s">
        <v>28</v>
      </c>
      <c r="J33" s="145" t="s">
        <v>29</v>
      </c>
      <c r="K33" s="147" t="s">
        <v>64</v>
      </c>
      <c r="L33" s="148">
        <v>690600000</v>
      </c>
      <c r="M33" s="148"/>
      <c r="N33" s="148"/>
      <c r="O33" s="148"/>
      <c r="P33" s="148"/>
      <c r="Q33" s="148"/>
      <c r="R33" s="148">
        <f t="shared" si="17"/>
        <v>690600000</v>
      </c>
      <c r="S33" s="148">
        <v>255906900</v>
      </c>
      <c r="T33" s="148">
        <f t="shared" si="9"/>
        <v>434693100</v>
      </c>
      <c r="U33" s="150">
        <f t="shared" si="12"/>
        <v>0.37055734144222413</v>
      </c>
      <c r="V33" s="148">
        <v>255906900</v>
      </c>
      <c r="W33" s="148">
        <f t="shared" si="11"/>
        <v>0</v>
      </c>
      <c r="X33" s="150">
        <f t="shared" si="18"/>
        <v>0</v>
      </c>
      <c r="Y33" s="148">
        <v>255906900</v>
      </c>
      <c r="Z33" s="148">
        <f t="shared" si="10"/>
        <v>0</v>
      </c>
      <c r="AA33" s="150">
        <f t="shared" si="4"/>
        <v>1</v>
      </c>
    </row>
    <row r="34" spans="1:27" ht="24.95" customHeight="1">
      <c r="A34" s="32" t="e">
        <f>+CONCATENATE(#REF!,"=",I34)</f>
        <v>#REF!</v>
      </c>
      <c r="B34" s="133" t="s">
        <v>23</v>
      </c>
      <c r="C34" s="133" t="s">
        <v>25</v>
      </c>
      <c r="D34" s="133" t="s">
        <v>25</v>
      </c>
      <c r="E34" s="133" t="s">
        <v>65</v>
      </c>
      <c r="F34" s="133"/>
      <c r="G34" s="134"/>
      <c r="H34" s="134"/>
      <c r="I34" s="133" t="s">
        <v>28</v>
      </c>
      <c r="J34" s="134" t="s">
        <v>29</v>
      </c>
      <c r="K34" s="134" t="s">
        <v>66</v>
      </c>
      <c r="L34" s="135">
        <f>+L35+L39+L40+L41+L42+L43</f>
        <v>7153000000</v>
      </c>
      <c r="M34" s="136">
        <f t="shared" ref="M34:Z34" si="19">+M35+M39+M40+M41+M42+M43</f>
        <v>0</v>
      </c>
      <c r="N34" s="136">
        <f t="shared" si="19"/>
        <v>0</v>
      </c>
      <c r="O34" s="136">
        <f t="shared" si="19"/>
        <v>0</v>
      </c>
      <c r="P34" s="136">
        <f t="shared" si="19"/>
        <v>0</v>
      </c>
      <c r="Q34" s="136">
        <f t="shared" si="19"/>
        <v>0</v>
      </c>
      <c r="R34" s="135">
        <f t="shared" si="19"/>
        <v>7153000000</v>
      </c>
      <c r="S34" s="135">
        <f t="shared" si="19"/>
        <v>2580693272</v>
      </c>
      <c r="T34" s="135">
        <f t="shared" si="19"/>
        <v>4572306728</v>
      </c>
      <c r="U34" s="137">
        <f t="shared" si="12"/>
        <v>0.3607847437438837</v>
      </c>
      <c r="V34" s="135">
        <f t="shared" si="19"/>
        <v>2578367942</v>
      </c>
      <c r="W34" s="135">
        <f t="shared" si="19"/>
        <v>2325330</v>
      </c>
      <c r="X34" s="137">
        <f t="shared" si="18"/>
        <v>9.0104857684148679E-4</v>
      </c>
      <c r="Y34" s="135">
        <f t="shared" si="19"/>
        <v>2563780478</v>
      </c>
      <c r="Z34" s="136">
        <f t="shared" si="19"/>
        <v>14587464</v>
      </c>
      <c r="AA34" s="723">
        <f t="shared" si="4"/>
        <v>0.9934464145028391</v>
      </c>
    </row>
    <row r="35" spans="1:27" ht="24.95" customHeight="1">
      <c r="A35" s="32" t="e">
        <f>+CONCATENATE(#REF!,"=",I35)</f>
        <v>#REF!</v>
      </c>
      <c r="B35" s="139" t="s">
        <v>23</v>
      </c>
      <c r="C35" s="139" t="s">
        <v>25</v>
      </c>
      <c r="D35" s="139" t="s">
        <v>25</v>
      </c>
      <c r="E35" s="139" t="s">
        <v>65</v>
      </c>
      <c r="F35" s="139" t="s">
        <v>31</v>
      </c>
      <c r="G35" s="140"/>
      <c r="H35" s="140"/>
      <c r="I35" s="139" t="s">
        <v>28</v>
      </c>
      <c r="J35" s="140" t="s">
        <v>29</v>
      </c>
      <c r="K35" s="140" t="s">
        <v>67</v>
      </c>
      <c r="L35" s="141">
        <f>SUM(L36:L38)</f>
        <v>3551000000</v>
      </c>
      <c r="M35" s="142">
        <f t="shared" ref="M35:Q35" si="20">SUM(M36:M38)</f>
        <v>0</v>
      </c>
      <c r="N35" s="142">
        <f t="shared" si="20"/>
        <v>0</v>
      </c>
      <c r="O35" s="142">
        <f>SUM(O36:O38)</f>
        <v>0</v>
      </c>
      <c r="P35" s="142">
        <f t="shared" si="20"/>
        <v>0</v>
      </c>
      <c r="Q35" s="142">
        <f t="shared" si="20"/>
        <v>0</v>
      </c>
      <c r="R35" s="141">
        <f>SUM(R36:R38)</f>
        <v>3551000000</v>
      </c>
      <c r="S35" s="141">
        <f t="shared" ref="S35:Z35" si="21">SUM(S36:S38)</f>
        <v>1239662036</v>
      </c>
      <c r="T35" s="141">
        <f t="shared" si="21"/>
        <v>2311337964</v>
      </c>
      <c r="U35" s="143">
        <f t="shared" si="12"/>
        <v>0.34910223486341874</v>
      </c>
      <c r="V35" s="141">
        <f t="shared" si="21"/>
        <v>1239662036</v>
      </c>
      <c r="W35" s="142">
        <f t="shared" si="21"/>
        <v>0</v>
      </c>
      <c r="X35" s="143">
        <f t="shared" si="18"/>
        <v>0</v>
      </c>
      <c r="Y35" s="141">
        <f t="shared" si="21"/>
        <v>1225074572</v>
      </c>
      <c r="Z35" s="142">
        <f t="shared" si="21"/>
        <v>14587464</v>
      </c>
      <c r="AA35" s="724">
        <f t="shared" si="4"/>
        <v>0.98823270893487292</v>
      </c>
    </row>
    <row r="36" spans="1:27" ht="24.95" customHeight="1">
      <c r="A36" s="32" t="e">
        <f>+CONCATENATE(#REF!,"=",I36)</f>
        <v>#REF!</v>
      </c>
      <c r="B36" s="145" t="s">
        <v>23</v>
      </c>
      <c r="C36" s="145" t="s">
        <v>25</v>
      </c>
      <c r="D36" s="145" t="s">
        <v>25</v>
      </c>
      <c r="E36" s="145" t="s">
        <v>65</v>
      </c>
      <c r="F36" s="145" t="s">
        <v>31</v>
      </c>
      <c r="G36" s="145" t="s">
        <v>31</v>
      </c>
      <c r="H36" s="145"/>
      <c r="I36" s="145" t="s">
        <v>28</v>
      </c>
      <c r="J36" s="145" t="s">
        <v>29</v>
      </c>
      <c r="K36" s="147" t="s">
        <v>68</v>
      </c>
      <c r="L36" s="148">
        <v>2801000000</v>
      </c>
      <c r="M36" s="148"/>
      <c r="N36" s="148"/>
      <c r="O36" s="148"/>
      <c r="P36" s="148"/>
      <c r="Q36" s="148"/>
      <c r="R36" s="148">
        <f t="shared" ref="R36:R43" si="22">+L36-Q36+M36-N36+O36-P36</f>
        <v>2801000000</v>
      </c>
      <c r="S36" s="148">
        <v>990222408</v>
      </c>
      <c r="T36" s="148">
        <f t="shared" si="9"/>
        <v>1810777592</v>
      </c>
      <c r="U36" s="150">
        <f t="shared" si="12"/>
        <v>0.35352460121385221</v>
      </c>
      <c r="V36" s="148">
        <v>990222408</v>
      </c>
      <c r="W36" s="148">
        <f t="shared" si="11"/>
        <v>0</v>
      </c>
      <c r="X36" s="150">
        <f t="shared" si="18"/>
        <v>0</v>
      </c>
      <c r="Y36" s="148">
        <v>976401300</v>
      </c>
      <c r="Z36" s="148">
        <f t="shared" si="10"/>
        <v>13821108</v>
      </c>
      <c r="AA36" s="150">
        <f t="shared" si="4"/>
        <v>0.98604242048216706</v>
      </c>
    </row>
    <row r="37" spans="1:27" ht="24.95" customHeight="1">
      <c r="A37" s="32" t="e">
        <f>+CONCATENATE(#REF!,"=",I37)</f>
        <v>#REF!</v>
      </c>
      <c r="B37" s="145" t="s">
        <v>23</v>
      </c>
      <c r="C37" s="145" t="s">
        <v>25</v>
      </c>
      <c r="D37" s="145" t="s">
        <v>25</v>
      </c>
      <c r="E37" s="145" t="s">
        <v>65</v>
      </c>
      <c r="F37" s="145" t="s">
        <v>31</v>
      </c>
      <c r="G37" s="145" t="s">
        <v>34</v>
      </c>
      <c r="H37" s="145"/>
      <c r="I37" s="145" t="s">
        <v>28</v>
      </c>
      <c r="J37" s="145" t="s">
        <v>29</v>
      </c>
      <c r="K37" s="147" t="s">
        <v>69</v>
      </c>
      <c r="L37" s="148">
        <v>400000000</v>
      </c>
      <c r="M37" s="148"/>
      <c r="N37" s="148"/>
      <c r="O37" s="148"/>
      <c r="P37" s="148"/>
      <c r="Q37" s="148"/>
      <c r="R37" s="148">
        <f t="shared" si="22"/>
        <v>400000000</v>
      </c>
      <c r="S37" s="148">
        <v>152786127</v>
      </c>
      <c r="T37" s="148">
        <f t="shared" si="9"/>
        <v>247213873</v>
      </c>
      <c r="U37" s="150">
        <f t="shared" si="12"/>
        <v>0.38196531750000001</v>
      </c>
      <c r="V37" s="148">
        <v>152786127</v>
      </c>
      <c r="W37" s="148">
        <f t="shared" si="11"/>
        <v>0</v>
      </c>
      <c r="X37" s="150">
        <f t="shared" si="18"/>
        <v>0</v>
      </c>
      <c r="Y37" s="148">
        <v>152786127</v>
      </c>
      <c r="Z37" s="148">
        <f t="shared" si="10"/>
        <v>0</v>
      </c>
      <c r="AA37" s="150">
        <f t="shared" si="4"/>
        <v>1</v>
      </c>
    </row>
    <row r="38" spans="1:27" ht="24.95" customHeight="1">
      <c r="A38" s="32" t="e">
        <f>+CONCATENATE(#REF!,"=",I38)</f>
        <v>#REF!</v>
      </c>
      <c r="B38" s="145" t="s">
        <v>23</v>
      </c>
      <c r="C38" s="145" t="s">
        <v>25</v>
      </c>
      <c r="D38" s="145" t="s">
        <v>25</v>
      </c>
      <c r="E38" s="145" t="s">
        <v>65</v>
      </c>
      <c r="F38" s="145" t="s">
        <v>31</v>
      </c>
      <c r="G38" s="145" t="s">
        <v>36</v>
      </c>
      <c r="H38" s="145"/>
      <c r="I38" s="145" t="s">
        <v>28</v>
      </c>
      <c r="J38" s="145" t="s">
        <v>29</v>
      </c>
      <c r="K38" s="147" t="s">
        <v>70</v>
      </c>
      <c r="L38" s="148">
        <v>350000000</v>
      </c>
      <c r="M38" s="148"/>
      <c r="N38" s="148"/>
      <c r="O38" s="148"/>
      <c r="P38" s="148"/>
      <c r="Q38" s="148"/>
      <c r="R38" s="148">
        <f t="shared" si="22"/>
        <v>350000000</v>
      </c>
      <c r="S38" s="148">
        <v>96653501</v>
      </c>
      <c r="T38" s="148">
        <f t="shared" si="9"/>
        <v>253346499</v>
      </c>
      <c r="U38" s="150">
        <f t="shared" si="12"/>
        <v>0.27615286</v>
      </c>
      <c r="V38" s="148">
        <v>96653501</v>
      </c>
      <c r="W38" s="148">
        <f t="shared" si="11"/>
        <v>0</v>
      </c>
      <c r="X38" s="150">
        <f t="shared" si="18"/>
        <v>0</v>
      </c>
      <c r="Y38" s="148">
        <v>95887145</v>
      </c>
      <c r="Z38" s="148">
        <f t="shared" si="10"/>
        <v>766356</v>
      </c>
      <c r="AA38" s="150">
        <f t="shared" si="4"/>
        <v>0.99207109942142702</v>
      </c>
    </row>
    <row r="39" spans="1:27" ht="24.95" customHeight="1">
      <c r="A39" s="32" t="e">
        <f>+CONCATENATE(#REF!,"=",I39)</f>
        <v>#REF!</v>
      </c>
      <c r="B39" s="145" t="s">
        <v>23</v>
      </c>
      <c r="C39" s="145" t="s">
        <v>25</v>
      </c>
      <c r="D39" s="145" t="s">
        <v>25</v>
      </c>
      <c r="E39" s="145" t="s">
        <v>65</v>
      </c>
      <c r="F39" s="145" t="s">
        <v>34</v>
      </c>
      <c r="G39" s="145"/>
      <c r="H39" s="145"/>
      <c r="I39" s="145" t="s">
        <v>28</v>
      </c>
      <c r="J39" s="145" t="s">
        <v>29</v>
      </c>
      <c r="K39" s="147" t="s">
        <v>71</v>
      </c>
      <c r="L39" s="148">
        <v>2160000000</v>
      </c>
      <c r="M39" s="148"/>
      <c r="N39" s="148"/>
      <c r="O39" s="148"/>
      <c r="P39" s="148"/>
      <c r="Q39" s="148"/>
      <c r="R39" s="148">
        <f t="shared" si="22"/>
        <v>2160000000</v>
      </c>
      <c r="S39" s="148">
        <v>972995540</v>
      </c>
      <c r="T39" s="148">
        <f t="shared" si="9"/>
        <v>1187004460</v>
      </c>
      <c r="U39" s="150">
        <f t="shared" si="12"/>
        <v>0.45046089814814816</v>
      </c>
      <c r="V39" s="148">
        <v>972995540</v>
      </c>
      <c r="W39" s="148">
        <f t="shared" si="11"/>
        <v>0</v>
      </c>
      <c r="X39" s="150">
        <f t="shared" si="18"/>
        <v>0</v>
      </c>
      <c r="Y39" s="148">
        <v>972995540</v>
      </c>
      <c r="Z39" s="148">
        <f t="shared" si="10"/>
        <v>0</v>
      </c>
      <c r="AA39" s="150">
        <f t="shared" si="4"/>
        <v>1</v>
      </c>
    </row>
    <row r="40" spans="1:27" ht="24.95" customHeight="1">
      <c r="A40" s="32" t="e">
        <f>+CONCATENATE(#REF!,"=",I40)</f>
        <v>#REF!</v>
      </c>
      <c r="B40" s="145" t="s">
        <v>23</v>
      </c>
      <c r="C40" s="145" t="s">
        <v>25</v>
      </c>
      <c r="D40" s="145" t="s">
        <v>25</v>
      </c>
      <c r="E40" s="145" t="s">
        <v>65</v>
      </c>
      <c r="F40" s="145" t="s">
        <v>40</v>
      </c>
      <c r="G40" s="145"/>
      <c r="H40" s="145"/>
      <c r="I40" s="145" t="s">
        <v>28</v>
      </c>
      <c r="J40" s="145" t="s">
        <v>29</v>
      </c>
      <c r="K40" s="147" t="s">
        <v>72</v>
      </c>
      <c r="L40" s="148">
        <v>12000000</v>
      </c>
      <c r="M40" s="148"/>
      <c r="N40" s="148"/>
      <c r="O40" s="148"/>
      <c r="P40" s="148"/>
      <c r="Q40" s="148"/>
      <c r="R40" s="148">
        <f t="shared" si="22"/>
        <v>12000000</v>
      </c>
      <c r="S40" s="148">
        <v>1742255</v>
      </c>
      <c r="T40" s="148">
        <f t="shared" si="9"/>
        <v>10257745</v>
      </c>
      <c r="U40" s="150">
        <f t="shared" si="12"/>
        <v>0.14518791666666667</v>
      </c>
      <c r="V40" s="148">
        <v>1742255</v>
      </c>
      <c r="W40" s="148">
        <f t="shared" si="11"/>
        <v>0</v>
      </c>
      <c r="X40" s="150">
        <f t="shared" si="18"/>
        <v>0</v>
      </c>
      <c r="Y40" s="148">
        <v>1742255</v>
      </c>
      <c r="Z40" s="148">
        <f t="shared" si="10"/>
        <v>0</v>
      </c>
      <c r="AA40" s="150">
        <f t="shared" si="4"/>
        <v>1</v>
      </c>
    </row>
    <row r="41" spans="1:27" ht="24.95" customHeight="1">
      <c r="A41" s="32" t="e">
        <f>+CONCATENATE(#REF!,"=",I41)</f>
        <v>#REF!</v>
      </c>
      <c r="B41" s="145" t="s">
        <v>23</v>
      </c>
      <c r="C41" s="145" t="s">
        <v>25</v>
      </c>
      <c r="D41" s="145" t="s">
        <v>25</v>
      </c>
      <c r="E41" s="145" t="s">
        <v>65</v>
      </c>
      <c r="F41" s="145" t="s">
        <v>74</v>
      </c>
      <c r="G41" s="145"/>
      <c r="H41" s="145"/>
      <c r="I41" s="145" t="s">
        <v>28</v>
      </c>
      <c r="J41" s="145" t="s">
        <v>29</v>
      </c>
      <c r="K41" s="147" t="s">
        <v>75</v>
      </c>
      <c r="L41" s="148">
        <v>30000000</v>
      </c>
      <c r="M41" s="148"/>
      <c r="N41" s="148"/>
      <c r="O41" s="148"/>
      <c r="P41" s="148"/>
      <c r="Q41" s="148"/>
      <c r="R41" s="148">
        <f t="shared" si="22"/>
        <v>30000000</v>
      </c>
      <c r="S41" s="148">
        <v>0</v>
      </c>
      <c r="T41" s="148">
        <f t="shared" si="9"/>
        <v>30000000</v>
      </c>
      <c r="U41" s="150">
        <f t="shared" si="12"/>
        <v>0</v>
      </c>
      <c r="V41" s="148">
        <v>0</v>
      </c>
      <c r="W41" s="148">
        <f t="shared" si="11"/>
        <v>0</v>
      </c>
      <c r="X41" s="150">
        <f t="shared" si="18"/>
        <v>0</v>
      </c>
      <c r="Y41" s="148">
        <v>0</v>
      </c>
      <c r="Z41" s="148">
        <f t="shared" si="10"/>
        <v>0</v>
      </c>
      <c r="AA41" s="150">
        <f t="shared" si="4"/>
        <v>0</v>
      </c>
    </row>
    <row r="42" spans="1:27" ht="24.95" customHeight="1">
      <c r="A42" s="32" t="e">
        <f>+CONCATENATE(#REF!,"=",I42)</f>
        <v>#REF!</v>
      </c>
      <c r="B42" s="145" t="s">
        <v>23</v>
      </c>
      <c r="C42" s="145" t="s">
        <v>25</v>
      </c>
      <c r="D42" s="145" t="s">
        <v>25</v>
      </c>
      <c r="E42" s="145" t="s">
        <v>65</v>
      </c>
      <c r="F42" s="145" t="s">
        <v>76</v>
      </c>
      <c r="G42" s="145"/>
      <c r="H42" s="145"/>
      <c r="I42" s="145" t="s">
        <v>28</v>
      </c>
      <c r="J42" s="145" t="s">
        <v>29</v>
      </c>
      <c r="K42" s="147" t="s">
        <v>77</v>
      </c>
      <c r="L42" s="148">
        <v>840000000</v>
      </c>
      <c r="M42" s="148"/>
      <c r="N42" s="148"/>
      <c r="O42" s="148"/>
      <c r="P42" s="148"/>
      <c r="Q42" s="148"/>
      <c r="R42" s="148">
        <f t="shared" si="22"/>
        <v>840000000</v>
      </c>
      <c r="S42" s="148">
        <v>349050432</v>
      </c>
      <c r="T42" s="148">
        <f t="shared" si="9"/>
        <v>490949568</v>
      </c>
      <c r="U42" s="150">
        <f t="shared" si="12"/>
        <v>0.41553622857142858</v>
      </c>
      <c r="V42" s="148">
        <v>346725102</v>
      </c>
      <c r="W42" s="148">
        <f t="shared" si="11"/>
        <v>2325330</v>
      </c>
      <c r="X42" s="150">
        <f t="shared" si="18"/>
        <v>6.6618740067910876E-3</v>
      </c>
      <c r="Y42" s="148">
        <v>346725102</v>
      </c>
      <c r="Z42" s="148">
        <f t="shared" si="10"/>
        <v>0</v>
      </c>
      <c r="AA42" s="150">
        <f t="shared" si="4"/>
        <v>0.99333812599320892</v>
      </c>
    </row>
    <row r="43" spans="1:27" ht="24.95" customHeight="1">
      <c r="A43" s="32" t="e">
        <f>+CONCATENATE(#REF!,"=",I43)</f>
        <v>#REF!</v>
      </c>
      <c r="B43" s="145" t="s">
        <v>23</v>
      </c>
      <c r="C43" s="145" t="s">
        <v>25</v>
      </c>
      <c r="D43" s="145" t="s">
        <v>25</v>
      </c>
      <c r="E43" s="145" t="s">
        <v>65</v>
      </c>
      <c r="F43" s="145" t="s">
        <v>78</v>
      </c>
      <c r="G43" s="145"/>
      <c r="H43" s="145"/>
      <c r="I43" s="145" t="s">
        <v>28</v>
      </c>
      <c r="J43" s="145" t="s">
        <v>29</v>
      </c>
      <c r="K43" s="147" t="s">
        <v>79</v>
      </c>
      <c r="L43" s="148">
        <v>560000000</v>
      </c>
      <c r="M43" s="148"/>
      <c r="N43" s="148"/>
      <c r="O43" s="148"/>
      <c r="P43" s="148"/>
      <c r="Q43" s="148"/>
      <c r="R43" s="148">
        <f t="shared" si="22"/>
        <v>560000000</v>
      </c>
      <c r="S43" s="148">
        <v>17243009</v>
      </c>
      <c r="T43" s="148">
        <f t="shared" si="9"/>
        <v>542756991</v>
      </c>
      <c r="U43" s="150">
        <f t="shared" si="12"/>
        <v>3.0791087500000001E-2</v>
      </c>
      <c r="V43" s="148">
        <v>17243009</v>
      </c>
      <c r="W43" s="148">
        <f t="shared" si="11"/>
        <v>0</v>
      </c>
      <c r="X43" s="150">
        <f t="shared" si="18"/>
        <v>0</v>
      </c>
      <c r="Y43" s="148">
        <v>17243009</v>
      </c>
      <c r="Z43" s="148">
        <f t="shared" si="10"/>
        <v>0</v>
      </c>
      <c r="AA43" s="150">
        <f t="shared" si="4"/>
        <v>1</v>
      </c>
    </row>
    <row r="44" spans="1:27" ht="24" customHeight="1">
      <c r="A44" s="32" t="e">
        <f>+CONCATENATE(#REF!,"=",I44)</f>
        <v>#REF!</v>
      </c>
      <c r="B44" s="123" t="s">
        <v>23</v>
      </c>
      <c r="C44" s="123" t="s">
        <v>54</v>
      </c>
      <c r="D44" s="123"/>
      <c r="E44" s="123"/>
      <c r="F44" s="123"/>
      <c r="G44" s="123"/>
      <c r="H44" s="123"/>
      <c r="I44" s="124"/>
      <c r="J44" s="124"/>
      <c r="K44" s="124" t="s">
        <v>80</v>
      </c>
      <c r="L44" s="125">
        <f>+L45</f>
        <v>42289000000</v>
      </c>
      <c r="M44" s="719">
        <f t="shared" ref="M44:T44" si="23">+M45</f>
        <v>0</v>
      </c>
      <c r="N44" s="719">
        <f t="shared" si="23"/>
        <v>0</v>
      </c>
      <c r="O44" s="725">
        <f t="shared" si="23"/>
        <v>548804873.13</v>
      </c>
      <c r="P44" s="725">
        <f t="shared" si="23"/>
        <v>548804873.13</v>
      </c>
      <c r="Q44" s="719">
        <f t="shared" si="23"/>
        <v>0</v>
      </c>
      <c r="R44" s="125">
        <f t="shared" si="23"/>
        <v>42289000000</v>
      </c>
      <c r="S44" s="125">
        <f t="shared" si="23"/>
        <v>34902954300.839996</v>
      </c>
      <c r="T44" s="125">
        <f t="shared" si="23"/>
        <v>7386045699.1599998</v>
      </c>
      <c r="U44" s="126">
        <f t="shared" si="12"/>
        <v>0.825343571634231</v>
      </c>
      <c r="V44" s="125">
        <f t="shared" ref="V44:W44" si="24">+V45</f>
        <v>15306987401.480001</v>
      </c>
      <c r="W44" s="125">
        <f t="shared" si="24"/>
        <v>19595966899.360001</v>
      </c>
      <c r="X44" s="126">
        <f t="shared" si="18"/>
        <v>0.56144149662678822</v>
      </c>
      <c r="Y44" s="125">
        <f t="shared" ref="Y44:Z44" si="25">+Y45</f>
        <v>14973565369.480001</v>
      </c>
      <c r="Z44" s="125">
        <f t="shared" si="25"/>
        <v>333422032</v>
      </c>
      <c r="AA44" s="720">
        <f t="shared" si="4"/>
        <v>0.42900567213932483</v>
      </c>
    </row>
    <row r="45" spans="1:27" ht="24" customHeight="1">
      <c r="A45" s="32" t="e">
        <f>+CONCATENATE(#REF!,"=",I45)</f>
        <v>#REF!</v>
      </c>
      <c r="B45" s="128" t="s">
        <v>23</v>
      </c>
      <c r="C45" s="128" t="s">
        <v>54</v>
      </c>
      <c r="D45" s="128" t="s">
        <v>54</v>
      </c>
      <c r="E45" s="128"/>
      <c r="F45" s="128"/>
      <c r="G45" s="128"/>
      <c r="H45" s="128"/>
      <c r="I45" s="129"/>
      <c r="J45" s="129"/>
      <c r="K45" s="129" t="s">
        <v>86</v>
      </c>
      <c r="L45" s="130">
        <f t="shared" ref="L45:T45" si="26">+L46+L65</f>
        <v>42289000000</v>
      </c>
      <c r="M45" s="721">
        <f t="shared" si="26"/>
        <v>0</v>
      </c>
      <c r="N45" s="721">
        <f t="shared" si="26"/>
        <v>0</v>
      </c>
      <c r="O45" s="726">
        <f t="shared" si="26"/>
        <v>548804873.13</v>
      </c>
      <c r="P45" s="726">
        <f t="shared" si="26"/>
        <v>548804873.13</v>
      </c>
      <c r="Q45" s="721">
        <f t="shared" si="26"/>
        <v>0</v>
      </c>
      <c r="R45" s="130">
        <f t="shared" si="26"/>
        <v>42289000000</v>
      </c>
      <c r="S45" s="130">
        <f t="shared" si="26"/>
        <v>34902954300.839996</v>
      </c>
      <c r="T45" s="130">
        <f t="shared" si="26"/>
        <v>7386045699.1599998</v>
      </c>
      <c r="U45" s="131">
        <f t="shared" si="12"/>
        <v>0.825343571634231</v>
      </c>
      <c r="V45" s="130">
        <f t="shared" ref="V45:W45" si="27">+V46+V65</f>
        <v>15306987401.480001</v>
      </c>
      <c r="W45" s="130">
        <f t="shared" si="27"/>
        <v>19595966899.360001</v>
      </c>
      <c r="X45" s="131">
        <f t="shared" si="18"/>
        <v>0.56144149662678822</v>
      </c>
      <c r="Y45" s="130">
        <f t="shared" ref="Y45:Z45" si="28">+Y46+Y65</f>
        <v>14973565369.480001</v>
      </c>
      <c r="Z45" s="130">
        <f t="shared" si="28"/>
        <v>333422032</v>
      </c>
      <c r="AA45" s="722">
        <f t="shared" si="4"/>
        <v>0.42900567213932483</v>
      </c>
    </row>
    <row r="46" spans="1:27" ht="24.95" customHeight="1">
      <c r="A46" s="32" t="e">
        <f>+CONCATENATE(#REF!,"=",I46)</f>
        <v>#REF!</v>
      </c>
      <c r="B46" s="133" t="s">
        <v>23</v>
      </c>
      <c r="C46" s="133" t="s">
        <v>54</v>
      </c>
      <c r="D46" s="133" t="s">
        <v>54</v>
      </c>
      <c r="E46" s="133" t="s">
        <v>25</v>
      </c>
      <c r="F46" s="133"/>
      <c r="G46" s="134"/>
      <c r="H46" s="134"/>
      <c r="I46" s="133" t="s">
        <v>28</v>
      </c>
      <c r="J46" s="134" t="s">
        <v>29</v>
      </c>
      <c r="K46" s="134" t="s">
        <v>87</v>
      </c>
      <c r="L46" s="135">
        <f>+L47+L50+L52+L59</f>
        <v>655883077</v>
      </c>
      <c r="M46" s="136">
        <f t="shared" ref="M46:T46" si="29">+M47+M50+M52+M59</f>
        <v>0</v>
      </c>
      <c r="N46" s="136">
        <f t="shared" si="29"/>
        <v>0</v>
      </c>
      <c r="O46" s="727">
        <f t="shared" si="29"/>
        <v>0</v>
      </c>
      <c r="P46" s="727">
        <f t="shared" si="29"/>
        <v>16000000</v>
      </c>
      <c r="Q46" s="136">
        <f t="shared" si="29"/>
        <v>0</v>
      </c>
      <c r="R46" s="135">
        <f t="shared" si="29"/>
        <v>639883077</v>
      </c>
      <c r="S46" s="135">
        <f t="shared" si="29"/>
        <v>141209037</v>
      </c>
      <c r="T46" s="135">
        <f t="shared" si="29"/>
        <v>498674040</v>
      </c>
      <c r="U46" s="137">
        <f t="shared" si="12"/>
        <v>0.22067943672153092</v>
      </c>
      <c r="V46" s="135">
        <f t="shared" ref="V46:W46" si="30">+V47+V50+V52+V59</f>
        <v>17782777.260000002</v>
      </c>
      <c r="W46" s="135">
        <f t="shared" si="30"/>
        <v>123426259.73999999</v>
      </c>
      <c r="X46" s="137">
        <f t="shared" si="18"/>
        <v>0.87406771097801617</v>
      </c>
      <c r="Y46" s="135">
        <f t="shared" ref="Y46:Z46" si="31">+Y47+Y50+Y52+Y59</f>
        <v>17782777.260000002</v>
      </c>
      <c r="Z46" s="135">
        <f t="shared" si="31"/>
        <v>0</v>
      </c>
      <c r="AA46" s="723">
        <f t="shared" si="4"/>
        <v>0.12593228902198378</v>
      </c>
    </row>
    <row r="47" spans="1:27" ht="24.95" customHeight="1">
      <c r="A47" s="32" t="e">
        <f>+CONCATENATE(#REF!,"=",I47)</f>
        <v>#REF!</v>
      </c>
      <c r="B47" s="139" t="s">
        <v>23</v>
      </c>
      <c r="C47" s="139" t="s">
        <v>54</v>
      </c>
      <c r="D47" s="139" t="s">
        <v>54</v>
      </c>
      <c r="E47" s="139" t="s">
        <v>25</v>
      </c>
      <c r="F47" s="139" t="s">
        <v>31</v>
      </c>
      <c r="G47" s="140"/>
      <c r="H47" s="140"/>
      <c r="I47" s="139" t="s">
        <v>28</v>
      </c>
      <c r="J47" s="140" t="s">
        <v>29</v>
      </c>
      <c r="K47" s="140" t="s">
        <v>88</v>
      </c>
      <c r="L47" s="141">
        <f>SUM(L48:L49)</f>
        <v>23000000</v>
      </c>
      <c r="M47" s="142">
        <f t="shared" ref="M47:T47" si="32">SUM(M48:M49)</f>
        <v>0</v>
      </c>
      <c r="N47" s="142">
        <f t="shared" si="32"/>
        <v>0</v>
      </c>
      <c r="O47" s="728">
        <f t="shared" si="32"/>
        <v>0</v>
      </c>
      <c r="P47" s="728">
        <f t="shared" si="32"/>
        <v>0</v>
      </c>
      <c r="Q47" s="142">
        <f t="shared" si="32"/>
        <v>0</v>
      </c>
      <c r="R47" s="141">
        <f t="shared" si="32"/>
        <v>23000000</v>
      </c>
      <c r="S47" s="141">
        <f t="shared" si="32"/>
        <v>11000000</v>
      </c>
      <c r="T47" s="141">
        <f t="shared" si="32"/>
        <v>12000000</v>
      </c>
      <c r="U47" s="143">
        <f t="shared" si="12"/>
        <v>0.47826086956521741</v>
      </c>
      <c r="V47" s="141">
        <f t="shared" ref="V47:W47" si="33">SUM(V48:V49)</f>
        <v>0</v>
      </c>
      <c r="W47" s="141">
        <f t="shared" si="33"/>
        <v>11000000</v>
      </c>
      <c r="X47" s="143">
        <f t="shared" si="18"/>
        <v>1</v>
      </c>
      <c r="Y47" s="141">
        <f t="shared" ref="Y47:Z47" si="34">SUM(Y48:Y49)</f>
        <v>0</v>
      </c>
      <c r="Z47" s="141">
        <f t="shared" si="34"/>
        <v>0</v>
      </c>
      <c r="AA47" s="724">
        <f t="shared" si="4"/>
        <v>0</v>
      </c>
    </row>
    <row r="48" spans="1:27" ht="24.95" customHeight="1">
      <c r="A48" s="32" t="e">
        <f>+CONCATENATE(#REF!,"=",I48)</f>
        <v>#REF!</v>
      </c>
      <c r="B48" s="145" t="s">
        <v>23</v>
      </c>
      <c r="C48" s="145" t="s">
        <v>54</v>
      </c>
      <c r="D48" s="145" t="s">
        <v>54</v>
      </c>
      <c r="E48" s="145" t="s">
        <v>25</v>
      </c>
      <c r="F48" s="145" t="s">
        <v>31</v>
      </c>
      <c r="G48" s="145" t="s">
        <v>40</v>
      </c>
      <c r="H48" s="145"/>
      <c r="I48" s="145">
        <v>10</v>
      </c>
      <c r="J48" s="145" t="s">
        <v>29</v>
      </c>
      <c r="K48" s="147" t="s">
        <v>89</v>
      </c>
      <c r="L48" s="148">
        <v>11000000</v>
      </c>
      <c r="M48" s="148"/>
      <c r="N48" s="148"/>
      <c r="O48" s="148"/>
      <c r="P48" s="148"/>
      <c r="Q48" s="148"/>
      <c r="R48" s="148">
        <f>+L48-Q48+M48-N48+O48-P48</f>
        <v>11000000</v>
      </c>
      <c r="S48" s="148">
        <v>11000000</v>
      </c>
      <c r="T48" s="148">
        <f t="shared" si="9"/>
        <v>0</v>
      </c>
      <c r="U48" s="150">
        <f t="shared" si="12"/>
        <v>1</v>
      </c>
      <c r="V48" s="148">
        <v>0</v>
      </c>
      <c r="W48" s="148">
        <f t="shared" ref="W48:W49" si="35">+S48-V48</f>
        <v>11000000</v>
      </c>
      <c r="X48" s="150">
        <f t="shared" si="18"/>
        <v>1</v>
      </c>
      <c r="Y48" s="148">
        <v>0</v>
      </c>
      <c r="Z48" s="148">
        <f t="shared" si="10"/>
        <v>0</v>
      </c>
      <c r="AA48" s="150">
        <f t="shared" si="4"/>
        <v>0</v>
      </c>
    </row>
    <row r="49" spans="1:27" ht="24.95" customHeight="1">
      <c r="A49" s="32" t="e">
        <f>+CONCATENATE(#REF!,"=",I49)</f>
        <v>#REF!</v>
      </c>
      <c r="B49" s="145" t="s">
        <v>23</v>
      </c>
      <c r="C49" s="145" t="s">
        <v>54</v>
      </c>
      <c r="D49" s="145" t="s">
        <v>54</v>
      </c>
      <c r="E49" s="145" t="s">
        <v>25</v>
      </c>
      <c r="F49" s="145" t="s">
        <v>31</v>
      </c>
      <c r="G49" s="145" t="s">
        <v>44</v>
      </c>
      <c r="H49" s="145"/>
      <c r="I49" s="145">
        <v>10</v>
      </c>
      <c r="J49" s="145" t="s">
        <v>29</v>
      </c>
      <c r="K49" s="147" t="s">
        <v>90</v>
      </c>
      <c r="L49" s="148">
        <v>12000000</v>
      </c>
      <c r="M49" s="148"/>
      <c r="N49" s="148"/>
      <c r="O49" s="148"/>
      <c r="P49" s="148"/>
      <c r="Q49" s="148"/>
      <c r="R49" s="148">
        <f>+L49-Q49+M49-N49+O49-P49</f>
        <v>12000000</v>
      </c>
      <c r="S49" s="148">
        <v>0</v>
      </c>
      <c r="T49" s="148">
        <f t="shared" si="9"/>
        <v>12000000</v>
      </c>
      <c r="U49" s="150">
        <f t="shared" si="12"/>
        <v>0</v>
      </c>
      <c r="V49" s="148">
        <v>0</v>
      </c>
      <c r="W49" s="148">
        <f t="shared" si="35"/>
        <v>0</v>
      </c>
      <c r="X49" s="150">
        <f t="shared" si="18"/>
        <v>0</v>
      </c>
      <c r="Y49" s="148">
        <v>0</v>
      </c>
      <c r="Z49" s="148">
        <f t="shared" si="10"/>
        <v>0</v>
      </c>
      <c r="AA49" s="150">
        <f t="shared" si="4"/>
        <v>0</v>
      </c>
    </row>
    <row r="50" spans="1:27" ht="24.95" customHeight="1">
      <c r="A50" s="32" t="e">
        <f>+CONCATENATE(#REF!,"=",I50)</f>
        <v>#REF!</v>
      </c>
      <c r="B50" s="139" t="s">
        <v>23</v>
      </c>
      <c r="C50" s="139" t="s">
        <v>54</v>
      </c>
      <c r="D50" s="139" t="s">
        <v>54</v>
      </c>
      <c r="E50" s="139" t="s">
        <v>25</v>
      </c>
      <c r="F50" s="139" t="s">
        <v>34</v>
      </c>
      <c r="G50" s="140"/>
      <c r="H50" s="140"/>
      <c r="I50" s="139" t="s">
        <v>28</v>
      </c>
      <c r="J50" s="140" t="s">
        <v>29</v>
      </c>
      <c r="K50" s="140" t="s">
        <v>91</v>
      </c>
      <c r="L50" s="141">
        <f>SUM(L51:L51)</f>
        <v>141060000</v>
      </c>
      <c r="M50" s="142">
        <f t="shared" ref="M50:Z50" si="36">SUM(M51:M51)</f>
        <v>0</v>
      </c>
      <c r="N50" s="142">
        <f t="shared" si="36"/>
        <v>0</v>
      </c>
      <c r="O50" s="142">
        <f t="shared" si="36"/>
        <v>0</v>
      </c>
      <c r="P50" s="142">
        <f t="shared" si="36"/>
        <v>0</v>
      </c>
      <c r="Q50" s="142">
        <f t="shared" si="36"/>
        <v>0</v>
      </c>
      <c r="R50" s="141">
        <f t="shared" si="36"/>
        <v>141060000</v>
      </c>
      <c r="S50" s="141">
        <f t="shared" si="36"/>
        <v>0</v>
      </c>
      <c r="T50" s="141">
        <f t="shared" si="36"/>
        <v>141060000</v>
      </c>
      <c r="U50" s="143">
        <f t="shared" si="12"/>
        <v>0</v>
      </c>
      <c r="V50" s="142">
        <f t="shared" si="36"/>
        <v>0</v>
      </c>
      <c r="W50" s="142">
        <f t="shared" si="36"/>
        <v>0</v>
      </c>
      <c r="X50" s="143">
        <f t="shared" si="18"/>
        <v>0</v>
      </c>
      <c r="Y50" s="142">
        <f t="shared" si="36"/>
        <v>0</v>
      </c>
      <c r="Z50" s="142">
        <f t="shared" si="36"/>
        <v>0</v>
      </c>
      <c r="AA50" s="724">
        <f t="shared" si="4"/>
        <v>0</v>
      </c>
    </row>
    <row r="51" spans="1:27" ht="24.95" customHeight="1">
      <c r="A51" s="32" t="e">
        <f>+CONCATENATE(#REF!,"=",I51)</f>
        <v>#REF!</v>
      </c>
      <c r="B51" s="145" t="s">
        <v>23</v>
      </c>
      <c r="C51" s="145" t="s">
        <v>54</v>
      </c>
      <c r="D51" s="145" t="s">
        <v>54</v>
      </c>
      <c r="E51" s="145" t="s">
        <v>25</v>
      </c>
      <c r="F51" s="145" t="s">
        <v>34</v>
      </c>
      <c r="G51" s="145" t="s">
        <v>46</v>
      </c>
      <c r="H51" s="145"/>
      <c r="I51" s="145">
        <v>10</v>
      </c>
      <c r="J51" s="145" t="s">
        <v>29</v>
      </c>
      <c r="K51" s="147" t="s">
        <v>92</v>
      </c>
      <c r="L51" s="148">
        <v>141060000</v>
      </c>
      <c r="M51" s="148"/>
      <c r="N51" s="148"/>
      <c r="O51" s="148"/>
      <c r="P51" s="148"/>
      <c r="Q51" s="148"/>
      <c r="R51" s="148">
        <f>+L51-Q51+M51-N51+O51-P51</f>
        <v>141060000</v>
      </c>
      <c r="S51" s="148">
        <v>0</v>
      </c>
      <c r="T51" s="148">
        <f t="shared" si="9"/>
        <v>141060000</v>
      </c>
      <c r="U51" s="150">
        <f t="shared" si="12"/>
        <v>0</v>
      </c>
      <c r="V51" s="148">
        <v>0</v>
      </c>
      <c r="W51" s="148">
        <f t="shared" si="11"/>
        <v>0</v>
      </c>
      <c r="X51" s="150">
        <f t="shared" si="18"/>
        <v>0</v>
      </c>
      <c r="Y51" s="148">
        <v>0</v>
      </c>
      <c r="Z51" s="148">
        <f t="shared" si="10"/>
        <v>0</v>
      </c>
      <c r="AA51" s="150">
        <f t="shared" si="4"/>
        <v>0</v>
      </c>
    </row>
    <row r="52" spans="1:27" ht="24.95" customHeight="1">
      <c r="A52" s="32" t="e">
        <f>+CONCATENATE(#REF!,"=",I52)</f>
        <v>#REF!</v>
      </c>
      <c r="B52" s="139" t="s">
        <v>23</v>
      </c>
      <c r="C52" s="139" t="s">
        <v>54</v>
      </c>
      <c r="D52" s="139" t="s">
        <v>54</v>
      </c>
      <c r="E52" s="139" t="s">
        <v>25</v>
      </c>
      <c r="F52" s="139" t="s">
        <v>36</v>
      </c>
      <c r="G52" s="140"/>
      <c r="H52" s="140"/>
      <c r="I52" s="139" t="s">
        <v>28</v>
      </c>
      <c r="J52" s="140" t="s">
        <v>29</v>
      </c>
      <c r="K52" s="140" t="s">
        <v>93</v>
      </c>
      <c r="L52" s="141">
        <f>SUM(L53:L58)</f>
        <v>418823077</v>
      </c>
      <c r="M52" s="142">
        <f t="shared" ref="M52:Z52" si="37">SUM(M53:M58)</f>
        <v>0</v>
      </c>
      <c r="N52" s="142">
        <f t="shared" si="37"/>
        <v>0</v>
      </c>
      <c r="O52" s="141">
        <f t="shared" si="37"/>
        <v>0</v>
      </c>
      <c r="P52" s="141">
        <f t="shared" si="37"/>
        <v>0</v>
      </c>
      <c r="Q52" s="142">
        <f t="shared" si="37"/>
        <v>0</v>
      </c>
      <c r="R52" s="141">
        <f t="shared" si="37"/>
        <v>418823077</v>
      </c>
      <c r="S52" s="141">
        <f t="shared" si="37"/>
        <v>122209037</v>
      </c>
      <c r="T52" s="141">
        <f t="shared" si="37"/>
        <v>296614040</v>
      </c>
      <c r="U52" s="143">
        <f t="shared" si="12"/>
        <v>0.29179155522034428</v>
      </c>
      <c r="V52" s="141">
        <f t="shared" si="37"/>
        <v>17782777.260000002</v>
      </c>
      <c r="W52" s="141">
        <f t="shared" si="37"/>
        <v>104426259.73999999</v>
      </c>
      <c r="X52" s="143">
        <f t="shared" si="18"/>
        <v>0.85448885208055436</v>
      </c>
      <c r="Y52" s="141">
        <f t="shared" si="37"/>
        <v>17782777.260000002</v>
      </c>
      <c r="Z52" s="142">
        <f t="shared" si="37"/>
        <v>0</v>
      </c>
      <c r="AA52" s="724">
        <f t="shared" si="4"/>
        <v>0.14551114791944561</v>
      </c>
    </row>
    <row r="53" spans="1:27" ht="24.95" customHeight="1">
      <c r="A53" s="32" t="e">
        <f>+CONCATENATE(#REF!,"=",I53)</f>
        <v>#REF!</v>
      </c>
      <c r="B53" s="145" t="s">
        <v>23</v>
      </c>
      <c r="C53" s="145" t="s">
        <v>54</v>
      </c>
      <c r="D53" s="145" t="s">
        <v>54</v>
      </c>
      <c r="E53" s="145" t="s">
        <v>25</v>
      </c>
      <c r="F53" s="145" t="s">
        <v>36</v>
      </c>
      <c r="G53" s="145" t="s">
        <v>34</v>
      </c>
      <c r="H53" s="145"/>
      <c r="I53" s="145">
        <v>10</v>
      </c>
      <c r="J53" s="145" t="s">
        <v>29</v>
      </c>
      <c r="K53" s="147" t="s">
        <v>94</v>
      </c>
      <c r="L53" s="148">
        <v>195500000</v>
      </c>
      <c r="M53" s="148"/>
      <c r="N53" s="148"/>
      <c r="O53" s="148"/>
      <c r="P53" s="148"/>
      <c r="Q53" s="148"/>
      <c r="R53" s="148">
        <f t="shared" ref="R53:R58" si="38">+L53-Q53+M53-N53+O53-P53</f>
        <v>195500000</v>
      </c>
      <c r="S53" s="148">
        <v>3500000</v>
      </c>
      <c r="T53" s="148">
        <f t="shared" si="9"/>
        <v>192000000</v>
      </c>
      <c r="U53" s="150">
        <f t="shared" si="12"/>
        <v>1.7902813299232736E-2</v>
      </c>
      <c r="V53" s="148">
        <v>500000</v>
      </c>
      <c r="W53" s="148">
        <f t="shared" si="11"/>
        <v>3000000</v>
      </c>
      <c r="X53" s="150">
        <f t="shared" si="18"/>
        <v>0.8571428571428571</v>
      </c>
      <c r="Y53" s="148">
        <v>500000</v>
      </c>
      <c r="Z53" s="148">
        <f t="shared" ref="Z53:Z58" si="39">+V53-Y53</f>
        <v>0</v>
      </c>
      <c r="AA53" s="150">
        <f t="shared" si="4"/>
        <v>0.14285714285714285</v>
      </c>
    </row>
    <row r="54" spans="1:27" ht="24.95" customHeight="1">
      <c r="A54" s="32" t="e">
        <f>+CONCATENATE(#REF!,"=",I54)</f>
        <v>#REF!</v>
      </c>
      <c r="B54" s="145" t="s">
        <v>23</v>
      </c>
      <c r="C54" s="145" t="s">
        <v>54</v>
      </c>
      <c r="D54" s="145" t="s">
        <v>54</v>
      </c>
      <c r="E54" s="145" t="s">
        <v>25</v>
      </c>
      <c r="F54" s="145" t="s">
        <v>36</v>
      </c>
      <c r="G54" s="145" t="s">
        <v>36</v>
      </c>
      <c r="H54" s="145"/>
      <c r="I54" s="145">
        <v>10</v>
      </c>
      <c r="J54" s="145" t="s">
        <v>29</v>
      </c>
      <c r="K54" s="147" t="s">
        <v>95</v>
      </c>
      <c r="L54" s="148">
        <v>84823077</v>
      </c>
      <c r="M54" s="148"/>
      <c r="N54" s="148"/>
      <c r="O54" s="148"/>
      <c r="P54" s="148"/>
      <c r="Q54" s="148"/>
      <c r="R54" s="148">
        <f t="shared" si="38"/>
        <v>84823077</v>
      </c>
      <c r="S54" s="148">
        <v>41220582</v>
      </c>
      <c r="T54" s="148">
        <f t="shared" si="9"/>
        <v>43602495</v>
      </c>
      <c r="U54" s="150">
        <f t="shared" si="12"/>
        <v>0.48595952254832725</v>
      </c>
      <c r="V54" s="148">
        <v>16782777.260000002</v>
      </c>
      <c r="W54" s="148">
        <f t="shared" si="11"/>
        <v>24437804.739999998</v>
      </c>
      <c r="X54" s="150">
        <f t="shared" si="18"/>
        <v>0.59285443228336754</v>
      </c>
      <c r="Y54" s="148">
        <v>16782777.260000002</v>
      </c>
      <c r="Z54" s="148">
        <f t="shared" si="39"/>
        <v>0</v>
      </c>
      <c r="AA54" s="150">
        <f t="shared" si="4"/>
        <v>0.40714556771663246</v>
      </c>
    </row>
    <row r="55" spans="1:27" ht="24.95" customHeight="1">
      <c r="A55" s="32" t="e">
        <f>+CONCATENATE(#REF!,"=",I55)</f>
        <v>#REF!</v>
      </c>
      <c r="B55" s="145" t="s">
        <v>23</v>
      </c>
      <c r="C55" s="145" t="s">
        <v>54</v>
      </c>
      <c r="D55" s="145" t="s">
        <v>54</v>
      </c>
      <c r="E55" s="145" t="s">
        <v>25</v>
      </c>
      <c r="F55" s="145" t="s">
        <v>36</v>
      </c>
      <c r="G55" s="145" t="s">
        <v>40</v>
      </c>
      <c r="H55" s="145"/>
      <c r="I55" s="145">
        <v>10</v>
      </c>
      <c r="J55" s="145" t="s">
        <v>29</v>
      </c>
      <c r="K55" s="147" t="s">
        <v>96</v>
      </c>
      <c r="L55" s="148">
        <v>26000000</v>
      </c>
      <c r="M55" s="148"/>
      <c r="N55" s="148"/>
      <c r="O55" s="148"/>
      <c r="P55" s="148"/>
      <c r="Q55" s="148"/>
      <c r="R55" s="148">
        <f t="shared" si="38"/>
        <v>26000000</v>
      </c>
      <c r="S55" s="148">
        <v>6000000</v>
      </c>
      <c r="T55" s="148">
        <f t="shared" si="9"/>
        <v>20000000</v>
      </c>
      <c r="U55" s="150">
        <f t="shared" si="12"/>
        <v>0.23076923076923078</v>
      </c>
      <c r="V55" s="148">
        <v>0</v>
      </c>
      <c r="W55" s="148">
        <f t="shared" si="11"/>
        <v>6000000</v>
      </c>
      <c r="X55" s="150">
        <f t="shared" si="18"/>
        <v>1</v>
      </c>
      <c r="Y55" s="148">
        <v>0</v>
      </c>
      <c r="Z55" s="148">
        <f t="shared" si="39"/>
        <v>0</v>
      </c>
      <c r="AA55" s="150">
        <f t="shared" si="4"/>
        <v>0</v>
      </c>
    </row>
    <row r="56" spans="1:27" ht="24.95" customHeight="1">
      <c r="A56" s="32" t="e">
        <f>+CONCATENATE(#REF!,"=",I56)</f>
        <v>#REF!</v>
      </c>
      <c r="B56" s="145" t="s">
        <v>23</v>
      </c>
      <c r="C56" s="145" t="s">
        <v>54</v>
      </c>
      <c r="D56" s="145" t="s">
        <v>54</v>
      </c>
      <c r="E56" s="145" t="s">
        <v>25</v>
      </c>
      <c r="F56" s="145" t="s">
        <v>36</v>
      </c>
      <c r="G56" s="145" t="s">
        <v>42</v>
      </c>
      <c r="H56" s="145"/>
      <c r="I56" s="145">
        <v>10</v>
      </c>
      <c r="J56" s="145" t="s">
        <v>29</v>
      </c>
      <c r="K56" s="147" t="s">
        <v>97</v>
      </c>
      <c r="L56" s="148">
        <v>20000000</v>
      </c>
      <c r="M56" s="148"/>
      <c r="N56" s="148"/>
      <c r="O56" s="148"/>
      <c r="P56" s="148"/>
      <c r="Q56" s="148"/>
      <c r="R56" s="148">
        <f t="shared" si="38"/>
        <v>20000000</v>
      </c>
      <c r="S56" s="148">
        <v>20000000</v>
      </c>
      <c r="T56" s="148">
        <f t="shared" si="9"/>
        <v>0</v>
      </c>
      <c r="U56" s="150">
        <f t="shared" si="12"/>
        <v>1</v>
      </c>
      <c r="V56" s="148">
        <v>0</v>
      </c>
      <c r="W56" s="148">
        <f t="shared" si="11"/>
        <v>20000000</v>
      </c>
      <c r="X56" s="150">
        <f t="shared" si="18"/>
        <v>1</v>
      </c>
      <c r="Y56" s="148">
        <v>0</v>
      </c>
      <c r="Z56" s="148">
        <f t="shared" si="39"/>
        <v>0</v>
      </c>
      <c r="AA56" s="150">
        <f t="shared" si="4"/>
        <v>0</v>
      </c>
    </row>
    <row r="57" spans="1:27" ht="24.95" hidden="1" customHeight="1">
      <c r="A57" s="32" t="e">
        <f>+CONCATENATE(#REF!,"=",I57)</f>
        <v>#REF!</v>
      </c>
      <c r="B57" s="145" t="s">
        <v>23</v>
      </c>
      <c r="C57" s="145" t="s">
        <v>54</v>
      </c>
      <c r="D57" s="145" t="s">
        <v>54</v>
      </c>
      <c r="E57" s="145" t="s">
        <v>25</v>
      </c>
      <c r="F57" s="145" t="s">
        <v>36</v>
      </c>
      <c r="G57" s="145" t="s">
        <v>44</v>
      </c>
      <c r="H57" s="145"/>
      <c r="I57" s="145">
        <v>10</v>
      </c>
      <c r="J57" s="145" t="s">
        <v>29</v>
      </c>
      <c r="K57" s="147" t="s">
        <v>98</v>
      </c>
      <c r="L57" s="148"/>
      <c r="M57" s="148"/>
      <c r="N57" s="148"/>
      <c r="O57" s="148"/>
      <c r="P57" s="148"/>
      <c r="Q57" s="148"/>
      <c r="R57" s="148">
        <f t="shared" si="38"/>
        <v>0</v>
      </c>
      <c r="S57" s="148">
        <v>0</v>
      </c>
      <c r="T57" s="148">
        <f t="shared" si="9"/>
        <v>0</v>
      </c>
      <c r="U57" s="150">
        <f t="shared" si="12"/>
        <v>0</v>
      </c>
      <c r="V57" s="148">
        <v>0</v>
      </c>
      <c r="W57" s="148">
        <f t="shared" si="11"/>
        <v>0</v>
      </c>
      <c r="X57" s="150">
        <f t="shared" si="18"/>
        <v>0</v>
      </c>
      <c r="Y57" s="148">
        <v>0</v>
      </c>
      <c r="Z57" s="148">
        <f t="shared" si="39"/>
        <v>0</v>
      </c>
      <c r="AA57" s="150">
        <f t="shared" si="4"/>
        <v>0</v>
      </c>
    </row>
    <row r="58" spans="1:27" ht="24.95" customHeight="1">
      <c r="A58" s="32" t="e">
        <f>+CONCATENATE(#REF!,"=",I58)</f>
        <v>#REF!</v>
      </c>
      <c r="B58" s="145" t="s">
        <v>23</v>
      </c>
      <c r="C58" s="145" t="s">
        <v>54</v>
      </c>
      <c r="D58" s="145" t="s">
        <v>54</v>
      </c>
      <c r="E58" s="145" t="s">
        <v>25</v>
      </c>
      <c r="F58" s="145" t="s">
        <v>36</v>
      </c>
      <c r="G58" s="145" t="s">
        <v>46</v>
      </c>
      <c r="H58" s="145"/>
      <c r="I58" s="145">
        <v>10</v>
      </c>
      <c r="J58" s="145" t="s">
        <v>29</v>
      </c>
      <c r="K58" s="147" t="s">
        <v>99</v>
      </c>
      <c r="L58" s="148">
        <v>92500000</v>
      </c>
      <c r="M58" s="148"/>
      <c r="N58" s="148"/>
      <c r="O58" s="148"/>
      <c r="P58" s="148"/>
      <c r="Q58" s="148"/>
      <c r="R58" s="148">
        <f t="shared" si="38"/>
        <v>92500000</v>
      </c>
      <c r="S58" s="148">
        <v>51488455</v>
      </c>
      <c r="T58" s="148">
        <f t="shared" si="9"/>
        <v>41011545</v>
      </c>
      <c r="U58" s="150">
        <f t="shared" si="12"/>
        <v>0.55663194594594589</v>
      </c>
      <c r="V58" s="148">
        <v>500000</v>
      </c>
      <c r="W58" s="148">
        <f t="shared" si="11"/>
        <v>50988455</v>
      </c>
      <c r="X58" s="150">
        <f t="shared" si="18"/>
        <v>0.99028908519395276</v>
      </c>
      <c r="Y58" s="148">
        <v>500000</v>
      </c>
      <c r="Z58" s="148">
        <f t="shared" si="39"/>
        <v>0</v>
      </c>
      <c r="AA58" s="150">
        <f t="shared" si="4"/>
        <v>9.7109148060472977E-3</v>
      </c>
    </row>
    <row r="59" spans="1:27" ht="24.95" customHeight="1">
      <c r="A59" s="32" t="e">
        <f>+CONCATENATE(#REF!,"=",I59)</f>
        <v>#REF!</v>
      </c>
      <c r="B59" s="139" t="s">
        <v>23</v>
      </c>
      <c r="C59" s="139" t="s">
        <v>54</v>
      </c>
      <c r="D59" s="139" t="s">
        <v>54</v>
      </c>
      <c r="E59" s="139" t="s">
        <v>25</v>
      </c>
      <c r="F59" s="139" t="s">
        <v>38</v>
      </c>
      <c r="G59" s="140"/>
      <c r="H59" s="140"/>
      <c r="I59" s="139" t="s">
        <v>28</v>
      </c>
      <c r="J59" s="140" t="s">
        <v>29</v>
      </c>
      <c r="K59" s="140" t="s">
        <v>100</v>
      </c>
      <c r="L59" s="141">
        <f>SUM(L60:L64)</f>
        <v>73000000</v>
      </c>
      <c r="M59" s="142">
        <f t="shared" ref="M59:T59" si="40">SUM(M60:M64)</f>
        <v>0</v>
      </c>
      <c r="N59" s="142">
        <f t="shared" si="40"/>
        <v>0</v>
      </c>
      <c r="O59" s="142">
        <f t="shared" si="40"/>
        <v>0</v>
      </c>
      <c r="P59" s="141">
        <f t="shared" si="40"/>
        <v>16000000</v>
      </c>
      <c r="Q59" s="142">
        <f t="shared" si="40"/>
        <v>0</v>
      </c>
      <c r="R59" s="141">
        <f t="shared" si="40"/>
        <v>57000000</v>
      </c>
      <c r="S59" s="141">
        <f t="shared" si="40"/>
        <v>8000000</v>
      </c>
      <c r="T59" s="141">
        <f t="shared" si="40"/>
        <v>49000000</v>
      </c>
      <c r="U59" s="143">
        <f t="shared" si="12"/>
        <v>0.14035087719298245</v>
      </c>
      <c r="V59" s="142">
        <f t="shared" ref="V59:Z59" si="41">SUM(V60:V64)</f>
        <v>0</v>
      </c>
      <c r="W59" s="141">
        <f t="shared" si="41"/>
        <v>8000000</v>
      </c>
      <c r="X59" s="143">
        <f t="shared" si="18"/>
        <v>1</v>
      </c>
      <c r="Y59" s="142">
        <f t="shared" si="41"/>
        <v>0</v>
      </c>
      <c r="Z59" s="142">
        <f t="shared" si="41"/>
        <v>0</v>
      </c>
      <c r="AA59" s="724">
        <f t="shared" si="4"/>
        <v>0</v>
      </c>
    </row>
    <row r="60" spans="1:27" ht="24.95" hidden="1" customHeight="1">
      <c r="A60" s="32" t="e">
        <f>+CONCATENATE(#REF!,"=",I60)</f>
        <v>#REF!</v>
      </c>
      <c r="B60" s="145" t="s">
        <v>23</v>
      </c>
      <c r="C60" s="145" t="s">
        <v>54</v>
      </c>
      <c r="D60" s="145" t="s">
        <v>54</v>
      </c>
      <c r="E60" s="145" t="s">
        <v>25</v>
      </c>
      <c r="F60" s="145" t="s">
        <v>38</v>
      </c>
      <c r="G60" s="145" t="s">
        <v>34</v>
      </c>
      <c r="H60" s="145"/>
      <c r="I60" s="145">
        <v>10</v>
      </c>
      <c r="J60" s="145" t="s">
        <v>29</v>
      </c>
      <c r="K60" s="147" t="s">
        <v>101</v>
      </c>
      <c r="L60" s="148"/>
      <c r="M60" s="148"/>
      <c r="N60" s="148"/>
      <c r="O60" s="148"/>
      <c r="P60" s="148"/>
      <c r="Q60" s="148"/>
      <c r="R60" s="148">
        <f>+L60-Q60+M60-N60+O60-P60</f>
        <v>0</v>
      </c>
      <c r="S60" s="148">
        <v>0</v>
      </c>
      <c r="T60" s="148">
        <f t="shared" si="9"/>
        <v>0</v>
      </c>
      <c r="U60" s="150">
        <f t="shared" si="12"/>
        <v>0</v>
      </c>
      <c r="V60" s="148">
        <v>0</v>
      </c>
      <c r="W60" s="148">
        <f t="shared" si="11"/>
        <v>0</v>
      </c>
      <c r="X60" s="150">
        <f t="shared" si="18"/>
        <v>0</v>
      </c>
      <c r="Y60" s="148">
        <v>0</v>
      </c>
      <c r="Z60" s="148">
        <f t="shared" ref="Z60:Z64" si="42">+V60-Y60</f>
        <v>0</v>
      </c>
      <c r="AA60" s="150">
        <f t="shared" si="4"/>
        <v>0</v>
      </c>
    </row>
    <row r="61" spans="1:27" ht="24.95" customHeight="1">
      <c r="A61" s="32" t="e">
        <f>+CONCATENATE(#REF!,"=",I61)</f>
        <v>#REF!</v>
      </c>
      <c r="B61" s="145" t="s">
        <v>23</v>
      </c>
      <c r="C61" s="145" t="s">
        <v>54</v>
      </c>
      <c r="D61" s="145" t="s">
        <v>54</v>
      </c>
      <c r="E61" s="145" t="s">
        <v>25</v>
      </c>
      <c r="F61" s="145" t="s">
        <v>38</v>
      </c>
      <c r="G61" s="145" t="s">
        <v>40</v>
      </c>
      <c r="H61" s="145"/>
      <c r="I61" s="145">
        <v>10</v>
      </c>
      <c r="J61" s="145" t="s">
        <v>29</v>
      </c>
      <c r="K61" s="147" t="s">
        <v>102</v>
      </c>
      <c r="L61" s="148">
        <v>10000000</v>
      </c>
      <c r="M61" s="148"/>
      <c r="N61" s="148"/>
      <c r="O61" s="148"/>
      <c r="P61" s="148">
        <f>9000000</f>
        <v>9000000</v>
      </c>
      <c r="Q61" s="148"/>
      <c r="R61" s="148">
        <f t="shared" ref="R61:R64" si="43">+L61-Q61+M61-N61+O61-P61</f>
        <v>1000000</v>
      </c>
      <c r="S61" s="148">
        <v>0</v>
      </c>
      <c r="T61" s="148">
        <f t="shared" si="9"/>
        <v>1000000</v>
      </c>
      <c r="U61" s="150">
        <f t="shared" si="12"/>
        <v>0</v>
      </c>
      <c r="V61" s="148">
        <v>0</v>
      </c>
      <c r="W61" s="148">
        <f t="shared" si="11"/>
        <v>0</v>
      </c>
      <c r="X61" s="150">
        <f t="shared" si="18"/>
        <v>0</v>
      </c>
      <c r="Y61" s="148">
        <v>0</v>
      </c>
      <c r="Z61" s="148">
        <f t="shared" si="42"/>
        <v>0</v>
      </c>
      <c r="AA61" s="150">
        <f t="shared" si="4"/>
        <v>0</v>
      </c>
    </row>
    <row r="62" spans="1:27" ht="24.95" customHeight="1">
      <c r="A62" s="32" t="e">
        <f>+CONCATENATE(#REF!,"=",I62)</f>
        <v>#REF!</v>
      </c>
      <c r="B62" s="145" t="s">
        <v>23</v>
      </c>
      <c r="C62" s="145" t="s">
        <v>54</v>
      </c>
      <c r="D62" s="145" t="s">
        <v>54</v>
      </c>
      <c r="E62" s="145" t="s">
        <v>25</v>
      </c>
      <c r="F62" s="145" t="s">
        <v>38</v>
      </c>
      <c r="G62" s="145" t="s">
        <v>42</v>
      </c>
      <c r="H62" s="145"/>
      <c r="I62" s="145">
        <v>10</v>
      </c>
      <c r="J62" s="145" t="s">
        <v>29</v>
      </c>
      <c r="K62" s="147" t="s">
        <v>84</v>
      </c>
      <c r="L62" s="148">
        <v>28000000</v>
      </c>
      <c r="M62" s="148"/>
      <c r="N62" s="148"/>
      <c r="O62" s="148"/>
      <c r="P62" s="148"/>
      <c r="Q62" s="148"/>
      <c r="R62" s="148">
        <f t="shared" si="43"/>
        <v>28000000</v>
      </c>
      <c r="S62" s="148">
        <v>8000000</v>
      </c>
      <c r="T62" s="148">
        <f t="shared" si="9"/>
        <v>20000000</v>
      </c>
      <c r="U62" s="150">
        <f t="shared" si="12"/>
        <v>0.2857142857142857</v>
      </c>
      <c r="V62" s="148">
        <v>0</v>
      </c>
      <c r="W62" s="148">
        <f t="shared" si="11"/>
        <v>8000000</v>
      </c>
      <c r="X62" s="150">
        <f t="shared" si="18"/>
        <v>1</v>
      </c>
      <c r="Y62" s="148">
        <v>0</v>
      </c>
      <c r="Z62" s="148">
        <f t="shared" si="42"/>
        <v>0</v>
      </c>
      <c r="AA62" s="150">
        <f t="shared" si="4"/>
        <v>0</v>
      </c>
    </row>
    <row r="63" spans="1:27" ht="24.95" customHeight="1">
      <c r="A63" s="32" t="e">
        <f>+CONCATENATE(#REF!,"=",I63)</f>
        <v>#REF!</v>
      </c>
      <c r="B63" s="145" t="s">
        <v>23</v>
      </c>
      <c r="C63" s="145" t="s">
        <v>54</v>
      </c>
      <c r="D63" s="145" t="s">
        <v>54</v>
      </c>
      <c r="E63" s="145" t="s">
        <v>25</v>
      </c>
      <c r="F63" s="145" t="s">
        <v>38</v>
      </c>
      <c r="G63" s="145" t="s">
        <v>44</v>
      </c>
      <c r="H63" s="145"/>
      <c r="I63" s="145">
        <v>10</v>
      </c>
      <c r="J63" s="145" t="s">
        <v>29</v>
      </c>
      <c r="K63" s="147" t="s">
        <v>85</v>
      </c>
      <c r="L63" s="148">
        <v>35000000</v>
      </c>
      <c r="M63" s="148"/>
      <c r="N63" s="148"/>
      <c r="O63" s="148"/>
      <c r="P63" s="148">
        <f>7000000</f>
        <v>7000000</v>
      </c>
      <c r="Q63" s="148"/>
      <c r="R63" s="148">
        <f t="shared" si="43"/>
        <v>28000000</v>
      </c>
      <c r="S63" s="148">
        <v>0</v>
      </c>
      <c r="T63" s="148">
        <f t="shared" si="9"/>
        <v>28000000</v>
      </c>
      <c r="U63" s="150">
        <f t="shared" si="12"/>
        <v>0</v>
      </c>
      <c r="V63" s="148">
        <v>0</v>
      </c>
      <c r="W63" s="148">
        <f t="shared" si="11"/>
        <v>0</v>
      </c>
      <c r="X63" s="150">
        <f t="shared" si="18"/>
        <v>0</v>
      </c>
      <c r="Y63" s="148">
        <v>0</v>
      </c>
      <c r="Z63" s="148">
        <f t="shared" si="42"/>
        <v>0</v>
      </c>
      <c r="AA63" s="150">
        <f t="shared" si="4"/>
        <v>0</v>
      </c>
    </row>
    <row r="64" spans="1:27" ht="24.95" hidden="1" customHeight="1">
      <c r="A64" s="32" t="e">
        <f>+CONCATENATE(#REF!,"=",I64)</f>
        <v>#REF!</v>
      </c>
      <c r="B64" s="145" t="s">
        <v>23</v>
      </c>
      <c r="C64" s="145" t="s">
        <v>54</v>
      </c>
      <c r="D64" s="145" t="s">
        <v>54</v>
      </c>
      <c r="E64" s="145" t="s">
        <v>25</v>
      </c>
      <c r="F64" s="145" t="s">
        <v>38</v>
      </c>
      <c r="G64" s="145" t="s">
        <v>46</v>
      </c>
      <c r="H64" s="145"/>
      <c r="I64" s="145">
        <v>10</v>
      </c>
      <c r="J64" s="145" t="s">
        <v>29</v>
      </c>
      <c r="K64" s="147" t="s">
        <v>258</v>
      </c>
      <c r="L64" s="148"/>
      <c r="M64" s="148"/>
      <c r="N64" s="148"/>
      <c r="O64" s="148"/>
      <c r="P64" s="148"/>
      <c r="Q64" s="148"/>
      <c r="R64" s="148">
        <f t="shared" si="43"/>
        <v>0</v>
      </c>
      <c r="S64" s="148">
        <v>0</v>
      </c>
      <c r="T64" s="148">
        <f t="shared" si="9"/>
        <v>0</v>
      </c>
      <c r="U64" s="150">
        <f t="shared" si="12"/>
        <v>0</v>
      </c>
      <c r="V64" s="148">
        <v>0</v>
      </c>
      <c r="W64" s="148">
        <f t="shared" si="11"/>
        <v>0</v>
      </c>
      <c r="X64" s="150">
        <f t="shared" si="18"/>
        <v>0</v>
      </c>
      <c r="Y64" s="148">
        <v>0</v>
      </c>
      <c r="Z64" s="148">
        <f t="shared" si="42"/>
        <v>0</v>
      </c>
      <c r="AA64" s="150">
        <f t="shared" si="4"/>
        <v>0</v>
      </c>
    </row>
    <row r="65" spans="1:27" ht="24.95" customHeight="1">
      <c r="A65" s="32" t="e">
        <f>+CONCATENATE(#REF!,"=",I65)</f>
        <v>#REF!</v>
      </c>
      <c r="B65" s="133" t="s">
        <v>23</v>
      </c>
      <c r="C65" s="133" t="s">
        <v>54</v>
      </c>
      <c r="D65" s="133" t="s">
        <v>54</v>
      </c>
      <c r="E65" s="133" t="s">
        <v>54</v>
      </c>
      <c r="F65" s="133"/>
      <c r="G65" s="134"/>
      <c r="H65" s="134"/>
      <c r="I65" s="133" t="s">
        <v>28</v>
      </c>
      <c r="J65" s="134" t="s">
        <v>29</v>
      </c>
      <c r="K65" s="134" t="s">
        <v>103</v>
      </c>
      <c r="L65" s="135">
        <f>+L66+L73+L76+L83+L89</f>
        <v>41633116923</v>
      </c>
      <c r="M65" s="136">
        <f t="shared" ref="M65:T65" si="44">+M66+M73+M76+M83+M89</f>
        <v>0</v>
      </c>
      <c r="N65" s="136">
        <f t="shared" si="44"/>
        <v>0</v>
      </c>
      <c r="O65" s="727">
        <f t="shared" si="44"/>
        <v>548804873.13</v>
      </c>
      <c r="P65" s="727">
        <f t="shared" si="44"/>
        <v>532804873.13</v>
      </c>
      <c r="Q65" s="136">
        <f t="shared" si="44"/>
        <v>0</v>
      </c>
      <c r="R65" s="135">
        <f t="shared" si="44"/>
        <v>41649116923</v>
      </c>
      <c r="S65" s="135">
        <f t="shared" si="44"/>
        <v>34761745263.839996</v>
      </c>
      <c r="T65" s="135">
        <f t="shared" si="44"/>
        <v>6887371659.1599998</v>
      </c>
      <c r="U65" s="137">
        <f t="shared" si="12"/>
        <v>0.83463342879770464</v>
      </c>
      <c r="V65" s="135">
        <f t="shared" ref="V65:Z65" si="45">+V66+V73+V76+V83+V89</f>
        <v>15289204624.220001</v>
      </c>
      <c r="W65" s="135">
        <f t="shared" si="45"/>
        <v>19472540639.619999</v>
      </c>
      <c r="X65" s="137">
        <f t="shared" si="18"/>
        <v>0.56017154753952481</v>
      </c>
      <c r="Y65" s="135">
        <f t="shared" si="45"/>
        <v>14955782592.220001</v>
      </c>
      <c r="Z65" s="135">
        <f t="shared" si="45"/>
        <v>333422032</v>
      </c>
      <c r="AA65" s="723">
        <f t="shared" si="4"/>
        <v>0.43023681574979394</v>
      </c>
    </row>
    <row r="66" spans="1:27" ht="24.95" customHeight="1">
      <c r="A66" s="32" t="e">
        <f>+CONCATENATE(#REF!,"=",I66)</f>
        <v>#REF!</v>
      </c>
      <c r="B66" s="139" t="s">
        <v>23</v>
      </c>
      <c r="C66" s="139" t="s">
        <v>54</v>
      </c>
      <c r="D66" s="139" t="s">
        <v>54</v>
      </c>
      <c r="E66" s="139" t="s">
        <v>54</v>
      </c>
      <c r="F66" s="139" t="s">
        <v>42</v>
      </c>
      <c r="G66" s="140"/>
      <c r="H66" s="140"/>
      <c r="I66" s="139" t="s">
        <v>28</v>
      </c>
      <c r="J66" s="140" t="s">
        <v>29</v>
      </c>
      <c r="K66" s="140" t="s">
        <v>104</v>
      </c>
      <c r="L66" s="141">
        <f>SUM(L67:L72)</f>
        <v>4648096573</v>
      </c>
      <c r="M66" s="142">
        <f t="shared" ref="M66:T66" si="46">SUM(M67:M72)</f>
        <v>0</v>
      </c>
      <c r="N66" s="142">
        <f t="shared" si="46"/>
        <v>0</v>
      </c>
      <c r="O66" s="141">
        <f t="shared" si="46"/>
        <v>202205305</v>
      </c>
      <c r="P66" s="141">
        <f t="shared" si="46"/>
        <v>0</v>
      </c>
      <c r="Q66" s="142">
        <f t="shared" si="46"/>
        <v>0</v>
      </c>
      <c r="R66" s="141">
        <f t="shared" si="46"/>
        <v>4850301878</v>
      </c>
      <c r="S66" s="141">
        <f t="shared" si="46"/>
        <v>3415803611</v>
      </c>
      <c r="T66" s="141">
        <f t="shared" si="46"/>
        <v>1434498267</v>
      </c>
      <c r="U66" s="143">
        <f t="shared" si="12"/>
        <v>0.70424557005274302</v>
      </c>
      <c r="V66" s="141">
        <f t="shared" ref="V66:Z66" si="47">SUM(V67:V72)</f>
        <v>1918256759</v>
      </c>
      <c r="W66" s="141">
        <f t="shared" si="47"/>
        <v>1497546852</v>
      </c>
      <c r="X66" s="143">
        <f t="shared" si="18"/>
        <v>0.43841714060416453</v>
      </c>
      <c r="Y66" s="141">
        <f t="shared" si="47"/>
        <v>1881782463</v>
      </c>
      <c r="Z66" s="141">
        <f t="shared" si="47"/>
        <v>36474296</v>
      </c>
      <c r="AA66" s="724">
        <f t="shared" si="4"/>
        <v>0.55090475838249242</v>
      </c>
    </row>
    <row r="67" spans="1:27" ht="24.95" customHeight="1">
      <c r="A67" s="32" t="e">
        <f>+CONCATENATE(#REF!,"=",I67)</f>
        <v>#REF!</v>
      </c>
      <c r="B67" s="145" t="s">
        <v>23</v>
      </c>
      <c r="C67" s="145" t="s">
        <v>54</v>
      </c>
      <c r="D67" s="145" t="s">
        <v>54</v>
      </c>
      <c r="E67" s="145" t="s">
        <v>54</v>
      </c>
      <c r="F67" s="145" t="s">
        <v>42</v>
      </c>
      <c r="G67" s="145" t="s">
        <v>36</v>
      </c>
      <c r="H67" s="145"/>
      <c r="I67" s="145">
        <v>10</v>
      </c>
      <c r="J67" s="145" t="s">
        <v>29</v>
      </c>
      <c r="K67" s="147" t="s">
        <v>105</v>
      </c>
      <c r="L67" s="148">
        <v>12000000</v>
      </c>
      <c r="M67" s="148"/>
      <c r="N67" s="148"/>
      <c r="O67" s="148">
        <f>104342700</f>
        <v>104342700</v>
      </c>
      <c r="P67" s="148"/>
      <c r="Q67" s="148"/>
      <c r="R67" s="148">
        <f t="shared" ref="R67:R72" si="48">+L67-Q67+M67-N67+O67-P67</f>
        <v>116342700</v>
      </c>
      <c r="S67" s="148">
        <v>2000000</v>
      </c>
      <c r="T67" s="148">
        <f t="shared" si="9"/>
        <v>114342700</v>
      </c>
      <c r="U67" s="150">
        <f t="shared" si="12"/>
        <v>1.7190592963718394E-2</v>
      </c>
      <c r="V67" s="148">
        <v>2000000</v>
      </c>
      <c r="W67" s="148">
        <f t="shared" si="11"/>
        <v>0</v>
      </c>
      <c r="X67" s="150">
        <f t="shared" si="18"/>
        <v>0</v>
      </c>
      <c r="Y67" s="148">
        <v>2000000</v>
      </c>
      <c r="Z67" s="148">
        <f t="shared" ref="Z67:Z72" si="49">+V67-Y67</f>
        <v>0</v>
      </c>
      <c r="AA67" s="150">
        <f t="shared" si="4"/>
        <v>1</v>
      </c>
    </row>
    <row r="68" spans="1:27" ht="24.95" customHeight="1">
      <c r="A68" s="32" t="e">
        <f>+CONCATENATE(#REF!,"=",I68)</f>
        <v>#REF!</v>
      </c>
      <c r="B68" s="145" t="s">
        <v>23</v>
      </c>
      <c r="C68" s="145" t="s">
        <v>54</v>
      </c>
      <c r="D68" s="145" t="s">
        <v>54</v>
      </c>
      <c r="E68" s="145" t="s">
        <v>54</v>
      </c>
      <c r="F68" s="145" t="s">
        <v>42</v>
      </c>
      <c r="G68" s="145" t="s">
        <v>38</v>
      </c>
      <c r="H68" s="145"/>
      <c r="I68" s="145">
        <v>10</v>
      </c>
      <c r="J68" s="145" t="s">
        <v>29</v>
      </c>
      <c r="K68" s="147" t="s">
        <v>106</v>
      </c>
      <c r="L68" s="148">
        <v>1885720708</v>
      </c>
      <c r="M68" s="148"/>
      <c r="N68" s="148"/>
      <c r="O68" s="148">
        <f>184500+65741905+31936200</f>
        <v>97862605</v>
      </c>
      <c r="P68" s="148"/>
      <c r="Q68" s="148"/>
      <c r="R68" s="148">
        <f t="shared" si="48"/>
        <v>1983583313</v>
      </c>
      <c r="S68" s="148">
        <v>1575842544</v>
      </c>
      <c r="T68" s="148">
        <f t="shared" si="9"/>
        <v>407740769</v>
      </c>
      <c r="U68" s="150">
        <f t="shared" si="12"/>
        <v>0.79444232751518418</v>
      </c>
      <c r="V68" s="148">
        <v>821738986</v>
      </c>
      <c r="W68" s="148">
        <f t="shared" si="11"/>
        <v>754103558</v>
      </c>
      <c r="X68" s="150">
        <f t="shared" si="18"/>
        <v>0.47853991559704967</v>
      </c>
      <c r="Y68" s="148">
        <v>792097089</v>
      </c>
      <c r="Z68" s="148">
        <f t="shared" si="49"/>
        <v>29641897</v>
      </c>
      <c r="AA68" s="150">
        <f t="shared" si="4"/>
        <v>0.50264989482350209</v>
      </c>
    </row>
    <row r="69" spans="1:27" ht="24.95" customHeight="1">
      <c r="A69" s="32" t="e">
        <f>+CONCATENATE(#REF!,"=",I69)</f>
        <v>#REF!</v>
      </c>
      <c r="B69" s="145" t="s">
        <v>23</v>
      </c>
      <c r="C69" s="145" t="s">
        <v>54</v>
      </c>
      <c r="D69" s="145" t="s">
        <v>54</v>
      </c>
      <c r="E69" s="145" t="s">
        <v>54</v>
      </c>
      <c r="F69" s="145" t="s">
        <v>42</v>
      </c>
      <c r="G69" s="145" t="s">
        <v>40</v>
      </c>
      <c r="H69" s="145"/>
      <c r="I69" s="145">
        <v>10</v>
      </c>
      <c r="J69" s="145" t="s">
        <v>29</v>
      </c>
      <c r="K69" s="147" t="s">
        <v>107</v>
      </c>
      <c r="L69" s="148">
        <v>62000000</v>
      </c>
      <c r="M69" s="148"/>
      <c r="N69" s="148"/>
      <c r="O69" s="148"/>
      <c r="P69" s="148"/>
      <c r="Q69" s="148"/>
      <c r="R69" s="148">
        <f t="shared" si="48"/>
        <v>62000000</v>
      </c>
      <c r="S69" s="148">
        <v>53170000</v>
      </c>
      <c r="T69" s="148">
        <f t="shared" si="9"/>
        <v>8830000</v>
      </c>
      <c r="U69" s="150">
        <f t="shared" si="12"/>
        <v>0.85758064516129029</v>
      </c>
      <c r="V69" s="148">
        <v>16337865</v>
      </c>
      <c r="W69" s="148">
        <f t="shared" si="11"/>
        <v>36832135</v>
      </c>
      <c r="X69" s="150">
        <f t="shared" si="18"/>
        <v>0.69272399849539212</v>
      </c>
      <c r="Y69" s="148">
        <v>16337865</v>
      </c>
      <c r="Z69" s="148">
        <f t="shared" si="49"/>
        <v>0</v>
      </c>
      <c r="AA69" s="150">
        <f t="shared" si="4"/>
        <v>0.30727600150460788</v>
      </c>
    </row>
    <row r="70" spans="1:27" ht="24.95" hidden="1" customHeight="1">
      <c r="A70" s="32" t="e">
        <f>+CONCATENATE(#REF!,"=",I70)</f>
        <v>#REF!</v>
      </c>
      <c r="B70" s="145" t="s">
        <v>23</v>
      </c>
      <c r="C70" s="145" t="s">
        <v>54</v>
      </c>
      <c r="D70" s="145" t="s">
        <v>54</v>
      </c>
      <c r="E70" s="145" t="s">
        <v>54</v>
      </c>
      <c r="F70" s="145" t="s">
        <v>42</v>
      </c>
      <c r="G70" s="145" t="s">
        <v>42</v>
      </c>
      <c r="H70" s="145"/>
      <c r="I70" s="145">
        <v>10</v>
      </c>
      <c r="J70" s="145" t="s">
        <v>29</v>
      </c>
      <c r="K70" s="147" t="s">
        <v>259</v>
      </c>
      <c r="L70" s="148"/>
      <c r="M70" s="148"/>
      <c r="N70" s="148"/>
      <c r="O70" s="148"/>
      <c r="P70" s="148"/>
      <c r="Q70" s="148"/>
      <c r="R70" s="148">
        <f t="shared" si="48"/>
        <v>0</v>
      </c>
      <c r="S70" s="148">
        <v>0</v>
      </c>
      <c r="T70" s="148">
        <f t="shared" si="9"/>
        <v>0</v>
      </c>
      <c r="U70" s="150">
        <f t="shared" si="12"/>
        <v>0</v>
      </c>
      <c r="V70" s="148">
        <v>0</v>
      </c>
      <c r="W70" s="148">
        <f t="shared" si="11"/>
        <v>0</v>
      </c>
      <c r="X70" s="150">
        <f t="shared" si="18"/>
        <v>0</v>
      </c>
      <c r="Y70" s="148">
        <v>0</v>
      </c>
      <c r="Z70" s="148">
        <f t="shared" si="49"/>
        <v>0</v>
      </c>
      <c r="AA70" s="150">
        <f t="shared" si="4"/>
        <v>0</v>
      </c>
    </row>
    <row r="71" spans="1:27" ht="24.95" customHeight="1">
      <c r="A71" s="32" t="e">
        <f>+CONCATENATE(#REF!,"=",I71)</f>
        <v>#REF!</v>
      </c>
      <c r="B71" s="145" t="s">
        <v>23</v>
      </c>
      <c r="C71" s="145" t="s">
        <v>54</v>
      </c>
      <c r="D71" s="145" t="s">
        <v>54</v>
      </c>
      <c r="E71" s="145" t="s">
        <v>54</v>
      </c>
      <c r="F71" s="145" t="s">
        <v>42</v>
      </c>
      <c r="G71" s="145" t="s">
        <v>46</v>
      </c>
      <c r="H71" s="145"/>
      <c r="I71" s="145">
        <v>10</v>
      </c>
      <c r="J71" s="145" t="s">
        <v>29</v>
      </c>
      <c r="K71" s="147" t="s">
        <v>108</v>
      </c>
      <c r="L71" s="148">
        <v>1588375865</v>
      </c>
      <c r="M71" s="148"/>
      <c r="N71" s="148"/>
      <c r="O71" s="148"/>
      <c r="P71" s="148"/>
      <c r="Q71" s="148"/>
      <c r="R71" s="148">
        <f t="shared" si="48"/>
        <v>1588375865</v>
      </c>
      <c r="S71" s="148">
        <v>1462418312</v>
      </c>
      <c r="T71" s="148">
        <f t="shared" si="9"/>
        <v>125957553</v>
      </c>
      <c r="U71" s="150">
        <f t="shared" si="12"/>
        <v>0.92070041117125634</v>
      </c>
      <c r="V71" s="148">
        <v>794096883</v>
      </c>
      <c r="W71" s="148">
        <f t="shared" si="11"/>
        <v>668321429</v>
      </c>
      <c r="X71" s="150">
        <f t="shared" si="18"/>
        <v>0.45699744287665894</v>
      </c>
      <c r="Y71" s="148">
        <v>794096883</v>
      </c>
      <c r="Z71" s="148">
        <f t="shared" si="49"/>
        <v>0</v>
      </c>
      <c r="AA71" s="150">
        <f t="shared" si="4"/>
        <v>0.543002557123341</v>
      </c>
    </row>
    <row r="72" spans="1:27" ht="24.95" customHeight="1">
      <c r="A72" s="32" t="e">
        <f>+CONCATENATE(#REF!,"=",I72)</f>
        <v>#REF!</v>
      </c>
      <c r="B72" s="145" t="s">
        <v>23</v>
      </c>
      <c r="C72" s="145" t="s">
        <v>54</v>
      </c>
      <c r="D72" s="145" t="s">
        <v>54</v>
      </c>
      <c r="E72" s="145" t="s">
        <v>54</v>
      </c>
      <c r="F72" s="145" t="s">
        <v>42</v>
      </c>
      <c r="G72" s="145" t="s">
        <v>48</v>
      </c>
      <c r="H72" s="145"/>
      <c r="I72" s="145">
        <v>10</v>
      </c>
      <c r="J72" s="145" t="s">
        <v>29</v>
      </c>
      <c r="K72" s="147" t="s">
        <v>109</v>
      </c>
      <c r="L72" s="148">
        <v>1100000000</v>
      </c>
      <c r="M72" s="148"/>
      <c r="N72" s="148"/>
      <c r="O72" s="148"/>
      <c r="P72" s="148"/>
      <c r="Q72" s="148"/>
      <c r="R72" s="148">
        <f t="shared" si="48"/>
        <v>1100000000</v>
      </c>
      <c r="S72" s="148">
        <v>322372755</v>
      </c>
      <c r="T72" s="148">
        <f t="shared" si="9"/>
        <v>777627245</v>
      </c>
      <c r="U72" s="150">
        <f t="shared" si="12"/>
        <v>0.29306614090909089</v>
      </c>
      <c r="V72" s="148">
        <v>284083025</v>
      </c>
      <c r="W72" s="148">
        <f t="shared" si="11"/>
        <v>38289730</v>
      </c>
      <c r="X72" s="150">
        <f t="shared" si="18"/>
        <v>0.11877470848924562</v>
      </c>
      <c r="Y72" s="148">
        <v>277250626</v>
      </c>
      <c r="Z72" s="148">
        <f t="shared" si="49"/>
        <v>6832399</v>
      </c>
      <c r="AA72" s="150">
        <f t="shared" si="4"/>
        <v>0.86003119587447763</v>
      </c>
    </row>
    <row r="73" spans="1:27" ht="24.95" customHeight="1">
      <c r="A73" s="32" t="e">
        <f>+CONCATENATE(#REF!,"=",I73)</f>
        <v>#REF!</v>
      </c>
      <c r="B73" s="139" t="s">
        <v>23</v>
      </c>
      <c r="C73" s="139" t="s">
        <v>54</v>
      </c>
      <c r="D73" s="139" t="s">
        <v>54</v>
      </c>
      <c r="E73" s="139" t="s">
        <v>54</v>
      </c>
      <c r="F73" s="139" t="s">
        <v>44</v>
      </c>
      <c r="G73" s="140"/>
      <c r="H73" s="140"/>
      <c r="I73" s="139" t="s">
        <v>28</v>
      </c>
      <c r="J73" s="140" t="s">
        <v>29</v>
      </c>
      <c r="K73" s="140" t="s">
        <v>110</v>
      </c>
      <c r="L73" s="141">
        <f>SUM(L74:L75)</f>
        <v>15081981155</v>
      </c>
      <c r="M73" s="142">
        <f t="shared" ref="M73:Z73" si="50">SUM(M74:M75)</f>
        <v>0</v>
      </c>
      <c r="N73" s="142">
        <f t="shared" si="50"/>
        <v>0</v>
      </c>
      <c r="O73" s="141">
        <f t="shared" si="50"/>
        <v>32983435</v>
      </c>
      <c r="P73" s="141">
        <f t="shared" si="50"/>
        <v>29023435</v>
      </c>
      <c r="Q73" s="142">
        <f t="shared" si="50"/>
        <v>0</v>
      </c>
      <c r="R73" s="141">
        <f t="shared" si="50"/>
        <v>15085941155</v>
      </c>
      <c r="S73" s="141">
        <f t="shared" si="50"/>
        <v>14673890617</v>
      </c>
      <c r="T73" s="141">
        <f t="shared" si="50"/>
        <v>412050538</v>
      </c>
      <c r="U73" s="143">
        <f t="shared" si="12"/>
        <v>0.97268645464234549</v>
      </c>
      <c r="V73" s="141">
        <f t="shared" si="50"/>
        <v>6333010067</v>
      </c>
      <c r="W73" s="141">
        <f t="shared" si="50"/>
        <v>8340880550</v>
      </c>
      <c r="X73" s="143">
        <f t="shared" si="18"/>
        <v>0.56841643213129311</v>
      </c>
      <c r="Y73" s="141">
        <f t="shared" si="50"/>
        <v>6332875667</v>
      </c>
      <c r="Z73" s="141">
        <f t="shared" si="50"/>
        <v>134400</v>
      </c>
      <c r="AA73" s="724">
        <f t="shared" si="4"/>
        <v>0.43157440874359765</v>
      </c>
    </row>
    <row r="74" spans="1:27" ht="24.95" customHeight="1">
      <c r="A74" s="32" t="e">
        <f>+CONCATENATE(#REF!,"=",I74)</f>
        <v>#REF!</v>
      </c>
      <c r="B74" s="145" t="s">
        <v>23</v>
      </c>
      <c r="C74" s="145" t="s">
        <v>54</v>
      </c>
      <c r="D74" s="145" t="s">
        <v>54</v>
      </c>
      <c r="E74" s="145" t="s">
        <v>54</v>
      </c>
      <c r="F74" s="145" t="s">
        <v>44</v>
      </c>
      <c r="G74" s="145" t="s">
        <v>31</v>
      </c>
      <c r="H74" s="145"/>
      <c r="I74" s="145">
        <v>10</v>
      </c>
      <c r="J74" s="145" t="s">
        <v>29</v>
      </c>
      <c r="K74" s="147" t="s">
        <v>111</v>
      </c>
      <c r="L74" s="148">
        <v>520000000</v>
      </c>
      <c r="M74" s="148"/>
      <c r="N74" s="148"/>
      <c r="O74" s="148">
        <f>32983435</f>
        <v>32983435</v>
      </c>
      <c r="P74" s="148">
        <f>29023435</f>
        <v>29023435</v>
      </c>
      <c r="Q74" s="148"/>
      <c r="R74" s="148">
        <f>+L74-Q74+M74-N74+O74-P74</f>
        <v>523960000</v>
      </c>
      <c r="S74" s="148">
        <v>308551378</v>
      </c>
      <c r="T74" s="148">
        <f t="shared" si="9"/>
        <v>215408622</v>
      </c>
      <c r="U74" s="150">
        <f t="shared" si="12"/>
        <v>0.58888346056950913</v>
      </c>
      <c r="V74" s="148">
        <v>304853178</v>
      </c>
      <c r="W74" s="148">
        <f t="shared" si="11"/>
        <v>3698200</v>
      </c>
      <c r="X74" s="150">
        <f t="shared" si="18"/>
        <v>1.1985686221761096E-2</v>
      </c>
      <c r="Y74" s="148">
        <v>304718778</v>
      </c>
      <c r="Z74" s="148">
        <f t="shared" ref="Z74:Z75" si="51">+V74-Y74</f>
        <v>134400</v>
      </c>
      <c r="AA74" s="150">
        <f t="shared" si="4"/>
        <v>0.98757872991900886</v>
      </c>
    </row>
    <row r="75" spans="1:27" ht="24.95" customHeight="1">
      <c r="A75" s="32" t="e">
        <f>+CONCATENATE(#REF!,"=",I75)</f>
        <v>#REF!</v>
      </c>
      <c r="B75" s="145" t="s">
        <v>23</v>
      </c>
      <c r="C75" s="145" t="s">
        <v>54</v>
      </c>
      <c r="D75" s="145" t="s">
        <v>54</v>
      </c>
      <c r="E75" s="145" t="s">
        <v>54</v>
      </c>
      <c r="F75" s="145" t="s">
        <v>44</v>
      </c>
      <c r="G75" s="145" t="s">
        <v>34</v>
      </c>
      <c r="H75" s="145"/>
      <c r="I75" s="145">
        <v>10</v>
      </c>
      <c r="J75" s="145" t="s">
        <v>29</v>
      </c>
      <c r="K75" s="147" t="s">
        <v>112</v>
      </c>
      <c r="L75" s="148">
        <v>14561981155</v>
      </c>
      <c r="M75" s="148"/>
      <c r="N75" s="148"/>
      <c r="O75" s="148"/>
      <c r="P75" s="148"/>
      <c r="Q75" s="148"/>
      <c r="R75" s="148">
        <f>+L75-Q75+M75-N75+O75-P75</f>
        <v>14561981155</v>
      </c>
      <c r="S75" s="148">
        <v>14365339239</v>
      </c>
      <c r="T75" s="148">
        <f t="shared" si="9"/>
        <v>196641916</v>
      </c>
      <c r="U75" s="150">
        <f t="shared" si="12"/>
        <v>0.98649621133917753</v>
      </c>
      <c r="V75" s="148">
        <v>6028156889</v>
      </c>
      <c r="W75" s="148">
        <f t="shared" si="11"/>
        <v>8337182350</v>
      </c>
      <c r="X75" s="150">
        <f t="shared" si="18"/>
        <v>0.58036794058894559</v>
      </c>
      <c r="Y75" s="148">
        <v>6028156889</v>
      </c>
      <c r="Z75" s="148">
        <f t="shared" si="51"/>
        <v>0</v>
      </c>
      <c r="AA75" s="150">
        <f t="shared" si="4"/>
        <v>0.41963205941105447</v>
      </c>
    </row>
    <row r="76" spans="1:27" ht="24.95" customHeight="1">
      <c r="A76" s="32" t="e">
        <f>+CONCATENATE(#REF!,"=",I76)</f>
        <v>#REF!</v>
      </c>
      <c r="B76" s="139" t="s">
        <v>23</v>
      </c>
      <c r="C76" s="139" t="s">
        <v>54</v>
      </c>
      <c r="D76" s="139" t="s">
        <v>54</v>
      </c>
      <c r="E76" s="139" t="s">
        <v>54</v>
      </c>
      <c r="F76" s="139" t="s">
        <v>46</v>
      </c>
      <c r="G76" s="140"/>
      <c r="H76" s="140"/>
      <c r="I76" s="139" t="s">
        <v>28</v>
      </c>
      <c r="J76" s="140" t="s">
        <v>29</v>
      </c>
      <c r="K76" s="140" t="s">
        <v>113</v>
      </c>
      <c r="L76" s="141">
        <f>SUM(L77:L82)</f>
        <v>18842006651</v>
      </c>
      <c r="M76" s="142">
        <f t="shared" ref="M76:T76" si="52">SUM(M77:M82)</f>
        <v>0</v>
      </c>
      <c r="N76" s="142">
        <f t="shared" si="52"/>
        <v>0</v>
      </c>
      <c r="O76" s="141">
        <f t="shared" si="52"/>
        <v>313616133.13</v>
      </c>
      <c r="P76" s="141">
        <f t="shared" si="52"/>
        <v>426855033.13</v>
      </c>
      <c r="Q76" s="142">
        <f t="shared" si="52"/>
        <v>0</v>
      </c>
      <c r="R76" s="141">
        <f t="shared" si="52"/>
        <v>18728767751</v>
      </c>
      <c r="S76" s="141">
        <f t="shared" si="52"/>
        <v>14686729850.84</v>
      </c>
      <c r="T76" s="141">
        <f t="shared" si="52"/>
        <v>4042037900.1599998</v>
      </c>
      <c r="U76" s="143">
        <f t="shared" si="12"/>
        <v>0.78418025393346125</v>
      </c>
      <c r="V76" s="141">
        <f t="shared" ref="V76:Z76" si="53">SUM(V77:V82)</f>
        <v>6222396880.3300009</v>
      </c>
      <c r="W76" s="141">
        <f t="shared" si="53"/>
        <v>8464332970.5099993</v>
      </c>
      <c r="X76" s="143">
        <f t="shared" si="18"/>
        <v>0.57632523076782038</v>
      </c>
      <c r="Y76" s="141">
        <f t="shared" si="53"/>
        <v>5940923816.3300009</v>
      </c>
      <c r="Z76" s="141">
        <f t="shared" si="53"/>
        <v>281473064</v>
      </c>
      <c r="AA76" s="724">
        <f t="shared" si="4"/>
        <v>0.40450964078911089</v>
      </c>
    </row>
    <row r="77" spans="1:27" ht="24.95" customHeight="1">
      <c r="A77" s="32" t="e">
        <f>+CONCATENATE(#REF!,"=",I77)</f>
        <v>#REF!</v>
      </c>
      <c r="B77" s="145" t="s">
        <v>23</v>
      </c>
      <c r="C77" s="145" t="s">
        <v>54</v>
      </c>
      <c r="D77" s="145" t="s">
        <v>54</v>
      </c>
      <c r="E77" s="145" t="s">
        <v>54</v>
      </c>
      <c r="F77" s="145" t="s">
        <v>46</v>
      </c>
      <c r="G77" s="145" t="s">
        <v>34</v>
      </c>
      <c r="H77" s="145"/>
      <c r="I77" s="145">
        <v>10</v>
      </c>
      <c r="J77" s="145" t="s">
        <v>29</v>
      </c>
      <c r="K77" s="147" t="s">
        <v>114</v>
      </c>
      <c r="L77" s="148">
        <v>49955000</v>
      </c>
      <c r="M77" s="148"/>
      <c r="N77" s="148"/>
      <c r="O77" s="148"/>
      <c r="P77" s="148"/>
      <c r="Q77" s="148"/>
      <c r="R77" s="148">
        <f t="shared" ref="R77:R82" si="54">+L77-Q77+M77-N77+O77-P77</f>
        <v>49955000</v>
      </c>
      <c r="S77" s="148">
        <v>24625950</v>
      </c>
      <c r="T77" s="148">
        <f t="shared" si="9"/>
        <v>25329050</v>
      </c>
      <c r="U77" s="150">
        <f t="shared" si="12"/>
        <v>0.49296266639975977</v>
      </c>
      <c r="V77" s="148">
        <v>3387088.8</v>
      </c>
      <c r="W77" s="148">
        <f t="shared" si="11"/>
        <v>21238861.199999999</v>
      </c>
      <c r="X77" s="150">
        <f t="shared" si="18"/>
        <v>0.86245855286801121</v>
      </c>
      <c r="Y77" s="148">
        <v>3387088.8</v>
      </c>
      <c r="Z77" s="148">
        <f t="shared" ref="Z77:Z82" si="55">+V77-Y77</f>
        <v>0</v>
      </c>
      <c r="AA77" s="150">
        <f t="shared" ref="AA77:AA146" si="56">+IF(S77&gt;0,(Y77/S77),0)</f>
        <v>0.13754144713198882</v>
      </c>
    </row>
    <row r="78" spans="1:27" ht="24.95" customHeight="1">
      <c r="A78" s="32" t="e">
        <f>+CONCATENATE(#REF!,"=",I78)</f>
        <v>#REF!</v>
      </c>
      <c r="B78" s="145" t="s">
        <v>23</v>
      </c>
      <c r="C78" s="145" t="s">
        <v>54</v>
      </c>
      <c r="D78" s="145" t="s">
        <v>54</v>
      </c>
      <c r="E78" s="145" t="s">
        <v>54</v>
      </c>
      <c r="F78" s="145" t="s">
        <v>46</v>
      </c>
      <c r="G78" s="145" t="s">
        <v>36</v>
      </c>
      <c r="H78" s="145"/>
      <c r="I78" s="145">
        <v>10</v>
      </c>
      <c r="J78" s="145" t="s">
        <v>29</v>
      </c>
      <c r="K78" s="147" t="s">
        <v>115</v>
      </c>
      <c r="L78" s="148">
        <v>10819632797</v>
      </c>
      <c r="M78" s="148"/>
      <c r="N78" s="148"/>
      <c r="O78" s="148">
        <f>11000000</f>
        <v>11000000</v>
      </c>
      <c r="P78" s="148">
        <f>5955863+169262335+146154331</f>
        <v>321372529</v>
      </c>
      <c r="Q78" s="148"/>
      <c r="R78" s="148">
        <f t="shared" si="54"/>
        <v>10509260268</v>
      </c>
      <c r="S78" s="148">
        <v>9757516448</v>
      </c>
      <c r="T78" s="148">
        <f t="shared" si="9"/>
        <v>751743820</v>
      </c>
      <c r="U78" s="150">
        <f t="shared" si="12"/>
        <v>0.92846843632857678</v>
      </c>
      <c r="V78" s="148">
        <v>3899817140</v>
      </c>
      <c r="W78" s="148">
        <f t="shared" si="11"/>
        <v>5857699308</v>
      </c>
      <c r="X78" s="150">
        <f t="shared" si="18"/>
        <v>0.6003268699793638</v>
      </c>
      <c r="Y78" s="148">
        <v>3618904956</v>
      </c>
      <c r="Z78" s="148">
        <f t="shared" si="55"/>
        <v>280912184</v>
      </c>
      <c r="AA78" s="150">
        <f t="shared" si="56"/>
        <v>0.37088381816069271</v>
      </c>
    </row>
    <row r="79" spans="1:27" ht="24.95" customHeight="1">
      <c r="A79" s="32" t="e">
        <f>+CONCATENATE(#REF!,"=",I79)</f>
        <v>#REF!</v>
      </c>
      <c r="B79" s="145" t="s">
        <v>23</v>
      </c>
      <c r="C79" s="145" t="s">
        <v>54</v>
      </c>
      <c r="D79" s="145" t="s">
        <v>54</v>
      </c>
      <c r="E79" s="145" t="s">
        <v>54</v>
      </c>
      <c r="F79" s="145" t="s">
        <v>46</v>
      </c>
      <c r="G79" s="145" t="s">
        <v>38</v>
      </c>
      <c r="H79" s="145"/>
      <c r="I79" s="145">
        <v>10</v>
      </c>
      <c r="J79" s="145" t="s">
        <v>29</v>
      </c>
      <c r="K79" s="147" t="s">
        <v>116</v>
      </c>
      <c r="L79" s="148">
        <v>2518099374</v>
      </c>
      <c r="M79" s="148"/>
      <c r="N79" s="148"/>
      <c r="O79" s="148"/>
      <c r="P79" s="148">
        <f>82333302.13</f>
        <v>82333302.129999995</v>
      </c>
      <c r="Q79" s="148"/>
      <c r="R79" s="148">
        <f t="shared" si="54"/>
        <v>2435766071.8699999</v>
      </c>
      <c r="S79" s="148">
        <v>1218696357.75</v>
      </c>
      <c r="T79" s="148">
        <f t="shared" si="9"/>
        <v>1217069714.1199999</v>
      </c>
      <c r="U79" s="150">
        <f t="shared" si="12"/>
        <v>0.50033390801538491</v>
      </c>
      <c r="V79" s="148">
        <v>883522633.55999994</v>
      </c>
      <c r="W79" s="148">
        <f t="shared" si="11"/>
        <v>335173724.19000006</v>
      </c>
      <c r="X79" s="150">
        <f t="shared" si="18"/>
        <v>0.27502644285309064</v>
      </c>
      <c r="Y79" s="148">
        <v>882961753.55999994</v>
      </c>
      <c r="Z79" s="148">
        <f t="shared" si="55"/>
        <v>560880</v>
      </c>
      <c r="AA79" s="150">
        <f t="shared" si="56"/>
        <v>0.72451332765952869</v>
      </c>
    </row>
    <row r="80" spans="1:27" ht="24.95" customHeight="1">
      <c r="A80" s="32" t="e">
        <f>+CONCATENATE(#REF!,"=",I80)</f>
        <v>#REF!</v>
      </c>
      <c r="B80" s="145" t="s">
        <v>23</v>
      </c>
      <c r="C80" s="145" t="s">
        <v>54</v>
      </c>
      <c r="D80" s="145" t="s">
        <v>54</v>
      </c>
      <c r="E80" s="145" t="s">
        <v>54</v>
      </c>
      <c r="F80" s="145" t="s">
        <v>46</v>
      </c>
      <c r="G80" s="145" t="s">
        <v>40</v>
      </c>
      <c r="H80" s="145"/>
      <c r="I80" s="145">
        <v>10</v>
      </c>
      <c r="J80" s="145" t="s">
        <v>29</v>
      </c>
      <c r="K80" s="147" t="s">
        <v>117</v>
      </c>
      <c r="L80" s="148">
        <v>4954700583</v>
      </c>
      <c r="M80" s="148"/>
      <c r="N80" s="148"/>
      <c r="O80" s="148">
        <f>5955863</f>
        <v>5955863</v>
      </c>
      <c r="P80" s="148">
        <f>20268000+2881202</f>
        <v>23149202</v>
      </c>
      <c r="Q80" s="148"/>
      <c r="R80" s="148">
        <f t="shared" si="54"/>
        <v>4937507244</v>
      </c>
      <c r="S80" s="148">
        <v>3305623971.1399999</v>
      </c>
      <c r="T80" s="148">
        <f t="shared" si="9"/>
        <v>1631883272.8600001</v>
      </c>
      <c r="U80" s="150">
        <f t="shared" si="12"/>
        <v>0.66949248027067798</v>
      </c>
      <c r="V80" s="148">
        <v>1378280387.97</v>
      </c>
      <c r="W80" s="148">
        <f t="shared" si="11"/>
        <v>1927343583.1699998</v>
      </c>
      <c r="X80" s="150">
        <f t="shared" si="18"/>
        <v>0.58304985684906052</v>
      </c>
      <c r="Y80" s="148">
        <v>1378280387.97</v>
      </c>
      <c r="Z80" s="148">
        <f t="shared" si="55"/>
        <v>0</v>
      </c>
      <c r="AA80" s="150">
        <f t="shared" si="56"/>
        <v>0.41695014315093948</v>
      </c>
    </row>
    <row r="81" spans="1:27" ht="24.95" customHeight="1">
      <c r="A81" s="32" t="e">
        <f>+CONCATENATE(#REF!,"=",I81)</f>
        <v>#REF!</v>
      </c>
      <c r="B81" s="145" t="s">
        <v>23</v>
      </c>
      <c r="C81" s="145" t="s">
        <v>54</v>
      </c>
      <c r="D81" s="145" t="s">
        <v>54</v>
      </c>
      <c r="E81" s="145" t="s">
        <v>54</v>
      </c>
      <c r="F81" s="145" t="s">
        <v>46</v>
      </c>
      <c r="G81" s="145" t="s">
        <v>44</v>
      </c>
      <c r="H81" s="145"/>
      <c r="I81" s="145">
        <v>10</v>
      </c>
      <c r="J81" s="145" t="s">
        <v>29</v>
      </c>
      <c r="K81" s="147" t="s">
        <v>118</v>
      </c>
      <c r="L81" s="148">
        <v>396618897</v>
      </c>
      <c r="M81" s="148"/>
      <c r="N81" s="148"/>
      <c r="O81" s="148">
        <f>20268000+82333302.13+29023435+146154331+18881202</f>
        <v>296660270.13</v>
      </c>
      <c r="P81" s="148"/>
      <c r="Q81" s="148"/>
      <c r="R81" s="148">
        <f t="shared" si="54"/>
        <v>693279167.13</v>
      </c>
      <c r="S81" s="148">
        <v>299267123.94999999</v>
      </c>
      <c r="T81" s="148">
        <f t="shared" si="9"/>
        <v>394012043.18000001</v>
      </c>
      <c r="U81" s="150">
        <f t="shared" si="12"/>
        <v>0.43166899877994319</v>
      </c>
      <c r="V81" s="148">
        <v>56389630</v>
      </c>
      <c r="W81" s="148">
        <f t="shared" si="11"/>
        <v>242877493.94999999</v>
      </c>
      <c r="X81" s="150">
        <f t="shared" si="18"/>
        <v>0.81157425762068913</v>
      </c>
      <c r="Y81" s="148">
        <v>56389630</v>
      </c>
      <c r="Z81" s="148">
        <f t="shared" si="55"/>
        <v>0</v>
      </c>
      <c r="AA81" s="150">
        <f t="shared" si="56"/>
        <v>0.1884257423793109</v>
      </c>
    </row>
    <row r="82" spans="1:27" ht="24.95" customHeight="1">
      <c r="A82" s="32" t="e">
        <f>+CONCATENATE(#REF!,"=",I82)</f>
        <v>#REF!</v>
      </c>
      <c r="B82" s="145" t="s">
        <v>23</v>
      </c>
      <c r="C82" s="145" t="s">
        <v>54</v>
      </c>
      <c r="D82" s="145" t="s">
        <v>54</v>
      </c>
      <c r="E82" s="145" t="s">
        <v>54</v>
      </c>
      <c r="F82" s="145" t="s">
        <v>46</v>
      </c>
      <c r="G82" s="145" t="s">
        <v>48</v>
      </c>
      <c r="H82" s="145"/>
      <c r="I82" s="145">
        <v>10</v>
      </c>
      <c r="J82" s="145" t="s">
        <v>29</v>
      </c>
      <c r="K82" s="147" t="s">
        <v>119</v>
      </c>
      <c r="L82" s="148">
        <v>103000000</v>
      </c>
      <c r="M82" s="148"/>
      <c r="N82" s="148"/>
      <c r="O82" s="148"/>
      <c r="P82" s="148"/>
      <c r="Q82" s="148"/>
      <c r="R82" s="148">
        <f t="shared" si="54"/>
        <v>103000000</v>
      </c>
      <c r="S82" s="148">
        <v>81000000</v>
      </c>
      <c r="T82" s="148">
        <f t="shared" si="9"/>
        <v>22000000</v>
      </c>
      <c r="U82" s="150">
        <f t="shared" si="12"/>
        <v>0.78640776699029125</v>
      </c>
      <c r="V82" s="148">
        <v>1000000</v>
      </c>
      <c r="W82" s="148">
        <f t="shared" si="11"/>
        <v>80000000</v>
      </c>
      <c r="X82" s="150">
        <f t="shared" si="18"/>
        <v>0.98765432098765427</v>
      </c>
      <c r="Y82" s="148">
        <v>1000000</v>
      </c>
      <c r="Z82" s="148">
        <f t="shared" si="55"/>
        <v>0</v>
      </c>
      <c r="AA82" s="150">
        <f t="shared" si="56"/>
        <v>1.2345679012345678E-2</v>
      </c>
    </row>
    <row r="83" spans="1:27" ht="24.95" customHeight="1">
      <c r="A83" s="32" t="e">
        <f>+CONCATENATE(#REF!,"=",I83)</f>
        <v>#REF!</v>
      </c>
      <c r="B83" s="139" t="s">
        <v>23</v>
      </c>
      <c r="C83" s="139" t="s">
        <v>54</v>
      </c>
      <c r="D83" s="139" t="s">
        <v>54</v>
      </c>
      <c r="E83" s="139" t="s">
        <v>54</v>
      </c>
      <c r="F83" s="139" t="s">
        <v>48</v>
      </c>
      <c r="G83" s="140"/>
      <c r="H83" s="140"/>
      <c r="I83" s="139" t="s">
        <v>28</v>
      </c>
      <c r="J83" s="140" t="s">
        <v>29</v>
      </c>
      <c r="K83" s="140" t="s">
        <v>120</v>
      </c>
      <c r="L83" s="141">
        <f>SUM(L84:L88)</f>
        <v>2327016750</v>
      </c>
      <c r="M83" s="142">
        <f t="shared" ref="M83:Z83" si="57">SUM(M84:M88)</f>
        <v>0</v>
      </c>
      <c r="N83" s="142">
        <f t="shared" si="57"/>
        <v>0</v>
      </c>
      <c r="O83" s="141">
        <f t="shared" si="57"/>
        <v>0</v>
      </c>
      <c r="P83" s="141">
        <f t="shared" si="57"/>
        <v>11000000</v>
      </c>
      <c r="Q83" s="142">
        <f t="shared" si="57"/>
        <v>0</v>
      </c>
      <c r="R83" s="141">
        <f t="shared" si="57"/>
        <v>2316016750</v>
      </c>
      <c r="S83" s="141">
        <f t="shared" si="57"/>
        <v>1628641230</v>
      </c>
      <c r="T83" s="141">
        <f t="shared" si="57"/>
        <v>687375520</v>
      </c>
      <c r="U83" s="143">
        <f t="shared" ref="U83:U153" si="58">+IF(R83&gt;0,S83/R83,0)</f>
        <v>0.70320788051295402</v>
      </c>
      <c r="V83" s="141">
        <f t="shared" si="57"/>
        <v>599679194.88999999</v>
      </c>
      <c r="W83" s="141">
        <f t="shared" si="57"/>
        <v>1028962035.11</v>
      </c>
      <c r="X83" s="143">
        <f t="shared" si="18"/>
        <v>0.63179171456318839</v>
      </c>
      <c r="Y83" s="141">
        <f t="shared" si="57"/>
        <v>584338922.88999999</v>
      </c>
      <c r="Z83" s="141">
        <f t="shared" si="57"/>
        <v>15340272</v>
      </c>
      <c r="AA83" s="724">
        <f t="shared" si="56"/>
        <v>0.3587892238795895</v>
      </c>
    </row>
    <row r="84" spans="1:27" ht="24.95" customHeight="1">
      <c r="A84" s="32" t="e">
        <f>+CONCATENATE(#REF!,"=",I84)</f>
        <v>#REF!</v>
      </c>
      <c r="B84" s="145" t="s">
        <v>23</v>
      </c>
      <c r="C84" s="145" t="s">
        <v>54</v>
      </c>
      <c r="D84" s="145" t="s">
        <v>54</v>
      </c>
      <c r="E84" s="145" t="s">
        <v>54</v>
      </c>
      <c r="F84" s="145" t="s">
        <v>48</v>
      </c>
      <c r="G84" s="145" t="s">
        <v>34</v>
      </c>
      <c r="H84" s="145"/>
      <c r="I84" s="145">
        <v>10</v>
      </c>
      <c r="J84" s="145" t="s">
        <v>29</v>
      </c>
      <c r="K84" s="147" t="s">
        <v>121</v>
      </c>
      <c r="L84" s="148">
        <v>992069874</v>
      </c>
      <c r="M84" s="148"/>
      <c r="N84" s="148"/>
      <c r="O84" s="148"/>
      <c r="P84" s="148"/>
      <c r="Q84" s="148"/>
      <c r="R84" s="148">
        <f>+L84-Q84+M84-N84+O84-P84</f>
        <v>992069874</v>
      </c>
      <c r="S84" s="148">
        <v>642069874</v>
      </c>
      <c r="T84" s="148">
        <f t="shared" si="9"/>
        <v>350000000</v>
      </c>
      <c r="U84" s="150">
        <f t="shared" si="58"/>
        <v>0.64720226954497762</v>
      </c>
      <c r="V84" s="148">
        <v>244109903</v>
      </c>
      <c r="W84" s="148">
        <f t="shared" si="11"/>
        <v>397959971</v>
      </c>
      <c r="X84" s="150">
        <f t="shared" si="18"/>
        <v>0.61980788558224742</v>
      </c>
      <c r="Y84" s="148">
        <v>244109903</v>
      </c>
      <c r="Z84" s="148">
        <f t="shared" ref="Z84:Z89" si="59">+V84-Y84</f>
        <v>0</v>
      </c>
      <c r="AA84" s="150">
        <f t="shared" si="56"/>
        <v>0.38019211441775258</v>
      </c>
    </row>
    <row r="85" spans="1:27" ht="24.95" customHeight="1">
      <c r="A85" s="32" t="e">
        <f>+CONCATENATE(#REF!,"=",I85)</f>
        <v>#REF!</v>
      </c>
      <c r="B85" s="145" t="s">
        <v>23</v>
      </c>
      <c r="C85" s="145" t="s">
        <v>54</v>
      </c>
      <c r="D85" s="145" t="s">
        <v>54</v>
      </c>
      <c r="E85" s="145" t="s">
        <v>54</v>
      </c>
      <c r="F85" s="145" t="s">
        <v>48</v>
      </c>
      <c r="G85" s="145" t="s">
        <v>36</v>
      </c>
      <c r="H85" s="145"/>
      <c r="I85" s="145">
        <v>10</v>
      </c>
      <c r="J85" s="145" t="s">
        <v>29</v>
      </c>
      <c r="K85" s="147" t="s">
        <v>122</v>
      </c>
      <c r="L85" s="148">
        <v>364946876</v>
      </c>
      <c r="M85" s="148"/>
      <c r="N85" s="148"/>
      <c r="O85" s="148"/>
      <c r="P85" s="148"/>
      <c r="Q85" s="148"/>
      <c r="R85" s="148">
        <f>+L85-Q85+M85-N85+O85-P85</f>
        <v>364946876</v>
      </c>
      <c r="S85" s="148">
        <v>159832826</v>
      </c>
      <c r="T85" s="148">
        <f t="shared" si="9"/>
        <v>205114050</v>
      </c>
      <c r="U85" s="150">
        <f t="shared" si="58"/>
        <v>0.43796189667890184</v>
      </c>
      <c r="V85" s="148">
        <v>30025045</v>
      </c>
      <c r="W85" s="148">
        <f t="shared" si="11"/>
        <v>129807781</v>
      </c>
      <c r="X85" s="150">
        <f t="shared" si="18"/>
        <v>0.81214719309286321</v>
      </c>
      <c r="Y85" s="148">
        <v>14855712</v>
      </c>
      <c r="Z85" s="148">
        <f t="shared" si="59"/>
        <v>15169333</v>
      </c>
      <c r="AA85" s="150">
        <f t="shared" si="56"/>
        <v>9.2945312748208553E-2</v>
      </c>
    </row>
    <row r="86" spans="1:27" ht="24.95" customHeight="1">
      <c r="A86" s="32" t="e">
        <f>+CONCATENATE(#REF!,"=",I86)</f>
        <v>#REF!</v>
      </c>
      <c r="B86" s="145" t="s">
        <v>23</v>
      </c>
      <c r="C86" s="145" t="s">
        <v>54</v>
      </c>
      <c r="D86" s="145" t="s">
        <v>54</v>
      </c>
      <c r="E86" s="145" t="s">
        <v>54</v>
      </c>
      <c r="F86" s="145" t="s">
        <v>48</v>
      </c>
      <c r="G86" s="145" t="s">
        <v>38</v>
      </c>
      <c r="H86" s="145"/>
      <c r="I86" s="145">
        <v>10</v>
      </c>
      <c r="J86" s="145" t="s">
        <v>29</v>
      </c>
      <c r="K86" s="147" t="s">
        <v>123</v>
      </c>
      <c r="L86" s="148">
        <v>115000000</v>
      </c>
      <c r="M86" s="148"/>
      <c r="N86" s="148"/>
      <c r="O86" s="148"/>
      <c r="P86" s="148">
        <f>11000000</f>
        <v>11000000</v>
      </c>
      <c r="Q86" s="148"/>
      <c r="R86" s="148">
        <f>+L86-Q86+M86-N86+O86-P86</f>
        <v>104000000</v>
      </c>
      <c r="S86" s="148">
        <v>31222558</v>
      </c>
      <c r="T86" s="148">
        <f t="shared" si="9"/>
        <v>72777442</v>
      </c>
      <c r="U86" s="150">
        <f t="shared" si="58"/>
        <v>0.30021690384615385</v>
      </c>
      <c r="V86" s="148">
        <v>31222558</v>
      </c>
      <c r="W86" s="148">
        <f t="shared" si="11"/>
        <v>0</v>
      </c>
      <c r="X86" s="150">
        <f t="shared" si="18"/>
        <v>0</v>
      </c>
      <c r="Y86" s="148">
        <v>31051619</v>
      </c>
      <c r="Z86" s="148">
        <f t="shared" si="59"/>
        <v>170939</v>
      </c>
      <c r="AA86" s="150">
        <f t="shared" si="56"/>
        <v>0.99452514428830596</v>
      </c>
    </row>
    <row r="87" spans="1:27" ht="24.95" customHeight="1">
      <c r="A87" s="32" t="e">
        <f>+CONCATENATE(#REF!,"=",I87)</f>
        <v>#REF!</v>
      </c>
      <c r="B87" s="145" t="s">
        <v>23</v>
      </c>
      <c r="C87" s="145" t="s">
        <v>54</v>
      </c>
      <c r="D87" s="145" t="s">
        <v>54</v>
      </c>
      <c r="E87" s="145" t="s">
        <v>54</v>
      </c>
      <c r="F87" s="145" t="s">
        <v>48</v>
      </c>
      <c r="G87" s="145" t="s">
        <v>42</v>
      </c>
      <c r="H87" s="145"/>
      <c r="I87" s="145">
        <v>10</v>
      </c>
      <c r="J87" s="145" t="s">
        <v>29</v>
      </c>
      <c r="K87" s="147" t="s">
        <v>124</v>
      </c>
      <c r="L87" s="148">
        <v>830000000</v>
      </c>
      <c r="M87" s="148"/>
      <c r="N87" s="148"/>
      <c r="O87" s="148"/>
      <c r="P87" s="148"/>
      <c r="Q87" s="148"/>
      <c r="R87" s="148">
        <f>+L87-Q87+M87-N87+O87-P87</f>
        <v>830000000</v>
      </c>
      <c r="S87" s="148">
        <v>795515972</v>
      </c>
      <c r="T87" s="148">
        <f t="shared" si="9"/>
        <v>34484028</v>
      </c>
      <c r="U87" s="150">
        <f t="shared" si="58"/>
        <v>0.95845297831325305</v>
      </c>
      <c r="V87" s="148">
        <v>294321688.88999999</v>
      </c>
      <c r="W87" s="148">
        <f t="shared" si="11"/>
        <v>501194283.11000001</v>
      </c>
      <c r="X87" s="150">
        <f t="shared" si="18"/>
        <v>0.63002416136278405</v>
      </c>
      <c r="Y87" s="148">
        <v>294321688.88999999</v>
      </c>
      <c r="Z87" s="148">
        <f t="shared" si="59"/>
        <v>0</v>
      </c>
      <c r="AA87" s="150">
        <f t="shared" si="56"/>
        <v>0.36997583863721595</v>
      </c>
    </row>
    <row r="88" spans="1:27" ht="24.95" customHeight="1">
      <c r="A88" s="32" t="e">
        <f>+CONCATENATE(#REF!,"=",I88)</f>
        <v>#REF!</v>
      </c>
      <c r="B88" s="145" t="s">
        <v>23</v>
      </c>
      <c r="C88" s="145" t="s">
        <v>54</v>
      </c>
      <c r="D88" s="145" t="s">
        <v>54</v>
      </c>
      <c r="E88" s="145" t="s">
        <v>54</v>
      </c>
      <c r="F88" s="145" t="s">
        <v>48</v>
      </c>
      <c r="G88" s="145" t="s">
        <v>44</v>
      </c>
      <c r="H88" s="145"/>
      <c r="I88" s="145">
        <v>10</v>
      </c>
      <c r="J88" s="145" t="s">
        <v>29</v>
      </c>
      <c r="K88" s="147" t="s">
        <v>125</v>
      </c>
      <c r="L88" s="148">
        <v>25000000</v>
      </c>
      <c r="M88" s="148"/>
      <c r="N88" s="148"/>
      <c r="O88" s="148"/>
      <c r="P88" s="148"/>
      <c r="Q88" s="148"/>
      <c r="R88" s="148">
        <f>+L88-Q88+M88-N88+O88-P88</f>
        <v>25000000</v>
      </c>
      <c r="S88" s="148">
        <v>0</v>
      </c>
      <c r="T88" s="148">
        <f>+R88-S88</f>
        <v>25000000</v>
      </c>
      <c r="U88" s="150">
        <f t="shared" si="58"/>
        <v>0</v>
      </c>
      <c r="V88" s="148">
        <v>0</v>
      </c>
      <c r="W88" s="148">
        <f t="shared" si="11"/>
        <v>0</v>
      </c>
      <c r="X88" s="150">
        <f t="shared" si="18"/>
        <v>0</v>
      </c>
      <c r="Y88" s="148">
        <v>0</v>
      </c>
      <c r="Z88" s="148">
        <f t="shared" si="59"/>
        <v>0</v>
      </c>
      <c r="AA88" s="150">
        <f t="shared" si="56"/>
        <v>0</v>
      </c>
    </row>
    <row r="89" spans="1:27" ht="24.95" customHeight="1">
      <c r="A89" s="32" t="e">
        <f>+CONCATENATE(#REF!,"=",I89)</f>
        <v>#REF!</v>
      </c>
      <c r="B89" s="145" t="s">
        <v>23</v>
      </c>
      <c r="C89" s="145" t="s">
        <v>54</v>
      </c>
      <c r="D89" s="145" t="s">
        <v>54</v>
      </c>
      <c r="E89" s="145" t="s">
        <v>54</v>
      </c>
      <c r="F89" s="145" t="s">
        <v>50</v>
      </c>
      <c r="G89" s="145"/>
      <c r="H89" s="145"/>
      <c r="I89" s="145" t="s">
        <v>28</v>
      </c>
      <c r="J89" s="145" t="s">
        <v>29</v>
      </c>
      <c r="K89" s="152" t="s">
        <v>126</v>
      </c>
      <c r="L89" s="153">
        <v>734015794</v>
      </c>
      <c r="M89" s="153"/>
      <c r="N89" s="153"/>
      <c r="O89" s="153"/>
      <c r="P89" s="153">
        <f>184500+65741905</f>
        <v>65926405</v>
      </c>
      <c r="Q89" s="153"/>
      <c r="R89" s="153">
        <f t="shared" ref="R89" si="60">+L89+M89-N89+O89-P89-Q89</f>
        <v>668089389</v>
      </c>
      <c r="S89" s="153">
        <v>356679955</v>
      </c>
      <c r="T89" s="153">
        <f t="shared" ref="T89" si="61">+R89-S89</f>
        <v>311409434</v>
      </c>
      <c r="U89" s="154">
        <f t="shared" si="58"/>
        <v>0.53388058674884897</v>
      </c>
      <c r="V89" s="153">
        <v>215861723</v>
      </c>
      <c r="W89" s="153">
        <f t="shared" si="11"/>
        <v>140818232</v>
      </c>
      <c r="X89" s="154">
        <f t="shared" si="18"/>
        <v>0.39480276372693834</v>
      </c>
      <c r="Y89" s="153">
        <v>215861723</v>
      </c>
      <c r="Z89" s="148">
        <f t="shared" si="59"/>
        <v>0</v>
      </c>
      <c r="AA89" s="150">
        <f t="shared" si="56"/>
        <v>0.60519723627306166</v>
      </c>
    </row>
    <row r="90" spans="1:27" ht="36" customHeight="1">
      <c r="A90" s="32" t="e">
        <f>+CONCATENATE(#REF!,"=",I90)</f>
        <v>#REF!</v>
      </c>
      <c r="B90" s="123" t="s">
        <v>23</v>
      </c>
      <c r="C90" s="123" t="s">
        <v>65</v>
      </c>
      <c r="D90" s="123"/>
      <c r="E90" s="123"/>
      <c r="F90" s="123"/>
      <c r="G90" s="123"/>
      <c r="H90" s="123"/>
      <c r="I90" s="124"/>
      <c r="J90" s="124"/>
      <c r="K90" s="124" t="s">
        <v>127</v>
      </c>
      <c r="L90" s="125">
        <f>+L91+L98+L104</f>
        <v>25816000000</v>
      </c>
      <c r="M90" s="125">
        <f t="shared" ref="M90:T90" si="62">+M91+M98+M104</f>
        <v>3803514274200</v>
      </c>
      <c r="N90" s="719">
        <f t="shared" si="62"/>
        <v>0</v>
      </c>
      <c r="O90" s="719">
        <f t="shared" si="62"/>
        <v>0</v>
      </c>
      <c r="P90" s="719">
        <f t="shared" si="62"/>
        <v>0</v>
      </c>
      <c r="Q90" s="125">
        <f t="shared" si="62"/>
        <v>22607000000</v>
      </c>
      <c r="R90" s="125">
        <f t="shared" si="62"/>
        <v>3806723274200</v>
      </c>
      <c r="S90" s="125">
        <f t="shared" si="62"/>
        <v>3053750476200</v>
      </c>
      <c r="T90" s="125">
        <f t="shared" si="62"/>
        <v>1238801300</v>
      </c>
      <c r="U90" s="126">
        <f t="shared" si="58"/>
        <v>0.80219922916297592</v>
      </c>
      <c r="V90" s="125">
        <f t="shared" ref="V90:W90" si="63">+V91+V98+V104</f>
        <v>3045186523897</v>
      </c>
      <c r="W90" s="125">
        <f t="shared" si="63"/>
        <v>8563952303</v>
      </c>
      <c r="X90" s="126">
        <f t="shared" si="18"/>
        <v>2.8044047376315885E-3</v>
      </c>
      <c r="Y90" s="125">
        <f t="shared" ref="Y90:Z90" si="64">+Y91+Y98+Y104</f>
        <v>3043244694897</v>
      </c>
      <c r="Z90" s="125">
        <f t="shared" si="64"/>
        <v>1941829000</v>
      </c>
      <c r="AA90" s="720">
        <f t="shared" si="56"/>
        <v>0.99655971193950554</v>
      </c>
    </row>
    <row r="91" spans="1:27" ht="24" customHeight="1">
      <c r="A91" s="32" t="e">
        <f>+CONCATENATE(#REF!,"=",I91)</f>
        <v>#REF!</v>
      </c>
      <c r="B91" s="128" t="s">
        <v>23</v>
      </c>
      <c r="C91" s="128" t="s">
        <v>65</v>
      </c>
      <c r="D91" s="128" t="s">
        <v>65</v>
      </c>
      <c r="E91" s="128"/>
      <c r="F91" s="128"/>
      <c r="G91" s="128"/>
      <c r="H91" s="128"/>
      <c r="I91" s="129"/>
      <c r="J91" s="129"/>
      <c r="K91" s="129" t="s">
        <v>128</v>
      </c>
      <c r="L91" s="130">
        <f>+L92</f>
        <v>22607000000</v>
      </c>
      <c r="M91" s="130">
        <f t="shared" ref="M91:T91" si="65">+M92</f>
        <v>3803514274200</v>
      </c>
      <c r="N91" s="721">
        <f t="shared" si="65"/>
        <v>0</v>
      </c>
      <c r="O91" s="721">
        <f t="shared" si="65"/>
        <v>0</v>
      </c>
      <c r="P91" s="721">
        <f t="shared" si="65"/>
        <v>0</v>
      </c>
      <c r="Q91" s="130">
        <f t="shared" si="65"/>
        <v>22607000000</v>
      </c>
      <c r="R91" s="130">
        <f t="shared" si="65"/>
        <v>3803514274200</v>
      </c>
      <c r="S91" s="130">
        <f t="shared" si="65"/>
        <v>3051780277500</v>
      </c>
      <c r="T91" s="130">
        <f t="shared" si="65"/>
        <v>0</v>
      </c>
      <c r="U91" s="131">
        <f t="shared" si="58"/>
        <v>0.80235804508499875</v>
      </c>
      <c r="V91" s="130">
        <f t="shared" ref="V91:W91" si="66">+V92</f>
        <v>3043313672800</v>
      </c>
      <c r="W91" s="130">
        <f t="shared" si="66"/>
        <v>8466604700</v>
      </c>
      <c r="X91" s="131">
        <f t="shared" si="18"/>
        <v>2.774316605432614E-3</v>
      </c>
      <c r="Y91" s="130">
        <f t="shared" ref="Y91:Z91" si="67">+Y92</f>
        <v>3041371843800</v>
      </c>
      <c r="Z91" s="130">
        <f t="shared" si="67"/>
        <v>1941829000</v>
      </c>
      <c r="AA91" s="722">
        <f t="shared" si="56"/>
        <v>0.99658938955181708</v>
      </c>
    </row>
    <row r="92" spans="1:27" ht="24" customHeight="1">
      <c r="A92" s="32" t="e">
        <f>+CONCATENATE(#REF!,"=",I92)</f>
        <v>#REF!</v>
      </c>
      <c r="B92" s="133" t="s">
        <v>23</v>
      </c>
      <c r="C92" s="133" t="s">
        <v>65</v>
      </c>
      <c r="D92" s="133" t="s">
        <v>65</v>
      </c>
      <c r="E92" s="133" t="s">
        <v>25</v>
      </c>
      <c r="F92" s="133"/>
      <c r="G92" s="133"/>
      <c r="H92" s="133"/>
      <c r="I92" s="133"/>
      <c r="J92" s="134"/>
      <c r="K92" s="134" t="s">
        <v>129</v>
      </c>
      <c r="L92" s="135">
        <f>SUM(L93:L97)</f>
        <v>22607000000</v>
      </c>
      <c r="M92" s="135">
        <f t="shared" ref="M92:T92" si="68">SUM(M93:M97)</f>
        <v>3803514274200</v>
      </c>
      <c r="N92" s="136">
        <f t="shared" si="68"/>
        <v>0</v>
      </c>
      <c r="O92" s="136">
        <f t="shared" si="68"/>
        <v>0</v>
      </c>
      <c r="P92" s="136">
        <f t="shared" si="68"/>
        <v>0</v>
      </c>
      <c r="Q92" s="135">
        <f t="shared" si="68"/>
        <v>22607000000</v>
      </c>
      <c r="R92" s="135">
        <f t="shared" si="68"/>
        <v>3803514274200</v>
      </c>
      <c r="S92" s="135">
        <f t="shared" si="68"/>
        <v>3051780277500</v>
      </c>
      <c r="T92" s="135">
        <f t="shared" si="68"/>
        <v>0</v>
      </c>
      <c r="U92" s="137">
        <f t="shared" si="58"/>
        <v>0.80235804508499875</v>
      </c>
      <c r="V92" s="135">
        <f t="shared" ref="V92:W92" si="69">SUM(V93:V97)</f>
        <v>3043313672800</v>
      </c>
      <c r="W92" s="135">
        <f t="shared" si="69"/>
        <v>8466604700</v>
      </c>
      <c r="X92" s="137">
        <f t="shared" si="18"/>
        <v>2.774316605432614E-3</v>
      </c>
      <c r="Y92" s="135">
        <f t="shared" ref="Y92:Z92" si="70">SUM(Y93:Y97)</f>
        <v>3041371843800</v>
      </c>
      <c r="Z92" s="135">
        <f t="shared" si="70"/>
        <v>1941829000</v>
      </c>
      <c r="AA92" s="723">
        <f t="shared" si="56"/>
        <v>0.99658938955181708</v>
      </c>
    </row>
    <row r="93" spans="1:27" ht="24.95" customHeight="1">
      <c r="A93" s="32" t="e">
        <f>+CONCATENATE(#REF!,"=",I93)</f>
        <v>#REF!</v>
      </c>
      <c r="B93" s="145" t="s">
        <v>23</v>
      </c>
      <c r="C93" s="145" t="s">
        <v>65</v>
      </c>
      <c r="D93" s="145" t="s">
        <v>65</v>
      </c>
      <c r="E93" s="145" t="s">
        <v>25</v>
      </c>
      <c r="F93" s="145" t="s">
        <v>130</v>
      </c>
      <c r="G93" s="145"/>
      <c r="H93" s="145"/>
      <c r="I93" s="145">
        <v>54</v>
      </c>
      <c r="J93" s="145" t="s">
        <v>29</v>
      </c>
      <c r="K93" s="147" t="s">
        <v>131</v>
      </c>
      <c r="L93" s="148"/>
      <c r="M93" s="148"/>
      <c r="N93" s="148"/>
      <c r="O93" s="148"/>
      <c r="P93" s="148"/>
      <c r="Q93" s="148"/>
      <c r="R93" s="148">
        <f>+L93+M93-N93+O93-P93-Q93</f>
        <v>0</v>
      </c>
      <c r="S93" s="148"/>
      <c r="T93" s="148">
        <f t="shared" ref="T93" si="71">+R93-S93</f>
        <v>0</v>
      </c>
      <c r="U93" s="150">
        <f t="shared" si="58"/>
        <v>0</v>
      </c>
      <c r="V93" s="148"/>
      <c r="W93" s="148">
        <f t="shared" ref="W93:W97" si="72">+S93-V93</f>
        <v>0</v>
      </c>
      <c r="X93" s="150">
        <f t="shared" ref="X93:X156" si="73">+IF(S93&gt;0,W93/S93,0)</f>
        <v>0</v>
      </c>
      <c r="Y93" s="148"/>
      <c r="Z93" s="148">
        <f t="shared" ref="Z93:Z97" si="74">+V93-Y93</f>
        <v>0</v>
      </c>
      <c r="AA93" s="150">
        <f t="shared" si="56"/>
        <v>0</v>
      </c>
    </row>
    <row r="94" spans="1:27" ht="24.95" customHeight="1">
      <c r="A94" s="32" t="e">
        <f>+CONCATENATE(#REF!,"=",I94)</f>
        <v>#REF!</v>
      </c>
      <c r="B94" s="145" t="s">
        <v>23</v>
      </c>
      <c r="C94" s="145" t="s">
        <v>65</v>
      </c>
      <c r="D94" s="145" t="s">
        <v>65</v>
      </c>
      <c r="E94" s="145" t="s">
        <v>25</v>
      </c>
      <c r="F94" s="145" t="s">
        <v>130</v>
      </c>
      <c r="G94" s="145"/>
      <c r="H94" s="145"/>
      <c r="I94" s="145">
        <v>54</v>
      </c>
      <c r="J94" s="145" t="s">
        <v>29</v>
      </c>
      <c r="K94" s="147" t="s">
        <v>132</v>
      </c>
      <c r="L94" s="148"/>
      <c r="M94" s="148">
        <v>2985799234200</v>
      </c>
      <c r="N94" s="148"/>
      <c r="O94" s="148"/>
      <c r="P94" s="148"/>
      <c r="Q94" s="148"/>
      <c r="R94" s="148">
        <f>+L94+M94-N94+O94-P94-Q94</f>
        <v>2985799234200</v>
      </c>
      <c r="S94" s="149">
        <v>2370117717500</v>
      </c>
      <c r="T94" s="148"/>
      <c r="U94" s="150">
        <f t="shared" si="58"/>
        <v>0.79379674639612441</v>
      </c>
      <c r="V94" s="148">
        <v>2361651112800</v>
      </c>
      <c r="W94" s="148">
        <f t="shared" si="72"/>
        <v>8466604700</v>
      </c>
      <c r="X94" s="150">
        <f t="shared" si="73"/>
        <v>3.5722296143714644E-3</v>
      </c>
      <c r="Y94" s="148">
        <v>2359709283800</v>
      </c>
      <c r="Z94" s="148">
        <f t="shared" si="74"/>
        <v>1941829000</v>
      </c>
      <c r="AA94" s="150">
        <f t="shared" si="56"/>
        <v>0.99560847394914254</v>
      </c>
    </row>
    <row r="95" spans="1:27" ht="24.95" customHeight="1">
      <c r="A95" s="32" t="e">
        <f>+CONCATENATE(#REF!,"=",I95)</f>
        <v>#REF!</v>
      </c>
      <c r="B95" s="145" t="s">
        <v>23</v>
      </c>
      <c r="C95" s="145" t="s">
        <v>65</v>
      </c>
      <c r="D95" s="145" t="s">
        <v>65</v>
      </c>
      <c r="E95" s="145" t="s">
        <v>25</v>
      </c>
      <c r="F95" s="145" t="s">
        <v>130</v>
      </c>
      <c r="G95" s="145"/>
      <c r="H95" s="145"/>
      <c r="I95" s="145">
        <v>54</v>
      </c>
      <c r="J95" s="145" t="s">
        <v>29</v>
      </c>
      <c r="K95" s="147" t="s">
        <v>133</v>
      </c>
      <c r="L95" s="148"/>
      <c r="M95" s="148">
        <v>817715040000</v>
      </c>
      <c r="N95" s="148"/>
      <c r="O95" s="148"/>
      <c r="P95" s="148"/>
      <c r="Q95" s="148"/>
      <c r="R95" s="148">
        <f>+L95+M95-N95+O95-P95-Q95</f>
        <v>817715040000</v>
      </c>
      <c r="S95" s="149">
        <v>681662560000</v>
      </c>
      <c r="T95" s="148"/>
      <c r="U95" s="150">
        <f t="shared" si="58"/>
        <v>0.83361871392263986</v>
      </c>
      <c r="V95" s="148">
        <v>681662560000</v>
      </c>
      <c r="W95" s="148">
        <f t="shared" si="72"/>
        <v>0</v>
      </c>
      <c r="X95" s="150">
        <f t="shared" si="73"/>
        <v>0</v>
      </c>
      <c r="Y95" s="148">
        <v>681662560000</v>
      </c>
      <c r="Z95" s="148">
        <f t="shared" si="74"/>
        <v>0</v>
      </c>
      <c r="AA95" s="150">
        <f t="shared" si="56"/>
        <v>1</v>
      </c>
    </row>
    <row r="96" spans="1:27" ht="24.95" customHeight="1">
      <c r="A96" s="32" t="e">
        <f>+CONCATENATE(#REF!,"=",I96)</f>
        <v>#REF!</v>
      </c>
      <c r="B96" s="145" t="s">
        <v>23</v>
      </c>
      <c r="C96" s="145" t="s">
        <v>65</v>
      </c>
      <c r="D96" s="145" t="s">
        <v>65</v>
      </c>
      <c r="E96" s="145" t="s">
        <v>25</v>
      </c>
      <c r="F96" s="145" t="s">
        <v>134</v>
      </c>
      <c r="G96" s="145"/>
      <c r="H96" s="145"/>
      <c r="I96" s="145" t="s">
        <v>28</v>
      </c>
      <c r="J96" s="145" t="s">
        <v>29</v>
      </c>
      <c r="K96" s="147" t="s">
        <v>135</v>
      </c>
      <c r="L96" s="148">
        <v>11607000000</v>
      </c>
      <c r="M96" s="148"/>
      <c r="N96" s="148"/>
      <c r="O96" s="148"/>
      <c r="P96" s="148"/>
      <c r="Q96" s="148">
        <v>11607000000</v>
      </c>
      <c r="R96" s="148">
        <f>+L96-Q96+M96-N96+O96-P96</f>
        <v>0</v>
      </c>
      <c r="S96" s="148"/>
      <c r="T96" s="148">
        <f t="shared" ref="T96:T97" si="75">+R96-S96</f>
        <v>0</v>
      </c>
      <c r="U96" s="150">
        <f t="shared" si="58"/>
        <v>0</v>
      </c>
      <c r="V96" s="148"/>
      <c r="W96" s="148">
        <f t="shared" si="72"/>
        <v>0</v>
      </c>
      <c r="X96" s="150">
        <f t="shared" si="73"/>
        <v>0</v>
      </c>
      <c r="Y96" s="148"/>
      <c r="Z96" s="148">
        <f t="shared" si="74"/>
        <v>0</v>
      </c>
      <c r="AA96" s="150">
        <f t="shared" si="56"/>
        <v>0</v>
      </c>
    </row>
    <row r="97" spans="1:29" ht="24.95" customHeight="1">
      <c r="A97" s="32" t="e">
        <f>+CONCATENATE(#REF!,"=",I97)</f>
        <v>#REF!</v>
      </c>
      <c r="B97" s="145" t="s">
        <v>23</v>
      </c>
      <c r="C97" s="145" t="s">
        <v>65</v>
      </c>
      <c r="D97" s="145" t="s">
        <v>65</v>
      </c>
      <c r="E97" s="145" t="s">
        <v>25</v>
      </c>
      <c r="F97" s="145" t="s">
        <v>134</v>
      </c>
      <c r="G97" s="145"/>
      <c r="H97" s="145"/>
      <c r="I97" s="145">
        <v>11</v>
      </c>
      <c r="J97" s="145" t="s">
        <v>29</v>
      </c>
      <c r="K97" s="147" t="s">
        <v>135</v>
      </c>
      <c r="L97" s="148">
        <v>11000000000</v>
      </c>
      <c r="M97" s="148"/>
      <c r="N97" s="148"/>
      <c r="O97" s="148"/>
      <c r="P97" s="148"/>
      <c r="Q97" s="148">
        <v>11000000000</v>
      </c>
      <c r="R97" s="148">
        <f>+L97-Q97+M97-N97+O97-P97</f>
        <v>0</v>
      </c>
      <c r="S97" s="148"/>
      <c r="T97" s="148">
        <f t="shared" si="75"/>
        <v>0</v>
      </c>
      <c r="U97" s="150">
        <f t="shared" si="58"/>
        <v>0</v>
      </c>
      <c r="V97" s="148"/>
      <c r="W97" s="148">
        <f t="shared" si="72"/>
        <v>0</v>
      </c>
      <c r="X97" s="150">
        <f t="shared" si="73"/>
        <v>0</v>
      </c>
      <c r="Y97" s="148"/>
      <c r="Z97" s="148">
        <f t="shared" si="74"/>
        <v>0</v>
      </c>
      <c r="AA97" s="150">
        <f t="shared" si="56"/>
        <v>0</v>
      </c>
    </row>
    <row r="98" spans="1:29" ht="24" customHeight="1">
      <c r="A98" s="32" t="e">
        <f>+CONCATENATE(#REF!,"=",I98)</f>
        <v>#REF!</v>
      </c>
      <c r="B98" s="128" t="s">
        <v>23</v>
      </c>
      <c r="C98" s="128" t="s">
        <v>65</v>
      </c>
      <c r="D98" s="128" t="s">
        <v>136</v>
      </c>
      <c r="E98" s="128"/>
      <c r="F98" s="128"/>
      <c r="G98" s="128"/>
      <c r="H98" s="128"/>
      <c r="I98" s="129"/>
      <c r="J98" s="129"/>
      <c r="K98" s="129" t="s">
        <v>137</v>
      </c>
      <c r="L98" s="130">
        <f>+L99</f>
        <v>534000000</v>
      </c>
      <c r="M98" s="721">
        <f t="shared" ref="M98:Z99" si="76">+M99</f>
        <v>0</v>
      </c>
      <c r="N98" s="721">
        <f t="shared" si="76"/>
        <v>0</v>
      </c>
      <c r="O98" s="721">
        <f t="shared" si="76"/>
        <v>0</v>
      </c>
      <c r="P98" s="721">
        <f t="shared" si="76"/>
        <v>0</v>
      </c>
      <c r="Q98" s="721">
        <f t="shared" si="76"/>
        <v>0</v>
      </c>
      <c r="R98" s="130">
        <f t="shared" si="76"/>
        <v>534000000</v>
      </c>
      <c r="S98" s="130">
        <f t="shared" si="76"/>
        <v>228136683</v>
      </c>
      <c r="T98" s="130">
        <f t="shared" si="76"/>
        <v>305863317</v>
      </c>
      <c r="U98" s="131">
        <f t="shared" si="58"/>
        <v>0.42722225280898879</v>
      </c>
      <c r="V98" s="130">
        <f t="shared" si="76"/>
        <v>130789080</v>
      </c>
      <c r="W98" s="130">
        <f t="shared" si="76"/>
        <v>97347603</v>
      </c>
      <c r="X98" s="131">
        <f t="shared" si="73"/>
        <v>0.42670736560152406</v>
      </c>
      <c r="Y98" s="130">
        <f t="shared" si="76"/>
        <v>130789080</v>
      </c>
      <c r="Z98" s="721">
        <f t="shared" si="76"/>
        <v>0</v>
      </c>
      <c r="AA98" s="722">
        <f t="shared" si="56"/>
        <v>0.57329263439847589</v>
      </c>
    </row>
    <row r="99" spans="1:29" ht="24" customHeight="1">
      <c r="A99" s="32" t="e">
        <f>+CONCATENATE(#REF!,"=",I99)</f>
        <v>#REF!</v>
      </c>
      <c r="B99" s="133" t="s">
        <v>23</v>
      </c>
      <c r="C99" s="133" t="s">
        <v>65</v>
      </c>
      <c r="D99" s="133" t="s">
        <v>136</v>
      </c>
      <c r="E99" s="133" t="s">
        <v>54</v>
      </c>
      <c r="F99" s="133"/>
      <c r="G99" s="133"/>
      <c r="H99" s="133"/>
      <c r="I99" s="133" t="s">
        <v>28</v>
      </c>
      <c r="J99" s="134" t="s">
        <v>29</v>
      </c>
      <c r="K99" s="134" t="s">
        <v>138</v>
      </c>
      <c r="L99" s="135">
        <f>+L100</f>
        <v>534000000</v>
      </c>
      <c r="M99" s="136">
        <f t="shared" si="76"/>
        <v>0</v>
      </c>
      <c r="N99" s="136">
        <f t="shared" si="76"/>
        <v>0</v>
      </c>
      <c r="O99" s="136">
        <f t="shared" si="76"/>
        <v>0</v>
      </c>
      <c r="P99" s="136">
        <f t="shared" si="76"/>
        <v>0</v>
      </c>
      <c r="Q99" s="136">
        <f t="shared" si="76"/>
        <v>0</v>
      </c>
      <c r="R99" s="135">
        <f t="shared" si="76"/>
        <v>534000000</v>
      </c>
      <c r="S99" s="135">
        <f t="shared" si="76"/>
        <v>228136683</v>
      </c>
      <c r="T99" s="135">
        <f t="shared" si="76"/>
        <v>305863317</v>
      </c>
      <c r="U99" s="137">
        <f t="shared" si="58"/>
        <v>0.42722225280898879</v>
      </c>
      <c r="V99" s="135">
        <f t="shared" si="76"/>
        <v>130789080</v>
      </c>
      <c r="W99" s="135">
        <f t="shared" si="76"/>
        <v>97347603</v>
      </c>
      <c r="X99" s="137">
        <f t="shared" si="73"/>
        <v>0.42670736560152406</v>
      </c>
      <c r="Y99" s="135">
        <f t="shared" si="76"/>
        <v>130789080</v>
      </c>
      <c r="Z99" s="136">
        <f t="shared" si="76"/>
        <v>0</v>
      </c>
      <c r="AA99" s="723">
        <f t="shared" si="56"/>
        <v>0.57329263439847589</v>
      </c>
    </row>
    <row r="100" spans="1:29" ht="24.95" customHeight="1">
      <c r="A100" s="32" t="e">
        <f>+CONCATENATE(#REF!,"=",I100)</f>
        <v>#REF!</v>
      </c>
      <c r="B100" s="139" t="s">
        <v>23</v>
      </c>
      <c r="C100" s="139" t="s">
        <v>65</v>
      </c>
      <c r="D100" s="139" t="s">
        <v>136</v>
      </c>
      <c r="E100" s="139" t="s">
        <v>54</v>
      </c>
      <c r="F100" s="139" t="s">
        <v>52</v>
      </c>
      <c r="G100" s="139"/>
      <c r="H100" s="139"/>
      <c r="I100" s="139" t="s">
        <v>28</v>
      </c>
      <c r="J100" s="140" t="s">
        <v>29</v>
      </c>
      <c r="K100" s="140" t="s">
        <v>139</v>
      </c>
      <c r="L100" s="141">
        <f>SUM(L101:L103)</f>
        <v>534000000</v>
      </c>
      <c r="M100" s="142">
        <f t="shared" ref="M100:T100" si="77">SUM(M101:M103)</f>
        <v>0</v>
      </c>
      <c r="N100" s="142">
        <f t="shared" si="77"/>
        <v>0</v>
      </c>
      <c r="O100" s="142">
        <f t="shared" si="77"/>
        <v>0</v>
      </c>
      <c r="P100" s="142">
        <f t="shared" si="77"/>
        <v>0</v>
      </c>
      <c r="Q100" s="142">
        <f t="shared" si="77"/>
        <v>0</v>
      </c>
      <c r="R100" s="141">
        <f t="shared" si="77"/>
        <v>534000000</v>
      </c>
      <c r="S100" s="141">
        <f t="shared" si="77"/>
        <v>228136683</v>
      </c>
      <c r="T100" s="141">
        <f t="shared" si="77"/>
        <v>305863317</v>
      </c>
      <c r="U100" s="143">
        <f t="shared" si="58"/>
        <v>0.42722225280898879</v>
      </c>
      <c r="V100" s="141">
        <f t="shared" ref="V100:W100" si="78">SUM(V101:V103)</f>
        <v>130789080</v>
      </c>
      <c r="W100" s="141">
        <f t="shared" si="78"/>
        <v>97347603</v>
      </c>
      <c r="X100" s="143">
        <f t="shared" si="73"/>
        <v>0.42670736560152406</v>
      </c>
      <c r="Y100" s="141">
        <f>SUM(Y101:Y103)</f>
        <v>130789080</v>
      </c>
      <c r="Z100" s="142">
        <f>SUM(Z101:Z103)</f>
        <v>0</v>
      </c>
      <c r="AA100" s="724">
        <f t="shared" si="56"/>
        <v>0.57329263439847589</v>
      </c>
    </row>
    <row r="101" spans="1:29" ht="24.95" customHeight="1">
      <c r="A101" s="32" t="e">
        <f>+CONCATENATE(#REF!,"=",I101)</f>
        <v>#REF!</v>
      </c>
      <c r="B101" s="145" t="s">
        <v>23</v>
      </c>
      <c r="C101" s="145" t="s">
        <v>65</v>
      </c>
      <c r="D101" s="145" t="s">
        <v>136</v>
      </c>
      <c r="E101" s="145" t="s">
        <v>54</v>
      </c>
      <c r="F101" s="145" t="s">
        <v>52</v>
      </c>
      <c r="G101" s="145" t="s">
        <v>31</v>
      </c>
      <c r="H101" s="145"/>
      <c r="I101" s="145" t="s">
        <v>28</v>
      </c>
      <c r="J101" s="145" t="s">
        <v>29</v>
      </c>
      <c r="K101" s="147" t="s">
        <v>140</v>
      </c>
      <c r="L101" s="148">
        <v>367000000</v>
      </c>
      <c r="M101" s="148"/>
      <c r="N101" s="148"/>
      <c r="O101" s="148"/>
      <c r="P101" s="148"/>
      <c r="Q101" s="148"/>
      <c r="R101" s="148">
        <f>+L101-Q101+M101-N101+O101-P101</f>
        <v>367000000</v>
      </c>
      <c r="S101" s="148">
        <v>84748551</v>
      </c>
      <c r="T101" s="148">
        <f t="shared" si="9"/>
        <v>282251449</v>
      </c>
      <c r="U101" s="150">
        <f t="shared" si="58"/>
        <v>0.23092248228882833</v>
      </c>
      <c r="V101" s="148">
        <v>59941585</v>
      </c>
      <c r="W101" s="148">
        <f t="shared" si="11"/>
        <v>24806966</v>
      </c>
      <c r="X101" s="150">
        <f t="shared" si="73"/>
        <v>0.29271256802962919</v>
      </c>
      <c r="Y101" s="148">
        <v>59941585</v>
      </c>
      <c r="Z101" s="148">
        <f t="shared" si="10"/>
        <v>0</v>
      </c>
      <c r="AA101" s="150">
        <f t="shared" si="56"/>
        <v>0.70728743197037081</v>
      </c>
    </row>
    <row r="102" spans="1:29" ht="24.95" customHeight="1">
      <c r="A102" s="32" t="e">
        <f>+CONCATENATE(#REF!,"=",I102)</f>
        <v>#REF!</v>
      </c>
      <c r="B102" s="145" t="s">
        <v>23</v>
      </c>
      <c r="C102" s="145" t="s">
        <v>65</v>
      </c>
      <c r="D102" s="145" t="s">
        <v>136</v>
      </c>
      <c r="E102" s="145" t="s">
        <v>54</v>
      </c>
      <c r="F102" s="145" t="s">
        <v>52</v>
      </c>
      <c r="G102" s="145" t="s">
        <v>34</v>
      </c>
      <c r="H102" s="145"/>
      <c r="I102" s="145" t="s">
        <v>28</v>
      </c>
      <c r="J102" s="145" t="s">
        <v>29</v>
      </c>
      <c r="K102" s="147" t="s">
        <v>141</v>
      </c>
      <c r="L102" s="148">
        <v>167000000</v>
      </c>
      <c r="M102" s="148"/>
      <c r="N102" s="148"/>
      <c r="O102" s="148"/>
      <c r="P102" s="148"/>
      <c r="Q102" s="148"/>
      <c r="R102" s="148">
        <f>+L102-Q102+M102-N102+O102-P102</f>
        <v>167000000</v>
      </c>
      <c r="S102" s="148">
        <v>143388132</v>
      </c>
      <c r="T102" s="148">
        <f t="shared" si="9"/>
        <v>23611868</v>
      </c>
      <c r="U102" s="150">
        <f t="shared" si="58"/>
        <v>0.85861156886227541</v>
      </c>
      <c r="V102" s="148">
        <v>70847495</v>
      </c>
      <c r="W102" s="148">
        <f t="shared" si="11"/>
        <v>72540637</v>
      </c>
      <c r="X102" s="150">
        <f t="shared" si="73"/>
        <v>0.50590405208710021</v>
      </c>
      <c r="Y102" s="148">
        <v>70847495</v>
      </c>
      <c r="Z102" s="148">
        <f t="shared" si="10"/>
        <v>0</v>
      </c>
      <c r="AA102" s="150">
        <f t="shared" si="56"/>
        <v>0.49409594791289979</v>
      </c>
    </row>
    <row r="103" spans="1:29" ht="24.95" hidden="1" customHeight="1">
      <c r="A103" s="32" t="e">
        <f>+CONCATENATE(#REF!,"=",I103)</f>
        <v>#REF!</v>
      </c>
      <c r="B103" s="145" t="s">
        <v>23</v>
      </c>
      <c r="C103" s="145" t="s">
        <v>65</v>
      </c>
      <c r="D103" s="145" t="s">
        <v>136</v>
      </c>
      <c r="E103" s="145" t="s">
        <v>54</v>
      </c>
      <c r="F103" s="145" t="s">
        <v>142</v>
      </c>
      <c r="G103" s="145"/>
      <c r="H103" s="145"/>
      <c r="I103" s="145" t="s">
        <v>28</v>
      </c>
      <c r="J103" s="145" t="s">
        <v>29</v>
      </c>
      <c r="K103" s="147" t="s">
        <v>260</v>
      </c>
      <c r="L103" s="148">
        <v>0</v>
      </c>
      <c r="M103" s="148"/>
      <c r="N103" s="148"/>
      <c r="O103" s="148"/>
      <c r="P103" s="148"/>
      <c r="Q103" s="148"/>
      <c r="R103" s="148">
        <f t="shared" ref="R103" si="79">+L103+M103-N103+O103-P103-Q103</f>
        <v>0</v>
      </c>
      <c r="S103" s="148">
        <v>0</v>
      </c>
      <c r="T103" s="148">
        <f t="shared" si="9"/>
        <v>0</v>
      </c>
      <c r="U103" s="150">
        <f t="shared" si="58"/>
        <v>0</v>
      </c>
      <c r="V103" s="148">
        <v>0</v>
      </c>
      <c r="W103" s="148">
        <f t="shared" si="11"/>
        <v>0</v>
      </c>
      <c r="X103" s="150">
        <f t="shared" si="73"/>
        <v>0</v>
      </c>
      <c r="Y103" s="148">
        <v>0</v>
      </c>
      <c r="Z103" s="148">
        <f t="shared" si="10"/>
        <v>0</v>
      </c>
      <c r="AA103" s="150">
        <f t="shared" si="56"/>
        <v>0</v>
      </c>
    </row>
    <row r="104" spans="1:29" ht="24" customHeight="1">
      <c r="A104" s="32" t="e">
        <f>+CONCATENATE(#REF!,"=",I104)</f>
        <v>#REF!</v>
      </c>
      <c r="B104" s="128" t="s">
        <v>23</v>
      </c>
      <c r="C104" s="128" t="s">
        <v>65</v>
      </c>
      <c r="D104" s="128" t="s">
        <v>28</v>
      </c>
      <c r="E104" s="128"/>
      <c r="F104" s="128"/>
      <c r="G104" s="128"/>
      <c r="H104" s="128"/>
      <c r="I104" s="129"/>
      <c r="J104" s="129"/>
      <c r="K104" s="129" t="s">
        <v>143</v>
      </c>
      <c r="L104" s="130">
        <f>+L105</f>
        <v>2675000000</v>
      </c>
      <c r="M104" s="721">
        <f t="shared" ref="M104:T104" si="80">+M105</f>
        <v>0</v>
      </c>
      <c r="N104" s="721">
        <f t="shared" si="80"/>
        <v>0</v>
      </c>
      <c r="O104" s="721">
        <f t="shared" si="80"/>
        <v>0</v>
      </c>
      <c r="P104" s="721">
        <f t="shared" si="80"/>
        <v>0</v>
      </c>
      <c r="Q104" s="721">
        <f t="shared" si="80"/>
        <v>0</v>
      </c>
      <c r="R104" s="130">
        <f t="shared" si="80"/>
        <v>2675000000</v>
      </c>
      <c r="S104" s="130">
        <f t="shared" si="80"/>
        <v>1742062017</v>
      </c>
      <c r="T104" s="130">
        <f t="shared" si="80"/>
        <v>932937983</v>
      </c>
      <c r="U104" s="131">
        <f t="shared" si="58"/>
        <v>0.65123813719626167</v>
      </c>
      <c r="V104" s="130">
        <f t="shared" ref="V104:Z104" si="81">+V105</f>
        <v>1742062017</v>
      </c>
      <c r="W104" s="130">
        <f t="shared" si="81"/>
        <v>0</v>
      </c>
      <c r="X104" s="131">
        <f t="shared" si="73"/>
        <v>0</v>
      </c>
      <c r="Y104" s="130">
        <f t="shared" si="81"/>
        <v>1742062017</v>
      </c>
      <c r="Z104" s="130">
        <f t="shared" si="81"/>
        <v>0</v>
      </c>
      <c r="AA104" s="722">
        <f t="shared" si="56"/>
        <v>1</v>
      </c>
    </row>
    <row r="105" spans="1:29" ht="24" customHeight="1">
      <c r="A105" s="32" t="e">
        <f>+CONCATENATE(#REF!,"=",I105)</f>
        <v>#REF!</v>
      </c>
      <c r="B105" s="133" t="s">
        <v>23</v>
      </c>
      <c r="C105" s="133" t="s">
        <v>65</v>
      </c>
      <c r="D105" s="133" t="s">
        <v>28</v>
      </c>
      <c r="E105" s="133" t="s">
        <v>25</v>
      </c>
      <c r="F105" s="133"/>
      <c r="G105" s="133"/>
      <c r="H105" s="133"/>
      <c r="I105" s="133" t="s">
        <v>144</v>
      </c>
      <c r="J105" s="134" t="s">
        <v>29</v>
      </c>
      <c r="K105" s="134" t="s">
        <v>145</v>
      </c>
      <c r="L105" s="135">
        <f t="shared" ref="L105:T105" si="82">SUM(L106:L106)</f>
        <v>2675000000</v>
      </c>
      <c r="M105" s="136">
        <f t="shared" si="82"/>
        <v>0</v>
      </c>
      <c r="N105" s="136">
        <f t="shared" si="82"/>
        <v>0</v>
      </c>
      <c r="O105" s="136">
        <f t="shared" si="82"/>
        <v>0</v>
      </c>
      <c r="P105" s="136">
        <f t="shared" si="82"/>
        <v>0</v>
      </c>
      <c r="Q105" s="136">
        <f t="shared" si="82"/>
        <v>0</v>
      </c>
      <c r="R105" s="135">
        <f t="shared" si="82"/>
        <v>2675000000</v>
      </c>
      <c r="S105" s="135">
        <f t="shared" si="82"/>
        <v>1742062017</v>
      </c>
      <c r="T105" s="135">
        <f t="shared" si="82"/>
        <v>932937983</v>
      </c>
      <c r="U105" s="137">
        <f t="shared" si="58"/>
        <v>0.65123813719626167</v>
      </c>
      <c r="V105" s="135">
        <f t="shared" ref="V105:W105" si="83">SUM(V106:V106)</f>
        <v>1742062017</v>
      </c>
      <c r="W105" s="136">
        <f t="shared" si="83"/>
        <v>0</v>
      </c>
      <c r="X105" s="137">
        <f t="shared" si="73"/>
        <v>0</v>
      </c>
      <c r="Y105" s="135">
        <f t="shared" ref="Y105:Z105" si="84">SUM(Y106:Y106)</f>
        <v>1742062017</v>
      </c>
      <c r="Z105" s="135">
        <f t="shared" si="84"/>
        <v>0</v>
      </c>
      <c r="AA105" s="723">
        <f t="shared" si="56"/>
        <v>1</v>
      </c>
    </row>
    <row r="106" spans="1:29" ht="24.95" customHeight="1">
      <c r="A106" s="32" t="e">
        <f>+CONCATENATE(#REF!,"=",I106)</f>
        <v>#REF!</v>
      </c>
      <c r="B106" s="145" t="s">
        <v>23</v>
      </c>
      <c r="C106" s="145" t="s">
        <v>65</v>
      </c>
      <c r="D106" s="145" t="s">
        <v>28</v>
      </c>
      <c r="E106" s="145" t="s">
        <v>25</v>
      </c>
      <c r="F106" s="145" t="s">
        <v>31</v>
      </c>
      <c r="G106" s="145"/>
      <c r="H106" s="145"/>
      <c r="I106" s="145">
        <v>10</v>
      </c>
      <c r="J106" s="145" t="s">
        <v>29</v>
      </c>
      <c r="K106" s="147" t="s">
        <v>146</v>
      </c>
      <c r="L106" s="148">
        <v>2675000000</v>
      </c>
      <c r="M106" s="148"/>
      <c r="N106" s="148"/>
      <c r="O106" s="148"/>
      <c r="P106" s="148"/>
      <c r="Q106" s="148"/>
      <c r="R106" s="148">
        <f>+L106-Q106+M106-N106+O106-P106</f>
        <v>2675000000</v>
      </c>
      <c r="S106" s="149">
        <v>1742062017</v>
      </c>
      <c r="T106" s="148">
        <f t="shared" si="9"/>
        <v>932937983</v>
      </c>
      <c r="U106" s="150">
        <f t="shared" si="58"/>
        <v>0.65123813719626167</v>
      </c>
      <c r="V106" s="148">
        <v>1742062017</v>
      </c>
      <c r="W106" s="148">
        <f t="shared" si="11"/>
        <v>0</v>
      </c>
      <c r="X106" s="150">
        <f t="shared" si="73"/>
        <v>0</v>
      </c>
      <c r="Y106" s="148">
        <v>1742062017</v>
      </c>
      <c r="Z106" s="148">
        <f t="shared" si="10"/>
        <v>0</v>
      </c>
      <c r="AA106" s="150">
        <f t="shared" si="56"/>
        <v>1</v>
      </c>
    </row>
    <row r="107" spans="1:29" ht="24" customHeight="1">
      <c r="A107" s="32" t="e">
        <f>+CONCATENATE(#REF!,"=",I107)</f>
        <v>#REF!</v>
      </c>
      <c r="B107" s="123" t="s">
        <v>23</v>
      </c>
      <c r="C107" s="123" t="s">
        <v>148</v>
      </c>
      <c r="D107" s="123"/>
      <c r="E107" s="123"/>
      <c r="F107" s="123"/>
      <c r="G107" s="123"/>
      <c r="H107" s="123"/>
      <c r="I107" s="124"/>
      <c r="J107" s="124"/>
      <c r="K107" s="124" t="s">
        <v>149</v>
      </c>
      <c r="L107" s="125">
        <f>+L108+L113</f>
        <v>6047000000</v>
      </c>
      <c r="M107" s="719">
        <f t="shared" ref="M107:T107" si="85">+M108+M113</f>
        <v>0</v>
      </c>
      <c r="N107" s="719">
        <f t="shared" si="85"/>
        <v>0</v>
      </c>
      <c r="O107" s="719">
        <f t="shared" si="85"/>
        <v>0</v>
      </c>
      <c r="P107" s="719">
        <f t="shared" si="85"/>
        <v>0</v>
      </c>
      <c r="Q107" s="719">
        <f t="shared" si="85"/>
        <v>0</v>
      </c>
      <c r="R107" s="125">
        <f t="shared" si="85"/>
        <v>6047000000</v>
      </c>
      <c r="S107" s="125">
        <f t="shared" si="85"/>
        <v>70697760</v>
      </c>
      <c r="T107" s="125">
        <f t="shared" si="85"/>
        <v>5976302240</v>
      </c>
      <c r="U107" s="126">
        <f t="shared" si="58"/>
        <v>1.1691377542583099E-2</v>
      </c>
      <c r="V107" s="125">
        <f t="shared" ref="V107:Z107" si="86">+V108+V113</f>
        <v>70697760</v>
      </c>
      <c r="W107" s="125">
        <f t="shared" si="86"/>
        <v>0</v>
      </c>
      <c r="X107" s="126">
        <f t="shared" si="73"/>
        <v>0</v>
      </c>
      <c r="Y107" s="125">
        <f t="shared" si="86"/>
        <v>70593342</v>
      </c>
      <c r="Z107" s="125">
        <f t="shared" si="86"/>
        <v>104418</v>
      </c>
      <c r="AA107" s="720">
        <f t="shared" si="56"/>
        <v>0.99852303665632403</v>
      </c>
    </row>
    <row r="108" spans="1:29" ht="24" customHeight="1">
      <c r="A108" s="32" t="e">
        <f>+CONCATENATE(#REF!,"=",I108)</f>
        <v>#REF!</v>
      </c>
      <c r="B108" s="128" t="s">
        <v>23</v>
      </c>
      <c r="C108" s="128" t="s">
        <v>148</v>
      </c>
      <c r="D108" s="128" t="s">
        <v>25</v>
      </c>
      <c r="E108" s="128"/>
      <c r="F108" s="128"/>
      <c r="G108" s="128"/>
      <c r="H108" s="128"/>
      <c r="I108" s="129"/>
      <c r="J108" s="129"/>
      <c r="K108" s="129" t="s">
        <v>150</v>
      </c>
      <c r="L108" s="130">
        <f>+L109</f>
        <v>134000000</v>
      </c>
      <c r="M108" s="721">
        <f t="shared" ref="M108:Z108" si="87">+M109</f>
        <v>0</v>
      </c>
      <c r="N108" s="721">
        <f t="shared" si="87"/>
        <v>0</v>
      </c>
      <c r="O108" s="721">
        <f t="shared" si="87"/>
        <v>0</v>
      </c>
      <c r="P108" s="721">
        <f t="shared" si="87"/>
        <v>0</v>
      </c>
      <c r="Q108" s="721">
        <f t="shared" si="87"/>
        <v>0</v>
      </c>
      <c r="R108" s="130">
        <f t="shared" si="87"/>
        <v>134000000</v>
      </c>
      <c r="S108" s="130">
        <f t="shared" si="87"/>
        <v>70697760</v>
      </c>
      <c r="T108" s="130">
        <f t="shared" si="87"/>
        <v>63302240</v>
      </c>
      <c r="U108" s="131">
        <f t="shared" si="58"/>
        <v>0.52759522388059699</v>
      </c>
      <c r="V108" s="130">
        <f t="shared" si="87"/>
        <v>70697760</v>
      </c>
      <c r="W108" s="130">
        <f t="shared" si="87"/>
        <v>0</v>
      </c>
      <c r="X108" s="131">
        <f t="shared" si="73"/>
        <v>0</v>
      </c>
      <c r="Y108" s="130">
        <f t="shared" si="87"/>
        <v>70593342</v>
      </c>
      <c r="Z108" s="130">
        <f t="shared" si="87"/>
        <v>104418</v>
      </c>
      <c r="AA108" s="722">
        <f t="shared" si="56"/>
        <v>0.99852303665632403</v>
      </c>
    </row>
    <row r="109" spans="1:29" ht="24" customHeight="1">
      <c r="A109" s="32" t="e">
        <f>+CONCATENATE(#REF!,"=",I109)</f>
        <v>#REF!</v>
      </c>
      <c r="B109" s="133" t="s">
        <v>23</v>
      </c>
      <c r="C109" s="133" t="s">
        <v>148</v>
      </c>
      <c r="D109" s="133" t="s">
        <v>25</v>
      </c>
      <c r="E109" s="133" t="s">
        <v>54</v>
      </c>
      <c r="F109" s="133"/>
      <c r="G109" s="133"/>
      <c r="H109" s="133"/>
      <c r="I109" s="133" t="s">
        <v>28</v>
      </c>
      <c r="J109" s="134" t="s">
        <v>29</v>
      </c>
      <c r="K109" s="134" t="s">
        <v>151</v>
      </c>
      <c r="L109" s="135">
        <f>SUM(L110:L112)</f>
        <v>134000000</v>
      </c>
      <c r="M109" s="136">
        <f t="shared" ref="M109:T109" si="88">SUM(M110:M112)</f>
        <v>0</v>
      </c>
      <c r="N109" s="136">
        <f t="shared" si="88"/>
        <v>0</v>
      </c>
      <c r="O109" s="136">
        <f t="shared" si="88"/>
        <v>0</v>
      </c>
      <c r="P109" s="136">
        <f t="shared" si="88"/>
        <v>0</v>
      </c>
      <c r="Q109" s="136">
        <f t="shared" si="88"/>
        <v>0</v>
      </c>
      <c r="R109" s="135">
        <f t="shared" si="88"/>
        <v>134000000</v>
      </c>
      <c r="S109" s="135">
        <f t="shared" si="88"/>
        <v>70697760</v>
      </c>
      <c r="T109" s="135">
        <f t="shared" si="88"/>
        <v>63302240</v>
      </c>
      <c r="U109" s="137">
        <f t="shared" si="58"/>
        <v>0.52759522388059699</v>
      </c>
      <c r="V109" s="135">
        <f t="shared" ref="V109:Z109" si="89">SUM(V110:V112)</f>
        <v>70697760</v>
      </c>
      <c r="W109" s="136">
        <f t="shared" si="89"/>
        <v>0</v>
      </c>
      <c r="X109" s="137">
        <f t="shared" si="73"/>
        <v>0</v>
      </c>
      <c r="Y109" s="135">
        <f t="shared" si="89"/>
        <v>70593342</v>
      </c>
      <c r="Z109" s="135">
        <f t="shared" si="89"/>
        <v>104418</v>
      </c>
      <c r="AA109" s="723">
        <f t="shared" si="56"/>
        <v>0.99852303665632403</v>
      </c>
    </row>
    <row r="110" spans="1:29" ht="24.95" customHeight="1">
      <c r="A110" s="32" t="e">
        <f>+CONCATENATE(#REF!,"=",I110)</f>
        <v>#REF!</v>
      </c>
      <c r="B110" s="145" t="s">
        <v>23</v>
      </c>
      <c r="C110" s="145" t="s">
        <v>148</v>
      </c>
      <c r="D110" s="145" t="s">
        <v>25</v>
      </c>
      <c r="E110" s="145" t="s">
        <v>54</v>
      </c>
      <c r="F110" s="145" t="s">
        <v>31</v>
      </c>
      <c r="G110" s="145"/>
      <c r="H110" s="145"/>
      <c r="I110" s="145" t="s">
        <v>28</v>
      </c>
      <c r="J110" s="145" t="s">
        <v>29</v>
      </c>
      <c r="K110" s="147" t="s">
        <v>152</v>
      </c>
      <c r="L110" s="148">
        <v>60000000</v>
      </c>
      <c r="M110" s="148"/>
      <c r="N110" s="148"/>
      <c r="O110" s="148"/>
      <c r="P110" s="148"/>
      <c r="Q110" s="148"/>
      <c r="R110" s="148">
        <f>+L110-Q110+M110-N110+O110-P110</f>
        <v>60000000</v>
      </c>
      <c r="S110" s="148">
        <v>50544836</v>
      </c>
      <c r="T110" s="148">
        <f t="shared" si="9"/>
        <v>9455164</v>
      </c>
      <c r="U110" s="150">
        <f t="shared" si="58"/>
        <v>0.84241393333333336</v>
      </c>
      <c r="V110" s="148">
        <v>50544836</v>
      </c>
      <c r="W110" s="148">
        <f t="shared" si="11"/>
        <v>0</v>
      </c>
      <c r="X110" s="150">
        <f t="shared" si="73"/>
        <v>0</v>
      </c>
      <c r="Y110" s="148">
        <v>50544836</v>
      </c>
      <c r="Z110" s="148">
        <f t="shared" si="10"/>
        <v>0</v>
      </c>
      <c r="AA110" s="150">
        <f t="shared" si="56"/>
        <v>1</v>
      </c>
    </row>
    <row r="111" spans="1:29" ht="24.95" customHeight="1">
      <c r="A111" s="32" t="e">
        <f>+CONCATENATE(#REF!,"=",I111)</f>
        <v>#REF!</v>
      </c>
      <c r="B111" s="145" t="s">
        <v>23</v>
      </c>
      <c r="C111" s="145" t="s">
        <v>148</v>
      </c>
      <c r="D111" s="145" t="s">
        <v>25</v>
      </c>
      <c r="E111" s="145" t="s">
        <v>54</v>
      </c>
      <c r="F111" s="145" t="s">
        <v>38</v>
      </c>
      <c r="G111" s="145"/>
      <c r="H111" s="145"/>
      <c r="I111" s="145" t="s">
        <v>28</v>
      </c>
      <c r="J111" s="145" t="s">
        <v>29</v>
      </c>
      <c r="K111" s="147" t="s">
        <v>153</v>
      </c>
      <c r="L111" s="148">
        <v>59000000</v>
      </c>
      <c r="M111" s="148"/>
      <c r="N111" s="148"/>
      <c r="O111" s="148"/>
      <c r="P111" s="148"/>
      <c r="Q111" s="148"/>
      <c r="R111" s="148">
        <f>+L111-Q111+M111-N111+O111-P111</f>
        <v>59000000</v>
      </c>
      <c r="S111" s="148">
        <v>14015574</v>
      </c>
      <c r="T111" s="148">
        <f t="shared" si="9"/>
        <v>44984426</v>
      </c>
      <c r="U111" s="150">
        <f t="shared" si="58"/>
        <v>0.23755210169491525</v>
      </c>
      <c r="V111" s="148">
        <v>14015574</v>
      </c>
      <c r="W111" s="148">
        <f t="shared" si="11"/>
        <v>0</v>
      </c>
      <c r="X111" s="150">
        <f t="shared" si="73"/>
        <v>0</v>
      </c>
      <c r="Y111" s="148">
        <v>13911156</v>
      </c>
      <c r="Z111" s="148">
        <f t="shared" si="10"/>
        <v>104418</v>
      </c>
      <c r="AA111" s="150">
        <f t="shared" si="56"/>
        <v>0.99254985917808292</v>
      </c>
    </row>
    <row r="112" spans="1:29" ht="24.95" customHeight="1">
      <c r="A112" s="32" t="e">
        <f>+CONCATENATE(#REF!,"=",I112)</f>
        <v>#REF!</v>
      </c>
      <c r="B112" s="145" t="s">
        <v>23</v>
      </c>
      <c r="C112" s="145" t="s">
        <v>148</v>
      </c>
      <c r="D112" s="145" t="s">
        <v>25</v>
      </c>
      <c r="E112" s="145" t="s">
        <v>54</v>
      </c>
      <c r="F112" s="145" t="s">
        <v>42</v>
      </c>
      <c r="G112" s="145"/>
      <c r="H112" s="145"/>
      <c r="I112" s="145" t="s">
        <v>28</v>
      </c>
      <c r="J112" s="145" t="s">
        <v>29</v>
      </c>
      <c r="K112" s="147" t="s">
        <v>154</v>
      </c>
      <c r="L112" s="148">
        <v>15000000</v>
      </c>
      <c r="M112" s="148"/>
      <c r="N112" s="148"/>
      <c r="O112" s="148"/>
      <c r="P112" s="148"/>
      <c r="Q112" s="148"/>
      <c r="R112" s="148">
        <f>+L112-Q112+M112-N112+O112-P112</f>
        <v>15000000</v>
      </c>
      <c r="S112" s="148">
        <v>6137350</v>
      </c>
      <c r="T112" s="148">
        <f t="shared" si="9"/>
        <v>8862650</v>
      </c>
      <c r="U112" s="150">
        <f t="shared" si="58"/>
        <v>0.40915666666666667</v>
      </c>
      <c r="V112" s="148">
        <v>6137350</v>
      </c>
      <c r="W112" s="148">
        <f t="shared" si="11"/>
        <v>0</v>
      </c>
      <c r="X112" s="150">
        <f t="shared" si="73"/>
        <v>0</v>
      </c>
      <c r="Y112" s="148">
        <v>6137350</v>
      </c>
      <c r="Z112" s="148">
        <f t="shared" si="10"/>
        <v>0</v>
      </c>
      <c r="AA112" s="150">
        <f t="shared" si="56"/>
        <v>1</v>
      </c>
    </row>
    <row r="113" spans="1:27" ht="24" customHeight="1">
      <c r="A113" s="32" t="e">
        <f>+CONCATENATE(#REF!,"=",I113)</f>
        <v>#REF!</v>
      </c>
      <c r="B113" s="128" t="s">
        <v>23</v>
      </c>
      <c r="C113" s="128" t="s">
        <v>148</v>
      </c>
      <c r="D113" s="128" t="s">
        <v>136</v>
      </c>
      <c r="E113" s="128"/>
      <c r="F113" s="128"/>
      <c r="G113" s="128"/>
      <c r="H113" s="128"/>
      <c r="I113" s="129"/>
      <c r="J113" s="129"/>
      <c r="K113" s="129" t="s">
        <v>155</v>
      </c>
      <c r="L113" s="130">
        <f t="shared" ref="L113:T113" si="90">SUM(L114:L115)</f>
        <v>5913000000</v>
      </c>
      <c r="M113" s="721">
        <f t="shared" si="90"/>
        <v>0</v>
      </c>
      <c r="N113" s="721">
        <f t="shared" si="90"/>
        <v>0</v>
      </c>
      <c r="O113" s="721">
        <f t="shared" si="90"/>
        <v>0</v>
      </c>
      <c r="P113" s="721">
        <f t="shared" si="90"/>
        <v>0</v>
      </c>
      <c r="Q113" s="721">
        <f t="shared" si="90"/>
        <v>0</v>
      </c>
      <c r="R113" s="130">
        <f t="shared" si="90"/>
        <v>5913000000</v>
      </c>
      <c r="S113" s="130">
        <f t="shared" si="90"/>
        <v>0</v>
      </c>
      <c r="T113" s="130">
        <f t="shared" si="90"/>
        <v>5913000000</v>
      </c>
      <c r="U113" s="131">
        <f t="shared" si="58"/>
        <v>0</v>
      </c>
      <c r="V113" s="130">
        <f>SUM(V114:V115)</f>
        <v>0</v>
      </c>
      <c r="W113" s="130">
        <f>SUM(W114:W115)</f>
        <v>0</v>
      </c>
      <c r="X113" s="131">
        <f t="shared" si="73"/>
        <v>0</v>
      </c>
      <c r="Y113" s="130">
        <f>SUM(Y114:Y115)</f>
        <v>0</v>
      </c>
      <c r="Z113" s="130">
        <f>SUM(Z114:Z115)</f>
        <v>0</v>
      </c>
      <c r="AA113" s="722">
        <f t="shared" si="56"/>
        <v>0</v>
      </c>
    </row>
    <row r="114" spans="1:27" ht="24.95" hidden="1" customHeight="1">
      <c r="A114" s="32"/>
      <c r="B114" s="145" t="s">
        <v>23</v>
      </c>
      <c r="C114" s="145" t="s">
        <v>148</v>
      </c>
      <c r="D114" s="145" t="s">
        <v>136</v>
      </c>
      <c r="E114" s="145" t="s">
        <v>25</v>
      </c>
      <c r="F114" s="145"/>
      <c r="G114" s="145"/>
      <c r="H114" s="145"/>
      <c r="I114" s="145">
        <v>10</v>
      </c>
      <c r="J114" s="145" t="s">
        <v>156</v>
      </c>
      <c r="K114" s="147" t="s">
        <v>157</v>
      </c>
      <c r="L114" s="148">
        <v>0</v>
      </c>
      <c r="M114" s="148"/>
      <c r="N114" s="148"/>
      <c r="O114" s="148"/>
      <c r="P114" s="148"/>
      <c r="Q114" s="148"/>
      <c r="R114" s="148">
        <f>+L114-Q114+M114-N114+O114-P114</f>
        <v>0</v>
      </c>
      <c r="S114" s="148">
        <v>0</v>
      </c>
      <c r="T114" s="148">
        <f t="shared" si="9"/>
        <v>0</v>
      </c>
      <c r="U114" s="150">
        <f t="shared" si="58"/>
        <v>0</v>
      </c>
      <c r="V114" s="148">
        <v>0</v>
      </c>
      <c r="W114" s="148">
        <f t="shared" si="11"/>
        <v>0</v>
      </c>
      <c r="X114" s="150">
        <f t="shared" si="73"/>
        <v>0</v>
      </c>
      <c r="Y114" s="148">
        <v>0</v>
      </c>
      <c r="Z114" s="148">
        <f t="shared" si="10"/>
        <v>0</v>
      </c>
      <c r="AA114" s="150">
        <f t="shared" si="56"/>
        <v>0</v>
      </c>
    </row>
    <row r="115" spans="1:27" ht="24.95" customHeight="1">
      <c r="A115" s="32" t="e">
        <f>+CONCATENATE(#REF!,"=",I115)</f>
        <v>#REF!</v>
      </c>
      <c r="B115" s="145" t="s">
        <v>23</v>
      </c>
      <c r="C115" s="145" t="s">
        <v>148</v>
      </c>
      <c r="D115" s="145" t="s">
        <v>136</v>
      </c>
      <c r="E115" s="145" t="s">
        <v>25</v>
      </c>
      <c r="F115" s="145"/>
      <c r="G115" s="145"/>
      <c r="H115" s="145"/>
      <c r="I115" s="145" t="s">
        <v>144</v>
      </c>
      <c r="J115" s="145" t="s">
        <v>156</v>
      </c>
      <c r="K115" s="147" t="s">
        <v>157</v>
      </c>
      <c r="L115" s="148">
        <v>5913000000</v>
      </c>
      <c r="M115" s="148"/>
      <c r="N115" s="148"/>
      <c r="O115" s="148"/>
      <c r="P115" s="148"/>
      <c r="Q115" s="148"/>
      <c r="R115" s="148">
        <f>+L115-Q115+M115-N115+O115-P115</f>
        <v>5913000000</v>
      </c>
      <c r="S115" s="148">
        <v>0</v>
      </c>
      <c r="T115" s="148">
        <f t="shared" si="9"/>
        <v>5913000000</v>
      </c>
      <c r="U115" s="150">
        <f t="shared" si="58"/>
        <v>0</v>
      </c>
      <c r="V115" s="148">
        <v>0</v>
      </c>
      <c r="W115" s="148">
        <f t="shared" si="11"/>
        <v>0</v>
      </c>
      <c r="X115" s="150">
        <f t="shared" si="73"/>
        <v>0</v>
      </c>
      <c r="Y115" s="148">
        <v>0</v>
      </c>
      <c r="Z115" s="148">
        <f t="shared" si="10"/>
        <v>0</v>
      </c>
      <c r="AA115" s="150">
        <f t="shared" si="56"/>
        <v>0</v>
      </c>
    </row>
    <row r="116" spans="1:27" ht="35.1" customHeight="1">
      <c r="A116" s="32" t="e">
        <f>+CONCATENATE(#REF!,"=",I116)</f>
        <v>#REF!</v>
      </c>
      <c r="B116" s="118" t="s">
        <v>167</v>
      </c>
      <c r="C116" s="119"/>
      <c r="D116" s="119"/>
      <c r="E116" s="119"/>
      <c r="F116" s="119"/>
      <c r="G116" s="119"/>
      <c r="H116" s="119"/>
      <c r="I116" s="119"/>
      <c r="J116" s="119"/>
      <c r="K116" s="119" t="s">
        <v>168</v>
      </c>
      <c r="L116" s="120">
        <f t="shared" ref="L116:T116" si="91">+L117+L146+L237</f>
        <v>6230508633098</v>
      </c>
      <c r="M116" s="717">
        <f t="shared" si="91"/>
        <v>0</v>
      </c>
      <c r="N116" s="717">
        <f t="shared" si="91"/>
        <v>0</v>
      </c>
      <c r="O116" s="120">
        <f t="shared" si="91"/>
        <v>76768723895.320007</v>
      </c>
      <c r="P116" s="120">
        <f t="shared" si="91"/>
        <v>76768723895.320007</v>
      </c>
      <c r="Q116" s="120">
        <f t="shared" si="91"/>
        <v>318792361084</v>
      </c>
      <c r="R116" s="120">
        <f t="shared" si="91"/>
        <v>5911716272014</v>
      </c>
      <c r="S116" s="120">
        <f t="shared" si="91"/>
        <v>2160191787912.1401</v>
      </c>
      <c r="T116" s="120">
        <f t="shared" si="91"/>
        <v>3751524484101.8604</v>
      </c>
      <c r="U116" s="121">
        <f t="shared" si="58"/>
        <v>0.3654085697817509</v>
      </c>
      <c r="V116" s="120">
        <f>+V117+V146+V237</f>
        <v>1762494519976.8901</v>
      </c>
      <c r="W116" s="120">
        <f>+W117+W146+W237</f>
        <v>397697267935.25006</v>
      </c>
      <c r="X116" s="121">
        <f t="shared" si="73"/>
        <v>0.18410275891273101</v>
      </c>
      <c r="Y116" s="120">
        <f>+Y117+Y146+Y237</f>
        <v>1761071517782.8501</v>
      </c>
      <c r="Z116" s="120">
        <f>+Z117+Z146+Z237</f>
        <v>1423002194.04</v>
      </c>
      <c r="AA116" s="718">
        <f t="shared" si="56"/>
        <v>0.81523850226509464</v>
      </c>
    </row>
    <row r="117" spans="1:27" ht="27.75" customHeight="1">
      <c r="A117" s="32" t="e">
        <f>+CONCATENATE(#REF!,"=",I117)</f>
        <v>#REF!</v>
      </c>
      <c r="B117" s="123" t="s">
        <v>167</v>
      </c>
      <c r="C117" s="123">
        <v>4101</v>
      </c>
      <c r="D117" s="123"/>
      <c r="E117" s="123"/>
      <c r="F117" s="123"/>
      <c r="G117" s="123"/>
      <c r="H117" s="123"/>
      <c r="I117" s="124"/>
      <c r="J117" s="124"/>
      <c r="K117" s="124" t="s">
        <v>169</v>
      </c>
      <c r="L117" s="125">
        <f>+L118</f>
        <v>10248574078</v>
      </c>
      <c r="M117" s="719">
        <f t="shared" ref="M117:Q117" si="92">+M118</f>
        <v>0</v>
      </c>
      <c r="N117" s="719">
        <f t="shared" si="92"/>
        <v>0</v>
      </c>
      <c r="O117" s="719">
        <f t="shared" si="92"/>
        <v>0</v>
      </c>
      <c r="P117" s="719">
        <f t="shared" si="92"/>
        <v>0</v>
      </c>
      <c r="Q117" s="719">
        <f t="shared" si="92"/>
        <v>0</v>
      </c>
      <c r="R117" s="125">
        <f>+R118</f>
        <v>10248574078</v>
      </c>
      <c r="S117" s="125">
        <f t="shared" ref="S117:Z117" si="93">+S118</f>
        <v>10248574078</v>
      </c>
      <c r="T117" s="125">
        <f t="shared" si="93"/>
        <v>0</v>
      </c>
      <c r="U117" s="126">
        <f t="shared" si="58"/>
        <v>1</v>
      </c>
      <c r="V117" s="125">
        <f t="shared" si="93"/>
        <v>10248574078</v>
      </c>
      <c r="W117" s="125">
        <f t="shared" si="93"/>
        <v>0</v>
      </c>
      <c r="X117" s="126">
        <f t="shared" si="73"/>
        <v>0</v>
      </c>
      <c r="Y117" s="125">
        <f t="shared" si="93"/>
        <v>10248574078</v>
      </c>
      <c r="Z117" s="125">
        <f t="shared" si="93"/>
        <v>0</v>
      </c>
      <c r="AA117" s="720">
        <f t="shared" si="56"/>
        <v>1</v>
      </c>
    </row>
    <row r="118" spans="1:27" ht="24" customHeight="1">
      <c r="A118" s="32" t="e">
        <f>+CONCATENATE(#REF!,"=",I118)</f>
        <v>#REF!</v>
      </c>
      <c r="B118" s="128" t="s">
        <v>167</v>
      </c>
      <c r="C118" s="128">
        <v>4101</v>
      </c>
      <c r="D118" s="128">
        <v>1500</v>
      </c>
      <c r="E118" s="128"/>
      <c r="F118" s="128"/>
      <c r="G118" s="128"/>
      <c r="H118" s="128"/>
      <c r="I118" s="129"/>
      <c r="J118" s="129"/>
      <c r="K118" s="129" t="s">
        <v>170</v>
      </c>
      <c r="L118" s="130">
        <f t="shared" ref="L118:T118" si="94">+L119+L132</f>
        <v>10248574078</v>
      </c>
      <c r="M118" s="721">
        <f t="shared" si="94"/>
        <v>0</v>
      </c>
      <c r="N118" s="721">
        <f t="shared" si="94"/>
        <v>0</v>
      </c>
      <c r="O118" s="721">
        <f t="shared" si="94"/>
        <v>0</v>
      </c>
      <c r="P118" s="721">
        <f t="shared" si="94"/>
        <v>0</v>
      </c>
      <c r="Q118" s="721">
        <f t="shared" si="94"/>
        <v>0</v>
      </c>
      <c r="R118" s="130">
        <f t="shared" si="94"/>
        <v>10248574078</v>
      </c>
      <c r="S118" s="130">
        <f t="shared" si="94"/>
        <v>10248574078</v>
      </c>
      <c r="T118" s="721">
        <f t="shared" si="94"/>
        <v>0</v>
      </c>
      <c r="U118" s="131">
        <f t="shared" si="58"/>
        <v>1</v>
      </c>
      <c r="V118" s="130">
        <f t="shared" ref="V118:W118" si="95">+V119+V132</f>
        <v>10248574078</v>
      </c>
      <c r="W118" s="721">
        <f t="shared" si="95"/>
        <v>0</v>
      </c>
      <c r="X118" s="131">
        <f t="shared" si="73"/>
        <v>0</v>
      </c>
      <c r="Y118" s="130">
        <f t="shared" ref="Y118:Z118" si="96">+Y119+Y132</f>
        <v>10248574078</v>
      </c>
      <c r="Z118" s="721">
        <f t="shared" si="96"/>
        <v>0</v>
      </c>
      <c r="AA118" s="722">
        <f t="shared" si="56"/>
        <v>1</v>
      </c>
    </row>
    <row r="119" spans="1:27" ht="39.75" hidden="1" customHeight="1">
      <c r="A119" s="32" t="e">
        <f>+CONCATENATE(#REF!,"=",I119)</f>
        <v>#REF!</v>
      </c>
      <c r="B119" s="133" t="s">
        <v>167</v>
      </c>
      <c r="C119" s="133" t="s">
        <v>171</v>
      </c>
      <c r="D119" s="133" t="s">
        <v>172</v>
      </c>
      <c r="E119" s="133" t="s">
        <v>261</v>
      </c>
      <c r="F119" s="133"/>
      <c r="G119" s="133"/>
      <c r="H119" s="133"/>
      <c r="I119" s="133"/>
      <c r="J119" s="134"/>
      <c r="K119" s="134" t="s">
        <v>262</v>
      </c>
      <c r="L119" s="136">
        <f t="shared" ref="L119:T119" si="97">+L120+L122+L124+L126+L128+L130</f>
        <v>0</v>
      </c>
      <c r="M119" s="136">
        <f t="shared" si="97"/>
        <v>0</v>
      </c>
      <c r="N119" s="136">
        <f t="shared" si="97"/>
        <v>0</v>
      </c>
      <c r="O119" s="136">
        <f t="shared" si="97"/>
        <v>0</v>
      </c>
      <c r="P119" s="136">
        <f t="shared" si="97"/>
        <v>0</v>
      </c>
      <c r="Q119" s="136">
        <f t="shared" si="97"/>
        <v>0</v>
      </c>
      <c r="R119" s="136">
        <f t="shared" si="97"/>
        <v>0</v>
      </c>
      <c r="S119" s="136">
        <f t="shared" si="97"/>
        <v>0</v>
      </c>
      <c r="T119" s="136">
        <f t="shared" si="97"/>
        <v>0</v>
      </c>
      <c r="U119" s="137">
        <f t="shared" si="58"/>
        <v>0</v>
      </c>
      <c r="V119" s="136">
        <f t="shared" ref="V119:W119" si="98">+V120+V122+V124+V126+V128+V130</f>
        <v>0</v>
      </c>
      <c r="W119" s="136">
        <f t="shared" si="98"/>
        <v>0</v>
      </c>
      <c r="X119" s="137">
        <f t="shared" si="73"/>
        <v>0</v>
      </c>
      <c r="Y119" s="136">
        <f t="shared" ref="Y119:Z119" si="99">+Y120+Y122+Y124+Y126+Y128+Y130</f>
        <v>0</v>
      </c>
      <c r="Z119" s="136">
        <f t="shared" si="99"/>
        <v>0</v>
      </c>
      <c r="AA119" s="723">
        <f t="shared" si="56"/>
        <v>0</v>
      </c>
    </row>
    <row r="120" spans="1:27" ht="24.95" hidden="1" customHeight="1">
      <c r="A120" s="32" t="e">
        <f>+CONCATENATE(#REF!,"=",I120)</f>
        <v>#REF!</v>
      </c>
      <c r="B120" s="139" t="s">
        <v>167</v>
      </c>
      <c r="C120" s="139" t="s">
        <v>171</v>
      </c>
      <c r="D120" s="139" t="s">
        <v>172</v>
      </c>
      <c r="E120" s="139" t="s">
        <v>261</v>
      </c>
      <c r="F120" s="139" t="s">
        <v>175</v>
      </c>
      <c r="G120" s="139" t="s">
        <v>176</v>
      </c>
      <c r="H120" s="139"/>
      <c r="I120" s="139">
        <v>11</v>
      </c>
      <c r="J120" s="140" t="s">
        <v>29</v>
      </c>
      <c r="K120" s="140" t="s">
        <v>177</v>
      </c>
      <c r="L120" s="142">
        <f>+L121</f>
        <v>0</v>
      </c>
      <c r="M120" s="142">
        <f t="shared" ref="M120:Z120" si="100">+M121</f>
        <v>0</v>
      </c>
      <c r="N120" s="142">
        <f t="shared" si="100"/>
        <v>0</v>
      </c>
      <c r="O120" s="142">
        <f t="shared" si="100"/>
        <v>0</v>
      </c>
      <c r="P120" s="142">
        <f t="shared" si="100"/>
        <v>0</v>
      </c>
      <c r="Q120" s="142">
        <f t="shared" si="100"/>
        <v>0</v>
      </c>
      <c r="R120" s="142">
        <f t="shared" si="100"/>
        <v>0</v>
      </c>
      <c r="S120" s="142">
        <f t="shared" si="100"/>
        <v>0</v>
      </c>
      <c r="T120" s="142">
        <f t="shared" si="100"/>
        <v>0</v>
      </c>
      <c r="U120" s="143">
        <f t="shared" si="58"/>
        <v>0</v>
      </c>
      <c r="V120" s="142">
        <f t="shared" si="100"/>
        <v>0</v>
      </c>
      <c r="W120" s="142">
        <f t="shared" si="100"/>
        <v>0</v>
      </c>
      <c r="X120" s="143">
        <f t="shared" si="73"/>
        <v>0</v>
      </c>
      <c r="Y120" s="142">
        <f t="shared" si="100"/>
        <v>0</v>
      </c>
      <c r="Z120" s="142">
        <f t="shared" si="100"/>
        <v>0</v>
      </c>
      <c r="AA120" s="724">
        <f t="shared" si="56"/>
        <v>0</v>
      </c>
    </row>
    <row r="121" spans="1:27" ht="24.95" hidden="1" customHeight="1">
      <c r="A121" s="32" t="e">
        <f>+CONCATENATE(#REF!,"=",I121)</f>
        <v>#REF!</v>
      </c>
      <c r="B121" s="145" t="s">
        <v>167</v>
      </c>
      <c r="C121" s="145" t="s">
        <v>171</v>
      </c>
      <c r="D121" s="145" t="s">
        <v>172</v>
      </c>
      <c r="E121" s="145" t="s">
        <v>261</v>
      </c>
      <c r="F121" s="145" t="s">
        <v>175</v>
      </c>
      <c r="G121" s="145" t="s">
        <v>176</v>
      </c>
      <c r="H121" s="145" t="s">
        <v>54</v>
      </c>
      <c r="I121" s="145">
        <v>11</v>
      </c>
      <c r="J121" s="145" t="s">
        <v>29</v>
      </c>
      <c r="K121" s="147" t="s">
        <v>178</v>
      </c>
      <c r="L121" s="148"/>
      <c r="M121" s="148"/>
      <c r="N121" s="148"/>
      <c r="O121" s="148"/>
      <c r="P121" s="148"/>
      <c r="Q121" s="148"/>
      <c r="R121" s="148">
        <f>+L121-Q121+M121-N121+O121-P121</f>
        <v>0</v>
      </c>
      <c r="S121" s="148"/>
      <c r="T121" s="148">
        <f t="shared" ref="T121:T187" si="101">+R121-S121</f>
        <v>0</v>
      </c>
      <c r="U121" s="150">
        <f t="shared" si="58"/>
        <v>0</v>
      </c>
      <c r="V121" s="148"/>
      <c r="W121" s="148">
        <f t="shared" si="11"/>
        <v>0</v>
      </c>
      <c r="X121" s="150">
        <f t="shared" si="73"/>
        <v>0</v>
      </c>
      <c r="Y121" s="148"/>
      <c r="Z121" s="148">
        <f t="shared" ref="Z121:Z187" si="102">+V121-Y121</f>
        <v>0</v>
      </c>
      <c r="AA121" s="150">
        <f t="shared" si="56"/>
        <v>0</v>
      </c>
    </row>
    <row r="122" spans="1:27" ht="24.95" hidden="1" customHeight="1">
      <c r="A122" s="32" t="e">
        <f>+CONCATENATE(#REF!,"=",I122)</f>
        <v>#REF!</v>
      </c>
      <c r="B122" s="139" t="s">
        <v>167</v>
      </c>
      <c r="C122" s="139" t="s">
        <v>171</v>
      </c>
      <c r="D122" s="139" t="s">
        <v>172</v>
      </c>
      <c r="E122" s="139" t="s">
        <v>261</v>
      </c>
      <c r="F122" s="139" t="s">
        <v>175</v>
      </c>
      <c r="G122" s="139" t="s">
        <v>179</v>
      </c>
      <c r="H122" s="139"/>
      <c r="I122" s="139">
        <v>11</v>
      </c>
      <c r="J122" s="140" t="s">
        <v>29</v>
      </c>
      <c r="K122" s="140" t="s">
        <v>180</v>
      </c>
      <c r="L122" s="141">
        <f>+L123</f>
        <v>0</v>
      </c>
      <c r="M122" s="142">
        <f t="shared" ref="M122:Z122" si="103">+M123</f>
        <v>0</v>
      </c>
      <c r="N122" s="142">
        <f t="shared" si="103"/>
        <v>0</v>
      </c>
      <c r="O122" s="142">
        <f t="shared" si="103"/>
        <v>0</v>
      </c>
      <c r="P122" s="142">
        <f t="shared" si="103"/>
        <v>0</v>
      </c>
      <c r="Q122" s="142">
        <f t="shared" si="103"/>
        <v>0</v>
      </c>
      <c r="R122" s="141">
        <f t="shared" si="103"/>
        <v>0</v>
      </c>
      <c r="S122" s="141">
        <f t="shared" si="103"/>
        <v>0</v>
      </c>
      <c r="T122" s="141">
        <f t="shared" si="103"/>
        <v>0</v>
      </c>
      <c r="U122" s="143">
        <f t="shared" si="58"/>
        <v>0</v>
      </c>
      <c r="V122" s="141">
        <f t="shared" si="103"/>
        <v>0</v>
      </c>
      <c r="W122" s="142">
        <f t="shared" si="103"/>
        <v>0</v>
      </c>
      <c r="X122" s="143">
        <f t="shared" si="73"/>
        <v>0</v>
      </c>
      <c r="Y122" s="141">
        <f t="shared" si="103"/>
        <v>0</v>
      </c>
      <c r="Z122" s="141">
        <f t="shared" si="103"/>
        <v>0</v>
      </c>
      <c r="AA122" s="724">
        <f t="shared" si="56"/>
        <v>0</v>
      </c>
    </row>
    <row r="123" spans="1:27" ht="24.95" hidden="1" customHeight="1">
      <c r="A123" s="32" t="e">
        <f>+CONCATENATE(#REF!,"=",I123)</f>
        <v>#REF!</v>
      </c>
      <c r="B123" s="145" t="s">
        <v>167</v>
      </c>
      <c r="C123" s="145" t="s">
        <v>171</v>
      </c>
      <c r="D123" s="145" t="s">
        <v>172</v>
      </c>
      <c r="E123" s="145">
        <v>5</v>
      </c>
      <c r="F123" s="145" t="s">
        <v>175</v>
      </c>
      <c r="G123" s="145" t="s">
        <v>179</v>
      </c>
      <c r="H123" s="145" t="s">
        <v>54</v>
      </c>
      <c r="I123" s="145">
        <v>11</v>
      </c>
      <c r="J123" s="145" t="s">
        <v>29</v>
      </c>
      <c r="K123" s="147" t="s">
        <v>178</v>
      </c>
      <c r="L123" s="148"/>
      <c r="M123" s="148"/>
      <c r="N123" s="148"/>
      <c r="O123" s="148"/>
      <c r="P123" s="148"/>
      <c r="Q123" s="148"/>
      <c r="R123" s="148">
        <f>+L123-Q123+M123-N123+O123-P123</f>
        <v>0</v>
      </c>
      <c r="S123" s="148"/>
      <c r="T123" s="148">
        <f t="shared" ref="T123" si="104">+R123-S123</f>
        <v>0</v>
      </c>
      <c r="U123" s="150">
        <f t="shared" si="58"/>
        <v>0</v>
      </c>
      <c r="V123" s="148"/>
      <c r="W123" s="148">
        <f t="shared" ref="W123" si="105">+S123-V123</f>
        <v>0</v>
      </c>
      <c r="X123" s="150">
        <f t="shared" si="73"/>
        <v>0</v>
      </c>
      <c r="Y123" s="148"/>
      <c r="Z123" s="148">
        <f t="shared" ref="Z123" si="106">+V123-Y123</f>
        <v>0</v>
      </c>
      <c r="AA123" s="150">
        <f t="shared" si="56"/>
        <v>0</v>
      </c>
    </row>
    <row r="124" spans="1:27" ht="24.95" hidden="1" customHeight="1">
      <c r="A124" s="32" t="e">
        <f>+CONCATENATE(#REF!,"=",I124)</f>
        <v>#REF!</v>
      </c>
      <c r="B124" s="139" t="s">
        <v>167</v>
      </c>
      <c r="C124" s="139" t="s">
        <v>171</v>
      </c>
      <c r="D124" s="139" t="s">
        <v>172</v>
      </c>
      <c r="E124" s="139" t="s">
        <v>261</v>
      </c>
      <c r="F124" s="139" t="s">
        <v>175</v>
      </c>
      <c r="G124" s="139" t="s">
        <v>181</v>
      </c>
      <c r="H124" s="139"/>
      <c r="I124" s="139">
        <v>11</v>
      </c>
      <c r="J124" s="140" t="s">
        <v>29</v>
      </c>
      <c r="K124" s="140" t="s">
        <v>182</v>
      </c>
      <c r="L124" s="141">
        <f t="shared" ref="L124:T124" si="107">SUM(L125:L125)</f>
        <v>0</v>
      </c>
      <c r="M124" s="142">
        <f t="shared" si="107"/>
        <v>0</v>
      </c>
      <c r="N124" s="142">
        <f t="shared" si="107"/>
        <v>0</v>
      </c>
      <c r="O124" s="142">
        <f t="shared" si="107"/>
        <v>0</v>
      </c>
      <c r="P124" s="142">
        <f t="shared" si="107"/>
        <v>0</v>
      </c>
      <c r="Q124" s="142">
        <f t="shared" si="107"/>
        <v>0</v>
      </c>
      <c r="R124" s="141">
        <f t="shared" si="107"/>
        <v>0</v>
      </c>
      <c r="S124" s="141">
        <f t="shared" si="107"/>
        <v>0</v>
      </c>
      <c r="T124" s="141">
        <f t="shared" si="107"/>
        <v>0</v>
      </c>
      <c r="U124" s="143">
        <f t="shared" si="58"/>
        <v>0</v>
      </c>
      <c r="V124" s="141">
        <f t="shared" ref="V124:W124" si="108">SUM(V125:V125)</f>
        <v>0</v>
      </c>
      <c r="W124" s="142">
        <f t="shared" si="108"/>
        <v>0</v>
      </c>
      <c r="X124" s="143">
        <f t="shared" si="73"/>
        <v>0</v>
      </c>
      <c r="Y124" s="141">
        <f t="shared" ref="Y124:Z124" si="109">SUM(Y125:Y125)</f>
        <v>0</v>
      </c>
      <c r="Z124" s="141">
        <f t="shared" si="109"/>
        <v>0</v>
      </c>
      <c r="AA124" s="724">
        <f t="shared" si="56"/>
        <v>0</v>
      </c>
    </row>
    <row r="125" spans="1:27" ht="24.95" hidden="1" customHeight="1">
      <c r="A125" s="32" t="e">
        <f>+CONCATENATE(#REF!,"=",I125)</f>
        <v>#REF!</v>
      </c>
      <c r="B125" s="145" t="s">
        <v>167</v>
      </c>
      <c r="C125" s="145" t="s">
        <v>171</v>
      </c>
      <c r="D125" s="145" t="s">
        <v>172</v>
      </c>
      <c r="E125" s="145" t="s">
        <v>261</v>
      </c>
      <c r="F125" s="145" t="s">
        <v>175</v>
      </c>
      <c r="G125" s="145" t="s">
        <v>181</v>
      </c>
      <c r="H125" s="145" t="s">
        <v>54</v>
      </c>
      <c r="I125" s="145">
        <v>11</v>
      </c>
      <c r="J125" s="145" t="s">
        <v>29</v>
      </c>
      <c r="K125" s="147" t="s">
        <v>178</v>
      </c>
      <c r="L125" s="148"/>
      <c r="M125" s="148"/>
      <c r="N125" s="148"/>
      <c r="O125" s="148"/>
      <c r="P125" s="148"/>
      <c r="Q125" s="148"/>
      <c r="R125" s="148">
        <f>+L125-Q125+M125-N125+O125-P125</f>
        <v>0</v>
      </c>
      <c r="S125" s="148"/>
      <c r="T125" s="148">
        <f t="shared" si="101"/>
        <v>0</v>
      </c>
      <c r="U125" s="150">
        <f t="shared" si="58"/>
        <v>0</v>
      </c>
      <c r="V125" s="148"/>
      <c r="W125" s="148">
        <f t="shared" ref="W125:W187" si="110">+S125-V125</f>
        <v>0</v>
      </c>
      <c r="X125" s="150">
        <f t="shared" si="73"/>
        <v>0</v>
      </c>
      <c r="Y125" s="148"/>
      <c r="Z125" s="148">
        <f t="shared" si="102"/>
        <v>0</v>
      </c>
      <c r="AA125" s="150">
        <f t="shared" si="56"/>
        <v>0</v>
      </c>
    </row>
    <row r="126" spans="1:27" ht="24.95" hidden="1" customHeight="1">
      <c r="A126" s="32" t="e">
        <f>+CONCATENATE(#REF!,"=",I126)</f>
        <v>#REF!</v>
      </c>
      <c r="B126" s="139" t="s">
        <v>167</v>
      </c>
      <c r="C126" s="139" t="s">
        <v>171</v>
      </c>
      <c r="D126" s="139" t="s">
        <v>172</v>
      </c>
      <c r="E126" s="139" t="s">
        <v>261</v>
      </c>
      <c r="F126" s="139" t="s">
        <v>175</v>
      </c>
      <c r="G126" s="139" t="s">
        <v>183</v>
      </c>
      <c r="H126" s="139"/>
      <c r="I126" s="139">
        <v>11</v>
      </c>
      <c r="J126" s="140" t="s">
        <v>29</v>
      </c>
      <c r="K126" s="140" t="s">
        <v>184</v>
      </c>
      <c r="L126" s="141">
        <f>+L127</f>
        <v>0</v>
      </c>
      <c r="M126" s="142">
        <f t="shared" ref="M126:Z126" si="111">+M127</f>
        <v>0</v>
      </c>
      <c r="N126" s="142">
        <f t="shared" si="111"/>
        <v>0</v>
      </c>
      <c r="O126" s="142">
        <f t="shared" si="111"/>
        <v>0</v>
      </c>
      <c r="P126" s="142">
        <f t="shared" si="111"/>
        <v>0</v>
      </c>
      <c r="Q126" s="142">
        <f t="shared" si="111"/>
        <v>0</v>
      </c>
      <c r="R126" s="141">
        <f t="shared" si="111"/>
        <v>0</v>
      </c>
      <c r="S126" s="141">
        <f t="shared" si="111"/>
        <v>0</v>
      </c>
      <c r="T126" s="141">
        <f t="shared" si="111"/>
        <v>0</v>
      </c>
      <c r="U126" s="143">
        <f t="shared" si="58"/>
        <v>0</v>
      </c>
      <c r="V126" s="141">
        <f t="shared" si="111"/>
        <v>0</v>
      </c>
      <c r="W126" s="142">
        <f t="shared" si="111"/>
        <v>0</v>
      </c>
      <c r="X126" s="143">
        <f t="shared" si="73"/>
        <v>0</v>
      </c>
      <c r="Y126" s="141">
        <f t="shared" si="111"/>
        <v>0</v>
      </c>
      <c r="Z126" s="141">
        <f t="shared" si="111"/>
        <v>0</v>
      </c>
      <c r="AA126" s="724">
        <f t="shared" si="56"/>
        <v>0</v>
      </c>
    </row>
    <row r="127" spans="1:27" ht="24.95" hidden="1" customHeight="1">
      <c r="A127" s="32" t="e">
        <f>+CONCATENATE(#REF!,"=",I127)</f>
        <v>#REF!</v>
      </c>
      <c r="B127" s="145" t="s">
        <v>167</v>
      </c>
      <c r="C127" s="145" t="s">
        <v>171</v>
      </c>
      <c r="D127" s="145" t="s">
        <v>172</v>
      </c>
      <c r="E127" s="145" t="s">
        <v>261</v>
      </c>
      <c r="F127" s="145" t="s">
        <v>175</v>
      </c>
      <c r="G127" s="145" t="s">
        <v>183</v>
      </c>
      <c r="H127" s="145" t="s">
        <v>54</v>
      </c>
      <c r="I127" s="145">
        <v>11</v>
      </c>
      <c r="J127" s="145" t="s">
        <v>29</v>
      </c>
      <c r="K127" s="147" t="s">
        <v>178</v>
      </c>
      <c r="L127" s="148"/>
      <c r="M127" s="148"/>
      <c r="N127" s="148"/>
      <c r="O127" s="148"/>
      <c r="P127" s="148"/>
      <c r="Q127" s="148"/>
      <c r="R127" s="148">
        <f>+L127-Q127+M127-N127+O127-P127</f>
        <v>0</v>
      </c>
      <c r="S127" s="148"/>
      <c r="T127" s="148">
        <f t="shared" si="101"/>
        <v>0</v>
      </c>
      <c r="U127" s="150">
        <f t="shared" si="58"/>
        <v>0</v>
      </c>
      <c r="V127" s="148"/>
      <c r="W127" s="148">
        <f t="shared" si="110"/>
        <v>0</v>
      </c>
      <c r="X127" s="150">
        <f t="shared" si="73"/>
        <v>0</v>
      </c>
      <c r="Y127" s="148"/>
      <c r="Z127" s="148">
        <f t="shared" si="102"/>
        <v>0</v>
      </c>
      <c r="AA127" s="150">
        <f t="shared" si="56"/>
        <v>0</v>
      </c>
    </row>
    <row r="128" spans="1:27" ht="24.95" hidden="1" customHeight="1">
      <c r="A128" s="32" t="e">
        <f>+CONCATENATE(#REF!,"=",I128)</f>
        <v>#REF!</v>
      </c>
      <c r="B128" s="139" t="s">
        <v>167</v>
      </c>
      <c r="C128" s="139" t="s">
        <v>171</v>
      </c>
      <c r="D128" s="139" t="s">
        <v>172</v>
      </c>
      <c r="E128" s="139" t="s">
        <v>261</v>
      </c>
      <c r="F128" s="139" t="s">
        <v>175</v>
      </c>
      <c r="G128" s="139" t="s">
        <v>185</v>
      </c>
      <c r="H128" s="139"/>
      <c r="I128" s="139">
        <v>11</v>
      </c>
      <c r="J128" s="140" t="s">
        <v>29</v>
      </c>
      <c r="K128" s="140" t="s">
        <v>186</v>
      </c>
      <c r="L128" s="141">
        <f>+L129</f>
        <v>0</v>
      </c>
      <c r="M128" s="142">
        <f t="shared" ref="M128:Z128" si="112">+M129</f>
        <v>0</v>
      </c>
      <c r="N128" s="142">
        <f t="shared" si="112"/>
        <v>0</v>
      </c>
      <c r="O128" s="142">
        <f t="shared" si="112"/>
        <v>0</v>
      </c>
      <c r="P128" s="142">
        <f t="shared" si="112"/>
        <v>0</v>
      </c>
      <c r="Q128" s="142">
        <f t="shared" si="112"/>
        <v>0</v>
      </c>
      <c r="R128" s="141">
        <f t="shared" si="112"/>
        <v>0</v>
      </c>
      <c r="S128" s="141">
        <f t="shared" si="112"/>
        <v>0</v>
      </c>
      <c r="T128" s="141">
        <f t="shared" si="112"/>
        <v>0</v>
      </c>
      <c r="U128" s="143">
        <f t="shared" si="58"/>
        <v>0</v>
      </c>
      <c r="V128" s="141">
        <f t="shared" si="112"/>
        <v>0</v>
      </c>
      <c r="W128" s="142">
        <f t="shared" si="112"/>
        <v>0</v>
      </c>
      <c r="X128" s="143">
        <f t="shared" si="73"/>
        <v>0</v>
      </c>
      <c r="Y128" s="141">
        <f t="shared" si="112"/>
        <v>0</v>
      </c>
      <c r="Z128" s="141">
        <f t="shared" si="112"/>
        <v>0</v>
      </c>
      <c r="AA128" s="724">
        <f t="shared" si="56"/>
        <v>0</v>
      </c>
    </row>
    <row r="129" spans="1:27" ht="24.95" hidden="1" customHeight="1">
      <c r="A129" s="32" t="e">
        <f>+CONCATENATE(#REF!,"=",I129)</f>
        <v>#REF!</v>
      </c>
      <c r="B129" s="145" t="s">
        <v>167</v>
      </c>
      <c r="C129" s="145" t="s">
        <v>171</v>
      </c>
      <c r="D129" s="145" t="s">
        <v>172</v>
      </c>
      <c r="E129" s="145">
        <v>5</v>
      </c>
      <c r="F129" s="145" t="s">
        <v>175</v>
      </c>
      <c r="G129" s="145" t="s">
        <v>185</v>
      </c>
      <c r="H129" s="145" t="s">
        <v>54</v>
      </c>
      <c r="I129" s="145">
        <v>11</v>
      </c>
      <c r="J129" s="145" t="s">
        <v>29</v>
      </c>
      <c r="K129" s="147" t="s">
        <v>178</v>
      </c>
      <c r="L129" s="148"/>
      <c r="M129" s="148"/>
      <c r="N129" s="148"/>
      <c r="O129" s="148"/>
      <c r="P129" s="148"/>
      <c r="Q129" s="148"/>
      <c r="R129" s="148">
        <f>+L129-Q129+M129-N129+O129-P129</f>
        <v>0</v>
      </c>
      <c r="S129" s="148"/>
      <c r="T129" s="148">
        <f t="shared" ref="T129" si="113">+R129-S129</f>
        <v>0</v>
      </c>
      <c r="U129" s="150">
        <f t="shared" si="58"/>
        <v>0</v>
      </c>
      <c r="V129" s="148"/>
      <c r="W129" s="148">
        <f t="shared" ref="W129" si="114">+S129-V129</f>
        <v>0</v>
      </c>
      <c r="X129" s="150">
        <f t="shared" si="73"/>
        <v>0</v>
      </c>
      <c r="Y129" s="148"/>
      <c r="Z129" s="148">
        <f t="shared" ref="Z129" si="115">+V129-Y129</f>
        <v>0</v>
      </c>
      <c r="AA129" s="150">
        <f t="shared" si="56"/>
        <v>0</v>
      </c>
    </row>
    <row r="130" spans="1:27" ht="24.95" hidden="1" customHeight="1">
      <c r="A130" s="32" t="e">
        <f>+CONCATENATE(#REF!,"=",I130)</f>
        <v>#REF!</v>
      </c>
      <c r="B130" s="139" t="s">
        <v>167</v>
      </c>
      <c r="C130" s="139" t="s">
        <v>171</v>
      </c>
      <c r="D130" s="139" t="s">
        <v>172</v>
      </c>
      <c r="E130" s="139" t="s">
        <v>261</v>
      </c>
      <c r="F130" s="139" t="s">
        <v>175</v>
      </c>
      <c r="G130" s="139" t="s">
        <v>187</v>
      </c>
      <c r="H130" s="139"/>
      <c r="I130" s="139">
        <v>11</v>
      </c>
      <c r="J130" s="140" t="s">
        <v>29</v>
      </c>
      <c r="K130" s="140" t="s">
        <v>188</v>
      </c>
      <c r="L130" s="141">
        <f>+L131</f>
        <v>0</v>
      </c>
      <c r="M130" s="142">
        <f t="shared" ref="M130:Z130" si="116">+M131</f>
        <v>0</v>
      </c>
      <c r="N130" s="142">
        <f t="shared" si="116"/>
        <v>0</v>
      </c>
      <c r="O130" s="142">
        <f t="shared" si="116"/>
        <v>0</v>
      </c>
      <c r="P130" s="142">
        <f t="shared" si="116"/>
        <v>0</v>
      </c>
      <c r="Q130" s="142">
        <f t="shared" si="116"/>
        <v>0</v>
      </c>
      <c r="R130" s="141">
        <f t="shared" si="116"/>
        <v>0</v>
      </c>
      <c r="S130" s="141">
        <f t="shared" si="116"/>
        <v>0</v>
      </c>
      <c r="T130" s="141">
        <f t="shared" si="116"/>
        <v>0</v>
      </c>
      <c r="U130" s="143">
        <f t="shared" si="58"/>
        <v>0</v>
      </c>
      <c r="V130" s="141">
        <f t="shared" si="116"/>
        <v>0</v>
      </c>
      <c r="W130" s="142">
        <f t="shared" si="116"/>
        <v>0</v>
      </c>
      <c r="X130" s="143">
        <f t="shared" si="73"/>
        <v>0</v>
      </c>
      <c r="Y130" s="141">
        <f t="shared" si="116"/>
        <v>0</v>
      </c>
      <c r="Z130" s="141">
        <f t="shared" si="116"/>
        <v>0</v>
      </c>
      <c r="AA130" s="724">
        <f t="shared" si="56"/>
        <v>0</v>
      </c>
    </row>
    <row r="131" spans="1:27" ht="24.95" hidden="1" customHeight="1">
      <c r="A131" s="32" t="e">
        <f>+CONCATENATE(#REF!,"=",I131)</f>
        <v>#REF!</v>
      </c>
      <c r="B131" s="145" t="s">
        <v>167</v>
      </c>
      <c r="C131" s="145" t="s">
        <v>171</v>
      </c>
      <c r="D131" s="145" t="s">
        <v>172</v>
      </c>
      <c r="E131" s="145" t="s">
        <v>261</v>
      </c>
      <c r="F131" s="145" t="s">
        <v>175</v>
      </c>
      <c r="G131" s="145" t="s">
        <v>187</v>
      </c>
      <c r="H131" s="145" t="s">
        <v>54</v>
      </c>
      <c r="I131" s="145">
        <v>11</v>
      </c>
      <c r="J131" s="145" t="s">
        <v>29</v>
      </c>
      <c r="K131" s="147" t="s">
        <v>178</v>
      </c>
      <c r="L131" s="148"/>
      <c r="M131" s="148"/>
      <c r="N131" s="148"/>
      <c r="O131" s="148"/>
      <c r="P131" s="148"/>
      <c r="Q131" s="148"/>
      <c r="R131" s="148">
        <f>+L131-Q131+M131-N131+O131-P131</f>
        <v>0</v>
      </c>
      <c r="S131" s="148"/>
      <c r="T131" s="148">
        <f t="shared" si="101"/>
        <v>0</v>
      </c>
      <c r="U131" s="150">
        <f t="shared" si="58"/>
        <v>0</v>
      </c>
      <c r="V131" s="148"/>
      <c r="W131" s="148">
        <f t="shared" si="110"/>
        <v>0</v>
      </c>
      <c r="X131" s="150">
        <f t="shared" si="73"/>
        <v>0</v>
      </c>
      <c r="Y131" s="148"/>
      <c r="Z131" s="148">
        <f t="shared" si="102"/>
        <v>0</v>
      </c>
      <c r="AA131" s="150">
        <f t="shared" si="56"/>
        <v>0</v>
      </c>
    </row>
    <row r="132" spans="1:27" ht="54.75" customHeight="1">
      <c r="A132" s="32" t="e">
        <f>+CONCATENATE(#REF!,"=",I132)</f>
        <v>#REF!</v>
      </c>
      <c r="B132" s="133" t="s">
        <v>167</v>
      </c>
      <c r="C132" s="133" t="s">
        <v>171</v>
      </c>
      <c r="D132" s="133" t="s">
        <v>172</v>
      </c>
      <c r="E132" s="133" t="s">
        <v>173</v>
      </c>
      <c r="F132" s="133"/>
      <c r="G132" s="133"/>
      <c r="H132" s="133"/>
      <c r="I132" s="133"/>
      <c r="J132" s="134"/>
      <c r="K132" s="134" t="s">
        <v>174</v>
      </c>
      <c r="L132" s="135">
        <f>+L137+L139+L141+L143+L133+L135</f>
        <v>10248574078</v>
      </c>
      <c r="M132" s="136">
        <f t="shared" ref="M132:T132" si="117">+M137+M139+M141+M143+M133+M135</f>
        <v>0</v>
      </c>
      <c r="N132" s="136">
        <f t="shared" si="117"/>
        <v>0</v>
      </c>
      <c r="O132" s="136">
        <f t="shared" si="117"/>
        <v>0</v>
      </c>
      <c r="P132" s="136">
        <f t="shared" si="117"/>
        <v>0</v>
      </c>
      <c r="Q132" s="136">
        <f t="shared" si="117"/>
        <v>0</v>
      </c>
      <c r="R132" s="135">
        <f t="shared" si="117"/>
        <v>10248574078</v>
      </c>
      <c r="S132" s="135">
        <f t="shared" si="117"/>
        <v>10248574078</v>
      </c>
      <c r="T132" s="135">
        <f t="shared" si="117"/>
        <v>0</v>
      </c>
      <c r="U132" s="137">
        <f t="shared" si="58"/>
        <v>1</v>
      </c>
      <c r="V132" s="135">
        <f t="shared" ref="V132:Z132" si="118">+V137+V139+V141+V143+V133+V135</f>
        <v>10248574078</v>
      </c>
      <c r="W132" s="136">
        <f t="shared" si="118"/>
        <v>0</v>
      </c>
      <c r="X132" s="137">
        <f t="shared" si="73"/>
        <v>0</v>
      </c>
      <c r="Y132" s="135">
        <f t="shared" si="118"/>
        <v>10248574078</v>
      </c>
      <c r="Z132" s="135">
        <f t="shared" si="118"/>
        <v>0</v>
      </c>
      <c r="AA132" s="723">
        <f t="shared" si="56"/>
        <v>1</v>
      </c>
    </row>
    <row r="133" spans="1:27" ht="31.5" customHeight="1">
      <c r="A133" s="32" t="e">
        <f>+CONCATENATE(#REF!,"=",I133)</f>
        <v>#REF!</v>
      </c>
      <c r="B133" s="139" t="s">
        <v>167</v>
      </c>
      <c r="C133" s="139" t="s">
        <v>171</v>
      </c>
      <c r="D133" s="139" t="s">
        <v>172</v>
      </c>
      <c r="E133" s="139" t="s">
        <v>173</v>
      </c>
      <c r="F133" s="139" t="s">
        <v>175</v>
      </c>
      <c r="G133" s="139" t="s">
        <v>176</v>
      </c>
      <c r="H133" s="139"/>
      <c r="I133" s="139" t="s">
        <v>144</v>
      </c>
      <c r="J133" s="140" t="s">
        <v>29</v>
      </c>
      <c r="K133" s="140" t="s">
        <v>177</v>
      </c>
      <c r="L133" s="141">
        <f t="shared" ref="L133:T133" si="119">SUM(L134:L134)</f>
        <v>1189683575</v>
      </c>
      <c r="M133" s="142">
        <f t="shared" si="119"/>
        <v>0</v>
      </c>
      <c r="N133" s="142">
        <f t="shared" si="119"/>
        <v>0</v>
      </c>
      <c r="O133" s="142">
        <f t="shared" si="119"/>
        <v>0</v>
      </c>
      <c r="P133" s="142">
        <f t="shared" si="119"/>
        <v>0</v>
      </c>
      <c r="Q133" s="142">
        <f t="shared" si="119"/>
        <v>0</v>
      </c>
      <c r="R133" s="141">
        <f t="shared" si="119"/>
        <v>1189683575</v>
      </c>
      <c r="S133" s="141">
        <f t="shared" si="119"/>
        <v>1189683575</v>
      </c>
      <c r="T133" s="141">
        <f t="shared" si="119"/>
        <v>0</v>
      </c>
      <c r="U133" s="143">
        <f t="shared" si="58"/>
        <v>1</v>
      </c>
      <c r="V133" s="141">
        <f t="shared" ref="V133:W133" si="120">SUM(V134:V134)</f>
        <v>1189683575</v>
      </c>
      <c r="W133" s="142">
        <f t="shared" si="120"/>
        <v>0</v>
      </c>
      <c r="X133" s="143">
        <f t="shared" si="73"/>
        <v>0</v>
      </c>
      <c r="Y133" s="141">
        <f t="shared" ref="Y133:Z133" si="121">SUM(Y134:Y134)</f>
        <v>1189683575</v>
      </c>
      <c r="Z133" s="141">
        <f t="shared" si="121"/>
        <v>0</v>
      </c>
      <c r="AA133" s="724">
        <f t="shared" si="56"/>
        <v>1</v>
      </c>
    </row>
    <row r="134" spans="1:27" ht="24.95" customHeight="1">
      <c r="A134" s="32" t="e">
        <f>+CONCATENATE(#REF!,"=",I134)</f>
        <v>#REF!</v>
      </c>
      <c r="B134" s="145" t="s">
        <v>167</v>
      </c>
      <c r="C134" s="145" t="s">
        <v>171</v>
      </c>
      <c r="D134" s="145" t="s">
        <v>172</v>
      </c>
      <c r="E134" s="145" t="s">
        <v>173</v>
      </c>
      <c r="F134" s="145" t="s">
        <v>175</v>
      </c>
      <c r="G134" s="145" t="s">
        <v>176</v>
      </c>
      <c r="H134" s="145" t="s">
        <v>54</v>
      </c>
      <c r="I134" s="145" t="s">
        <v>144</v>
      </c>
      <c r="J134" s="145" t="s">
        <v>29</v>
      </c>
      <c r="K134" s="147" t="s">
        <v>178</v>
      </c>
      <c r="L134" s="148">
        <v>1189683575</v>
      </c>
      <c r="M134" s="148"/>
      <c r="N134" s="148"/>
      <c r="O134" s="148"/>
      <c r="P134" s="148"/>
      <c r="Q134" s="148"/>
      <c r="R134" s="148">
        <f>+L134-Q134+M134-N134+O134-P134</f>
        <v>1189683575</v>
      </c>
      <c r="S134" s="148">
        <v>1189683575</v>
      </c>
      <c r="T134" s="148">
        <f t="shared" si="101"/>
        <v>0</v>
      </c>
      <c r="U134" s="150">
        <f t="shared" si="58"/>
        <v>1</v>
      </c>
      <c r="V134" s="148">
        <v>1189683575</v>
      </c>
      <c r="W134" s="148">
        <f t="shared" si="110"/>
        <v>0</v>
      </c>
      <c r="X134" s="150">
        <f t="shared" si="73"/>
        <v>0</v>
      </c>
      <c r="Y134" s="148">
        <v>1189683575</v>
      </c>
      <c r="Z134" s="148">
        <f t="shared" si="102"/>
        <v>0</v>
      </c>
      <c r="AA134" s="150">
        <f t="shared" si="56"/>
        <v>1</v>
      </c>
    </row>
    <row r="135" spans="1:27" ht="31.5" customHeight="1">
      <c r="A135" s="32" t="e">
        <f>+CONCATENATE(#REF!,"=",I135)</f>
        <v>#REF!</v>
      </c>
      <c r="B135" s="139" t="s">
        <v>167</v>
      </c>
      <c r="C135" s="139" t="s">
        <v>171</v>
      </c>
      <c r="D135" s="139" t="s">
        <v>172</v>
      </c>
      <c r="E135" s="139" t="s">
        <v>173</v>
      </c>
      <c r="F135" s="139" t="s">
        <v>175</v>
      </c>
      <c r="G135" s="139" t="s">
        <v>179</v>
      </c>
      <c r="H135" s="139"/>
      <c r="I135" s="139" t="s">
        <v>144</v>
      </c>
      <c r="J135" s="140" t="s">
        <v>29</v>
      </c>
      <c r="K135" s="140" t="s">
        <v>180</v>
      </c>
      <c r="L135" s="141">
        <f>+L136</f>
        <v>115014864</v>
      </c>
      <c r="M135" s="142">
        <f t="shared" ref="M135:Z135" si="122">+M136</f>
        <v>0</v>
      </c>
      <c r="N135" s="142">
        <f t="shared" si="122"/>
        <v>0</v>
      </c>
      <c r="O135" s="142">
        <f t="shared" si="122"/>
        <v>0</v>
      </c>
      <c r="P135" s="142">
        <f t="shared" si="122"/>
        <v>0</v>
      </c>
      <c r="Q135" s="142">
        <f t="shared" si="122"/>
        <v>0</v>
      </c>
      <c r="R135" s="141">
        <f t="shared" si="122"/>
        <v>115014864</v>
      </c>
      <c r="S135" s="141">
        <f t="shared" si="122"/>
        <v>115014864</v>
      </c>
      <c r="T135" s="141">
        <f t="shared" si="122"/>
        <v>0</v>
      </c>
      <c r="U135" s="143">
        <f t="shared" si="58"/>
        <v>1</v>
      </c>
      <c r="V135" s="141">
        <f t="shared" si="122"/>
        <v>115014864</v>
      </c>
      <c r="W135" s="142">
        <f t="shared" si="122"/>
        <v>0</v>
      </c>
      <c r="X135" s="143">
        <f t="shared" si="73"/>
        <v>0</v>
      </c>
      <c r="Y135" s="141">
        <f t="shared" si="122"/>
        <v>115014864</v>
      </c>
      <c r="Z135" s="141">
        <f t="shared" si="122"/>
        <v>0</v>
      </c>
      <c r="AA135" s="724">
        <f t="shared" si="56"/>
        <v>1</v>
      </c>
    </row>
    <row r="136" spans="1:27" ht="24.95" customHeight="1">
      <c r="A136" s="32" t="e">
        <f>+CONCATENATE(#REF!,"=",I136)</f>
        <v>#REF!</v>
      </c>
      <c r="B136" s="145" t="s">
        <v>167</v>
      </c>
      <c r="C136" s="145" t="s">
        <v>171</v>
      </c>
      <c r="D136" s="145" t="s">
        <v>172</v>
      </c>
      <c r="E136" s="145" t="s">
        <v>173</v>
      </c>
      <c r="F136" s="145" t="s">
        <v>175</v>
      </c>
      <c r="G136" s="145" t="s">
        <v>179</v>
      </c>
      <c r="H136" s="145" t="s">
        <v>54</v>
      </c>
      <c r="I136" s="145" t="s">
        <v>144</v>
      </c>
      <c r="J136" s="145" t="s">
        <v>29</v>
      </c>
      <c r="K136" s="147" t="s">
        <v>178</v>
      </c>
      <c r="L136" s="148">
        <v>115014864</v>
      </c>
      <c r="M136" s="148"/>
      <c r="N136" s="148"/>
      <c r="O136" s="148"/>
      <c r="P136" s="148"/>
      <c r="Q136" s="148"/>
      <c r="R136" s="148">
        <f>+L136-Q136+M136-N136+O136-P136</f>
        <v>115014864</v>
      </c>
      <c r="S136" s="148">
        <v>115014864</v>
      </c>
      <c r="T136" s="148">
        <f t="shared" si="101"/>
        <v>0</v>
      </c>
      <c r="U136" s="150">
        <f t="shared" si="58"/>
        <v>1</v>
      </c>
      <c r="V136" s="148">
        <v>115014864</v>
      </c>
      <c r="W136" s="148">
        <f t="shared" si="110"/>
        <v>0</v>
      </c>
      <c r="X136" s="150">
        <f t="shared" si="73"/>
        <v>0</v>
      </c>
      <c r="Y136" s="148">
        <v>115014864</v>
      </c>
      <c r="Z136" s="148">
        <f t="shared" si="102"/>
        <v>0</v>
      </c>
      <c r="AA136" s="150">
        <f t="shared" si="56"/>
        <v>1</v>
      </c>
    </row>
    <row r="137" spans="1:27" ht="31.5" hidden="1" customHeight="1">
      <c r="A137" s="32" t="e">
        <f>+CONCATENATE(#REF!,"=",I137)</f>
        <v>#REF!</v>
      </c>
      <c r="B137" s="139" t="s">
        <v>167</v>
      </c>
      <c r="C137" s="139" t="s">
        <v>171</v>
      </c>
      <c r="D137" s="139" t="s">
        <v>172</v>
      </c>
      <c r="E137" s="139" t="s">
        <v>173</v>
      </c>
      <c r="F137" s="139" t="s">
        <v>175</v>
      </c>
      <c r="G137" s="139" t="s">
        <v>181</v>
      </c>
      <c r="H137" s="139"/>
      <c r="I137" s="139" t="s">
        <v>144</v>
      </c>
      <c r="J137" s="140" t="s">
        <v>29</v>
      </c>
      <c r="K137" s="140" t="s">
        <v>182</v>
      </c>
      <c r="L137" s="141">
        <f>+L138</f>
        <v>0</v>
      </c>
      <c r="M137" s="142">
        <f t="shared" ref="M137:Z137" si="123">+M138</f>
        <v>0</v>
      </c>
      <c r="N137" s="142">
        <f t="shared" si="123"/>
        <v>0</v>
      </c>
      <c r="O137" s="142">
        <f t="shared" si="123"/>
        <v>0</v>
      </c>
      <c r="P137" s="142">
        <f t="shared" si="123"/>
        <v>0</v>
      </c>
      <c r="Q137" s="142">
        <f t="shared" si="123"/>
        <v>0</v>
      </c>
      <c r="R137" s="141">
        <f t="shared" si="123"/>
        <v>0</v>
      </c>
      <c r="S137" s="141">
        <f t="shared" si="123"/>
        <v>0</v>
      </c>
      <c r="T137" s="141">
        <f t="shared" si="123"/>
        <v>0</v>
      </c>
      <c r="U137" s="143">
        <f t="shared" si="58"/>
        <v>0</v>
      </c>
      <c r="V137" s="141">
        <f t="shared" si="123"/>
        <v>0</v>
      </c>
      <c r="W137" s="142">
        <f t="shared" si="123"/>
        <v>0</v>
      </c>
      <c r="X137" s="143">
        <f t="shared" si="73"/>
        <v>0</v>
      </c>
      <c r="Y137" s="141">
        <f t="shared" si="123"/>
        <v>0</v>
      </c>
      <c r="Z137" s="141">
        <f t="shared" si="123"/>
        <v>0</v>
      </c>
      <c r="AA137" s="724">
        <f t="shared" si="56"/>
        <v>0</v>
      </c>
    </row>
    <row r="138" spans="1:27" ht="24.95" hidden="1" customHeight="1">
      <c r="A138" s="32" t="e">
        <f>+CONCATENATE(#REF!,"=",I138)</f>
        <v>#REF!</v>
      </c>
      <c r="B138" s="145" t="s">
        <v>167</v>
      </c>
      <c r="C138" s="145" t="s">
        <v>171</v>
      </c>
      <c r="D138" s="145" t="s">
        <v>172</v>
      </c>
      <c r="E138" s="145" t="s">
        <v>173</v>
      </c>
      <c r="F138" s="145" t="s">
        <v>175</v>
      </c>
      <c r="G138" s="145" t="s">
        <v>181</v>
      </c>
      <c r="H138" s="145" t="s">
        <v>54</v>
      </c>
      <c r="I138" s="145" t="s">
        <v>144</v>
      </c>
      <c r="J138" s="145" t="s">
        <v>29</v>
      </c>
      <c r="K138" s="147" t="s">
        <v>178</v>
      </c>
      <c r="L138" s="148"/>
      <c r="M138" s="148"/>
      <c r="N138" s="148"/>
      <c r="O138" s="148"/>
      <c r="P138" s="148"/>
      <c r="Q138" s="148"/>
      <c r="R138" s="148">
        <f>+L138-Q138+M138-N138+O138-P138</f>
        <v>0</v>
      </c>
      <c r="S138" s="148"/>
      <c r="T138" s="148">
        <f t="shared" si="101"/>
        <v>0</v>
      </c>
      <c r="U138" s="150">
        <f t="shared" si="58"/>
        <v>0</v>
      </c>
      <c r="V138" s="148"/>
      <c r="W138" s="148">
        <f t="shared" si="110"/>
        <v>0</v>
      </c>
      <c r="X138" s="150">
        <f t="shared" si="73"/>
        <v>0</v>
      </c>
      <c r="Y138" s="148"/>
      <c r="Z138" s="148">
        <f t="shared" si="102"/>
        <v>0</v>
      </c>
      <c r="AA138" s="150">
        <f t="shared" si="56"/>
        <v>0</v>
      </c>
    </row>
    <row r="139" spans="1:27" ht="31.5" hidden="1" customHeight="1">
      <c r="A139" s="32" t="e">
        <f>+CONCATENATE(#REF!,"=",I139)</f>
        <v>#REF!</v>
      </c>
      <c r="B139" s="139" t="s">
        <v>167</v>
      </c>
      <c r="C139" s="139" t="s">
        <v>171</v>
      </c>
      <c r="D139" s="139" t="s">
        <v>172</v>
      </c>
      <c r="E139" s="139" t="s">
        <v>173</v>
      </c>
      <c r="F139" s="139" t="s">
        <v>175</v>
      </c>
      <c r="G139" s="139" t="s">
        <v>183</v>
      </c>
      <c r="H139" s="139"/>
      <c r="I139" s="139" t="s">
        <v>144</v>
      </c>
      <c r="J139" s="140" t="s">
        <v>29</v>
      </c>
      <c r="K139" s="140" t="s">
        <v>184</v>
      </c>
      <c r="L139" s="141">
        <f t="shared" ref="L139:T139" si="124">SUM(L140:L140)</f>
        <v>0</v>
      </c>
      <c r="M139" s="142">
        <f t="shared" si="124"/>
        <v>0</v>
      </c>
      <c r="N139" s="142">
        <f t="shared" si="124"/>
        <v>0</v>
      </c>
      <c r="O139" s="142">
        <f t="shared" si="124"/>
        <v>0</v>
      </c>
      <c r="P139" s="142">
        <f t="shared" si="124"/>
        <v>0</v>
      </c>
      <c r="Q139" s="142">
        <f t="shared" si="124"/>
        <v>0</v>
      </c>
      <c r="R139" s="141">
        <f t="shared" si="124"/>
        <v>0</v>
      </c>
      <c r="S139" s="141">
        <f t="shared" si="124"/>
        <v>0</v>
      </c>
      <c r="T139" s="141">
        <f t="shared" si="124"/>
        <v>0</v>
      </c>
      <c r="U139" s="143">
        <f t="shared" si="58"/>
        <v>0</v>
      </c>
      <c r="V139" s="141">
        <f t="shared" ref="V139:W139" si="125">SUM(V140:V140)</f>
        <v>0</v>
      </c>
      <c r="W139" s="142">
        <f t="shared" si="125"/>
        <v>0</v>
      </c>
      <c r="X139" s="143">
        <f t="shared" si="73"/>
        <v>0</v>
      </c>
      <c r="Y139" s="141">
        <f t="shared" ref="Y139:Z139" si="126">SUM(Y140:Y140)</f>
        <v>0</v>
      </c>
      <c r="Z139" s="141">
        <f t="shared" si="126"/>
        <v>0</v>
      </c>
      <c r="AA139" s="724">
        <f t="shared" si="56"/>
        <v>0</v>
      </c>
    </row>
    <row r="140" spans="1:27" ht="24.95" hidden="1" customHeight="1">
      <c r="A140" s="32" t="e">
        <f>+CONCATENATE(#REF!,"=",I140)</f>
        <v>#REF!</v>
      </c>
      <c r="B140" s="145" t="s">
        <v>167</v>
      </c>
      <c r="C140" s="145" t="s">
        <v>171</v>
      </c>
      <c r="D140" s="145" t="s">
        <v>172</v>
      </c>
      <c r="E140" s="145" t="s">
        <v>173</v>
      </c>
      <c r="F140" s="145" t="s">
        <v>175</v>
      </c>
      <c r="G140" s="145" t="s">
        <v>183</v>
      </c>
      <c r="H140" s="145" t="s">
        <v>54</v>
      </c>
      <c r="I140" s="145" t="s">
        <v>144</v>
      </c>
      <c r="J140" s="145" t="s">
        <v>29</v>
      </c>
      <c r="K140" s="147" t="s">
        <v>178</v>
      </c>
      <c r="L140" s="148">
        <v>0</v>
      </c>
      <c r="M140" s="148"/>
      <c r="N140" s="148"/>
      <c r="O140" s="148"/>
      <c r="P140" s="148"/>
      <c r="Q140" s="148"/>
      <c r="R140" s="148">
        <f>+L140-Q140+M140-N140+O140-P140</f>
        <v>0</v>
      </c>
      <c r="S140" s="148">
        <v>0</v>
      </c>
      <c r="T140" s="148">
        <f t="shared" si="101"/>
        <v>0</v>
      </c>
      <c r="U140" s="150">
        <f t="shared" si="58"/>
        <v>0</v>
      </c>
      <c r="V140" s="148">
        <v>0</v>
      </c>
      <c r="W140" s="148">
        <f t="shared" si="110"/>
        <v>0</v>
      </c>
      <c r="X140" s="150">
        <f t="shared" si="73"/>
        <v>0</v>
      </c>
      <c r="Y140" s="148">
        <v>0</v>
      </c>
      <c r="Z140" s="148">
        <f t="shared" si="102"/>
        <v>0</v>
      </c>
      <c r="AA140" s="150">
        <f t="shared" si="56"/>
        <v>0</v>
      </c>
    </row>
    <row r="141" spans="1:27" ht="31.5" customHeight="1">
      <c r="A141" s="32" t="e">
        <f>+CONCATENATE(#REF!,"=",I141)</f>
        <v>#REF!</v>
      </c>
      <c r="B141" s="139" t="s">
        <v>167</v>
      </c>
      <c r="C141" s="139" t="s">
        <v>171</v>
      </c>
      <c r="D141" s="139" t="s">
        <v>172</v>
      </c>
      <c r="E141" s="139" t="s">
        <v>173</v>
      </c>
      <c r="F141" s="139" t="s">
        <v>175</v>
      </c>
      <c r="G141" s="139" t="s">
        <v>185</v>
      </c>
      <c r="H141" s="139"/>
      <c r="I141" s="139" t="s">
        <v>144</v>
      </c>
      <c r="J141" s="140" t="s">
        <v>29</v>
      </c>
      <c r="K141" s="140" t="s">
        <v>186</v>
      </c>
      <c r="L141" s="141">
        <f>+L142</f>
        <v>8943875639</v>
      </c>
      <c r="M141" s="142">
        <f t="shared" ref="M141:Z141" si="127">+M142</f>
        <v>0</v>
      </c>
      <c r="N141" s="142">
        <f t="shared" si="127"/>
        <v>0</v>
      </c>
      <c r="O141" s="142">
        <f t="shared" si="127"/>
        <v>0</v>
      </c>
      <c r="P141" s="142">
        <f t="shared" si="127"/>
        <v>0</v>
      </c>
      <c r="Q141" s="142">
        <f t="shared" si="127"/>
        <v>0</v>
      </c>
      <c r="R141" s="141">
        <f t="shared" si="127"/>
        <v>8943875639</v>
      </c>
      <c r="S141" s="141">
        <f t="shared" si="127"/>
        <v>8943875639</v>
      </c>
      <c r="T141" s="141">
        <f t="shared" si="127"/>
        <v>0</v>
      </c>
      <c r="U141" s="143">
        <f t="shared" si="58"/>
        <v>1</v>
      </c>
      <c r="V141" s="141">
        <f t="shared" si="127"/>
        <v>8943875639</v>
      </c>
      <c r="W141" s="142">
        <f t="shared" si="127"/>
        <v>0</v>
      </c>
      <c r="X141" s="143">
        <f t="shared" si="73"/>
        <v>0</v>
      </c>
      <c r="Y141" s="141">
        <f t="shared" si="127"/>
        <v>8943875639</v>
      </c>
      <c r="Z141" s="141">
        <f t="shared" si="127"/>
        <v>0</v>
      </c>
      <c r="AA141" s="724">
        <f t="shared" si="56"/>
        <v>1</v>
      </c>
    </row>
    <row r="142" spans="1:27" ht="24.95" customHeight="1">
      <c r="A142" s="32" t="e">
        <f>+CONCATENATE(#REF!,"=",I142)</f>
        <v>#REF!</v>
      </c>
      <c r="B142" s="145" t="s">
        <v>167</v>
      </c>
      <c r="C142" s="145" t="s">
        <v>171</v>
      </c>
      <c r="D142" s="145" t="s">
        <v>172</v>
      </c>
      <c r="E142" s="145" t="s">
        <v>173</v>
      </c>
      <c r="F142" s="145" t="s">
        <v>175</v>
      </c>
      <c r="G142" s="145" t="s">
        <v>185</v>
      </c>
      <c r="H142" s="145" t="s">
        <v>54</v>
      </c>
      <c r="I142" s="145" t="s">
        <v>144</v>
      </c>
      <c r="J142" s="145" t="s">
        <v>29</v>
      </c>
      <c r="K142" s="147" t="s">
        <v>178</v>
      </c>
      <c r="L142" s="148">
        <v>8943875639</v>
      </c>
      <c r="M142" s="148"/>
      <c r="N142" s="148"/>
      <c r="O142" s="148"/>
      <c r="P142" s="148"/>
      <c r="Q142" s="148"/>
      <c r="R142" s="148">
        <f>+L142-Q142+M142-N142+O142-P142</f>
        <v>8943875639</v>
      </c>
      <c r="S142" s="148">
        <v>8943875639</v>
      </c>
      <c r="T142" s="148">
        <f t="shared" si="101"/>
        <v>0</v>
      </c>
      <c r="U142" s="150">
        <f t="shared" si="58"/>
        <v>1</v>
      </c>
      <c r="V142" s="148">
        <v>8943875639</v>
      </c>
      <c r="W142" s="148">
        <f t="shared" si="110"/>
        <v>0</v>
      </c>
      <c r="X142" s="150">
        <f t="shared" si="73"/>
        <v>0</v>
      </c>
      <c r="Y142" s="148">
        <v>8943875639</v>
      </c>
      <c r="Z142" s="148">
        <f t="shared" si="102"/>
        <v>0</v>
      </c>
      <c r="AA142" s="150">
        <f t="shared" si="56"/>
        <v>1</v>
      </c>
    </row>
    <row r="143" spans="1:27" ht="31.5" hidden="1" customHeight="1">
      <c r="A143" s="32" t="e">
        <f>+CONCATENATE(#REF!,"=",I143)</f>
        <v>#REF!</v>
      </c>
      <c r="B143" s="139" t="s">
        <v>167</v>
      </c>
      <c r="C143" s="139" t="s">
        <v>171</v>
      </c>
      <c r="D143" s="139" t="s">
        <v>172</v>
      </c>
      <c r="E143" s="139" t="s">
        <v>173</v>
      </c>
      <c r="F143" s="139" t="s">
        <v>175</v>
      </c>
      <c r="G143" s="139" t="s">
        <v>187</v>
      </c>
      <c r="H143" s="139"/>
      <c r="I143" s="139" t="s">
        <v>144</v>
      </c>
      <c r="J143" s="140" t="s">
        <v>29</v>
      </c>
      <c r="K143" s="140" t="s">
        <v>188</v>
      </c>
      <c r="L143" s="141">
        <f>SUM(L144:L145)</f>
        <v>0</v>
      </c>
      <c r="M143" s="142">
        <f t="shared" ref="M143:Z143" si="128">SUM(M144:M145)</f>
        <v>0</v>
      </c>
      <c r="N143" s="142">
        <f t="shared" si="128"/>
        <v>0</v>
      </c>
      <c r="O143" s="142">
        <f t="shared" si="128"/>
        <v>0</v>
      </c>
      <c r="P143" s="142">
        <f t="shared" si="128"/>
        <v>0</v>
      </c>
      <c r="Q143" s="142">
        <f t="shared" si="128"/>
        <v>0</v>
      </c>
      <c r="R143" s="141">
        <f t="shared" si="128"/>
        <v>0</v>
      </c>
      <c r="S143" s="141">
        <f t="shared" si="128"/>
        <v>0</v>
      </c>
      <c r="T143" s="141">
        <f t="shared" si="128"/>
        <v>0</v>
      </c>
      <c r="U143" s="143">
        <f t="shared" si="58"/>
        <v>0</v>
      </c>
      <c r="V143" s="141">
        <f t="shared" si="128"/>
        <v>0</v>
      </c>
      <c r="W143" s="142">
        <f t="shared" si="128"/>
        <v>0</v>
      </c>
      <c r="X143" s="143">
        <f t="shared" si="73"/>
        <v>0</v>
      </c>
      <c r="Y143" s="141">
        <f t="shared" si="128"/>
        <v>0</v>
      </c>
      <c r="Z143" s="141">
        <f t="shared" si="128"/>
        <v>0</v>
      </c>
      <c r="AA143" s="724">
        <f t="shared" si="56"/>
        <v>0</v>
      </c>
    </row>
    <row r="144" spans="1:27" ht="24.95" hidden="1" customHeight="1">
      <c r="A144" s="32" t="e">
        <f>+CONCATENATE(#REF!,"=",I144)</f>
        <v>#REF!</v>
      </c>
      <c r="B144" s="145" t="s">
        <v>167</v>
      </c>
      <c r="C144" s="145" t="s">
        <v>171</v>
      </c>
      <c r="D144" s="145" t="s">
        <v>172</v>
      </c>
      <c r="E144" s="145" t="s">
        <v>173</v>
      </c>
      <c r="F144" s="145" t="s">
        <v>175</v>
      </c>
      <c r="G144" s="145" t="s">
        <v>187</v>
      </c>
      <c r="H144" s="145" t="s">
        <v>54</v>
      </c>
      <c r="I144" s="145" t="s">
        <v>144</v>
      </c>
      <c r="J144" s="145" t="s">
        <v>29</v>
      </c>
      <c r="K144" s="147" t="s">
        <v>178</v>
      </c>
      <c r="L144" s="148">
        <v>0</v>
      </c>
      <c r="M144" s="148"/>
      <c r="N144" s="148"/>
      <c r="O144" s="148"/>
      <c r="P144" s="148"/>
      <c r="Q144" s="148"/>
      <c r="R144" s="148">
        <f>+L144-Q144+M144-N144+O144-P144</f>
        <v>0</v>
      </c>
      <c r="S144" s="148">
        <v>0</v>
      </c>
      <c r="T144" s="148">
        <f t="shared" si="101"/>
        <v>0</v>
      </c>
      <c r="U144" s="150">
        <f t="shared" si="58"/>
        <v>0</v>
      </c>
      <c r="V144" s="148">
        <v>0</v>
      </c>
      <c r="W144" s="148">
        <f t="shared" si="110"/>
        <v>0</v>
      </c>
      <c r="X144" s="150">
        <f t="shared" si="73"/>
        <v>0</v>
      </c>
      <c r="Y144" s="148">
        <v>0</v>
      </c>
      <c r="Z144" s="148">
        <f t="shared" si="102"/>
        <v>0</v>
      </c>
      <c r="AA144" s="150">
        <f t="shared" si="56"/>
        <v>0</v>
      </c>
    </row>
    <row r="145" spans="1:27" ht="24.95" hidden="1" customHeight="1">
      <c r="A145" s="32" t="e">
        <f>+CONCATENATE(#REF!,"=",I145)</f>
        <v>#REF!</v>
      </c>
      <c r="B145" s="145" t="s">
        <v>167</v>
      </c>
      <c r="C145" s="145" t="s">
        <v>171</v>
      </c>
      <c r="D145" s="145" t="s">
        <v>172</v>
      </c>
      <c r="E145" s="145" t="s">
        <v>173</v>
      </c>
      <c r="F145" s="145" t="s">
        <v>175</v>
      </c>
      <c r="G145" s="145" t="s">
        <v>187</v>
      </c>
      <c r="H145" s="145" t="s">
        <v>65</v>
      </c>
      <c r="I145" s="145" t="s">
        <v>144</v>
      </c>
      <c r="J145" s="145" t="s">
        <v>29</v>
      </c>
      <c r="K145" s="147" t="s">
        <v>127</v>
      </c>
      <c r="L145" s="148">
        <v>0</v>
      </c>
      <c r="M145" s="148"/>
      <c r="N145" s="148"/>
      <c r="O145" s="148"/>
      <c r="P145" s="148"/>
      <c r="Q145" s="148"/>
      <c r="R145" s="148">
        <f>+L145-Q145+M145-N145+O145-P145</f>
        <v>0</v>
      </c>
      <c r="S145" s="148">
        <v>0</v>
      </c>
      <c r="T145" s="148">
        <f t="shared" si="101"/>
        <v>0</v>
      </c>
      <c r="U145" s="150">
        <f t="shared" si="58"/>
        <v>0</v>
      </c>
      <c r="V145" s="148">
        <v>0</v>
      </c>
      <c r="W145" s="148">
        <f t="shared" si="110"/>
        <v>0</v>
      </c>
      <c r="X145" s="150">
        <f t="shared" si="73"/>
        <v>0</v>
      </c>
      <c r="Y145" s="148">
        <v>0</v>
      </c>
      <c r="Z145" s="148">
        <f t="shared" si="102"/>
        <v>0</v>
      </c>
      <c r="AA145" s="150">
        <f t="shared" si="56"/>
        <v>0</v>
      </c>
    </row>
    <row r="146" spans="1:27" ht="35.25" customHeight="1">
      <c r="A146" s="32" t="e">
        <f>+CONCATENATE(#REF!,"=",I146)</f>
        <v>#REF!</v>
      </c>
      <c r="B146" s="123" t="s">
        <v>167</v>
      </c>
      <c r="C146" s="123">
        <v>4103</v>
      </c>
      <c r="D146" s="123"/>
      <c r="E146" s="123"/>
      <c r="F146" s="123"/>
      <c r="G146" s="123"/>
      <c r="H146" s="123"/>
      <c r="I146" s="124"/>
      <c r="J146" s="124"/>
      <c r="K146" s="124" t="s">
        <v>189</v>
      </c>
      <c r="L146" s="125">
        <f>+L147</f>
        <v>6217033510554</v>
      </c>
      <c r="M146" s="719">
        <f t="shared" ref="M146:T146" si="129">+M147</f>
        <v>0</v>
      </c>
      <c r="N146" s="719">
        <f t="shared" si="129"/>
        <v>0</v>
      </c>
      <c r="O146" s="125">
        <f t="shared" si="129"/>
        <v>76768723895.320007</v>
      </c>
      <c r="P146" s="125">
        <f t="shared" si="129"/>
        <v>76768723895.320007</v>
      </c>
      <c r="Q146" s="125">
        <f t="shared" si="129"/>
        <v>318792361084</v>
      </c>
      <c r="R146" s="125">
        <f t="shared" si="129"/>
        <v>5898241149470</v>
      </c>
      <c r="S146" s="125">
        <f t="shared" si="129"/>
        <v>2147608081077.54</v>
      </c>
      <c r="T146" s="125">
        <f t="shared" si="129"/>
        <v>3750633068392.4604</v>
      </c>
      <c r="U146" s="126">
        <f t="shared" si="58"/>
        <v>0.36410991457521508</v>
      </c>
      <c r="V146" s="125">
        <f t="shared" ref="V146:W146" si="130">+V147</f>
        <v>1750110813142.29</v>
      </c>
      <c r="W146" s="125">
        <f t="shared" si="130"/>
        <v>397497267935.25006</v>
      </c>
      <c r="X146" s="126">
        <f t="shared" si="73"/>
        <v>0.18508836478944982</v>
      </c>
      <c r="Y146" s="125">
        <f t="shared" ref="Y146:Z146" si="131">+Y147</f>
        <v>1748687810948.25</v>
      </c>
      <c r="Z146" s="125">
        <f t="shared" si="131"/>
        <v>1423002194.04</v>
      </c>
      <c r="AA146" s="720">
        <f t="shared" si="56"/>
        <v>0.8142490365704268</v>
      </c>
    </row>
    <row r="147" spans="1:27" ht="24" customHeight="1">
      <c r="A147" s="32" t="e">
        <f>+CONCATENATE(#REF!,"=",I147)</f>
        <v>#REF!</v>
      </c>
      <c r="B147" s="128" t="s">
        <v>167</v>
      </c>
      <c r="C147" s="128">
        <v>4103</v>
      </c>
      <c r="D147" s="128">
        <v>1500</v>
      </c>
      <c r="E147" s="128"/>
      <c r="F147" s="128"/>
      <c r="G147" s="128"/>
      <c r="H147" s="128"/>
      <c r="I147" s="129"/>
      <c r="J147" s="129"/>
      <c r="K147" s="129" t="s">
        <v>170</v>
      </c>
      <c r="L147" s="130">
        <f t="shared" ref="L147:T147" si="132">+L148+L157+L166+L174+L179+L188+L191+L198+L202+L231+L214</f>
        <v>6217033510554</v>
      </c>
      <c r="M147" s="721">
        <f t="shared" si="132"/>
        <v>0</v>
      </c>
      <c r="N147" s="721">
        <f t="shared" si="132"/>
        <v>0</v>
      </c>
      <c r="O147" s="130">
        <f t="shared" si="132"/>
        <v>76768723895.320007</v>
      </c>
      <c r="P147" s="130">
        <f t="shared" si="132"/>
        <v>76768723895.320007</v>
      </c>
      <c r="Q147" s="130">
        <f t="shared" si="132"/>
        <v>318792361084</v>
      </c>
      <c r="R147" s="130">
        <f t="shared" si="132"/>
        <v>5898241149470</v>
      </c>
      <c r="S147" s="130">
        <f t="shared" si="132"/>
        <v>2147608081077.54</v>
      </c>
      <c r="T147" s="130">
        <f t="shared" si="132"/>
        <v>3750633068392.4604</v>
      </c>
      <c r="U147" s="131">
        <f t="shared" si="58"/>
        <v>0.36410991457521508</v>
      </c>
      <c r="V147" s="130">
        <f>+V148+V157+V166+V174+V179+V188+V191+V198+V202+V231+V214</f>
        <v>1750110813142.29</v>
      </c>
      <c r="W147" s="130">
        <f>+W148+W157+W166+W174+W179+W188+W191+W198+W202+W231+W214</f>
        <v>397497267935.25006</v>
      </c>
      <c r="X147" s="131">
        <f t="shared" si="73"/>
        <v>0.18508836478944982</v>
      </c>
      <c r="Y147" s="130">
        <f>+Y148+Y157+Y166+Y174+Y179+Y188+Y191+Y198+Y202+Y231+Y214</f>
        <v>1748687810948.25</v>
      </c>
      <c r="Z147" s="130">
        <f>+Z148+Z157+Z166+Z174+Z179+Z188+Z191+Z198+Z202+Z231+Z214</f>
        <v>1423002194.04</v>
      </c>
      <c r="AA147" s="722">
        <f t="shared" ref="AA147:AA210" si="133">+IF(S147&gt;0,(Y147/S147),0)</f>
        <v>0.8142490365704268</v>
      </c>
    </row>
    <row r="148" spans="1:27" ht="42.75" customHeight="1">
      <c r="A148" s="32" t="e">
        <f>+CONCATENATE(#REF!,"=",I148)</f>
        <v>#REF!</v>
      </c>
      <c r="B148" s="133" t="s">
        <v>167</v>
      </c>
      <c r="C148" s="133" t="s">
        <v>190</v>
      </c>
      <c r="D148" s="133" t="s">
        <v>172</v>
      </c>
      <c r="E148" s="133" t="s">
        <v>191</v>
      </c>
      <c r="F148" s="133"/>
      <c r="G148" s="133"/>
      <c r="H148" s="133"/>
      <c r="I148" s="133"/>
      <c r="J148" s="134"/>
      <c r="K148" s="134" t="s">
        <v>263</v>
      </c>
      <c r="L148" s="135">
        <f>+L149+L154</f>
        <v>2404147573733</v>
      </c>
      <c r="M148" s="136">
        <f t="shared" ref="M148:T148" si="134">+M149+M154</f>
        <v>0</v>
      </c>
      <c r="N148" s="136">
        <f t="shared" si="134"/>
        <v>0</v>
      </c>
      <c r="O148" s="135">
        <f t="shared" si="134"/>
        <v>15028347665.059999</v>
      </c>
      <c r="P148" s="135">
        <f t="shared" si="134"/>
        <v>15028347665.059999</v>
      </c>
      <c r="Q148" s="135">
        <f t="shared" si="134"/>
        <v>0</v>
      </c>
      <c r="R148" s="135">
        <f t="shared" si="134"/>
        <v>2404147573733.0005</v>
      </c>
      <c r="S148" s="135">
        <f t="shared" si="134"/>
        <v>702352271530.59998</v>
      </c>
      <c r="T148" s="135">
        <f t="shared" si="134"/>
        <v>1701795302202.4004</v>
      </c>
      <c r="U148" s="137">
        <f t="shared" si="58"/>
        <v>0.29214191308565723</v>
      </c>
      <c r="V148" s="135">
        <f t="shared" ref="V148:W148" si="135">+V149+V154</f>
        <v>636418967069.55005</v>
      </c>
      <c r="W148" s="135">
        <f t="shared" si="135"/>
        <v>65933304461.050003</v>
      </c>
      <c r="X148" s="137">
        <f t="shared" si="73"/>
        <v>9.3874978602069531E-2</v>
      </c>
      <c r="Y148" s="135">
        <f t="shared" ref="Y148:Z148" si="136">+Y149+Y154</f>
        <v>636191167954.55005</v>
      </c>
      <c r="Z148" s="135">
        <f t="shared" si="136"/>
        <v>227799115</v>
      </c>
      <c r="AA148" s="723">
        <f t="shared" si="133"/>
        <v>0.90580068399028812</v>
      </c>
    </row>
    <row r="149" spans="1:27" ht="30.75" customHeight="1">
      <c r="A149" s="32" t="e">
        <f>+CONCATENATE(#REF!,"=",I149)</f>
        <v>#REF!</v>
      </c>
      <c r="B149" s="139" t="s">
        <v>167</v>
      </c>
      <c r="C149" s="139" t="s">
        <v>190</v>
      </c>
      <c r="D149" s="139" t="s">
        <v>172</v>
      </c>
      <c r="E149" s="139" t="s">
        <v>191</v>
      </c>
      <c r="F149" s="139" t="s">
        <v>175</v>
      </c>
      <c r="G149" s="139" t="s">
        <v>193</v>
      </c>
      <c r="H149" s="139"/>
      <c r="I149" s="139"/>
      <c r="J149" s="140"/>
      <c r="K149" s="140" t="s">
        <v>194</v>
      </c>
      <c r="L149" s="141">
        <f t="shared" ref="L149" si="137">SUM(L150:L153)</f>
        <v>2398883573733</v>
      </c>
      <c r="M149" s="142">
        <f t="shared" ref="M149:T149" si="138">SUM(M150:M153)</f>
        <v>0</v>
      </c>
      <c r="N149" s="142">
        <f t="shared" si="138"/>
        <v>0</v>
      </c>
      <c r="O149" s="141">
        <f t="shared" si="138"/>
        <v>15028347665.059999</v>
      </c>
      <c r="P149" s="141">
        <f t="shared" si="138"/>
        <v>14899379616.059999</v>
      </c>
      <c r="Q149" s="141">
        <f t="shared" si="138"/>
        <v>0</v>
      </c>
      <c r="R149" s="141">
        <f t="shared" si="138"/>
        <v>2399012541782.0005</v>
      </c>
      <c r="S149" s="141">
        <f t="shared" si="138"/>
        <v>697217239579.59998</v>
      </c>
      <c r="T149" s="141">
        <f t="shared" si="138"/>
        <v>1701795302202.4004</v>
      </c>
      <c r="U149" s="143">
        <f t="shared" si="58"/>
        <v>0.29062675890043616</v>
      </c>
      <c r="V149" s="141">
        <f t="shared" ref="V149:W149" si="139">SUM(V150:V153)</f>
        <v>636418967069.55005</v>
      </c>
      <c r="W149" s="141">
        <f t="shared" si="139"/>
        <v>60798272510.050003</v>
      </c>
      <c r="X149" s="143">
        <f t="shared" si="73"/>
        <v>8.7201332753489347E-2</v>
      </c>
      <c r="Y149" s="141">
        <f t="shared" ref="Y149:Z149" si="140">SUM(Y150:Y153)</f>
        <v>636191167954.55005</v>
      </c>
      <c r="Z149" s="141">
        <f t="shared" si="140"/>
        <v>227799115</v>
      </c>
      <c r="AA149" s="724">
        <f t="shared" si="133"/>
        <v>0.91247194108130958</v>
      </c>
    </row>
    <row r="150" spans="1:27" ht="24.95" hidden="1" customHeight="1">
      <c r="A150" s="32" t="e">
        <f>+CONCATENATE(#REF!,"=",I150)</f>
        <v>#REF!</v>
      </c>
      <c r="B150" s="145" t="s">
        <v>167</v>
      </c>
      <c r="C150" s="145" t="s">
        <v>190</v>
      </c>
      <c r="D150" s="145" t="s">
        <v>172</v>
      </c>
      <c r="E150" s="145" t="s">
        <v>191</v>
      </c>
      <c r="F150" s="145" t="s">
        <v>175</v>
      </c>
      <c r="G150" s="145" t="s">
        <v>193</v>
      </c>
      <c r="H150" s="145" t="s">
        <v>54</v>
      </c>
      <c r="I150" s="145">
        <v>10</v>
      </c>
      <c r="J150" s="145" t="s">
        <v>29</v>
      </c>
      <c r="K150" s="147" t="s">
        <v>178</v>
      </c>
      <c r="L150" s="148">
        <v>0</v>
      </c>
      <c r="M150" s="148"/>
      <c r="N150" s="148"/>
      <c r="O150" s="148"/>
      <c r="P150" s="148"/>
      <c r="Q150" s="148"/>
      <c r="R150" s="148">
        <f>+L150-Q150+M150-N150+O150-P150</f>
        <v>0</v>
      </c>
      <c r="S150" s="148">
        <v>0</v>
      </c>
      <c r="T150" s="148">
        <f>+R150-S150</f>
        <v>0</v>
      </c>
      <c r="U150" s="150">
        <f t="shared" si="58"/>
        <v>0</v>
      </c>
      <c r="V150" s="148">
        <v>0</v>
      </c>
      <c r="W150" s="148">
        <f>+S150-V150</f>
        <v>0</v>
      </c>
      <c r="X150" s="150">
        <f t="shared" si="73"/>
        <v>0</v>
      </c>
      <c r="Y150" s="148">
        <v>0</v>
      </c>
      <c r="Z150" s="148">
        <f>+V150-Y150</f>
        <v>0</v>
      </c>
      <c r="AA150" s="150">
        <f t="shared" si="133"/>
        <v>0</v>
      </c>
    </row>
    <row r="151" spans="1:27" ht="24.95" customHeight="1">
      <c r="A151" s="32" t="e">
        <f>+CONCATENATE(#REF!,"=",I151)</f>
        <v>#REF!</v>
      </c>
      <c r="B151" s="145" t="s">
        <v>167</v>
      </c>
      <c r="C151" s="145" t="s">
        <v>190</v>
      </c>
      <c r="D151" s="145" t="s">
        <v>172</v>
      </c>
      <c r="E151" s="145" t="s">
        <v>191</v>
      </c>
      <c r="F151" s="145" t="s">
        <v>175</v>
      </c>
      <c r="G151" s="145" t="s">
        <v>193</v>
      </c>
      <c r="H151" s="145" t="s">
        <v>54</v>
      </c>
      <c r="I151" s="145">
        <v>11</v>
      </c>
      <c r="J151" s="145" t="s">
        <v>29</v>
      </c>
      <c r="K151" s="147" t="s">
        <v>178</v>
      </c>
      <c r="L151" s="148">
        <v>137428156966</v>
      </c>
      <c r="M151" s="148"/>
      <c r="N151" s="148"/>
      <c r="O151" s="148">
        <f>715716082+3426736692.09+272086+649172244+6000000</f>
        <v>4797897104.0900002</v>
      </c>
      <c r="P151" s="148">
        <f>10101482511.97</f>
        <v>10101482511.969999</v>
      </c>
      <c r="Q151" s="148"/>
      <c r="R151" s="148">
        <f>+L151-Q151+M151-N151+O151-P151</f>
        <v>132124571558.12</v>
      </c>
      <c r="S151" s="148">
        <v>81740118131.600006</v>
      </c>
      <c r="T151" s="148">
        <f>+R151-S151</f>
        <v>50384453426.519989</v>
      </c>
      <c r="U151" s="150">
        <f t="shared" si="58"/>
        <v>0.61865947543030264</v>
      </c>
      <c r="V151" s="148">
        <v>20999712221.549999</v>
      </c>
      <c r="W151" s="148">
        <f>+S151-V151</f>
        <v>60740405910.050003</v>
      </c>
      <c r="X151" s="150">
        <f t="shared" si="73"/>
        <v>0.74309173143424045</v>
      </c>
      <c r="Y151" s="148">
        <v>20771913106.549999</v>
      </c>
      <c r="Z151" s="148">
        <f>+V151-Y151</f>
        <v>227799115</v>
      </c>
      <c r="AA151" s="150">
        <f t="shared" si="133"/>
        <v>0.25412139817448787</v>
      </c>
    </row>
    <row r="152" spans="1:27" ht="24.95" hidden="1" customHeight="1">
      <c r="A152" s="32" t="e">
        <f>+CONCATENATE(#REF!,"=",I152)</f>
        <v>#REF!</v>
      </c>
      <c r="B152" s="145" t="s">
        <v>167</v>
      </c>
      <c r="C152" s="145" t="s">
        <v>190</v>
      </c>
      <c r="D152" s="145" t="s">
        <v>172</v>
      </c>
      <c r="E152" s="145" t="s">
        <v>191</v>
      </c>
      <c r="F152" s="145" t="s">
        <v>175</v>
      </c>
      <c r="G152" s="145" t="s">
        <v>193</v>
      </c>
      <c r="H152" s="145" t="s">
        <v>65</v>
      </c>
      <c r="I152" s="145">
        <v>10</v>
      </c>
      <c r="J152" s="145" t="s">
        <v>29</v>
      </c>
      <c r="K152" s="147" t="s">
        <v>127</v>
      </c>
      <c r="L152" s="148">
        <v>0</v>
      </c>
      <c r="M152" s="148"/>
      <c r="N152" s="148"/>
      <c r="O152" s="148"/>
      <c r="P152" s="148"/>
      <c r="Q152" s="148"/>
      <c r="R152" s="148">
        <f>+L152-Q152+M152-N152+O152-P152</f>
        <v>0</v>
      </c>
      <c r="S152" s="148">
        <v>0</v>
      </c>
      <c r="T152" s="148">
        <f>+R152-S152</f>
        <v>0</v>
      </c>
      <c r="U152" s="150">
        <f t="shared" si="58"/>
        <v>0</v>
      </c>
      <c r="V152" s="148">
        <v>0</v>
      </c>
      <c r="W152" s="148">
        <f>+S152-V152</f>
        <v>0</v>
      </c>
      <c r="X152" s="150">
        <f t="shared" si="73"/>
        <v>0</v>
      </c>
      <c r="Y152" s="148">
        <v>0</v>
      </c>
      <c r="Z152" s="148">
        <f t="shared" ref="Z152:Z153" si="141">+V152-Y152</f>
        <v>0</v>
      </c>
      <c r="AA152" s="150">
        <f t="shared" si="133"/>
        <v>0</v>
      </c>
    </row>
    <row r="153" spans="1:27" ht="24.95" customHeight="1">
      <c r="A153" s="32" t="e">
        <f>+CONCATENATE(#REF!,"=",I153)</f>
        <v>#REF!</v>
      </c>
      <c r="B153" s="145" t="s">
        <v>167</v>
      </c>
      <c r="C153" s="145" t="s">
        <v>190</v>
      </c>
      <c r="D153" s="145" t="s">
        <v>172</v>
      </c>
      <c r="E153" s="145" t="s">
        <v>191</v>
      </c>
      <c r="F153" s="145" t="s">
        <v>175</v>
      </c>
      <c r="G153" s="145" t="s">
        <v>193</v>
      </c>
      <c r="H153" s="145" t="s">
        <v>65</v>
      </c>
      <c r="I153" s="145" t="s">
        <v>144</v>
      </c>
      <c r="J153" s="145" t="s">
        <v>29</v>
      </c>
      <c r="K153" s="147" t="s">
        <v>127</v>
      </c>
      <c r="L153" s="148">
        <v>2261455416767</v>
      </c>
      <c r="M153" s="148"/>
      <c r="N153" s="148"/>
      <c r="O153" s="148">
        <f>10230450560.97</f>
        <v>10230450560.969999</v>
      </c>
      <c r="P153" s="148">
        <f>715716082+3426736692.09+272086+649172244+6000000</f>
        <v>4797897104.0900002</v>
      </c>
      <c r="Q153" s="148"/>
      <c r="R153" s="148">
        <f>+L153-Q153+M153-N153+O153-P153</f>
        <v>2266887970223.8804</v>
      </c>
      <c r="S153" s="148">
        <v>615477121448</v>
      </c>
      <c r="T153" s="148">
        <f>+R153-S153</f>
        <v>1651410848775.8804</v>
      </c>
      <c r="U153" s="150">
        <f t="shared" si="58"/>
        <v>0.27150751582453136</v>
      </c>
      <c r="V153" s="148">
        <v>615419254848</v>
      </c>
      <c r="W153" s="148">
        <f>+S153-V153</f>
        <v>57866600</v>
      </c>
      <c r="X153" s="150">
        <f t="shared" si="73"/>
        <v>9.4019091828889364E-5</v>
      </c>
      <c r="Y153" s="148">
        <v>615419254848</v>
      </c>
      <c r="Z153" s="148">
        <f t="shared" si="141"/>
        <v>0</v>
      </c>
      <c r="AA153" s="150">
        <f t="shared" si="133"/>
        <v>0.99990598090817107</v>
      </c>
    </row>
    <row r="154" spans="1:27" ht="32.25" customHeight="1">
      <c r="A154" s="32" t="e">
        <f>+CONCATENATE(#REF!,"=",I154)</f>
        <v>#REF!</v>
      </c>
      <c r="B154" s="139" t="s">
        <v>167</v>
      </c>
      <c r="C154" s="139" t="s">
        <v>190</v>
      </c>
      <c r="D154" s="139" t="s">
        <v>172</v>
      </c>
      <c r="E154" s="139" t="s">
        <v>191</v>
      </c>
      <c r="F154" s="139" t="s">
        <v>175</v>
      </c>
      <c r="G154" s="139">
        <v>4103009</v>
      </c>
      <c r="H154" s="139"/>
      <c r="I154" s="139">
        <v>10</v>
      </c>
      <c r="J154" s="140" t="s">
        <v>29</v>
      </c>
      <c r="K154" s="140" t="s">
        <v>195</v>
      </c>
      <c r="L154" s="141">
        <f>+L156</f>
        <v>5264000000</v>
      </c>
      <c r="M154" s="142">
        <f>+M156</f>
        <v>0</v>
      </c>
      <c r="N154" s="142">
        <f t="shared" ref="N154:Z154" si="142">+N156</f>
        <v>0</v>
      </c>
      <c r="O154" s="142">
        <f t="shared" si="142"/>
        <v>0</v>
      </c>
      <c r="P154" s="141">
        <f t="shared" si="142"/>
        <v>128968049</v>
      </c>
      <c r="Q154" s="142">
        <f t="shared" si="142"/>
        <v>0</v>
      </c>
      <c r="R154" s="141">
        <f t="shared" si="142"/>
        <v>5135031951</v>
      </c>
      <c r="S154" s="141">
        <f t="shared" si="142"/>
        <v>5135031951</v>
      </c>
      <c r="T154" s="141">
        <f t="shared" si="142"/>
        <v>0</v>
      </c>
      <c r="U154" s="143">
        <f t="shared" ref="U154:U242" si="143">+IF(R154&gt;0,S154/R154,0)</f>
        <v>1</v>
      </c>
      <c r="V154" s="141">
        <f t="shared" si="142"/>
        <v>0</v>
      </c>
      <c r="W154" s="141">
        <f t="shared" si="142"/>
        <v>5135031951</v>
      </c>
      <c r="X154" s="143">
        <f t="shared" si="73"/>
        <v>1</v>
      </c>
      <c r="Y154" s="141">
        <f t="shared" si="142"/>
        <v>0</v>
      </c>
      <c r="Z154" s="141">
        <f t="shared" si="142"/>
        <v>0</v>
      </c>
      <c r="AA154" s="724">
        <f t="shared" si="133"/>
        <v>0</v>
      </c>
    </row>
    <row r="155" spans="1:27" ht="24.95" hidden="1" customHeight="1">
      <c r="A155" s="32" t="e">
        <f>+CONCATENATE(#REF!,"=",I155)</f>
        <v>#REF!</v>
      </c>
      <c r="B155" s="145" t="s">
        <v>167</v>
      </c>
      <c r="C155" s="145" t="s">
        <v>190</v>
      </c>
      <c r="D155" s="145" t="s">
        <v>172</v>
      </c>
      <c r="E155" s="145" t="s">
        <v>191</v>
      </c>
      <c r="F155" s="145" t="s">
        <v>175</v>
      </c>
      <c r="G155" s="145">
        <v>4103009</v>
      </c>
      <c r="H155" s="145" t="s">
        <v>54</v>
      </c>
      <c r="I155" s="145">
        <v>10</v>
      </c>
      <c r="J155" s="145" t="s">
        <v>29</v>
      </c>
      <c r="K155" s="147" t="s">
        <v>178</v>
      </c>
      <c r="L155" s="148">
        <v>0</v>
      </c>
      <c r="M155" s="148"/>
      <c r="N155" s="148"/>
      <c r="O155" s="148"/>
      <c r="P155" s="148"/>
      <c r="Q155" s="148"/>
      <c r="R155" s="148">
        <f>+L155-Q155+M155-N155+O155-P155</f>
        <v>0</v>
      </c>
      <c r="S155" s="148">
        <v>0</v>
      </c>
      <c r="T155" s="148">
        <f>+R155-S155</f>
        <v>0</v>
      </c>
      <c r="U155" s="150">
        <f t="shared" si="143"/>
        <v>0</v>
      </c>
      <c r="V155" s="148">
        <v>0</v>
      </c>
      <c r="W155" s="148">
        <f>+S155-V155</f>
        <v>0</v>
      </c>
      <c r="X155" s="150">
        <f t="shared" si="73"/>
        <v>0</v>
      </c>
      <c r="Y155" s="148">
        <v>0</v>
      </c>
      <c r="Z155" s="148">
        <f t="shared" ref="Z155:Z156" si="144">+V155-Y155</f>
        <v>0</v>
      </c>
      <c r="AA155" s="150">
        <f t="shared" si="133"/>
        <v>0</v>
      </c>
    </row>
    <row r="156" spans="1:27" ht="24.95" customHeight="1">
      <c r="A156" s="32" t="e">
        <f>+CONCATENATE(#REF!,"=",I156)</f>
        <v>#REF!</v>
      </c>
      <c r="B156" s="145" t="s">
        <v>167</v>
      </c>
      <c r="C156" s="145" t="s">
        <v>190</v>
      </c>
      <c r="D156" s="145" t="s">
        <v>172</v>
      </c>
      <c r="E156" s="145" t="s">
        <v>191</v>
      </c>
      <c r="F156" s="145" t="s">
        <v>175</v>
      </c>
      <c r="G156" s="145">
        <v>4103009</v>
      </c>
      <c r="H156" s="145" t="s">
        <v>54</v>
      </c>
      <c r="I156" s="145">
        <v>11</v>
      </c>
      <c r="J156" s="145" t="s">
        <v>29</v>
      </c>
      <c r="K156" s="147" t="s">
        <v>178</v>
      </c>
      <c r="L156" s="148">
        <v>5264000000</v>
      </c>
      <c r="M156" s="148"/>
      <c r="N156" s="148"/>
      <c r="O156" s="148"/>
      <c r="P156" s="148">
        <f>128968049</f>
        <v>128968049</v>
      </c>
      <c r="Q156" s="148"/>
      <c r="R156" s="148">
        <f>+L156-Q156+M156-N156+O156-P156</f>
        <v>5135031951</v>
      </c>
      <c r="S156" s="148">
        <v>5135031951</v>
      </c>
      <c r="T156" s="148">
        <f>+R156-S156</f>
        <v>0</v>
      </c>
      <c r="U156" s="150">
        <f t="shared" si="143"/>
        <v>1</v>
      </c>
      <c r="V156" s="148">
        <v>0</v>
      </c>
      <c r="W156" s="148">
        <f>+S156-V156</f>
        <v>5135031951</v>
      </c>
      <c r="X156" s="150">
        <f t="shared" si="73"/>
        <v>1</v>
      </c>
      <c r="Y156" s="148">
        <v>0</v>
      </c>
      <c r="Z156" s="148">
        <f t="shared" si="144"/>
        <v>0</v>
      </c>
      <c r="AA156" s="150">
        <f t="shared" si="133"/>
        <v>0</v>
      </c>
    </row>
    <row r="157" spans="1:27" ht="42" customHeight="1">
      <c r="A157" s="32" t="e">
        <f>+CONCATENATE(#REF!,"=",I157)</f>
        <v>#REF!</v>
      </c>
      <c r="B157" s="133" t="s">
        <v>167</v>
      </c>
      <c r="C157" s="133" t="s">
        <v>190</v>
      </c>
      <c r="D157" s="133" t="s">
        <v>172</v>
      </c>
      <c r="E157" s="133" t="s">
        <v>22</v>
      </c>
      <c r="F157" s="133"/>
      <c r="G157" s="133"/>
      <c r="H157" s="133"/>
      <c r="I157" s="133"/>
      <c r="J157" s="134"/>
      <c r="K157" s="134" t="s">
        <v>264</v>
      </c>
      <c r="L157" s="135">
        <f>+L158+L160+L162+L164</f>
        <v>26000000000</v>
      </c>
      <c r="M157" s="136">
        <f t="shared" ref="M157:Z157" si="145">+M158+M160+M162+M164</f>
        <v>0</v>
      </c>
      <c r="N157" s="136">
        <f t="shared" si="145"/>
        <v>0</v>
      </c>
      <c r="O157" s="136">
        <f t="shared" si="145"/>
        <v>0</v>
      </c>
      <c r="P157" s="136">
        <f t="shared" si="145"/>
        <v>0</v>
      </c>
      <c r="Q157" s="136">
        <f t="shared" si="145"/>
        <v>0</v>
      </c>
      <c r="R157" s="135">
        <f t="shared" si="145"/>
        <v>26000000000</v>
      </c>
      <c r="S157" s="135">
        <f t="shared" si="145"/>
        <v>1651001702</v>
      </c>
      <c r="T157" s="135">
        <f t="shared" si="145"/>
        <v>24348998298</v>
      </c>
      <c r="U157" s="137">
        <f t="shared" si="143"/>
        <v>6.3500065461538455E-2</v>
      </c>
      <c r="V157" s="135">
        <f t="shared" si="145"/>
        <v>556936419</v>
      </c>
      <c r="W157" s="135">
        <f t="shared" si="145"/>
        <v>1094065283</v>
      </c>
      <c r="X157" s="137">
        <f t="shared" ref="X157:X224" si="146">+IF(S157&gt;0,W157/S157,0)</f>
        <v>0.66266756822519612</v>
      </c>
      <c r="Y157" s="135">
        <f t="shared" si="145"/>
        <v>476215054</v>
      </c>
      <c r="Z157" s="135">
        <f t="shared" si="145"/>
        <v>80721365</v>
      </c>
      <c r="AA157" s="723">
        <f t="shared" si="133"/>
        <v>0.28844007454572568</v>
      </c>
    </row>
    <row r="158" spans="1:27" ht="32.25" customHeight="1">
      <c r="A158" s="32" t="e">
        <f>+CONCATENATE(#REF!,"=",I158)</f>
        <v>#REF!</v>
      </c>
      <c r="B158" s="139" t="s">
        <v>167</v>
      </c>
      <c r="C158" s="139" t="s">
        <v>190</v>
      </c>
      <c r="D158" s="139" t="s">
        <v>172</v>
      </c>
      <c r="E158" s="139" t="s">
        <v>22</v>
      </c>
      <c r="F158" s="139" t="s">
        <v>175</v>
      </c>
      <c r="G158" s="139" t="s">
        <v>197</v>
      </c>
      <c r="H158" s="139"/>
      <c r="I158" s="139">
        <v>11</v>
      </c>
      <c r="J158" s="140" t="s">
        <v>29</v>
      </c>
      <c r="K158" s="140" t="s">
        <v>198</v>
      </c>
      <c r="L158" s="141">
        <f>+L159</f>
        <v>2722234333</v>
      </c>
      <c r="M158" s="142">
        <f t="shared" ref="M158:Z158" si="147">+M159</f>
        <v>0</v>
      </c>
      <c r="N158" s="142">
        <f t="shared" si="147"/>
        <v>0</v>
      </c>
      <c r="O158" s="142">
        <f t="shared" si="147"/>
        <v>0</v>
      </c>
      <c r="P158" s="142">
        <f t="shared" si="147"/>
        <v>0</v>
      </c>
      <c r="Q158" s="142">
        <f t="shared" si="147"/>
        <v>0</v>
      </c>
      <c r="R158" s="141">
        <f t="shared" si="147"/>
        <v>2722234333</v>
      </c>
      <c r="S158" s="141">
        <f t="shared" si="147"/>
        <v>0</v>
      </c>
      <c r="T158" s="141">
        <f t="shared" si="147"/>
        <v>2722234333</v>
      </c>
      <c r="U158" s="143">
        <f t="shared" si="143"/>
        <v>0</v>
      </c>
      <c r="V158" s="141">
        <f t="shared" si="147"/>
        <v>0</v>
      </c>
      <c r="W158" s="142">
        <f t="shared" si="147"/>
        <v>0</v>
      </c>
      <c r="X158" s="143">
        <f t="shared" si="146"/>
        <v>0</v>
      </c>
      <c r="Y158" s="141">
        <f t="shared" si="147"/>
        <v>0</v>
      </c>
      <c r="Z158" s="141">
        <f t="shared" si="147"/>
        <v>0</v>
      </c>
      <c r="AA158" s="724">
        <f t="shared" si="133"/>
        <v>0</v>
      </c>
    </row>
    <row r="159" spans="1:27" ht="24.95" customHeight="1">
      <c r="A159" s="32" t="e">
        <f>+CONCATENATE(#REF!,"=",I159)</f>
        <v>#REF!</v>
      </c>
      <c r="B159" s="145" t="s">
        <v>167</v>
      </c>
      <c r="C159" s="145" t="s">
        <v>190</v>
      </c>
      <c r="D159" s="145" t="s">
        <v>172</v>
      </c>
      <c r="E159" s="145" t="s">
        <v>22</v>
      </c>
      <c r="F159" s="145" t="s">
        <v>175</v>
      </c>
      <c r="G159" s="145" t="s">
        <v>197</v>
      </c>
      <c r="H159" s="145" t="s">
        <v>54</v>
      </c>
      <c r="I159" s="145">
        <v>11</v>
      </c>
      <c r="J159" s="145" t="s">
        <v>29</v>
      </c>
      <c r="K159" s="147" t="s">
        <v>178</v>
      </c>
      <c r="L159" s="148">
        <v>2722234333</v>
      </c>
      <c r="M159" s="148"/>
      <c r="N159" s="148"/>
      <c r="O159" s="148"/>
      <c r="P159" s="148"/>
      <c r="Q159" s="148"/>
      <c r="R159" s="148">
        <f>+L159-Q159+M159-N159+O159-P159</f>
        <v>2722234333</v>
      </c>
      <c r="S159" s="148">
        <v>0</v>
      </c>
      <c r="T159" s="148">
        <f t="shared" si="101"/>
        <v>2722234333</v>
      </c>
      <c r="U159" s="150">
        <f t="shared" si="143"/>
        <v>0</v>
      </c>
      <c r="V159" s="148">
        <v>0</v>
      </c>
      <c r="W159" s="148">
        <f t="shared" si="110"/>
        <v>0</v>
      </c>
      <c r="X159" s="150">
        <f t="shared" si="146"/>
        <v>0</v>
      </c>
      <c r="Y159" s="148">
        <v>0</v>
      </c>
      <c r="Z159" s="148">
        <f t="shared" si="102"/>
        <v>0</v>
      </c>
      <c r="AA159" s="150">
        <f t="shared" si="133"/>
        <v>0</v>
      </c>
    </row>
    <row r="160" spans="1:27" ht="32.25" customHeight="1">
      <c r="A160" s="32" t="e">
        <f>+CONCATENATE(#REF!,"=",I160)</f>
        <v>#REF!</v>
      </c>
      <c r="B160" s="139" t="s">
        <v>167</v>
      </c>
      <c r="C160" s="139" t="s">
        <v>190</v>
      </c>
      <c r="D160" s="139" t="s">
        <v>172</v>
      </c>
      <c r="E160" s="139" t="s">
        <v>22</v>
      </c>
      <c r="F160" s="139" t="s">
        <v>175</v>
      </c>
      <c r="G160" s="139" t="s">
        <v>199</v>
      </c>
      <c r="H160" s="139"/>
      <c r="I160" s="139">
        <v>11</v>
      </c>
      <c r="J160" s="140" t="s">
        <v>29</v>
      </c>
      <c r="K160" s="140" t="s">
        <v>200</v>
      </c>
      <c r="L160" s="141">
        <f>+L161</f>
        <v>2304259288</v>
      </c>
      <c r="M160" s="142">
        <f t="shared" ref="M160:Z160" si="148">+M161</f>
        <v>0</v>
      </c>
      <c r="N160" s="142">
        <f t="shared" si="148"/>
        <v>0</v>
      </c>
      <c r="O160" s="142">
        <f t="shared" si="148"/>
        <v>0</v>
      </c>
      <c r="P160" s="142">
        <f t="shared" si="148"/>
        <v>0</v>
      </c>
      <c r="Q160" s="142">
        <f t="shared" si="148"/>
        <v>0</v>
      </c>
      <c r="R160" s="141">
        <f t="shared" si="148"/>
        <v>2304259288</v>
      </c>
      <c r="S160" s="141">
        <f t="shared" si="148"/>
        <v>0</v>
      </c>
      <c r="T160" s="141">
        <f t="shared" si="148"/>
        <v>2304259288</v>
      </c>
      <c r="U160" s="143">
        <f t="shared" si="143"/>
        <v>0</v>
      </c>
      <c r="V160" s="141">
        <f t="shared" si="148"/>
        <v>0</v>
      </c>
      <c r="W160" s="142">
        <f t="shared" si="148"/>
        <v>0</v>
      </c>
      <c r="X160" s="143">
        <f t="shared" si="146"/>
        <v>0</v>
      </c>
      <c r="Y160" s="141">
        <f t="shared" si="148"/>
        <v>0</v>
      </c>
      <c r="Z160" s="141">
        <f t="shared" si="148"/>
        <v>0</v>
      </c>
      <c r="AA160" s="724">
        <f t="shared" si="133"/>
        <v>0</v>
      </c>
    </row>
    <row r="161" spans="1:27" ht="24.95" customHeight="1">
      <c r="A161" s="32" t="e">
        <f>+CONCATENATE(#REF!,"=",I161)</f>
        <v>#REF!</v>
      </c>
      <c r="B161" s="145" t="s">
        <v>167</v>
      </c>
      <c r="C161" s="145" t="s">
        <v>190</v>
      </c>
      <c r="D161" s="145" t="s">
        <v>172</v>
      </c>
      <c r="E161" s="145" t="s">
        <v>22</v>
      </c>
      <c r="F161" s="145" t="s">
        <v>175</v>
      </c>
      <c r="G161" s="145" t="s">
        <v>199</v>
      </c>
      <c r="H161" s="145" t="s">
        <v>54</v>
      </c>
      <c r="I161" s="145">
        <v>11</v>
      </c>
      <c r="J161" s="145" t="s">
        <v>29</v>
      </c>
      <c r="K161" s="147" t="s">
        <v>178</v>
      </c>
      <c r="L161" s="148">
        <v>2304259288</v>
      </c>
      <c r="M161" s="148"/>
      <c r="N161" s="148"/>
      <c r="O161" s="148"/>
      <c r="P161" s="148"/>
      <c r="Q161" s="148"/>
      <c r="R161" s="148">
        <f>+L161-Q161+M161-N161+O161-P161</f>
        <v>2304259288</v>
      </c>
      <c r="S161" s="148">
        <v>0</v>
      </c>
      <c r="T161" s="148">
        <f t="shared" si="101"/>
        <v>2304259288</v>
      </c>
      <c r="U161" s="150">
        <f t="shared" si="143"/>
        <v>0</v>
      </c>
      <c r="V161" s="148">
        <v>0</v>
      </c>
      <c r="W161" s="148">
        <f t="shared" si="110"/>
        <v>0</v>
      </c>
      <c r="X161" s="150">
        <f t="shared" si="146"/>
        <v>0</v>
      </c>
      <c r="Y161" s="148">
        <v>0</v>
      </c>
      <c r="Z161" s="148">
        <f t="shared" si="102"/>
        <v>0</v>
      </c>
      <c r="AA161" s="150">
        <f t="shared" si="133"/>
        <v>0</v>
      </c>
    </row>
    <row r="162" spans="1:27" ht="32.25" customHeight="1">
      <c r="A162" s="32" t="e">
        <f>+CONCATENATE(#REF!,"=",I162)</f>
        <v>#REF!</v>
      </c>
      <c r="B162" s="139" t="s">
        <v>167</v>
      </c>
      <c r="C162" s="139" t="s">
        <v>190</v>
      </c>
      <c r="D162" s="139" t="s">
        <v>172</v>
      </c>
      <c r="E162" s="139" t="s">
        <v>22</v>
      </c>
      <c r="F162" s="139" t="s">
        <v>175</v>
      </c>
      <c r="G162" s="139" t="s">
        <v>201</v>
      </c>
      <c r="H162" s="139"/>
      <c r="I162" s="139">
        <v>11</v>
      </c>
      <c r="J162" s="140" t="s">
        <v>29</v>
      </c>
      <c r="K162" s="140" t="s">
        <v>202</v>
      </c>
      <c r="L162" s="141">
        <f>+L163</f>
        <v>2444410079</v>
      </c>
      <c r="M162" s="142">
        <f t="shared" ref="M162:Z162" si="149">+M163</f>
        <v>0</v>
      </c>
      <c r="N162" s="142">
        <f t="shared" si="149"/>
        <v>0</v>
      </c>
      <c r="O162" s="142">
        <f t="shared" si="149"/>
        <v>0</v>
      </c>
      <c r="P162" s="142">
        <f t="shared" si="149"/>
        <v>0</v>
      </c>
      <c r="Q162" s="142">
        <f t="shared" si="149"/>
        <v>0</v>
      </c>
      <c r="R162" s="141">
        <f t="shared" si="149"/>
        <v>2444410079</v>
      </c>
      <c r="S162" s="141">
        <f t="shared" si="149"/>
        <v>1651001702</v>
      </c>
      <c r="T162" s="141">
        <f t="shared" si="149"/>
        <v>793408377</v>
      </c>
      <c r="U162" s="143">
        <f t="shared" si="143"/>
        <v>0.67541928262520468</v>
      </c>
      <c r="V162" s="141">
        <f t="shared" si="149"/>
        <v>556936419</v>
      </c>
      <c r="W162" s="141">
        <f t="shared" si="149"/>
        <v>1094065283</v>
      </c>
      <c r="X162" s="143">
        <f t="shared" si="146"/>
        <v>0.66266756822519612</v>
      </c>
      <c r="Y162" s="141">
        <f t="shared" si="149"/>
        <v>476215054</v>
      </c>
      <c r="Z162" s="141">
        <f t="shared" si="149"/>
        <v>80721365</v>
      </c>
      <c r="AA162" s="724">
        <f t="shared" si="133"/>
        <v>0.28844007454572568</v>
      </c>
    </row>
    <row r="163" spans="1:27" ht="24.95" customHeight="1">
      <c r="A163" s="32" t="e">
        <f>+CONCATENATE(#REF!,"=",I163)</f>
        <v>#REF!</v>
      </c>
      <c r="B163" s="145" t="s">
        <v>167</v>
      </c>
      <c r="C163" s="145" t="s">
        <v>190</v>
      </c>
      <c r="D163" s="145" t="s">
        <v>172</v>
      </c>
      <c r="E163" s="145" t="s">
        <v>22</v>
      </c>
      <c r="F163" s="145" t="s">
        <v>175</v>
      </c>
      <c r="G163" s="145" t="s">
        <v>201</v>
      </c>
      <c r="H163" s="145" t="s">
        <v>54</v>
      </c>
      <c r="I163" s="145">
        <v>11</v>
      </c>
      <c r="J163" s="145" t="s">
        <v>29</v>
      </c>
      <c r="K163" s="147" t="s">
        <v>178</v>
      </c>
      <c r="L163" s="148">
        <v>2444410079</v>
      </c>
      <c r="M163" s="148"/>
      <c r="N163" s="148"/>
      <c r="O163" s="148"/>
      <c r="P163" s="148"/>
      <c r="Q163" s="148"/>
      <c r="R163" s="148">
        <f>+L163-Q163+M163-N163+O163-P163</f>
        <v>2444410079</v>
      </c>
      <c r="S163" s="148">
        <v>1651001702</v>
      </c>
      <c r="T163" s="148">
        <f t="shared" si="101"/>
        <v>793408377</v>
      </c>
      <c r="U163" s="150">
        <f t="shared" si="143"/>
        <v>0.67541928262520468</v>
      </c>
      <c r="V163" s="148">
        <v>556936419</v>
      </c>
      <c r="W163" s="148">
        <f t="shared" si="110"/>
        <v>1094065283</v>
      </c>
      <c r="X163" s="150">
        <f t="shared" si="146"/>
        <v>0.66266756822519612</v>
      </c>
      <c r="Y163" s="148">
        <v>476215054</v>
      </c>
      <c r="Z163" s="148">
        <f t="shared" si="102"/>
        <v>80721365</v>
      </c>
      <c r="AA163" s="150">
        <f t="shared" si="133"/>
        <v>0.28844007454572568</v>
      </c>
    </row>
    <row r="164" spans="1:27" ht="32.25" customHeight="1">
      <c r="A164" s="32" t="e">
        <f>+CONCATENATE(#REF!,"=",I164)</f>
        <v>#REF!</v>
      </c>
      <c r="B164" s="139" t="s">
        <v>167</v>
      </c>
      <c r="C164" s="139" t="s">
        <v>190</v>
      </c>
      <c r="D164" s="139" t="s">
        <v>172</v>
      </c>
      <c r="E164" s="139" t="s">
        <v>22</v>
      </c>
      <c r="F164" s="139" t="s">
        <v>175</v>
      </c>
      <c r="G164" s="139" t="s">
        <v>203</v>
      </c>
      <c r="H164" s="139"/>
      <c r="I164" s="139">
        <v>11</v>
      </c>
      <c r="J164" s="140" t="s">
        <v>29</v>
      </c>
      <c r="K164" s="140" t="s">
        <v>204</v>
      </c>
      <c r="L164" s="141">
        <f t="shared" ref="L164:T164" si="150">SUM(L165:L165)</f>
        <v>18529096300</v>
      </c>
      <c r="M164" s="142">
        <f t="shared" si="150"/>
        <v>0</v>
      </c>
      <c r="N164" s="142">
        <f t="shared" si="150"/>
        <v>0</v>
      </c>
      <c r="O164" s="142">
        <f t="shared" si="150"/>
        <v>0</v>
      </c>
      <c r="P164" s="142">
        <f t="shared" si="150"/>
        <v>0</v>
      </c>
      <c r="Q164" s="142">
        <f t="shared" si="150"/>
        <v>0</v>
      </c>
      <c r="R164" s="141">
        <f t="shared" si="150"/>
        <v>18529096300</v>
      </c>
      <c r="S164" s="141">
        <f t="shared" si="150"/>
        <v>0</v>
      </c>
      <c r="T164" s="141">
        <f t="shared" si="150"/>
        <v>18529096300</v>
      </c>
      <c r="U164" s="143">
        <f t="shared" si="143"/>
        <v>0</v>
      </c>
      <c r="V164" s="141">
        <f t="shared" ref="V164:W164" si="151">SUM(V165:V165)</f>
        <v>0</v>
      </c>
      <c r="W164" s="142">
        <f t="shared" si="151"/>
        <v>0</v>
      </c>
      <c r="X164" s="143">
        <f t="shared" si="146"/>
        <v>0</v>
      </c>
      <c r="Y164" s="141">
        <f t="shared" ref="Y164:Z164" si="152">SUM(Y165:Y165)</f>
        <v>0</v>
      </c>
      <c r="Z164" s="141">
        <f t="shared" si="152"/>
        <v>0</v>
      </c>
      <c r="AA164" s="724">
        <f t="shared" si="133"/>
        <v>0</v>
      </c>
    </row>
    <row r="165" spans="1:27" ht="24.95" customHeight="1">
      <c r="A165" s="32" t="e">
        <f>+CONCATENATE(#REF!,"=",I165)</f>
        <v>#REF!</v>
      </c>
      <c r="B165" s="145" t="s">
        <v>167</v>
      </c>
      <c r="C165" s="145" t="s">
        <v>190</v>
      </c>
      <c r="D165" s="145" t="s">
        <v>172</v>
      </c>
      <c r="E165" s="145" t="s">
        <v>22</v>
      </c>
      <c r="F165" s="145" t="s">
        <v>175</v>
      </c>
      <c r="G165" s="145" t="s">
        <v>203</v>
      </c>
      <c r="H165" s="145" t="s">
        <v>54</v>
      </c>
      <c r="I165" s="145">
        <v>11</v>
      </c>
      <c r="J165" s="145" t="s">
        <v>29</v>
      </c>
      <c r="K165" s="147" t="s">
        <v>178</v>
      </c>
      <c r="L165" s="148">
        <v>18529096300</v>
      </c>
      <c r="M165" s="148"/>
      <c r="N165" s="148"/>
      <c r="O165" s="148"/>
      <c r="P165" s="148"/>
      <c r="Q165" s="148"/>
      <c r="R165" s="148">
        <f>+L165-Q165+M165-N165+O165-P165</f>
        <v>18529096300</v>
      </c>
      <c r="S165" s="148">
        <v>0</v>
      </c>
      <c r="T165" s="148">
        <f t="shared" si="101"/>
        <v>18529096300</v>
      </c>
      <c r="U165" s="150">
        <f t="shared" si="143"/>
        <v>0</v>
      </c>
      <c r="V165" s="148">
        <v>0</v>
      </c>
      <c r="W165" s="148">
        <f t="shared" si="110"/>
        <v>0</v>
      </c>
      <c r="X165" s="150">
        <f t="shared" si="146"/>
        <v>0</v>
      </c>
      <c r="Y165" s="148">
        <v>0</v>
      </c>
      <c r="Z165" s="148">
        <f t="shared" si="102"/>
        <v>0</v>
      </c>
      <c r="AA165" s="150">
        <f t="shared" si="133"/>
        <v>0</v>
      </c>
    </row>
    <row r="166" spans="1:27" ht="42" customHeight="1">
      <c r="A166" s="32" t="e">
        <f>+CONCATENATE(#REF!,"=",I166)</f>
        <v>#REF!</v>
      </c>
      <c r="B166" s="133" t="s">
        <v>167</v>
      </c>
      <c r="C166" s="133" t="s">
        <v>190</v>
      </c>
      <c r="D166" s="133" t="s">
        <v>172</v>
      </c>
      <c r="E166" s="133" t="s">
        <v>205</v>
      </c>
      <c r="F166" s="133"/>
      <c r="G166" s="133"/>
      <c r="H166" s="133"/>
      <c r="I166" s="133"/>
      <c r="J166" s="134"/>
      <c r="K166" s="134" t="s">
        <v>265</v>
      </c>
      <c r="L166" s="135">
        <f>+L168+L172+L167</f>
        <v>881000000000</v>
      </c>
      <c r="M166" s="136">
        <f t="shared" ref="M166:R166" si="153">+M168+M172+M167</f>
        <v>0</v>
      </c>
      <c r="N166" s="136">
        <f t="shared" si="153"/>
        <v>0</v>
      </c>
      <c r="O166" s="135">
        <f t="shared" si="153"/>
        <v>25010890225.259998</v>
      </c>
      <c r="P166" s="135">
        <f t="shared" si="153"/>
        <v>25010890225.259998</v>
      </c>
      <c r="Q166" s="135">
        <f t="shared" si="153"/>
        <v>318792361084</v>
      </c>
      <c r="R166" s="135">
        <f t="shared" si="153"/>
        <v>562207638916</v>
      </c>
      <c r="S166" s="135">
        <f t="shared" ref="S166:T166" si="154">+S168+S172</f>
        <v>277263445789.84998</v>
      </c>
      <c r="T166" s="135">
        <f t="shared" si="154"/>
        <v>284944193126.14996</v>
      </c>
      <c r="U166" s="137">
        <f t="shared" si="143"/>
        <v>0.49316911866307134</v>
      </c>
      <c r="V166" s="135">
        <f t="shared" ref="V166:W166" si="155">+V168+V172</f>
        <v>56427117115.32</v>
      </c>
      <c r="W166" s="135">
        <f t="shared" si="155"/>
        <v>220836328674.53003</v>
      </c>
      <c r="X166" s="137">
        <f t="shared" si="146"/>
        <v>0.7964855520186801</v>
      </c>
      <c r="Y166" s="135">
        <f t="shared" ref="Y166:Z166" si="156">+Y168+Y172</f>
        <v>55797535939.279999</v>
      </c>
      <c r="Z166" s="135">
        <f t="shared" si="156"/>
        <v>629581176.03999996</v>
      </c>
      <c r="AA166" s="723">
        <f t="shared" si="133"/>
        <v>0.20124375133666692</v>
      </c>
    </row>
    <row r="167" spans="1:27" ht="45" hidden="1" customHeight="1">
      <c r="A167" s="32"/>
      <c r="B167" s="133"/>
      <c r="C167" s="133"/>
      <c r="D167" s="133"/>
      <c r="E167" s="133"/>
      <c r="F167" s="133"/>
      <c r="G167" s="133"/>
      <c r="H167" s="133"/>
      <c r="I167" s="133"/>
      <c r="J167" s="134"/>
      <c r="K167" s="134"/>
      <c r="L167" s="729">
        <v>526000000000</v>
      </c>
      <c r="M167" s="136"/>
      <c r="N167" s="136"/>
      <c r="O167" s="136"/>
      <c r="P167" s="136"/>
      <c r="Q167" s="136">
        <f>526000000000</f>
        <v>526000000000</v>
      </c>
      <c r="R167" s="135"/>
      <c r="S167" s="135"/>
      <c r="T167" s="135"/>
      <c r="U167" s="137"/>
      <c r="V167" s="135"/>
      <c r="W167" s="135"/>
      <c r="X167" s="137"/>
      <c r="Y167" s="135"/>
      <c r="Z167" s="135"/>
      <c r="AA167" s="723"/>
    </row>
    <row r="168" spans="1:27" ht="32.25" customHeight="1">
      <c r="A168" s="32" t="e">
        <f>+CONCATENATE(#REF!,"=",I168)</f>
        <v>#REF!</v>
      </c>
      <c r="B168" s="139" t="s">
        <v>167</v>
      </c>
      <c r="C168" s="139" t="s">
        <v>190</v>
      </c>
      <c r="D168" s="139" t="s">
        <v>172</v>
      </c>
      <c r="E168" s="139" t="s">
        <v>205</v>
      </c>
      <c r="F168" s="139" t="s">
        <v>175</v>
      </c>
      <c r="G168" s="139" t="s">
        <v>207</v>
      </c>
      <c r="H168" s="139"/>
      <c r="I168" s="139"/>
      <c r="J168" s="140"/>
      <c r="K168" s="140" t="s">
        <v>208</v>
      </c>
      <c r="L168" s="141">
        <f>SUM(L169:L171)</f>
        <v>331786185933</v>
      </c>
      <c r="M168" s="142">
        <f t="shared" ref="M168:T168" si="157">SUM(M169:M171)</f>
        <v>0</v>
      </c>
      <c r="N168" s="142">
        <f t="shared" si="157"/>
        <v>0</v>
      </c>
      <c r="O168" s="141">
        <f t="shared" si="157"/>
        <v>25010890225.259998</v>
      </c>
      <c r="P168" s="141">
        <f t="shared" si="157"/>
        <v>25010890225.259998</v>
      </c>
      <c r="Q168" s="730">
        <f t="shared" si="157"/>
        <v>-207207638916</v>
      </c>
      <c r="R168" s="141">
        <f t="shared" si="157"/>
        <v>538993824849</v>
      </c>
      <c r="S168" s="141">
        <f t="shared" si="157"/>
        <v>259600740570.85001</v>
      </c>
      <c r="T168" s="141">
        <f t="shared" si="157"/>
        <v>279393084278.14996</v>
      </c>
      <c r="U168" s="143">
        <f t="shared" si="143"/>
        <v>0.4816395450236885</v>
      </c>
      <c r="V168" s="141">
        <f t="shared" ref="V168:W168" si="158">SUM(V169:V171)</f>
        <v>51133006380.32</v>
      </c>
      <c r="W168" s="141">
        <f t="shared" si="158"/>
        <v>208467734190.53003</v>
      </c>
      <c r="X168" s="143">
        <f t="shared" si="146"/>
        <v>0.80303212437730009</v>
      </c>
      <c r="Y168" s="141">
        <f t="shared" ref="Y168:Z168" si="159">SUM(Y169:Y171)</f>
        <v>50671754596.279999</v>
      </c>
      <c r="Z168" s="141">
        <f t="shared" si="159"/>
        <v>461251784.03999996</v>
      </c>
      <c r="AA168" s="724">
        <f t="shared" si="133"/>
        <v>0.19519110186224875</v>
      </c>
    </row>
    <row r="169" spans="1:27" ht="24.95" customHeight="1">
      <c r="A169" s="32" t="e">
        <f>+CONCATENATE(#REF!,"=",I169)</f>
        <v>#REF!</v>
      </c>
      <c r="B169" s="145" t="s">
        <v>167</v>
      </c>
      <c r="C169" s="145" t="s">
        <v>190</v>
      </c>
      <c r="D169" s="145" t="s">
        <v>172</v>
      </c>
      <c r="E169" s="145" t="s">
        <v>205</v>
      </c>
      <c r="F169" s="145" t="s">
        <v>175</v>
      </c>
      <c r="G169" s="145" t="s">
        <v>207</v>
      </c>
      <c r="H169" s="145" t="s">
        <v>54</v>
      </c>
      <c r="I169" s="145">
        <v>11</v>
      </c>
      <c r="J169" s="145" t="s">
        <v>29</v>
      </c>
      <c r="K169" s="147" t="s">
        <v>178</v>
      </c>
      <c r="L169" s="148">
        <v>27122315285.709999</v>
      </c>
      <c r="M169" s="148"/>
      <c r="N169" s="148"/>
      <c r="O169" s="148">
        <f>2900000000+15000000000+6400000000+281940781.26+428949444</f>
        <v>25010890225.259998</v>
      </c>
      <c r="P169" s="148"/>
      <c r="Q169" s="148"/>
      <c r="R169" s="148">
        <f>+L169-Q169+M169-N169+O169-P169</f>
        <v>52133205510.970001</v>
      </c>
      <c r="S169" s="148">
        <v>34005894202.560001</v>
      </c>
      <c r="T169" s="148">
        <f t="shared" ref="T169" si="160">+R169-S169</f>
        <v>18127311308.41</v>
      </c>
      <c r="U169" s="150">
        <f t="shared" si="143"/>
        <v>0.65228857249923744</v>
      </c>
      <c r="V169" s="148">
        <v>6834627478.8000002</v>
      </c>
      <c r="W169" s="148">
        <f t="shared" ref="W169" si="161">+S169-V169</f>
        <v>27171266723.760002</v>
      </c>
      <c r="X169" s="150">
        <f t="shared" si="146"/>
        <v>0.79901638703900102</v>
      </c>
      <c r="Y169" s="148">
        <v>6373375694.7600002</v>
      </c>
      <c r="Z169" s="148">
        <f t="shared" ref="Z169" si="162">+V169-Y169</f>
        <v>461251784.03999996</v>
      </c>
      <c r="AA169" s="150">
        <f t="shared" si="133"/>
        <v>0.18741973543751733</v>
      </c>
    </row>
    <row r="170" spans="1:27" ht="24.95" hidden="1" customHeight="1">
      <c r="A170" s="32" t="e">
        <f>+CONCATENATE(#REF!,"=",I170)</f>
        <v>#REF!</v>
      </c>
      <c r="B170" s="145" t="s">
        <v>167</v>
      </c>
      <c r="C170" s="145" t="s">
        <v>190</v>
      </c>
      <c r="D170" s="145" t="s">
        <v>172</v>
      </c>
      <c r="E170" s="145" t="s">
        <v>205</v>
      </c>
      <c r="F170" s="145" t="s">
        <v>175</v>
      </c>
      <c r="G170" s="145" t="s">
        <v>207</v>
      </c>
      <c r="H170" s="145" t="s">
        <v>65</v>
      </c>
      <c r="I170" s="145" t="s">
        <v>28</v>
      </c>
      <c r="J170" s="145" t="s">
        <v>29</v>
      </c>
      <c r="K170" s="147" t="s">
        <v>127</v>
      </c>
      <c r="L170" s="148"/>
      <c r="M170" s="148"/>
      <c r="N170" s="148"/>
      <c r="O170" s="148"/>
      <c r="P170" s="148"/>
      <c r="Q170" s="148"/>
      <c r="R170" s="148">
        <f>+L170-Q170+M170-N170+O170-P170</f>
        <v>0</v>
      </c>
      <c r="S170" s="148"/>
      <c r="T170" s="148">
        <f t="shared" si="101"/>
        <v>0</v>
      </c>
      <c r="U170" s="150">
        <f t="shared" si="143"/>
        <v>0</v>
      </c>
      <c r="V170" s="148"/>
      <c r="W170" s="148">
        <f t="shared" si="110"/>
        <v>0</v>
      </c>
      <c r="X170" s="150">
        <f t="shared" si="146"/>
        <v>0</v>
      </c>
      <c r="Y170" s="148"/>
      <c r="Z170" s="148">
        <f t="shared" si="102"/>
        <v>0</v>
      </c>
      <c r="AA170" s="150">
        <f t="shared" si="133"/>
        <v>0</v>
      </c>
    </row>
    <row r="171" spans="1:27" ht="24.95" customHeight="1">
      <c r="A171" s="32" t="e">
        <f>+CONCATENATE(#REF!,"=",I171)</f>
        <v>#REF!</v>
      </c>
      <c r="B171" s="145" t="s">
        <v>167</v>
      </c>
      <c r="C171" s="145" t="s">
        <v>190</v>
      </c>
      <c r="D171" s="145" t="s">
        <v>172</v>
      </c>
      <c r="E171" s="145" t="s">
        <v>205</v>
      </c>
      <c r="F171" s="145" t="s">
        <v>175</v>
      </c>
      <c r="G171" s="145" t="s">
        <v>207</v>
      </c>
      <c r="H171" s="145" t="s">
        <v>65</v>
      </c>
      <c r="I171" s="145">
        <v>11</v>
      </c>
      <c r="J171" s="145" t="s">
        <v>29</v>
      </c>
      <c r="K171" s="147" t="s">
        <v>127</v>
      </c>
      <c r="L171" s="148">
        <v>304663870647.28998</v>
      </c>
      <c r="M171" s="148"/>
      <c r="N171" s="148"/>
      <c r="O171" s="148"/>
      <c r="P171" s="148">
        <f>2900000000+15000000000+6400000000+281940781.26+428949444</f>
        <v>25010890225.259998</v>
      </c>
      <c r="Q171" s="148">
        <f>-202000000000-5207638916</f>
        <v>-207207638916</v>
      </c>
      <c r="R171" s="148">
        <f>+L171-Q171+M171-N171+O171-P171</f>
        <v>486860619338.02997</v>
      </c>
      <c r="S171" s="148">
        <v>225594846368.29001</v>
      </c>
      <c r="T171" s="148">
        <f t="shared" si="101"/>
        <v>261265772969.73996</v>
      </c>
      <c r="U171" s="150">
        <f t="shared" si="143"/>
        <v>0.46336638743758873</v>
      </c>
      <c r="V171" s="148">
        <v>44298378901.519997</v>
      </c>
      <c r="W171" s="148">
        <f t="shared" si="110"/>
        <v>181296467466.77002</v>
      </c>
      <c r="X171" s="150">
        <f t="shared" si="146"/>
        <v>0.80363745176518075</v>
      </c>
      <c r="Y171" s="148">
        <v>44298378901.519997</v>
      </c>
      <c r="Z171" s="148">
        <f t="shared" si="102"/>
        <v>0</v>
      </c>
      <c r="AA171" s="150">
        <f t="shared" si="133"/>
        <v>0.1963625482348193</v>
      </c>
    </row>
    <row r="172" spans="1:27" ht="32.25" customHeight="1">
      <c r="A172" s="32" t="e">
        <f>+CONCATENATE(#REF!,"=",I172)</f>
        <v>#REF!</v>
      </c>
      <c r="B172" s="139" t="s">
        <v>167</v>
      </c>
      <c r="C172" s="139" t="s">
        <v>190</v>
      </c>
      <c r="D172" s="139" t="s">
        <v>172</v>
      </c>
      <c r="E172" s="139" t="s">
        <v>205</v>
      </c>
      <c r="F172" s="139" t="s">
        <v>175</v>
      </c>
      <c r="G172" s="139" t="s">
        <v>209</v>
      </c>
      <c r="H172" s="139"/>
      <c r="I172" s="139">
        <v>11</v>
      </c>
      <c r="J172" s="140" t="s">
        <v>29</v>
      </c>
      <c r="K172" s="140" t="s">
        <v>210</v>
      </c>
      <c r="L172" s="141">
        <f t="shared" ref="L172:T172" si="163">SUM(L173:L173)</f>
        <v>23213814067</v>
      </c>
      <c r="M172" s="142">
        <f t="shared" si="163"/>
        <v>0</v>
      </c>
      <c r="N172" s="142">
        <f t="shared" si="163"/>
        <v>0</v>
      </c>
      <c r="O172" s="142">
        <f t="shared" si="163"/>
        <v>0</v>
      </c>
      <c r="P172" s="142">
        <f t="shared" si="163"/>
        <v>0</v>
      </c>
      <c r="Q172" s="142">
        <f t="shared" si="163"/>
        <v>0</v>
      </c>
      <c r="R172" s="141">
        <f t="shared" si="163"/>
        <v>23213814067</v>
      </c>
      <c r="S172" s="141">
        <f t="shared" si="163"/>
        <v>17662705219</v>
      </c>
      <c r="T172" s="141">
        <f t="shared" si="163"/>
        <v>5551108848</v>
      </c>
      <c r="U172" s="143">
        <f t="shared" si="143"/>
        <v>0.76087045274084131</v>
      </c>
      <c r="V172" s="141">
        <f t="shared" ref="V172:W172" si="164">SUM(V173:V173)</f>
        <v>5294110735</v>
      </c>
      <c r="W172" s="141">
        <f t="shared" si="164"/>
        <v>12368594484</v>
      </c>
      <c r="X172" s="143">
        <f t="shared" si="146"/>
        <v>0.70026614443493873</v>
      </c>
      <c r="Y172" s="141">
        <f t="shared" ref="Y172:Z172" si="165">SUM(Y173:Y173)</f>
        <v>5125781343</v>
      </c>
      <c r="Z172" s="141">
        <f t="shared" si="165"/>
        <v>168329392</v>
      </c>
      <c r="AA172" s="724">
        <f t="shared" si="133"/>
        <v>0.29020363978481228</v>
      </c>
    </row>
    <row r="173" spans="1:27" ht="24.95" customHeight="1">
      <c r="A173" s="32" t="e">
        <f>+CONCATENATE(#REF!,"=",I173)</f>
        <v>#REF!</v>
      </c>
      <c r="B173" s="145" t="s">
        <v>167</v>
      </c>
      <c r="C173" s="145" t="s">
        <v>190</v>
      </c>
      <c r="D173" s="145" t="s">
        <v>172</v>
      </c>
      <c r="E173" s="145" t="s">
        <v>205</v>
      </c>
      <c r="F173" s="145" t="s">
        <v>175</v>
      </c>
      <c r="G173" s="145" t="s">
        <v>209</v>
      </c>
      <c r="H173" s="145" t="s">
        <v>54</v>
      </c>
      <c r="I173" s="145">
        <v>11</v>
      </c>
      <c r="J173" s="145" t="s">
        <v>29</v>
      </c>
      <c r="K173" s="147" t="s">
        <v>178</v>
      </c>
      <c r="L173" s="148">
        <v>23213814067</v>
      </c>
      <c r="M173" s="148"/>
      <c r="N173" s="148"/>
      <c r="O173" s="148"/>
      <c r="P173" s="148"/>
      <c r="Q173" s="148"/>
      <c r="R173" s="148">
        <f>+L173-Q173+M173-N173+O173-P173</f>
        <v>23213814067</v>
      </c>
      <c r="S173" s="148">
        <v>17662705219</v>
      </c>
      <c r="T173" s="148">
        <f t="shared" ref="T173" si="166">+R173-S173</f>
        <v>5551108848</v>
      </c>
      <c r="U173" s="150">
        <f t="shared" si="143"/>
        <v>0.76087045274084131</v>
      </c>
      <c r="V173" s="148">
        <v>5294110735</v>
      </c>
      <c r="W173" s="148">
        <f t="shared" ref="W173" si="167">+S173-V173</f>
        <v>12368594484</v>
      </c>
      <c r="X173" s="150">
        <f t="shared" si="146"/>
        <v>0.70026614443493873</v>
      </c>
      <c r="Y173" s="148">
        <v>5125781343</v>
      </c>
      <c r="Z173" s="148">
        <f t="shared" ref="Z173" si="168">+V173-Y173</f>
        <v>168329392</v>
      </c>
      <c r="AA173" s="150">
        <f t="shared" si="133"/>
        <v>0.29020363978481228</v>
      </c>
    </row>
    <row r="174" spans="1:27" ht="38.25" customHeight="1">
      <c r="A174" s="32" t="e">
        <f>+CONCATENATE(#REF!,"=",I174)</f>
        <v>#REF!</v>
      </c>
      <c r="B174" s="133" t="s">
        <v>167</v>
      </c>
      <c r="C174" s="133" t="s">
        <v>190</v>
      </c>
      <c r="D174" s="133" t="s">
        <v>172</v>
      </c>
      <c r="E174" s="133" t="s">
        <v>211</v>
      </c>
      <c r="F174" s="133"/>
      <c r="G174" s="133"/>
      <c r="H174" s="133"/>
      <c r="I174" s="133"/>
      <c r="J174" s="134"/>
      <c r="K174" s="134" t="s">
        <v>266</v>
      </c>
      <c r="L174" s="135">
        <f>+L175+L177</f>
        <v>1500000000</v>
      </c>
      <c r="M174" s="136">
        <f t="shared" ref="M174:T174" si="169">+M175+M177</f>
        <v>0</v>
      </c>
      <c r="N174" s="136">
        <f t="shared" si="169"/>
        <v>0</v>
      </c>
      <c r="O174" s="136">
        <f t="shared" si="169"/>
        <v>0</v>
      </c>
      <c r="P174" s="136">
        <f t="shared" si="169"/>
        <v>0</v>
      </c>
      <c r="Q174" s="136">
        <f t="shared" si="169"/>
        <v>0</v>
      </c>
      <c r="R174" s="135">
        <f t="shared" si="169"/>
        <v>1500000000</v>
      </c>
      <c r="S174" s="135">
        <f t="shared" si="169"/>
        <v>0</v>
      </c>
      <c r="T174" s="135">
        <f t="shared" si="169"/>
        <v>1500000000</v>
      </c>
      <c r="U174" s="137">
        <f t="shared" si="143"/>
        <v>0</v>
      </c>
      <c r="V174" s="135">
        <f t="shared" ref="V174:Z174" si="170">+V175+V177</f>
        <v>0</v>
      </c>
      <c r="W174" s="136">
        <f t="shared" si="170"/>
        <v>0</v>
      </c>
      <c r="X174" s="137">
        <f t="shared" si="146"/>
        <v>0</v>
      </c>
      <c r="Y174" s="135">
        <f t="shared" si="170"/>
        <v>0</v>
      </c>
      <c r="Z174" s="135">
        <f t="shared" si="170"/>
        <v>0</v>
      </c>
      <c r="AA174" s="723">
        <f t="shared" si="133"/>
        <v>0</v>
      </c>
    </row>
    <row r="175" spans="1:27" ht="32.25" customHeight="1">
      <c r="A175" s="32" t="e">
        <f>+CONCATENATE(#REF!,"=",I175)</f>
        <v>#REF!</v>
      </c>
      <c r="B175" s="139" t="s">
        <v>167</v>
      </c>
      <c r="C175" s="139" t="s">
        <v>190</v>
      </c>
      <c r="D175" s="139" t="s">
        <v>172</v>
      </c>
      <c r="E175" s="139" t="s">
        <v>211</v>
      </c>
      <c r="F175" s="139" t="s">
        <v>175</v>
      </c>
      <c r="G175" s="139" t="s">
        <v>213</v>
      </c>
      <c r="H175" s="139"/>
      <c r="I175" s="139" t="s">
        <v>144</v>
      </c>
      <c r="J175" s="140" t="s">
        <v>29</v>
      </c>
      <c r="K175" s="140" t="s">
        <v>214</v>
      </c>
      <c r="L175" s="141">
        <f>+L176</f>
        <v>1095000000</v>
      </c>
      <c r="M175" s="142">
        <f t="shared" ref="M175:Z175" si="171">+M176</f>
        <v>0</v>
      </c>
      <c r="N175" s="142">
        <f t="shared" si="171"/>
        <v>0</v>
      </c>
      <c r="O175" s="142">
        <f t="shared" si="171"/>
        <v>0</v>
      </c>
      <c r="P175" s="142">
        <f t="shared" si="171"/>
        <v>0</v>
      </c>
      <c r="Q175" s="142">
        <f t="shared" si="171"/>
        <v>0</v>
      </c>
      <c r="R175" s="141">
        <f t="shared" si="171"/>
        <v>1095000000</v>
      </c>
      <c r="S175" s="141">
        <f t="shared" si="171"/>
        <v>0</v>
      </c>
      <c r="T175" s="141">
        <f t="shared" si="171"/>
        <v>1095000000</v>
      </c>
      <c r="U175" s="143">
        <f t="shared" si="143"/>
        <v>0</v>
      </c>
      <c r="V175" s="141">
        <f t="shared" si="171"/>
        <v>0</v>
      </c>
      <c r="W175" s="142">
        <f t="shared" si="171"/>
        <v>0</v>
      </c>
      <c r="X175" s="143">
        <f t="shared" si="146"/>
        <v>0</v>
      </c>
      <c r="Y175" s="141">
        <f t="shared" si="171"/>
        <v>0</v>
      </c>
      <c r="Z175" s="141">
        <f t="shared" si="171"/>
        <v>0</v>
      </c>
      <c r="AA175" s="724">
        <f t="shared" si="133"/>
        <v>0</v>
      </c>
    </row>
    <row r="176" spans="1:27" ht="24.95" customHeight="1">
      <c r="A176" s="32" t="e">
        <f>+CONCATENATE(#REF!,"=",I176)</f>
        <v>#REF!</v>
      </c>
      <c r="B176" s="145" t="s">
        <v>167</v>
      </c>
      <c r="C176" s="145" t="s">
        <v>190</v>
      </c>
      <c r="D176" s="145" t="s">
        <v>172</v>
      </c>
      <c r="E176" s="145" t="s">
        <v>211</v>
      </c>
      <c r="F176" s="145" t="s">
        <v>175</v>
      </c>
      <c r="G176" s="145" t="s">
        <v>213</v>
      </c>
      <c r="H176" s="145" t="s">
        <v>54</v>
      </c>
      <c r="I176" s="145" t="s">
        <v>144</v>
      </c>
      <c r="J176" s="145" t="s">
        <v>29</v>
      </c>
      <c r="K176" s="147" t="s">
        <v>178</v>
      </c>
      <c r="L176" s="148">
        <v>1095000000</v>
      </c>
      <c r="M176" s="148"/>
      <c r="N176" s="148"/>
      <c r="O176" s="148"/>
      <c r="P176" s="148"/>
      <c r="Q176" s="148"/>
      <c r="R176" s="148">
        <f>+L176-Q176+M176-N176+O176-P176</f>
        <v>1095000000</v>
      </c>
      <c r="S176" s="148"/>
      <c r="T176" s="148">
        <f t="shared" si="101"/>
        <v>1095000000</v>
      </c>
      <c r="U176" s="150">
        <f t="shared" si="143"/>
        <v>0</v>
      </c>
      <c r="V176" s="148"/>
      <c r="W176" s="148">
        <f t="shared" si="110"/>
        <v>0</v>
      </c>
      <c r="X176" s="150">
        <f t="shared" si="146"/>
        <v>0</v>
      </c>
      <c r="Y176" s="148"/>
      <c r="Z176" s="148">
        <f t="shared" si="102"/>
        <v>0</v>
      </c>
      <c r="AA176" s="150">
        <f t="shared" si="133"/>
        <v>0</v>
      </c>
    </row>
    <row r="177" spans="1:27" ht="32.25" customHeight="1">
      <c r="A177" s="32" t="e">
        <f>+CONCATENATE(#REF!,"=",I177)</f>
        <v>#REF!</v>
      </c>
      <c r="B177" s="139" t="s">
        <v>167</v>
      </c>
      <c r="C177" s="139" t="s">
        <v>190</v>
      </c>
      <c r="D177" s="139" t="s">
        <v>172</v>
      </c>
      <c r="E177" s="139" t="s">
        <v>211</v>
      </c>
      <c r="F177" s="139" t="s">
        <v>175</v>
      </c>
      <c r="G177" s="139" t="s">
        <v>215</v>
      </c>
      <c r="H177" s="139"/>
      <c r="I177" s="139" t="s">
        <v>144</v>
      </c>
      <c r="J177" s="140" t="s">
        <v>29</v>
      </c>
      <c r="K177" s="140" t="s">
        <v>216</v>
      </c>
      <c r="L177" s="141">
        <f>+L178</f>
        <v>405000000</v>
      </c>
      <c r="M177" s="142">
        <f t="shared" ref="M177:Z177" si="172">+M178</f>
        <v>0</v>
      </c>
      <c r="N177" s="142">
        <f t="shared" si="172"/>
        <v>0</v>
      </c>
      <c r="O177" s="142">
        <f t="shared" si="172"/>
        <v>0</v>
      </c>
      <c r="P177" s="142">
        <f t="shared" si="172"/>
        <v>0</v>
      </c>
      <c r="Q177" s="142">
        <f t="shared" si="172"/>
        <v>0</v>
      </c>
      <c r="R177" s="141">
        <f t="shared" si="172"/>
        <v>405000000</v>
      </c>
      <c r="S177" s="141">
        <f t="shared" si="172"/>
        <v>0</v>
      </c>
      <c r="T177" s="141">
        <f t="shared" si="172"/>
        <v>405000000</v>
      </c>
      <c r="U177" s="143">
        <f t="shared" si="143"/>
        <v>0</v>
      </c>
      <c r="V177" s="141">
        <f t="shared" si="172"/>
        <v>0</v>
      </c>
      <c r="W177" s="142">
        <f t="shared" si="172"/>
        <v>0</v>
      </c>
      <c r="X177" s="143">
        <f t="shared" si="146"/>
        <v>0</v>
      </c>
      <c r="Y177" s="141">
        <f t="shared" si="172"/>
        <v>0</v>
      </c>
      <c r="Z177" s="141">
        <f t="shared" si="172"/>
        <v>0</v>
      </c>
      <c r="AA177" s="724">
        <f t="shared" si="133"/>
        <v>0</v>
      </c>
    </row>
    <row r="178" spans="1:27" ht="24.95" customHeight="1">
      <c r="A178" s="32" t="e">
        <f>+CONCATENATE(#REF!,"=",I178)</f>
        <v>#REF!</v>
      </c>
      <c r="B178" s="145" t="s">
        <v>167</v>
      </c>
      <c r="C178" s="145" t="s">
        <v>190</v>
      </c>
      <c r="D178" s="145" t="s">
        <v>172</v>
      </c>
      <c r="E178" s="145" t="s">
        <v>211</v>
      </c>
      <c r="F178" s="145" t="s">
        <v>175</v>
      </c>
      <c r="G178" s="145" t="s">
        <v>215</v>
      </c>
      <c r="H178" s="145" t="s">
        <v>54</v>
      </c>
      <c r="I178" s="145" t="s">
        <v>144</v>
      </c>
      <c r="J178" s="145" t="s">
        <v>29</v>
      </c>
      <c r="K178" s="147" t="s">
        <v>178</v>
      </c>
      <c r="L178" s="148">
        <v>405000000</v>
      </c>
      <c r="M178" s="148"/>
      <c r="N178" s="148"/>
      <c r="O178" s="148"/>
      <c r="P178" s="148"/>
      <c r="Q178" s="148"/>
      <c r="R178" s="148">
        <f>+L178-Q178+M178-N178+O178-P178</f>
        <v>405000000</v>
      </c>
      <c r="S178" s="148"/>
      <c r="T178" s="148">
        <f t="shared" si="101"/>
        <v>405000000</v>
      </c>
      <c r="U178" s="150">
        <f t="shared" si="143"/>
        <v>0</v>
      </c>
      <c r="V178" s="148"/>
      <c r="W178" s="148">
        <f t="shared" si="110"/>
        <v>0</v>
      </c>
      <c r="X178" s="150">
        <f t="shared" si="146"/>
        <v>0</v>
      </c>
      <c r="Y178" s="148"/>
      <c r="Z178" s="148">
        <f t="shared" si="102"/>
        <v>0</v>
      </c>
      <c r="AA178" s="150">
        <f t="shared" si="133"/>
        <v>0</v>
      </c>
    </row>
    <row r="179" spans="1:27" ht="49.5" hidden="1" customHeight="1">
      <c r="A179" s="32" t="e">
        <f>+CONCATENATE(#REF!,"=",I179)</f>
        <v>#REF!</v>
      </c>
      <c r="B179" s="133" t="s">
        <v>167</v>
      </c>
      <c r="C179" s="133" t="s">
        <v>190</v>
      </c>
      <c r="D179" s="133" t="s">
        <v>172</v>
      </c>
      <c r="E179" s="133" t="s">
        <v>217</v>
      </c>
      <c r="F179" s="133"/>
      <c r="G179" s="133"/>
      <c r="H179" s="133"/>
      <c r="I179" s="133"/>
      <c r="J179" s="134"/>
      <c r="K179" s="134" t="s">
        <v>267</v>
      </c>
      <c r="L179" s="135">
        <f t="shared" ref="L179:T179" si="173">+L184+L186+L182+L180</f>
        <v>0</v>
      </c>
      <c r="M179" s="136">
        <f t="shared" si="173"/>
        <v>0</v>
      </c>
      <c r="N179" s="136">
        <f t="shared" si="173"/>
        <v>0</v>
      </c>
      <c r="O179" s="136">
        <f t="shared" si="173"/>
        <v>0</v>
      </c>
      <c r="P179" s="136">
        <f t="shared" si="173"/>
        <v>0</v>
      </c>
      <c r="Q179" s="136">
        <f t="shared" si="173"/>
        <v>0</v>
      </c>
      <c r="R179" s="135">
        <f t="shared" si="173"/>
        <v>0</v>
      </c>
      <c r="S179" s="135">
        <f t="shared" si="173"/>
        <v>0</v>
      </c>
      <c r="T179" s="135">
        <f t="shared" si="173"/>
        <v>0</v>
      </c>
      <c r="U179" s="137">
        <f t="shared" si="143"/>
        <v>0</v>
      </c>
      <c r="V179" s="135">
        <f t="shared" ref="V179:W179" si="174">+V184+V186+V182+V180</f>
        <v>0</v>
      </c>
      <c r="W179" s="136">
        <f t="shared" si="174"/>
        <v>0</v>
      </c>
      <c r="X179" s="137">
        <f t="shared" si="146"/>
        <v>0</v>
      </c>
      <c r="Y179" s="135">
        <f t="shared" ref="Y179:Z179" si="175">+Y184+Y186+Y182+Y180</f>
        <v>0</v>
      </c>
      <c r="Z179" s="135">
        <f t="shared" si="175"/>
        <v>0</v>
      </c>
      <c r="AA179" s="723">
        <f t="shared" si="133"/>
        <v>0</v>
      </c>
    </row>
    <row r="180" spans="1:27" ht="32.25" hidden="1" customHeight="1">
      <c r="A180" s="32" t="e">
        <f>+CONCATENATE(#REF!,"=",I180)</f>
        <v>#REF!</v>
      </c>
      <c r="B180" s="139" t="s">
        <v>167</v>
      </c>
      <c r="C180" s="139" t="s">
        <v>190</v>
      </c>
      <c r="D180" s="139" t="s">
        <v>172</v>
      </c>
      <c r="E180" s="139" t="s">
        <v>217</v>
      </c>
      <c r="F180" s="139" t="s">
        <v>175</v>
      </c>
      <c r="G180" s="139" t="s">
        <v>219</v>
      </c>
      <c r="H180" s="139"/>
      <c r="I180" s="139">
        <v>11</v>
      </c>
      <c r="J180" s="140" t="s">
        <v>29</v>
      </c>
      <c r="K180" s="140" t="s">
        <v>220</v>
      </c>
      <c r="L180" s="141">
        <f>L181</f>
        <v>0</v>
      </c>
      <c r="M180" s="142">
        <f t="shared" ref="M180:Z180" si="176">M181</f>
        <v>0</v>
      </c>
      <c r="N180" s="142">
        <f t="shared" si="176"/>
        <v>0</v>
      </c>
      <c r="O180" s="142">
        <f t="shared" si="176"/>
        <v>0</v>
      </c>
      <c r="P180" s="142">
        <f t="shared" si="176"/>
        <v>0</v>
      </c>
      <c r="Q180" s="142">
        <f t="shared" si="176"/>
        <v>0</v>
      </c>
      <c r="R180" s="141">
        <f t="shared" si="176"/>
        <v>0</v>
      </c>
      <c r="S180" s="141">
        <f t="shared" si="176"/>
        <v>0</v>
      </c>
      <c r="T180" s="141">
        <f t="shared" si="176"/>
        <v>0</v>
      </c>
      <c r="U180" s="143">
        <f t="shared" si="143"/>
        <v>0</v>
      </c>
      <c r="V180" s="141">
        <f t="shared" si="176"/>
        <v>0</v>
      </c>
      <c r="W180" s="142">
        <f t="shared" si="176"/>
        <v>0</v>
      </c>
      <c r="X180" s="143">
        <f t="shared" si="146"/>
        <v>0</v>
      </c>
      <c r="Y180" s="141">
        <f t="shared" si="176"/>
        <v>0</v>
      </c>
      <c r="Z180" s="141">
        <f t="shared" si="176"/>
        <v>0</v>
      </c>
      <c r="AA180" s="724">
        <f t="shared" si="133"/>
        <v>0</v>
      </c>
    </row>
    <row r="181" spans="1:27" ht="24.95" hidden="1" customHeight="1">
      <c r="A181" s="32" t="e">
        <f>+CONCATENATE(#REF!,"=",I181)</f>
        <v>#REF!</v>
      </c>
      <c r="B181" s="145" t="s">
        <v>167</v>
      </c>
      <c r="C181" s="145" t="s">
        <v>190</v>
      </c>
      <c r="D181" s="145" t="s">
        <v>172</v>
      </c>
      <c r="E181" s="145" t="s">
        <v>217</v>
      </c>
      <c r="F181" s="145" t="s">
        <v>175</v>
      </c>
      <c r="G181" s="145" t="s">
        <v>219</v>
      </c>
      <c r="H181" s="145" t="s">
        <v>54</v>
      </c>
      <c r="I181" s="145">
        <v>11</v>
      </c>
      <c r="J181" s="145" t="s">
        <v>29</v>
      </c>
      <c r="K181" s="147" t="s">
        <v>178</v>
      </c>
      <c r="L181" s="148"/>
      <c r="M181" s="148"/>
      <c r="N181" s="148"/>
      <c r="O181" s="148"/>
      <c r="P181" s="148"/>
      <c r="Q181" s="148"/>
      <c r="R181" s="148">
        <f>+L181-Q181+M181-N181+O181-P181</f>
        <v>0</v>
      </c>
      <c r="S181" s="148"/>
      <c r="T181" s="148">
        <f>+R181-S181</f>
        <v>0</v>
      </c>
      <c r="U181" s="150">
        <f t="shared" si="143"/>
        <v>0</v>
      </c>
      <c r="V181" s="148"/>
      <c r="W181" s="148">
        <f>+S181-V181</f>
        <v>0</v>
      </c>
      <c r="X181" s="150">
        <f t="shared" si="146"/>
        <v>0</v>
      </c>
      <c r="Y181" s="148"/>
      <c r="Z181" s="148">
        <f>+V181-Y181</f>
        <v>0</v>
      </c>
      <c r="AA181" s="150">
        <f t="shared" si="133"/>
        <v>0</v>
      </c>
    </row>
    <row r="182" spans="1:27" ht="32.25" hidden="1" customHeight="1">
      <c r="A182" s="32" t="e">
        <f>+CONCATENATE(#REF!,"=",I182)</f>
        <v>#REF!</v>
      </c>
      <c r="B182" s="139" t="s">
        <v>167</v>
      </c>
      <c r="C182" s="139" t="s">
        <v>190</v>
      </c>
      <c r="D182" s="139" t="s">
        <v>172</v>
      </c>
      <c r="E182" s="139" t="s">
        <v>217</v>
      </c>
      <c r="F182" s="139" t="s">
        <v>175</v>
      </c>
      <c r="G182" s="139" t="s">
        <v>221</v>
      </c>
      <c r="H182" s="139"/>
      <c r="I182" s="139">
        <v>11</v>
      </c>
      <c r="J182" s="140" t="s">
        <v>29</v>
      </c>
      <c r="K182" s="140" t="s">
        <v>222</v>
      </c>
      <c r="L182" s="141">
        <f t="shared" ref="L182:T182" si="177">SUM(L183:L183)</f>
        <v>0</v>
      </c>
      <c r="M182" s="142">
        <f t="shared" si="177"/>
        <v>0</v>
      </c>
      <c r="N182" s="142">
        <f t="shared" si="177"/>
        <v>0</v>
      </c>
      <c r="O182" s="142">
        <f t="shared" si="177"/>
        <v>0</v>
      </c>
      <c r="P182" s="142">
        <f t="shared" si="177"/>
        <v>0</v>
      </c>
      <c r="Q182" s="142">
        <f t="shared" si="177"/>
        <v>0</v>
      </c>
      <c r="R182" s="141">
        <f t="shared" si="177"/>
        <v>0</v>
      </c>
      <c r="S182" s="141">
        <f t="shared" si="177"/>
        <v>0</v>
      </c>
      <c r="T182" s="141">
        <f t="shared" si="177"/>
        <v>0</v>
      </c>
      <c r="U182" s="143">
        <f t="shared" si="143"/>
        <v>0</v>
      </c>
      <c r="V182" s="141">
        <f t="shared" ref="V182:W182" si="178">SUM(V183:V183)</f>
        <v>0</v>
      </c>
      <c r="W182" s="142">
        <f t="shared" si="178"/>
        <v>0</v>
      </c>
      <c r="X182" s="143">
        <f t="shared" si="146"/>
        <v>0</v>
      </c>
      <c r="Y182" s="141">
        <f t="shared" ref="Y182:Z182" si="179">SUM(Y183:Y183)</f>
        <v>0</v>
      </c>
      <c r="Z182" s="141">
        <f t="shared" si="179"/>
        <v>0</v>
      </c>
      <c r="AA182" s="724">
        <f t="shared" si="133"/>
        <v>0</v>
      </c>
    </row>
    <row r="183" spans="1:27" ht="24.95" hidden="1" customHeight="1">
      <c r="A183" s="32" t="e">
        <f>+CONCATENATE(#REF!,"=",I183)</f>
        <v>#REF!</v>
      </c>
      <c r="B183" s="145" t="s">
        <v>167</v>
      </c>
      <c r="C183" s="145" t="s">
        <v>190</v>
      </c>
      <c r="D183" s="145" t="s">
        <v>172</v>
      </c>
      <c r="E183" s="145" t="s">
        <v>217</v>
      </c>
      <c r="F183" s="145" t="s">
        <v>175</v>
      </c>
      <c r="G183" s="145" t="s">
        <v>221</v>
      </c>
      <c r="H183" s="145" t="s">
        <v>65</v>
      </c>
      <c r="I183" s="145">
        <v>11</v>
      </c>
      <c r="J183" s="145" t="s">
        <v>29</v>
      </c>
      <c r="K183" s="147" t="s">
        <v>127</v>
      </c>
      <c r="L183" s="148"/>
      <c r="M183" s="148"/>
      <c r="N183" s="148"/>
      <c r="O183" s="148"/>
      <c r="P183" s="148"/>
      <c r="Q183" s="148"/>
      <c r="R183" s="148">
        <f>+L183-Q183+M183-N183+O183-P183</f>
        <v>0</v>
      </c>
      <c r="S183" s="148"/>
      <c r="T183" s="148">
        <f>+R183-S183</f>
        <v>0</v>
      </c>
      <c r="U183" s="150">
        <f t="shared" si="143"/>
        <v>0</v>
      </c>
      <c r="V183" s="148"/>
      <c r="W183" s="148">
        <f>+S183-V183</f>
        <v>0</v>
      </c>
      <c r="X183" s="150">
        <f t="shared" si="146"/>
        <v>0</v>
      </c>
      <c r="Y183" s="148"/>
      <c r="Z183" s="148">
        <f>+V183-Y183</f>
        <v>0</v>
      </c>
      <c r="AA183" s="150">
        <f t="shared" si="133"/>
        <v>0</v>
      </c>
    </row>
    <row r="184" spans="1:27" ht="32.25" hidden="1" customHeight="1">
      <c r="A184" s="32" t="e">
        <f>+CONCATENATE(#REF!,"=",I184)</f>
        <v>#REF!</v>
      </c>
      <c r="B184" s="139" t="s">
        <v>167</v>
      </c>
      <c r="C184" s="139" t="s">
        <v>190</v>
      </c>
      <c r="D184" s="139" t="s">
        <v>172</v>
      </c>
      <c r="E184" s="139" t="s">
        <v>217</v>
      </c>
      <c r="F184" s="139" t="s">
        <v>175</v>
      </c>
      <c r="G184" s="139" t="s">
        <v>223</v>
      </c>
      <c r="H184" s="139"/>
      <c r="I184" s="139">
        <v>11</v>
      </c>
      <c r="J184" s="140" t="s">
        <v>29</v>
      </c>
      <c r="K184" s="140" t="s">
        <v>224</v>
      </c>
      <c r="L184" s="141">
        <f t="shared" ref="L184:T184" si="180">SUM(L185:L185)</f>
        <v>0</v>
      </c>
      <c r="M184" s="142">
        <f t="shared" si="180"/>
        <v>0</v>
      </c>
      <c r="N184" s="142">
        <f t="shared" si="180"/>
        <v>0</v>
      </c>
      <c r="O184" s="142">
        <f t="shared" si="180"/>
        <v>0</v>
      </c>
      <c r="P184" s="142">
        <f t="shared" si="180"/>
        <v>0</v>
      </c>
      <c r="Q184" s="142">
        <f t="shared" si="180"/>
        <v>0</v>
      </c>
      <c r="R184" s="141">
        <f t="shared" si="180"/>
        <v>0</v>
      </c>
      <c r="S184" s="141">
        <f t="shared" si="180"/>
        <v>0</v>
      </c>
      <c r="T184" s="141">
        <f t="shared" si="180"/>
        <v>0</v>
      </c>
      <c r="U184" s="143">
        <f t="shared" si="143"/>
        <v>0</v>
      </c>
      <c r="V184" s="141">
        <f t="shared" ref="V184:W184" si="181">SUM(V185:V185)</f>
        <v>0</v>
      </c>
      <c r="W184" s="142">
        <f t="shared" si="181"/>
        <v>0</v>
      </c>
      <c r="X184" s="143">
        <f t="shared" si="146"/>
        <v>0</v>
      </c>
      <c r="Y184" s="141">
        <f t="shared" ref="Y184:Z184" si="182">SUM(Y185:Y185)</f>
        <v>0</v>
      </c>
      <c r="Z184" s="141">
        <f t="shared" si="182"/>
        <v>0</v>
      </c>
      <c r="AA184" s="724">
        <f t="shared" si="133"/>
        <v>0</v>
      </c>
    </row>
    <row r="185" spans="1:27" ht="24.95" hidden="1" customHeight="1">
      <c r="A185" s="32" t="e">
        <f>+CONCATENATE(#REF!,"=",I185)</f>
        <v>#REF!</v>
      </c>
      <c r="B185" s="145" t="s">
        <v>167</v>
      </c>
      <c r="C185" s="145" t="s">
        <v>190</v>
      </c>
      <c r="D185" s="145" t="s">
        <v>172</v>
      </c>
      <c r="E185" s="145" t="s">
        <v>217</v>
      </c>
      <c r="F185" s="145" t="s">
        <v>175</v>
      </c>
      <c r="G185" s="145" t="s">
        <v>223</v>
      </c>
      <c r="H185" s="145" t="s">
        <v>54</v>
      </c>
      <c r="I185" s="145">
        <v>11</v>
      </c>
      <c r="J185" s="145" t="s">
        <v>29</v>
      </c>
      <c r="K185" s="147" t="s">
        <v>178</v>
      </c>
      <c r="L185" s="148"/>
      <c r="M185" s="148"/>
      <c r="N185" s="148"/>
      <c r="O185" s="148"/>
      <c r="P185" s="148"/>
      <c r="Q185" s="148"/>
      <c r="R185" s="148">
        <f>+L185-Q185+M185-N185+O185-P185</f>
        <v>0</v>
      </c>
      <c r="S185" s="148"/>
      <c r="T185" s="148">
        <f t="shared" ref="T185" si="183">+R185-S185</f>
        <v>0</v>
      </c>
      <c r="U185" s="150">
        <f t="shared" si="143"/>
        <v>0</v>
      </c>
      <c r="V185" s="148"/>
      <c r="W185" s="148">
        <f t="shared" ref="W185" si="184">+S185-V185</f>
        <v>0</v>
      </c>
      <c r="X185" s="150">
        <f t="shared" si="146"/>
        <v>0</v>
      </c>
      <c r="Y185" s="148"/>
      <c r="Z185" s="148">
        <f t="shared" ref="Z185" si="185">+V185-Y185</f>
        <v>0</v>
      </c>
      <c r="AA185" s="150">
        <f t="shared" si="133"/>
        <v>0</v>
      </c>
    </row>
    <row r="186" spans="1:27" ht="32.25" hidden="1" customHeight="1">
      <c r="A186" s="32" t="e">
        <f>+CONCATENATE(#REF!,"=",I186)</f>
        <v>#REF!</v>
      </c>
      <c r="B186" s="139" t="s">
        <v>167</v>
      </c>
      <c r="C186" s="139" t="s">
        <v>190</v>
      </c>
      <c r="D186" s="139" t="s">
        <v>172</v>
      </c>
      <c r="E186" s="139" t="s">
        <v>217</v>
      </c>
      <c r="F186" s="139" t="s">
        <v>175</v>
      </c>
      <c r="G186" s="139" t="s">
        <v>225</v>
      </c>
      <c r="H186" s="139"/>
      <c r="I186" s="139">
        <v>11</v>
      </c>
      <c r="J186" s="140" t="s">
        <v>29</v>
      </c>
      <c r="K186" s="140" t="s">
        <v>226</v>
      </c>
      <c r="L186" s="141">
        <f>SUM(L187:L187)</f>
        <v>0</v>
      </c>
      <c r="M186" s="142">
        <f t="shared" ref="M186:T186" si="186">SUM(M187:M187)</f>
        <v>0</v>
      </c>
      <c r="N186" s="142">
        <f t="shared" si="186"/>
        <v>0</v>
      </c>
      <c r="O186" s="142">
        <f t="shared" si="186"/>
        <v>0</v>
      </c>
      <c r="P186" s="142">
        <f t="shared" si="186"/>
        <v>0</v>
      </c>
      <c r="Q186" s="142">
        <f t="shared" si="186"/>
        <v>0</v>
      </c>
      <c r="R186" s="141">
        <f t="shared" si="186"/>
        <v>0</v>
      </c>
      <c r="S186" s="141">
        <f t="shared" si="186"/>
        <v>0</v>
      </c>
      <c r="T186" s="141">
        <f t="shared" si="186"/>
        <v>0</v>
      </c>
      <c r="U186" s="143">
        <f t="shared" si="143"/>
        <v>0</v>
      </c>
      <c r="V186" s="141">
        <f t="shared" ref="V186:W186" si="187">SUM(V187:V187)</f>
        <v>0</v>
      </c>
      <c r="W186" s="142">
        <f t="shared" si="187"/>
        <v>0</v>
      </c>
      <c r="X186" s="143">
        <f t="shared" si="146"/>
        <v>0</v>
      </c>
      <c r="Y186" s="141">
        <f t="shared" ref="Y186:Z186" si="188">SUM(Y187:Y187)</f>
        <v>0</v>
      </c>
      <c r="Z186" s="141">
        <f t="shared" si="188"/>
        <v>0</v>
      </c>
      <c r="AA186" s="724">
        <f t="shared" si="133"/>
        <v>0</v>
      </c>
    </row>
    <row r="187" spans="1:27" ht="24.95" hidden="1" customHeight="1">
      <c r="A187" s="32" t="e">
        <f>+CONCATENATE(#REF!,"=",I187)</f>
        <v>#REF!</v>
      </c>
      <c r="B187" s="145" t="s">
        <v>167</v>
      </c>
      <c r="C187" s="145" t="s">
        <v>190</v>
      </c>
      <c r="D187" s="145" t="s">
        <v>172</v>
      </c>
      <c r="E187" s="145" t="s">
        <v>217</v>
      </c>
      <c r="F187" s="145" t="s">
        <v>175</v>
      </c>
      <c r="G187" s="145" t="s">
        <v>225</v>
      </c>
      <c r="H187" s="145" t="s">
        <v>54</v>
      </c>
      <c r="I187" s="145">
        <v>11</v>
      </c>
      <c r="J187" s="145" t="s">
        <v>29</v>
      </c>
      <c r="K187" s="147" t="s">
        <v>178</v>
      </c>
      <c r="L187" s="148"/>
      <c r="M187" s="148"/>
      <c r="N187" s="148"/>
      <c r="O187" s="148"/>
      <c r="P187" s="148"/>
      <c r="Q187" s="148"/>
      <c r="R187" s="148">
        <f>+L187-Q187+M187-N187+O187-P187</f>
        <v>0</v>
      </c>
      <c r="S187" s="148"/>
      <c r="T187" s="148">
        <f t="shared" si="101"/>
        <v>0</v>
      </c>
      <c r="U187" s="150">
        <f t="shared" si="143"/>
        <v>0</v>
      </c>
      <c r="V187" s="148"/>
      <c r="W187" s="148">
        <f t="shared" si="110"/>
        <v>0</v>
      </c>
      <c r="X187" s="150">
        <f t="shared" si="146"/>
        <v>0</v>
      </c>
      <c r="Y187" s="148"/>
      <c r="Z187" s="148">
        <f t="shared" si="102"/>
        <v>0</v>
      </c>
      <c r="AA187" s="150">
        <f t="shared" si="133"/>
        <v>0</v>
      </c>
    </row>
    <row r="188" spans="1:27" ht="49.5" hidden="1" customHeight="1">
      <c r="A188" s="32" t="e">
        <f>+CONCATENATE(#REF!,"=",I188)</f>
        <v>#REF!</v>
      </c>
      <c r="B188" s="133" t="s">
        <v>167</v>
      </c>
      <c r="C188" s="133" t="s">
        <v>190</v>
      </c>
      <c r="D188" s="133" t="s">
        <v>172</v>
      </c>
      <c r="E188" s="133">
        <v>18</v>
      </c>
      <c r="F188" s="133"/>
      <c r="G188" s="133"/>
      <c r="H188" s="133"/>
      <c r="I188" s="133"/>
      <c r="J188" s="134"/>
      <c r="K188" s="134" t="s">
        <v>268</v>
      </c>
      <c r="L188" s="135">
        <f>+L189</f>
        <v>0</v>
      </c>
      <c r="M188" s="136">
        <f t="shared" ref="M188:Z188" si="189">+M189</f>
        <v>0</v>
      </c>
      <c r="N188" s="136">
        <f t="shared" si="189"/>
        <v>0</v>
      </c>
      <c r="O188" s="136">
        <f t="shared" si="189"/>
        <v>0</v>
      </c>
      <c r="P188" s="136">
        <f t="shared" si="189"/>
        <v>0</v>
      </c>
      <c r="Q188" s="136">
        <f t="shared" si="189"/>
        <v>0</v>
      </c>
      <c r="R188" s="135">
        <f t="shared" si="189"/>
        <v>0</v>
      </c>
      <c r="S188" s="135">
        <f t="shared" si="189"/>
        <v>0</v>
      </c>
      <c r="T188" s="135">
        <f t="shared" si="189"/>
        <v>0</v>
      </c>
      <c r="U188" s="137">
        <f t="shared" si="143"/>
        <v>0</v>
      </c>
      <c r="V188" s="135">
        <f t="shared" si="189"/>
        <v>0</v>
      </c>
      <c r="W188" s="136">
        <f t="shared" si="189"/>
        <v>0</v>
      </c>
      <c r="X188" s="137">
        <f t="shared" si="146"/>
        <v>0</v>
      </c>
      <c r="Y188" s="135">
        <f t="shared" si="189"/>
        <v>0</v>
      </c>
      <c r="Z188" s="135">
        <f t="shared" si="189"/>
        <v>0</v>
      </c>
      <c r="AA188" s="723">
        <f t="shared" si="133"/>
        <v>0</v>
      </c>
    </row>
    <row r="189" spans="1:27" ht="32.25" hidden="1" customHeight="1">
      <c r="A189" s="32" t="e">
        <f>+CONCATENATE(#REF!,"=",I189)</f>
        <v>#REF!</v>
      </c>
      <c r="B189" s="139" t="s">
        <v>167</v>
      </c>
      <c r="C189" s="139" t="s">
        <v>190</v>
      </c>
      <c r="D189" s="139" t="s">
        <v>172</v>
      </c>
      <c r="E189" s="139">
        <v>18</v>
      </c>
      <c r="F189" s="139" t="s">
        <v>175</v>
      </c>
      <c r="G189" s="139">
        <v>4103050</v>
      </c>
      <c r="H189" s="139"/>
      <c r="I189" s="139">
        <v>11</v>
      </c>
      <c r="J189" s="140" t="s">
        <v>29</v>
      </c>
      <c r="K189" s="140" t="s">
        <v>269</v>
      </c>
      <c r="L189" s="141">
        <f>L190</f>
        <v>0</v>
      </c>
      <c r="M189" s="142">
        <f t="shared" ref="M189:Z189" si="190">M190</f>
        <v>0</v>
      </c>
      <c r="N189" s="142">
        <f t="shared" si="190"/>
        <v>0</v>
      </c>
      <c r="O189" s="142">
        <f t="shared" si="190"/>
        <v>0</v>
      </c>
      <c r="P189" s="142">
        <f t="shared" si="190"/>
        <v>0</v>
      </c>
      <c r="Q189" s="142">
        <f t="shared" si="190"/>
        <v>0</v>
      </c>
      <c r="R189" s="141">
        <f t="shared" si="190"/>
        <v>0</v>
      </c>
      <c r="S189" s="141">
        <f t="shared" si="190"/>
        <v>0</v>
      </c>
      <c r="T189" s="141">
        <f t="shared" si="190"/>
        <v>0</v>
      </c>
      <c r="U189" s="143">
        <f t="shared" si="143"/>
        <v>0</v>
      </c>
      <c r="V189" s="141">
        <f t="shared" si="190"/>
        <v>0</v>
      </c>
      <c r="W189" s="142">
        <f t="shared" si="190"/>
        <v>0</v>
      </c>
      <c r="X189" s="143">
        <f t="shared" si="146"/>
        <v>0</v>
      </c>
      <c r="Y189" s="141">
        <f t="shared" si="190"/>
        <v>0</v>
      </c>
      <c r="Z189" s="141">
        <f t="shared" si="190"/>
        <v>0</v>
      </c>
      <c r="AA189" s="724">
        <f t="shared" si="133"/>
        <v>0</v>
      </c>
    </row>
    <row r="190" spans="1:27" ht="24.95" hidden="1" customHeight="1">
      <c r="A190" s="32" t="e">
        <f>+CONCATENATE(#REF!,"=",I190)</f>
        <v>#REF!</v>
      </c>
      <c r="B190" s="145" t="s">
        <v>167</v>
      </c>
      <c r="C190" s="145" t="s">
        <v>190</v>
      </c>
      <c r="D190" s="145" t="s">
        <v>172</v>
      </c>
      <c r="E190" s="145">
        <v>18</v>
      </c>
      <c r="F190" s="145" t="s">
        <v>175</v>
      </c>
      <c r="G190" s="145">
        <v>4103050</v>
      </c>
      <c r="H190" s="145" t="s">
        <v>54</v>
      </c>
      <c r="I190" s="145">
        <v>11</v>
      </c>
      <c r="J190" s="145" t="s">
        <v>29</v>
      </c>
      <c r="K190" s="147" t="s">
        <v>178</v>
      </c>
      <c r="L190" s="148"/>
      <c r="M190" s="148"/>
      <c r="N190" s="148"/>
      <c r="O190" s="148"/>
      <c r="P190" s="148"/>
      <c r="Q190" s="148"/>
      <c r="R190" s="148">
        <f>+L190-Q190+M190-N190+O190-P190</f>
        <v>0</v>
      </c>
      <c r="S190" s="148"/>
      <c r="T190" s="148">
        <f>+R190-S190</f>
        <v>0</v>
      </c>
      <c r="U190" s="150">
        <f t="shared" si="143"/>
        <v>0</v>
      </c>
      <c r="V190" s="148"/>
      <c r="W190" s="148">
        <f>+S190-V190</f>
        <v>0</v>
      </c>
      <c r="X190" s="150">
        <f t="shared" si="146"/>
        <v>0</v>
      </c>
      <c r="Y190" s="148"/>
      <c r="Z190" s="148">
        <f>+V190-Y190</f>
        <v>0</v>
      </c>
      <c r="AA190" s="150">
        <f t="shared" si="133"/>
        <v>0</v>
      </c>
    </row>
    <row r="191" spans="1:27" ht="41.25" customHeight="1">
      <c r="A191" s="32" t="e">
        <f>+CONCATENATE(#REF!,"=",I191)</f>
        <v>#REF!</v>
      </c>
      <c r="B191" s="133" t="s">
        <v>167</v>
      </c>
      <c r="C191" s="133" t="s">
        <v>190</v>
      </c>
      <c r="D191" s="133" t="s">
        <v>172</v>
      </c>
      <c r="E191" s="133">
        <v>19</v>
      </c>
      <c r="F191" s="133"/>
      <c r="G191" s="133"/>
      <c r="H191" s="133"/>
      <c r="I191" s="133"/>
      <c r="J191" s="134"/>
      <c r="K191" s="134" t="s">
        <v>270</v>
      </c>
      <c r="L191" s="135">
        <f>+L192+L194+L196</f>
        <v>12733806741</v>
      </c>
      <c r="M191" s="136">
        <f t="shared" ref="M191:T191" si="191">+M192+M194+M196</f>
        <v>0</v>
      </c>
      <c r="N191" s="136">
        <f t="shared" si="191"/>
        <v>0</v>
      </c>
      <c r="O191" s="135">
        <f t="shared" si="191"/>
        <v>82545742</v>
      </c>
      <c r="P191" s="135">
        <f t="shared" si="191"/>
        <v>82545742</v>
      </c>
      <c r="Q191" s="136">
        <f t="shared" si="191"/>
        <v>0</v>
      </c>
      <c r="R191" s="135">
        <f t="shared" si="191"/>
        <v>12733806741</v>
      </c>
      <c r="S191" s="135">
        <f t="shared" si="191"/>
        <v>9814733112</v>
      </c>
      <c r="T191" s="135">
        <f t="shared" si="191"/>
        <v>2919073629</v>
      </c>
      <c r="U191" s="137">
        <f t="shared" si="143"/>
        <v>0.77076190267587164</v>
      </c>
      <c r="V191" s="135">
        <f t="shared" ref="V191:Z191" si="192">+V192+V194+V196</f>
        <v>1479553378.3099999</v>
      </c>
      <c r="W191" s="135">
        <f t="shared" si="192"/>
        <v>8335179733.6900005</v>
      </c>
      <c r="X191" s="137">
        <f t="shared" si="146"/>
        <v>0.84925179712721677</v>
      </c>
      <c r="Y191" s="135">
        <f t="shared" si="192"/>
        <v>1278150675.3099999</v>
      </c>
      <c r="Z191" s="135">
        <f t="shared" si="192"/>
        <v>201402703</v>
      </c>
      <c r="AA191" s="723">
        <f t="shared" si="133"/>
        <v>0.13022775665160644</v>
      </c>
    </row>
    <row r="192" spans="1:27" ht="32.25" customHeight="1">
      <c r="A192" s="32" t="e">
        <f>+CONCATENATE(#REF!,"=",I192)</f>
        <v>#REF!</v>
      </c>
      <c r="B192" s="139" t="s">
        <v>167</v>
      </c>
      <c r="C192" s="139" t="s">
        <v>190</v>
      </c>
      <c r="D192" s="139" t="s">
        <v>172</v>
      </c>
      <c r="E192" s="139">
        <v>19</v>
      </c>
      <c r="F192" s="139" t="s">
        <v>175</v>
      </c>
      <c r="G192" s="139">
        <v>4103049</v>
      </c>
      <c r="H192" s="139"/>
      <c r="I192" s="139">
        <v>11</v>
      </c>
      <c r="J192" s="140" t="s">
        <v>29</v>
      </c>
      <c r="K192" s="140" t="s">
        <v>228</v>
      </c>
      <c r="L192" s="141">
        <f>L193</f>
        <v>380000000</v>
      </c>
      <c r="M192" s="142">
        <f t="shared" ref="M192:Z196" si="193">M193</f>
        <v>0</v>
      </c>
      <c r="N192" s="142">
        <f t="shared" si="193"/>
        <v>0</v>
      </c>
      <c r="O192" s="142">
        <f t="shared" si="193"/>
        <v>0</v>
      </c>
      <c r="P192" s="141">
        <f t="shared" si="193"/>
        <v>82545742</v>
      </c>
      <c r="Q192" s="142">
        <f t="shared" si="193"/>
        <v>0</v>
      </c>
      <c r="R192" s="141">
        <f t="shared" si="193"/>
        <v>297454258</v>
      </c>
      <c r="S192" s="141">
        <f t="shared" si="193"/>
        <v>272454258</v>
      </c>
      <c r="T192" s="141">
        <f t="shared" si="193"/>
        <v>25000000</v>
      </c>
      <c r="U192" s="143">
        <f t="shared" si="143"/>
        <v>0.91595346401126321</v>
      </c>
      <c r="V192" s="141">
        <f t="shared" si="193"/>
        <v>70533839</v>
      </c>
      <c r="W192" s="141">
        <f t="shared" si="193"/>
        <v>201920419</v>
      </c>
      <c r="X192" s="143">
        <f t="shared" si="146"/>
        <v>0.74111676757131095</v>
      </c>
      <c r="Y192" s="141">
        <f t="shared" si="193"/>
        <v>66257279</v>
      </c>
      <c r="Z192" s="141">
        <f t="shared" si="193"/>
        <v>4276560</v>
      </c>
      <c r="AA192" s="724">
        <f t="shared" si="133"/>
        <v>0.24318679945167163</v>
      </c>
    </row>
    <row r="193" spans="1:27" ht="24.95" customHeight="1">
      <c r="A193" s="32" t="e">
        <f>+CONCATENATE(#REF!,"=",I193)</f>
        <v>#REF!</v>
      </c>
      <c r="B193" s="145" t="s">
        <v>167</v>
      </c>
      <c r="C193" s="145" t="s">
        <v>190</v>
      </c>
      <c r="D193" s="145" t="s">
        <v>172</v>
      </c>
      <c r="E193" s="145">
        <v>19</v>
      </c>
      <c r="F193" s="145" t="s">
        <v>175</v>
      </c>
      <c r="G193" s="145">
        <v>4103049</v>
      </c>
      <c r="H193" s="145" t="s">
        <v>54</v>
      </c>
      <c r="I193" s="145">
        <v>11</v>
      </c>
      <c r="J193" s="145" t="s">
        <v>29</v>
      </c>
      <c r="K193" s="147" t="s">
        <v>178</v>
      </c>
      <c r="L193" s="148">
        <v>380000000</v>
      </c>
      <c r="M193" s="148"/>
      <c r="N193" s="148"/>
      <c r="O193" s="148"/>
      <c r="P193" s="148">
        <f>82545742</f>
        <v>82545742</v>
      </c>
      <c r="Q193" s="148"/>
      <c r="R193" s="148">
        <f>+L193-Q193+M193-N193+O193-P193</f>
        <v>297454258</v>
      </c>
      <c r="S193" s="148">
        <v>272454258</v>
      </c>
      <c r="T193" s="148">
        <f>+R193-S193</f>
        <v>25000000</v>
      </c>
      <c r="U193" s="150">
        <f t="shared" si="143"/>
        <v>0.91595346401126321</v>
      </c>
      <c r="V193" s="148">
        <v>70533839</v>
      </c>
      <c r="W193" s="148">
        <f>+S193-V193</f>
        <v>201920419</v>
      </c>
      <c r="X193" s="150">
        <f t="shared" si="146"/>
        <v>0.74111676757131095</v>
      </c>
      <c r="Y193" s="148">
        <v>66257279</v>
      </c>
      <c r="Z193" s="148">
        <f>+V193-Y193</f>
        <v>4276560</v>
      </c>
      <c r="AA193" s="150">
        <f t="shared" si="133"/>
        <v>0.24318679945167163</v>
      </c>
    </row>
    <row r="194" spans="1:27" ht="32.25" customHeight="1">
      <c r="A194" s="32" t="e">
        <f>+CONCATENATE(#REF!,"=",I194)</f>
        <v>#REF!</v>
      </c>
      <c r="B194" s="139" t="s">
        <v>167</v>
      </c>
      <c r="C194" s="139" t="s">
        <v>190</v>
      </c>
      <c r="D194" s="139" t="s">
        <v>172</v>
      </c>
      <c r="E194" s="139">
        <v>19</v>
      </c>
      <c r="F194" s="139" t="s">
        <v>175</v>
      </c>
      <c r="G194" s="139">
        <v>4103052</v>
      </c>
      <c r="H194" s="139"/>
      <c r="I194" s="139">
        <v>11</v>
      </c>
      <c r="J194" s="140" t="s">
        <v>29</v>
      </c>
      <c r="K194" s="140" t="s">
        <v>229</v>
      </c>
      <c r="L194" s="141">
        <f>L195</f>
        <v>12353806741</v>
      </c>
      <c r="M194" s="142">
        <f t="shared" si="193"/>
        <v>0</v>
      </c>
      <c r="N194" s="142">
        <f t="shared" si="193"/>
        <v>0</v>
      </c>
      <c r="O194" s="141">
        <f t="shared" si="193"/>
        <v>82545742</v>
      </c>
      <c r="P194" s="142">
        <f t="shared" si="193"/>
        <v>0</v>
      </c>
      <c r="Q194" s="142">
        <f t="shared" si="193"/>
        <v>0</v>
      </c>
      <c r="R194" s="141">
        <f t="shared" si="193"/>
        <v>12436352483</v>
      </c>
      <c r="S194" s="141">
        <f t="shared" si="193"/>
        <v>9542278854</v>
      </c>
      <c r="T194" s="141">
        <f t="shared" si="193"/>
        <v>2894073629</v>
      </c>
      <c r="U194" s="143">
        <f t="shared" si="143"/>
        <v>0.76728919247375116</v>
      </c>
      <c r="V194" s="141">
        <f t="shared" si="193"/>
        <v>1409019539.3099999</v>
      </c>
      <c r="W194" s="141">
        <f t="shared" si="193"/>
        <v>8133259314.6900005</v>
      </c>
      <c r="X194" s="143">
        <f t="shared" si="146"/>
        <v>0.85233930375872879</v>
      </c>
      <c r="Y194" s="141">
        <f t="shared" si="193"/>
        <v>1211893396.3099999</v>
      </c>
      <c r="Z194" s="141">
        <f t="shared" si="193"/>
        <v>197126143</v>
      </c>
      <c r="AA194" s="724">
        <f t="shared" si="133"/>
        <v>0.12700251322062234</v>
      </c>
    </row>
    <row r="195" spans="1:27" ht="24.95" customHeight="1">
      <c r="A195" s="32" t="e">
        <f>+CONCATENATE(#REF!,"=",I195)</f>
        <v>#REF!</v>
      </c>
      <c r="B195" s="145" t="s">
        <v>167</v>
      </c>
      <c r="C195" s="145" t="s">
        <v>190</v>
      </c>
      <c r="D195" s="145" t="s">
        <v>172</v>
      </c>
      <c r="E195" s="145">
        <v>19</v>
      </c>
      <c r="F195" s="145" t="s">
        <v>175</v>
      </c>
      <c r="G195" s="145">
        <v>4103052</v>
      </c>
      <c r="H195" s="145" t="s">
        <v>54</v>
      </c>
      <c r="I195" s="145">
        <v>11</v>
      </c>
      <c r="J195" s="145" t="s">
        <v>29</v>
      </c>
      <c r="K195" s="147" t="s">
        <v>178</v>
      </c>
      <c r="L195" s="148">
        <v>12353806741</v>
      </c>
      <c r="M195" s="148"/>
      <c r="N195" s="148"/>
      <c r="O195" s="148">
        <f>82545742</f>
        <v>82545742</v>
      </c>
      <c r="P195" s="148"/>
      <c r="Q195" s="148"/>
      <c r="R195" s="148">
        <f>+L195-Q195+M195-N195+O195-P195</f>
        <v>12436352483</v>
      </c>
      <c r="S195" s="148">
        <v>9542278854</v>
      </c>
      <c r="T195" s="148">
        <f>+R195-S195</f>
        <v>2894073629</v>
      </c>
      <c r="U195" s="150">
        <f t="shared" si="143"/>
        <v>0.76728919247375116</v>
      </c>
      <c r="V195" s="148">
        <v>1409019539.3099999</v>
      </c>
      <c r="W195" s="148">
        <f>+S195-V195</f>
        <v>8133259314.6900005</v>
      </c>
      <c r="X195" s="150">
        <f t="shared" si="146"/>
        <v>0.85233930375872879</v>
      </c>
      <c r="Y195" s="148">
        <v>1211893396.3099999</v>
      </c>
      <c r="Z195" s="148">
        <f>+V195-Y195</f>
        <v>197126143</v>
      </c>
      <c r="AA195" s="150">
        <f t="shared" si="133"/>
        <v>0.12700251322062234</v>
      </c>
    </row>
    <row r="196" spans="1:27" ht="32.25" hidden="1" customHeight="1">
      <c r="A196" s="32" t="e">
        <f>+CONCATENATE(#REF!,"=",I196)</f>
        <v>#REF!</v>
      </c>
      <c r="B196" s="139" t="s">
        <v>167</v>
      </c>
      <c r="C196" s="139" t="s">
        <v>190</v>
      </c>
      <c r="D196" s="139" t="s">
        <v>172</v>
      </c>
      <c r="E196" s="139">
        <v>19</v>
      </c>
      <c r="F196" s="139" t="s">
        <v>175</v>
      </c>
      <c r="G196" s="139">
        <v>4103060</v>
      </c>
      <c r="H196" s="139"/>
      <c r="I196" s="139">
        <v>11</v>
      </c>
      <c r="J196" s="140" t="s">
        <v>29</v>
      </c>
      <c r="K196" s="140" t="s">
        <v>216</v>
      </c>
      <c r="L196" s="141">
        <f>L197</f>
        <v>0</v>
      </c>
      <c r="M196" s="142">
        <f t="shared" si="193"/>
        <v>0</v>
      </c>
      <c r="N196" s="142">
        <f t="shared" si="193"/>
        <v>0</v>
      </c>
      <c r="O196" s="142">
        <f t="shared" si="193"/>
        <v>0</v>
      </c>
      <c r="P196" s="142">
        <f t="shared" si="193"/>
        <v>0</v>
      </c>
      <c r="Q196" s="142">
        <f t="shared" si="193"/>
        <v>0</v>
      </c>
      <c r="R196" s="141">
        <f t="shared" si="193"/>
        <v>0</v>
      </c>
      <c r="S196" s="141">
        <f t="shared" si="193"/>
        <v>0</v>
      </c>
      <c r="T196" s="141">
        <f t="shared" si="193"/>
        <v>0</v>
      </c>
      <c r="U196" s="143">
        <f t="shared" si="143"/>
        <v>0</v>
      </c>
      <c r="V196" s="141">
        <f t="shared" si="193"/>
        <v>0</v>
      </c>
      <c r="W196" s="142">
        <f t="shared" si="193"/>
        <v>0</v>
      </c>
      <c r="X196" s="143">
        <f t="shared" si="146"/>
        <v>0</v>
      </c>
      <c r="Y196" s="141">
        <f t="shared" si="193"/>
        <v>0</v>
      </c>
      <c r="Z196" s="141">
        <f t="shared" si="193"/>
        <v>0</v>
      </c>
      <c r="AA196" s="724">
        <f t="shared" si="133"/>
        <v>0</v>
      </c>
    </row>
    <row r="197" spans="1:27" ht="24.95" hidden="1" customHeight="1">
      <c r="A197" s="32" t="e">
        <f>+CONCATENATE(#REF!,"=",I197)</f>
        <v>#REF!</v>
      </c>
      <c r="B197" s="145" t="s">
        <v>167</v>
      </c>
      <c r="C197" s="145" t="s">
        <v>190</v>
      </c>
      <c r="D197" s="145" t="s">
        <v>172</v>
      </c>
      <c r="E197" s="145">
        <v>19</v>
      </c>
      <c r="F197" s="145" t="s">
        <v>175</v>
      </c>
      <c r="G197" s="145">
        <v>4103060</v>
      </c>
      <c r="H197" s="145" t="s">
        <v>54</v>
      </c>
      <c r="I197" s="145">
        <v>11</v>
      </c>
      <c r="J197" s="145" t="s">
        <v>29</v>
      </c>
      <c r="K197" s="147" t="s">
        <v>178</v>
      </c>
      <c r="L197" s="148"/>
      <c r="M197" s="148"/>
      <c r="N197" s="148"/>
      <c r="O197" s="148"/>
      <c r="P197" s="148"/>
      <c r="Q197" s="148"/>
      <c r="R197" s="148">
        <f>+L197-Q197+M197-N197+O197-P197</f>
        <v>0</v>
      </c>
      <c r="S197" s="148">
        <v>0</v>
      </c>
      <c r="T197" s="148">
        <f>+R197-S197</f>
        <v>0</v>
      </c>
      <c r="U197" s="150">
        <f t="shared" si="143"/>
        <v>0</v>
      </c>
      <c r="V197" s="148">
        <v>0</v>
      </c>
      <c r="W197" s="148">
        <f>+S197-V197</f>
        <v>0</v>
      </c>
      <c r="X197" s="150">
        <f t="shared" si="146"/>
        <v>0</v>
      </c>
      <c r="Y197" s="148">
        <v>0</v>
      </c>
      <c r="Z197" s="148">
        <f>+V197-Y197</f>
        <v>0</v>
      </c>
      <c r="AA197" s="150">
        <f t="shared" si="133"/>
        <v>0</v>
      </c>
    </row>
    <row r="198" spans="1:27" ht="49.5" customHeight="1">
      <c r="A198" s="32" t="e">
        <f>+CONCATENATE(#REF!,"=",I198)</f>
        <v>#REF!</v>
      </c>
      <c r="B198" s="133" t="s">
        <v>167</v>
      </c>
      <c r="C198" s="133" t="s">
        <v>190</v>
      </c>
      <c r="D198" s="133" t="s">
        <v>172</v>
      </c>
      <c r="E198" s="133">
        <v>20</v>
      </c>
      <c r="F198" s="133"/>
      <c r="G198" s="133"/>
      <c r="H198" s="133"/>
      <c r="I198" s="133"/>
      <c r="J198" s="134"/>
      <c r="K198" s="134" t="s">
        <v>271</v>
      </c>
      <c r="L198" s="135">
        <f>+L199</f>
        <v>960000000000</v>
      </c>
      <c r="M198" s="136">
        <f t="shared" ref="M198:T198" si="194">+M199</f>
        <v>0</v>
      </c>
      <c r="N198" s="136">
        <f t="shared" si="194"/>
        <v>0</v>
      </c>
      <c r="O198" s="136">
        <f t="shared" si="194"/>
        <v>0</v>
      </c>
      <c r="P198" s="136">
        <f t="shared" si="194"/>
        <v>0</v>
      </c>
      <c r="Q198" s="136">
        <f t="shared" si="194"/>
        <v>0</v>
      </c>
      <c r="R198" s="135">
        <f t="shared" si="194"/>
        <v>960000000000</v>
      </c>
      <c r="S198" s="135">
        <f t="shared" si="194"/>
        <v>339633724141</v>
      </c>
      <c r="T198" s="135">
        <f t="shared" si="194"/>
        <v>620366275859</v>
      </c>
      <c r="U198" s="137">
        <f t="shared" si="143"/>
        <v>0.35378512931354167</v>
      </c>
      <c r="V198" s="135">
        <f t="shared" ref="V198:W198" si="195">+V199</f>
        <v>267715571574.48001</v>
      </c>
      <c r="W198" s="135">
        <f t="shared" si="195"/>
        <v>71918152566.520004</v>
      </c>
      <c r="X198" s="137">
        <f t="shared" si="146"/>
        <v>0.21175209484398244</v>
      </c>
      <c r="Y198" s="135">
        <f t="shared" ref="Y198:Z198" si="196">+Y199</f>
        <v>267655577182.48001</v>
      </c>
      <c r="Z198" s="135">
        <f t="shared" si="196"/>
        <v>59994392</v>
      </c>
      <c r="AA198" s="723">
        <f t="shared" si="133"/>
        <v>0.78807126076608913</v>
      </c>
    </row>
    <row r="199" spans="1:27" ht="32.25" customHeight="1">
      <c r="A199" s="32" t="e">
        <f>+CONCATENATE(#REF!,"=",I199)</f>
        <v>#REF!</v>
      </c>
      <c r="B199" s="139" t="s">
        <v>167</v>
      </c>
      <c r="C199" s="139" t="s">
        <v>190</v>
      </c>
      <c r="D199" s="139" t="s">
        <v>172</v>
      </c>
      <c r="E199" s="139">
        <v>20</v>
      </c>
      <c r="F199" s="139" t="s">
        <v>175</v>
      </c>
      <c r="G199" s="139">
        <v>4103061</v>
      </c>
      <c r="H199" s="139"/>
      <c r="I199" s="139">
        <v>11</v>
      </c>
      <c r="J199" s="140" t="s">
        <v>29</v>
      </c>
      <c r="K199" s="140" t="s">
        <v>231</v>
      </c>
      <c r="L199" s="141">
        <f>SUM(L200:L201)</f>
        <v>960000000000</v>
      </c>
      <c r="M199" s="142">
        <f t="shared" ref="M199:T199" si="197">SUM(M200:M201)</f>
        <v>0</v>
      </c>
      <c r="N199" s="142">
        <f t="shared" si="197"/>
        <v>0</v>
      </c>
      <c r="O199" s="142">
        <f t="shared" si="197"/>
        <v>0</v>
      </c>
      <c r="P199" s="142">
        <f t="shared" si="197"/>
        <v>0</v>
      </c>
      <c r="Q199" s="142">
        <f t="shared" si="197"/>
        <v>0</v>
      </c>
      <c r="R199" s="141">
        <f t="shared" si="197"/>
        <v>960000000000</v>
      </c>
      <c r="S199" s="141">
        <f t="shared" si="197"/>
        <v>339633724141</v>
      </c>
      <c r="T199" s="141">
        <f t="shared" si="197"/>
        <v>620366275859</v>
      </c>
      <c r="U199" s="143">
        <f t="shared" si="143"/>
        <v>0.35378512931354167</v>
      </c>
      <c r="V199" s="141">
        <f t="shared" ref="V199:W199" si="198">SUM(V200:V201)</f>
        <v>267715571574.48001</v>
      </c>
      <c r="W199" s="141">
        <f t="shared" si="198"/>
        <v>71918152566.520004</v>
      </c>
      <c r="X199" s="143">
        <f t="shared" si="146"/>
        <v>0.21175209484398244</v>
      </c>
      <c r="Y199" s="141">
        <f t="shared" ref="Y199:Z199" si="199">SUM(Y200:Y201)</f>
        <v>267655577182.48001</v>
      </c>
      <c r="Z199" s="141">
        <f t="shared" si="199"/>
        <v>59994392</v>
      </c>
      <c r="AA199" s="724">
        <f t="shared" si="133"/>
        <v>0.78807126076608913</v>
      </c>
    </row>
    <row r="200" spans="1:27" ht="24.95" customHeight="1">
      <c r="A200" s="32" t="e">
        <f>+CONCATENATE(#REF!,"=",I200)</f>
        <v>#REF!</v>
      </c>
      <c r="B200" s="145" t="s">
        <v>167</v>
      </c>
      <c r="C200" s="145" t="s">
        <v>190</v>
      </c>
      <c r="D200" s="145" t="s">
        <v>172</v>
      </c>
      <c r="E200" s="145">
        <v>20</v>
      </c>
      <c r="F200" s="145" t="s">
        <v>175</v>
      </c>
      <c r="G200" s="145">
        <v>4103061</v>
      </c>
      <c r="H200" s="145" t="s">
        <v>54</v>
      </c>
      <c r="I200" s="145">
        <v>11</v>
      </c>
      <c r="J200" s="145" t="s">
        <v>29</v>
      </c>
      <c r="K200" s="147" t="s">
        <v>178</v>
      </c>
      <c r="L200" s="148">
        <v>52278387000</v>
      </c>
      <c r="M200" s="148"/>
      <c r="N200" s="148"/>
      <c r="O200" s="148"/>
      <c r="P200" s="148"/>
      <c r="Q200" s="148"/>
      <c r="R200" s="148">
        <f>+L200+M200-N200+O200-P200-Q200</f>
        <v>52278387000</v>
      </c>
      <c r="S200" s="148">
        <v>35633724141</v>
      </c>
      <c r="T200" s="148">
        <f>+R200-S200</f>
        <v>16644662859</v>
      </c>
      <c r="U200" s="150">
        <f t="shared" si="143"/>
        <v>0.68161483522817945</v>
      </c>
      <c r="V200" s="148">
        <v>2478687574.48</v>
      </c>
      <c r="W200" s="148">
        <f>+S200-V200</f>
        <v>33155036566.52</v>
      </c>
      <c r="X200" s="150">
        <f t="shared" si="146"/>
        <v>0.93043983938720476</v>
      </c>
      <c r="Y200" s="148">
        <v>2418693182.48</v>
      </c>
      <c r="Z200" s="148">
        <f>+V200-Y200</f>
        <v>59994392</v>
      </c>
      <c r="AA200" s="150">
        <f t="shared" si="133"/>
        <v>6.787651980773636E-2</v>
      </c>
    </row>
    <row r="201" spans="1:27" ht="24.95" customHeight="1">
      <c r="A201" s="32" t="e">
        <f>+CONCATENATE(#REF!,"=",I201)</f>
        <v>#REF!</v>
      </c>
      <c r="B201" s="145" t="s">
        <v>167</v>
      </c>
      <c r="C201" s="145" t="s">
        <v>190</v>
      </c>
      <c r="D201" s="145" t="s">
        <v>172</v>
      </c>
      <c r="E201" s="145">
        <v>20</v>
      </c>
      <c r="F201" s="145" t="s">
        <v>175</v>
      </c>
      <c r="G201" s="145">
        <v>4103061</v>
      </c>
      <c r="H201" s="145" t="s">
        <v>65</v>
      </c>
      <c r="I201" s="145">
        <v>11</v>
      </c>
      <c r="J201" s="145" t="s">
        <v>29</v>
      </c>
      <c r="K201" s="147" t="s">
        <v>127</v>
      </c>
      <c r="L201" s="148">
        <v>907721613000</v>
      </c>
      <c r="M201" s="148"/>
      <c r="N201" s="148"/>
      <c r="O201" s="148"/>
      <c r="P201" s="148"/>
      <c r="Q201" s="148"/>
      <c r="R201" s="148">
        <f>+L201+M201-N201+O201-P201-Q201</f>
        <v>907721613000</v>
      </c>
      <c r="S201" s="148">
        <v>304000000000</v>
      </c>
      <c r="T201" s="148">
        <f>+R201-S201</f>
        <v>603721613000</v>
      </c>
      <c r="U201" s="150">
        <f t="shared" si="143"/>
        <v>0.33490444167709821</v>
      </c>
      <c r="V201" s="148">
        <v>265236884000</v>
      </c>
      <c r="W201" s="148">
        <f>+S201-V201</f>
        <v>38763116000</v>
      </c>
      <c r="X201" s="150">
        <f t="shared" si="146"/>
        <v>0.12751024999999999</v>
      </c>
      <c r="Y201" s="148">
        <v>265236884000</v>
      </c>
      <c r="Z201" s="148">
        <f>+V201-Y201</f>
        <v>0</v>
      </c>
      <c r="AA201" s="150">
        <f t="shared" si="133"/>
        <v>0.87248974999999995</v>
      </c>
    </row>
    <row r="202" spans="1:27" ht="42" customHeight="1">
      <c r="A202" s="32" t="e">
        <f>+CONCATENATE(#REF!,"=",I202)</f>
        <v>#REF!</v>
      </c>
      <c r="B202" s="133" t="s">
        <v>167</v>
      </c>
      <c r="C202" s="133">
        <v>4103</v>
      </c>
      <c r="D202" s="133" t="s">
        <v>172</v>
      </c>
      <c r="E202" s="133">
        <v>21</v>
      </c>
      <c r="F202" s="133"/>
      <c r="G202" s="133"/>
      <c r="H202" s="133"/>
      <c r="I202" s="133"/>
      <c r="J202" s="134"/>
      <c r="K202" s="134" t="s">
        <v>272</v>
      </c>
      <c r="L202" s="135">
        <f>+L207+L209+L211+L203+L205</f>
        <v>25000000000</v>
      </c>
      <c r="M202" s="135">
        <f t="shared" ref="M202:Z202" si="200">+M207+M209+M211+M203+M205</f>
        <v>0</v>
      </c>
      <c r="N202" s="135">
        <f t="shared" si="200"/>
        <v>0</v>
      </c>
      <c r="O202" s="135">
        <f t="shared" si="200"/>
        <v>16740482418</v>
      </c>
      <c r="P202" s="135">
        <f t="shared" si="200"/>
        <v>16740482418</v>
      </c>
      <c r="Q202" s="135">
        <f t="shared" si="200"/>
        <v>0</v>
      </c>
      <c r="R202" s="135">
        <f t="shared" si="200"/>
        <v>25000000000</v>
      </c>
      <c r="S202" s="135">
        <f t="shared" si="200"/>
        <v>2958081484</v>
      </c>
      <c r="T202" s="135">
        <f t="shared" si="200"/>
        <v>22041918516</v>
      </c>
      <c r="U202" s="137">
        <f t="shared" si="143"/>
        <v>0.11832325936</v>
      </c>
      <c r="V202" s="135">
        <f t="shared" si="200"/>
        <v>440903981</v>
      </c>
      <c r="W202" s="135">
        <f t="shared" si="200"/>
        <v>2517177503</v>
      </c>
      <c r="X202" s="137">
        <f t="shared" si="146"/>
        <v>0.85094934558604607</v>
      </c>
      <c r="Y202" s="135">
        <f t="shared" si="200"/>
        <v>370702499</v>
      </c>
      <c r="Z202" s="135">
        <f t="shared" si="200"/>
        <v>70201482</v>
      </c>
      <c r="AA202" s="723">
        <f t="shared" si="133"/>
        <v>0.12531855562637367</v>
      </c>
    </row>
    <row r="203" spans="1:27" ht="32.25" customHeight="1">
      <c r="A203" s="32" t="e">
        <f>+CONCATENATE(#REF!,"=",I203)</f>
        <v>#REF!</v>
      </c>
      <c r="B203" s="139" t="s">
        <v>167</v>
      </c>
      <c r="C203" s="139">
        <v>4103</v>
      </c>
      <c r="D203" s="139" t="s">
        <v>172</v>
      </c>
      <c r="E203" s="139">
        <v>21</v>
      </c>
      <c r="F203" s="139" t="s">
        <v>175</v>
      </c>
      <c r="G203" s="139" t="s">
        <v>219</v>
      </c>
      <c r="H203" s="139"/>
      <c r="I203" s="139" t="s">
        <v>144</v>
      </c>
      <c r="J203" s="140" t="s">
        <v>29</v>
      </c>
      <c r="K203" s="140" t="s">
        <v>233</v>
      </c>
      <c r="L203" s="141">
        <f t="shared" ref="L203:T203" si="201">SUM(L204:L204)</f>
        <v>2606454177</v>
      </c>
      <c r="M203" s="142">
        <f t="shared" si="201"/>
        <v>0</v>
      </c>
      <c r="N203" s="142">
        <f t="shared" si="201"/>
        <v>0</v>
      </c>
      <c r="O203" s="141">
        <f t="shared" si="201"/>
        <v>130864071</v>
      </c>
      <c r="P203" s="141">
        <f t="shared" si="201"/>
        <v>261728142</v>
      </c>
      <c r="Q203" s="142">
        <f t="shared" si="201"/>
        <v>0</v>
      </c>
      <c r="R203" s="141">
        <f t="shared" si="201"/>
        <v>2475590106</v>
      </c>
      <c r="S203" s="141">
        <f t="shared" si="201"/>
        <v>45689800</v>
      </c>
      <c r="T203" s="141">
        <f t="shared" si="201"/>
        <v>2429900306</v>
      </c>
      <c r="U203" s="143">
        <f t="shared" si="143"/>
        <v>1.8456124820204787E-2</v>
      </c>
      <c r="V203" s="141">
        <f t="shared" ref="V203:W203" si="202">SUM(V204:V204)</f>
        <v>0</v>
      </c>
      <c r="W203" s="141">
        <f t="shared" si="202"/>
        <v>45689800</v>
      </c>
      <c r="X203" s="143">
        <f t="shared" si="146"/>
        <v>1</v>
      </c>
      <c r="Y203" s="141">
        <f t="shared" ref="Y203:Z203" si="203">SUM(Y204:Y204)</f>
        <v>0</v>
      </c>
      <c r="Z203" s="141">
        <f t="shared" si="203"/>
        <v>0</v>
      </c>
      <c r="AA203" s="724">
        <f t="shared" si="133"/>
        <v>0</v>
      </c>
    </row>
    <row r="204" spans="1:27" ht="24.95" customHeight="1">
      <c r="A204" s="32" t="e">
        <f>+CONCATENATE(#REF!,"=",I204)</f>
        <v>#REF!</v>
      </c>
      <c r="B204" s="145" t="s">
        <v>167</v>
      </c>
      <c r="C204" s="145">
        <v>4103</v>
      </c>
      <c r="D204" s="145" t="s">
        <v>172</v>
      </c>
      <c r="E204" s="145">
        <v>21</v>
      </c>
      <c r="F204" s="145" t="s">
        <v>175</v>
      </c>
      <c r="G204" s="145" t="s">
        <v>219</v>
      </c>
      <c r="H204" s="145" t="s">
        <v>54</v>
      </c>
      <c r="I204" s="145" t="s">
        <v>144</v>
      </c>
      <c r="J204" s="145" t="s">
        <v>29</v>
      </c>
      <c r="K204" s="147" t="s">
        <v>178</v>
      </c>
      <c r="L204" s="148">
        <v>2606454177</v>
      </c>
      <c r="M204" s="148"/>
      <c r="N204" s="148"/>
      <c r="O204" s="148">
        <f>130864071</f>
        <v>130864071</v>
      </c>
      <c r="P204" s="148">
        <f>261728142</f>
        <v>261728142</v>
      </c>
      <c r="Q204" s="148"/>
      <c r="R204" s="148">
        <f>+L204-Q204+M204-N204+O204-P204</f>
        <v>2475590106</v>
      </c>
      <c r="S204" s="148">
        <v>45689800</v>
      </c>
      <c r="T204" s="148">
        <f t="shared" ref="T204" si="204">+R204-S204</f>
        <v>2429900306</v>
      </c>
      <c r="U204" s="150">
        <f t="shared" si="143"/>
        <v>1.8456124820204787E-2</v>
      </c>
      <c r="V204" s="148">
        <v>0</v>
      </c>
      <c r="W204" s="148">
        <f t="shared" ref="W204" si="205">+S204-V204</f>
        <v>45689800</v>
      </c>
      <c r="X204" s="150">
        <f t="shared" si="146"/>
        <v>1</v>
      </c>
      <c r="Y204" s="148">
        <v>0</v>
      </c>
      <c r="Z204" s="148">
        <f t="shared" ref="Z204" si="206">+V204-Y204</f>
        <v>0</v>
      </c>
      <c r="AA204" s="150">
        <f t="shared" si="133"/>
        <v>0</v>
      </c>
    </row>
    <row r="205" spans="1:27" ht="32.25" customHeight="1">
      <c r="A205" s="32" t="e">
        <f>+CONCATENATE(#REF!,"=",I205)</f>
        <v>#REF!</v>
      </c>
      <c r="B205" s="139" t="s">
        <v>167</v>
      </c>
      <c r="C205" s="139">
        <v>4103</v>
      </c>
      <c r="D205" s="139" t="s">
        <v>172</v>
      </c>
      <c r="E205" s="139">
        <v>21</v>
      </c>
      <c r="F205" s="139" t="s">
        <v>175</v>
      </c>
      <c r="G205" s="139" t="s">
        <v>234</v>
      </c>
      <c r="H205" s="139"/>
      <c r="I205" s="139" t="s">
        <v>144</v>
      </c>
      <c r="J205" s="140" t="s">
        <v>29</v>
      </c>
      <c r="K205" s="140" t="s">
        <v>235</v>
      </c>
      <c r="L205" s="141">
        <f>+L206</f>
        <v>1252740115</v>
      </c>
      <c r="M205" s="142">
        <f t="shared" ref="M205:Z205" si="207">+M206</f>
        <v>0</v>
      </c>
      <c r="N205" s="142">
        <f t="shared" si="207"/>
        <v>0</v>
      </c>
      <c r="O205" s="141">
        <f t="shared" si="207"/>
        <v>139030957</v>
      </c>
      <c r="P205" s="141">
        <f t="shared" si="207"/>
        <v>278061914</v>
      </c>
      <c r="Q205" s="142">
        <f t="shared" si="207"/>
        <v>0</v>
      </c>
      <c r="R205" s="141">
        <f t="shared" si="207"/>
        <v>1113709158</v>
      </c>
      <c r="S205" s="141">
        <f t="shared" si="207"/>
        <v>0</v>
      </c>
      <c r="T205" s="141">
        <f t="shared" si="207"/>
        <v>1113709158</v>
      </c>
      <c r="U205" s="143">
        <f t="shared" si="143"/>
        <v>0</v>
      </c>
      <c r="V205" s="141">
        <f t="shared" si="207"/>
        <v>0</v>
      </c>
      <c r="W205" s="142">
        <f t="shared" si="207"/>
        <v>0</v>
      </c>
      <c r="X205" s="143">
        <f t="shared" si="146"/>
        <v>0</v>
      </c>
      <c r="Y205" s="141">
        <f t="shared" si="207"/>
        <v>0</v>
      </c>
      <c r="Z205" s="141">
        <f t="shared" si="207"/>
        <v>0</v>
      </c>
      <c r="AA205" s="724">
        <f t="shared" si="133"/>
        <v>0</v>
      </c>
    </row>
    <row r="206" spans="1:27" ht="24.95" customHeight="1">
      <c r="A206" s="32" t="e">
        <f>+CONCATENATE(#REF!,"=",I206)</f>
        <v>#REF!</v>
      </c>
      <c r="B206" s="145" t="s">
        <v>167</v>
      </c>
      <c r="C206" s="145">
        <v>4103</v>
      </c>
      <c r="D206" s="145" t="s">
        <v>172</v>
      </c>
      <c r="E206" s="145">
        <v>21</v>
      </c>
      <c r="F206" s="145" t="s">
        <v>175</v>
      </c>
      <c r="G206" s="145" t="s">
        <v>234</v>
      </c>
      <c r="H206" s="145" t="s">
        <v>54</v>
      </c>
      <c r="I206" s="145" t="s">
        <v>144</v>
      </c>
      <c r="J206" s="145" t="s">
        <v>29</v>
      </c>
      <c r="K206" s="147" t="s">
        <v>178</v>
      </c>
      <c r="L206" s="148">
        <v>1252740115</v>
      </c>
      <c r="M206" s="148"/>
      <c r="N206" s="148"/>
      <c r="O206" s="148">
        <f>139030957</f>
        <v>139030957</v>
      </c>
      <c r="P206" s="148">
        <f>278061914</f>
        <v>278061914</v>
      </c>
      <c r="Q206" s="148"/>
      <c r="R206" s="148">
        <f>+L206-Q206+M206-N206+O206-P206</f>
        <v>1113709158</v>
      </c>
      <c r="S206" s="148">
        <v>0</v>
      </c>
      <c r="T206" s="148">
        <f t="shared" ref="T206" si="208">+R206-S206</f>
        <v>1113709158</v>
      </c>
      <c r="U206" s="150">
        <f t="shared" si="143"/>
        <v>0</v>
      </c>
      <c r="V206" s="148">
        <v>0</v>
      </c>
      <c r="W206" s="148">
        <f t="shared" ref="W206" si="209">+S206-V206</f>
        <v>0</v>
      </c>
      <c r="X206" s="150">
        <f t="shared" si="146"/>
        <v>0</v>
      </c>
      <c r="Y206" s="148">
        <v>0</v>
      </c>
      <c r="Z206" s="148">
        <f t="shared" ref="Z206" si="210">+V206-Y206</f>
        <v>0</v>
      </c>
      <c r="AA206" s="150">
        <f t="shared" si="133"/>
        <v>0</v>
      </c>
    </row>
    <row r="207" spans="1:27" ht="32.25" customHeight="1">
      <c r="A207" s="32" t="e">
        <f>+CONCATENATE(#REF!,"=",I207)</f>
        <v>#REF!</v>
      </c>
      <c r="B207" s="139" t="s">
        <v>167</v>
      </c>
      <c r="C207" s="139">
        <v>4103</v>
      </c>
      <c r="D207" s="139" t="s">
        <v>172</v>
      </c>
      <c r="E207" s="139">
        <v>21</v>
      </c>
      <c r="F207" s="139" t="s">
        <v>175</v>
      </c>
      <c r="G207" s="139" t="s">
        <v>197</v>
      </c>
      <c r="H207" s="139"/>
      <c r="I207" s="139" t="s">
        <v>144</v>
      </c>
      <c r="J207" s="140" t="s">
        <v>29</v>
      </c>
      <c r="K207" s="140" t="s">
        <v>236</v>
      </c>
      <c r="L207" s="141">
        <f>+L208</f>
        <v>1722076323</v>
      </c>
      <c r="M207" s="142">
        <f t="shared" ref="M207:Z207" si="211">+M208</f>
        <v>0</v>
      </c>
      <c r="N207" s="142">
        <f t="shared" si="211"/>
        <v>0</v>
      </c>
      <c r="O207" s="141">
        <f t="shared" si="211"/>
        <v>185321568</v>
      </c>
      <c r="P207" s="141">
        <f t="shared" si="211"/>
        <v>370643136</v>
      </c>
      <c r="Q207" s="142">
        <f t="shared" si="211"/>
        <v>0</v>
      </c>
      <c r="R207" s="141">
        <f t="shared" si="211"/>
        <v>1536754755</v>
      </c>
      <c r="S207" s="141">
        <f t="shared" si="211"/>
        <v>87254700</v>
      </c>
      <c r="T207" s="141">
        <f t="shared" si="211"/>
        <v>1449500055</v>
      </c>
      <c r="U207" s="143">
        <f t="shared" si="143"/>
        <v>5.6778545643738708E-2</v>
      </c>
      <c r="V207" s="141">
        <f t="shared" si="211"/>
        <v>0</v>
      </c>
      <c r="W207" s="141">
        <f t="shared" si="211"/>
        <v>87254700</v>
      </c>
      <c r="X207" s="143">
        <f t="shared" si="146"/>
        <v>1</v>
      </c>
      <c r="Y207" s="141">
        <f t="shared" si="211"/>
        <v>0</v>
      </c>
      <c r="Z207" s="141">
        <f t="shared" si="211"/>
        <v>0</v>
      </c>
      <c r="AA207" s="724">
        <f t="shared" si="133"/>
        <v>0</v>
      </c>
    </row>
    <row r="208" spans="1:27" ht="24.95" customHeight="1">
      <c r="A208" s="32" t="e">
        <f>+CONCATENATE(#REF!,"=",I208)</f>
        <v>#REF!</v>
      </c>
      <c r="B208" s="145" t="s">
        <v>167</v>
      </c>
      <c r="C208" s="145">
        <v>4103</v>
      </c>
      <c r="D208" s="145" t="s">
        <v>172</v>
      </c>
      <c r="E208" s="145">
        <v>21</v>
      </c>
      <c r="F208" s="145" t="s">
        <v>175</v>
      </c>
      <c r="G208" s="145" t="s">
        <v>197</v>
      </c>
      <c r="H208" s="145" t="s">
        <v>54</v>
      </c>
      <c r="I208" s="145" t="s">
        <v>144</v>
      </c>
      <c r="J208" s="145" t="s">
        <v>29</v>
      </c>
      <c r="K208" s="147" t="s">
        <v>178</v>
      </c>
      <c r="L208" s="148">
        <v>1722076323</v>
      </c>
      <c r="M208" s="148"/>
      <c r="N208" s="148"/>
      <c r="O208" s="148">
        <f>185321568</f>
        <v>185321568</v>
      </c>
      <c r="P208" s="148">
        <f>370643136</f>
        <v>370643136</v>
      </c>
      <c r="Q208" s="148"/>
      <c r="R208" s="148">
        <f>+L208-Q208+M208-N208+O208-P208</f>
        <v>1536754755</v>
      </c>
      <c r="S208" s="148">
        <v>87254700</v>
      </c>
      <c r="T208" s="148">
        <f t="shared" ref="T208" si="212">+R208-S208</f>
        <v>1449500055</v>
      </c>
      <c r="U208" s="150">
        <f t="shared" si="143"/>
        <v>5.6778545643738708E-2</v>
      </c>
      <c r="V208" s="148"/>
      <c r="W208" s="148">
        <f t="shared" ref="W208" si="213">+S208-V208</f>
        <v>87254700</v>
      </c>
      <c r="X208" s="150">
        <f t="shared" si="146"/>
        <v>1</v>
      </c>
      <c r="Y208" s="148"/>
      <c r="Z208" s="148">
        <f t="shared" ref="Z208" si="214">+V208-Y208</f>
        <v>0</v>
      </c>
      <c r="AA208" s="150">
        <f t="shared" si="133"/>
        <v>0</v>
      </c>
    </row>
    <row r="209" spans="1:27" ht="32.25" customHeight="1">
      <c r="A209" s="32" t="e">
        <f>+CONCATENATE(#REF!,"=",I209)</f>
        <v>#REF!</v>
      </c>
      <c r="B209" s="139" t="s">
        <v>167</v>
      </c>
      <c r="C209" s="139">
        <v>4103</v>
      </c>
      <c r="D209" s="139" t="s">
        <v>172</v>
      </c>
      <c r="E209" s="139">
        <v>21</v>
      </c>
      <c r="F209" s="139" t="s">
        <v>175</v>
      </c>
      <c r="G209" s="139" t="s">
        <v>203</v>
      </c>
      <c r="H209" s="139"/>
      <c r="I209" s="139" t="s">
        <v>144</v>
      </c>
      <c r="J209" s="140" t="s">
        <v>29</v>
      </c>
      <c r="K209" s="140" t="s">
        <v>237</v>
      </c>
      <c r="L209" s="141">
        <f t="shared" ref="L209:T209" si="215">SUM(L210:L210)</f>
        <v>4822978569</v>
      </c>
      <c r="M209" s="142">
        <f t="shared" si="215"/>
        <v>0</v>
      </c>
      <c r="N209" s="142">
        <f t="shared" si="215"/>
        <v>0</v>
      </c>
      <c r="O209" s="141">
        <f t="shared" si="215"/>
        <v>259693938</v>
      </c>
      <c r="P209" s="141">
        <f t="shared" si="215"/>
        <v>519387876</v>
      </c>
      <c r="Q209" s="142">
        <f t="shared" si="215"/>
        <v>0</v>
      </c>
      <c r="R209" s="141">
        <f t="shared" si="215"/>
        <v>4563284631</v>
      </c>
      <c r="S209" s="141">
        <f t="shared" si="215"/>
        <v>268698000</v>
      </c>
      <c r="T209" s="141">
        <f t="shared" si="215"/>
        <v>4294586631</v>
      </c>
      <c r="U209" s="143">
        <f t="shared" si="143"/>
        <v>5.8882586059751746E-2</v>
      </c>
      <c r="V209" s="141">
        <f t="shared" ref="V209:W209" si="216">SUM(V210:V210)</f>
        <v>0</v>
      </c>
      <c r="W209" s="141">
        <f t="shared" si="216"/>
        <v>268698000</v>
      </c>
      <c r="X209" s="143">
        <f t="shared" si="146"/>
        <v>1</v>
      </c>
      <c r="Y209" s="141">
        <f t="shared" ref="Y209:Z209" si="217">SUM(Y210:Y210)</f>
        <v>0</v>
      </c>
      <c r="Z209" s="141">
        <f t="shared" si="217"/>
        <v>0</v>
      </c>
      <c r="AA209" s="724">
        <f t="shared" si="133"/>
        <v>0</v>
      </c>
    </row>
    <row r="210" spans="1:27" ht="24.95" customHeight="1">
      <c r="A210" s="32" t="e">
        <f>+CONCATENATE(#REF!,"=",I210)</f>
        <v>#REF!</v>
      </c>
      <c r="B210" s="145" t="s">
        <v>167</v>
      </c>
      <c r="C210" s="145">
        <v>4103</v>
      </c>
      <c r="D210" s="145" t="s">
        <v>172</v>
      </c>
      <c r="E210" s="145">
        <v>21</v>
      </c>
      <c r="F210" s="145" t="s">
        <v>175</v>
      </c>
      <c r="G210" s="145" t="s">
        <v>203</v>
      </c>
      <c r="H210" s="145" t="s">
        <v>54</v>
      </c>
      <c r="I210" s="145" t="s">
        <v>144</v>
      </c>
      <c r="J210" s="145" t="s">
        <v>29</v>
      </c>
      <c r="K210" s="147" t="s">
        <v>178</v>
      </c>
      <c r="L210" s="148">
        <v>4822978569</v>
      </c>
      <c r="M210" s="148"/>
      <c r="N210" s="148"/>
      <c r="O210" s="148">
        <f>259693938</f>
        <v>259693938</v>
      </c>
      <c r="P210" s="148">
        <f>519387876</f>
        <v>519387876</v>
      </c>
      <c r="Q210" s="148"/>
      <c r="R210" s="148">
        <f>+L210-Q210+M210-N210+O210-P210</f>
        <v>4563284631</v>
      </c>
      <c r="S210" s="148">
        <v>268698000</v>
      </c>
      <c r="T210" s="148">
        <f t="shared" ref="T210" si="218">+R210-S210</f>
        <v>4294586631</v>
      </c>
      <c r="U210" s="150">
        <f t="shared" si="143"/>
        <v>5.8882586059751746E-2</v>
      </c>
      <c r="V210" s="148">
        <v>0</v>
      </c>
      <c r="W210" s="148">
        <f t="shared" ref="W210" si="219">+S210-V210</f>
        <v>268698000</v>
      </c>
      <c r="X210" s="150">
        <f t="shared" si="146"/>
        <v>1</v>
      </c>
      <c r="Y210" s="148">
        <v>0</v>
      </c>
      <c r="Z210" s="148">
        <f t="shared" ref="Z210" si="220">+V210-Y210</f>
        <v>0</v>
      </c>
      <c r="AA210" s="150">
        <f t="shared" si="133"/>
        <v>0</v>
      </c>
    </row>
    <row r="211" spans="1:27" ht="32.25" customHeight="1">
      <c r="A211" s="32" t="e">
        <f>+CONCATENATE(#REF!,"=",I211)</f>
        <v>#REF!</v>
      </c>
      <c r="B211" s="139" t="s">
        <v>167</v>
      </c>
      <c r="C211" s="139">
        <v>4103</v>
      </c>
      <c r="D211" s="139" t="s">
        <v>172</v>
      </c>
      <c r="E211" s="139">
        <v>21</v>
      </c>
      <c r="F211" s="139" t="s">
        <v>175</v>
      </c>
      <c r="G211" s="139" t="s">
        <v>223</v>
      </c>
      <c r="H211" s="139"/>
      <c r="I211" s="139" t="s">
        <v>144</v>
      </c>
      <c r="J211" s="140" t="s">
        <v>29</v>
      </c>
      <c r="K211" s="140" t="s">
        <v>238</v>
      </c>
      <c r="L211" s="141">
        <f>SUM(L212:L213)</f>
        <v>14595750816</v>
      </c>
      <c r="M211" s="142">
        <f t="shared" ref="M211:T211" si="221">SUM(M212:M213)</f>
        <v>0</v>
      </c>
      <c r="N211" s="142">
        <f t="shared" si="221"/>
        <v>0</v>
      </c>
      <c r="O211" s="141">
        <f t="shared" si="221"/>
        <v>16025571884</v>
      </c>
      <c r="P211" s="141">
        <f t="shared" si="221"/>
        <v>15310661350</v>
      </c>
      <c r="Q211" s="142">
        <f t="shared" si="221"/>
        <v>0</v>
      </c>
      <c r="R211" s="141">
        <f t="shared" si="221"/>
        <v>15310661350</v>
      </c>
      <c r="S211" s="141">
        <f t="shared" si="221"/>
        <v>2556438984</v>
      </c>
      <c r="T211" s="141">
        <f t="shared" si="221"/>
        <v>12754222366</v>
      </c>
      <c r="U211" s="143">
        <f t="shared" si="143"/>
        <v>0.16697116640229262</v>
      </c>
      <c r="V211" s="141">
        <f t="shared" ref="V211:W211" si="222">SUM(V212:V213)</f>
        <v>440903981</v>
      </c>
      <c r="W211" s="141">
        <f t="shared" si="222"/>
        <v>2115535003</v>
      </c>
      <c r="X211" s="143">
        <f t="shared" si="146"/>
        <v>0.82753197562723446</v>
      </c>
      <c r="Y211" s="141">
        <f t="shared" ref="Y211:Z211" si="223">SUM(Y212:Y213)</f>
        <v>370702499</v>
      </c>
      <c r="Z211" s="141">
        <f t="shared" si="223"/>
        <v>70201482</v>
      </c>
      <c r="AA211" s="724">
        <f t="shared" ref="AA211:AA242" si="224">+IF(S211&gt;0,(Y211/S211),0)</f>
        <v>0.14500737209850029</v>
      </c>
    </row>
    <row r="212" spans="1:27" ht="24.95" customHeight="1">
      <c r="A212" s="32" t="e">
        <f>+CONCATENATE(#REF!,"=",I212)</f>
        <v>#REF!</v>
      </c>
      <c r="B212" s="145" t="s">
        <v>167</v>
      </c>
      <c r="C212" s="145">
        <v>4103</v>
      </c>
      <c r="D212" s="145" t="s">
        <v>172</v>
      </c>
      <c r="E212" s="145">
        <v>21</v>
      </c>
      <c r="F212" s="145" t="s">
        <v>175</v>
      </c>
      <c r="G212" s="145" t="s">
        <v>223</v>
      </c>
      <c r="H212" s="145" t="s">
        <v>54</v>
      </c>
      <c r="I212" s="145" t="s">
        <v>144</v>
      </c>
      <c r="J212" s="145" t="s">
        <v>29</v>
      </c>
      <c r="K212" s="147" t="s">
        <v>178</v>
      </c>
      <c r="L212" s="148">
        <v>0</v>
      </c>
      <c r="M212" s="148"/>
      <c r="N212" s="148"/>
      <c r="O212" s="148">
        <f>14595750816+1429821068</f>
        <v>16025571884</v>
      </c>
      <c r="P212" s="148">
        <f>714910534</f>
        <v>714910534</v>
      </c>
      <c r="Q212" s="148"/>
      <c r="R212" s="148">
        <f>+L212-Q212+M212-N212+O212-P212</f>
        <v>15310661350</v>
      </c>
      <c r="S212" s="148">
        <v>2556438984</v>
      </c>
      <c r="T212" s="148">
        <f t="shared" ref="T212:T213" si="225">+R212-S212</f>
        <v>12754222366</v>
      </c>
      <c r="U212" s="150">
        <f t="shared" si="143"/>
        <v>0.16697116640229262</v>
      </c>
      <c r="V212" s="148">
        <v>440903981</v>
      </c>
      <c r="W212" s="148">
        <f t="shared" ref="W212:W213" si="226">+S212-V212</f>
        <v>2115535003</v>
      </c>
      <c r="X212" s="150">
        <f t="shared" si="146"/>
        <v>0.82753197562723446</v>
      </c>
      <c r="Y212" s="148">
        <v>370702499</v>
      </c>
      <c r="Z212" s="148">
        <f t="shared" ref="Z212:Z213" si="227">+V212-Y212</f>
        <v>70201482</v>
      </c>
      <c r="AA212" s="150">
        <f t="shared" si="224"/>
        <v>0.14500737209850029</v>
      </c>
    </row>
    <row r="213" spans="1:27" ht="24.95" customHeight="1">
      <c r="A213" s="32" t="e">
        <f>+CONCATENATE(#REF!,"=",I213)</f>
        <v>#REF!</v>
      </c>
      <c r="B213" s="145" t="s">
        <v>167</v>
      </c>
      <c r="C213" s="145">
        <v>4103</v>
      </c>
      <c r="D213" s="145" t="s">
        <v>172</v>
      </c>
      <c r="E213" s="145">
        <v>21</v>
      </c>
      <c r="F213" s="145" t="s">
        <v>175</v>
      </c>
      <c r="G213" s="145" t="s">
        <v>223</v>
      </c>
      <c r="H213" s="145" t="s">
        <v>65</v>
      </c>
      <c r="I213" s="145" t="s">
        <v>144</v>
      </c>
      <c r="J213" s="145" t="s">
        <v>29</v>
      </c>
      <c r="K213" s="147" t="s">
        <v>127</v>
      </c>
      <c r="L213" s="148">
        <v>14595750816</v>
      </c>
      <c r="M213" s="148"/>
      <c r="N213" s="148"/>
      <c r="O213" s="148"/>
      <c r="P213" s="148">
        <v>14595750816</v>
      </c>
      <c r="Q213" s="148"/>
      <c r="R213" s="148">
        <f>+L213-Q213+M213-N213+O213-P213</f>
        <v>0</v>
      </c>
      <c r="S213" s="148">
        <v>0</v>
      </c>
      <c r="T213" s="148">
        <f t="shared" si="225"/>
        <v>0</v>
      </c>
      <c r="U213" s="150">
        <f t="shared" si="143"/>
        <v>0</v>
      </c>
      <c r="V213" s="148">
        <v>0</v>
      </c>
      <c r="W213" s="148">
        <f t="shared" si="226"/>
        <v>0</v>
      </c>
      <c r="X213" s="150">
        <f t="shared" si="146"/>
        <v>0</v>
      </c>
      <c r="Y213" s="148">
        <v>0</v>
      </c>
      <c r="Z213" s="148">
        <f t="shared" si="227"/>
        <v>0</v>
      </c>
      <c r="AA213" s="150">
        <f t="shared" si="224"/>
        <v>0</v>
      </c>
    </row>
    <row r="214" spans="1:27" ht="49.5" customHeight="1">
      <c r="A214" s="32" t="e">
        <f>+CONCATENATE(#REF!,"=",I214)</f>
        <v>#REF!</v>
      </c>
      <c r="B214" s="133" t="s">
        <v>167</v>
      </c>
      <c r="C214" s="133">
        <v>4103</v>
      </c>
      <c r="D214" s="133" t="s">
        <v>172</v>
      </c>
      <c r="E214" s="133">
        <v>22</v>
      </c>
      <c r="F214" s="133"/>
      <c r="G214" s="133"/>
      <c r="H214" s="133"/>
      <c r="I214" s="133"/>
      <c r="J214" s="134"/>
      <c r="K214" s="134" t="s">
        <v>239</v>
      </c>
      <c r="L214" s="135">
        <f t="shared" ref="L214:T214" si="228">+L215+L217+L220+L222+L225+L228</f>
        <v>137284000000</v>
      </c>
      <c r="M214" s="136">
        <f t="shared" si="228"/>
        <v>0</v>
      </c>
      <c r="N214" s="136">
        <f t="shared" si="228"/>
        <v>0</v>
      </c>
      <c r="O214" s="135">
        <f t="shared" si="228"/>
        <v>17906457845</v>
      </c>
      <c r="P214" s="135">
        <f t="shared" si="228"/>
        <v>17906457845</v>
      </c>
      <c r="Q214" s="136">
        <f t="shared" si="228"/>
        <v>0</v>
      </c>
      <c r="R214" s="135">
        <f t="shared" si="228"/>
        <v>137284000000</v>
      </c>
      <c r="S214" s="135">
        <f t="shared" si="228"/>
        <v>89247119087</v>
      </c>
      <c r="T214" s="135">
        <f t="shared" si="228"/>
        <v>48036880913</v>
      </c>
      <c r="U214" s="137">
        <f t="shared" si="143"/>
        <v>0.65009119115847436</v>
      </c>
      <c r="V214" s="135">
        <f>+V215+V217+V220+V222+V225+V228</f>
        <v>78951473246</v>
      </c>
      <c r="W214" s="135">
        <f>+W215+W217+W220+W222+W225+W228</f>
        <v>10295645841</v>
      </c>
      <c r="X214" s="137">
        <f t="shared" si="146"/>
        <v>0.11536110012653276</v>
      </c>
      <c r="Y214" s="135">
        <f>+Y215+Y217+Y220+Y222+Y225+Y228</f>
        <v>78798171285</v>
      </c>
      <c r="Z214" s="135">
        <f>+Z215+Z217+Z220+Z222+Z225+Z228</f>
        <v>153301961</v>
      </c>
      <c r="AA214" s="723">
        <f t="shared" si="224"/>
        <v>0.88292117539599069</v>
      </c>
    </row>
    <row r="215" spans="1:27" ht="32.25" customHeight="1">
      <c r="A215" s="32" t="e">
        <f>+CONCATENATE(#REF!,"=",I215)</f>
        <v>#REF!</v>
      </c>
      <c r="B215" s="139" t="s">
        <v>167</v>
      </c>
      <c r="C215" s="139">
        <v>4103</v>
      </c>
      <c r="D215" s="139" t="s">
        <v>172</v>
      </c>
      <c r="E215" s="139">
        <v>22</v>
      </c>
      <c r="F215" s="139" t="s">
        <v>175</v>
      </c>
      <c r="G215" s="139" t="s">
        <v>219</v>
      </c>
      <c r="H215" s="139"/>
      <c r="I215" s="139" t="s">
        <v>144</v>
      </c>
      <c r="J215" s="140" t="s">
        <v>29</v>
      </c>
      <c r="K215" s="140" t="s">
        <v>240</v>
      </c>
      <c r="L215" s="141">
        <f t="shared" ref="L215:T215" si="229">SUM(L216:L216)</f>
        <v>8350333435</v>
      </c>
      <c r="M215" s="142">
        <f t="shared" si="229"/>
        <v>0</v>
      </c>
      <c r="N215" s="142">
        <f t="shared" si="229"/>
        <v>0</v>
      </c>
      <c r="O215" s="141">
        <f t="shared" si="229"/>
        <v>681063106</v>
      </c>
      <c r="P215" s="141">
        <f t="shared" si="229"/>
        <v>0</v>
      </c>
      <c r="Q215" s="142">
        <f t="shared" si="229"/>
        <v>0</v>
      </c>
      <c r="R215" s="141">
        <f t="shared" si="229"/>
        <v>9031396541</v>
      </c>
      <c r="S215" s="141">
        <f t="shared" si="229"/>
        <v>5812280682</v>
      </c>
      <c r="T215" s="141">
        <f t="shared" si="229"/>
        <v>3219115859</v>
      </c>
      <c r="U215" s="143">
        <f t="shared" si="143"/>
        <v>0.64356388910772333</v>
      </c>
      <c r="V215" s="141">
        <f t="shared" ref="V215:W215" si="230">SUM(V216:V216)</f>
        <v>499634199</v>
      </c>
      <c r="W215" s="141">
        <f t="shared" si="230"/>
        <v>5312646483</v>
      </c>
      <c r="X215" s="143">
        <f t="shared" si="146"/>
        <v>0.91403818460672204</v>
      </c>
      <c r="Y215" s="141">
        <f t="shared" ref="Y215:Z215" si="231">SUM(Y216:Y216)</f>
        <v>499634199</v>
      </c>
      <c r="Z215" s="141">
        <f t="shared" si="231"/>
        <v>0</v>
      </c>
      <c r="AA215" s="724">
        <f t="shared" si="224"/>
        <v>8.5961815393278004E-2</v>
      </c>
    </row>
    <row r="216" spans="1:27" ht="24.95" customHeight="1">
      <c r="A216" s="32" t="e">
        <f>+CONCATENATE(#REF!,"=",I216)</f>
        <v>#REF!</v>
      </c>
      <c r="B216" s="145" t="s">
        <v>167</v>
      </c>
      <c r="C216" s="145">
        <v>4103</v>
      </c>
      <c r="D216" s="145" t="s">
        <v>172</v>
      </c>
      <c r="E216" s="145">
        <v>22</v>
      </c>
      <c r="F216" s="145" t="s">
        <v>175</v>
      </c>
      <c r="G216" s="145" t="s">
        <v>219</v>
      </c>
      <c r="H216" s="145" t="s">
        <v>54</v>
      </c>
      <c r="I216" s="145" t="s">
        <v>144</v>
      </c>
      <c r="J216" s="145" t="s">
        <v>29</v>
      </c>
      <c r="K216" s="147" t="s">
        <v>178</v>
      </c>
      <c r="L216" s="148">
        <v>8350333435</v>
      </c>
      <c r="M216" s="148"/>
      <c r="N216" s="148"/>
      <c r="O216" s="148">
        <f>681063106</f>
        <v>681063106</v>
      </c>
      <c r="P216" s="148"/>
      <c r="Q216" s="148"/>
      <c r="R216" s="148">
        <f>+L216-Q216+M216-N216+O216-P216</f>
        <v>9031396541</v>
      </c>
      <c r="S216" s="148">
        <v>5812280682</v>
      </c>
      <c r="T216" s="148">
        <f t="shared" ref="T216" si="232">+R216-S216</f>
        <v>3219115859</v>
      </c>
      <c r="U216" s="150">
        <f t="shared" si="143"/>
        <v>0.64356388910772333</v>
      </c>
      <c r="V216" s="148">
        <v>499634199</v>
      </c>
      <c r="W216" s="148">
        <f t="shared" ref="W216" si="233">+S216-V216</f>
        <v>5312646483</v>
      </c>
      <c r="X216" s="150">
        <f t="shared" si="146"/>
        <v>0.91403818460672204</v>
      </c>
      <c r="Y216" s="148">
        <v>499634199</v>
      </c>
      <c r="Z216" s="148">
        <f t="shared" ref="Z216" si="234">+V216-Y216</f>
        <v>0</v>
      </c>
      <c r="AA216" s="150">
        <f t="shared" si="224"/>
        <v>8.5961815393278004E-2</v>
      </c>
    </row>
    <row r="217" spans="1:27" ht="32.25" customHeight="1">
      <c r="A217" s="32" t="e">
        <f>+CONCATENATE(#REF!,"=",I217)</f>
        <v>#REF!</v>
      </c>
      <c r="B217" s="139" t="s">
        <v>167</v>
      </c>
      <c r="C217" s="139">
        <v>4103</v>
      </c>
      <c r="D217" s="139" t="s">
        <v>172</v>
      </c>
      <c r="E217" s="139">
        <v>22</v>
      </c>
      <c r="F217" s="139" t="s">
        <v>175</v>
      </c>
      <c r="G217" s="139" t="s">
        <v>234</v>
      </c>
      <c r="H217" s="139"/>
      <c r="I217" s="139" t="s">
        <v>144</v>
      </c>
      <c r="J217" s="140" t="s">
        <v>29</v>
      </c>
      <c r="K217" s="140" t="s">
        <v>241</v>
      </c>
      <c r="L217" s="141">
        <f>SUM(L218:L219)</f>
        <v>8986673675</v>
      </c>
      <c r="M217" s="142">
        <f t="shared" ref="M217:T217" si="235">SUM(M218:M219)</f>
        <v>0</v>
      </c>
      <c r="N217" s="142">
        <f t="shared" si="235"/>
        <v>0</v>
      </c>
      <c r="O217" s="141">
        <f t="shared" si="235"/>
        <v>417203180</v>
      </c>
      <c r="P217" s="141">
        <f t="shared" si="235"/>
        <v>3115663306</v>
      </c>
      <c r="Q217" s="142">
        <f t="shared" si="235"/>
        <v>0</v>
      </c>
      <c r="R217" s="141">
        <f t="shared" si="235"/>
        <v>6288213549</v>
      </c>
      <c r="S217" s="141">
        <f t="shared" si="235"/>
        <v>709656489</v>
      </c>
      <c r="T217" s="141">
        <f t="shared" si="235"/>
        <v>5578557060</v>
      </c>
      <c r="U217" s="143">
        <f t="shared" si="143"/>
        <v>0.11285502368361122</v>
      </c>
      <c r="V217" s="141">
        <f t="shared" ref="V217:W217" si="236">SUM(V218:V219)</f>
        <v>0</v>
      </c>
      <c r="W217" s="141">
        <f t="shared" si="236"/>
        <v>709656489</v>
      </c>
      <c r="X217" s="143">
        <f t="shared" si="146"/>
        <v>1</v>
      </c>
      <c r="Y217" s="141">
        <f t="shared" ref="Y217:Z217" si="237">SUM(Y218:Y219)</f>
        <v>0</v>
      </c>
      <c r="Z217" s="141">
        <f t="shared" si="237"/>
        <v>0</v>
      </c>
      <c r="AA217" s="724">
        <f t="shared" si="224"/>
        <v>0</v>
      </c>
    </row>
    <row r="218" spans="1:27" ht="24.95" customHeight="1">
      <c r="A218" s="32" t="e">
        <f>+CONCATENATE(#REF!,"=",I218)</f>
        <v>#REF!</v>
      </c>
      <c r="B218" s="145" t="s">
        <v>167</v>
      </c>
      <c r="C218" s="145">
        <v>4103</v>
      </c>
      <c r="D218" s="145" t="s">
        <v>172</v>
      </c>
      <c r="E218" s="145">
        <v>22</v>
      </c>
      <c r="F218" s="145" t="s">
        <v>175</v>
      </c>
      <c r="G218" s="145" t="s">
        <v>234</v>
      </c>
      <c r="H218" s="145" t="s">
        <v>54</v>
      </c>
      <c r="I218" s="145" t="s">
        <v>144</v>
      </c>
      <c r="J218" s="145" t="s">
        <v>29</v>
      </c>
      <c r="K218" s="147" t="s">
        <v>178</v>
      </c>
      <c r="L218" s="148">
        <v>5871010369</v>
      </c>
      <c r="M218" s="148"/>
      <c r="N218" s="148"/>
      <c r="O218" s="148">
        <f>417203180</f>
        <v>417203180</v>
      </c>
      <c r="P218" s="148"/>
      <c r="Q218" s="148"/>
      <c r="R218" s="148">
        <f>+L218-Q218+M218-N218+O218-P218</f>
        <v>6288213549</v>
      </c>
      <c r="S218" s="148">
        <v>709656489</v>
      </c>
      <c r="T218" s="148">
        <f t="shared" ref="T218:T219" si="238">+R218-S218</f>
        <v>5578557060</v>
      </c>
      <c r="U218" s="150">
        <f t="shared" si="143"/>
        <v>0.11285502368361122</v>
      </c>
      <c r="V218" s="148">
        <v>0</v>
      </c>
      <c r="W218" s="148">
        <f t="shared" ref="W218:W219" si="239">+S218-V218</f>
        <v>709656489</v>
      </c>
      <c r="X218" s="150">
        <f t="shared" si="146"/>
        <v>1</v>
      </c>
      <c r="Y218" s="148">
        <v>0</v>
      </c>
      <c r="Z218" s="148">
        <f t="shared" ref="Z218:Z219" si="240">+V218-Y218</f>
        <v>0</v>
      </c>
      <c r="AA218" s="150">
        <f t="shared" si="224"/>
        <v>0</v>
      </c>
    </row>
    <row r="219" spans="1:27" ht="24.95" customHeight="1">
      <c r="A219" s="32" t="e">
        <f>+CONCATENATE(#REF!,"=",I219)</f>
        <v>#REF!</v>
      </c>
      <c r="B219" s="145" t="s">
        <v>167</v>
      </c>
      <c r="C219" s="145">
        <v>4103</v>
      </c>
      <c r="D219" s="145" t="s">
        <v>172</v>
      </c>
      <c r="E219" s="145">
        <v>22</v>
      </c>
      <c r="F219" s="145" t="s">
        <v>175</v>
      </c>
      <c r="G219" s="145" t="s">
        <v>234</v>
      </c>
      <c r="H219" s="145" t="s">
        <v>65</v>
      </c>
      <c r="I219" s="145" t="s">
        <v>144</v>
      </c>
      <c r="J219" s="145" t="s">
        <v>29</v>
      </c>
      <c r="K219" s="147" t="s">
        <v>127</v>
      </c>
      <c r="L219" s="148">
        <v>3115663306</v>
      </c>
      <c r="M219" s="148"/>
      <c r="N219" s="148"/>
      <c r="O219" s="148"/>
      <c r="P219" s="148">
        <f>3115663306</f>
        <v>3115663306</v>
      </c>
      <c r="Q219" s="148"/>
      <c r="R219" s="148">
        <f>+L219-Q219+M219-N219+O219-P219</f>
        <v>0</v>
      </c>
      <c r="S219" s="148">
        <v>0</v>
      </c>
      <c r="T219" s="148">
        <f t="shared" si="238"/>
        <v>0</v>
      </c>
      <c r="U219" s="150">
        <f t="shared" si="143"/>
        <v>0</v>
      </c>
      <c r="V219" s="148">
        <v>0</v>
      </c>
      <c r="W219" s="148">
        <f t="shared" si="239"/>
        <v>0</v>
      </c>
      <c r="X219" s="150">
        <f t="shared" si="146"/>
        <v>0</v>
      </c>
      <c r="Y219" s="148">
        <v>0</v>
      </c>
      <c r="Z219" s="148">
        <f t="shared" si="240"/>
        <v>0</v>
      </c>
      <c r="AA219" s="150">
        <f t="shared" si="224"/>
        <v>0</v>
      </c>
    </row>
    <row r="220" spans="1:27" ht="32.25" customHeight="1">
      <c r="A220" s="32" t="e">
        <f>+CONCATENATE(#REF!,"=",I220)</f>
        <v>#REF!</v>
      </c>
      <c r="B220" s="139" t="s">
        <v>167</v>
      </c>
      <c r="C220" s="139">
        <v>4103</v>
      </c>
      <c r="D220" s="139" t="s">
        <v>172</v>
      </c>
      <c r="E220" s="139">
        <v>22</v>
      </c>
      <c r="F220" s="139" t="s">
        <v>175</v>
      </c>
      <c r="G220" s="139">
        <v>4103051</v>
      </c>
      <c r="H220" s="139"/>
      <c r="I220" s="139" t="s">
        <v>144</v>
      </c>
      <c r="J220" s="140" t="s">
        <v>29</v>
      </c>
      <c r="K220" s="140" t="s">
        <v>242</v>
      </c>
      <c r="L220" s="141">
        <f t="shared" ref="L220:T220" si="241">SUM(L221:L221)</f>
        <v>1038023922</v>
      </c>
      <c r="M220" s="142">
        <f t="shared" si="241"/>
        <v>0</v>
      </c>
      <c r="N220" s="142">
        <f t="shared" si="241"/>
        <v>0</v>
      </c>
      <c r="O220" s="141">
        <f t="shared" si="241"/>
        <v>2230593423</v>
      </c>
      <c r="P220" s="141">
        <f t="shared" si="241"/>
        <v>0</v>
      </c>
      <c r="Q220" s="142">
        <f t="shared" si="241"/>
        <v>0</v>
      </c>
      <c r="R220" s="141">
        <f t="shared" si="241"/>
        <v>3268617345</v>
      </c>
      <c r="S220" s="141">
        <f t="shared" si="241"/>
        <v>0</v>
      </c>
      <c r="T220" s="141">
        <f t="shared" si="241"/>
        <v>3268617345</v>
      </c>
      <c r="U220" s="143">
        <f t="shared" si="143"/>
        <v>0</v>
      </c>
      <c r="V220" s="141">
        <f t="shared" ref="V220:W220" si="242">SUM(V221:V221)</f>
        <v>0</v>
      </c>
      <c r="W220" s="142">
        <f t="shared" si="242"/>
        <v>0</v>
      </c>
      <c r="X220" s="143">
        <f t="shared" si="146"/>
        <v>0</v>
      </c>
      <c r="Y220" s="141">
        <f t="shared" ref="Y220:Z220" si="243">SUM(Y221:Y221)</f>
        <v>0</v>
      </c>
      <c r="Z220" s="141">
        <f t="shared" si="243"/>
        <v>0</v>
      </c>
      <c r="AA220" s="724">
        <f t="shared" si="224"/>
        <v>0</v>
      </c>
    </row>
    <row r="221" spans="1:27" ht="24.95" customHeight="1">
      <c r="A221" s="32" t="e">
        <f>+CONCATENATE(#REF!,"=",I221)</f>
        <v>#REF!</v>
      </c>
      <c r="B221" s="145" t="s">
        <v>167</v>
      </c>
      <c r="C221" s="145">
        <v>4103</v>
      </c>
      <c r="D221" s="145" t="s">
        <v>172</v>
      </c>
      <c r="E221" s="145">
        <v>22</v>
      </c>
      <c r="F221" s="145" t="s">
        <v>175</v>
      </c>
      <c r="G221" s="145">
        <v>4103051</v>
      </c>
      <c r="H221" s="145" t="s">
        <v>54</v>
      </c>
      <c r="I221" s="145" t="s">
        <v>144</v>
      </c>
      <c r="J221" s="145" t="s">
        <v>29</v>
      </c>
      <c r="K221" s="147" t="s">
        <v>178</v>
      </c>
      <c r="L221" s="148">
        <v>1038023922</v>
      </c>
      <c r="M221" s="148"/>
      <c r="N221" s="148"/>
      <c r="O221" s="148">
        <f>2230593423</f>
        <v>2230593423</v>
      </c>
      <c r="P221" s="148"/>
      <c r="Q221" s="148"/>
      <c r="R221" s="148">
        <f>+L221-Q221+M221-N221+O221-P221</f>
        <v>3268617345</v>
      </c>
      <c r="S221" s="148">
        <v>0</v>
      </c>
      <c r="T221" s="148">
        <f t="shared" ref="T221" si="244">+R221-S221</f>
        <v>3268617345</v>
      </c>
      <c r="U221" s="150">
        <f t="shared" si="143"/>
        <v>0</v>
      </c>
      <c r="V221" s="148">
        <v>0</v>
      </c>
      <c r="W221" s="148">
        <f t="shared" ref="W221" si="245">+S221-V221</f>
        <v>0</v>
      </c>
      <c r="X221" s="150">
        <f t="shared" si="146"/>
        <v>0</v>
      </c>
      <c r="Y221" s="148">
        <v>0</v>
      </c>
      <c r="Z221" s="148">
        <f t="shared" ref="Z221" si="246">+V221-Y221</f>
        <v>0</v>
      </c>
      <c r="AA221" s="150">
        <f t="shared" si="224"/>
        <v>0</v>
      </c>
    </row>
    <row r="222" spans="1:27" ht="32.25" customHeight="1">
      <c r="A222" s="32" t="e">
        <f>+CONCATENATE(#REF!,"=",I222)</f>
        <v>#REF!</v>
      </c>
      <c r="B222" s="139" t="s">
        <v>167</v>
      </c>
      <c r="C222" s="139">
        <v>4103</v>
      </c>
      <c r="D222" s="139" t="s">
        <v>172</v>
      </c>
      <c r="E222" s="139">
        <v>22</v>
      </c>
      <c r="F222" s="139" t="s">
        <v>175</v>
      </c>
      <c r="G222" s="139">
        <v>4103055</v>
      </c>
      <c r="H222" s="139"/>
      <c r="I222" s="139" t="s">
        <v>144</v>
      </c>
      <c r="J222" s="140" t="s">
        <v>29</v>
      </c>
      <c r="K222" s="140" t="s">
        <v>243</v>
      </c>
      <c r="L222" s="141">
        <f>SUM(L223:L224)</f>
        <v>4550769145</v>
      </c>
      <c r="M222" s="142">
        <f t="shared" ref="M222:T222" si="247">SUM(M223:M224)</f>
        <v>0</v>
      </c>
      <c r="N222" s="142">
        <f t="shared" si="247"/>
        <v>0</v>
      </c>
      <c r="O222" s="141">
        <f t="shared" si="247"/>
        <v>12479945236</v>
      </c>
      <c r="P222" s="141">
        <f t="shared" si="247"/>
        <v>0</v>
      </c>
      <c r="Q222" s="142">
        <f t="shared" si="247"/>
        <v>0</v>
      </c>
      <c r="R222" s="141">
        <f t="shared" si="247"/>
        <v>17030714381</v>
      </c>
      <c r="S222" s="141">
        <f t="shared" si="247"/>
        <v>0</v>
      </c>
      <c r="T222" s="141">
        <f t="shared" si="247"/>
        <v>17030714381</v>
      </c>
      <c r="U222" s="143">
        <f t="shared" si="143"/>
        <v>0</v>
      </c>
      <c r="V222" s="141">
        <f t="shared" ref="V222:W222" si="248">SUM(V223:V224)</f>
        <v>0</v>
      </c>
      <c r="W222" s="142">
        <f t="shared" si="248"/>
        <v>0</v>
      </c>
      <c r="X222" s="143">
        <f t="shared" si="146"/>
        <v>0</v>
      </c>
      <c r="Y222" s="141">
        <f t="shared" ref="Y222:Z222" si="249">SUM(Y223:Y224)</f>
        <v>0</v>
      </c>
      <c r="Z222" s="141">
        <f t="shared" si="249"/>
        <v>0</v>
      </c>
      <c r="AA222" s="724">
        <f t="shared" si="224"/>
        <v>0</v>
      </c>
    </row>
    <row r="223" spans="1:27" ht="24.95" customHeight="1">
      <c r="A223" s="32" t="e">
        <f>+CONCATENATE(#REF!,"=",I223)</f>
        <v>#REF!</v>
      </c>
      <c r="B223" s="145" t="s">
        <v>167</v>
      </c>
      <c r="C223" s="145">
        <v>4103</v>
      </c>
      <c r="D223" s="145" t="s">
        <v>172</v>
      </c>
      <c r="E223" s="145">
        <v>22</v>
      </c>
      <c r="F223" s="145" t="s">
        <v>175</v>
      </c>
      <c r="G223" s="145" t="s">
        <v>203</v>
      </c>
      <c r="H223" s="145" t="s">
        <v>54</v>
      </c>
      <c r="I223" s="145" t="s">
        <v>144</v>
      </c>
      <c r="J223" s="145" t="s">
        <v>29</v>
      </c>
      <c r="K223" s="147" t="s">
        <v>178</v>
      </c>
      <c r="L223" s="148">
        <v>396551404</v>
      </c>
      <c r="M223" s="148"/>
      <c r="N223" s="148"/>
      <c r="O223" s="148">
        <f>26756584+91806393</f>
        <v>118562977</v>
      </c>
      <c r="P223" s="148"/>
      <c r="Q223" s="148"/>
      <c r="R223" s="148">
        <f>+L223-Q223+M223-N223+O223-P223</f>
        <v>515114381</v>
      </c>
      <c r="S223" s="148">
        <v>0</v>
      </c>
      <c r="T223" s="148">
        <f t="shared" ref="T223:T224" si="250">+R223-S223</f>
        <v>515114381</v>
      </c>
      <c r="U223" s="150">
        <f t="shared" si="143"/>
        <v>0</v>
      </c>
      <c r="V223" s="148">
        <v>0</v>
      </c>
      <c r="W223" s="148">
        <f t="shared" ref="W223:W224" si="251">+S223-V223</f>
        <v>0</v>
      </c>
      <c r="X223" s="150">
        <f t="shared" si="146"/>
        <v>0</v>
      </c>
      <c r="Y223" s="148">
        <v>0</v>
      </c>
      <c r="Z223" s="148">
        <f t="shared" ref="Z223:Z224" si="252">+V223-Y223</f>
        <v>0</v>
      </c>
      <c r="AA223" s="150">
        <f t="shared" si="224"/>
        <v>0</v>
      </c>
    </row>
    <row r="224" spans="1:27" ht="24.95" customHeight="1">
      <c r="A224" s="32" t="e">
        <f>+CONCATENATE(#REF!,"=",I224)</f>
        <v>#REF!</v>
      </c>
      <c r="B224" s="145" t="s">
        <v>167</v>
      </c>
      <c r="C224" s="145">
        <v>4103</v>
      </c>
      <c r="D224" s="145" t="s">
        <v>172</v>
      </c>
      <c r="E224" s="145">
        <v>22</v>
      </c>
      <c r="F224" s="145" t="s">
        <v>175</v>
      </c>
      <c r="G224" s="145" t="s">
        <v>203</v>
      </c>
      <c r="H224" s="145" t="s">
        <v>65</v>
      </c>
      <c r="I224" s="145" t="s">
        <v>144</v>
      </c>
      <c r="J224" s="145" t="s">
        <v>29</v>
      </c>
      <c r="K224" s="147" t="s">
        <v>127</v>
      </c>
      <c r="L224" s="148">
        <v>4154217741</v>
      </c>
      <c r="M224" s="148"/>
      <c r="N224" s="148"/>
      <c r="O224" s="148">
        <f>2342793807+10018588452</f>
        <v>12361382259</v>
      </c>
      <c r="P224" s="148"/>
      <c r="Q224" s="148"/>
      <c r="R224" s="148">
        <f>+L224-Q224+M224-N224+O224-P224</f>
        <v>16515600000</v>
      </c>
      <c r="S224" s="148">
        <v>0</v>
      </c>
      <c r="T224" s="148">
        <f t="shared" si="250"/>
        <v>16515600000</v>
      </c>
      <c r="U224" s="150">
        <f t="shared" si="143"/>
        <v>0</v>
      </c>
      <c r="V224" s="148">
        <v>0</v>
      </c>
      <c r="W224" s="148">
        <f t="shared" si="251"/>
        <v>0</v>
      </c>
      <c r="X224" s="150">
        <f t="shared" si="146"/>
        <v>0</v>
      </c>
      <c r="Y224" s="148">
        <v>0</v>
      </c>
      <c r="Z224" s="148">
        <f t="shared" si="252"/>
        <v>0</v>
      </c>
      <c r="AA224" s="150">
        <f t="shared" si="224"/>
        <v>0</v>
      </c>
    </row>
    <row r="225" spans="1:27" ht="32.25" customHeight="1">
      <c r="A225" s="32" t="e">
        <f>+CONCATENATE(#REF!,"=",I225)</f>
        <v>#REF!</v>
      </c>
      <c r="B225" s="139" t="s">
        <v>167</v>
      </c>
      <c r="C225" s="139">
        <v>4103</v>
      </c>
      <c r="D225" s="139" t="s">
        <v>172</v>
      </c>
      <c r="E225" s="139">
        <v>22</v>
      </c>
      <c r="F225" s="139" t="s">
        <v>175</v>
      </c>
      <c r="G225" s="139">
        <v>4103057</v>
      </c>
      <c r="H225" s="139"/>
      <c r="I225" s="139" t="s">
        <v>144</v>
      </c>
      <c r="J225" s="140" t="s">
        <v>29</v>
      </c>
      <c r="K225" s="140" t="s">
        <v>244</v>
      </c>
      <c r="L225" s="141">
        <f>SUM(L226:L227)</f>
        <v>102633231456</v>
      </c>
      <c r="M225" s="142">
        <f t="shared" ref="M225:T225" si="253">SUM(M226:M227)</f>
        <v>0</v>
      </c>
      <c r="N225" s="142">
        <f t="shared" si="253"/>
        <v>0</v>
      </c>
      <c r="O225" s="141">
        <f t="shared" si="253"/>
        <v>202411169</v>
      </c>
      <c r="P225" s="141">
        <f t="shared" si="253"/>
        <v>4772206087</v>
      </c>
      <c r="Q225" s="142">
        <f t="shared" si="253"/>
        <v>0</v>
      </c>
      <c r="R225" s="141">
        <f t="shared" si="253"/>
        <v>98063436538</v>
      </c>
      <c r="S225" s="141">
        <f t="shared" si="253"/>
        <v>82725181916</v>
      </c>
      <c r="T225" s="141">
        <f t="shared" si="253"/>
        <v>15338254622</v>
      </c>
      <c r="U225" s="143">
        <f t="shared" si="143"/>
        <v>0.84358844475069605</v>
      </c>
      <c r="V225" s="141">
        <f t="shared" ref="V225:W225" si="254">SUM(V226:V227)</f>
        <v>78451839047</v>
      </c>
      <c r="W225" s="141">
        <f t="shared" si="254"/>
        <v>4273342869</v>
      </c>
      <c r="X225" s="143">
        <f t="shared" ref="X225:X242" si="255">+IF(S225&gt;0,W225/S225,0)</f>
        <v>5.1657098479870329E-2</v>
      </c>
      <c r="Y225" s="141">
        <f t="shared" ref="Y225:Z225" si="256">SUM(Y226:Y227)</f>
        <v>78298537086</v>
      </c>
      <c r="Z225" s="141">
        <f t="shared" si="256"/>
        <v>153301961</v>
      </c>
      <c r="AA225" s="724">
        <f t="shared" si="224"/>
        <v>0.94648975405705527</v>
      </c>
    </row>
    <row r="226" spans="1:27" ht="24.95" customHeight="1">
      <c r="A226" s="32" t="e">
        <f>+CONCATENATE(#REF!,"=",I226)</f>
        <v>#REF!</v>
      </c>
      <c r="B226" s="145" t="s">
        <v>167</v>
      </c>
      <c r="C226" s="145">
        <v>4103</v>
      </c>
      <c r="D226" s="145" t="s">
        <v>172</v>
      </c>
      <c r="E226" s="145">
        <v>22</v>
      </c>
      <c r="F226" s="145" t="s">
        <v>175</v>
      </c>
      <c r="G226" s="145" t="s">
        <v>221</v>
      </c>
      <c r="H226" s="145" t="s">
        <v>54</v>
      </c>
      <c r="I226" s="145" t="s">
        <v>144</v>
      </c>
      <c r="J226" s="145" t="s">
        <v>29</v>
      </c>
      <c r="K226" s="147" t="s">
        <v>178</v>
      </c>
      <c r="L226" s="148">
        <v>6561199369</v>
      </c>
      <c r="M226" s="148"/>
      <c r="N226" s="148"/>
      <c r="O226" s="148">
        <f>202411169</f>
        <v>202411169</v>
      </c>
      <c r="P226" s="148"/>
      <c r="Q226" s="148"/>
      <c r="R226" s="148">
        <f>+L226-Q226+M226-N226+O226-P226</f>
        <v>6763610538</v>
      </c>
      <c r="S226" s="148">
        <v>5250197916</v>
      </c>
      <c r="T226" s="148">
        <f t="shared" ref="T226:T227" si="257">+R226-S226</f>
        <v>1513412622</v>
      </c>
      <c r="U226" s="150">
        <f t="shared" si="143"/>
        <v>0.77624190312301511</v>
      </c>
      <c r="V226" s="148">
        <v>2439592047</v>
      </c>
      <c r="W226" s="148">
        <f t="shared" ref="W226:W227" si="258">+S226-V226</f>
        <v>2810605869</v>
      </c>
      <c r="X226" s="150">
        <f t="shared" si="255"/>
        <v>0.53533331770877945</v>
      </c>
      <c r="Y226" s="148">
        <v>2286290086</v>
      </c>
      <c r="Z226" s="148">
        <f t="shared" ref="Z226:Z227" si="259">+V226-Y226</f>
        <v>153301961</v>
      </c>
      <c r="AA226" s="150">
        <f t="shared" si="224"/>
        <v>0.43546740952993818</v>
      </c>
    </row>
    <row r="227" spans="1:27" ht="24.95" customHeight="1">
      <c r="A227" s="32" t="e">
        <f>+CONCATENATE(#REF!,"=",I227)</f>
        <v>#REF!</v>
      </c>
      <c r="B227" s="145" t="s">
        <v>167</v>
      </c>
      <c r="C227" s="145">
        <v>4103</v>
      </c>
      <c r="D227" s="145" t="s">
        <v>172</v>
      </c>
      <c r="E227" s="145">
        <v>22</v>
      </c>
      <c r="F227" s="145" t="s">
        <v>175</v>
      </c>
      <c r="G227" s="145" t="s">
        <v>221</v>
      </c>
      <c r="H227" s="145" t="s">
        <v>65</v>
      </c>
      <c r="I227" s="145" t="s">
        <v>144</v>
      </c>
      <c r="J227" s="145" t="s">
        <v>29</v>
      </c>
      <c r="K227" s="147" t="s">
        <v>127</v>
      </c>
      <c r="L227" s="148">
        <v>96072032087</v>
      </c>
      <c r="M227" s="148"/>
      <c r="N227" s="148"/>
      <c r="O227" s="148"/>
      <c r="P227" s="148">
        <f>4772206087</f>
        <v>4772206087</v>
      </c>
      <c r="Q227" s="148"/>
      <c r="R227" s="148">
        <f>+L227-Q227+M227-N227+O227-P227</f>
        <v>91299826000</v>
      </c>
      <c r="S227" s="148">
        <v>77474984000</v>
      </c>
      <c r="T227" s="148">
        <f t="shared" si="257"/>
        <v>13824842000</v>
      </c>
      <c r="U227" s="150">
        <f t="shared" si="143"/>
        <v>0.84857756464946599</v>
      </c>
      <c r="V227" s="148">
        <v>76012247000</v>
      </c>
      <c r="W227" s="148">
        <f t="shared" si="258"/>
        <v>1462737000</v>
      </c>
      <c r="X227" s="150">
        <f t="shared" si="255"/>
        <v>1.8880120065594336E-2</v>
      </c>
      <c r="Y227" s="148">
        <v>76012247000</v>
      </c>
      <c r="Z227" s="148">
        <f t="shared" si="259"/>
        <v>0</v>
      </c>
      <c r="AA227" s="150">
        <f t="shared" si="224"/>
        <v>0.98111987993440564</v>
      </c>
    </row>
    <row r="228" spans="1:27" ht="32.25" customHeight="1">
      <c r="A228" s="32" t="e">
        <f>+CONCATENATE(#REF!,"=",I228)</f>
        <v>#REF!</v>
      </c>
      <c r="B228" s="139" t="s">
        <v>167</v>
      </c>
      <c r="C228" s="139">
        <v>4103</v>
      </c>
      <c r="D228" s="139" t="s">
        <v>172</v>
      </c>
      <c r="E228" s="139">
        <v>22</v>
      </c>
      <c r="F228" s="139" t="s">
        <v>175</v>
      </c>
      <c r="G228" s="139">
        <v>4103062</v>
      </c>
      <c r="H228" s="139"/>
      <c r="I228" s="139" t="s">
        <v>144</v>
      </c>
      <c r="J228" s="140" t="s">
        <v>29</v>
      </c>
      <c r="K228" s="140" t="s">
        <v>245</v>
      </c>
      <c r="L228" s="141">
        <f>SUM(L229:L230)</f>
        <v>11724968367</v>
      </c>
      <c r="M228" s="142">
        <f t="shared" ref="M228:T228" si="260">SUM(M229:M230)</f>
        <v>0</v>
      </c>
      <c r="N228" s="142">
        <f t="shared" si="260"/>
        <v>0</v>
      </c>
      <c r="O228" s="141">
        <f t="shared" si="260"/>
        <v>1895241731</v>
      </c>
      <c r="P228" s="141">
        <f t="shared" si="260"/>
        <v>10018588452</v>
      </c>
      <c r="Q228" s="142">
        <f t="shared" si="260"/>
        <v>0</v>
      </c>
      <c r="R228" s="141">
        <f t="shared" si="260"/>
        <v>3601621646</v>
      </c>
      <c r="S228" s="141">
        <f t="shared" si="260"/>
        <v>0</v>
      </c>
      <c r="T228" s="141">
        <f t="shared" si="260"/>
        <v>3601621646</v>
      </c>
      <c r="U228" s="143">
        <f t="shared" si="143"/>
        <v>0</v>
      </c>
      <c r="V228" s="141">
        <f t="shared" ref="V228:W228" si="261">SUM(V229:V230)</f>
        <v>0</v>
      </c>
      <c r="W228" s="142">
        <f t="shared" si="261"/>
        <v>0</v>
      </c>
      <c r="X228" s="143">
        <f t="shared" si="255"/>
        <v>0</v>
      </c>
      <c r="Y228" s="141">
        <f t="shared" ref="Y228:Z228" si="262">SUM(Y229:Y230)</f>
        <v>0</v>
      </c>
      <c r="Z228" s="141">
        <f t="shared" si="262"/>
        <v>0</v>
      </c>
      <c r="AA228" s="724">
        <f t="shared" si="224"/>
        <v>0</v>
      </c>
    </row>
    <row r="229" spans="1:27" ht="24.95" customHeight="1">
      <c r="A229" s="32" t="e">
        <f>+CONCATENATE(#REF!,"=",I229)</f>
        <v>#REF!</v>
      </c>
      <c r="B229" s="145" t="s">
        <v>167</v>
      </c>
      <c r="C229" s="145">
        <v>4103</v>
      </c>
      <c r="D229" s="145" t="s">
        <v>172</v>
      </c>
      <c r="E229" s="145">
        <v>22</v>
      </c>
      <c r="F229" s="145" t="s">
        <v>175</v>
      </c>
      <c r="G229" s="145" t="s">
        <v>246</v>
      </c>
      <c r="H229" s="145" t="s">
        <v>54</v>
      </c>
      <c r="I229" s="145" t="s">
        <v>144</v>
      </c>
      <c r="J229" s="145" t="s">
        <v>29</v>
      </c>
      <c r="K229" s="147" t="s">
        <v>178</v>
      </c>
      <c r="L229" s="148">
        <v>1706379915</v>
      </c>
      <c r="M229" s="148"/>
      <c r="N229" s="148"/>
      <c r="O229" s="148">
        <f>1895241731</f>
        <v>1895241731</v>
      </c>
      <c r="P229" s="148"/>
      <c r="Q229" s="148"/>
      <c r="R229" s="148">
        <f>+L229-Q229+M229-N229+O229-P229</f>
        <v>3601621646</v>
      </c>
      <c r="S229" s="148">
        <v>0</v>
      </c>
      <c r="T229" s="148">
        <f t="shared" ref="T229:T230" si="263">+R229-S229</f>
        <v>3601621646</v>
      </c>
      <c r="U229" s="150">
        <f t="shared" si="143"/>
        <v>0</v>
      </c>
      <c r="V229" s="148">
        <v>0</v>
      </c>
      <c r="W229" s="148">
        <f t="shared" ref="W229:W230" si="264">+S229-V229</f>
        <v>0</v>
      </c>
      <c r="X229" s="150">
        <f t="shared" si="255"/>
        <v>0</v>
      </c>
      <c r="Y229" s="148">
        <v>0</v>
      </c>
      <c r="Z229" s="148">
        <f t="shared" ref="Z229:Z230" si="265">+V229-Y229</f>
        <v>0</v>
      </c>
      <c r="AA229" s="150">
        <f t="shared" si="224"/>
        <v>0</v>
      </c>
    </row>
    <row r="230" spans="1:27" ht="24.95" customHeight="1">
      <c r="A230" s="32" t="e">
        <f>+CONCATENATE(#REF!,"=",I230)</f>
        <v>#REF!</v>
      </c>
      <c r="B230" s="145" t="s">
        <v>167</v>
      </c>
      <c r="C230" s="145">
        <v>4103</v>
      </c>
      <c r="D230" s="145" t="s">
        <v>172</v>
      </c>
      <c r="E230" s="145">
        <v>22</v>
      </c>
      <c r="F230" s="145" t="s">
        <v>175</v>
      </c>
      <c r="G230" s="145" t="s">
        <v>246</v>
      </c>
      <c r="H230" s="145" t="s">
        <v>65</v>
      </c>
      <c r="I230" s="145" t="s">
        <v>144</v>
      </c>
      <c r="J230" s="145" t="s">
        <v>29</v>
      </c>
      <c r="K230" s="147" t="s">
        <v>127</v>
      </c>
      <c r="L230" s="148">
        <v>10018588452</v>
      </c>
      <c r="M230" s="148"/>
      <c r="N230" s="148"/>
      <c r="O230" s="148"/>
      <c r="P230" s="148">
        <f>10018588452</f>
        <v>10018588452</v>
      </c>
      <c r="Q230" s="148"/>
      <c r="R230" s="148">
        <f>+L230-Q230+M230-N230+O230-P230</f>
        <v>0</v>
      </c>
      <c r="S230" s="148">
        <v>0</v>
      </c>
      <c r="T230" s="148">
        <f t="shared" si="263"/>
        <v>0</v>
      </c>
      <c r="U230" s="150">
        <f t="shared" si="143"/>
        <v>0</v>
      </c>
      <c r="V230" s="148">
        <v>0</v>
      </c>
      <c r="W230" s="148">
        <f t="shared" si="264"/>
        <v>0</v>
      </c>
      <c r="X230" s="150">
        <f t="shared" si="255"/>
        <v>0</v>
      </c>
      <c r="Y230" s="148">
        <v>0</v>
      </c>
      <c r="Z230" s="148">
        <f t="shared" si="265"/>
        <v>0</v>
      </c>
      <c r="AA230" s="150">
        <f t="shared" si="224"/>
        <v>0</v>
      </c>
    </row>
    <row r="231" spans="1:27" ht="39.75" customHeight="1">
      <c r="A231" s="32"/>
      <c r="B231" s="133" t="s">
        <v>167</v>
      </c>
      <c r="C231" s="133" t="s">
        <v>190</v>
      </c>
      <c r="D231" s="133" t="s">
        <v>172</v>
      </c>
      <c r="E231" s="133">
        <v>23</v>
      </c>
      <c r="F231" s="133"/>
      <c r="G231" s="133"/>
      <c r="H231" s="133"/>
      <c r="I231" s="133"/>
      <c r="J231" s="134"/>
      <c r="K231" s="134" t="s">
        <v>273</v>
      </c>
      <c r="L231" s="135">
        <f>+L232</f>
        <v>1769368130080</v>
      </c>
      <c r="M231" s="136">
        <f t="shared" ref="M231:T231" si="266">+M232</f>
        <v>0</v>
      </c>
      <c r="N231" s="136">
        <f t="shared" si="266"/>
        <v>0</v>
      </c>
      <c r="O231" s="135">
        <f t="shared" si="266"/>
        <v>2000000000</v>
      </c>
      <c r="P231" s="135">
        <f t="shared" si="266"/>
        <v>2000000000</v>
      </c>
      <c r="Q231" s="136">
        <f t="shared" si="266"/>
        <v>0</v>
      </c>
      <c r="R231" s="135">
        <f t="shared" si="266"/>
        <v>1769368130080</v>
      </c>
      <c r="S231" s="135">
        <f t="shared" si="266"/>
        <v>724687704231.08997</v>
      </c>
      <c r="T231" s="135">
        <f t="shared" si="266"/>
        <v>1044680425848.91</v>
      </c>
      <c r="U231" s="137">
        <f t="shared" si="143"/>
        <v>0.40957429486328772</v>
      </c>
      <c r="V231" s="135">
        <f t="shared" ref="V231:W231" si="267">+V232</f>
        <v>708120290358.63</v>
      </c>
      <c r="W231" s="135">
        <f t="shared" si="267"/>
        <v>16567413872.459999</v>
      </c>
      <c r="X231" s="137">
        <f t="shared" si="255"/>
        <v>2.2861452975855855E-2</v>
      </c>
      <c r="Y231" s="135">
        <f t="shared" ref="Y231:Z231" si="268">+Y232</f>
        <v>708120290358.63</v>
      </c>
      <c r="Z231" s="135">
        <f t="shared" si="268"/>
        <v>0</v>
      </c>
      <c r="AA231" s="723">
        <f t="shared" si="224"/>
        <v>0.97713854702414416</v>
      </c>
    </row>
    <row r="232" spans="1:27" ht="32.25" customHeight="1">
      <c r="A232" s="32"/>
      <c r="B232" s="139" t="s">
        <v>167</v>
      </c>
      <c r="C232" s="139" t="s">
        <v>190</v>
      </c>
      <c r="D232" s="139" t="s">
        <v>172</v>
      </c>
      <c r="E232" s="139">
        <v>23</v>
      </c>
      <c r="F232" s="139" t="s">
        <v>175</v>
      </c>
      <c r="G232" s="139">
        <v>4103065</v>
      </c>
      <c r="H232" s="139"/>
      <c r="I232" s="139">
        <v>11</v>
      </c>
      <c r="J232" s="140" t="s">
        <v>29</v>
      </c>
      <c r="K232" s="140" t="s">
        <v>248</v>
      </c>
      <c r="L232" s="141">
        <f>SUM(L233:L236)</f>
        <v>1769368130080</v>
      </c>
      <c r="M232" s="142">
        <f t="shared" ref="M232:Z232" si="269">SUM(M233:M236)</f>
        <v>0</v>
      </c>
      <c r="N232" s="142">
        <f t="shared" si="269"/>
        <v>0</v>
      </c>
      <c r="O232" s="141">
        <f t="shared" si="269"/>
        <v>2000000000</v>
      </c>
      <c r="P232" s="141">
        <f t="shared" si="269"/>
        <v>2000000000</v>
      </c>
      <c r="Q232" s="142">
        <f t="shared" si="269"/>
        <v>0</v>
      </c>
      <c r="R232" s="141">
        <f t="shared" si="269"/>
        <v>1769368130080</v>
      </c>
      <c r="S232" s="141">
        <f t="shared" si="269"/>
        <v>724687704231.08997</v>
      </c>
      <c r="T232" s="141">
        <f t="shared" si="269"/>
        <v>1044680425848.91</v>
      </c>
      <c r="U232" s="143">
        <f t="shared" si="143"/>
        <v>0.40957429486328772</v>
      </c>
      <c r="V232" s="141">
        <f t="shared" si="269"/>
        <v>708120290358.63</v>
      </c>
      <c r="W232" s="141">
        <f t="shared" si="269"/>
        <v>16567413872.459999</v>
      </c>
      <c r="X232" s="143">
        <f t="shared" si="255"/>
        <v>2.2861452975855855E-2</v>
      </c>
      <c r="Y232" s="141">
        <f t="shared" si="269"/>
        <v>708120290358.63</v>
      </c>
      <c r="Z232" s="141">
        <f t="shared" si="269"/>
        <v>0</v>
      </c>
      <c r="AA232" s="724">
        <f t="shared" si="224"/>
        <v>0.97713854702414416</v>
      </c>
    </row>
    <row r="233" spans="1:27" ht="24.95" customHeight="1">
      <c r="A233" s="32"/>
      <c r="B233" s="145" t="s">
        <v>167</v>
      </c>
      <c r="C233" s="145" t="s">
        <v>190</v>
      </c>
      <c r="D233" s="145" t="s">
        <v>172</v>
      </c>
      <c r="E233" s="145">
        <v>23</v>
      </c>
      <c r="F233" s="145" t="s">
        <v>175</v>
      </c>
      <c r="G233" s="145">
        <v>4103065</v>
      </c>
      <c r="H233" s="145" t="s">
        <v>54</v>
      </c>
      <c r="I233" s="145">
        <v>11</v>
      </c>
      <c r="J233" s="145" t="s">
        <v>29</v>
      </c>
      <c r="K233" s="147" t="s">
        <v>178</v>
      </c>
      <c r="L233" s="148">
        <v>19400000000</v>
      </c>
      <c r="M233" s="148"/>
      <c r="N233" s="148"/>
      <c r="O233" s="148">
        <f>2000000000</f>
        <v>2000000000</v>
      </c>
      <c r="P233" s="148"/>
      <c r="Q233" s="148"/>
      <c r="R233" s="148">
        <f>+L233+M233-N233+O233-P233-Q233</f>
        <v>21400000000</v>
      </c>
      <c r="S233" s="148">
        <v>2152834398.5</v>
      </c>
      <c r="T233" s="148">
        <f>+R233-S233</f>
        <v>19247165601.5</v>
      </c>
      <c r="U233" s="150">
        <f t="shared" si="143"/>
        <v>0.10059973824766355</v>
      </c>
      <c r="V233" s="148">
        <v>0</v>
      </c>
      <c r="W233" s="148">
        <f>+S233-V233</f>
        <v>2152834398.5</v>
      </c>
      <c r="X233" s="150">
        <f t="shared" si="255"/>
        <v>1</v>
      </c>
      <c r="Y233" s="148">
        <v>0</v>
      </c>
      <c r="Z233" s="148">
        <f>+V233-Y233</f>
        <v>0</v>
      </c>
      <c r="AA233" s="150">
        <f t="shared" si="224"/>
        <v>0</v>
      </c>
    </row>
    <row r="234" spans="1:27" ht="24.95" customHeight="1">
      <c r="A234" s="32"/>
      <c r="B234" s="145" t="s">
        <v>167</v>
      </c>
      <c r="C234" s="145" t="s">
        <v>190</v>
      </c>
      <c r="D234" s="145" t="s">
        <v>172</v>
      </c>
      <c r="E234" s="145">
        <v>23</v>
      </c>
      <c r="F234" s="145" t="s">
        <v>175</v>
      </c>
      <c r="G234" s="145">
        <v>4103065</v>
      </c>
      <c r="H234" s="145" t="s">
        <v>54</v>
      </c>
      <c r="I234" s="145">
        <v>16</v>
      </c>
      <c r="J234" s="145" t="s">
        <v>156</v>
      </c>
      <c r="K234" s="147" t="s">
        <v>178</v>
      </c>
      <c r="L234" s="148">
        <v>68256379176</v>
      </c>
      <c r="M234" s="148"/>
      <c r="N234" s="148"/>
      <c r="O234" s="148"/>
      <c r="P234" s="148"/>
      <c r="Q234" s="148"/>
      <c r="R234" s="148">
        <f>+L234+M234-N234+O234-P234-Q234</f>
        <v>68256379176</v>
      </c>
      <c r="S234" s="148">
        <v>34203349832.59</v>
      </c>
      <c r="T234" s="148">
        <f>+R234-S234</f>
        <v>34053029343.41</v>
      </c>
      <c r="U234" s="150">
        <f t="shared" si="143"/>
        <v>0.50110114608330159</v>
      </c>
      <c r="V234" s="148">
        <v>19788770358.630001</v>
      </c>
      <c r="W234" s="148">
        <f>+S234-V234</f>
        <v>14414579473.959999</v>
      </c>
      <c r="X234" s="150">
        <f t="shared" si="255"/>
        <v>0.42143765287648366</v>
      </c>
      <c r="Y234" s="148">
        <v>19788770358.630001</v>
      </c>
      <c r="Z234" s="148">
        <f>+V234-Y234</f>
        <v>0</v>
      </c>
      <c r="AA234" s="150">
        <f t="shared" si="224"/>
        <v>0.5785623471235164</v>
      </c>
    </row>
    <row r="235" spans="1:27" ht="24.95" customHeight="1">
      <c r="A235" s="32"/>
      <c r="B235" s="145" t="s">
        <v>167</v>
      </c>
      <c r="C235" s="145" t="s">
        <v>190</v>
      </c>
      <c r="D235" s="145" t="s">
        <v>172</v>
      </c>
      <c r="E235" s="145">
        <v>23</v>
      </c>
      <c r="F235" s="145" t="s">
        <v>175</v>
      </c>
      <c r="G235" s="145">
        <v>4103065</v>
      </c>
      <c r="H235" s="145" t="s">
        <v>65</v>
      </c>
      <c r="I235" s="145">
        <v>11</v>
      </c>
      <c r="J235" s="145" t="s">
        <v>29</v>
      </c>
      <c r="K235" s="147" t="s">
        <v>127</v>
      </c>
      <c r="L235" s="148">
        <v>368600000000</v>
      </c>
      <c r="M235" s="148"/>
      <c r="N235" s="148"/>
      <c r="O235" s="148"/>
      <c r="P235" s="148">
        <f>2000000000</f>
        <v>2000000000</v>
      </c>
      <c r="Q235" s="148"/>
      <c r="R235" s="148">
        <f>+L235+M235-N235+O235-P235-Q235</f>
        <v>366600000000</v>
      </c>
      <c r="S235" s="148">
        <v>160084400000</v>
      </c>
      <c r="T235" s="148">
        <f>+R235-S235</f>
        <v>206515600000</v>
      </c>
      <c r="U235" s="150">
        <f t="shared" si="143"/>
        <v>0.43667321331151121</v>
      </c>
      <c r="V235" s="148">
        <v>160084400000</v>
      </c>
      <c r="W235" s="148">
        <f>+S235-V235</f>
        <v>0</v>
      </c>
      <c r="X235" s="150">
        <f t="shared" si="255"/>
        <v>0</v>
      </c>
      <c r="Y235" s="148">
        <v>160084400000</v>
      </c>
      <c r="Z235" s="148">
        <f>+V235-Y235</f>
        <v>0</v>
      </c>
      <c r="AA235" s="150">
        <f t="shared" si="224"/>
        <v>1</v>
      </c>
    </row>
    <row r="236" spans="1:27" ht="24.95" customHeight="1">
      <c r="A236" s="32"/>
      <c r="B236" s="145" t="s">
        <v>167</v>
      </c>
      <c r="C236" s="145" t="s">
        <v>190</v>
      </c>
      <c r="D236" s="145" t="s">
        <v>172</v>
      </c>
      <c r="E236" s="145">
        <v>23</v>
      </c>
      <c r="F236" s="145" t="s">
        <v>175</v>
      </c>
      <c r="G236" s="145">
        <v>4103065</v>
      </c>
      <c r="H236" s="145" t="s">
        <v>65</v>
      </c>
      <c r="I236" s="145">
        <v>16</v>
      </c>
      <c r="J236" s="145" t="s">
        <v>156</v>
      </c>
      <c r="K236" s="147" t="s">
        <v>127</v>
      </c>
      <c r="L236" s="148">
        <v>1313111750904</v>
      </c>
      <c r="M236" s="148"/>
      <c r="N236" s="148"/>
      <c r="O236" s="148"/>
      <c r="P236" s="148"/>
      <c r="Q236" s="148"/>
      <c r="R236" s="148">
        <f>+L236+M236-N236+O236-P236-Q236</f>
        <v>1313111750904</v>
      </c>
      <c r="S236" s="148">
        <v>528247120000</v>
      </c>
      <c r="T236" s="148">
        <f>+R236-S236</f>
        <v>784864630904</v>
      </c>
      <c r="U236" s="150">
        <f t="shared" si="143"/>
        <v>0.40228649209508105</v>
      </c>
      <c r="V236" s="148">
        <v>528247120000</v>
      </c>
      <c r="W236" s="148">
        <f>+S236-V236</f>
        <v>0</v>
      </c>
      <c r="X236" s="150">
        <f t="shared" si="255"/>
        <v>0</v>
      </c>
      <c r="Y236" s="148">
        <v>528247120000</v>
      </c>
      <c r="Z236" s="148">
        <f>+V236-Y236</f>
        <v>0</v>
      </c>
      <c r="AA236" s="150">
        <f t="shared" si="224"/>
        <v>1</v>
      </c>
    </row>
    <row r="237" spans="1:27" ht="36.75" customHeight="1">
      <c r="A237" s="32" t="e">
        <f>+CONCATENATE(#REF!,"=",I237)</f>
        <v>#REF!</v>
      </c>
      <c r="B237" s="123" t="s">
        <v>167</v>
      </c>
      <c r="C237" s="123">
        <v>4199</v>
      </c>
      <c r="D237" s="123"/>
      <c r="E237" s="123"/>
      <c r="F237" s="123"/>
      <c r="G237" s="123"/>
      <c r="H237" s="123"/>
      <c r="I237" s="124"/>
      <c r="J237" s="124"/>
      <c r="K237" s="124" t="s">
        <v>250</v>
      </c>
      <c r="L237" s="125">
        <f>+L238</f>
        <v>3226548466</v>
      </c>
      <c r="M237" s="719">
        <f t="shared" ref="M237:Z240" si="270">+M238</f>
        <v>0</v>
      </c>
      <c r="N237" s="719">
        <f t="shared" si="270"/>
        <v>0</v>
      </c>
      <c r="O237" s="719">
        <f t="shared" si="270"/>
        <v>0</v>
      </c>
      <c r="P237" s="719">
        <f t="shared" si="270"/>
        <v>0</v>
      </c>
      <c r="Q237" s="719">
        <f t="shared" si="270"/>
        <v>0</v>
      </c>
      <c r="R237" s="125">
        <f t="shared" si="270"/>
        <v>3226548466</v>
      </c>
      <c r="S237" s="125">
        <f t="shared" si="270"/>
        <v>2335132756.5999999</v>
      </c>
      <c r="T237" s="125">
        <f t="shared" si="270"/>
        <v>891415709.4000001</v>
      </c>
      <c r="U237" s="126">
        <f t="shared" si="143"/>
        <v>0.72372468016725577</v>
      </c>
      <c r="V237" s="125">
        <f t="shared" si="270"/>
        <v>2135132756.5999999</v>
      </c>
      <c r="W237" s="125">
        <f t="shared" si="270"/>
        <v>200000000</v>
      </c>
      <c r="X237" s="126">
        <f t="shared" si="255"/>
        <v>8.5648235388211508E-2</v>
      </c>
      <c r="Y237" s="125">
        <f t="shared" si="270"/>
        <v>2135132756.5999999</v>
      </c>
      <c r="Z237" s="125">
        <f t="shared" si="270"/>
        <v>0</v>
      </c>
      <c r="AA237" s="720">
        <f t="shared" si="224"/>
        <v>0.91435176461178846</v>
      </c>
    </row>
    <row r="238" spans="1:27" ht="24" customHeight="1">
      <c r="A238" s="32" t="e">
        <f>+CONCATENATE(#REF!,"=",I238)</f>
        <v>#REF!</v>
      </c>
      <c r="B238" s="128" t="s">
        <v>167</v>
      </c>
      <c r="C238" s="128">
        <v>4199</v>
      </c>
      <c r="D238" s="128">
        <v>1500</v>
      </c>
      <c r="E238" s="128"/>
      <c r="F238" s="128"/>
      <c r="G238" s="128"/>
      <c r="H238" s="128"/>
      <c r="I238" s="129"/>
      <c r="J238" s="129"/>
      <c r="K238" s="129" t="s">
        <v>170</v>
      </c>
      <c r="L238" s="130">
        <f>+L239</f>
        <v>3226548466</v>
      </c>
      <c r="M238" s="721">
        <f t="shared" si="270"/>
        <v>0</v>
      </c>
      <c r="N238" s="721">
        <f t="shared" si="270"/>
        <v>0</v>
      </c>
      <c r="O238" s="721">
        <f t="shared" si="270"/>
        <v>0</v>
      </c>
      <c r="P238" s="721">
        <f t="shared" si="270"/>
        <v>0</v>
      </c>
      <c r="Q238" s="721">
        <f t="shared" si="270"/>
        <v>0</v>
      </c>
      <c r="R238" s="130">
        <f t="shared" si="270"/>
        <v>3226548466</v>
      </c>
      <c r="S238" s="130">
        <f t="shared" si="270"/>
        <v>2335132756.5999999</v>
      </c>
      <c r="T238" s="130">
        <f t="shared" si="270"/>
        <v>891415709.4000001</v>
      </c>
      <c r="U238" s="131">
        <f t="shared" si="143"/>
        <v>0.72372468016725577</v>
      </c>
      <c r="V238" s="130">
        <f t="shared" si="270"/>
        <v>2135132756.5999999</v>
      </c>
      <c r="W238" s="130">
        <f t="shared" si="270"/>
        <v>200000000</v>
      </c>
      <c r="X238" s="131">
        <f t="shared" si="255"/>
        <v>8.5648235388211508E-2</v>
      </c>
      <c r="Y238" s="130">
        <f t="shared" si="270"/>
        <v>2135132756.5999999</v>
      </c>
      <c r="Z238" s="130">
        <f t="shared" si="270"/>
        <v>0</v>
      </c>
      <c r="AA238" s="722">
        <f t="shared" si="224"/>
        <v>0.91435176461178846</v>
      </c>
    </row>
    <row r="239" spans="1:27" ht="37.5" customHeight="1">
      <c r="A239" s="32" t="e">
        <f>+CONCATENATE(#REF!,"=",I239)</f>
        <v>#REF!</v>
      </c>
      <c r="B239" s="133" t="s">
        <v>167</v>
      </c>
      <c r="C239" s="133" t="s">
        <v>251</v>
      </c>
      <c r="D239" s="133" t="s">
        <v>172</v>
      </c>
      <c r="E239" s="133" t="s">
        <v>252</v>
      </c>
      <c r="F239" s="133"/>
      <c r="G239" s="133"/>
      <c r="H239" s="133"/>
      <c r="I239" s="133"/>
      <c r="J239" s="134"/>
      <c r="K239" s="134" t="s">
        <v>274</v>
      </c>
      <c r="L239" s="135">
        <f>+L240</f>
        <v>3226548466</v>
      </c>
      <c r="M239" s="136">
        <f t="shared" si="270"/>
        <v>0</v>
      </c>
      <c r="N239" s="136">
        <f t="shared" si="270"/>
        <v>0</v>
      </c>
      <c r="O239" s="136">
        <f t="shared" si="270"/>
        <v>0</v>
      </c>
      <c r="P239" s="136">
        <f t="shared" si="270"/>
        <v>0</v>
      </c>
      <c r="Q239" s="136">
        <f t="shared" si="270"/>
        <v>0</v>
      </c>
      <c r="R239" s="135">
        <f t="shared" si="270"/>
        <v>3226548466</v>
      </c>
      <c r="S239" s="135">
        <f t="shared" si="270"/>
        <v>2335132756.5999999</v>
      </c>
      <c r="T239" s="135">
        <f t="shared" si="270"/>
        <v>891415709.4000001</v>
      </c>
      <c r="U239" s="137">
        <f t="shared" si="143"/>
        <v>0.72372468016725577</v>
      </c>
      <c r="V239" s="135">
        <f t="shared" si="270"/>
        <v>2135132756.5999999</v>
      </c>
      <c r="W239" s="135">
        <f t="shared" si="270"/>
        <v>200000000</v>
      </c>
      <c r="X239" s="137">
        <f t="shared" si="255"/>
        <v>8.5648235388211508E-2</v>
      </c>
      <c r="Y239" s="135">
        <f t="shared" si="270"/>
        <v>2135132756.5999999</v>
      </c>
      <c r="Z239" s="135">
        <f t="shared" si="270"/>
        <v>0</v>
      </c>
      <c r="AA239" s="723">
        <f t="shared" si="224"/>
        <v>0.91435176461178846</v>
      </c>
    </row>
    <row r="240" spans="1:27" ht="32.25" customHeight="1">
      <c r="A240" s="32" t="e">
        <f>+CONCATENATE(#REF!,"=",I240)</f>
        <v>#REF!</v>
      </c>
      <c r="B240" s="139" t="s">
        <v>167</v>
      </c>
      <c r="C240" s="139" t="s">
        <v>251</v>
      </c>
      <c r="D240" s="139" t="s">
        <v>172</v>
      </c>
      <c r="E240" s="139" t="s">
        <v>252</v>
      </c>
      <c r="F240" s="139" t="s">
        <v>175</v>
      </c>
      <c r="G240" s="139" t="s">
        <v>254</v>
      </c>
      <c r="H240" s="139"/>
      <c r="I240" s="139">
        <v>11</v>
      </c>
      <c r="J240" s="140" t="s">
        <v>29</v>
      </c>
      <c r="K240" s="140" t="s">
        <v>255</v>
      </c>
      <c r="L240" s="141">
        <f>+L241</f>
        <v>3226548466</v>
      </c>
      <c r="M240" s="142">
        <f t="shared" si="270"/>
        <v>0</v>
      </c>
      <c r="N240" s="142">
        <f t="shared" si="270"/>
        <v>0</v>
      </c>
      <c r="O240" s="142">
        <f t="shared" si="270"/>
        <v>0</v>
      </c>
      <c r="P240" s="142">
        <f t="shared" si="270"/>
        <v>0</v>
      </c>
      <c r="Q240" s="142">
        <f t="shared" si="270"/>
        <v>0</v>
      </c>
      <c r="R240" s="141">
        <f t="shared" si="270"/>
        <v>3226548466</v>
      </c>
      <c r="S240" s="141">
        <f t="shared" si="270"/>
        <v>2335132756.5999999</v>
      </c>
      <c r="T240" s="141">
        <f t="shared" si="270"/>
        <v>891415709.4000001</v>
      </c>
      <c r="U240" s="143">
        <f t="shared" si="143"/>
        <v>0.72372468016725577</v>
      </c>
      <c r="V240" s="141">
        <f t="shared" si="270"/>
        <v>2135132756.5999999</v>
      </c>
      <c r="W240" s="141">
        <f t="shared" si="270"/>
        <v>200000000</v>
      </c>
      <c r="X240" s="143">
        <f t="shared" si="255"/>
        <v>8.5648235388211508E-2</v>
      </c>
      <c r="Y240" s="141">
        <f t="shared" si="270"/>
        <v>2135132756.5999999</v>
      </c>
      <c r="Z240" s="141">
        <f t="shared" si="270"/>
        <v>0</v>
      </c>
      <c r="AA240" s="724">
        <f t="shared" si="224"/>
        <v>0.91435176461178846</v>
      </c>
    </row>
    <row r="241" spans="1:50" ht="24.95" customHeight="1">
      <c r="A241" s="32" t="e">
        <f>+CONCATENATE(#REF!,"=",I241)</f>
        <v>#REF!</v>
      </c>
      <c r="B241" s="145" t="s">
        <v>167</v>
      </c>
      <c r="C241" s="145" t="s">
        <v>251</v>
      </c>
      <c r="D241" s="145" t="s">
        <v>172</v>
      </c>
      <c r="E241" s="145" t="s">
        <v>252</v>
      </c>
      <c r="F241" s="145" t="s">
        <v>175</v>
      </c>
      <c r="G241" s="145" t="s">
        <v>254</v>
      </c>
      <c r="H241" s="145" t="s">
        <v>54</v>
      </c>
      <c r="I241" s="145">
        <v>11</v>
      </c>
      <c r="J241" s="145" t="s">
        <v>29</v>
      </c>
      <c r="K241" s="147" t="s">
        <v>178</v>
      </c>
      <c r="L241" s="148">
        <v>3226548466</v>
      </c>
      <c r="M241" s="148"/>
      <c r="N241" s="148"/>
      <c r="O241" s="148"/>
      <c r="P241" s="148"/>
      <c r="Q241" s="148"/>
      <c r="R241" s="148">
        <f>+L241-Q241+M241-N241+O241-P241</f>
        <v>3226548466</v>
      </c>
      <c r="S241" s="148">
        <v>2335132756.5999999</v>
      </c>
      <c r="T241" s="148">
        <f t="shared" ref="T241" si="271">+R241-S241</f>
        <v>891415709.4000001</v>
      </c>
      <c r="U241" s="150">
        <f t="shared" si="143"/>
        <v>0.72372468016725577</v>
      </c>
      <c r="V241" s="148">
        <v>2135132756.5999999</v>
      </c>
      <c r="W241" s="148">
        <f t="shared" ref="W241" si="272">+S241-V241</f>
        <v>200000000</v>
      </c>
      <c r="X241" s="150">
        <f t="shared" si="255"/>
        <v>8.5648235388211508E-2</v>
      </c>
      <c r="Y241" s="148">
        <v>2135132756.5999999</v>
      </c>
      <c r="Z241" s="148">
        <f t="shared" ref="Z241" si="273">+V241-Y241</f>
        <v>0</v>
      </c>
      <c r="AA241" s="150">
        <f t="shared" si="224"/>
        <v>0.91435176461178846</v>
      </c>
    </row>
    <row r="242" spans="1:50" ht="35.1" customHeight="1">
      <c r="A242" s="32"/>
      <c r="B242" s="118"/>
      <c r="C242" s="119"/>
      <c r="D242" s="119"/>
      <c r="E242" s="119"/>
      <c r="F242" s="119"/>
      <c r="G242" s="119"/>
      <c r="H242" s="119"/>
      <c r="I242" s="119"/>
      <c r="J242" s="119"/>
      <c r="K242" s="119" t="s">
        <v>256</v>
      </c>
      <c r="L242" s="120">
        <f t="shared" ref="L242:T242" si="274">+L8+L116</f>
        <v>6409808633098</v>
      </c>
      <c r="M242" s="120">
        <f t="shared" si="274"/>
        <v>3803514274200</v>
      </c>
      <c r="N242" s="717">
        <f t="shared" si="274"/>
        <v>0</v>
      </c>
      <c r="O242" s="120">
        <f t="shared" si="274"/>
        <v>77317528768.450012</v>
      </c>
      <c r="P242" s="120">
        <f t="shared" si="274"/>
        <v>77317528768.450012</v>
      </c>
      <c r="Q242" s="120">
        <f t="shared" si="274"/>
        <v>341399361084</v>
      </c>
      <c r="R242" s="120">
        <f t="shared" si="274"/>
        <v>9871923546214</v>
      </c>
      <c r="S242" s="120">
        <f t="shared" si="274"/>
        <v>5289683975915.9805</v>
      </c>
      <c r="T242" s="120">
        <f t="shared" si="274"/>
        <v>3830505573598.0205</v>
      </c>
      <c r="U242" s="121">
        <f t="shared" si="143"/>
        <v>0.53583113272231908</v>
      </c>
      <c r="V242" s="120">
        <f>+V8+V116</f>
        <v>4859671804887.3701</v>
      </c>
      <c r="W242" s="120">
        <f>+W8+W116</f>
        <v>430012171028.61005</v>
      </c>
      <c r="X242" s="121">
        <f t="shared" si="255"/>
        <v>8.1292601408035459E-2</v>
      </c>
      <c r="Y242" s="120">
        <f>+Y8+Y116</f>
        <v>4855942728320.3301</v>
      </c>
      <c r="Z242" s="120">
        <f>+Z8+Z116</f>
        <v>3729076567.04</v>
      </c>
      <c r="AA242" s="718">
        <f t="shared" si="224"/>
        <v>0.91800242706927648</v>
      </c>
    </row>
    <row r="243" spans="1:50" s="90" customFormat="1" ht="16.5">
      <c r="A243" s="32"/>
      <c r="B243" s="82"/>
      <c r="C243" s="82"/>
      <c r="D243" s="82"/>
      <c r="E243" s="82"/>
      <c r="F243" s="82"/>
      <c r="G243" s="83"/>
      <c r="H243" s="84"/>
      <c r="I243" s="84"/>
      <c r="J243" s="84"/>
      <c r="K243" s="84"/>
      <c r="L243" s="86"/>
      <c r="M243" s="86"/>
      <c r="N243" s="86"/>
      <c r="O243" s="86"/>
      <c r="P243" s="86"/>
      <c r="Q243" s="86"/>
      <c r="R243" s="86"/>
      <c r="S243" s="86"/>
      <c r="T243" s="86"/>
      <c r="U243" s="87"/>
      <c r="V243" s="86"/>
      <c r="W243" s="86"/>
      <c r="X243" s="87"/>
      <c r="Y243" s="86"/>
      <c r="Z243" s="86"/>
      <c r="AA243" s="89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</row>
    <row r="244" spans="1:50" s="8" customFormat="1" ht="16.5">
      <c r="A244" s="32" t="e">
        <f>+CONCATENATE(#REF!,"=",I244)</f>
        <v>#REF!</v>
      </c>
      <c r="B244" s="91"/>
      <c r="C244" s="91"/>
      <c r="D244" s="91"/>
      <c r="E244" s="91"/>
      <c r="F244" s="91"/>
      <c r="G244" s="92"/>
      <c r="H244" s="93"/>
      <c r="I244" s="93"/>
      <c r="J244" s="93"/>
      <c r="K244" s="93"/>
      <c r="L244" s="95">
        <v>6409808633098</v>
      </c>
      <c r="M244" s="95">
        <v>3803514274200</v>
      </c>
      <c r="N244" s="95"/>
      <c r="O244" s="95">
        <f>76800033582.45+517495186</f>
        <v>77317528768.449997</v>
      </c>
      <c r="P244" s="95">
        <f>76800033582.45+517495186</f>
        <v>77317528768.449997</v>
      </c>
      <c r="Q244" s="95">
        <v>341399361084</v>
      </c>
      <c r="R244" s="95">
        <v>9871923546214</v>
      </c>
      <c r="S244" s="95">
        <v>5289683975915.9805</v>
      </c>
      <c r="T244" s="95">
        <v>3830505573598.0205</v>
      </c>
      <c r="U244" s="361">
        <f>+U242</f>
        <v>0.53583113272231908</v>
      </c>
      <c r="V244" s="95">
        <v>4859671804887.3701</v>
      </c>
      <c r="W244" s="95">
        <f t="shared" ref="W244" si="275">+S244-V244</f>
        <v>430012171028.61035</v>
      </c>
      <c r="X244" s="361">
        <f>+X242</f>
        <v>8.1292601408035459E-2</v>
      </c>
      <c r="Y244" s="95">
        <v>4855942728320.3301</v>
      </c>
      <c r="Z244" s="95">
        <f t="shared" ref="Z244" si="276">+V244-Y244</f>
        <v>3729076567.0400391</v>
      </c>
      <c r="AA244" s="361">
        <f>+AA242</f>
        <v>0.91800242706927648</v>
      </c>
    </row>
    <row r="245" spans="1:50" s="8" customFormat="1" ht="16.5">
      <c r="A245" s="32"/>
      <c r="B245" s="94"/>
      <c r="C245" s="93"/>
      <c r="D245" s="93"/>
      <c r="E245" s="93"/>
      <c r="F245" s="93"/>
      <c r="G245" s="93"/>
      <c r="H245" s="93"/>
      <c r="I245" s="93"/>
      <c r="J245" s="93"/>
      <c r="K245" s="97"/>
      <c r="L245" s="362">
        <f>+L242-L244</f>
        <v>0</v>
      </c>
      <c r="M245" s="362">
        <f>+M242-M244</f>
        <v>0</v>
      </c>
      <c r="N245" s="731"/>
      <c r="O245" s="362">
        <f t="shared" ref="O245:T245" si="277">+O242-O244</f>
        <v>0</v>
      </c>
      <c r="P245" s="362">
        <f t="shared" si="277"/>
        <v>0</v>
      </c>
      <c r="Q245" s="362">
        <f t="shared" si="277"/>
        <v>0</v>
      </c>
      <c r="R245" s="362">
        <f t="shared" si="277"/>
        <v>0</v>
      </c>
      <c r="S245" s="362">
        <f t="shared" si="277"/>
        <v>0</v>
      </c>
      <c r="T245" s="362">
        <f t="shared" si="277"/>
        <v>0</v>
      </c>
      <c r="U245" s="363"/>
      <c r="V245" s="362">
        <f>+V242-V244</f>
        <v>0</v>
      </c>
      <c r="W245" s="362">
        <f>+W242-W244</f>
        <v>0</v>
      </c>
      <c r="X245" s="363"/>
      <c r="Y245" s="362">
        <f>+Y242-Y244</f>
        <v>0</v>
      </c>
      <c r="Z245" s="362">
        <f>+Z242-Z244</f>
        <v>-3.910064697265625E-5</v>
      </c>
      <c r="AA245" s="363"/>
    </row>
    <row r="246" spans="1:50" s="374" customFormat="1" ht="16.5">
      <c r="A246" s="369"/>
      <c r="B246" s="370"/>
      <c r="C246" s="371"/>
      <c r="D246" s="371"/>
      <c r="E246" s="371"/>
      <c r="F246" s="371"/>
      <c r="G246" s="371"/>
      <c r="H246" s="371"/>
      <c r="I246" s="371"/>
      <c r="J246" s="371"/>
      <c r="K246" s="86"/>
      <c r="L246" s="359"/>
      <c r="M246" s="359"/>
      <c r="N246" s="359"/>
      <c r="O246" s="359"/>
      <c r="P246" s="359"/>
      <c r="Q246" s="359"/>
      <c r="R246" s="359"/>
      <c r="S246" s="359"/>
      <c r="T246" s="359"/>
      <c r="U246" s="372"/>
      <c r="V246" s="359"/>
      <c r="W246" s="359"/>
      <c r="X246" s="372"/>
      <c r="Y246" s="359"/>
      <c r="Z246" s="359"/>
      <c r="AA246" s="37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</row>
    <row r="247" spans="1:50" ht="18">
      <c r="A247" s="30"/>
      <c r="B247" s="312"/>
      <c r="C247" s="317"/>
      <c r="D247" s="312"/>
      <c r="E247" s="312"/>
      <c r="F247" s="312"/>
      <c r="G247" s="312"/>
      <c r="H247" s="312"/>
      <c r="I247" s="312"/>
      <c r="J247" s="312"/>
      <c r="K247" s="312"/>
      <c r="L247" s="335"/>
      <c r="M247" s="632"/>
      <c r="N247" s="332"/>
      <c r="O247" s="332"/>
      <c r="P247" s="633"/>
      <c r="Q247" s="633"/>
      <c r="R247" s="359"/>
      <c r="S247" s="332"/>
      <c r="T247" s="332"/>
      <c r="U247" s="333"/>
      <c r="V247" s="332"/>
      <c r="W247" s="332"/>
      <c r="X247" s="333"/>
      <c r="Y247" s="332"/>
      <c r="Z247" s="332"/>
      <c r="AA247" s="333"/>
    </row>
    <row r="248" spans="1:50" ht="18">
      <c r="A248" s="30"/>
      <c r="B248" s="312"/>
      <c r="C248" s="317"/>
      <c r="D248" s="312"/>
      <c r="E248" s="312"/>
      <c r="F248" s="312"/>
      <c r="G248" s="312"/>
      <c r="H248" s="312"/>
      <c r="I248" s="312"/>
      <c r="J248" s="312"/>
      <c r="K248" s="312"/>
      <c r="L248" s="332"/>
      <c r="M248" s="632"/>
      <c r="N248" s="332"/>
      <c r="O248" s="359"/>
      <c r="P248" s="633"/>
      <c r="Q248" s="633"/>
      <c r="R248" s="332"/>
      <c r="S248" s="332"/>
      <c r="T248" s="332"/>
      <c r="U248" s="333"/>
      <c r="V248" s="332"/>
      <c r="W248" s="332"/>
      <c r="X248" s="333"/>
      <c r="Y248" s="332"/>
      <c r="Z248" s="332"/>
      <c r="AA248" s="333"/>
    </row>
    <row r="249" spans="1:50" ht="18">
      <c r="A249" s="1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32"/>
      <c r="M249" s="632"/>
      <c r="N249" s="332"/>
      <c r="O249" s="332"/>
      <c r="P249" s="332"/>
      <c r="Q249" s="332"/>
      <c r="R249" s="332"/>
      <c r="S249" s="332"/>
      <c r="T249" s="332"/>
      <c r="U249" s="333"/>
      <c r="V249" s="332"/>
      <c r="W249" s="631"/>
      <c r="X249" s="333"/>
      <c r="Y249" s="332"/>
      <c r="Z249" s="332"/>
      <c r="AA249" s="333"/>
    </row>
    <row r="250" spans="1:50" ht="30">
      <c r="A250" s="1"/>
      <c r="B250" s="318"/>
      <c r="C250" s="318"/>
      <c r="D250" s="318"/>
      <c r="E250" s="318"/>
      <c r="F250" s="318"/>
      <c r="G250" s="318"/>
      <c r="H250" s="312"/>
      <c r="I250" s="312"/>
      <c r="J250" s="312"/>
      <c r="K250" s="336" t="s">
        <v>738</v>
      </c>
      <c r="L250" s="628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20"/>
      <c r="Y250" s="319"/>
      <c r="Z250" s="319"/>
      <c r="AA250" s="319"/>
    </row>
    <row r="251" spans="1:50" ht="30">
      <c r="A251" s="1"/>
      <c r="B251" s="321"/>
      <c r="C251" s="322"/>
      <c r="D251" s="322"/>
      <c r="E251" s="322"/>
      <c r="F251" s="322"/>
      <c r="G251" s="322"/>
      <c r="H251" s="322"/>
      <c r="I251" s="322"/>
      <c r="J251" s="322"/>
      <c r="K251" s="337" t="s">
        <v>739</v>
      </c>
      <c r="L251" s="628"/>
      <c r="N251" s="323"/>
      <c r="O251" s="323"/>
      <c r="P251" s="323"/>
      <c r="Q251" s="323"/>
      <c r="R251" s="360"/>
      <c r="S251" s="323"/>
      <c r="T251" s="323"/>
      <c r="U251" s="323"/>
      <c r="V251" s="323"/>
      <c r="W251" s="323"/>
      <c r="X251" s="324"/>
      <c r="Y251" s="323"/>
      <c r="Z251" s="323"/>
      <c r="AA251" s="323"/>
    </row>
    <row r="252" spans="1:50" ht="30">
      <c r="A252" s="325"/>
      <c r="B252" s="308"/>
      <c r="C252" s="308"/>
      <c r="D252" s="308"/>
      <c r="E252" s="308"/>
      <c r="F252" s="308"/>
      <c r="G252" s="308"/>
      <c r="H252" s="308"/>
      <c r="I252" s="308"/>
      <c r="J252" s="308"/>
      <c r="K252" s="308"/>
      <c r="L252" s="628"/>
      <c r="N252" s="309"/>
      <c r="O252" s="309"/>
      <c r="P252" s="630"/>
      <c r="Q252" s="630"/>
      <c r="R252" s="334"/>
      <c r="S252" s="334"/>
      <c r="T252" s="629"/>
      <c r="U252" s="329"/>
      <c r="V252" s="329"/>
      <c r="W252" s="329"/>
      <c r="X252" s="329"/>
    </row>
    <row r="253" spans="1:50" ht="16.5">
      <c r="L253" s="628"/>
      <c r="M253" s="628"/>
    </row>
    <row r="254" spans="1:50" ht="16.5">
      <c r="L254" s="628"/>
      <c r="M254" s="628"/>
    </row>
    <row r="255" spans="1:50" ht="16.5">
      <c r="L255" s="628"/>
    </row>
    <row r="256" spans="1:50" ht="16.5">
      <c r="L256" s="628"/>
    </row>
    <row r="257" spans="12:12" ht="16.5">
      <c r="L257" s="628"/>
    </row>
  </sheetData>
  <sheetProtection selectLockedCells="1" selectUnlockedCells="1"/>
  <autoFilter ref="A6:AA245" xr:uid="{00000000-0009-0000-0000-000002000000}"/>
  <mergeCells count="14">
    <mergeCell ref="B5:H5"/>
    <mergeCell ref="I5:I6"/>
    <mergeCell ref="J5:J6"/>
    <mergeCell ref="K5:K6"/>
    <mergeCell ref="L5:L6"/>
    <mergeCell ref="R5:R6"/>
    <mergeCell ref="S5:U5"/>
    <mergeCell ref="V5:X5"/>
    <mergeCell ref="Y5:AA5"/>
    <mergeCell ref="L2:AA2"/>
    <mergeCell ref="L3:AA3"/>
    <mergeCell ref="M5:N5"/>
    <mergeCell ref="O5:P5"/>
    <mergeCell ref="Q5:Q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FB66B-6ACD-4270-BB5B-832F48CE5852}">
  <sheetPr>
    <tabColor theme="7" tint="0.59999389629810485"/>
    <pageSetUpPr fitToPage="1"/>
  </sheetPr>
  <dimension ref="A1:AR253"/>
  <sheetViews>
    <sheetView showGridLines="0" zoomScale="73" zoomScaleNormal="73" workbookViewId="0"/>
  </sheetViews>
  <sheetFormatPr baseColWidth="10" defaultColWidth="11.42578125" defaultRowHeight="12.75" outlineLevelCol="1"/>
  <cols>
    <col min="1" max="1" width="1.28515625" style="109" customWidth="1"/>
    <col min="2" max="2" width="4.5703125" style="9" customWidth="1" outlineLevel="1"/>
    <col min="3" max="3" width="6" style="9" customWidth="1" outlineLevel="1"/>
    <col min="4" max="4" width="7.85546875" style="9" customWidth="1" outlineLevel="1"/>
    <col min="5" max="6" width="5.85546875" style="9" customWidth="1" outlineLevel="1"/>
    <col min="7" max="7" width="8" style="9" customWidth="1" outlineLevel="1"/>
    <col min="8" max="8" width="5.42578125" style="9" customWidth="1" outlineLevel="1"/>
    <col min="9" max="9" width="3.85546875" style="9" customWidth="1"/>
    <col min="10" max="10" width="6.28515625" style="111" customWidth="1"/>
    <col min="11" max="11" width="64.7109375" style="9" customWidth="1"/>
    <col min="12" max="12" width="23.7109375" style="13" bestFit="1" customWidth="1"/>
    <col min="13" max="13" width="21.85546875" style="13" customWidth="1"/>
    <col min="14" max="14" width="12.85546875" style="13" customWidth="1"/>
    <col min="15" max="15" width="21.85546875" style="13" customWidth="1"/>
    <col min="16" max="16" width="12.5703125" style="13" customWidth="1"/>
    <col min="17" max="17" width="20.28515625" style="13" bestFit="1" customWidth="1"/>
    <col min="18" max="18" width="12.140625" style="13" customWidth="1"/>
    <col min="19" max="19" width="11.42578125" style="13"/>
    <col min="20" max="20" width="13.85546875" style="13" customWidth="1"/>
    <col min="21" max="16384" width="11.42578125" style="13"/>
  </cols>
  <sheetData>
    <row r="1" spans="1:18" s="8" customFormat="1">
      <c r="A1" s="1"/>
      <c r="B1" s="3"/>
      <c r="C1" s="3"/>
      <c r="D1" s="3"/>
      <c r="E1" s="3"/>
      <c r="F1" s="3"/>
      <c r="G1" s="3"/>
      <c r="H1" s="3"/>
      <c r="I1" s="3"/>
      <c r="J1" s="4"/>
      <c r="K1" s="3"/>
      <c r="L1" s="6"/>
      <c r="M1" s="5">
        <v>13</v>
      </c>
      <c r="N1" s="7"/>
      <c r="O1" s="5">
        <v>14</v>
      </c>
      <c r="P1" s="7"/>
      <c r="Q1" s="5">
        <v>16</v>
      </c>
      <c r="R1" s="7"/>
    </row>
    <row r="2" spans="1:18" ht="30">
      <c r="A2" s="1"/>
      <c r="C2" s="10"/>
      <c r="D2" s="10"/>
      <c r="E2" s="10"/>
      <c r="F2" s="10"/>
      <c r="G2" s="10"/>
      <c r="H2" s="10"/>
      <c r="I2" s="10"/>
      <c r="J2" s="12"/>
      <c r="K2" s="10"/>
      <c r="L2" s="305" t="s">
        <v>0</v>
      </c>
      <c r="M2" s="305"/>
      <c r="N2" s="305"/>
      <c r="O2" s="305"/>
      <c r="P2" s="305"/>
      <c r="Q2" s="305"/>
      <c r="R2" s="305"/>
    </row>
    <row r="3" spans="1:18" ht="25.5">
      <c r="A3" s="1"/>
      <c r="C3" s="14"/>
      <c r="D3" s="14"/>
      <c r="E3" s="14"/>
      <c r="F3" s="14"/>
      <c r="G3" s="14"/>
      <c r="H3" s="14"/>
      <c r="I3" s="14"/>
      <c r="J3" s="16"/>
      <c r="K3" s="14"/>
      <c r="L3" s="304" t="s">
        <v>812</v>
      </c>
      <c r="M3" s="304"/>
      <c r="N3" s="304"/>
      <c r="O3" s="304"/>
      <c r="P3" s="304"/>
      <c r="Q3" s="304"/>
      <c r="R3" s="304"/>
    </row>
    <row r="4" spans="1:18">
      <c r="A4" s="1"/>
      <c r="B4" s="17"/>
      <c r="C4" s="17"/>
      <c r="D4" s="17"/>
      <c r="E4" s="17"/>
      <c r="F4" s="17"/>
      <c r="G4" s="17"/>
      <c r="H4" s="18"/>
      <c r="I4" s="18"/>
      <c r="J4" s="19"/>
      <c r="K4" s="18"/>
      <c r="L4" s="20"/>
      <c r="M4" s="20"/>
      <c r="N4" s="21"/>
      <c r="O4" s="20"/>
      <c r="P4" s="21"/>
      <c r="Q4" s="20"/>
      <c r="R4" s="21"/>
    </row>
    <row r="5" spans="1:18" s="25" customFormat="1" ht="27" customHeight="1">
      <c r="A5" s="22"/>
      <c r="B5" s="814" t="s">
        <v>2</v>
      </c>
      <c r="C5" s="814"/>
      <c r="D5" s="814"/>
      <c r="E5" s="814"/>
      <c r="F5" s="814"/>
      <c r="G5" s="814"/>
      <c r="H5" s="814"/>
      <c r="I5" s="815" t="s">
        <v>3</v>
      </c>
      <c r="J5" s="822" t="s">
        <v>4</v>
      </c>
      <c r="K5" s="816" t="s">
        <v>5</v>
      </c>
      <c r="L5" s="804" t="s">
        <v>6</v>
      </c>
      <c r="M5" s="806" t="s">
        <v>7</v>
      </c>
      <c r="N5" s="808"/>
      <c r="O5" s="809" t="s">
        <v>8</v>
      </c>
      <c r="P5" s="811"/>
      <c r="Q5" s="806" t="s">
        <v>9</v>
      </c>
      <c r="R5" s="808"/>
    </row>
    <row r="6" spans="1:18" s="25" customFormat="1" ht="48.75" customHeight="1">
      <c r="A6" s="22"/>
      <c r="B6" s="113" t="s">
        <v>10</v>
      </c>
      <c r="C6" s="113" t="s">
        <v>11</v>
      </c>
      <c r="D6" s="113" t="s">
        <v>12</v>
      </c>
      <c r="E6" s="113" t="s">
        <v>13</v>
      </c>
      <c r="F6" s="113" t="s">
        <v>14</v>
      </c>
      <c r="G6" s="113" t="s">
        <v>15</v>
      </c>
      <c r="H6" s="113" t="s">
        <v>16</v>
      </c>
      <c r="I6" s="815"/>
      <c r="J6" s="822" t="s">
        <v>17</v>
      </c>
      <c r="K6" s="817"/>
      <c r="L6" s="805" t="s">
        <v>6</v>
      </c>
      <c r="M6" s="112" t="s">
        <v>18</v>
      </c>
      <c r="N6" s="115" t="s">
        <v>19</v>
      </c>
      <c r="O6" s="112" t="s">
        <v>18</v>
      </c>
      <c r="P6" s="116" t="s">
        <v>813</v>
      </c>
      <c r="Q6" s="114" t="s">
        <v>18</v>
      </c>
      <c r="R6" s="116" t="s">
        <v>20</v>
      </c>
    </row>
    <row r="7" spans="1:18" ht="35.1" customHeight="1">
      <c r="A7" s="32" t="e">
        <v>#REF!</v>
      </c>
      <c r="B7" s="118" t="s">
        <v>23</v>
      </c>
      <c r="C7" s="119"/>
      <c r="D7" s="119"/>
      <c r="E7" s="119"/>
      <c r="F7" s="119"/>
      <c r="G7" s="119"/>
      <c r="H7" s="119"/>
      <c r="I7" s="119"/>
      <c r="J7" s="119"/>
      <c r="K7" s="119" t="s">
        <v>24</v>
      </c>
      <c r="L7" s="120">
        <v>3960207274200</v>
      </c>
      <c r="M7" s="120">
        <v>3824068767102.8398</v>
      </c>
      <c r="N7" s="121">
        <f>+M7/$L7</f>
        <v>0.96562338845643847</v>
      </c>
      <c r="O7" s="120">
        <v>3714838953590.2803</v>
      </c>
      <c r="P7" s="121">
        <f>+O7/$L7</f>
        <v>0.93804154590386013</v>
      </c>
      <c r="Q7" s="120">
        <v>3714538771763.2803</v>
      </c>
      <c r="R7" s="121">
        <f>+Q7/$L7</f>
        <v>0.93796574637968988</v>
      </c>
    </row>
    <row r="8" spans="1:18" ht="24" customHeight="1">
      <c r="A8" s="32" t="e">
        <v>#REF!</v>
      </c>
      <c r="B8" s="123" t="s">
        <v>23</v>
      </c>
      <c r="C8" s="123" t="s">
        <v>25</v>
      </c>
      <c r="D8" s="123"/>
      <c r="E8" s="123"/>
      <c r="F8" s="123"/>
      <c r="G8" s="123"/>
      <c r="H8" s="123"/>
      <c r="I8" s="124"/>
      <c r="J8" s="124"/>
      <c r="K8" s="124" t="s">
        <v>26</v>
      </c>
      <c r="L8" s="125">
        <v>105148000000</v>
      </c>
      <c r="M8" s="125">
        <v>48228709599</v>
      </c>
      <c r="N8" s="126">
        <f t="shared" ref="N8:P71" si="0">+M8/$L8</f>
        <v>0.45867453112755352</v>
      </c>
      <c r="O8" s="125">
        <v>44513581041</v>
      </c>
      <c r="P8" s="126">
        <f t="shared" si="0"/>
        <v>0.423342156208392</v>
      </c>
      <c r="Q8" s="125">
        <v>44513581041</v>
      </c>
      <c r="R8" s="126">
        <f t="shared" ref="R8" si="1">+Q8/$L8</f>
        <v>0.423342156208392</v>
      </c>
    </row>
    <row r="9" spans="1:18" ht="24" customHeight="1">
      <c r="A9" s="32" t="e">
        <v>#REF!</v>
      </c>
      <c r="B9" s="128" t="s">
        <v>23</v>
      </c>
      <c r="C9" s="128" t="s">
        <v>25</v>
      </c>
      <c r="D9" s="128" t="s">
        <v>25</v>
      </c>
      <c r="E9" s="128"/>
      <c r="F9" s="128"/>
      <c r="G9" s="128"/>
      <c r="H9" s="128"/>
      <c r="I9" s="129"/>
      <c r="J9" s="129"/>
      <c r="K9" s="129" t="s">
        <v>27</v>
      </c>
      <c r="L9" s="130">
        <v>105148000000</v>
      </c>
      <c r="M9" s="130">
        <v>48228709599</v>
      </c>
      <c r="N9" s="131">
        <f t="shared" si="0"/>
        <v>0.45867453112755352</v>
      </c>
      <c r="O9" s="130">
        <v>44513581041</v>
      </c>
      <c r="P9" s="131">
        <f t="shared" si="0"/>
        <v>0.423342156208392</v>
      </c>
      <c r="Q9" s="130">
        <v>44513581041</v>
      </c>
      <c r="R9" s="131">
        <f t="shared" ref="R9" si="2">+Q9/$L9</f>
        <v>0.423342156208392</v>
      </c>
    </row>
    <row r="10" spans="1:18" ht="24" customHeight="1">
      <c r="A10" s="32" t="e">
        <v>#REF!</v>
      </c>
      <c r="B10" s="133" t="s">
        <v>23</v>
      </c>
      <c r="C10" s="133" t="s">
        <v>25</v>
      </c>
      <c r="D10" s="133" t="s">
        <v>25</v>
      </c>
      <c r="E10" s="133" t="s">
        <v>25</v>
      </c>
      <c r="F10" s="133"/>
      <c r="G10" s="133"/>
      <c r="H10" s="133"/>
      <c r="I10" s="133" t="s">
        <v>28</v>
      </c>
      <c r="J10" s="134" t="s">
        <v>29</v>
      </c>
      <c r="K10" s="134" t="s">
        <v>30</v>
      </c>
      <c r="L10" s="135">
        <v>69237000000</v>
      </c>
      <c r="M10" s="135">
        <v>29259385046</v>
      </c>
      <c r="N10" s="137">
        <f t="shared" si="0"/>
        <v>0.42259752799803574</v>
      </c>
      <c r="O10" s="135">
        <v>29259385046</v>
      </c>
      <c r="P10" s="137">
        <f t="shared" si="0"/>
        <v>0.42259752799803574</v>
      </c>
      <c r="Q10" s="135">
        <v>29259385046</v>
      </c>
      <c r="R10" s="137">
        <f t="shared" ref="R10" si="3">+Q10/$L10</f>
        <v>0.42259752799803574</v>
      </c>
    </row>
    <row r="11" spans="1:18" ht="24.95" customHeight="1">
      <c r="A11" s="32" t="e">
        <v>#REF!</v>
      </c>
      <c r="B11" s="139" t="s">
        <v>23</v>
      </c>
      <c r="C11" s="139" t="s">
        <v>25</v>
      </c>
      <c r="D11" s="139" t="s">
        <v>25</v>
      </c>
      <c r="E11" s="139" t="s">
        <v>25</v>
      </c>
      <c r="F11" s="139" t="s">
        <v>31</v>
      </c>
      <c r="G11" s="139"/>
      <c r="H11" s="139"/>
      <c r="I11" s="139" t="s">
        <v>28</v>
      </c>
      <c r="J11" s="140" t="s">
        <v>29</v>
      </c>
      <c r="K11" s="140" t="s">
        <v>32</v>
      </c>
      <c r="L11" s="141">
        <v>69237000000</v>
      </c>
      <c r="M11" s="141">
        <v>29259385046</v>
      </c>
      <c r="N11" s="143">
        <f t="shared" si="0"/>
        <v>0.42259752799803574</v>
      </c>
      <c r="O11" s="141">
        <v>29259385046</v>
      </c>
      <c r="P11" s="143">
        <f t="shared" si="0"/>
        <v>0.42259752799803574</v>
      </c>
      <c r="Q11" s="141">
        <v>29259385046</v>
      </c>
      <c r="R11" s="143">
        <f t="shared" ref="R11" si="4">+Q11/$L11</f>
        <v>0.42259752799803574</v>
      </c>
    </row>
    <row r="12" spans="1:18" ht="24.95" customHeight="1">
      <c r="A12" s="32" t="e">
        <v>#REF!</v>
      </c>
      <c r="B12" s="145" t="s">
        <v>23</v>
      </c>
      <c r="C12" s="145" t="s">
        <v>25</v>
      </c>
      <c r="D12" s="145" t="s">
        <v>25</v>
      </c>
      <c r="E12" s="145" t="s">
        <v>25</v>
      </c>
      <c r="F12" s="145" t="s">
        <v>31</v>
      </c>
      <c r="G12" s="145" t="s">
        <v>31</v>
      </c>
      <c r="H12" s="145"/>
      <c r="I12" s="145" t="s">
        <v>28</v>
      </c>
      <c r="J12" s="146" t="s">
        <v>29</v>
      </c>
      <c r="K12" s="147" t="s">
        <v>33</v>
      </c>
      <c r="L12" s="148">
        <v>57000000000</v>
      </c>
      <c r="M12" s="148">
        <v>26656999959</v>
      </c>
      <c r="N12" s="150">
        <f t="shared" si="0"/>
        <v>0.46766666594736844</v>
      </c>
      <c r="O12" s="148">
        <v>26656999959</v>
      </c>
      <c r="P12" s="150">
        <f t="shared" si="0"/>
        <v>0.46766666594736844</v>
      </c>
      <c r="Q12" s="148">
        <v>26656999959</v>
      </c>
      <c r="R12" s="150">
        <f t="shared" ref="R12" si="5">+Q12/$L12</f>
        <v>0.46766666594736844</v>
      </c>
    </row>
    <row r="13" spans="1:18" ht="24.95" customHeight="1">
      <c r="A13" s="32" t="e">
        <v>#REF!</v>
      </c>
      <c r="B13" s="145" t="s">
        <v>23</v>
      </c>
      <c r="C13" s="145" t="s">
        <v>25</v>
      </c>
      <c r="D13" s="145" t="s">
        <v>25</v>
      </c>
      <c r="E13" s="145" t="s">
        <v>25</v>
      </c>
      <c r="F13" s="145" t="s">
        <v>31</v>
      </c>
      <c r="G13" s="145" t="s">
        <v>34</v>
      </c>
      <c r="H13" s="145"/>
      <c r="I13" s="145" t="s">
        <v>28</v>
      </c>
      <c r="J13" s="146" t="s">
        <v>29</v>
      </c>
      <c r="K13" s="147" t="s">
        <v>35</v>
      </c>
      <c r="L13" s="148">
        <v>276000000</v>
      </c>
      <c r="M13" s="148">
        <v>103573349</v>
      </c>
      <c r="N13" s="150">
        <f t="shared" si="0"/>
        <v>0.37526575724637679</v>
      </c>
      <c r="O13" s="148">
        <v>103573349</v>
      </c>
      <c r="P13" s="150">
        <f t="shared" si="0"/>
        <v>0.37526575724637679</v>
      </c>
      <c r="Q13" s="148">
        <v>103573349</v>
      </c>
      <c r="R13" s="150">
        <f t="shared" ref="R13" si="6">+Q13/$L13</f>
        <v>0.37526575724637679</v>
      </c>
    </row>
    <row r="14" spans="1:18" ht="24.95" customHeight="1">
      <c r="A14" s="32" t="e">
        <v>#REF!</v>
      </c>
      <c r="B14" s="145" t="s">
        <v>23</v>
      </c>
      <c r="C14" s="145" t="s">
        <v>25</v>
      </c>
      <c r="D14" s="145" t="s">
        <v>25</v>
      </c>
      <c r="E14" s="145" t="s">
        <v>25</v>
      </c>
      <c r="F14" s="145" t="s">
        <v>31</v>
      </c>
      <c r="G14" s="145" t="s">
        <v>36</v>
      </c>
      <c r="H14" s="145"/>
      <c r="I14" s="145" t="s">
        <v>28</v>
      </c>
      <c r="J14" s="146" t="s">
        <v>29</v>
      </c>
      <c r="K14" s="147" t="s">
        <v>37</v>
      </c>
      <c r="L14" s="148">
        <v>540000000</v>
      </c>
      <c r="M14" s="148">
        <v>254543381</v>
      </c>
      <c r="N14" s="150">
        <f t="shared" si="0"/>
        <v>0.47137663148148146</v>
      </c>
      <c r="O14" s="148">
        <v>254543381</v>
      </c>
      <c r="P14" s="150">
        <f t="shared" si="0"/>
        <v>0.47137663148148146</v>
      </c>
      <c r="Q14" s="148">
        <v>254543381</v>
      </c>
      <c r="R14" s="150">
        <f t="shared" ref="R14" si="7">+Q14/$L14</f>
        <v>0.47137663148148146</v>
      </c>
    </row>
    <row r="15" spans="1:18" ht="24.95" customHeight="1">
      <c r="A15" s="32" t="e">
        <v>#REF!</v>
      </c>
      <c r="B15" s="145" t="s">
        <v>23</v>
      </c>
      <c r="C15" s="145" t="s">
        <v>25</v>
      </c>
      <c r="D15" s="145" t="s">
        <v>25</v>
      </c>
      <c r="E15" s="145" t="s">
        <v>25</v>
      </c>
      <c r="F15" s="145" t="s">
        <v>31</v>
      </c>
      <c r="G15" s="145" t="s">
        <v>38</v>
      </c>
      <c r="H15" s="145"/>
      <c r="I15" s="145" t="s">
        <v>28</v>
      </c>
      <c r="J15" s="146" t="s">
        <v>29</v>
      </c>
      <c r="K15" s="147" t="s">
        <v>39</v>
      </c>
      <c r="L15" s="148">
        <v>96000000</v>
      </c>
      <c r="M15" s="148">
        <v>43765689</v>
      </c>
      <c r="N15" s="150">
        <f t="shared" si="0"/>
        <v>0.45589259375000002</v>
      </c>
      <c r="O15" s="148">
        <v>43765689</v>
      </c>
      <c r="P15" s="150">
        <f t="shared" si="0"/>
        <v>0.45589259375000002</v>
      </c>
      <c r="Q15" s="148">
        <v>43765689</v>
      </c>
      <c r="R15" s="150">
        <f t="shared" ref="R15" si="8">+Q15/$L15</f>
        <v>0.45589259375000002</v>
      </c>
    </row>
    <row r="16" spans="1:18" ht="24.95" customHeight="1">
      <c r="A16" s="32" t="e">
        <v>#REF!</v>
      </c>
      <c r="B16" s="145" t="s">
        <v>23</v>
      </c>
      <c r="C16" s="145" t="s">
        <v>25</v>
      </c>
      <c r="D16" s="145" t="s">
        <v>25</v>
      </c>
      <c r="E16" s="145" t="s">
        <v>25</v>
      </c>
      <c r="F16" s="145" t="s">
        <v>31</v>
      </c>
      <c r="G16" s="145" t="s">
        <v>40</v>
      </c>
      <c r="H16" s="145"/>
      <c r="I16" s="145" t="s">
        <v>28</v>
      </c>
      <c r="J16" s="146" t="s">
        <v>29</v>
      </c>
      <c r="K16" s="147" t="s">
        <v>41</v>
      </c>
      <c r="L16" s="148">
        <v>80000000</v>
      </c>
      <c r="M16" s="148">
        <v>50728884</v>
      </c>
      <c r="N16" s="150">
        <f t="shared" si="0"/>
        <v>0.63411105000000001</v>
      </c>
      <c r="O16" s="148">
        <v>50728884</v>
      </c>
      <c r="P16" s="150">
        <f t="shared" si="0"/>
        <v>0.63411105000000001</v>
      </c>
      <c r="Q16" s="148">
        <v>50728884</v>
      </c>
      <c r="R16" s="150">
        <f t="shared" ref="R16" si="9">+Q16/$L16</f>
        <v>0.63411105000000001</v>
      </c>
    </row>
    <row r="17" spans="1:44" ht="24.95" customHeight="1">
      <c r="A17" s="32" t="e">
        <v>#REF!</v>
      </c>
      <c r="B17" s="145" t="s">
        <v>23</v>
      </c>
      <c r="C17" s="145" t="s">
        <v>25</v>
      </c>
      <c r="D17" s="145" t="s">
        <v>25</v>
      </c>
      <c r="E17" s="145" t="s">
        <v>25</v>
      </c>
      <c r="F17" s="145" t="s">
        <v>31</v>
      </c>
      <c r="G17" s="145" t="s">
        <v>42</v>
      </c>
      <c r="H17" s="145"/>
      <c r="I17" s="145" t="s">
        <v>28</v>
      </c>
      <c r="J17" s="146" t="s">
        <v>29</v>
      </c>
      <c r="K17" s="147" t="s">
        <v>43</v>
      </c>
      <c r="L17" s="148">
        <v>2768300000</v>
      </c>
      <c r="M17" s="148">
        <v>38153529</v>
      </c>
      <c r="N17" s="150">
        <f t="shared" si="0"/>
        <v>1.3782295632698768E-2</v>
      </c>
      <c r="O17" s="148">
        <v>38153529</v>
      </c>
      <c r="P17" s="150">
        <f t="shared" si="0"/>
        <v>1.3782295632698768E-2</v>
      </c>
      <c r="Q17" s="148">
        <v>38153529</v>
      </c>
      <c r="R17" s="150">
        <f t="shared" ref="R17" si="10">+Q17/$L17</f>
        <v>1.3782295632698768E-2</v>
      </c>
    </row>
    <row r="18" spans="1:44" ht="24.95" customHeight="1">
      <c r="A18" s="32" t="e">
        <v>#REF!</v>
      </c>
      <c r="B18" s="145" t="s">
        <v>23</v>
      </c>
      <c r="C18" s="145" t="s">
        <v>25</v>
      </c>
      <c r="D18" s="145" t="s">
        <v>25</v>
      </c>
      <c r="E18" s="145" t="s">
        <v>25</v>
      </c>
      <c r="F18" s="145" t="s">
        <v>31</v>
      </c>
      <c r="G18" s="145" t="s">
        <v>44</v>
      </c>
      <c r="H18" s="145"/>
      <c r="I18" s="145" t="s">
        <v>28</v>
      </c>
      <c r="J18" s="146" t="s">
        <v>29</v>
      </c>
      <c r="K18" s="147" t="s">
        <v>45</v>
      </c>
      <c r="L18" s="148">
        <v>1757500000</v>
      </c>
      <c r="M18" s="148">
        <v>953444102</v>
      </c>
      <c r="N18" s="150">
        <f t="shared" si="0"/>
        <v>0.54250020028449497</v>
      </c>
      <c r="O18" s="148">
        <v>953444102</v>
      </c>
      <c r="P18" s="150">
        <f t="shared" si="0"/>
        <v>0.54250020028449497</v>
      </c>
      <c r="Q18" s="148">
        <v>953444102</v>
      </c>
      <c r="R18" s="150">
        <f t="shared" ref="R18" si="11">+Q18/$L18</f>
        <v>0.54250020028449497</v>
      </c>
    </row>
    <row r="19" spans="1:44" ht="24.95" customHeight="1">
      <c r="A19" s="32" t="e">
        <v>#REF!</v>
      </c>
      <c r="B19" s="145" t="s">
        <v>23</v>
      </c>
      <c r="C19" s="145" t="s">
        <v>25</v>
      </c>
      <c r="D19" s="145" t="s">
        <v>25</v>
      </c>
      <c r="E19" s="145" t="s">
        <v>25</v>
      </c>
      <c r="F19" s="145" t="s">
        <v>31</v>
      </c>
      <c r="G19" s="145" t="s">
        <v>46</v>
      </c>
      <c r="H19" s="145"/>
      <c r="I19" s="145" t="s">
        <v>28</v>
      </c>
      <c r="J19" s="146" t="s">
        <v>29</v>
      </c>
      <c r="K19" s="147" t="s">
        <v>47</v>
      </c>
      <c r="L19" s="148">
        <v>210000000</v>
      </c>
      <c r="M19" s="148">
        <v>37199427</v>
      </c>
      <c r="N19" s="150">
        <f t="shared" si="0"/>
        <v>0.17714012857142858</v>
      </c>
      <c r="O19" s="148">
        <v>37199427</v>
      </c>
      <c r="P19" s="150">
        <f t="shared" si="0"/>
        <v>0.17714012857142858</v>
      </c>
      <c r="Q19" s="148">
        <v>37199427</v>
      </c>
      <c r="R19" s="150">
        <f t="shared" ref="R19" si="12">+Q19/$L19</f>
        <v>0.17714012857142858</v>
      </c>
    </row>
    <row r="20" spans="1:44" ht="24.95" customHeight="1">
      <c r="A20" s="32" t="e">
        <v>#REF!</v>
      </c>
      <c r="B20" s="145" t="s">
        <v>23</v>
      </c>
      <c r="C20" s="145" t="s">
        <v>25</v>
      </c>
      <c r="D20" s="145" t="s">
        <v>25</v>
      </c>
      <c r="E20" s="145" t="s">
        <v>25</v>
      </c>
      <c r="F20" s="145" t="s">
        <v>31</v>
      </c>
      <c r="G20" s="145" t="s">
        <v>48</v>
      </c>
      <c r="H20" s="145"/>
      <c r="I20" s="145" t="s">
        <v>28</v>
      </c>
      <c r="J20" s="146" t="s">
        <v>29</v>
      </c>
      <c r="K20" s="147" t="s">
        <v>49</v>
      </c>
      <c r="L20" s="148">
        <v>4780500000</v>
      </c>
      <c r="M20" s="148">
        <v>21764640</v>
      </c>
      <c r="N20" s="150">
        <f t="shared" si="0"/>
        <v>4.552795732663947E-3</v>
      </c>
      <c r="O20" s="148">
        <v>21764640</v>
      </c>
      <c r="P20" s="150">
        <f t="shared" si="0"/>
        <v>4.552795732663947E-3</v>
      </c>
      <c r="Q20" s="148">
        <v>21764640</v>
      </c>
      <c r="R20" s="150">
        <f t="shared" ref="R20" si="13">+Q20/$L20</f>
        <v>4.552795732663947E-3</v>
      </c>
    </row>
    <row r="21" spans="1:44" ht="24.95" customHeight="1">
      <c r="A21" s="32" t="e">
        <v>#REF!</v>
      </c>
      <c r="B21" s="145" t="s">
        <v>23</v>
      </c>
      <c r="C21" s="145" t="s">
        <v>25</v>
      </c>
      <c r="D21" s="145" t="s">
        <v>25</v>
      </c>
      <c r="E21" s="145" t="s">
        <v>25</v>
      </c>
      <c r="F21" s="145" t="s">
        <v>31</v>
      </c>
      <c r="G21" s="145" t="s">
        <v>50</v>
      </c>
      <c r="H21" s="145"/>
      <c r="I21" s="145" t="s">
        <v>28</v>
      </c>
      <c r="J21" s="146" t="s">
        <v>29</v>
      </c>
      <c r="K21" s="147" t="s">
        <v>51</v>
      </c>
      <c r="L21" s="148">
        <v>1676700000</v>
      </c>
      <c r="M21" s="148">
        <v>1085525647</v>
      </c>
      <c r="N21" s="150">
        <f t="shared" si="0"/>
        <v>0.64741793224786781</v>
      </c>
      <c r="O21" s="148">
        <v>1085525647</v>
      </c>
      <c r="P21" s="150">
        <f t="shared" si="0"/>
        <v>0.64741793224786781</v>
      </c>
      <c r="Q21" s="148">
        <v>1085525647</v>
      </c>
      <c r="R21" s="150">
        <f t="shared" ref="R21" si="14">+Q21/$L21</f>
        <v>0.64741793224786781</v>
      </c>
    </row>
    <row r="22" spans="1:44" s="64" customFormat="1" ht="24.95" customHeight="1">
      <c r="A22" s="32" t="e">
        <v>#REF!</v>
      </c>
      <c r="B22" s="145" t="s">
        <v>23</v>
      </c>
      <c r="C22" s="145" t="s">
        <v>25</v>
      </c>
      <c r="D22" s="145" t="s">
        <v>25</v>
      </c>
      <c r="E22" s="145" t="s">
        <v>25</v>
      </c>
      <c r="F22" s="145" t="s">
        <v>31</v>
      </c>
      <c r="G22" s="151" t="s">
        <v>52</v>
      </c>
      <c r="H22" s="145"/>
      <c r="I22" s="145" t="s">
        <v>28</v>
      </c>
      <c r="J22" s="146" t="s">
        <v>29</v>
      </c>
      <c r="K22" s="147" t="s">
        <v>53</v>
      </c>
      <c r="L22" s="148">
        <v>52000000</v>
      </c>
      <c r="M22" s="148">
        <v>13686439</v>
      </c>
      <c r="N22" s="150">
        <f t="shared" si="0"/>
        <v>0.26320074999999998</v>
      </c>
      <c r="O22" s="148">
        <v>13686439</v>
      </c>
      <c r="P22" s="150">
        <f t="shared" si="0"/>
        <v>0.26320074999999998</v>
      </c>
      <c r="Q22" s="148">
        <v>13686439</v>
      </c>
      <c r="R22" s="150">
        <f t="shared" ref="R22" si="15">+Q22/$L22</f>
        <v>0.26320074999999998</v>
      </c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pans="1:44" ht="24.95" customHeight="1">
      <c r="A23" s="32" t="e">
        <v>#REF!</v>
      </c>
      <c r="B23" s="133" t="s">
        <v>23</v>
      </c>
      <c r="C23" s="133" t="s">
        <v>25</v>
      </c>
      <c r="D23" s="133" t="s">
        <v>25</v>
      </c>
      <c r="E23" s="133" t="s">
        <v>54</v>
      </c>
      <c r="F23" s="134"/>
      <c r="G23" s="134"/>
      <c r="H23" s="134"/>
      <c r="I23" s="133" t="s">
        <v>28</v>
      </c>
      <c r="J23" s="134" t="s">
        <v>29</v>
      </c>
      <c r="K23" s="134" t="s">
        <v>55</v>
      </c>
      <c r="L23" s="135">
        <v>28758000000</v>
      </c>
      <c r="M23" s="135">
        <v>15368285800</v>
      </c>
      <c r="N23" s="137">
        <f t="shared" si="0"/>
        <v>0.53440036859308715</v>
      </c>
      <c r="O23" s="135">
        <v>11655482572</v>
      </c>
      <c r="P23" s="137">
        <f t="shared" si="0"/>
        <v>0.4052953116350233</v>
      </c>
      <c r="Q23" s="135">
        <v>11655482572</v>
      </c>
      <c r="R23" s="137">
        <f t="shared" ref="R23" si="16">+Q23/$L23</f>
        <v>0.4052953116350233</v>
      </c>
    </row>
    <row r="24" spans="1:44" ht="24.95" customHeight="1">
      <c r="A24" s="32" t="e">
        <v>#REF!</v>
      </c>
      <c r="B24" s="145" t="s">
        <v>23</v>
      </c>
      <c r="C24" s="145" t="s">
        <v>25</v>
      </c>
      <c r="D24" s="145" t="s">
        <v>25</v>
      </c>
      <c r="E24" s="145" t="s">
        <v>54</v>
      </c>
      <c r="F24" s="145" t="s">
        <v>31</v>
      </c>
      <c r="G24" s="145"/>
      <c r="H24" s="145"/>
      <c r="I24" s="145" t="s">
        <v>28</v>
      </c>
      <c r="J24" s="146" t="s">
        <v>29</v>
      </c>
      <c r="K24" s="147" t="s">
        <v>56</v>
      </c>
      <c r="L24" s="148">
        <v>7690200000</v>
      </c>
      <c r="M24" s="148">
        <v>3578869300</v>
      </c>
      <c r="N24" s="150">
        <f t="shared" si="0"/>
        <v>0.46538052326337415</v>
      </c>
      <c r="O24" s="148">
        <v>3578869300</v>
      </c>
      <c r="P24" s="150">
        <f t="shared" si="0"/>
        <v>0.46538052326337415</v>
      </c>
      <c r="Q24" s="148">
        <v>3578869300</v>
      </c>
      <c r="R24" s="150">
        <f t="shared" ref="R24" si="17">+Q24/$L24</f>
        <v>0.46538052326337415</v>
      </c>
    </row>
    <row r="25" spans="1:44" ht="24.95" customHeight="1">
      <c r="A25" s="32" t="e">
        <v>#REF!</v>
      </c>
      <c r="B25" s="145" t="s">
        <v>23</v>
      </c>
      <c r="C25" s="145" t="s">
        <v>25</v>
      </c>
      <c r="D25" s="145" t="s">
        <v>25</v>
      </c>
      <c r="E25" s="145" t="s">
        <v>54</v>
      </c>
      <c r="F25" s="145" t="s">
        <v>34</v>
      </c>
      <c r="G25" s="145"/>
      <c r="H25" s="145"/>
      <c r="I25" s="145" t="s">
        <v>28</v>
      </c>
      <c r="J25" s="146" t="s">
        <v>29</v>
      </c>
      <c r="K25" s="147" t="s">
        <v>57</v>
      </c>
      <c r="L25" s="148">
        <v>5447200000</v>
      </c>
      <c r="M25" s="148">
        <v>2542693700</v>
      </c>
      <c r="N25" s="150">
        <f t="shared" si="0"/>
        <v>0.46678912101630193</v>
      </c>
      <c r="O25" s="148">
        <v>2542693700</v>
      </c>
      <c r="P25" s="150">
        <f t="shared" si="0"/>
        <v>0.46678912101630193</v>
      </c>
      <c r="Q25" s="148">
        <v>2542693700</v>
      </c>
      <c r="R25" s="150">
        <f t="shared" ref="R25" si="18">+Q25/$L25</f>
        <v>0.46678912101630193</v>
      </c>
    </row>
    <row r="26" spans="1:44" ht="24.95" customHeight="1">
      <c r="A26" s="32" t="e">
        <v>#REF!</v>
      </c>
      <c r="B26" s="145" t="s">
        <v>23</v>
      </c>
      <c r="C26" s="145" t="s">
        <v>25</v>
      </c>
      <c r="D26" s="145" t="s">
        <v>25</v>
      </c>
      <c r="E26" s="145" t="s">
        <v>54</v>
      </c>
      <c r="F26" s="145" t="s">
        <v>36</v>
      </c>
      <c r="G26" s="145"/>
      <c r="H26" s="145"/>
      <c r="I26" s="145" t="s">
        <v>28</v>
      </c>
      <c r="J26" s="146" t="s">
        <v>29</v>
      </c>
      <c r="K26" s="147" t="s">
        <v>58</v>
      </c>
      <c r="L26" s="148">
        <v>8895400000</v>
      </c>
      <c r="M26" s="148">
        <v>6200000000</v>
      </c>
      <c r="N26" s="150">
        <f t="shared" si="0"/>
        <v>0.69698945522404843</v>
      </c>
      <c r="O26" s="148">
        <v>2487302972</v>
      </c>
      <c r="P26" s="150">
        <f t="shared" si="0"/>
        <v>0.27961676506958655</v>
      </c>
      <c r="Q26" s="148">
        <v>2487302972</v>
      </c>
      <c r="R26" s="150">
        <f t="shared" ref="R26" si="19">+Q26/$L26</f>
        <v>0.27961676506958655</v>
      </c>
    </row>
    <row r="27" spans="1:44" ht="24.95" customHeight="1">
      <c r="A27" s="32" t="e">
        <v>#REF!</v>
      </c>
      <c r="B27" s="145" t="s">
        <v>23</v>
      </c>
      <c r="C27" s="145" t="s">
        <v>25</v>
      </c>
      <c r="D27" s="145" t="s">
        <v>25</v>
      </c>
      <c r="E27" s="145" t="s">
        <v>54</v>
      </c>
      <c r="F27" s="145" t="s">
        <v>38</v>
      </c>
      <c r="G27" s="145"/>
      <c r="H27" s="145"/>
      <c r="I27" s="145" t="s">
        <v>28</v>
      </c>
      <c r="J27" s="146" t="s">
        <v>29</v>
      </c>
      <c r="K27" s="147" t="s">
        <v>59</v>
      </c>
      <c r="L27" s="148">
        <v>2732300000</v>
      </c>
      <c r="M27" s="148">
        <v>1237500800</v>
      </c>
      <c r="N27" s="150">
        <f t="shared" si="0"/>
        <v>0.45291541924386047</v>
      </c>
      <c r="O27" s="148">
        <v>1237500800</v>
      </c>
      <c r="P27" s="150">
        <f t="shared" si="0"/>
        <v>0.45291541924386047</v>
      </c>
      <c r="Q27" s="148">
        <v>1237500800</v>
      </c>
      <c r="R27" s="150">
        <f t="shared" ref="R27" si="20">+Q27/$L27</f>
        <v>0.45291541924386047</v>
      </c>
    </row>
    <row r="28" spans="1:44" ht="24.95" customHeight="1">
      <c r="A28" s="32" t="e">
        <v>#REF!</v>
      </c>
      <c r="B28" s="145" t="s">
        <v>23</v>
      </c>
      <c r="C28" s="145" t="s">
        <v>25</v>
      </c>
      <c r="D28" s="145" t="s">
        <v>25</v>
      </c>
      <c r="E28" s="145" t="s">
        <v>54</v>
      </c>
      <c r="F28" s="145" t="s">
        <v>40</v>
      </c>
      <c r="G28" s="145"/>
      <c r="H28" s="145"/>
      <c r="I28" s="145" t="s">
        <v>28</v>
      </c>
      <c r="J28" s="146" t="s">
        <v>29</v>
      </c>
      <c r="K28" s="147" t="s">
        <v>60</v>
      </c>
      <c r="L28" s="148">
        <v>540000000</v>
      </c>
      <c r="M28" s="148">
        <v>261203200</v>
      </c>
      <c r="N28" s="150">
        <f t="shared" si="0"/>
        <v>0.48370962962962966</v>
      </c>
      <c r="O28" s="148">
        <v>261203200</v>
      </c>
      <c r="P28" s="150">
        <f t="shared" si="0"/>
        <v>0.48370962962962966</v>
      </c>
      <c r="Q28" s="148">
        <v>261203200</v>
      </c>
      <c r="R28" s="150">
        <f t="shared" ref="R28" si="21">+Q28/$L28</f>
        <v>0.48370962962962966</v>
      </c>
    </row>
    <row r="29" spans="1:44" ht="24.95" customHeight="1">
      <c r="A29" s="32" t="e">
        <v>#REF!</v>
      </c>
      <c r="B29" s="145" t="s">
        <v>23</v>
      </c>
      <c r="C29" s="145" t="s">
        <v>25</v>
      </c>
      <c r="D29" s="145" t="s">
        <v>25</v>
      </c>
      <c r="E29" s="145" t="s">
        <v>54</v>
      </c>
      <c r="F29" s="145" t="s">
        <v>42</v>
      </c>
      <c r="G29" s="145"/>
      <c r="H29" s="145"/>
      <c r="I29" s="145" t="s">
        <v>28</v>
      </c>
      <c r="J29" s="146" t="s">
        <v>29</v>
      </c>
      <c r="K29" s="147" t="s">
        <v>61</v>
      </c>
      <c r="L29" s="148">
        <v>2071700000</v>
      </c>
      <c r="M29" s="148">
        <v>928262700</v>
      </c>
      <c r="N29" s="150">
        <f t="shared" si="0"/>
        <v>0.44806810831684124</v>
      </c>
      <c r="O29" s="148">
        <v>928262700</v>
      </c>
      <c r="P29" s="150">
        <f t="shared" si="0"/>
        <v>0.44806810831684124</v>
      </c>
      <c r="Q29" s="148">
        <v>928262700</v>
      </c>
      <c r="R29" s="150">
        <f t="shared" ref="R29" si="22">+Q29/$L29</f>
        <v>0.44806810831684124</v>
      </c>
    </row>
    <row r="30" spans="1:44" ht="24.95" customHeight="1">
      <c r="A30" s="32" t="e">
        <v>#REF!</v>
      </c>
      <c r="B30" s="145" t="s">
        <v>23</v>
      </c>
      <c r="C30" s="145" t="s">
        <v>25</v>
      </c>
      <c r="D30" s="145" t="s">
        <v>25</v>
      </c>
      <c r="E30" s="145" t="s">
        <v>54</v>
      </c>
      <c r="F30" s="145" t="s">
        <v>44</v>
      </c>
      <c r="G30" s="145"/>
      <c r="H30" s="145"/>
      <c r="I30" s="145" t="s">
        <v>28</v>
      </c>
      <c r="J30" s="146" t="s">
        <v>29</v>
      </c>
      <c r="K30" s="147" t="s">
        <v>62</v>
      </c>
      <c r="L30" s="148">
        <v>345300000</v>
      </c>
      <c r="M30" s="148">
        <v>155096500</v>
      </c>
      <c r="N30" s="150">
        <f t="shared" si="0"/>
        <v>0.44916449464233998</v>
      </c>
      <c r="O30" s="148">
        <v>154990300</v>
      </c>
      <c r="P30" s="150">
        <f t="shared" si="0"/>
        <v>0.44885693599768317</v>
      </c>
      <c r="Q30" s="148">
        <v>154990300</v>
      </c>
      <c r="R30" s="150">
        <f t="shared" ref="R30" si="23">+Q30/$L30</f>
        <v>0.44885693599768317</v>
      </c>
    </row>
    <row r="31" spans="1:44" ht="24.95" customHeight="1">
      <c r="A31" s="32" t="e">
        <v>#REF!</v>
      </c>
      <c r="B31" s="145" t="s">
        <v>23</v>
      </c>
      <c r="C31" s="145" t="s">
        <v>25</v>
      </c>
      <c r="D31" s="145" t="s">
        <v>25</v>
      </c>
      <c r="E31" s="145" t="s">
        <v>54</v>
      </c>
      <c r="F31" s="145" t="s">
        <v>46</v>
      </c>
      <c r="G31" s="145"/>
      <c r="H31" s="145"/>
      <c r="I31" s="145" t="s">
        <v>28</v>
      </c>
      <c r="J31" s="146" t="s">
        <v>29</v>
      </c>
      <c r="K31" s="147" t="s">
        <v>63</v>
      </c>
      <c r="L31" s="148">
        <v>345300000</v>
      </c>
      <c r="M31" s="148">
        <v>154990300</v>
      </c>
      <c r="N31" s="150">
        <f t="shared" si="0"/>
        <v>0.44885693599768317</v>
      </c>
      <c r="O31" s="148">
        <v>154990300</v>
      </c>
      <c r="P31" s="150">
        <f t="shared" si="0"/>
        <v>0.44885693599768317</v>
      </c>
      <c r="Q31" s="148">
        <v>154990300</v>
      </c>
      <c r="R31" s="150">
        <f t="shared" ref="R31" si="24">+Q31/$L31</f>
        <v>0.44885693599768317</v>
      </c>
    </row>
    <row r="32" spans="1:44" ht="24.75" customHeight="1">
      <c r="A32" s="32" t="e">
        <v>#REF!</v>
      </c>
      <c r="B32" s="145" t="s">
        <v>23</v>
      </c>
      <c r="C32" s="145" t="s">
        <v>25</v>
      </c>
      <c r="D32" s="145" t="s">
        <v>25</v>
      </c>
      <c r="E32" s="145" t="s">
        <v>54</v>
      </c>
      <c r="F32" s="145" t="s">
        <v>48</v>
      </c>
      <c r="G32" s="145"/>
      <c r="H32" s="145"/>
      <c r="I32" s="145" t="s">
        <v>28</v>
      </c>
      <c r="J32" s="146" t="s">
        <v>29</v>
      </c>
      <c r="K32" s="147" t="s">
        <v>64</v>
      </c>
      <c r="L32" s="148">
        <v>690600000</v>
      </c>
      <c r="M32" s="148">
        <v>309669300</v>
      </c>
      <c r="N32" s="150">
        <f t="shared" si="0"/>
        <v>0.44840616854908777</v>
      </c>
      <c r="O32" s="148">
        <v>309669300</v>
      </c>
      <c r="P32" s="150">
        <f t="shared" si="0"/>
        <v>0.44840616854908777</v>
      </c>
      <c r="Q32" s="148">
        <v>309669300</v>
      </c>
      <c r="R32" s="150">
        <f t="shared" ref="R32" si="25">+Q32/$L32</f>
        <v>0.44840616854908777</v>
      </c>
    </row>
    <row r="33" spans="1:18" ht="24.95" customHeight="1">
      <c r="A33" s="32" t="e">
        <v>#REF!</v>
      </c>
      <c r="B33" s="133" t="s">
        <v>23</v>
      </c>
      <c r="C33" s="133" t="s">
        <v>25</v>
      </c>
      <c r="D33" s="133" t="s">
        <v>25</v>
      </c>
      <c r="E33" s="133" t="s">
        <v>65</v>
      </c>
      <c r="F33" s="133"/>
      <c r="G33" s="134"/>
      <c r="H33" s="134"/>
      <c r="I33" s="133" t="s">
        <v>28</v>
      </c>
      <c r="J33" s="134" t="s">
        <v>29</v>
      </c>
      <c r="K33" s="134" t="s">
        <v>66</v>
      </c>
      <c r="L33" s="135">
        <v>7153000000</v>
      </c>
      <c r="M33" s="135">
        <v>3601038753</v>
      </c>
      <c r="N33" s="137">
        <f t="shared" si="0"/>
        <v>0.50343055403327275</v>
      </c>
      <c r="O33" s="135">
        <v>3598713423</v>
      </c>
      <c r="P33" s="137">
        <f t="shared" si="0"/>
        <v>0.5031054694533762</v>
      </c>
      <c r="Q33" s="135">
        <v>3598713423</v>
      </c>
      <c r="R33" s="137">
        <f t="shared" ref="R33" si="26">+Q33/$L33</f>
        <v>0.5031054694533762</v>
      </c>
    </row>
    <row r="34" spans="1:18" ht="24.95" customHeight="1">
      <c r="A34" s="32" t="e">
        <v>#REF!</v>
      </c>
      <c r="B34" s="139" t="s">
        <v>23</v>
      </c>
      <c r="C34" s="139" t="s">
        <v>25</v>
      </c>
      <c r="D34" s="139" t="s">
        <v>25</v>
      </c>
      <c r="E34" s="139" t="s">
        <v>65</v>
      </c>
      <c r="F34" s="139" t="s">
        <v>31</v>
      </c>
      <c r="G34" s="140"/>
      <c r="H34" s="140"/>
      <c r="I34" s="139" t="s">
        <v>28</v>
      </c>
      <c r="J34" s="140" t="s">
        <v>29</v>
      </c>
      <c r="K34" s="140" t="s">
        <v>67</v>
      </c>
      <c r="L34" s="141">
        <v>3551000000</v>
      </c>
      <c r="M34" s="141">
        <v>1716330438</v>
      </c>
      <c r="N34" s="143">
        <f t="shared" si="0"/>
        <v>0.4833372114897212</v>
      </c>
      <c r="O34" s="141">
        <v>1716330438</v>
      </c>
      <c r="P34" s="143">
        <f t="shared" si="0"/>
        <v>0.4833372114897212</v>
      </c>
      <c r="Q34" s="141">
        <v>1716330438</v>
      </c>
      <c r="R34" s="143">
        <f t="shared" ref="R34" si="27">+Q34/$L34</f>
        <v>0.4833372114897212</v>
      </c>
    </row>
    <row r="35" spans="1:18" ht="24.95" customHeight="1">
      <c r="A35" s="32" t="e">
        <v>#REF!</v>
      </c>
      <c r="B35" s="145" t="s">
        <v>23</v>
      </c>
      <c r="C35" s="145" t="s">
        <v>25</v>
      </c>
      <c r="D35" s="145" t="s">
        <v>25</v>
      </c>
      <c r="E35" s="145" t="s">
        <v>65</v>
      </c>
      <c r="F35" s="145" t="s">
        <v>31</v>
      </c>
      <c r="G35" s="145" t="s">
        <v>31</v>
      </c>
      <c r="H35" s="145"/>
      <c r="I35" s="145" t="s">
        <v>28</v>
      </c>
      <c r="J35" s="146" t="s">
        <v>29</v>
      </c>
      <c r="K35" s="147" t="s">
        <v>68</v>
      </c>
      <c r="L35" s="148">
        <v>2801000000</v>
      </c>
      <c r="M35" s="148">
        <v>1407750829</v>
      </c>
      <c r="N35" s="150">
        <f t="shared" si="0"/>
        <v>0.50258865726526236</v>
      </c>
      <c r="O35" s="148">
        <v>1407750829</v>
      </c>
      <c r="P35" s="150">
        <f t="shared" si="0"/>
        <v>0.50258865726526236</v>
      </c>
      <c r="Q35" s="148">
        <v>1407750829</v>
      </c>
      <c r="R35" s="150">
        <f t="shared" ref="R35" si="28">+Q35/$L35</f>
        <v>0.50258865726526236</v>
      </c>
    </row>
    <row r="36" spans="1:18" ht="24.95" customHeight="1">
      <c r="A36" s="32" t="e">
        <v>#REF!</v>
      </c>
      <c r="B36" s="145" t="s">
        <v>23</v>
      </c>
      <c r="C36" s="145" t="s">
        <v>25</v>
      </c>
      <c r="D36" s="145" t="s">
        <v>25</v>
      </c>
      <c r="E36" s="145" t="s">
        <v>65</v>
      </c>
      <c r="F36" s="145" t="s">
        <v>31</v>
      </c>
      <c r="G36" s="145" t="s">
        <v>34</v>
      </c>
      <c r="H36" s="145"/>
      <c r="I36" s="145" t="s">
        <v>28</v>
      </c>
      <c r="J36" s="146" t="s">
        <v>29</v>
      </c>
      <c r="K36" s="147" t="s">
        <v>69</v>
      </c>
      <c r="L36" s="148">
        <v>400000000</v>
      </c>
      <c r="M36" s="148">
        <v>175148710</v>
      </c>
      <c r="N36" s="150">
        <f t="shared" si="0"/>
        <v>0.43787177500000002</v>
      </c>
      <c r="O36" s="148">
        <v>175148710</v>
      </c>
      <c r="P36" s="150">
        <f t="shared" si="0"/>
        <v>0.43787177500000002</v>
      </c>
      <c r="Q36" s="148">
        <v>175148710</v>
      </c>
      <c r="R36" s="150">
        <f t="shared" ref="R36" si="29">+Q36/$L36</f>
        <v>0.43787177500000002</v>
      </c>
    </row>
    <row r="37" spans="1:18" ht="24.95" customHeight="1">
      <c r="A37" s="32" t="e">
        <v>#REF!</v>
      </c>
      <c r="B37" s="145" t="s">
        <v>23</v>
      </c>
      <c r="C37" s="145" t="s">
        <v>25</v>
      </c>
      <c r="D37" s="145" t="s">
        <v>25</v>
      </c>
      <c r="E37" s="145" t="s">
        <v>65</v>
      </c>
      <c r="F37" s="145" t="s">
        <v>31</v>
      </c>
      <c r="G37" s="145" t="s">
        <v>36</v>
      </c>
      <c r="H37" s="145"/>
      <c r="I37" s="145" t="s">
        <v>28</v>
      </c>
      <c r="J37" s="146" t="s">
        <v>29</v>
      </c>
      <c r="K37" s="147" t="s">
        <v>70</v>
      </c>
      <c r="L37" s="148">
        <v>350000000</v>
      </c>
      <c r="M37" s="148">
        <v>133430899</v>
      </c>
      <c r="N37" s="150">
        <f t="shared" si="0"/>
        <v>0.38123114000000002</v>
      </c>
      <c r="O37" s="148">
        <v>133430899</v>
      </c>
      <c r="P37" s="150">
        <f t="shared" si="0"/>
        <v>0.38123114000000002</v>
      </c>
      <c r="Q37" s="148">
        <v>133430899</v>
      </c>
      <c r="R37" s="150">
        <f t="shared" ref="R37" si="30">+Q37/$L37</f>
        <v>0.38123114000000002</v>
      </c>
    </row>
    <row r="38" spans="1:18" ht="24.95" customHeight="1">
      <c r="A38" s="32" t="e">
        <v>#REF!</v>
      </c>
      <c r="B38" s="145" t="s">
        <v>23</v>
      </c>
      <c r="C38" s="145" t="s">
        <v>25</v>
      </c>
      <c r="D38" s="145" t="s">
        <v>25</v>
      </c>
      <c r="E38" s="145" t="s">
        <v>65</v>
      </c>
      <c r="F38" s="145" t="s">
        <v>34</v>
      </c>
      <c r="G38" s="145"/>
      <c r="H38" s="145"/>
      <c r="I38" s="145" t="s">
        <v>28</v>
      </c>
      <c r="J38" s="146" t="s">
        <v>29</v>
      </c>
      <c r="K38" s="147" t="s">
        <v>71</v>
      </c>
      <c r="L38" s="148">
        <v>2160000000</v>
      </c>
      <c r="M38" s="148">
        <v>1189204458</v>
      </c>
      <c r="N38" s="150">
        <f t="shared" si="0"/>
        <v>0.55055761944444448</v>
      </c>
      <c r="O38" s="148">
        <v>1189204458</v>
      </c>
      <c r="P38" s="150">
        <f t="shared" si="0"/>
        <v>0.55055761944444448</v>
      </c>
      <c r="Q38" s="148">
        <v>1189204458</v>
      </c>
      <c r="R38" s="150">
        <f t="shared" ref="R38" si="31">+Q38/$L38</f>
        <v>0.55055761944444448</v>
      </c>
    </row>
    <row r="39" spans="1:18" ht="24.95" customHeight="1">
      <c r="A39" s="32" t="e">
        <v>#REF!</v>
      </c>
      <c r="B39" s="145" t="s">
        <v>23</v>
      </c>
      <c r="C39" s="145" t="s">
        <v>25</v>
      </c>
      <c r="D39" s="145" t="s">
        <v>25</v>
      </c>
      <c r="E39" s="145" t="s">
        <v>65</v>
      </c>
      <c r="F39" s="145" t="s">
        <v>40</v>
      </c>
      <c r="G39" s="145"/>
      <c r="H39" s="145"/>
      <c r="I39" s="145" t="s">
        <v>28</v>
      </c>
      <c r="J39" s="146" t="s">
        <v>29</v>
      </c>
      <c r="K39" s="147" t="s">
        <v>72</v>
      </c>
      <c r="L39" s="148">
        <v>12000000</v>
      </c>
      <c r="M39" s="148">
        <v>2044245</v>
      </c>
      <c r="N39" s="150">
        <f t="shared" si="0"/>
        <v>0.17035375</v>
      </c>
      <c r="O39" s="148">
        <v>2044245</v>
      </c>
      <c r="P39" s="150">
        <f t="shared" si="0"/>
        <v>0.17035375</v>
      </c>
      <c r="Q39" s="148">
        <v>2044245</v>
      </c>
      <c r="R39" s="150">
        <f t="shared" ref="R39" si="32">+Q39/$L39</f>
        <v>0.17035375</v>
      </c>
    </row>
    <row r="40" spans="1:18" ht="24.95" customHeight="1">
      <c r="A40" s="32" t="e">
        <v>#REF!</v>
      </c>
      <c r="B40" s="145" t="s">
        <v>23</v>
      </c>
      <c r="C40" s="145" t="s">
        <v>25</v>
      </c>
      <c r="D40" s="145" t="s">
        <v>25</v>
      </c>
      <c r="E40" s="145" t="s">
        <v>65</v>
      </c>
      <c r="F40" s="145" t="s">
        <v>74</v>
      </c>
      <c r="G40" s="145"/>
      <c r="H40" s="145"/>
      <c r="I40" s="145" t="s">
        <v>28</v>
      </c>
      <c r="J40" s="146" t="s">
        <v>29</v>
      </c>
      <c r="K40" s="147" t="s">
        <v>75</v>
      </c>
      <c r="L40" s="148">
        <v>30000000</v>
      </c>
      <c r="M40" s="148">
        <v>0</v>
      </c>
      <c r="N40" s="150">
        <f t="shared" si="0"/>
        <v>0</v>
      </c>
      <c r="O40" s="148">
        <v>0</v>
      </c>
      <c r="P40" s="150">
        <f t="shared" si="0"/>
        <v>0</v>
      </c>
      <c r="Q40" s="148">
        <v>0</v>
      </c>
      <c r="R40" s="150">
        <f t="shared" ref="R40" si="33">+Q40/$L40</f>
        <v>0</v>
      </c>
    </row>
    <row r="41" spans="1:18" ht="24.95" customHeight="1">
      <c r="A41" s="32" t="e">
        <v>#REF!</v>
      </c>
      <c r="B41" s="145" t="s">
        <v>23</v>
      </c>
      <c r="C41" s="145" t="s">
        <v>25</v>
      </c>
      <c r="D41" s="145" t="s">
        <v>25</v>
      </c>
      <c r="E41" s="145" t="s">
        <v>65</v>
      </c>
      <c r="F41" s="145" t="s">
        <v>76</v>
      </c>
      <c r="G41" s="145"/>
      <c r="H41" s="145"/>
      <c r="I41" s="145" t="s">
        <v>28</v>
      </c>
      <c r="J41" s="146" t="s">
        <v>29</v>
      </c>
      <c r="K41" s="147" t="s">
        <v>77</v>
      </c>
      <c r="L41" s="148">
        <v>840000000</v>
      </c>
      <c r="M41" s="148">
        <v>415833741</v>
      </c>
      <c r="N41" s="150">
        <f t="shared" si="0"/>
        <v>0.49504016785714283</v>
      </c>
      <c r="O41" s="148">
        <v>413508411</v>
      </c>
      <c r="P41" s="150">
        <f t="shared" si="0"/>
        <v>0.49227191785714286</v>
      </c>
      <c r="Q41" s="148">
        <v>413508411</v>
      </c>
      <c r="R41" s="150">
        <f t="shared" ref="R41" si="34">+Q41/$L41</f>
        <v>0.49227191785714286</v>
      </c>
    </row>
    <row r="42" spans="1:18" ht="24.95" customHeight="1">
      <c r="A42" s="32" t="e">
        <v>#REF!</v>
      </c>
      <c r="B42" s="145" t="s">
        <v>23</v>
      </c>
      <c r="C42" s="145" t="s">
        <v>25</v>
      </c>
      <c r="D42" s="145" t="s">
        <v>25</v>
      </c>
      <c r="E42" s="145" t="s">
        <v>65</v>
      </c>
      <c r="F42" s="145" t="s">
        <v>78</v>
      </c>
      <c r="G42" s="145"/>
      <c r="H42" s="145"/>
      <c r="I42" s="145" t="s">
        <v>28</v>
      </c>
      <c r="J42" s="146" t="s">
        <v>29</v>
      </c>
      <c r="K42" s="147" t="s">
        <v>79</v>
      </c>
      <c r="L42" s="148">
        <v>560000000</v>
      </c>
      <c r="M42" s="148">
        <v>277625871</v>
      </c>
      <c r="N42" s="150">
        <f t="shared" si="0"/>
        <v>0.49576048392857142</v>
      </c>
      <c r="O42" s="148">
        <v>277625871</v>
      </c>
      <c r="P42" s="150">
        <f t="shared" si="0"/>
        <v>0.49576048392857142</v>
      </c>
      <c r="Q42" s="148">
        <v>277625871</v>
      </c>
      <c r="R42" s="150">
        <f t="shared" ref="R42" si="35">+Q42/$L42</f>
        <v>0.49576048392857142</v>
      </c>
    </row>
    <row r="43" spans="1:18" ht="24" customHeight="1">
      <c r="A43" s="32" t="e">
        <v>#REF!</v>
      </c>
      <c r="B43" s="123" t="s">
        <v>23</v>
      </c>
      <c r="C43" s="123" t="s">
        <v>54</v>
      </c>
      <c r="D43" s="123"/>
      <c r="E43" s="123"/>
      <c r="F43" s="123"/>
      <c r="G43" s="123"/>
      <c r="H43" s="123"/>
      <c r="I43" s="124"/>
      <c r="J43" s="124"/>
      <c r="K43" s="124" t="s">
        <v>80</v>
      </c>
      <c r="L43" s="125">
        <v>42289000000</v>
      </c>
      <c r="M43" s="125">
        <v>36619409710.839996</v>
      </c>
      <c r="N43" s="126">
        <f t="shared" si="0"/>
        <v>0.86593226869493245</v>
      </c>
      <c r="O43" s="125">
        <v>19361348625.869999</v>
      </c>
      <c r="P43" s="126">
        <f t="shared" si="0"/>
        <v>0.45783415606588002</v>
      </c>
      <c r="Q43" s="125">
        <v>19061166798.869999</v>
      </c>
      <c r="R43" s="126">
        <f t="shared" ref="R43" si="36">+Q43/$L43</f>
        <v>0.45073581306888316</v>
      </c>
    </row>
    <row r="44" spans="1:18" ht="24" customHeight="1">
      <c r="A44" s="32" t="e">
        <v>#REF!</v>
      </c>
      <c r="B44" s="128" t="s">
        <v>23</v>
      </c>
      <c r="C44" s="128" t="s">
        <v>54</v>
      </c>
      <c r="D44" s="128" t="s">
        <v>54</v>
      </c>
      <c r="E44" s="128"/>
      <c r="F44" s="128"/>
      <c r="G44" s="128"/>
      <c r="H44" s="128"/>
      <c r="I44" s="129"/>
      <c r="J44" s="129"/>
      <c r="K44" s="129" t="s">
        <v>86</v>
      </c>
      <c r="L44" s="130">
        <v>42289000000</v>
      </c>
      <c r="M44" s="130">
        <v>36619409710.839996</v>
      </c>
      <c r="N44" s="131">
        <f t="shared" si="0"/>
        <v>0.86593226869493245</v>
      </c>
      <c r="O44" s="130">
        <v>19361348625.869999</v>
      </c>
      <c r="P44" s="131">
        <f t="shared" si="0"/>
        <v>0.45783415606588002</v>
      </c>
      <c r="Q44" s="130">
        <v>19061166798.869999</v>
      </c>
      <c r="R44" s="131">
        <f t="shared" ref="R44" si="37">+Q44/$L44</f>
        <v>0.45073581306888316</v>
      </c>
    </row>
    <row r="45" spans="1:18" ht="24.95" customHeight="1">
      <c r="A45" s="32" t="e">
        <v>#REF!</v>
      </c>
      <c r="B45" s="133" t="s">
        <v>23</v>
      </c>
      <c r="C45" s="133" t="s">
        <v>54</v>
      </c>
      <c r="D45" s="133" t="s">
        <v>54</v>
      </c>
      <c r="E45" s="133" t="s">
        <v>25</v>
      </c>
      <c r="F45" s="133"/>
      <c r="G45" s="134"/>
      <c r="H45" s="134"/>
      <c r="I45" s="133" t="s">
        <v>28</v>
      </c>
      <c r="J45" s="134" t="s">
        <v>29</v>
      </c>
      <c r="K45" s="134" t="s">
        <v>87</v>
      </c>
      <c r="L45" s="135">
        <v>636462852</v>
      </c>
      <c r="M45" s="135">
        <v>141209037</v>
      </c>
      <c r="N45" s="137">
        <f t="shared" si="0"/>
        <v>0.22186532419962823</v>
      </c>
      <c r="O45" s="135">
        <v>31987303.050000001</v>
      </c>
      <c r="P45" s="137">
        <f t="shared" si="0"/>
        <v>5.0257926208079777E-2</v>
      </c>
      <c r="Q45" s="135">
        <v>31987303.050000001</v>
      </c>
      <c r="R45" s="137">
        <f t="shared" ref="R45" si="38">+Q45/$L45</f>
        <v>5.0257926208079777E-2</v>
      </c>
    </row>
    <row r="46" spans="1:18" ht="24.95" customHeight="1">
      <c r="A46" s="32" t="e">
        <v>#REF!</v>
      </c>
      <c r="B46" s="139" t="s">
        <v>23</v>
      </c>
      <c r="C46" s="139" t="s">
        <v>54</v>
      </c>
      <c r="D46" s="139" t="s">
        <v>54</v>
      </c>
      <c r="E46" s="139" t="s">
        <v>25</v>
      </c>
      <c r="F46" s="139" t="s">
        <v>31</v>
      </c>
      <c r="G46" s="140"/>
      <c r="H46" s="140"/>
      <c r="I46" s="139" t="s">
        <v>28</v>
      </c>
      <c r="J46" s="140" t="s">
        <v>29</v>
      </c>
      <c r="K46" s="140" t="s">
        <v>88</v>
      </c>
      <c r="L46" s="141">
        <v>23000000</v>
      </c>
      <c r="M46" s="141">
        <v>11000000</v>
      </c>
      <c r="N46" s="143">
        <f t="shared" si="0"/>
        <v>0.47826086956521741</v>
      </c>
      <c r="O46" s="141">
        <v>0</v>
      </c>
      <c r="P46" s="143">
        <f t="shared" si="0"/>
        <v>0</v>
      </c>
      <c r="Q46" s="141">
        <v>0</v>
      </c>
      <c r="R46" s="143">
        <f t="shared" ref="R46" si="39">+Q46/$L46</f>
        <v>0</v>
      </c>
    </row>
    <row r="47" spans="1:18" ht="24.95" customHeight="1">
      <c r="A47" s="32" t="e">
        <v>#REF!</v>
      </c>
      <c r="B47" s="145" t="s">
        <v>23</v>
      </c>
      <c r="C47" s="145" t="s">
        <v>54</v>
      </c>
      <c r="D47" s="145" t="s">
        <v>54</v>
      </c>
      <c r="E47" s="145" t="s">
        <v>25</v>
      </c>
      <c r="F47" s="145" t="s">
        <v>31</v>
      </c>
      <c r="G47" s="145" t="s">
        <v>40</v>
      </c>
      <c r="H47" s="145"/>
      <c r="I47" s="145">
        <v>10</v>
      </c>
      <c r="J47" s="146" t="s">
        <v>29</v>
      </c>
      <c r="K47" s="147" t="s">
        <v>89</v>
      </c>
      <c r="L47" s="148">
        <v>11000000</v>
      </c>
      <c r="M47" s="148">
        <v>11000000</v>
      </c>
      <c r="N47" s="150">
        <f t="shared" si="0"/>
        <v>1</v>
      </c>
      <c r="O47" s="148">
        <v>0</v>
      </c>
      <c r="P47" s="150">
        <f t="shared" si="0"/>
        <v>0</v>
      </c>
      <c r="Q47" s="148">
        <v>0</v>
      </c>
      <c r="R47" s="150">
        <f t="shared" ref="R47" si="40">+Q47/$L47</f>
        <v>0</v>
      </c>
    </row>
    <row r="48" spans="1:18" ht="24.95" customHeight="1">
      <c r="A48" s="32" t="e">
        <v>#REF!</v>
      </c>
      <c r="B48" s="145" t="s">
        <v>23</v>
      </c>
      <c r="C48" s="145" t="s">
        <v>54</v>
      </c>
      <c r="D48" s="145" t="s">
        <v>54</v>
      </c>
      <c r="E48" s="145" t="s">
        <v>25</v>
      </c>
      <c r="F48" s="145" t="s">
        <v>31</v>
      </c>
      <c r="G48" s="145" t="s">
        <v>44</v>
      </c>
      <c r="H48" s="145"/>
      <c r="I48" s="145">
        <v>10</v>
      </c>
      <c r="J48" s="146" t="s">
        <v>29</v>
      </c>
      <c r="K48" s="147" t="s">
        <v>90</v>
      </c>
      <c r="L48" s="148">
        <v>12000000</v>
      </c>
      <c r="M48" s="148">
        <v>0</v>
      </c>
      <c r="N48" s="150">
        <f t="shared" si="0"/>
        <v>0</v>
      </c>
      <c r="O48" s="148">
        <v>0</v>
      </c>
      <c r="P48" s="150">
        <f t="shared" si="0"/>
        <v>0</v>
      </c>
      <c r="Q48" s="148">
        <v>0</v>
      </c>
      <c r="R48" s="150">
        <f t="shared" ref="R48" si="41">+Q48/$L48</f>
        <v>0</v>
      </c>
    </row>
    <row r="49" spans="1:18" ht="24.95" customHeight="1">
      <c r="A49" s="32" t="e">
        <v>#REF!</v>
      </c>
      <c r="B49" s="139" t="s">
        <v>23</v>
      </c>
      <c r="C49" s="139" t="s">
        <v>54</v>
      </c>
      <c r="D49" s="139" t="s">
        <v>54</v>
      </c>
      <c r="E49" s="139" t="s">
        <v>25</v>
      </c>
      <c r="F49" s="139" t="s">
        <v>34</v>
      </c>
      <c r="G49" s="140"/>
      <c r="H49" s="140"/>
      <c r="I49" s="139" t="s">
        <v>28</v>
      </c>
      <c r="J49" s="140" t="s">
        <v>29</v>
      </c>
      <c r="K49" s="140" t="s">
        <v>91</v>
      </c>
      <c r="L49" s="141">
        <v>141060000</v>
      </c>
      <c r="M49" s="141">
        <v>0</v>
      </c>
      <c r="N49" s="143">
        <f t="shared" si="0"/>
        <v>0</v>
      </c>
      <c r="O49" s="142">
        <v>0</v>
      </c>
      <c r="P49" s="143">
        <f t="shared" si="0"/>
        <v>0</v>
      </c>
      <c r="Q49" s="142">
        <v>0</v>
      </c>
      <c r="R49" s="143">
        <f t="shared" ref="R49" si="42">+Q49/$L49</f>
        <v>0</v>
      </c>
    </row>
    <row r="50" spans="1:18" ht="24.95" customHeight="1">
      <c r="A50" s="32" t="e">
        <v>#REF!</v>
      </c>
      <c r="B50" s="145" t="s">
        <v>23</v>
      </c>
      <c r="C50" s="145" t="s">
        <v>54</v>
      </c>
      <c r="D50" s="145" t="s">
        <v>54</v>
      </c>
      <c r="E50" s="145" t="s">
        <v>25</v>
      </c>
      <c r="F50" s="145" t="s">
        <v>34</v>
      </c>
      <c r="G50" s="145" t="s">
        <v>46</v>
      </c>
      <c r="H50" s="145"/>
      <c r="I50" s="145">
        <v>10</v>
      </c>
      <c r="J50" s="146" t="s">
        <v>29</v>
      </c>
      <c r="K50" s="147" t="s">
        <v>92</v>
      </c>
      <c r="L50" s="148">
        <v>141060000</v>
      </c>
      <c r="M50" s="148">
        <v>0</v>
      </c>
      <c r="N50" s="150">
        <f t="shared" si="0"/>
        <v>0</v>
      </c>
      <c r="O50" s="148">
        <v>0</v>
      </c>
      <c r="P50" s="150">
        <f t="shared" si="0"/>
        <v>0</v>
      </c>
      <c r="Q50" s="148">
        <v>0</v>
      </c>
      <c r="R50" s="150">
        <f t="shared" ref="R50" si="43">+Q50/$L50</f>
        <v>0</v>
      </c>
    </row>
    <row r="51" spans="1:18" ht="24.95" customHeight="1">
      <c r="A51" s="32" t="e">
        <v>#REF!</v>
      </c>
      <c r="B51" s="139" t="s">
        <v>23</v>
      </c>
      <c r="C51" s="139" t="s">
        <v>54</v>
      </c>
      <c r="D51" s="139" t="s">
        <v>54</v>
      </c>
      <c r="E51" s="139" t="s">
        <v>25</v>
      </c>
      <c r="F51" s="139" t="s">
        <v>36</v>
      </c>
      <c r="G51" s="140"/>
      <c r="H51" s="140"/>
      <c r="I51" s="139" t="s">
        <v>28</v>
      </c>
      <c r="J51" s="140" t="s">
        <v>29</v>
      </c>
      <c r="K51" s="140" t="s">
        <v>93</v>
      </c>
      <c r="L51" s="141">
        <v>373199927</v>
      </c>
      <c r="M51" s="141">
        <v>122209037</v>
      </c>
      <c r="N51" s="143">
        <f t="shared" si="0"/>
        <v>0.32746264979842826</v>
      </c>
      <c r="O51" s="141">
        <v>31987303.050000001</v>
      </c>
      <c r="P51" s="143">
        <f t="shared" si="0"/>
        <v>8.5710903823408305E-2</v>
      </c>
      <c r="Q51" s="141">
        <v>31987303.050000001</v>
      </c>
      <c r="R51" s="143">
        <f t="shared" ref="R51" si="44">+Q51/$L51</f>
        <v>8.5710903823408305E-2</v>
      </c>
    </row>
    <row r="52" spans="1:18" ht="24.95" customHeight="1">
      <c r="A52" s="32" t="e">
        <v>#REF!</v>
      </c>
      <c r="B52" s="145" t="s">
        <v>23</v>
      </c>
      <c r="C52" s="145" t="s">
        <v>54</v>
      </c>
      <c r="D52" s="145" t="s">
        <v>54</v>
      </c>
      <c r="E52" s="145" t="s">
        <v>25</v>
      </c>
      <c r="F52" s="145" t="s">
        <v>36</v>
      </c>
      <c r="G52" s="145" t="s">
        <v>34</v>
      </c>
      <c r="H52" s="145"/>
      <c r="I52" s="145">
        <v>10</v>
      </c>
      <c r="J52" s="146" t="s">
        <v>29</v>
      </c>
      <c r="K52" s="147" t="s">
        <v>94</v>
      </c>
      <c r="L52" s="148">
        <v>195500000</v>
      </c>
      <c r="M52" s="148">
        <v>3500000</v>
      </c>
      <c r="N52" s="150">
        <f t="shared" si="0"/>
        <v>1.7902813299232736E-2</v>
      </c>
      <c r="O52" s="148">
        <v>564656.01</v>
      </c>
      <c r="P52" s="150">
        <f t="shared" si="0"/>
        <v>2.8882660358056267E-3</v>
      </c>
      <c r="Q52" s="148">
        <v>564656.01</v>
      </c>
      <c r="R52" s="150">
        <f t="shared" ref="R52" si="45">+Q52/$L52</f>
        <v>2.8882660358056267E-3</v>
      </c>
    </row>
    <row r="53" spans="1:18" ht="24.95" customHeight="1">
      <c r="A53" s="32" t="e">
        <v>#REF!</v>
      </c>
      <c r="B53" s="145" t="s">
        <v>23</v>
      </c>
      <c r="C53" s="145" t="s">
        <v>54</v>
      </c>
      <c r="D53" s="145" t="s">
        <v>54</v>
      </c>
      <c r="E53" s="145" t="s">
        <v>25</v>
      </c>
      <c r="F53" s="145" t="s">
        <v>36</v>
      </c>
      <c r="G53" s="145" t="s">
        <v>36</v>
      </c>
      <c r="H53" s="145"/>
      <c r="I53" s="145">
        <v>10</v>
      </c>
      <c r="J53" s="146" t="s">
        <v>29</v>
      </c>
      <c r="K53" s="147" t="s">
        <v>95</v>
      </c>
      <c r="L53" s="148">
        <v>64823077</v>
      </c>
      <c r="M53" s="148">
        <v>41220582</v>
      </c>
      <c r="N53" s="150">
        <f t="shared" si="0"/>
        <v>0.63589363399087029</v>
      </c>
      <c r="O53" s="148">
        <v>20622161.82</v>
      </c>
      <c r="P53" s="150">
        <f t="shared" si="0"/>
        <v>0.318129943445912</v>
      </c>
      <c r="Q53" s="148">
        <v>20622161.82</v>
      </c>
      <c r="R53" s="150">
        <f t="shared" ref="R53" si="46">+Q53/$L53</f>
        <v>0.318129943445912</v>
      </c>
    </row>
    <row r="54" spans="1:18" ht="24.95" customHeight="1">
      <c r="A54" s="32" t="e">
        <v>#REF!</v>
      </c>
      <c r="B54" s="145" t="s">
        <v>23</v>
      </c>
      <c r="C54" s="145" t="s">
        <v>54</v>
      </c>
      <c r="D54" s="145" t="s">
        <v>54</v>
      </c>
      <c r="E54" s="145" t="s">
        <v>25</v>
      </c>
      <c r="F54" s="145" t="s">
        <v>36</v>
      </c>
      <c r="G54" s="145" t="s">
        <v>40</v>
      </c>
      <c r="H54" s="145"/>
      <c r="I54" s="145">
        <v>10</v>
      </c>
      <c r="J54" s="146" t="s">
        <v>29</v>
      </c>
      <c r="K54" s="147" t="s">
        <v>96</v>
      </c>
      <c r="L54" s="148">
        <v>26000000</v>
      </c>
      <c r="M54" s="148">
        <v>6000000</v>
      </c>
      <c r="N54" s="150">
        <f t="shared" si="0"/>
        <v>0.23076923076923078</v>
      </c>
      <c r="O54" s="148">
        <v>1248442.02</v>
      </c>
      <c r="P54" s="150">
        <f t="shared" si="0"/>
        <v>4.8017000769230767E-2</v>
      </c>
      <c r="Q54" s="148">
        <v>1248442.02</v>
      </c>
      <c r="R54" s="150">
        <f t="shared" ref="R54" si="47">+Q54/$L54</f>
        <v>4.8017000769230767E-2</v>
      </c>
    </row>
    <row r="55" spans="1:18" ht="24.95" customHeight="1">
      <c r="A55" s="32" t="e">
        <v>#REF!</v>
      </c>
      <c r="B55" s="145" t="s">
        <v>23</v>
      </c>
      <c r="C55" s="145" t="s">
        <v>54</v>
      </c>
      <c r="D55" s="145" t="s">
        <v>54</v>
      </c>
      <c r="E55" s="145" t="s">
        <v>25</v>
      </c>
      <c r="F55" s="145" t="s">
        <v>36</v>
      </c>
      <c r="G55" s="145" t="s">
        <v>42</v>
      </c>
      <c r="H55" s="145"/>
      <c r="I55" s="145">
        <v>10</v>
      </c>
      <c r="J55" s="146" t="s">
        <v>29</v>
      </c>
      <c r="K55" s="147" t="s">
        <v>97</v>
      </c>
      <c r="L55" s="148">
        <v>20000000</v>
      </c>
      <c r="M55" s="148">
        <v>20000000</v>
      </c>
      <c r="N55" s="150">
        <f t="shared" si="0"/>
        <v>1</v>
      </c>
      <c r="O55" s="148">
        <v>4639051.1100000003</v>
      </c>
      <c r="P55" s="150">
        <f t="shared" si="0"/>
        <v>0.23195255550000002</v>
      </c>
      <c r="Q55" s="148">
        <v>4639051.1100000003</v>
      </c>
      <c r="R55" s="150">
        <f t="shared" ref="R55" si="48">+Q55/$L55</f>
        <v>0.23195255550000002</v>
      </c>
    </row>
    <row r="56" spans="1:18" ht="24.95" hidden="1" customHeight="1">
      <c r="A56" s="32" t="e">
        <v>#REF!</v>
      </c>
      <c r="B56" s="145" t="s">
        <v>23</v>
      </c>
      <c r="C56" s="145" t="s">
        <v>54</v>
      </c>
      <c r="D56" s="145" t="s">
        <v>54</v>
      </c>
      <c r="E56" s="145" t="s">
        <v>25</v>
      </c>
      <c r="F56" s="145" t="s">
        <v>36</v>
      </c>
      <c r="G56" s="145" t="s">
        <v>44</v>
      </c>
      <c r="H56" s="145"/>
      <c r="I56" s="145">
        <v>10</v>
      </c>
      <c r="J56" s="146" t="s">
        <v>29</v>
      </c>
      <c r="K56" s="147" t="s">
        <v>98</v>
      </c>
      <c r="L56" s="148">
        <v>0</v>
      </c>
      <c r="M56" s="148">
        <v>0</v>
      </c>
      <c r="N56" s="150" t="e">
        <f t="shared" si="0"/>
        <v>#DIV/0!</v>
      </c>
      <c r="O56" s="148">
        <v>0</v>
      </c>
      <c r="P56" s="150" t="e">
        <f t="shared" si="0"/>
        <v>#DIV/0!</v>
      </c>
      <c r="Q56" s="148">
        <v>0</v>
      </c>
      <c r="R56" s="150" t="e">
        <f t="shared" ref="R56" si="49">+Q56/$L56</f>
        <v>#DIV/0!</v>
      </c>
    </row>
    <row r="57" spans="1:18" ht="24.95" customHeight="1">
      <c r="A57" s="32" t="e">
        <v>#REF!</v>
      </c>
      <c r="B57" s="145" t="s">
        <v>23</v>
      </c>
      <c r="C57" s="145" t="s">
        <v>54</v>
      </c>
      <c r="D57" s="145" t="s">
        <v>54</v>
      </c>
      <c r="E57" s="145" t="s">
        <v>25</v>
      </c>
      <c r="F57" s="145" t="s">
        <v>36</v>
      </c>
      <c r="G57" s="145" t="s">
        <v>46</v>
      </c>
      <c r="H57" s="145"/>
      <c r="I57" s="145">
        <v>10</v>
      </c>
      <c r="J57" s="146" t="s">
        <v>29</v>
      </c>
      <c r="K57" s="147" t="s">
        <v>99</v>
      </c>
      <c r="L57" s="148">
        <v>66876850</v>
      </c>
      <c r="M57" s="148">
        <v>51488455</v>
      </c>
      <c r="N57" s="150">
        <f t="shared" si="0"/>
        <v>0.76989952427484254</v>
      </c>
      <c r="O57" s="148">
        <v>4912992.09</v>
      </c>
      <c r="P57" s="150">
        <f t="shared" si="0"/>
        <v>7.3463270025427338E-2</v>
      </c>
      <c r="Q57" s="148">
        <v>4912992.09</v>
      </c>
      <c r="R57" s="150">
        <f t="shared" ref="R57" si="50">+Q57/$L57</f>
        <v>7.3463270025427338E-2</v>
      </c>
    </row>
    <row r="58" spans="1:18" ht="24.95" customHeight="1">
      <c r="A58" s="32" t="e">
        <v>#REF!</v>
      </c>
      <c r="B58" s="139" t="s">
        <v>23</v>
      </c>
      <c r="C58" s="139" t="s">
        <v>54</v>
      </c>
      <c r="D58" s="139" t="s">
        <v>54</v>
      </c>
      <c r="E58" s="139" t="s">
        <v>25</v>
      </c>
      <c r="F58" s="139" t="s">
        <v>38</v>
      </c>
      <c r="G58" s="140"/>
      <c r="H58" s="140"/>
      <c r="I58" s="139" t="s">
        <v>28</v>
      </c>
      <c r="J58" s="140" t="s">
        <v>29</v>
      </c>
      <c r="K58" s="140" t="s">
        <v>100</v>
      </c>
      <c r="L58" s="141">
        <v>99202925</v>
      </c>
      <c r="M58" s="141">
        <v>8000000</v>
      </c>
      <c r="N58" s="143">
        <f t="shared" si="0"/>
        <v>8.0642783466314122E-2</v>
      </c>
      <c r="O58" s="142">
        <v>0</v>
      </c>
      <c r="P58" s="143">
        <f t="shared" si="0"/>
        <v>0</v>
      </c>
      <c r="Q58" s="142">
        <v>0</v>
      </c>
      <c r="R58" s="143">
        <f t="shared" ref="R58" si="51">+Q58/$L58</f>
        <v>0</v>
      </c>
    </row>
    <row r="59" spans="1:18" ht="24.95" customHeight="1">
      <c r="A59" s="32" t="e">
        <v>#REF!</v>
      </c>
      <c r="B59" s="145" t="s">
        <v>23</v>
      </c>
      <c r="C59" s="145" t="s">
        <v>54</v>
      </c>
      <c r="D59" s="145" t="s">
        <v>54</v>
      </c>
      <c r="E59" s="145" t="s">
        <v>25</v>
      </c>
      <c r="F59" s="145" t="s">
        <v>38</v>
      </c>
      <c r="G59" s="145" t="s">
        <v>34</v>
      </c>
      <c r="H59" s="145"/>
      <c r="I59" s="145">
        <v>10</v>
      </c>
      <c r="J59" s="146" t="s">
        <v>29</v>
      </c>
      <c r="K59" s="147" t="s">
        <v>101</v>
      </c>
      <c r="L59" s="148">
        <v>20000000</v>
      </c>
      <c r="M59" s="148">
        <v>0</v>
      </c>
      <c r="N59" s="150">
        <f t="shared" si="0"/>
        <v>0</v>
      </c>
      <c r="O59" s="148">
        <v>0</v>
      </c>
      <c r="P59" s="150">
        <f t="shared" si="0"/>
        <v>0</v>
      </c>
      <c r="Q59" s="148">
        <v>0</v>
      </c>
      <c r="R59" s="150">
        <f t="shared" ref="R59" si="52">+Q59/$L59</f>
        <v>0</v>
      </c>
    </row>
    <row r="60" spans="1:18" ht="24.95" customHeight="1">
      <c r="A60" s="32" t="e">
        <v>#REF!</v>
      </c>
      <c r="B60" s="145" t="s">
        <v>23</v>
      </c>
      <c r="C60" s="145" t="s">
        <v>54</v>
      </c>
      <c r="D60" s="145" t="s">
        <v>54</v>
      </c>
      <c r="E60" s="145" t="s">
        <v>25</v>
      </c>
      <c r="F60" s="145" t="s">
        <v>38</v>
      </c>
      <c r="G60" s="145" t="s">
        <v>40</v>
      </c>
      <c r="H60" s="145"/>
      <c r="I60" s="145">
        <v>10</v>
      </c>
      <c r="J60" s="146" t="s">
        <v>29</v>
      </c>
      <c r="K60" s="147" t="s">
        <v>102</v>
      </c>
      <c r="L60" s="148">
        <v>1000000</v>
      </c>
      <c r="M60" s="148">
        <v>0</v>
      </c>
      <c r="N60" s="150">
        <f t="shared" si="0"/>
        <v>0</v>
      </c>
      <c r="O60" s="148">
        <v>0</v>
      </c>
      <c r="P60" s="150">
        <f t="shared" si="0"/>
        <v>0</v>
      </c>
      <c r="Q60" s="148">
        <v>0</v>
      </c>
      <c r="R60" s="150">
        <f t="shared" ref="R60" si="53">+Q60/$L60</f>
        <v>0</v>
      </c>
    </row>
    <row r="61" spans="1:18" ht="24.95" customHeight="1">
      <c r="A61" s="32" t="e">
        <v>#REF!</v>
      </c>
      <c r="B61" s="145" t="s">
        <v>23</v>
      </c>
      <c r="C61" s="145" t="s">
        <v>54</v>
      </c>
      <c r="D61" s="145" t="s">
        <v>54</v>
      </c>
      <c r="E61" s="145" t="s">
        <v>25</v>
      </c>
      <c r="F61" s="145" t="s">
        <v>38</v>
      </c>
      <c r="G61" s="145" t="s">
        <v>42</v>
      </c>
      <c r="H61" s="145"/>
      <c r="I61" s="145">
        <v>10</v>
      </c>
      <c r="J61" s="146" t="s">
        <v>29</v>
      </c>
      <c r="K61" s="147" t="s">
        <v>84</v>
      </c>
      <c r="L61" s="148">
        <v>28000000</v>
      </c>
      <c r="M61" s="148">
        <v>8000000</v>
      </c>
      <c r="N61" s="150">
        <f t="shared" si="0"/>
        <v>0.2857142857142857</v>
      </c>
      <c r="O61" s="148">
        <v>0</v>
      </c>
      <c r="P61" s="150">
        <f t="shared" si="0"/>
        <v>0</v>
      </c>
      <c r="Q61" s="148">
        <v>0</v>
      </c>
      <c r="R61" s="150">
        <f t="shared" ref="R61" si="54">+Q61/$L61</f>
        <v>0</v>
      </c>
    </row>
    <row r="62" spans="1:18" ht="24.95" customHeight="1">
      <c r="A62" s="32" t="e">
        <v>#REF!</v>
      </c>
      <c r="B62" s="145" t="s">
        <v>23</v>
      </c>
      <c r="C62" s="145" t="s">
        <v>54</v>
      </c>
      <c r="D62" s="145" t="s">
        <v>54</v>
      </c>
      <c r="E62" s="145" t="s">
        <v>25</v>
      </c>
      <c r="F62" s="145" t="s">
        <v>38</v>
      </c>
      <c r="G62" s="145" t="s">
        <v>44</v>
      </c>
      <c r="H62" s="145"/>
      <c r="I62" s="145">
        <v>10</v>
      </c>
      <c r="J62" s="146" t="s">
        <v>29</v>
      </c>
      <c r="K62" s="147" t="s">
        <v>85</v>
      </c>
      <c r="L62" s="148">
        <v>50202925</v>
      </c>
      <c r="M62" s="148">
        <v>0</v>
      </c>
      <c r="N62" s="150">
        <f t="shared" si="0"/>
        <v>0</v>
      </c>
      <c r="O62" s="148">
        <v>0</v>
      </c>
      <c r="P62" s="150">
        <f t="shared" si="0"/>
        <v>0</v>
      </c>
      <c r="Q62" s="148">
        <v>0</v>
      </c>
      <c r="R62" s="150">
        <f t="shared" ref="R62" si="55">+Q62/$L62</f>
        <v>0</v>
      </c>
    </row>
    <row r="63" spans="1:18" ht="24.95" hidden="1" customHeight="1">
      <c r="A63" s="32" t="e">
        <v>#REF!</v>
      </c>
      <c r="B63" s="145" t="s">
        <v>23</v>
      </c>
      <c r="C63" s="145" t="s">
        <v>54</v>
      </c>
      <c r="D63" s="145" t="s">
        <v>54</v>
      </c>
      <c r="E63" s="145" t="s">
        <v>25</v>
      </c>
      <c r="F63" s="145" t="s">
        <v>38</v>
      </c>
      <c r="G63" s="145" t="s">
        <v>46</v>
      </c>
      <c r="H63" s="145"/>
      <c r="I63" s="145">
        <v>10</v>
      </c>
      <c r="J63" s="146" t="s">
        <v>29</v>
      </c>
      <c r="K63" s="147" t="s">
        <v>258</v>
      </c>
      <c r="L63" s="148">
        <v>0</v>
      </c>
      <c r="M63" s="148">
        <v>0</v>
      </c>
      <c r="N63" s="150" t="e">
        <f t="shared" si="0"/>
        <v>#DIV/0!</v>
      </c>
      <c r="O63" s="148">
        <v>0</v>
      </c>
      <c r="P63" s="150" t="e">
        <f t="shared" si="0"/>
        <v>#DIV/0!</v>
      </c>
      <c r="Q63" s="148">
        <v>0</v>
      </c>
      <c r="R63" s="150" t="e">
        <f t="shared" ref="R63" si="56">+Q63/$L63</f>
        <v>#DIV/0!</v>
      </c>
    </row>
    <row r="64" spans="1:18" ht="24.95" customHeight="1">
      <c r="A64" s="32" t="e">
        <v>#REF!</v>
      </c>
      <c r="B64" s="133" t="s">
        <v>23</v>
      </c>
      <c r="C64" s="133" t="s">
        <v>54</v>
      </c>
      <c r="D64" s="133" t="s">
        <v>54</v>
      </c>
      <c r="E64" s="133" t="s">
        <v>54</v>
      </c>
      <c r="F64" s="133"/>
      <c r="G64" s="134"/>
      <c r="H64" s="134"/>
      <c r="I64" s="133" t="s">
        <v>28</v>
      </c>
      <c r="J64" s="134" t="s">
        <v>29</v>
      </c>
      <c r="K64" s="134" t="s">
        <v>103</v>
      </c>
      <c r="L64" s="135">
        <v>41652537148</v>
      </c>
      <c r="M64" s="135">
        <v>36478200673.839996</v>
      </c>
      <c r="N64" s="137">
        <f t="shared" si="0"/>
        <v>0.87577379846575665</v>
      </c>
      <c r="O64" s="135">
        <v>19329361322.82</v>
      </c>
      <c r="P64" s="137">
        <f t="shared" si="0"/>
        <v>0.46406203910553678</v>
      </c>
      <c r="Q64" s="135">
        <v>19029179495.82</v>
      </c>
      <c r="R64" s="137">
        <f t="shared" ref="R64" si="57">+Q64/$L64</f>
        <v>0.45685523136814993</v>
      </c>
    </row>
    <row r="65" spans="1:18" ht="24.95" customHeight="1">
      <c r="A65" s="32" t="e">
        <v>#REF!</v>
      </c>
      <c r="B65" s="139" t="s">
        <v>23</v>
      </c>
      <c r="C65" s="139" t="s">
        <v>54</v>
      </c>
      <c r="D65" s="139" t="s">
        <v>54</v>
      </c>
      <c r="E65" s="139" t="s">
        <v>54</v>
      </c>
      <c r="F65" s="139" t="s">
        <v>42</v>
      </c>
      <c r="G65" s="140"/>
      <c r="H65" s="140"/>
      <c r="I65" s="139" t="s">
        <v>28</v>
      </c>
      <c r="J65" s="140" t="s">
        <v>29</v>
      </c>
      <c r="K65" s="140" t="s">
        <v>104</v>
      </c>
      <c r="L65" s="141">
        <v>4850301878</v>
      </c>
      <c r="M65" s="141">
        <v>3506674627</v>
      </c>
      <c r="N65" s="143">
        <f t="shared" si="0"/>
        <v>0.72298069588319347</v>
      </c>
      <c r="O65" s="141">
        <v>2267415436.96</v>
      </c>
      <c r="P65" s="143">
        <f t="shared" si="0"/>
        <v>0.46747924026018739</v>
      </c>
      <c r="Q65" s="141">
        <v>2267387386.96</v>
      </c>
      <c r="R65" s="143">
        <f t="shared" ref="R65" si="58">+Q65/$L65</f>
        <v>0.46747345711499239</v>
      </c>
    </row>
    <row r="66" spans="1:18" ht="24.95" customHeight="1">
      <c r="A66" s="32" t="e">
        <v>#REF!</v>
      </c>
      <c r="B66" s="145" t="s">
        <v>23</v>
      </c>
      <c r="C66" s="145" t="s">
        <v>54</v>
      </c>
      <c r="D66" s="145" t="s">
        <v>54</v>
      </c>
      <c r="E66" s="145" t="s">
        <v>54</v>
      </c>
      <c r="F66" s="145" t="s">
        <v>42</v>
      </c>
      <c r="G66" s="145" t="s">
        <v>36</v>
      </c>
      <c r="H66" s="145"/>
      <c r="I66" s="145">
        <v>10</v>
      </c>
      <c r="J66" s="146" t="s">
        <v>29</v>
      </c>
      <c r="K66" s="147" t="s">
        <v>105</v>
      </c>
      <c r="L66" s="148">
        <v>116342700</v>
      </c>
      <c r="M66" s="148">
        <v>2000000</v>
      </c>
      <c r="N66" s="150">
        <f t="shared" si="0"/>
        <v>1.7190592963718394E-2</v>
      </c>
      <c r="O66" s="148">
        <v>2000000</v>
      </c>
      <c r="P66" s="150">
        <f t="shared" si="0"/>
        <v>1.7190592963718394E-2</v>
      </c>
      <c r="Q66" s="148">
        <v>2000000</v>
      </c>
      <c r="R66" s="150">
        <f t="shared" ref="R66" si="59">+Q66/$L66</f>
        <v>1.7190592963718394E-2</v>
      </c>
    </row>
    <row r="67" spans="1:18" ht="24.95" customHeight="1">
      <c r="A67" s="32" t="e">
        <v>#REF!</v>
      </c>
      <c r="B67" s="145" t="s">
        <v>23</v>
      </c>
      <c r="C67" s="145" t="s">
        <v>54</v>
      </c>
      <c r="D67" s="145" t="s">
        <v>54</v>
      </c>
      <c r="E67" s="145" t="s">
        <v>54</v>
      </c>
      <c r="F67" s="145" t="s">
        <v>42</v>
      </c>
      <c r="G67" s="145" t="s">
        <v>38</v>
      </c>
      <c r="H67" s="145"/>
      <c r="I67" s="145">
        <v>10</v>
      </c>
      <c r="J67" s="146" t="s">
        <v>29</v>
      </c>
      <c r="K67" s="147" t="s">
        <v>106</v>
      </c>
      <c r="L67" s="148">
        <v>1983583313</v>
      </c>
      <c r="M67" s="148">
        <v>1595495336</v>
      </c>
      <c r="N67" s="150">
        <f t="shared" si="0"/>
        <v>0.80435004950054245</v>
      </c>
      <c r="O67" s="148">
        <v>855643647</v>
      </c>
      <c r="P67" s="150">
        <f t="shared" si="0"/>
        <v>0.43136259585986947</v>
      </c>
      <c r="Q67" s="148">
        <v>855643647</v>
      </c>
      <c r="R67" s="150">
        <f t="shared" ref="R67" si="60">+Q67/$L67</f>
        <v>0.43136259585986947</v>
      </c>
    </row>
    <row r="68" spans="1:18" ht="24.95" customHeight="1">
      <c r="A68" s="32" t="e">
        <v>#REF!</v>
      </c>
      <c r="B68" s="145" t="s">
        <v>23</v>
      </c>
      <c r="C68" s="145" t="s">
        <v>54</v>
      </c>
      <c r="D68" s="145" t="s">
        <v>54</v>
      </c>
      <c r="E68" s="145" t="s">
        <v>54</v>
      </c>
      <c r="F68" s="145" t="s">
        <v>42</v>
      </c>
      <c r="G68" s="145" t="s">
        <v>40</v>
      </c>
      <c r="H68" s="145"/>
      <c r="I68" s="145">
        <v>10</v>
      </c>
      <c r="J68" s="146" t="s">
        <v>29</v>
      </c>
      <c r="K68" s="147" t="s">
        <v>107</v>
      </c>
      <c r="L68" s="148">
        <v>62000000</v>
      </c>
      <c r="M68" s="148">
        <v>53170000</v>
      </c>
      <c r="N68" s="150">
        <f t="shared" si="0"/>
        <v>0.85758064516129029</v>
      </c>
      <c r="O68" s="148">
        <v>20205572</v>
      </c>
      <c r="P68" s="150">
        <f t="shared" si="0"/>
        <v>0.32589632258064516</v>
      </c>
      <c r="Q68" s="148">
        <v>20205572</v>
      </c>
      <c r="R68" s="150">
        <f t="shared" ref="R68" si="61">+Q68/$L68</f>
        <v>0.32589632258064516</v>
      </c>
    </row>
    <row r="69" spans="1:18" ht="24.95" hidden="1" customHeight="1">
      <c r="A69" s="32" t="e">
        <v>#REF!</v>
      </c>
      <c r="B69" s="145" t="s">
        <v>23</v>
      </c>
      <c r="C69" s="145" t="s">
        <v>54</v>
      </c>
      <c r="D69" s="145" t="s">
        <v>54</v>
      </c>
      <c r="E69" s="145" t="s">
        <v>54</v>
      </c>
      <c r="F69" s="145" t="s">
        <v>42</v>
      </c>
      <c r="G69" s="145" t="s">
        <v>42</v>
      </c>
      <c r="H69" s="145"/>
      <c r="I69" s="145">
        <v>10</v>
      </c>
      <c r="J69" s="146" t="s">
        <v>29</v>
      </c>
      <c r="K69" s="147" t="s">
        <v>259</v>
      </c>
      <c r="L69" s="148">
        <v>0</v>
      </c>
      <c r="M69" s="148">
        <v>0</v>
      </c>
      <c r="N69" s="150" t="e">
        <f t="shared" si="0"/>
        <v>#DIV/0!</v>
      </c>
      <c r="O69" s="148">
        <v>0</v>
      </c>
      <c r="P69" s="150" t="e">
        <f t="shared" si="0"/>
        <v>#DIV/0!</v>
      </c>
      <c r="Q69" s="148">
        <v>0</v>
      </c>
      <c r="R69" s="150" t="e">
        <f t="shared" ref="R69" si="62">+Q69/$L69</f>
        <v>#DIV/0!</v>
      </c>
    </row>
    <row r="70" spans="1:18" ht="24.95" customHeight="1">
      <c r="A70" s="32" t="e">
        <v>#REF!</v>
      </c>
      <c r="B70" s="145" t="s">
        <v>23</v>
      </c>
      <c r="C70" s="145" t="s">
        <v>54</v>
      </c>
      <c r="D70" s="145" t="s">
        <v>54</v>
      </c>
      <c r="E70" s="145" t="s">
        <v>54</v>
      </c>
      <c r="F70" s="145" t="s">
        <v>42</v>
      </c>
      <c r="G70" s="145" t="s">
        <v>46</v>
      </c>
      <c r="H70" s="145"/>
      <c r="I70" s="145">
        <v>10</v>
      </c>
      <c r="J70" s="146" t="s">
        <v>29</v>
      </c>
      <c r="K70" s="147" t="s">
        <v>108</v>
      </c>
      <c r="L70" s="148">
        <v>1588375865</v>
      </c>
      <c r="M70" s="148">
        <v>1462418312</v>
      </c>
      <c r="N70" s="150">
        <f t="shared" si="0"/>
        <v>0.92070041117125634</v>
      </c>
      <c r="O70" s="148">
        <v>996070682</v>
      </c>
      <c r="P70" s="150">
        <f t="shared" si="0"/>
        <v>0.62710011147141176</v>
      </c>
      <c r="Q70" s="148">
        <v>996070682</v>
      </c>
      <c r="R70" s="150">
        <f t="shared" ref="R70" si="63">+Q70/$L70</f>
        <v>0.62710011147141176</v>
      </c>
    </row>
    <row r="71" spans="1:18" ht="24.95" customHeight="1">
      <c r="A71" s="32" t="e">
        <v>#REF!</v>
      </c>
      <c r="B71" s="145" t="s">
        <v>23</v>
      </c>
      <c r="C71" s="145" t="s">
        <v>54</v>
      </c>
      <c r="D71" s="145" t="s">
        <v>54</v>
      </c>
      <c r="E71" s="145" t="s">
        <v>54</v>
      </c>
      <c r="F71" s="145" t="s">
        <v>42</v>
      </c>
      <c r="G71" s="145" t="s">
        <v>48</v>
      </c>
      <c r="H71" s="145"/>
      <c r="I71" s="145">
        <v>10</v>
      </c>
      <c r="J71" s="146" t="s">
        <v>29</v>
      </c>
      <c r="K71" s="147" t="s">
        <v>109</v>
      </c>
      <c r="L71" s="148">
        <v>1100000000</v>
      </c>
      <c r="M71" s="148">
        <v>393590979</v>
      </c>
      <c r="N71" s="150">
        <f t="shared" si="0"/>
        <v>0.35780998090909089</v>
      </c>
      <c r="O71" s="148">
        <v>393495535.95999998</v>
      </c>
      <c r="P71" s="150">
        <f t="shared" si="0"/>
        <v>0.35772321450909089</v>
      </c>
      <c r="Q71" s="148">
        <v>393467485.95999998</v>
      </c>
      <c r="R71" s="150">
        <f t="shared" ref="R71" si="64">+Q71/$L71</f>
        <v>0.35769771450909088</v>
      </c>
    </row>
    <row r="72" spans="1:18" ht="24.95" customHeight="1">
      <c r="A72" s="32" t="e">
        <v>#REF!</v>
      </c>
      <c r="B72" s="139" t="s">
        <v>23</v>
      </c>
      <c r="C72" s="139" t="s">
        <v>54</v>
      </c>
      <c r="D72" s="139" t="s">
        <v>54</v>
      </c>
      <c r="E72" s="139" t="s">
        <v>54</v>
      </c>
      <c r="F72" s="139" t="s">
        <v>44</v>
      </c>
      <c r="G72" s="140"/>
      <c r="H72" s="140"/>
      <c r="I72" s="139" t="s">
        <v>28</v>
      </c>
      <c r="J72" s="140" t="s">
        <v>29</v>
      </c>
      <c r="K72" s="140" t="s">
        <v>110</v>
      </c>
      <c r="L72" s="141">
        <v>15096941155</v>
      </c>
      <c r="M72" s="141">
        <v>14707238422</v>
      </c>
      <c r="N72" s="143">
        <f t="shared" ref="N72:P135" si="65">+M72/$L72</f>
        <v>0.97418664291004853</v>
      </c>
      <c r="O72" s="141">
        <v>7564387505</v>
      </c>
      <c r="P72" s="143">
        <f t="shared" si="65"/>
        <v>0.50105431473412931</v>
      </c>
      <c r="Q72" s="141">
        <v>7564387505</v>
      </c>
      <c r="R72" s="143">
        <f t="shared" ref="R72" si="66">+Q72/$L72</f>
        <v>0.50105431473412931</v>
      </c>
    </row>
    <row r="73" spans="1:18" ht="24.95" customHeight="1">
      <c r="A73" s="32" t="e">
        <v>#REF!</v>
      </c>
      <c r="B73" s="145" t="s">
        <v>23</v>
      </c>
      <c r="C73" s="145" t="s">
        <v>54</v>
      </c>
      <c r="D73" s="145" t="s">
        <v>54</v>
      </c>
      <c r="E73" s="145" t="s">
        <v>54</v>
      </c>
      <c r="F73" s="145" t="s">
        <v>44</v>
      </c>
      <c r="G73" s="145" t="s">
        <v>31</v>
      </c>
      <c r="H73" s="145"/>
      <c r="I73" s="145">
        <v>10</v>
      </c>
      <c r="J73" s="146" t="s">
        <v>29</v>
      </c>
      <c r="K73" s="147" t="s">
        <v>111</v>
      </c>
      <c r="L73" s="148">
        <v>534960000</v>
      </c>
      <c r="M73" s="148">
        <v>308551378</v>
      </c>
      <c r="N73" s="150">
        <f t="shared" si="65"/>
        <v>0.57677467100343949</v>
      </c>
      <c r="O73" s="148">
        <v>304853178</v>
      </c>
      <c r="P73" s="150">
        <f t="shared" si="65"/>
        <v>0.56986163077613283</v>
      </c>
      <c r="Q73" s="148">
        <v>304853178</v>
      </c>
      <c r="R73" s="150">
        <f t="shared" ref="R73" si="67">+Q73/$L73</f>
        <v>0.56986163077613283</v>
      </c>
    </row>
    <row r="74" spans="1:18" ht="24.95" customHeight="1">
      <c r="A74" s="32" t="e">
        <v>#REF!</v>
      </c>
      <c r="B74" s="145" t="s">
        <v>23</v>
      </c>
      <c r="C74" s="145" t="s">
        <v>54</v>
      </c>
      <c r="D74" s="145" t="s">
        <v>54</v>
      </c>
      <c r="E74" s="145" t="s">
        <v>54</v>
      </c>
      <c r="F74" s="145" t="s">
        <v>44</v>
      </c>
      <c r="G74" s="145" t="s">
        <v>34</v>
      </c>
      <c r="H74" s="145"/>
      <c r="I74" s="145">
        <v>10</v>
      </c>
      <c r="J74" s="146" t="s">
        <v>29</v>
      </c>
      <c r="K74" s="147" t="s">
        <v>112</v>
      </c>
      <c r="L74" s="148">
        <v>14561981155</v>
      </c>
      <c r="M74" s="148">
        <v>14398687044</v>
      </c>
      <c r="N74" s="150">
        <f t="shared" si="65"/>
        <v>0.98878627095709903</v>
      </c>
      <c r="O74" s="148">
        <v>7259534327</v>
      </c>
      <c r="P74" s="150">
        <f t="shared" si="65"/>
        <v>0.49852655691065545</v>
      </c>
      <c r="Q74" s="148">
        <v>7259534327</v>
      </c>
      <c r="R74" s="150">
        <f t="shared" ref="R74" si="68">+Q74/$L74</f>
        <v>0.49852655691065545</v>
      </c>
    </row>
    <row r="75" spans="1:18" ht="24.95" customHeight="1">
      <c r="A75" s="32" t="e">
        <v>#REF!</v>
      </c>
      <c r="B75" s="139" t="s">
        <v>23</v>
      </c>
      <c r="C75" s="139" t="s">
        <v>54</v>
      </c>
      <c r="D75" s="139" t="s">
        <v>54</v>
      </c>
      <c r="E75" s="139" t="s">
        <v>54</v>
      </c>
      <c r="F75" s="139" t="s">
        <v>46</v>
      </c>
      <c r="G75" s="140"/>
      <c r="H75" s="140"/>
      <c r="I75" s="139" t="s">
        <v>28</v>
      </c>
      <c r="J75" s="140" t="s">
        <v>29</v>
      </c>
      <c r="K75" s="140" t="s">
        <v>113</v>
      </c>
      <c r="L75" s="141">
        <v>18716071994</v>
      </c>
      <c r="M75" s="141">
        <v>16200076825.84</v>
      </c>
      <c r="N75" s="143">
        <f t="shared" si="65"/>
        <v>0.86557034141744182</v>
      </c>
      <c r="O75" s="141">
        <v>8457810421.9700012</v>
      </c>
      <c r="P75" s="143">
        <f t="shared" si="65"/>
        <v>0.45190093437775869</v>
      </c>
      <c r="Q75" s="141">
        <v>8157673594.9700012</v>
      </c>
      <c r="R75" s="143">
        <f t="shared" ref="R75" si="69">+Q75/$L75</f>
        <v>0.4358646193274523</v>
      </c>
    </row>
    <row r="76" spans="1:18" ht="24.95" customHeight="1">
      <c r="A76" s="32" t="e">
        <v>#REF!</v>
      </c>
      <c r="B76" s="145" t="s">
        <v>23</v>
      </c>
      <c r="C76" s="145" t="s">
        <v>54</v>
      </c>
      <c r="D76" s="145" t="s">
        <v>54</v>
      </c>
      <c r="E76" s="145" t="s">
        <v>54</v>
      </c>
      <c r="F76" s="145" t="s">
        <v>46</v>
      </c>
      <c r="G76" s="145" t="s">
        <v>34</v>
      </c>
      <c r="H76" s="145"/>
      <c r="I76" s="145">
        <v>10</v>
      </c>
      <c r="J76" s="146" t="s">
        <v>29</v>
      </c>
      <c r="K76" s="147" t="s">
        <v>114</v>
      </c>
      <c r="L76" s="148">
        <v>27225950</v>
      </c>
      <c r="M76" s="148">
        <v>24625950</v>
      </c>
      <c r="N76" s="150">
        <f t="shared" si="65"/>
        <v>0.90450287317797906</v>
      </c>
      <c r="O76" s="148">
        <v>5990223.7999999998</v>
      </c>
      <c r="P76" s="150">
        <f t="shared" si="65"/>
        <v>0.22001890843111074</v>
      </c>
      <c r="Q76" s="148">
        <v>5990223.7999999998</v>
      </c>
      <c r="R76" s="150">
        <f t="shared" ref="R76" si="70">+Q76/$L76</f>
        <v>0.22001890843111074</v>
      </c>
    </row>
    <row r="77" spans="1:18" ht="24.95" customHeight="1">
      <c r="A77" s="32" t="e">
        <v>#REF!</v>
      </c>
      <c r="B77" s="145" t="s">
        <v>23</v>
      </c>
      <c r="C77" s="145" t="s">
        <v>54</v>
      </c>
      <c r="D77" s="145" t="s">
        <v>54</v>
      </c>
      <c r="E77" s="145" t="s">
        <v>54</v>
      </c>
      <c r="F77" s="145" t="s">
        <v>46</v>
      </c>
      <c r="G77" s="145" t="s">
        <v>36</v>
      </c>
      <c r="H77" s="145"/>
      <c r="I77" s="145">
        <v>10</v>
      </c>
      <c r="J77" s="146" t="s">
        <v>29</v>
      </c>
      <c r="K77" s="147" t="s">
        <v>115</v>
      </c>
      <c r="L77" s="148">
        <v>10531989318</v>
      </c>
      <c r="M77" s="148">
        <v>9827497121</v>
      </c>
      <c r="N77" s="150">
        <f t="shared" si="65"/>
        <v>0.93310929438601242</v>
      </c>
      <c r="O77" s="148">
        <v>4553375573</v>
      </c>
      <c r="P77" s="150">
        <f t="shared" si="65"/>
        <v>0.43233765583278005</v>
      </c>
      <c r="Q77" s="148">
        <v>4253928198</v>
      </c>
      <c r="R77" s="150">
        <f t="shared" ref="R77" si="71">+Q77/$L77</f>
        <v>0.40390547973018748</v>
      </c>
    </row>
    <row r="78" spans="1:18" ht="24.95" customHeight="1">
      <c r="A78" s="32" t="e">
        <v>#REF!</v>
      </c>
      <c r="B78" s="145" t="s">
        <v>23</v>
      </c>
      <c r="C78" s="145" t="s">
        <v>54</v>
      </c>
      <c r="D78" s="145" t="s">
        <v>54</v>
      </c>
      <c r="E78" s="145" t="s">
        <v>54</v>
      </c>
      <c r="F78" s="145" t="s">
        <v>46</v>
      </c>
      <c r="G78" s="145" t="s">
        <v>38</v>
      </c>
      <c r="H78" s="145"/>
      <c r="I78" s="145">
        <v>10</v>
      </c>
      <c r="J78" s="146" t="s">
        <v>29</v>
      </c>
      <c r="K78" s="147" t="s">
        <v>116</v>
      </c>
      <c r="L78" s="148">
        <v>2435766071.8699999</v>
      </c>
      <c r="M78" s="148">
        <v>1388373207.75</v>
      </c>
      <c r="N78" s="150">
        <f t="shared" si="65"/>
        <v>0.56999447680298398</v>
      </c>
      <c r="O78" s="148">
        <v>1019339391.5599999</v>
      </c>
      <c r="P78" s="150">
        <f t="shared" si="65"/>
        <v>0.41848821335187869</v>
      </c>
      <c r="Q78" s="148">
        <v>1019339391.5599999</v>
      </c>
      <c r="R78" s="150">
        <f t="shared" ref="R78" si="72">+Q78/$L78</f>
        <v>0.41848821335187869</v>
      </c>
    </row>
    <row r="79" spans="1:18" ht="24.95" customHeight="1">
      <c r="A79" s="32" t="e">
        <v>#REF!</v>
      </c>
      <c r="B79" s="145" t="s">
        <v>23</v>
      </c>
      <c r="C79" s="145" t="s">
        <v>54</v>
      </c>
      <c r="D79" s="145" t="s">
        <v>54</v>
      </c>
      <c r="E79" s="145" t="s">
        <v>54</v>
      </c>
      <c r="F79" s="145" t="s">
        <v>46</v>
      </c>
      <c r="G79" s="145" t="s">
        <v>40</v>
      </c>
      <c r="H79" s="145"/>
      <c r="I79" s="145">
        <v>10</v>
      </c>
      <c r="J79" s="146" t="s">
        <v>29</v>
      </c>
      <c r="K79" s="147" t="s">
        <v>117</v>
      </c>
      <c r="L79" s="148">
        <v>4967014412</v>
      </c>
      <c r="M79" s="148">
        <v>4426623971.1400003</v>
      </c>
      <c r="N79" s="150">
        <f t="shared" si="65"/>
        <v>0.89120417296264542</v>
      </c>
      <c r="O79" s="148">
        <v>2804773720.6100001</v>
      </c>
      <c r="P79" s="150">
        <f t="shared" si="65"/>
        <v>0.56468000451817491</v>
      </c>
      <c r="Q79" s="148">
        <v>2804773720.6100001</v>
      </c>
      <c r="R79" s="150">
        <f t="shared" ref="R79" si="73">+Q79/$L79</f>
        <v>0.56468000451817491</v>
      </c>
    </row>
    <row r="80" spans="1:18" ht="24.95" customHeight="1">
      <c r="A80" s="32" t="e">
        <v>#REF!</v>
      </c>
      <c r="B80" s="145" t="s">
        <v>23</v>
      </c>
      <c r="C80" s="145" t="s">
        <v>54</v>
      </c>
      <c r="D80" s="145" t="s">
        <v>54</v>
      </c>
      <c r="E80" s="145" t="s">
        <v>54</v>
      </c>
      <c r="F80" s="145" t="s">
        <v>46</v>
      </c>
      <c r="G80" s="145" t="s">
        <v>44</v>
      </c>
      <c r="H80" s="145"/>
      <c r="I80" s="145">
        <v>10</v>
      </c>
      <c r="J80" s="146" t="s">
        <v>29</v>
      </c>
      <c r="K80" s="147" t="s">
        <v>118</v>
      </c>
      <c r="L80" s="148">
        <v>651076242.13</v>
      </c>
      <c r="M80" s="148">
        <v>451267123.94999999</v>
      </c>
      <c r="N80" s="150">
        <f t="shared" si="65"/>
        <v>0.69310949278947231</v>
      </c>
      <c r="O80" s="148">
        <v>72642061</v>
      </c>
      <c r="P80" s="150">
        <f t="shared" si="65"/>
        <v>0.11157228032519055</v>
      </c>
      <c r="Q80" s="148">
        <v>72642061</v>
      </c>
      <c r="R80" s="150">
        <f t="shared" ref="R80" si="74">+Q80/$L80</f>
        <v>0.11157228032519055</v>
      </c>
    </row>
    <row r="81" spans="1:18" ht="24.95" customHeight="1">
      <c r="A81" s="32" t="e">
        <v>#REF!</v>
      </c>
      <c r="B81" s="145" t="s">
        <v>23</v>
      </c>
      <c r="C81" s="145" t="s">
        <v>54</v>
      </c>
      <c r="D81" s="145" t="s">
        <v>54</v>
      </c>
      <c r="E81" s="145" t="s">
        <v>54</v>
      </c>
      <c r="F81" s="145" t="s">
        <v>46</v>
      </c>
      <c r="G81" s="145" t="s">
        <v>48</v>
      </c>
      <c r="H81" s="145"/>
      <c r="I81" s="145">
        <v>10</v>
      </c>
      <c r="J81" s="146" t="s">
        <v>29</v>
      </c>
      <c r="K81" s="147" t="s">
        <v>119</v>
      </c>
      <c r="L81" s="148">
        <v>103000000</v>
      </c>
      <c r="M81" s="148">
        <v>81689452</v>
      </c>
      <c r="N81" s="150">
        <f t="shared" si="65"/>
        <v>0.79310147572815537</v>
      </c>
      <c r="O81" s="148">
        <v>1689452</v>
      </c>
      <c r="P81" s="150">
        <f t="shared" si="65"/>
        <v>1.6402446601941748E-2</v>
      </c>
      <c r="Q81" s="148">
        <v>1000000</v>
      </c>
      <c r="R81" s="150">
        <f t="shared" ref="R81" si="75">+Q81/$L81</f>
        <v>9.7087378640776691E-3</v>
      </c>
    </row>
    <row r="82" spans="1:18" ht="24.95" customHeight="1">
      <c r="A82" s="32" t="e">
        <v>#REF!</v>
      </c>
      <c r="B82" s="139" t="s">
        <v>23</v>
      </c>
      <c r="C82" s="139" t="s">
        <v>54</v>
      </c>
      <c r="D82" s="139" t="s">
        <v>54</v>
      </c>
      <c r="E82" s="139" t="s">
        <v>54</v>
      </c>
      <c r="F82" s="139" t="s">
        <v>48</v>
      </c>
      <c r="G82" s="140"/>
      <c r="H82" s="140"/>
      <c r="I82" s="139" t="s">
        <v>28</v>
      </c>
      <c r="J82" s="140" t="s">
        <v>29</v>
      </c>
      <c r="K82" s="140" t="s">
        <v>120</v>
      </c>
      <c r="L82" s="141">
        <v>2321132732</v>
      </c>
      <c r="M82" s="141">
        <v>1631727392</v>
      </c>
      <c r="N82" s="143">
        <f t="shared" si="65"/>
        <v>0.70298754117091133</v>
      </c>
      <c r="O82" s="141">
        <v>767007063.88999999</v>
      </c>
      <c r="P82" s="143">
        <f t="shared" si="65"/>
        <v>0.33044515434888966</v>
      </c>
      <c r="Q82" s="141">
        <v>766990113.88999999</v>
      </c>
      <c r="R82" s="143">
        <f t="shared" ref="R82" si="76">+Q82/$L82</f>
        <v>0.33043785187981228</v>
      </c>
    </row>
    <row r="83" spans="1:18" ht="24.95" customHeight="1">
      <c r="A83" s="32" t="e">
        <v>#REF!</v>
      </c>
      <c r="B83" s="145" t="s">
        <v>23</v>
      </c>
      <c r="C83" s="145" t="s">
        <v>54</v>
      </c>
      <c r="D83" s="145" t="s">
        <v>54</v>
      </c>
      <c r="E83" s="145" t="s">
        <v>54</v>
      </c>
      <c r="F83" s="145" t="s">
        <v>48</v>
      </c>
      <c r="G83" s="145" t="s">
        <v>34</v>
      </c>
      <c r="H83" s="145"/>
      <c r="I83" s="145">
        <v>10</v>
      </c>
      <c r="J83" s="146" t="s">
        <v>29</v>
      </c>
      <c r="K83" s="147" t="s">
        <v>121</v>
      </c>
      <c r="L83" s="148">
        <v>992069874</v>
      </c>
      <c r="M83" s="148">
        <v>642069874</v>
      </c>
      <c r="N83" s="150">
        <f t="shared" si="65"/>
        <v>0.64720226954497762</v>
      </c>
      <c r="O83" s="148">
        <v>333391189</v>
      </c>
      <c r="P83" s="150">
        <f t="shared" si="65"/>
        <v>0.33605615666543265</v>
      </c>
      <c r="Q83" s="148">
        <v>333391189</v>
      </c>
      <c r="R83" s="150">
        <f t="shared" ref="R83" si="77">+Q83/$L83</f>
        <v>0.33605615666543265</v>
      </c>
    </row>
    <row r="84" spans="1:18" ht="24.95" customHeight="1">
      <c r="A84" s="32" t="e">
        <v>#REF!</v>
      </c>
      <c r="B84" s="145" t="s">
        <v>23</v>
      </c>
      <c r="C84" s="145" t="s">
        <v>54</v>
      </c>
      <c r="D84" s="145" t="s">
        <v>54</v>
      </c>
      <c r="E84" s="145" t="s">
        <v>54</v>
      </c>
      <c r="F84" s="145" t="s">
        <v>48</v>
      </c>
      <c r="G84" s="145" t="s">
        <v>36</v>
      </c>
      <c r="H84" s="145"/>
      <c r="I84" s="145">
        <v>10</v>
      </c>
      <c r="J84" s="146" t="s">
        <v>29</v>
      </c>
      <c r="K84" s="147" t="s">
        <v>122</v>
      </c>
      <c r="L84" s="148">
        <v>364946876</v>
      </c>
      <c r="M84" s="148">
        <v>159832826</v>
      </c>
      <c r="N84" s="150">
        <f t="shared" si="65"/>
        <v>0.43796189667890184</v>
      </c>
      <c r="O84" s="148">
        <v>45143460</v>
      </c>
      <c r="P84" s="150">
        <f t="shared" si="65"/>
        <v>0.12369871608381709</v>
      </c>
      <c r="Q84" s="148">
        <v>45143460</v>
      </c>
      <c r="R84" s="150">
        <f t="shared" ref="R84" si="78">+Q84/$L84</f>
        <v>0.12369871608381709</v>
      </c>
    </row>
    <row r="85" spans="1:18" ht="24.95" customHeight="1">
      <c r="A85" s="32" t="e">
        <v>#REF!</v>
      </c>
      <c r="B85" s="145" t="s">
        <v>23</v>
      </c>
      <c r="C85" s="145" t="s">
        <v>54</v>
      </c>
      <c r="D85" s="145" t="s">
        <v>54</v>
      </c>
      <c r="E85" s="145" t="s">
        <v>54</v>
      </c>
      <c r="F85" s="145" t="s">
        <v>48</v>
      </c>
      <c r="G85" s="145" t="s">
        <v>38</v>
      </c>
      <c r="H85" s="145"/>
      <c r="I85" s="145">
        <v>10</v>
      </c>
      <c r="J85" s="146" t="s">
        <v>29</v>
      </c>
      <c r="K85" s="147" t="s">
        <v>123</v>
      </c>
      <c r="L85" s="148">
        <v>104000000</v>
      </c>
      <c r="M85" s="148">
        <v>34308720</v>
      </c>
      <c r="N85" s="150">
        <f t="shared" si="65"/>
        <v>0.32989153846153846</v>
      </c>
      <c r="O85" s="148">
        <v>34308720</v>
      </c>
      <c r="P85" s="150">
        <f t="shared" si="65"/>
        <v>0.32989153846153846</v>
      </c>
      <c r="Q85" s="148">
        <v>34291770</v>
      </c>
      <c r="R85" s="150">
        <f t="shared" ref="R85" si="79">+Q85/$L85</f>
        <v>0.32972855769230769</v>
      </c>
    </row>
    <row r="86" spans="1:18" ht="24.95" customHeight="1">
      <c r="A86" s="32" t="e">
        <v>#REF!</v>
      </c>
      <c r="B86" s="145" t="s">
        <v>23</v>
      </c>
      <c r="C86" s="145" t="s">
        <v>54</v>
      </c>
      <c r="D86" s="145" t="s">
        <v>54</v>
      </c>
      <c r="E86" s="145" t="s">
        <v>54</v>
      </c>
      <c r="F86" s="145" t="s">
        <v>48</v>
      </c>
      <c r="G86" s="145" t="s">
        <v>42</v>
      </c>
      <c r="H86" s="145"/>
      <c r="I86" s="145">
        <v>10</v>
      </c>
      <c r="J86" s="146" t="s">
        <v>29</v>
      </c>
      <c r="K86" s="147" t="s">
        <v>124</v>
      </c>
      <c r="L86" s="148">
        <v>830000000</v>
      </c>
      <c r="M86" s="148">
        <v>795515972</v>
      </c>
      <c r="N86" s="150">
        <f t="shared" si="65"/>
        <v>0.95845297831325305</v>
      </c>
      <c r="O86" s="148">
        <v>354163694.88999999</v>
      </c>
      <c r="P86" s="150">
        <f t="shared" si="65"/>
        <v>0.42670324685542166</v>
      </c>
      <c r="Q86" s="148">
        <v>354163694.88999999</v>
      </c>
      <c r="R86" s="150">
        <f t="shared" ref="R86" si="80">+Q86/$L86</f>
        <v>0.42670324685542166</v>
      </c>
    </row>
    <row r="87" spans="1:18" ht="24.95" customHeight="1">
      <c r="A87" s="32" t="e">
        <v>#REF!</v>
      </c>
      <c r="B87" s="145" t="s">
        <v>23</v>
      </c>
      <c r="C87" s="145" t="s">
        <v>54</v>
      </c>
      <c r="D87" s="145" t="s">
        <v>54</v>
      </c>
      <c r="E87" s="145" t="s">
        <v>54</v>
      </c>
      <c r="F87" s="145" t="s">
        <v>48</v>
      </c>
      <c r="G87" s="145" t="s">
        <v>44</v>
      </c>
      <c r="H87" s="145"/>
      <c r="I87" s="145">
        <v>10</v>
      </c>
      <c r="J87" s="146" t="s">
        <v>29</v>
      </c>
      <c r="K87" s="147" t="s">
        <v>125</v>
      </c>
      <c r="L87" s="148">
        <v>30115982</v>
      </c>
      <c r="M87" s="148">
        <v>0</v>
      </c>
      <c r="N87" s="150">
        <f t="shared" si="65"/>
        <v>0</v>
      </c>
      <c r="O87" s="148">
        <v>0</v>
      </c>
      <c r="P87" s="150">
        <f t="shared" si="65"/>
        <v>0</v>
      </c>
      <c r="Q87" s="148">
        <v>0</v>
      </c>
      <c r="R87" s="150">
        <f t="shared" ref="R87" si="81">+Q87/$L87</f>
        <v>0</v>
      </c>
    </row>
    <row r="88" spans="1:18" ht="24.95" customHeight="1">
      <c r="A88" s="32" t="e">
        <v>#REF!</v>
      </c>
      <c r="B88" s="145" t="s">
        <v>23</v>
      </c>
      <c r="C88" s="145" t="s">
        <v>54</v>
      </c>
      <c r="D88" s="145" t="s">
        <v>54</v>
      </c>
      <c r="E88" s="145" t="s">
        <v>54</v>
      </c>
      <c r="F88" s="145" t="s">
        <v>50</v>
      </c>
      <c r="G88" s="145"/>
      <c r="H88" s="145"/>
      <c r="I88" s="145" t="s">
        <v>28</v>
      </c>
      <c r="J88" s="146" t="s">
        <v>29</v>
      </c>
      <c r="K88" s="152" t="s">
        <v>126</v>
      </c>
      <c r="L88" s="153">
        <v>668089389</v>
      </c>
      <c r="M88" s="153">
        <v>432483407</v>
      </c>
      <c r="N88" s="154">
        <f t="shared" si="65"/>
        <v>0.64734362515073562</v>
      </c>
      <c r="O88" s="153">
        <v>272740895</v>
      </c>
      <c r="P88" s="154">
        <f t="shared" si="65"/>
        <v>0.40824012398736059</v>
      </c>
      <c r="Q88" s="153">
        <v>272740895</v>
      </c>
      <c r="R88" s="154">
        <f t="shared" ref="R88" si="82">+Q88/$L88</f>
        <v>0.40824012398736059</v>
      </c>
    </row>
    <row r="89" spans="1:18" ht="36" customHeight="1">
      <c r="A89" s="32" t="e">
        <v>#REF!</v>
      </c>
      <c r="B89" s="123" t="s">
        <v>23</v>
      </c>
      <c r="C89" s="123" t="s">
        <v>65</v>
      </c>
      <c r="D89" s="123"/>
      <c r="E89" s="123"/>
      <c r="F89" s="123"/>
      <c r="G89" s="123"/>
      <c r="H89" s="123"/>
      <c r="I89" s="124"/>
      <c r="J89" s="124"/>
      <c r="K89" s="124" t="s">
        <v>127</v>
      </c>
      <c r="L89" s="125">
        <v>3806723274200</v>
      </c>
      <c r="M89" s="125">
        <v>3739146540187</v>
      </c>
      <c r="N89" s="126">
        <f t="shared" si="65"/>
        <v>0.98224805714904462</v>
      </c>
      <c r="O89" s="125">
        <v>3650889916317.4102</v>
      </c>
      <c r="P89" s="126">
        <f t="shared" si="65"/>
        <v>0.95906364958578738</v>
      </c>
      <c r="Q89" s="125">
        <v>3650889916317.4102</v>
      </c>
      <c r="R89" s="126">
        <f t="shared" ref="R89" si="83">+Q89/$L89</f>
        <v>0.95906364958578738</v>
      </c>
    </row>
    <row r="90" spans="1:18" ht="24" customHeight="1">
      <c r="A90" s="32" t="e">
        <v>#REF!</v>
      </c>
      <c r="B90" s="128" t="s">
        <v>23</v>
      </c>
      <c r="C90" s="128" t="s">
        <v>65</v>
      </c>
      <c r="D90" s="128" t="s">
        <v>65</v>
      </c>
      <c r="E90" s="128"/>
      <c r="F90" s="128"/>
      <c r="G90" s="128"/>
      <c r="H90" s="128"/>
      <c r="I90" s="129"/>
      <c r="J90" s="129"/>
      <c r="K90" s="129" t="s">
        <v>128</v>
      </c>
      <c r="L90" s="130">
        <v>3803514274200</v>
      </c>
      <c r="M90" s="130">
        <v>3737142647600</v>
      </c>
      <c r="N90" s="131">
        <f t="shared" si="65"/>
        <v>0.98254992046428957</v>
      </c>
      <c r="O90" s="130">
        <v>3649069328508.4102</v>
      </c>
      <c r="P90" s="131">
        <f t="shared" si="65"/>
        <v>0.95939414589838112</v>
      </c>
      <c r="Q90" s="130">
        <v>3649069328508.4102</v>
      </c>
      <c r="R90" s="131">
        <f t="shared" ref="R90" si="84">+Q90/$L90</f>
        <v>0.95939414589838112</v>
      </c>
    </row>
    <row r="91" spans="1:18" ht="24" customHeight="1">
      <c r="A91" s="32" t="e">
        <v>#REF!</v>
      </c>
      <c r="B91" s="133" t="s">
        <v>23</v>
      </c>
      <c r="C91" s="133" t="s">
        <v>65</v>
      </c>
      <c r="D91" s="133" t="s">
        <v>65</v>
      </c>
      <c r="E91" s="133" t="s">
        <v>25</v>
      </c>
      <c r="F91" s="133"/>
      <c r="G91" s="133"/>
      <c r="H91" s="133"/>
      <c r="I91" s="133"/>
      <c r="J91" s="134"/>
      <c r="K91" s="134" t="s">
        <v>129</v>
      </c>
      <c r="L91" s="135">
        <v>3803514274200</v>
      </c>
      <c r="M91" s="135">
        <v>3737142647600</v>
      </c>
      <c r="N91" s="137">
        <f t="shared" si="65"/>
        <v>0.98254992046428957</v>
      </c>
      <c r="O91" s="135">
        <v>3649069328508.4102</v>
      </c>
      <c r="P91" s="137">
        <f t="shared" si="65"/>
        <v>0.95939414589838112</v>
      </c>
      <c r="Q91" s="135">
        <v>3649069328508.4102</v>
      </c>
      <c r="R91" s="137">
        <f t="shared" ref="R91" si="85">+Q91/$L91</f>
        <v>0.95939414589838112</v>
      </c>
    </row>
    <row r="92" spans="1:18" ht="24.95" customHeight="1">
      <c r="A92" s="32" t="e">
        <v>#REF!</v>
      </c>
      <c r="B92" s="145" t="s">
        <v>23</v>
      </c>
      <c r="C92" s="145" t="s">
        <v>65</v>
      </c>
      <c r="D92" s="145" t="s">
        <v>65</v>
      </c>
      <c r="E92" s="145" t="s">
        <v>25</v>
      </c>
      <c r="F92" s="145" t="s">
        <v>130</v>
      </c>
      <c r="G92" s="145"/>
      <c r="H92" s="145"/>
      <c r="I92" s="145">
        <v>54</v>
      </c>
      <c r="J92" s="146" t="s">
        <v>29</v>
      </c>
      <c r="K92" s="147" t="s">
        <v>131</v>
      </c>
      <c r="L92" s="148">
        <v>0</v>
      </c>
      <c r="M92" s="148"/>
      <c r="N92" s="150" t="e">
        <f t="shared" si="65"/>
        <v>#DIV/0!</v>
      </c>
      <c r="O92" s="148"/>
      <c r="P92" s="150" t="e">
        <f t="shared" si="65"/>
        <v>#DIV/0!</v>
      </c>
      <c r="Q92" s="148"/>
      <c r="R92" s="150" t="e">
        <f t="shared" ref="R92" si="86">+Q92/$L92</f>
        <v>#DIV/0!</v>
      </c>
    </row>
    <row r="93" spans="1:18" ht="24.95" customHeight="1">
      <c r="A93" s="32" t="e">
        <v>#REF!</v>
      </c>
      <c r="B93" s="145" t="s">
        <v>23</v>
      </c>
      <c r="C93" s="145" t="s">
        <v>65</v>
      </c>
      <c r="D93" s="145" t="s">
        <v>65</v>
      </c>
      <c r="E93" s="145" t="s">
        <v>25</v>
      </c>
      <c r="F93" s="145" t="s">
        <v>130</v>
      </c>
      <c r="G93" s="145"/>
      <c r="H93" s="145"/>
      <c r="I93" s="145">
        <v>54</v>
      </c>
      <c r="J93" s="146" t="s">
        <v>29</v>
      </c>
      <c r="K93" s="147" t="s">
        <v>132</v>
      </c>
      <c r="L93" s="148">
        <v>2985799234200</v>
      </c>
      <c r="M93" s="149">
        <v>2919427607600</v>
      </c>
      <c r="N93" s="150">
        <f t="shared" si="65"/>
        <v>0.97777090105732334</v>
      </c>
      <c r="O93" s="148">
        <v>2831354288508.4102</v>
      </c>
      <c r="P93" s="150">
        <f t="shared" si="65"/>
        <v>0.94827349946287631</v>
      </c>
      <c r="Q93" s="148">
        <v>2831354288508.4102</v>
      </c>
      <c r="R93" s="150">
        <f t="shared" ref="R93" si="87">+Q93/$L93</f>
        <v>0.94827349946287631</v>
      </c>
    </row>
    <row r="94" spans="1:18" ht="24.95" customHeight="1">
      <c r="A94" s="32" t="e">
        <v>#REF!</v>
      </c>
      <c r="B94" s="145" t="s">
        <v>23</v>
      </c>
      <c r="C94" s="145" t="s">
        <v>65</v>
      </c>
      <c r="D94" s="145" t="s">
        <v>65</v>
      </c>
      <c r="E94" s="145" t="s">
        <v>25</v>
      </c>
      <c r="F94" s="145" t="s">
        <v>130</v>
      </c>
      <c r="G94" s="145"/>
      <c r="H94" s="145"/>
      <c r="I94" s="145">
        <v>54</v>
      </c>
      <c r="J94" s="146" t="s">
        <v>29</v>
      </c>
      <c r="K94" s="147" t="s">
        <v>133</v>
      </c>
      <c r="L94" s="148">
        <v>817715040000</v>
      </c>
      <c r="M94" s="149">
        <v>817715040000</v>
      </c>
      <c r="N94" s="150">
        <f t="shared" si="65"/>
        <v>1</v>
      </c>
      <c r="O94" s="148">
        <v>817715040000</v>
      </c>
      <c r="P94" s="150">
        <f t="shared" si="65"/>
        <v>1</v>
      </c>
      <c r="Q94" s="148">
        <v>817715040000</v>
      </c>
      <c r="R94" s="150">
        <f t="shared" ref="R94" si="88">+Q94/$L94</f>
        <v>1</v>
      </c>
    </row>
    <row r="95" spans="1:18" ht="24.95" customHeight="1">
      <c r="A95" s="32" t="e">
        <v>#REF!</v>
      </c>
      <c r="B95" s="145" t="s">
        <v>23</v>
      </c>
      <c r="C95" s="145" t="s">
        <v>65</v>
      </c>
      <c r="D95" s="145" t="s">
        <v>65</v>
      </c>
      <c r="E95" s="145" t="s">
        <v>25</v>
      </c>
      <c r="F95" s="145" t="s">
        <v>134</v>
      </c>
      <c r="G95" s="145"/>
      <c r="H95" s="145"/>
      <c r="I95" s="145" t="s">
        <v>28</v>
      </c>
      <c r="J95" s="146" t="s">
        <v>29</v>
      </c>
      <c r="K95" s="147" t="s">
        <v>135</v>
      </c>
      <c r="L95" s="148">
        <v>0</v>
      </c>
      <c r="M95" s="148"/>
      <c r="N95" s="150" t="e">
        <f t="shared" si="65"/>
        <v>#DIV/0!</v>
      </c>
      <c r="O95" s="148"/>
      <c r="P95" s="150" t="e">
        <f t="shared" si="65"/>
        <v>#DIV/0!</v>
      </c>
      <c r="Q95" s="148"/>
      <c r="R95" s="150" t="e">
        <f t="shared" ref="R95" si="89">+Q95/$L95</f>
        <v>#DIV/0!</v>
      </c>
    </row>
    <row r="96" spans="1:18" ht="24.95" customHeight="1">
      <c r="A96" s="32" t="e">
        <v>#REF!</v>
      </c>
      <c r="B96" s="145" t="s">
        <v>23</v>
      </c>
      <c r="C96" s="145" t="s">
        <v>65</v>
      </c>
      <c r="D96" s="145" t="s">
        <v>65</v>
      </c>
      <c r="E96" s="145" t="s">
        <v>25</v>
      </c>
      <c r="F96" s="145" t="s">
        <v>134</v>
      </c>
      <c r="G96" s="145"/>
      <c r="H96" s="145"/>
      <c r="I96" s="145">
        <v>11</v>
      </c>
      <c r="J96" s="146" t="s">
        <v>29</v>
      </c>
      <c r="K96" s="147" t="s">
        <v>135</v>
      </c>
      <c r="L96" s="148">
        <v>0</v>
      </c>
      <c r="M96" s="148"/>
      <c r="N96" s="150" t="e">
        <f t="shared" si="65"/>
        <v>#DIV/0!</v>
      </c>
      <c r="O96" s="148"/>
      <c r="P96" s="150" t="e">
        <f t="shared" si="65"/>
        <v>#DIV/0!</v>
      </c>
      <c r="Q96" s="148"/>
      <c r="R96" s="150" t="e">
        <f t="shared" ref="R96" si="90">+Q96/$L96</f>
        <v>#DIV/0!</v>
      </c>
    </row>
    <row r="97" spans="1:20" ht="24" customHeight="1">
      <c r="A97" s="32" t="e">
        <v>#REF!</v>
      </c>
      <c r="B97" s="128" t="s">
        <v>23</v>
      </c>
      <c r="C97" s="128" t="s">
        <v>65</v>
      </c>
      <c r="D97" s="128" t="s">
        <v>136</v>
      </c>
      <c r="E97" s="128"/>
      <c r="F97" s="128"/>
      <c r="G97" s="128"/>
      <c r="H97" s="128"/>
      <c r="I97" s="129"/>
      <c r="J97" s="129"/>
      <c r="K97" s="129" t="s">
        <v>137</v>
      </c>
      <c r="L97" s="130">
        <v>534000000</v>
      </c>
      <c r="M97" s="130">
        <v>261830570</v>
      </c>
      <c r="N97" s="131">
        <f t="shared" si="65"/>
        <v>0.49031941947565544</v>
      </c>
      <c r="O97" s="130">
        <v>78525792</v>
      </c>
      <c r="P97" s="131">
        <f t="shared" si="65"/>
        <v>0.14705204494382024</v>
      </c>
      <c r="Q97" s="130">
        <v>78525792</v>
      </c>
      <c r="R97" s="131">
        <f t="shared" ref="R97" si="91">+Q97/$L97</f>
        <v>0.14705204494382024</v>
      </c>
    </row>
    <row r="98" spans="1:20" ht="24" customHeight="1">
      <c r="A98" s="32" t="e">
        <v>#REF!</v>
      </c>
      <c r="B98" s="133" t="s">
        <v>23</v>
      </c>
      <c r="C98" s="133" t="s">
        <v>65</v>
      </c>
      <c r="D98" s="133" t="s">
        <v>136</v>
      </c>
      <c r="E98" s="133" t="s">
        <v>54</v>
      </c>
      <c r="F98" s="133"/>
      <c r="G98" s="133"/>
      <c r="H98" s="133"/>
      <c r="I98" s="133" t="s">
        <v>28</v>
      </c>
      <c r="J98" s="134" t="s">
        <v>29</v>
      </c>
      <c r="K98" s="134" t="s">
        <v>138</v>
      </c>
      <c r="L98" s="135">
        <v>534000000</v>
      </c>
      <c r="M98" s="135">
        <v>261830570</v>
      </c>
      <c r="N98" s="137">
        <f t="shared" si="65"/>
        <v>0.49031941947565544</v>
      </c>
      <c r="O98" s="135">
        <v>78525792</v>
      </c>
      <c r="P98" s="137">
        <f t="shared" si="65"/>
        <v>0.14705204494382024</v>
      </c>
      <c r="Q98" s="135">
        <v>78525792</v>
      </c>
      <c r="R98" s="137">
        <f t="shared" ref="R98" si="92">+Q98/$L98</f>
        <v>0.14705204494382024</v>
      </c>
    </row>
    <row r="99" spans="1:20" ht="24.95" customHeight="1">
      <c r="A99" s="32" t="e">
        <v>#REF!</v>
      </c>
      <c r="B99" s="139" t="s">
        <v>23</v>
      </c>
      <c r="C99" s="139" t="s">
        <v>65</v>
      </c>
      <c r="D99" s="139" t="s">
        <v>136</v>
      </c>
      <c r="E99" s="139" t="s">
        <v>54</v>
      </c>
      <c r="F99" s="139" t="s">
        <v>52</v>
      </c>
      <c r="G99" s="139"/>
      <c r="H99" s="139"/>
      <c r="I99" s="139" t="s">
        <v>28</v>
      </c>
      <c r="J99" s="140" t="s">
        <v>29</v>
      </c>
      <c r="K99" s="140" t="s">
        <v>139</v>
      </c>
      <c r="L99" s="141">
        <v>534000000</v>
      </c>
      <c r="M99" s="141">
        <v>261830570</v>
      </c>
      <c r="N99" s="143">
        <f t="shared" si="65"/>
        <v>0.49031941947565544</v>
      </c>
      <c r="O99" s="141">
        <v>78525792</v>
      </c>
      <c r="P99" s="143">
        <f t="shared" si="65"/>
        <v>0.14705204494382024</v>
      </c>
      <c r="Q99" s="141">
        <v>78525792</v>
      </c>
      <c r="R99" s="143">
        <f t="shared" ref="R99" si="93">+Q99/$L99</f>
        <v>0.14705204494382024</v>
      </c>
    </row>
    <row r="100" spans="1:20" ht="24.95" customHeight="1">
      <c r="A100" s="32" t="e">
        <v>#REF!</v>
      </c>
      <c r="B100" s="145" t="s">
        <v>23</v>
      </c>
      <c r="C100" s="145" t="s">
        <v>65</v>
      </c>
      <c r="D100" s="145" t="s">
        <v>136</v>
      </c>
      <c r="E100" s="145" t="s">
        <v>54</v>
      </c>
      <c r="F100" s="145" t="s">
        <v>52</v>
      </c>
      <c r="G100" s="145" t="s">
        <v>31</v>
      </c>
      <c r="H100" s="145"/>
      <c r="I100" s="145" t="s">
        <v>28</v>
      </c>
      <c r="J100" s="146" t="s">
        <v>29</v>
      </c>
      <c r="K100" s="147" t="s">
        <v>140</v>
      </c>
      <c r="L100" s="148">
        <v>367000000</v>
      </c>
      <c r="M100" s="148">
        <v>103466029</v>
      </c>
      <c r="N100" s="150">
        <f t="shared" si="65"/>
        <v>0.28192378474114443</v>
      </c>
      <c r="O100" s="148">
        <v>67676592</v>
      </c>
      <c r="P100" s="150">
        <f t="shared" si="65"/>
        <v>0.18440488283378748</v>
      </c>
      <c r="Q100" s="148">
        <v>67676592</v>
      </c>
      <c r="R100" s="150">
        <f t="shared" ref="R100" si="94">+Q100/$L100</f>
        <v>0.18440488283378748</v>
      </c>
    </row>
    <row r="101" spans="1:20" ht="24.95" customHeight="1">
      <c r="A101" s="32" t="e">
        <v>#REF!</v>
      </c>
      <c r="B101" s="145" t="s">
        <v>23</v>
      </c>
      <c r="C101" s="145" t="s">
        <v>65</v>
      </c>
      <c r="D101" s="145" t="s">
        <v>136</v>
      </c>
      <c r="E101" s="145" t="s">
        <v>54</v>
      </c>
      <c r="F101" s="145" t="s">
        <v>52</v>
      </c>
      <c r="G101" s="145" t="s">
        <v>34</v>
      </c>
      <c r="H101" s="145"/>
      <c r="I101" s="145" t="s">
        <v>28</v>
      </c>
      <c r="J101" s="146" t="s">
        <v>29</v>
      </c>
      <c r="K101" s="147" t="s">
        <v>141</v>
      </c>
      <c r="L101" s="148">
        <v>167000000</v>
      </c>
      <c r="M101" s="148">
        <v>158364541</v>
      </c>
      <c r="N101" s="150">
        <f t="shared" si="65"/>
        <v>0.9482906646706587</v>
      </c>
      <c r="O101" s="148">
        <v>10849200</v>
      </c>
      <c r="P101" s="150">
        <f t="shared" si="65"/>
        <v>6.4965269461077849E-2</v>
      </c>
      <c r="Q101" s="148">
        <v>10849200</v>
      </c>
      <c r="R101" s="150">
        <f t="shared" ref="R101" si="95">+Q101/$L101</f>
        <v>6.4965269461077849E-2</v>
      </c>
    </row>
    <row r="102" spans="1:20" ht="24.95" hidden="1" customHeight="1">
      <c r="A102" s="32" t="e">
        <v>#REF!</v>
      </c>
      <c r="B102" s="145" t="s">
        <v>23</v>
      </c>
      <c r="C102" s="145" t="s">
        <v>65</v>
      </c>
      <c r="D102" s="145" t="s">
        <v>136</v>
      </c>
      <c r="E102" s="145" t="s">
        <v>54</v>
      </c>
      <c r="F102" s="145" t="s">
        <v>142</v>
      </c>
      <c r="G102" s="145"/>
      <c r="H102" s="145"/>
      <c r="I102" s="145" t="s">
        <v>28</v>
      </c>
      <c r="J102" s="146" t="s">
        <v>29</v>
      </c>
      <c r="K102" s="147" t="s">
        <v>260</v>
      </c>
      <c r="L102" s="148">
        <v>0</v>
      </c>
      <c r="M102" s="148">
        <v>0</v>
      </c>
      <c r="N102" s="150" t="e">
        <f t="shared" si="65"/>
        <v>#DIV/0!</v>
      </c>
      <c r="O102" s="148">
        <v>0</v>
      </c>
      <c r="P102" s="150" t="e">
        <f t="shared" si="65"/>
        <v>#DIV/0!</v>
      </c>
      <c r="Q102" s="148">
        <v>0</v>
      </c>
      <c r="R102" s="150" t="e">
        <f t="shared" ref="R102" si="96">+Q102/$L102</f>
        <v>#DIV/0!</v>
      </c>
    </row>
    <row r="103" spans="1:20" ht="24" customHeight="1">
      <c r="A103" s="32" t="e">
        <v>#REF!</v>
      </c>
      <c r="B103" s="128" t="s">
        <v>23</v>
      </c>
      <c r="C103" s="128" t="s">
        <v>65</v>
      </c>
      <c r="D103" s="128" t="s">
        <v>28</v>
      </c>
      <c r="E103" s="128"/>
      <c r="F103" s="128"/>
      <c r="G103" s="128"/>
      <c r="H103" s="128"/>
      <c r="I103" s="129"/>
      <c r="J103" s="129"/>
      <c r="K103" s="129" t="s">
        <v>143</v>
      </c>
      <c r="L103" s="130">
        <v>2675000000</v>
      </c>
      <c r="M103" s="130">
        <v>1742062017</v>
      </c>
      <c r="N103" s="131">
        <f t="shared" si="65"/>
        <v>0.65123813719626167</v>
      </c>
      <c r="O103" s="130">
        <v>1742062017</v>
      </c>
      <c r="P103" s="131">
        <f t="shared" si="65"/>
        <v>0.65123813719626167</v>
      </c>
      <c r="Q103" s="130">
        <v>1742062017</v>
      </c>
      <c r="R103" s="131">
        <f t="shared" ref="R103" si="97">+Q103/$L103</f>
        <v>0.65123813719626167</v>
      </c>
    </row>
    <row r="104" spans="1:20" ht="24" customHeight="1">
      <c r="A104" s="32" t="e">
        <v>#REF!</v>
      </c>
      <c r="B104" s="133" t="s">
        <v>23</v>
      </c>
      <c r="C104" s="133" t="s">
        <v>65</v>
      </c>
      <c r="D104" s="133" t="s">
        <v>28</v>
      </c>
      <c r="E104" s="133" t="s">
        <v>25</v>
      </c>
      <c r="F104" s="133"/>
      <c r="G104" s="133"/>
      <c r="H104" s="133"/>
      <c r="I104" s="133" t="s">
        <v>144</v>
      </c>
      <c r="J104" s="134" t="s">
        <v>29</v>
      </c>
      <c r="K104" s="134" t="s">
        <v>145</v>
      </c>
      <c r="L104" s="135">
        <v>2675000000</v>
      </c>
      <c r="M104" s="135">
        <v>1742062017</v>
      </c>
      <c r="N104" s="137">
        <f t="shared" si="65"/>
        <v>0.65123813719626167</v>
      </c>
      <c r="O104" s="135">
        <v>1742062017</v>
      </c>
      <c r="P104" s="137">
        <f t="shared" si="65"/>
        <v>0.65123813719626167</v>
      </c>
      <c r="Q104" s="135">
        <v>1742062017</v>
      </c>
      <c r="R104" s="137">
        <f t="shared" ref="R104" si="98">+Q104/$L104</f>
        <v>0.65123813719626167</v>
      </c>
    </row>
    <row r="105" spans="1:20" ht="24.95" customHeight="1">
      <c r="A105" s="32" t="e">
        <v>#REF!</v>
      </c>
      <c r="B105" s="145" t="s">
        <v>23</v>
      </c>
      <c r="C105" s="145" t="s">
        <v>65</v>
      </c>
      <c r="D105" s="145" t="s">
        <v>28</v>
      </c>
      <c r="E105" s="145" t="s">
        <v>25</v>
      </c>
      <c r="F105" s="145" t="s">
        <v>31</v>
      </c>
      <c r="G105" s="145"/>
      <c r="H105" s="145"/>
      <c r="I105" s="145">
        <v>10</v>
      </c>
      <c r="J105" s="146" t="s">
        <v>29</v>
      </c>
      <c r="K105" s="147" t="s">
        <v>146</v>
      </c>
      <c r="L105" s="148">
        <v>2675000000</v>
      </c>
      <c r="M105" s="149">
        <v>1742062017</v>
      </c>
      <c r="N105" s="150">
        <f t="shared" si="65"/>
        <v>0.65123813719626167</v>
      </c>
      <c r="O105" s="148">
        <v>1742062017</v>
      </c>
      <c r="P105" s="150">
        <f t="shared" si="65"/>
        <v>0.65123813719626167</v>
      </c>
      <c r="Q105" s="148">
        <v>1742062017</v>
      </c>
      <c r="R105" s="150">
        <f t="shared" ref="R105" si="99">+Q105/$L105</f>
        <v>0.65123813719626167</v>
      </c>
    </row>
    <row r="106" spans="1:20" ht="24" customHeight="1">
      <c r="A106" s="32" t="e">
        <v>#REF!</v>
      </c>
      <c r="B106" s="123" t="s">
        <v>23</v>
      </c>
      <c r="C106" s="123" t="s">
        <v>148</v>
      </c>
      <c r="D106" s="123"/>
      <c r="E106" s="123"/>
      <c r="F106" s="123"/>
      <c r="G106" s="123"/>
      <c r="H106" s="123"/>
      <c r="I106" s="124"/>
      <c r="J106" s="124"/>
      <c r="K106" s="124" t="s">
        <v>149</v>
      </c>
      <c r="L106" s="125">
        <v>6047000000</v>
      </c>
      <c r="M106" s="125">
        <v>74107606</v>
      </c>
      <c r="N106" s="126">
        <f t="shared" si="65"/>
        <v>1.2255268066809988E-2</v>
      </c>
      <c r="O106" s="125">
        <v>74107606</v>
      </c>
      <c r="P106" s="126">
        <f t="shared" si="65"/>
        <v>1.2255268066809988E-2</v>
      </c>
      <c r="Q106" s="125">
        <v>74107606</v>
      </c>
      <c r="R106" s="126">
        <f t="shared" ref="R106" si="100">+Q106/$L106</f>
        <v>1.2255268066809988E-2</v>
      </c>
    </row>
    <row r="107" spans="1:20" ht="24" customHeight="1">
      <c r="A107" s="32" t="e">
        <v>#REF!</v>
      </c>
      <c r="B107" s="128" t="s">
        <v>23</v>
      </c>
      <c r="C107" s="128" t="s">
        <v>148</v>
      </c>
      <c r="D107" s="128" t="s">
        <v>25</v>
      </c>
      <c r="E107" s="128"/>
      <c r="F107" s="128"/>
      <c r="G107" s="128"/>
      <c r="H107" s="128"/>
      <c r="I107" s="129"/>
      <c r="J107" s="129"/>
      <c r="K107" s="129" t="s">
        <v>150</v>
      </c>
      <c r="L107" s="130">
        <v>134000000</v>
      </c>
      <c r="M107" s="130">
        <v>74107606</v>
      </c>
      <c r="N107" s="131">
        <f t="shared" si="65"/>
        <v>0.5530418358208955</v>
      </c>
      <c r="O107" s="130">
        <v>74107606</v>
      </c>
      <c r="P107" s="131">
        <f t="shared" si="65"/>
        <v>0.5530418358208955</v>
      </c>
      <c r="Q107" s="130">
        <v>74107606</v>
      </c>
      <c r="R107" s="131">
        <f t="shared" ref="R107" si="101">+Q107/$L107</f>
        <v>0.5530418358208955</v>
      </c>
    </row>
    <row r="108" spans="1:20" ht="24" customHeight="1">
      <c r="A108" s="32" t="e">
        <v>#REF!</v>
      </c>
      <c r="B108" s="133" t="s">
        <v>23</v>
      </c>
      <c r="C108" s="133" t="s">
        <v>148</v>
      </c>
      <c r="D108" s="133" t="s">
        <v>25</v>
      </c>
      <c r="E108" s="133" t="s">
        <v>54</v>
      </c>
      <c r="F108" s="133"/>
      <c r="G108" s="133"/>
      <c r="H108" s="133"/>
      <c r="I108" s="133" t="s">
        <v>28</v>
      </c>
      <c r="J108" s="134" t="s">
        <v>29</v>
      </c>
      <c r="K108" s="134" t="s">
        <v>151</v>
      </c>
      <c r="L108" s="135">
        <v>134000000</v>
      </c>
      <c r="M108" s="135">
        <v>74107606</v>
      </c>
      <c r="N108" s="137">
        <f t="shared" si="65"/>
        <v>0.5530418358208955</v>
      </c>
      <c r="O108" s="135">
        <v>74107606</v>
      </c>
      <c r="P108" s="137">
        <f t="shared" si="65"/>
        <v>0.5530418358208955</v>
      </c>
      <c r="Q108" s="135">
        <v>74107606</v>
      </c>
      <c r="R108" s="137">
        <f t="shared" ref="R108" si="102">+Q108/$L108</f>
        <v>0.5530418358208955</v>
      </c>
    </row>
    <row r="109" spans="1:20" ht="24.95" customHeight="1">
      <c r="A109" s="32" t="e">
        <v>#REF!</v>
      </c>
      <c r="B109" s="145" t="s">
        <v>23</v>
      </c>
      <c r="C109" s="145" t="s">
        <v>148</v>
      </c>
      <c r="D109" s="145" t="s">
        <v>25</v>
      </c>
      <c r="E109" s="145" t="s">
        <v>54</v>
      </c>
      <c r="F109" s="145" t="s">
        <v>31</v>
      </c>
      <c r="G109" s="145"/>
      <c r="H109" s="145"/>
      <c r="I109" s="145" t="s">
        <v>28</v>
      </c>
      <c r="J109" s="146" t="s">
        <v>29</v>
      </c>
      <c r="K109" s="147" t="s">
        <v>152</v>
      </c>
      <c r="L109" s="148">
        <v>60000000</v>
      </c>
      <c r="M109" s="148">
        <v>50544836</v>
      </c>
      <c r="N109" s="150">
        <f t="shared" si="65"/>
        <v>0.84241393333333336</v>
      </c>
      <c r="O109" s="148">
        <v>50544836</v>
      </c>
      <c r="P109" s="150">
        <f t="shared" si="65"/>
        <v>0.84241393333333336</v>
      </c>
      <c r="Q109" s="148">
        <v>50544836</v>
      </c>
      <c r="R109" s="150">
        <f t="shared" ref="R109" si="103">+Q109/$L109</f>
        <v>0.84241393333333336</v>
      </c>
    </row>
    <row r="110" spans="1:20" ht="24.95" customHeight="1">
      <c r="A110" s="32" t="e">
        <v>#REF!</v>
      </c>
      <c r="B110" s="145" t="s">
        <v>23</v>
      </c>
      <c r="C110" s="145" t="s">
        <v>148</v>
      </c>
      <c r="D110" s="145" t="s">
        <v>25</v>
      </c>
      <c r="E110" s="145" t="s">
        <v>54</v>
      </c>
      <c r="F110" s="145" t="s">
        <v>38</v>
      </c>
      <c r="G110" s="145"/>
      <c r="H110" s="145"/>
      <c r="I110" s="145" t="s">
        <v>28</v>
      </c>
      <c r="J110" s="146" t="s">
        <v>29</v>
      </c>
      <c r="K110" s="147" t="s">
        <v>153</v>
      </c>
      <c r="L110" s="148">
        <v>59000000</v>
      </c>
      <c r="M110" s="148">
        <v>16617740</v>
      </c>
      <c r="N110" s="150">
        <f t="shared" si="65"/>
        <v>0.28165661016949151</v>
      </c>
      <c r="O110" s="148">
        <v>16617740</v>
      </c>
      <c r="P110" s="150">
        <f t="shared" si="65"/>
        <v>0.28165661016949151</v>
      </c>
      <c r="Q110" s="148">
        <v>16617740</v>
      </c>
      <c r="R110" s="150">
        <f t="shared" ref="R110" si="104">+Q110/$L110</f>
        <v>0.28165661016949151</v>
      </c>
    </row>
    <row r="111" spans="1:20" ht="24.95" customHeight="1">
      <c r="A111" s="32" t="e">
        <v>#REF!</v>
      </c>
      <c r="B111" s="145" t="s">
        <v>23</v>
      </c>
      <c r="C111" s="145" t="s">
        <v>148</v>
      </c>
      <c r="D111" s="145" t="s">
        <v>25</v>
      </c>
      <c r="E111" s="145" t="s">
        <v>54</v>
      </c>
      <c r="F111" s="145" t="s">
        <v>42</v>
      </c>
      <c r="G111" s="145"/>
      <c r="H111" s="145"/>
      <c r="I111" s="145" t="s">
        <v>28</v>
      </c>
      <c r="J111" s="146" t="s">
        <v>29</v>
      </c>
      <c r="K111" s="147" t="s">
        <v>154</v>
      </c>
      <c r="L111" s="148">
        <v>15000000</v>
      </c>
      <c r="M111" s="148">
        <v>6945030</v>
      </c>
      <c r="N111" s="150">
        <f t="shared" si="65"/>
        <v>0.46300200000000002</v>
      </c>
      <c r="O111" s="148">
        <v>6945030</v>
      </c>
      <c r="P111" s="150">
        <f t="shared" si="65"/>
        <v>0.46300200000000002</v>
      </c>
      <c r="Q111" s="148">
        <v>6945030</v>
      </c>
      <c r="R111" s="150">
        <f t="shared" ref="R111" si="105">+Q111/$L111</f>
        <v>0.46300200000000002</v>
      </c>
    </row>
    <row r="112" spans="1:20" ht="24" customHeight="1">
      <c r="A112" s="32" t="e">
        <v>#REF!</v>
      </c>
      <c r="B112" s="128" t="s">
        <v>23</v>
      </c>
      <c r="C112" s="128" t="s">
        <v>148</v>
      </c>
      <c r="D112" s="128" t="s">
        <v>136</v>
      </c>
      <c r="E112" s="128"/>
      <c r="F112" s="128"/>
      <c r="G112" s="128"/>
      <c r="H112" s="128"/>
      <c r="I112" s="129"/>
      <c r="J112" s="129"/>
      <c r="K112" s="129" t="s">
        <v>155</v>
      </c>
      <c r="L112" s="130">
        <v>5913000000</v>
      </c>
      <c r="M112" s="130">
        <v>0</v>
      </c>
      <c r="N112" s="131">
        <f t="shared" si="65"/>
        <v>0</v>
      </c>
      <c r="O112" s="130">
        <v>0</v>
      </c>
      <c r="P112" s="131">
        <f t="shared" si="65"/>
        <v>0</v>
      </c>
      <c r="Q112" s="130">
        <v>0</v>
      </c>
      <c r="R112" s="131">
        <f t="shared" ref="R112" si="106">+Q112/$L112</f>
        <v>0</v>
      </c>
    </row>
    <row r="113" spans="1:18" ht="24.95" hidden="1" customHeight="1">
      <c r="A113" s="32"/>
      <c r="B113" s="145" t="s">
        <v>23</v>
      </c>
      <c r="C113" s="145" t="s">
        <v>148</v>
      </c>
      <c r="D113" s="145" t="s">
        <v>136</v>
      </c>
      <c r="E113" s="145" t="s">
        <v>25</v>
      </c>
      <c r="F113" s="145"/>
      <c r="G113" s="145"/>
      <c r="H113" s="145"/>
      <c r="I113" s="145">
        <v>10</v>
      </c>
      <c r="J113" s="146" t="s">
        <v>156</v>
      </c>
      <c r="K113" s="147" t="s">
        <v>157</v>
      </c>
      <c r="L113" s="148">
        <v>0</v>
      </c>
      <c r="M113" s="148">
        <v>0</v>
      </c>
      <c r="N113" s="150" t="e">
        <f t="shared" si="65"/>
        <v>#DIV/0!</v>
      </c>
      <c r="O113" s="148">
        <v>0</v>
      </c>
      <c r="P113" s="150" t="e">
        <f t="shared" si="65"/>
        <v>#DIV/0!</v>
      </c>
      <c r="Q113" s="148">
        <v>0</v>
      </c>
      <c r="R113" s="150" t="e">
        <f t="shared" ref="R113" si="107">+Q113/$L113</f>
        <v>#DIV/0!</v>
      </c>
    </row>
    <row r="114" spans="1:18" ht="24.95" customHeight="1">
      <c r="A114" s="32" t="e">
        <v>#REF!</v>
      </c>
      <c r="B114" s="145" t="s">
        <v>23</v>
      </c>
      <c r="C114" s="145" t="s">
        <v>148</v>
      </c>
      <c r="D114" s="145" t="s">
        <v>136</v>
      </c>
      <c r="E114" s="145" t="s">
        <v>25</v>
      </c>
      <c r="F114" s="145"/>
      <c r="G114" s="145"/>
      <c r="H114" s="145"/>
      <c r="I114" s="145" t="s">
        <v>144</v>
      </c>
      <c r="J114" s="146" t="s">
        <v>156</v>
      </c>
      <c r="K114" s="147" t="s">
        <v>157</v>
      </c>
      <c r="L114" s="148">
        <v>5913000000</v>
      </c>
      <c r="M114" s="148">
        <v>0</v>
      </c>
      <c r="N114" s="150">
        <f t="shared" si="65"/>
        <v>0</v>
      </c>
      <c r="O114" s="148">
        <v>0</v>
      </c>
      <c r="P114" s="150">
        <f t="shared" si="65"/>
        <v>0</v>
      </c>
      <c r="Q114" s="148">
        <v>0</v>
      </c>
      <c r="R114" s="150">
        <f t="shared" ref="R114" si="108">+Q114/$L114</f>
        <v>0</v>
      </c>
    </row>
    <row r="115" spans="1:18" ht="35.1" customHeight="1">
      <c r="A115" s="32" t="e">
        <v>#REF!</v>
      </c>
      <c r="B115" s="118" t="s">
        <v>167</v>
      </c>
      <c r="C115" s="119"/>
      <c r="D115" s="119"/>
      <c r="E115" s="119"/>
      <c r="F115" s="119"/>
      <c r="G115" s="119"/>
      <c r="H115" s="119"/>
      <c r="I115" s="119"/>
      <c r="J115" s="119"/>
      <c r="K115" s="119" t="s">
        <v>168</v>
      </c>
      <c r="L115" s="120">
        <v>5911716272014</v>
      </c>
      <c r="M115" s="120">
        <v>2731485183101.7598</v>
      </c>
      <c r="N115" s="121">
        <f t="shared" si="65"/>
        <v>0.46204605522639519</v>
      </c>
      <c r="O115" s="120">
        <v>2260259315791.0103</v>
      </c>
      <c r="P115" s="121">
        <f t="shared" si="65"/>
        <v>0.38233555397288821</v>
      </c>
      <c r="Q115" s="120">
        <v>1924566907967.01</v>
      </c>
      <c r="R115" s="121">
        <f t="shared" ref="R115" si="109">+Q115/$L115</f>
        <v>0.32555129837301033</v>
      </c>
    </row>
    <row r="116" spans="1:18" ht="27.75" customHeight="1">
      <c r="A116" s="32" t="e">
        <v>#REF!</v>
      </c>
      <c r="B116" s="123" t="s">
        <v>167</v>
      </c>
      <c r="C116" s="123">
        <v>4101</v>
      </c>
      <c r="D116" s="123"/>
      <c r="E116" s="123"/>
      <c r="F116" s="123"/>
      <c r="G116" s="123"/>
      <c r="H116" s="123"/>
      <c r="I116" s="124"/>
      <c r="J116" s="124"/>
      <c r="K116" s="124" t="s">
        <v>169</v>
      </c>
      <c r="L116" s="125">
        <v>10248574078</v>
      </c>
      <c r="M116" s="125">
        <v>10248574078</v>
      </c>
      <c r="N116" s="126">
        <f t="shared" si="65"/>
        <v>1</v>
      </c>
      <c r="O116" s="125">
        <v>10248574078</v>
      </c>
      <c r="P116" s="126">
        <f t="shared" si="65"/>
        <v>1</v>
      </c>
      <c r="Q116" s="125">
        <v>10248574078</v>
      </c>
      <c r="R116" s="126">
        <f t="shared" ref="R116" si="110">+Q116/$L116</f>
        <v>1</v>
      </c>
    </row>
    <row r="117" spans="1:18" ht="24" customHeight="1">
      <c r="A117" s="32" t="e">
        <v>#REF!</v>
      </c>
      <c r="B117" s="128" t="s">
        <v>167</v>
      </c>
      <c r="C117" s="128">
        <v>4101</v>
      </c>
      <c r="D117" s="128">
        <v>1500</v>
      </c>
      <c r="E117" s="128"/>
      <c r="F117" s="128"/>
      <c r="G117" s="128"/>
      <c r="H117" s="128"/>
      <c r="I117" s="129"/>
      <c r="J117" s="129"/>
      <c r="K117" s="129" t="s">
        <v>170</v>
      </c>
      <c r="L117" s="130">
        <v>10248574078</v>
      </c>
      <c r="M117" s="130">
        <v>10248574078</v>
      </c>
      <c r="N117" s="131">
        <f t="shared" si="65"/>
        <v>1</v>
      </c>
      <c r="O117" s="130">
        <v>10248574078</v>
      </c>
      <c r="P117" s="131">
        <f t="shared" si="65"/>
        <v>1</v>
      </c>
      <c r="Q117" s="130">
        <v>10248574078</v>
      </c>
      <c r="R117" s="131">
        <f t="shared" ref="R117" si="111">+Q117/$L117</f>
        <v>1</v>
      </c>
    </row>
    <row r="118" spans="1:18" ht="39.75" hidden="1" customHeight="1">
      <c r="A118" s="32" t="e">
        <v>#REF!</v>
      </c>
      <c r="B118" s="133" t="s">
        <v>167</v>
      </c>
      <c r="C118" s="133" t="s">
        <v>171</v>
      </c>
      <c r="D118" s="133" t="s">
        <v>172</v>
      </c>
      <c r="E118" s="133" t="s">
        <v>261</v>
      </c>
      <c r="F118" s="133"/>
      <c r="G118" s="133"/>
      <c r="H118" s="133"/>
      <c r="I118" s="133"/>
      <c r="J118" s="134"/>
      <c r="K118" s="134" t="s">
        <v>262</v>
      </c>
      <c r="L118" s="136">
        <v>0</v>
      </c>
      <c r="M118" s="136">
        <v>0</v>
      </c>
      <c r="N118" s="137" t="e">
        <f t="shared" si="65"/>
        <v>#DIV/0!</v>
      </c>
      <c r="O118" s="136">
        <v>0</v>
      </c>
      <c r="P118" s="137" t="e">
        <f t="shared" si="65"/>
        <v>#DIV/0!</v>
      </c>
      <c r="Q118" s="136">
        <v>0</v>
      </c>
      <c r="R118" s="137" t="e">
        <f t="shared" ref="R118" si="112">+Q118/$L118</f>
        <v>#DIV/0!</v>
      </c>
    </row>
    <row r="119" spans="1:18" ht="24.95" hidden="1" customHeight="1">
      <c r="A119" s="32" t="e">
        <v>#REF!</v>
      </c>
      <c r="B119" s="139" t="s">
        <v>167</v>
      </c>
      <c r="C119" s="139" t="s">
        <v>171</v>
      </c>
      <c r="D119" s="139" t="s">
        <v>172</v>
      </c>
      <c r="E119" s="139" t="s">
        <v>261</v>
      </c>
      <c r="F119" s="139" t="s">
        <v>175</v>
      </c>
      <c r="G119" s="139" t="s">
        <v>176</v>
      </c>
      <c r="H119" s="139"/>
      <c r="I119" s="139">
        <v>11</v>
      </c>
      <c r="J119" s="140" t="s">
        <v>29</v>
      </c>
      <c r="K119" s="140" t="s">
        <v>177</v>
      </c>
      <c r="L119" s="142">
        <v>0</v>
      </c>
      <c r="M119" s="142">
        <v>0</v>
      </c>
      <c r="N119" s="143" t="e">
        <f t="shared" si="65"/>
        <v>#DIV/0!</v>
      </c>
      <c r="O119" s="142">
        <v>0</v>
      </c>
      <c r="P119" s="143" t="e">
        <f t="shared" si="65"/>
        <v>#DIV/0!</v>
      </c>
      <c r="Q119" s="142">
        <v>0</v>
      </c>
      <c r="R119" s="143" t="e">
        <f t="shared" ref="R119" si="113">+Q119/$L119</f>
        <v>#DIV/0!</v>
      </c>
    </row>
    <row r="120" spans="1:18" ht="24.95" hidden="1" customHeight="1">
      <c r="A120" s="32" t="e">
        <v>#REF!</v>
      </c>
      <c r="B120" s="145" t="s">
        <v>167</v>
      </c>
      <c r="C120" s="145" t="s">
        <v>171</v>
      </c>
      <c r="D120" s="145" t="s">
        <v>172</v>
      </c>
      <c r="E120" s="145" t="s">
        <v>261</v>
      </c>
      <c r="F120" s="145" t="s">
        <v>175</v>
      </c>
      <c r="G120" s="145" t="s">
        <v>176</v>
      </c>
      <c r="H120" s="145" t="s">
        <v>54</v>
      </c>
      <c r="I120" s="145">
        <v>11</v>
      </c>
      <c r="J120" s="146" t="s">
        <v>29</v>
      </c>
      <c r="K120" s="147" t="s">
        <v>178</v>
      </c>
      <c r="L120" s="148">
        <v>0</v>
      </c>
      <c r="M120" s="148"/>
      <c r="N120" s="150" t="e">
        <f t="shared" si="65"/>
        <v>#DIV/0!</v>
      </c>
      <c r="O120" s="148"/>
      <c r="P120" s="150" t="e">
        <f t="shared" si="65"/>
        <v>#DIV/0!</v>
      </c>
      <c r="Q120" s="148"/>
      <c r="R120" s="150" t="e">
        <f t="shared" ref="R120" si="114">+Q120/$L120</f>
        <v>#DIV/0!</v>
      </c>
    </row>
    <row r="121" spans="1:18" ht="24.95" hidden="1" customHeight="1">
      <c r="A121" s="32" t="e">
        <v>#REF!</v>
      </c>
      <c r="B121" s="139" t="s">
        <v>167</v>
      </c>
      <c r="C121" s="139" t="s">
        <v>171</v>
      </c>
      <c r="D121" s="139" t="s">
        <v>172</v>
      </c>
      <c r="E121" s="139" t="s">
        <v>261</v>
      </c>
      <c r="F121" s="139" t="s">
        <v>175</v>
      </c>
      <c r="G121" s="139" t="s">
        <v>179</v>
      </c>
      <c r="H121" s="139"/>
      <c r="I121" s="139">
        <v>11</v>
      </c>
      <c r="J121" s="140" t="s">
        <v>29</v>
      </c>
      <c r="K121" s="140" t="s">
        <v>180</v>
      </c>
      <c r="L121" s="141">
        <v>0</v>
      </c>
      <c r="M121" s="141">
        <v>0</v>
      </c>
      <c r="N121" s="143" t="e">
        <f t="shared" si="65"/>
        <v>#DIV/0!</v>
      </c>
      <c r="O121" s="141">
        <v>0</v>
      </c>
      <c r="P121" s="143" t="e">
        <f t="shared" si="65"/>
        <v>#DIV/0!</v>
      </c>
      <c r="Q121" s="141">
        <v>0</v>
      </c>
      <c r="R121" s="143" t="e">
        <f t="shared" ref="R121" si="115">+Q121/$L121</f>
        <v>#DIV/0!</v>
      </c>
    </row>
    <row r="122" spans="1:18" ht="24.95" hidden="1" customHeight="1">
      <c r="A122" s="32" t="e">
        <v>#REF!</v>
      </c>
      <c r="B122" s="145" t="s">
        <v>167</v>
      </c>
      <c r="C122" s="145" t="s">
        <v>171</v>
      </c>
      <c r="D122" s="145" t="s">
        <v>172</v>
      </c>
      <c r="E122" s="145">
        <v>5</v>
      </c>
      <c r="F122" s="145" t="s">
        <v>175</v>
      </c>
      <c r="G122" s="145" t="s">
        <v>179</v>
      </c>
      <c r="H122" s="145" t="s">
        <v>54</v>
      </c>
      <c r="I122" s="145">
        <v>11</v>
      </c>
      <c r="J122" s="146" t="s">
        <v>29</v>
      </c>
      <c r="K122" s="147" t="s">
        <v>178</v>
      </c>
      <c r="L122" s="148">
        <v>0</v>
      </c>
      <c r="M122" s="148"/>
      <c r="N122" s="150" t="e">
        <f t="shared" si="65"/>
        <v>#DIV/0!</v>
      </c>
      <c r="O122" s="148"/>
      <c r="P122" s="150" t="e">
        <f t="shared" si="65"/>
        <v>#DIV/0!</v>
      </c>
      <c r="Q122" s="148"/>
      <c r="R122" s="150" t="e">
        <f t="shared" ref="R122" si="116">+Q122/$L122</f>
        <v>#DIV/0!</v>
      </c>
    </row>
    <row r="123" spans="1:18" ht="24.95" hidden="1" customHeight="1">
      <c r="A123" s="32" t="e">
        <v>#REF!</v>
      </c>
      <c r="B123" s="139" t="s">
        <v>167</v>
      </c>
      <c r="C123" s="139" t="s">
        <v>171</v>
      </c>
      <c r="D123" s="139" t="s">
        <v>172</v>
      </c>
      <c r="E123" s="139" t="s">
        <v>261</v>
      </c>
      <c r="F123" s="139" t="s">
        <v>175</v>
      </c>
      <c r="G123" s="139" t="s">
        <v>181</v>
      </c>
      <c r="H123" s="139"/>
      <c r="I123" s="139">
        <v>11</v>
      </c>
      <c r="J123" s="140" t="s">
        <v>29</v>
      </c>
      <c r="K123" s="140" t="s">
        <v>182</v>
      </c>
      <c r="L123" s="141">
        <v>0</v>
      </c>
      <c r="M123" s="141">
        <v>0</v>
      </c>
      <c r="N123" s="143" t="e">
        <f t="shared" si="65"/>
        <v>#DIV/0!</v>
      </c>
      <c r="O123" s="141">
        <v>0</v>
      </c>
      <c r="P123" s="143" t="e">
        <f t="shared" si="65"/>
        <v>#DIV/0!</v>
      </c>
      <c r="Q123" s="141">
        <v>0</v>
      </c>
      <c r="R123" s="143" t="e">
        <f t="shared" ref="R123" si="117">+Q123/$L123</f>
        <v>#DIV/0!</v>
      </c>
    </row>
    <row r="124" spans="1:18" ht="24.95" hidden="1" customHeight="1">
      <c r="A124" s="32" t="e">
        <v>#REF!</v>
      </c>
      <c r="B124" s="145" t="s">
        <v>167</v>
      </c>
      <c r="C124" s="145" t="s">
        <v>171</v>
      </c>
      <c r="D124" s="145" t="s">
        <v>172</v>
      </c>
      <c r="E124" s="145" t="s">
        <v>261</v>
      </c>
      <c r="F124" s="145" t="s">
        <v>175</v>
      </c>
      <c r="G124" s="145" t="s">
        <v>181</v>
      </c>
      <c r="H124" s="145" t="s">
        <v>54</v>
      </c>
      <c r="I124" s="145">
        <v>11</v>
      </c>
      <c r="J124" s="146" t="s">
        <v>29</v>
      </c>
      <c r="K124" s="147" t="s">
        <v>178</v>
      </c>
      <c r="L124" s="148">
        <v>0</v>
      </c>
      <c r="M124" s="148"/>
      <c r="N124" s="150" t="e">
        <f t="shared" si="65"/>
        <v>#DIV/0!</v>
      </c>
      <c r="O124" s="148"/>
      <c r="P124" s="150" t="e">
        <f t="shared" si="65"/>
        <v>#DIV/0!</v>
      </c>
      <c r="Q124" s="148"/>
      <c r="R124" s="150" t="e">
        <f t="shared" ref="R124" si="118">+Q124/$L124</f>
        <v>#DIV/0!</v>
      </c>
    </row>
    <row r="125" spans="1:18" ht="24.95" hidden="1" customHeight="1">
      <c r="A125" s="32" t="e">
        <v>#REF!</v>
      </c>
      <c r="B125" s="139" t="s">
        <v>167</v>
      </c>
      <c r="C125" s="139" t="s">
        <v>171</v>
      </c>
      <c r="D125" s="139" t="s">
        <v>172</v>
      </c>
      <c r="E125" s="139" t="s">
        <v>261</v>
      </c>
      <c r="F125" s="139" t="s">
        <v>175</v>
      </c>
      <c r="G125" s="139" t="s">
        <v>183</v>
      </c>
      <c r="H125" s="139"/>
      <c r="I125" s="139">
        <v>11</v>
      </c>
      <c r="J125" s="140" t="s">
        <v>29</v>
      </c>
      <c r="K125" s="140" t="s">
        <v>184</v>
      </c>
      <c r="L125" s="141">
        <v>0</v>
      </c>
      <c r="M125" s="141">
        <v>0</v>
      </c>
      <c r="N125" s="143" t="e">
        <f t="shared" si="65"/>
        <v>#DIV/0!</v>
      </c>
      <c r="O125" s="141">
        <v>0</v>
      </c>
      <c r="P125" s="143" t="e">
        <f t="shared" si="65"/>
        <v>#DIV/0!</v>
      </c>
      <c r="Q125" s="141">
        <v>0</v>
      </c>
      <c r="R125" s="143" t="e">
        <f t="shared" ref="R125" si="119">+Q125/$L125</f>
        <v>#DIV/0!</v>
      </c>
    </row>
    <row r="126" spans="1:18" ht="24.95" hidden="1" customHeight="1">
      <c r="A126" s="32" t="e">
        <v>#REF!</v>
      </c>
      <c r="B126" s="145" t="s">
        <v>167</v>
      </c>
      <c r="C126" s="145" t="s">
        <v>171</v>
      </c>
      <c r="D126" s="145" t="s">
        <v>172</v>
      </c>
      <c r="E126" s="145" t="s">
        <v>261</v>
      </c>
      <c r="F126" s="145" t="s">
        <v>175</v>
      </c>
      <c r="G126" s="145" t="s">
        <v>183</v>
      </c>
      <c r="H126" s="145" t="s">
        <v>54</v>
      </c>
      <c r="I126" s="145">
        <v>11</v>
      </c>
      <c r="J126" s="146" t="s">
        <v>29</v>
      </c>
      <c r="K126" s="147" t="s">
        <v>178</v>
      </c>
      <c r="L126" s="148">
        <v>0</v>
      </c>
      <c r="M126" s="148"/>
      <c r="N126" s="150" t="e">
        <f t="shared" si="65"/>
        <v>#DIV/0!</v>
      </c>
      <c r="O126" s="148"/>
      <c r="P126" s="150" t="e">
        <f t="shared" si="65"/>
        <v>#DIV/0!</v>
      </c>
      <c r="Q126" s="148"/>
      <c r="R126" s="150" t="e">
        <f t="shared" ref="R126" si="120">+Q126/$L126</f>
        <v>#DIV/0!</v>
      </c>
    </row>
    <row r="127" spans="1:18" ht="24.95" hidden="1" customHeight="1">
      <c r="A127" s="32" t="e">
        <v>#REF!</v>
      </c>
      <c r="B127" s="139" t="s">
        <v>167</v>
      </c>
      <c r="C127" s="139" t="s">
        <v>171</v>
      </c>
      <c r="D127" s="139" t="s">
        <v>172</v>
      </c>
      <c r="E127" s="139" t="s">
        <v>261</v>
      </c>
      <c r="F127" s="139" t="s">
        <v>175</v>
      </c>
      <c r="G127" s="139" t="s">
        <v>185</v>
      </c>
      <c r="H127" s="139"/>
      <c r="I127" s="139">
        <v>11</v>
      </c>
      <c r="J127" s="140" t="s">
        <v>29</v>
      </c>
      <c r="K127" s="140" t="s">
        <v>186</v>
      </c>
      <c r="L127" s="141">
        <v>0</v>
      </c>
      <c r="M127" s="141">
        <v>0</v>
      </c>
      <c r="N127" s="143" t="e">
        <f t="shared" si="65"/>
        <v>#DIV/0!</v>
      </c>
      <c r="O127" s="141">
        <v>0</v>
      </c>
      <c r="P127" s="143" t="e">
        <f t="shared" si="65"/>
        <v>#DIV/0!</v>
      </c>
      <c r="Q127" s="141">
        <v>0</v>
      </c>
      <c r="R127" s="143" t="e">
        <f t="shared" ref="R127" si="121">+Q127/$L127</f>
        <v>#DIV/0!</v>
      </c>
    </row>
    <row r="128" spans="1:18" ht="24.95" hidden="1" customHeight="1">
      <c r="A128" s="32" t="e">
        <v>#REF!</v>
      </c>
      <c r="B128" s="145" t="s">
        <v>167</v>
      </c>
      <c r="C128" s="145" t="s">
        <v>171</v>
      </c>
      <c r="D128" s="145" t="s">
        <v>172</v>
      </c>
      <c r="E128" s="145">
        <v>5</v>
      </c>
      <c r="F128" s="145" t="s">
        <v>175</v>
      </c>
      <c r="G128" s="145" t="s">
        <v>185</v>
      </c>
      <c r="H128" s="145" t="s">
        <v>54</v>
      </c>
      <c r="I128" s="145">
        <v>11</v>
      </c>
      <c r="J128" s="146" t="s">
        <v>29</v>
      </c>
      <c r="K128" s="147" t="s">
        <v>178</v>
      </c>
      <c r="L128" s="148">
        <v>0</v>
      </c>
      <c r="M128" s="148"/>
      <c r="N128" s="150" t="e">
        <f t="shared" si="65"/>
        <v>#DIV/0!</v>
      </c>
      <c r="O128" s="148"/>
      <c r="P128" s="150" t="e">
        <f t="shared" si="65"/>
        <v>#DIV/0!</v>
      </c>
      <c r="Q128" s="148"/>
      <c r="R128" s="150" t="e">
        <f t="shared" ref="R128" si="122">+Q128/$L128</f>
        <v>#DIV/0!</v>
      </c>
    </row>
    <row r="129" spans="1:18" ht="24.95" hidden="1" customHeight="1">
      <c r="A129" s="32" t="e">
        <v>#REF!</v>
      </c>
      <c r="B129" s="139" t="s">
        <v>167</v>
      </c>
      <c r="C129" s="139" t="s">
        <v>171</v>
      </c>
      <c r="D129" s="139" t="s">
        <v>172</v>
      </c>
      <c r="E129" s="139" t="s">
        <v>261</v>
      </c>
      <c r="F129" s="139" t="s">
        <v>175</v>
      </c>
      <c r="G129" s="139" t="s">
        <v>187</v>
      </c>
      <c r="H129" s="139"/>
      <c r="I129" s="139">
        <v>11</v>
      </c>
      <c r="J129" s="140" t="s">
        <v>29</v>
      </c>
      <c r="K129" s="140" t="s">
        <v>188</v>
      </c>
      <c r="L129" s="141">
        <v>0</v>
      </c>
      <c r="M129" s="141">
        <v>0</v>
      </c>
      <c r="N129" s="143" t="e">
        <f t="shared" si="65"/>
        <v>#DIV/0!</v>
      </c>
      <c r="O129" s="141">
        <v>0</v>
      </c>
      <c r="P129" s="143" t="e">
        <f t="shared" si="65"/>
        <v>#DIV/0!</v>
      </c>
      <c r="Q129" s="141">
        <v>0</v>
      </c>
      <c r="R129" s="143" t="e">
        <f t="shared" ref="R129" si="123">+Q129/$L129</f>
        <v>#DIV/0!</v>
      </c>
    </row>
    <row r="130" spans="1:18" ht="24.95" hidden="1" customHeight="1">
      <c r="A130" s="32" t="e">
        <v>#REF!</v>
      </c>
      <c r="B130" s="145" t="s">
        <v>167</v>
      </c>
      <c r="C130" s="145" t="s">
        <v>171</v>
      </c>
      <c r="D130" s="145" t="s">
        <v>172</v>
      </c>
      <c r="E130" s="145" t="s">
        <v>261</v>
      </c>
      <c r="F130" s="145" t="s">
        <v>175</v>
      </c>
      <c r="G130" s="145" t="s">
        <v>187</v>
      </c>
      <c r="H130" s="145" t="s">
        <v>54</v>
      </c>
      <c r="I130" s="145">
        <v>11</v>
      </c>
      <c r="J130" s="146" t="s">
        <v>29</v>
      </c>
      <c r="K130" s="147" t="s">
        <v>178</v>
      </c>
      <c r="L130" s="148">
        <v>0</v>
      </c>
      <c r="M130" s="148"/>
      <c r="N130" s="150" t="e">
        <f t="shared" si="65"/>
        <v>#DIV/0!</v>
      </c>
      <c r="O130" s="148"/>
      <c r="P130" s="150" t="e">
        <f t="shared" si="65"/>
        <v>#DIV/0!</v>
      </c>
      <c r="Q130" s="148"/>
      <c r="R130" s="150" t="e">
        <f t="shared" ref="R130" si="124">+Q130/$L130</f>
        <v>#DIV/0!</v>
      </c>
    </row>
    <row r="131" spans="1:18" ht="54.75" customHeight="1">
      <c r="A131" s="32" t="e">
        <v>#REF!</v>
      </c>
      <c r="B131" s="133" t="s">
        <v>167</v>
      </c>
      <c r="C131" s="133" t="s">
        <v>171</v>
      </c>
      <c r="D131" s="133" t="s">
        <v>172</v>
      </c>
      <c r="E131" s="133" t="s">
        <v>173</v>
      </c>
      <c r="F131" s="133"/>
      <c r="G131" s="133"/>
      <c r="H131" s="133"/>
      <c r="I131" s="133"/>
      <c r="J131" s="134"/>
      <c r="K131" s="134" t="s">
        <v>174</v>
      </c>
      <c r="L131" s="135">
        <v>10248574078</v>
      </c>
      <c r="M131" s="135">
        <v>10248574078</v>
      </c>
      <c r="N131" s="137">
        <f t="shared" si="65"/>
        <v>1</v>
      </c>
      <c r="O131" s="135">
        <v>10248574078</v>
      </c>
      <c r="P131" s="137">
        <f t="shared" si="65"/>
        <v>1</v>
      </c>
      <c r="Q131" s="135">
        <v>10248574078</v>
      </c>
      <c r="R131" s="137">
        <f t="shared" ref="R131" si="125">+Q131/$L131</f>
        <v>1</v>
      </c>
    </row>
    <row r="132" spans="1:18" ht="31.5" customHeight="1">
      <c r="A132" s="32" t="e">
        <v>#REF!</v>
      </c>
      <c r="B132" s="139" t="s">
        <v>167</v>
      </c>
      <c r="C132" s="139" t="s">
        <v>171</v>
      </c>
      <c r="D132" s="139" t="s">
        <v>172</v>
      </c>
      <c r="E132" s="139" t="s">
        <v>173</v>
      </c>
      <c r="F132" s="139" t="s">
        <v>175</v>
      </c>
      <c r="G132" s="139" t="s">
        <v>176</v>
      </c>
      <c r="H132" s="139"/>
      <c r="I132" s="139" t="s">
        <v>144</v>
      </c>
      <c r="J132" s="140" t="s">
        <v>29</v>
      </c>
      <c r="K132" s="140" t="s">
        <v>177</v>
      </c>
      <c r="L132" s="141">
        <v>1189683575</v>
      </c>
      <c r="M132" s="141">
        <v>1189683575</v>
      </c>
      <c r="N132" s="143">
        <f t="shared" si="65"/>
        <v>1</v>
      </c>
      <c r="O132" s="141">
        <v>1189683575</v>
      </c>
      <c r="P132" s="143">
        <f t="shared" si="65"/>
        <v>1</v>
      </c>
      <c r="Q132" s="141">
        <v>1189683575</v>
      </c>
      <c r="R132" s="143">
        <f t="shared" ref="R132" si="126">+Q132/$L132</f>
        <v>1</v>
      </c>
    </row>
    <row r="133" spans="1:18" ht="24.95" customHeight="1">
      <c r="A133" s="32" t="e">
        <v>#REF!</v>
      </c>
      <c r="B133" s="145" t="s">
        <v>167</v>
      </c>
      <c r="C133" s="145" t="s">
        <v>171</v>
      </c>
      <c r="D133" s="145" t="s">
        <v>172</v>
      </c>
      <c r="E133" s="145" t="s">
        <v>173</v>
      </c>
      <c r="F133" s="145" t="s">
        <v>175</v>
      </c>
      <c r="G133" s="145" t="s">
        <v>176</v>
      </c>
      <c r="H133" s="145" t="s">
        <v>54</v>
      </c>
      <c r="I133" s="145" t="s">
        <v>144</v>
      </c>
      <c r="J133" s="146" t="s">
        <v>29</v>
      </c>
      <c r="K133" s="147" t="s">
        <v>178</v>
      </c>
      <c r="L133" s="148">
        <v>1189683575</v>
      </c>
      <c r="M133" s="148">
        <v>1189683575</v>
      </c>
      <c r="N133" s="150">
        <f t="shared" si="65"/>
        <v>1</v>
      </c>
      <c r="O133" s="148">
        <v>1189683575</v>
      </c>
      <c r="P133" s="150">
        <f t="shared" si="65"/>
        <v>1</v>
      </c>
      <c r="Q133" s="148">
        <v>1189683575</v>
      </c>
      <c r="R133" s="150">
        <f t="shared" ref="R133" si="127">+Q133/$L133</f>
        <v>1</v>
      </c>
    </row>
    <row r="134" spans="1:18" ht="31.5" customHeight="1">
      <c r="A134" s="32" t="e">
        <v>#REF!</v>
      </c>
      <c r="B134" s="139" t="s">
        <v>167</v>
      </c>
      <c r="C134" s="139" t="s">
        <v>171</v>
      </c>
      <c r="D134" s="139" t="s">
        <v>172</v>
      </c>
      <c r="E134" s="139" t="s">
        <v>173</v>
      </c>
      <c r="F134" s="139" t="s">
        <v>175</v>
      </c>
      <c r="G134" s="139" t="s">
        <v>179</v>
      </c>
      <c r="H134" s="139"/>
      <c r="I134" s="139" t="s">
        <v>144</v>
      </c>
      <c r="J134" s="140" t="s">
        <v>29</v>
      </c>
      <c r="K134" s="140" t="s">
        <v>180</v>
      </c>
      <c r="L134" s="141">
        <v>115014864</v>
      </c>
      <c r="M134" s="141">
        <v>115014864</v>
      </c>
      <c r="N134" s="143">
        <f t="shared" si="65"/>
        <v>1</v>
      </c>
      <c r="O134" s="141">
        <v>115014864</v>
      </c>
      <c r="P134" s="143">
        <f t="shared" si="65"/>
        <v>1</v>
      </c>
      <c r="Q134" s="141">
        <v>115014864</v>
      </c>
      <c r="R134" s="143">
        <f t="shared" ref="R134" si="128">+Q134/$L134</f>
        <v>1</v>
      </c>
    </row>
    <row r="135" spans="1:18" ht="24.95" customHeight="1">
      <c r="A135" s="32" t="e">
        <v>#REF!</v>
      </c>
      <c r="B135" s="145" t="s">
        <v>167</v>
      </c>
      <c r="C135" s="145" t="s">
        <v>171</v>
      </c>
      <c r="D135" s="145" t="s">
        <v>172</v>
      </c>
      <c r="E135" s="145" t="s">
        <v>173</v>
      </c>
      <c r="F135" s="145" t="s">
        <v>175</v>
      </c>
      <c r="G135" s="145" t="s">
        <v>179</v>
      </c>
      <c r="H135" s="145" t="s">
        <v>54</v>
      </c>
      <c r="I135" s="145" t="s">
        <v>144</v>
      </c>
      <c r="J135" s="146" t="s">
        <v>29</v>
      </c>
      <c r="K135" s="147" t="s">
        <v>178</v>
      </c>
      <c r="L135" s="148">
        <v>115014864</v>
      </c>
      <c r="M135" s="148">
        <v>115014864</v>
      </c>
      <c r="N135" s="150">
        <f t="shared" si="65"/>
        <v>1</v>
      </c>
      <c r="O135" s="148">
        <v>115014864</v>
      </c>
      <c r="P135" s="150">
        <f t="shared" si="65"/>
        <v>1</v>
      </c>
      <c r="Q135" s="148">
        <v>115014864</v>
      </c>
      <c r="R135" s="150">
        <f t="shared" ref="R135" si="129">+Q135/$L135</f>
        <v>1</v>
      </c>
    </row>
    <row r="136" spans="1:18" ht="31.5" hidden="1" customHeight="1">
      <c r="A136" s="32" t="e">
        <v>#REF!</v>
      </c>
      <c r="B136" s="139" t="s">
        <v>167</v>
      </c>
      <c r="C136" s="139" t="s">
        <v>171</v>
      </c>
      <c r="D136" s="139" t="s">
        <v>172</v>
      </c>
      <c r="E136" s="139" t="s">
        <v>173</v>
      </c>
      <c r="F136" s="139" t="s">
        <v>175</v>
      </c>
      <c r="G136" s="139" t="s">
        <v>181</v>
      </c>
      <c r="H136" s="139"/>
      <c r="I136" s="139" t="s">
        <v>144</v>
      </c>
      <c r="J136" s="140" t="s">
        <v>29</v>
      </c>
      <c r="K136" s="140" t="s">
        <v>182</v>
      </c>
      <c r="L136" s="141">
        <v>0</v>
      </c>
      <c r="M136" s="141">
        <v>0</v>
      </c>
      <c r="N136" s="143" t="e">
        <f t="shared" ref="N136:P199" si="130">+M136/$L136</f>
        <v>#DIV/0!</v>
      </c>
      <c r="O136" s="141">
        <v>0</v>
      </c>
      <c r="P136" s="143" t="e">
        <f t="shared" si="130"/>
        <v>#DIV/0!</v>
      </c>
      <c r="Q136" s="141">
        <v>0</v>
      </c>
      <c r="R136" s="143" t="e">
        <f t="shared" ref="R136" si="131">+Q136/$L136</f>
        <v>#DIV/0!</v>
      </c>
    </row>
    <row r="137" spans="1:18" ht="24.95" hidden="1" customHeight="1">
      <c r="A137" s="32" t="e">
        <v>#REF!</v>
      </c>
      <c r="B137" s="145" t="s">
        <v>167</v>
      </c>
      <c r="C137" s="145" t="s">
        <v>171</v>
      </c>
      <c r="D137" s="145" t="s">
        <v>172</v>
      </c>
      <c r="E137" s="145" t="s">
        <v>173</v>
      </c>
      <c r="F137" s="145" t="s">
        <v>175</v>
      </c>
      <c r="G137" s="145" t="s">
        <v>181</v>
      </c>
      <c r="H137" s="145" t="s">
        <v>54</v>
      </c>
      <c r="I137" s="145" t="s">
        <v>144</v>
      </c>
      <c r="J137" s="146" t="s">
        <v>29</v>
      </c>
      <c r="K137" s="147" t="s">
        <v>178</v>
      </c>
      <c r="L137" s="148">
        <v>0</v>
      </c>
      <c r="M137" s="148"/>
      <c r="N137" s="150" t="e">
        <f t="shared" si="130"/>
        <v>#DIV/0!</v>
      </c>
      <c r="O137" s="148"/>
      <c r="P137" s="150" t="e">
        <f t="shared" si="130"/>
        <v>#DIV/0!</v>
      </c>
      <c r="Q137" s="148"/>
      <c r="R137" s="150" t="e">
        <f t="shared" ref="R137" si="132">+Q137/$L137</f>
        <v>#DIV/0!</v>
      </c>
    </row>
    <row r="138" spans="1:18" ht="31.5" hidden="1" customHeight="1">
      <c r="A138" s="32" t="e">
        <v>#REF!</v>
      </c>
      <c r="B138" s="139" t="s">
        <v>167</v>
      </c>
      <c r="C138" s="139" t="s">
        <v>171</v>
      </c>
      <c r="D138" s="139" t="s">
        <v>172</v>
      </c>
      <c r="E138" s="139" t="s">
        <v>173</v>
      </c>
      <c r="F138" s="139" t="s">
        <v>175</v>
      </c>
      <c r="G138" s="139" t="s">
        <v>183</v>
      </c>
      <c r="H138" s="139"/>
      <c r="I138" s="139" t="s">
        <v>144</v>
      </c>
      <c r="J138" s="140" t="s">
        <v>29</v>
      </c>
      <c r="K138" s="140" t="s">
        <v>184</v>
      </c>
      <c r="L138" s="141">
        <v>0</v>
      </c>
      <c r="M138" s="141">
        <v>0</v>
      </c>
      <c r="N138" s="143" t="e">
        <f t="shared" si="130"/>
        <v>#DIV/0!</v>
      </c>
      <c r="O138" s="141">
        <v>0</v>
      </c>
      <c r="P138" s="143" t="e">
        <f t="shared" si="130"/>
        <v>#DIV/0!</v>
      </c>
      <c r="Q138" s="141">
        <v>0</v>
      </c>
      <c r="R138" s="143" t="e">
        <f t="shared" ref="R138" si="133">+Q138/$L138</f>
        <v>#DIV/0!</v>
      </c>
    </row>
    <row r="139" spans="1:18" ht="24.95" hidden="1" customHeight="1">
      <c r="A139" s="32" t="e">
        <v>#REF!</v>
      </c>
      <c r="B139" s="145" t="s">
        <v>167</v>
      </c>
      <c r="C139" s="145" t="s">
        <v>171</v>
      </c>
      <c r="D139" s="145" t="s">
        <v>172</v>
      </c>
      <c r="E139" s="145" t="s">
        <v>173</v>
      </c>
      <c r="F139" s="145" t="s">
        <v>175</v>
      </c>
      <c r="G139" s="145" t="s">
        <v>183</v>
      </c>
      <c r="H139" s="145" t="s">
        <v>54</v>
      </c>
      <c r="I139" s="145" t="s">
        <v>144</v>
      </c>
      <c r="J139" s="146" t="s">
        <v>29</v>
      </c>
      <c r="K139" s="147" t="s">
        <v>178</v>
      </c>
      <c r="L139" s="148">
        <v>0</v>
      </c>
      <c r="M139" s="148">
        <v>0</v>
      </c>
      <c r="N139" s="150" t="e">
        <f t="shared" si="130"/>
        <v>#DIV/0!</v>
      </c>
      <c r="O139" s="148">
        <v>0</v>
      </c>
      <c r="P139" s="150" t="e">
        <f t="shared" si="130"/>
        <v>#DIV/0!</v>
      </c>
      <c r="Q139" s="148">
        <v>0</v>
      </c>
      <c r="R139" s="150" t="e">
        <f t="shared" ref="R139" si="134">+Q139/$L139</f>
        <v>#DIV/0!</v>
      </c>
    </row>
    <row r="140" spans="1:18" ht="31.5" customHeight="1">
      <c r="A140" s="32" t="e">
        <v>#REF!</v>
      </c>
      <c r="B140" s="139" t="s">
        <v>167</v>
      </c>
      <c r="C140" s="139" t="s">
        <v>171</v>
      </c>
      <c r="D140" s="139" t="s">
        <v>172</v>
      </c>
      <c r="E140" s="139" t="s">
        <v>173</v>
      </c>
      <c r="F140" s="139" t="s">
        <v>175</v>
      </c>
      <c r="G140" s="139" t="s">
        <v>185</v>
      </c>
      <c r="H140" s="139"/>
      <c r="I140" s="139" t="s">
        <v>144</v>
      </c>
      <c r="J140" s="140" t="s">
        <v>29</v>
      </c>
      <c r="K140" s="140" t="s">
        <v>186</v>
      </c>
      <c r="L140" s="141">
        <v>8943875639</v>
      </c>
      <c r="M140" s="141">
        <v>8943875639</v>
      </c>
      <c r="N140" s="143">
        <f t="shared" si="130"/>
        <v>1</v>
      </c>
      <c r="O140" s="141">
        <v>8943875639</v>
      </c>
      <c r="P140" s="143">
        <f t="shared" si="130"/>
        <v>1</v>
      </c>
      <c r="Q140" s="141">
        <v>8943875639</v>
      </c>
      <c r="R140" s="143">
        <f t="shared" ref="R140" si="135">+Q140/$L140</f>
        <v>1</v>
      </c>
    </row>
    <row r="141" spans="1:18" ht="24.95" customHeight="1">
      <c r="A141" s="32" t="e">
        <v>#REF!</v>
      </c>
      <c r="B141" s="145" t="s">
        <v>167</v>
      </c>
      <c r="C141" s="145" t="s">
        <v>171</v>
      </c>
      <c r="D141" s="145" t="s">
        <v>172</v>
      </c>
      <c r="E141" s="145" t="s">
        <v>173</v>
      </c>
      <c r="F141" s="145" t="s">
        <v>175</v>
      </c>
      <c r="G141" s="145" t="s">
        <v>185</v>
      </c>
      <c r="H141" s="145" t="s">
        <v>54</v>
      </c>
      <c r="I141" s="145" t="s">
        <v>144</v>
      </c>
      <c r="J141" s="146" t="s">
        <v>29</v>
      </c>
      <c r="K141" s="147" t="s">
        <v>178</v>
      </c>
      <c r="L141" s="148">
        <v>8943875639</v>
      </c>
      <c r="M141" s="148">
        <v>8943875639</v>
      </c>
      <c r="N141" s="150">
        <f t="shared" si="130"/>
        <v>1</v>
      </c>
      <c r="O141" s="148">
        <v>8943875639</v>
      </c>
      <c r="P141" s="150">
        <f t="shared" si="130"/>
        <v>1</v>
      </c>
      <c r="Q141" s="148">
        <v>8943875639</v>
      </c>
      <c r="R141" s="150">
        <f t="shared" ref="R141" si="136">+Q141/$L141</f>
        <v>1</v>
      </c>
    </row>
    <row r="142" spans="1:18" ht="31.5" hidden="1" customHeight="1">
      <c r="A142" s="32" t="e">
        <v>#REF!</v>
      </c>
      <c r="B142" s="139" t="s">
        <v>167</v>
      </c>
      <c r="C142" s="139" t="s">
        <v>171</v>
      </c>
      <c r="D142" s="139" t="s">
        <v>172</v>
      </c>
      <c r="E142" s="139" t="s">
        <v>173</v>
      </c>
      <c r="F142" s="139" t="s">
        <v>175</v>
      </c>
      <c r="G142" s="139" t="s">
        <v>187</v>
      </c>
      <c r="H142" s="139"/>
      <c r="I142" s="139" t="s">
        <v>144</v>
      </c>
      <c r="J142" s="140" t="s">
        <v>29</v>
      </c>
      <c r="K142" s="140" t="s">
        <v>188</v>
      </c>
      <c r="L142" s="141">
        <v>0</v>
      </c>
      <c r="M142" s="141">
        <v>0</v>
      </c>
      <c r="N142" s="143" t="e">
        <f t="shared" si="130"/>
        <v>#DIV/0!</v>
      </c>
      <c r="O142" s="141">
        <v>0</v>
      </c>
      <c r="P142" s="143" t="e">
        <f t="shared" si="130"/>
        <v>#DIV/0!</v>
      </c>
      <c r="Q142" s="141">
        <v>0</v>
      </c>
      <c r="R142" s="143" t="e">
        <f t="shared" ref="R142" si="137">+Q142/$L142</f>
        <v>#DIV/0!</v>
      </c>
    </row>
    <row r="143" spans="1:18" ht="24.95" hidden="1" customHeight="1">
      <c r="A143" s="32" t="e">
        <v>#REF!</v>
      </c>
      <c r="B143" s="145" t="s">
        <v>167</v>
      </c>
      <c r="C143" s="145" t="s">
        <v>171</v>
      </c>
      <c r="D143" s="145" t="s">
        <v>172</v>
      </c>
      <c r="E143" s="145" t="s">
        <v>173</v>
      </c>
      <c r="F143" s="145" t="s">
        <v>175</v>
      </c>
      <c r="G143" s="145" t="s">
        <v>187</v>
      </c>
      <c r="H143" s="145" t="s">
        <v>54</v>
      </c>
      <c r="I143" s="145" t="s">
        <v>144</v>
      </c>
      <c r="J143" s="146" t="s">
        <v>29</v>
      </c>
      <c r="K143" s="147" t="s">
        <v>178</v>
      </c>
      <c r="L143" s="148">
        <v>0</v>
      </c>
      <c r="M143" s="148">
        <v>0</v>
      </c>
      <c r="N143" s="150" t="e">
        <f t="shared" si="130"/>
        <v>#DIV/0!</v>
      </c>
      <c r="O143" s="148">
        <v>0</v>
      </c>
      <c r="P143" s="150" t="e">
        <f t="shared" si="130"/>
        <v>#DIV/0!</v>
      </c>
      <c r="Q143" s="148">
        <v>0</v>
      </c>
      <c r="R143" s="150" t="e">
        <f t="shared" ref="R143" si="138">+Q143/$L143</f>
        <v>#DIV/0!</v>
      </c>
    </row>
    <row r="144" spans="1:18" ht="24.95" hidden="1" customHeight="1">
      <c r="A144" s="32" t="e">
        <v>#REF!</v>
      </c>
      <c r="B144" s="145" t="s">
        <v>167</v>
      </c>
      <c r="C144" s="145" t="s">
        <v>171</v>
      </c>
      <c r="D144" s="145" t="s">
        <v>172</v>
      </c>
      <c r="E144" s="145" t="s">
        <v>173</v>
      </c>
      <c r="F144" s="145" t="s">
        <v>175</v>
      </c>
      <c r="G144" s="145" t="s">
        <v>187</v>
      </c>
      <c r="H144" s="145" t="s">
        <v>65</v>
      </c>
      <c r="I144" s="145" t="s">
        <v>144</v>
      </c>
      <c r="J144" s="146" t="s">
        <v>29</v>
      </c>
      <c r="K144" s="147" t="s">
        <v>127</v>
      </c>
      <c r="L144" s="148">
        <v>0</v>
      </c>
      <c r="M144" s="148">
        <v>0</v>
      </c>
      <c r="N144" s="150" t="e">
        <f t="shared" si="130"/>
        <v>#DIV/0!</v>
      </c>
      <c r="O144" s="148">
        <v>0</v>
      </c>
      <c r="P144" s="150" t="e">
        <f t="shared" si="130"/>
        <v>#DIV/0!</v>
      </c>
      <c r="Q144" s="148">
        <v>0</v>
      </c>
      <c r="R144" s="150" t="e">
        <f t="shared" ref="R144" si="139">+Q144/$L144</f>
        <v>#DIV/0!</v>
      </c>
    </row>
    <row r="145" spans="1:18" ht="35.25" customHeight="1">
      <c r="A145" s="32" t="e">
        <v>#REF!</v>
      </c>
      <c r="B145" s="123" t="s">
        <v>167</v>
      </c>
      <c r="C145" s="123">
        <v>4103</v>
      </c>
      <c r="D145" s="123"/>
      <c r="E145" s="123"/>
      <c r="F145" s="123"/>
      <c r="G145" s="123"/>
      <c r="H145" s="123"/>
      <c r="I145" s="124"/>
      <c r="J145" s="124"/>
      <c r="K145" s="124" t="s">
        <v>189</v>
      </c>
      <c r="L145" s="125">
        <v>5898241149470</v>
      </c>
      <c r="M145" s="125">
        <v>2718650225489.21</v>
      </c>
      <c r="N145" s="126">
        <f t="shared" si="130"/>
        <v>0.46092558045604842</v>
      </c>
      <c r="O145" s="125">
        <v>2247675608956.4102</v>
      </c>
      <c r="P145" s="126">
        <f t="shared" si="130"/>
        <v>0.38107557015677124</v>
      </c>
      <c r="Q145" s="125">
        <v>1911983201132.4099</v>
      </c>
      <c r="R145" s="126">
        <f t="shared" ref="R145" si="140">+Q145/$L145</f>
        <v>0.32416158523871402</v>
      </c>
    </row>
    <row r="146" spans="1:18" ht="24" customHeight="1">
      <c r="A146" s="32" t="e">
        <v>#REF!</v>
      </c>
      <c r="B146" s="128" t="s">
        <v>167</v>
      </c>
      <c r="C146" s="128">
        <v>4103</v>
      </c>
      <c r="D146" s="128">
        <v>1500</v>
      </c>
      <c r="E146" s="128"/>
      <c r="F146" s="128"/>
      <c r="G146" s="128"/>
      <c r="H146" s="128"/>
      <c r="I146" s="129"/>
      <c r="J146" s="129"/>
      <c r="K146" s="129" t="s">
        <v>170</v>
      </c>
      <c r="L146" s="130">
        <v>5898241149470</v>
      </c>
      <c r="M146" s="130">
        <v>2718650225489.21</v>
      </c>
      <c r="N146" s="131">
        <f t="shared" si="130"/>
        <v>0.46092558045604842</v>
      </c>
      <c r="O146" s="130">
        <v>2247675608956.4102</v>
      </c>
      <c r="P146" s="131">
        <f t="shared" si="130"/>
        <v>0.38107557015677124</v>
      </c>
      <c r="Q146" s="130">
        <v>1911983201132.4099</v>
      </c>
      <c r="R146" s="131">
        <f t="shared" ref="R146" si="141">+Q146/$L146</f>
        <v>0.32416158523871402</v>
      </c>
    </row>
    <row r="147" spans="1:18" ht="42.75" customHeight="1">
      <c r="A147" s="32" t="e">
        <v>#REF!</v>
      </c>
      <c r="B147" s="133" t="s">
        <v>167</v>
      </c>
      <c r="C147" s="133" t="s">
        <v>190</v>
      </c>
      <c r="D147" s="133" t="s">
        <v>172</v>
      </c>
      <c r="E147" s="133" t="s">
        <v>191</v>
      </c>
      <c r="F147" s="133"/>
      <c r="G147" s="133"/>
      <c r="H147" s="133"/>
      <c r="I147" s="133"/>
      <c r="J147" s="134"/>
      <c r="K147" s="134" t="s">
        <v>263</v>
      </c>
      <c r="L147" s="135">
        <v>2404147573733.0005</v>
      </c>
      <c r="M147" s="135">
        <v>1023261619127.03</v>
      </c>
      <c r="N147" s="137">
        <f t="shared" si="130"/>
        <v>0.42562346434423631</v>
      </c>
      <c r="O147" s="135">
        <v>960949268686.69995</v>
      </c>
      <c r="P147" s="137">
        <f t="shared" si="130"/>
        <v>0.39970477652276637</v>
      </c>
      <c r="Q147" s="135">
        <v>626172796194.69995</v>
      </c>
      <c r="R147" s="137">
        <f t="shared" ref="R147" si="142">+Q147/$L147</f>
        <v>0.2604552245611198</v>
      </c>
    </row>
    <row r="148" spans="1:18" ht="30.75" customHeight="1">
      <c r="A148" s="32" t="e">
        <v>#REF!</v>
      </c>
      <c r="B148" s="139" t="s">
        <v>167</v>
      </c>
      <c r="C148" s="139" t="s">
        <v>190</v>
      </c>
      <c r="D148" s="139" t="s">
        <v>172</v>
      </c>
      <c r="E148" s="139" t="s">
        <v>191</v>
      </c>
      <c r="F148" s="139" t="s">
        <v>175</v>
      </c>
      <c r="G148" s="139" t="s">
        <v>193</v>
      </c>
      <c r="H148" s="139"/>
      <c r="I148" s="139"/>
      <c r="J148" s="140"/>
      <c r="K148" s="140" t="s">
        <v>194</v>
      </c>
      <c r="L148" s="141">
        <v>2399012541782.0005</v>
      </c>
      <c r="M148" s="141">
        <v>1018126587176.03</v>
      </c>
      <c r="N148" s="143">
        <f t="shared" si="130"/>
        <v>0.42439402439295282</v>
      </c>
      <c r="O148" s="141">
        <v>959922262296.69995</v>
      </c>
      <c r="P148" s="143">
        <f t="shared" si="130"/>
        <v>0.40013224006893439</v>
      </c>
      <c r="Q148" s="141">
        <v>625145789804.69995</v>
      </c>
      <c r="R148" s="143">
        <f t="shared" ref="R148" si="143">+Q148/$L148</f>
        <v>0.26058462759862772</v>
      </c>
    </row>
    <row r="149" spans="1:18" ht="24.95" hidden="1" customHeight="1">
      <c r="A149" s="32" t="e">
        <v>#REF!</v>
      </c>
      <c r="B149" s="145" t="s">
        <v>167</v>
      </c>
      <c r="C149" s="145" t="s">
        <v>190</v>
      </c>
      <c r="D149" s="145" t="s">
        <v>172</v>
      </c>
      <c r="E149" s="145" t="s">
        <v>191</v>
      </c>
      <c r="F149" s="145" t="s">
        <v>175</v>
      </c>
      <c r="G149" s="145" t="s">
        <v>193</v>
      </c>
      <c r="H149" s="145" t="s">
        <v>54</v>
      </c>
      <c r="I149" s="145">
        <v>10</v>
      </c>
      <c r="J149" s="146" t="s">
        <v>29</v>
      </c>
      <c r="K149" s="147" t="s">
        <v>178</v>
      </c>
      <c r="L149" s="148">
        <v>0</v>
      </c>
      <c r="M149" s="148">
        <v>0</v>
      </c>
      <c r="N149" s="150" t="e">
        <f t="shared" si="130"/>
        <v>#DIV/0!</v>
      </c>
      <c r="O149" s="148">
        <v>0</v>
      </c>
      <c r="P149" s="150" t="e">
        <f t="shared" si="130"/>
        <v>#DIV/0!</v>
      </c>
      <c r="Q149" s="148">
        <v>0</v>
      </c>
      <c r="R149" s="150" t="e">
        <f t="shared" ref="R149" si="144">+Q149/$L149</f>
        <v>#DIV/0!</v>
      </c>
    </row>
    <row r="150" spans="1:18" ht="24.95" customHeight="1">
      <c r="A150" s="32" t="e">
        <v>#REF!</v>
      </c>
      <c r="B150" s="145" t="s">
        <v>167</v>
      </c>
      <c r="C150" s="145" t="s">
        <v>190</v>
      </c>
      <c r="D150" s="145" t="s">
        <v>172</v>
      </c>
      <c r="E150" s="145" t="s">
        <v>191</v>
      </c>
      <c r="F150" s="145" t="s">
        <v>175</v>
      </c>
      <c r="G150" s="145" t="s">
        <v>193</v>
      </c>
      <c r="H150" s="145" t="s">
        <v>54</v>
      </c>
      <c r="I150" s="145">
        <v>11</v>
      </c>
      <c r="J150" s="146" t="s">
        <v>29</v>
      </c>
      <c r="K150" s="147" t="s">
        <v>178</v>
      </c>
      <c r="L150" s="148">
        <v>132124571558.12</v>
      </c>
      <c r="M150" s="148">
        <v>81714270278.029999</v>
      </c>
      <c r="N150" s="150">
        <f t="shared" si="130"/>
        <v>0.61846384298082568</v>
      </c>
      <c r="O150" s="148">
        <v>25173745398.700001</v>
      </c>
      <c r="P150" s="150">
        <f t="shared" si="130"/>
        <v>0.19053038433223132</v>
      </c>
      <c r="Q150" s="148">
        <v>23656676056.700001</v>
      </c>
      <c r="R150" s="150">
        <f t="shared" ref="R150" si="145">+Q150/$L150</f>
        <v>0.17904827071695528</v>
      </c>
    </row>
    <row r="151" spans="1:18" ht="24.95" hidden="1" customHeight="1">
      <c r="A151" s="32" t="e">
        <v>#REF!</v>
      </c>
      <c r="B151" s="145" t="s">
        <v>167</v>
      </c>
      <c r="C151" s="145" t="s">
        <v>190</v>
      </c>
      <c r="D151" s="145" t="s">
        <v>172</v>
      </c>
      <c r="E151" s="145" t="s">
        <v>191</v>
      </c>
      <c r="F151" s="145" t="s">
        <v>175</v>
      </c>
      <c r="G151" s="145" t="s">
        <v>193</v>
      </c>
      <c r="H151" s="145" t="s">
        <v>65</v>
      </c>
      <c r="I151" s="145">
        <v>10</v>
      </c>
      <c r="J151" s="146" t="s">
        <v>29</v>
      </c>
      <c r="K151" s="147" t="s">
        <v>127</v>
      </c>
      <c r="L151" s="148">
        <v>0</v>
      </c>
      <c r="M151" s="148">
        <v>0</v>
      </c>
      <c r="N151" s="150" t="e">
        <f t="shared" si="130"/>
        <v>#DIV/0!</v>
      </c>
      <c r="O151" s="148">
        <v>0</v>
      </c>
      <c r="P151" s="150" t="e">
        <f t="shared" si="130"/>
        <v>#DIV/0!</v>
      </c>
      <c r="Q151" s="148">
        <v>0</v>
      </c>
      <c r="R151" s="150" t="e">
        <f t="shared" ref="R151" si="146">+Q151/$L151</f>
        <v>#DIV/0!</v>
      </c>
    </row>
    <row r="152" spans="1:18" ht="24.95" customHeight="1">
      <c r="A152" s="32" t="e">
        <v>#REF!</v>
      </c>
      <c r="B152" s="145" t="s">
        <v>167</v>
      </c>
      <c r="C152" s="145" t="s">
        <v>190</v>
      </c>
      <c r="D152" s="145" t="s">
        <v>172</v>
      </c>
      <c r="E152" s="145" t="s">
        <v>191</v>
      </c>
      <c r="F152" s="145" t="s">
        <v>175</v>
      </c>
      <c r="G152" s="145" t="s">
        <v>193</v>
      </c>
      <c r="H152" s="145" t="s">
        <v>65</v>
      </c>
      <c r="I152" s="145" t="s">
        <v>144</v>
      </c>
      <c r="J152" s="146" t="s">
        <v>29</v>
      </c>
      <c r="K152" s="147" t="s">
        <v>127</v>
      </c>
      <c r="L152" s="148">
        <v>2266887970223.8804</v>
      </c>
      <c r="M152" s="148">
        <v>936412316898</v>
      </c>
      <c r="N152" s="150">
        <f t="shared" si="130"/>
        <v>0.41308275009528544</v>
      </c>
      <c r="O152" s="148">
        <v>934748516898</v>
      </c>
      <c r="P152" s="150">
        <f t="shared" si="130"/>
        <v>0.41234879234269489</v>
      </c>
      <c r="Q152" s="148">
        <v>601489113748</v>
      </c>
      <c r="R152" s="150">
        <f t="shared" ref="R152" si="147">+Q152/$L152</f>
        <v>0.26533693841455969</v>
      </c>
    </row>
    <row r="153" spans="1:18" ht="32.25" customHeight="1">
      <c r="A153" s="32" t="e">
        <v>#REF!</v>
      </c>
      <c r="B153" s="139" t="s">
        <v>167</v>
      </c>
      <c r="C153" s="139" t="s">
        <v>190</v>
      </c>
      <c r="D153" s="139" t="s">
        <v>172</v>
      </c>
      <c r="E153" s="139" t="s">
        <v>191</v>
      </c>
      <c r="F153" s="139" t="s">
        <v>175</v>
      </c>
      <c r="G153" s="139">
        <v>4103009</v>
      </c>
      <c r="H153" s="139"/>
      <c r="I153" s="139">
        <v>10</v>
      </c>
      <c r="J153" s="140" t="s">
        <v>29</v>
      </c>
      <c r="K153" s="140" t="s">
        <v>195</v>
      </c>
      <c r="L153" s="141">
        <v>5135031951</v>
      </c>
      <c r="M153" s="141">
        <v>5135031951</v>
      </c>
      <c r="N153" s="143">
        <f t="shared" si="130"/>
        <v>1</v>
      </c>
      <c r="O153" s="141">
        <v>1027006390</v>
      </c>
      <c r="P153" s="143">
        <f t="shared" si="130"/>
        <v>0.19999999996105186</v>
      </c>
      <c r="Q153" s="141">
        <v>1027006390</v>
      </c>
      <c r="R153" s="143">
        <f t="shared" ref="R153" si="148">+Q153/$L153</f>
        <v>0.19999999996105186</v>
      </c>
    </row>
    <row r="154" spans="1:18" ht="24.95" hidden="1" customHeight="1">
      <c r="A154" s="32" t="e">
        <v>#REF!</v>
      </c>
      <c r="B154" s="145" t="s">
        <v>167</v>
      </c>
      <c r="C154" s="145" t="s">
        <v>190</v>
      </c>
      <c r="D154" s="145" t="s">
        <v>172</v>
      </c>
      <c r="E154" s="145" t="s">
        <v>191</v>
      </c>
      <c r="F154" s="145" t="s">
        <v>175</v>
      </c>
      <c r="G154" s="145">
        <v>4103009</v>
      </c>
      <c r="H154" s="145" t="s">
        <v>54</v>
      </c>
      <c r="I154" s="145">
        <v>10</v>
      </c>
      <c r="J154" s="146" t="s">
        <v>29</v>
      </c>
      <c r="K154" s="147" t="s">
        <v>178</v>
      </c>
      <c r="L154" s="148">
        <v>0</v>
      </c>
      <c r="M154" s="148">
        <v>0</v>
      </c>
      <c r="N154" s="150" t="e">
        <f t="shared" si="130"/>
        <v>#DIV/0!</v>
      </c>
      <c r="O154" s="148">
        <v>0</v>
      </c>
      <c r="P154" s="150" t="e">
        <f t="shared" si="130"/>
        <v>#DIV/0!</v>
      </c>
      <c r="Q154" s="148">
        <v>0</v>
      </c>
      <c r="R154" s="150" t="e">
        <f t="shared" ref="R154" si="149">+Q154/$L154</f>
        <v>#DIV/0!</v>
      </c>
    </row>
    <row r="155" spans="1:18" ht="24.95" customHeight="1">
      <c r="A155" s="32" t="e">
        <v>#REF!</v>
      </c>
      <c r="B155" s="145" t="s">
        <v>167</v>
      </c>
      <c r="C155" s="145" t="s">
        <v>190</v>
      </c>
      <c r="D155" s="145" t="s">
        <v>172</v>
      </c>
      <c r="E155" s="145" t="s">
        <v>191</v>
      </c>
      <c r="F155" s="145" t="s">
        <v>175</v>
      </c>
      <c r="G155" s="145">
        <v>4103009</v>
      </c>
      <c r="H155" s="145" t="s">
        <v>54</v>
      </c>
      <c r="I155" s="145">
        <v>11</v>
      </c>
      <c r="J155" s="146" t="s">
        <v>29</v>
      </c>
      <c r="K155" s="147" t="s">
        <v>178</v>
      </c>
      <c r="L155" s="148">
        <v>5135031951</v>
      </c>
      <c r="M155" s="148">
        <v>5135031951</v>
      </c>
      <c r="N155" s="150">
        <f t="shared" si="130"/>
        <v>1</v>
      </c>
      <c r="O155" s="148">
        <v>1027006390</v>
      </c>
      <c r="P155" s="150">
        <f t="shared" si="130"/>
        <v>0.19999999996105186</v>
      </c>
      <c r="Q155" s="148">
        <v>1027006390</v>
      </c>
      <c r="R155" s="150">
        <f t="shared" ref="R155" si="150">+Q155/$L155</f>
        <v>0.19999999996105186</v>
      </c>
    </row>
    <row r="156" spans="1:18" ht="42" customHeight="1">
      <c r="A156" s="32" t="e">
        <v>#REF!</v>
      </c>
      <c r="B156" s="133" t="s">
        <v>167</v>
      </c>
      <c r="C156" s="133" t="s">
        <v>190</v>
      </c>
      <c r="D156" s="133" t="s">
        <v>172</v>
      </c>
      <c r="E156" s="133" t="s">
        <v>22</v>
      </c>
      <c r="F156" s="133"/>
      <c r="G156" s="133"/>
      <c r="H156" s="133"/>
      <c r="I156" s="133"/>
      <c r="J156" s="134"/>
      <c r="K156" s="134" t="s">
        <v>264</v>
      </c>
      <c r="L156" s="135">
        <v>26000000000</v>
      </c>
      <c r="M156" s="135">
        <v>1651931495</v>
      </c>
      <c r="N156" s="137">
        <f t="shared" si="130"/>
        <v>6.3535826730769226E-2</v>
      </c>
      <c r="O156" s="135">
        <v>650096081</v>
      </c>
      <c r="P156" s="137">
        <f t="shared" si="130"/>
        <v>2.5003695423076924E-2</v>
      </c>
      <c r="Q156" s="135">
        <v>597936469</v>
      </c>
      <c r="R156" s="137">
        <f t="shared" ref="R156" si="151">+Q156/$L156</f>
        <v>2.2997556499999999E-2</v>
      </c>
    </row>
    <row r="157" spans="1:18" ht="32.25" customHeight="1">
      <c r="A157" s="32" t="e">
        <v>#REF!</v>
      </c>
      <c r="B157" s="139" t="s">
        <v>167</v>
      </c>
      <c r="C157" s="139" t="s">
        <v>190</v>
      </c>
      <c r="D157" s="139" t="s">
        <v>172</v>
      </c>
      <c r="E157" s="139" t="s">
        <v>22</v>
      </c>
      <c r="F157" s="139" t="s">
        <v>175</v>
      </c>
      <c r="G157" s="139" t="s">
        <v>197</v>
      </c>
      <c r="H157" s="139"/>
      <c r="I157" s="139">
        <v>11</v>
      </c>
      <c r="J157" s="140" t="s">
        <v>29</v>
      </c>
      <c r="K157" s="140" t="s">
        <v>198</v>
      </c>
      <c r="L157" s="141">
        <v>2722234333</v>
      </c>
      <c r="M157" s="141">
        <v>0</v>
      </c>
      <c r="N157" s="143">
        <f t="shared" si="130"/>
        <v>0</v>
      </c>
      <c r="O157" s="141">
        <v>0</v>
      </c>
      <c r="P157" s="143">
        <f t="shared" si="130"/>
        <v>0</v>
      </c>
      <c r="Q157" s="141">
        <v>0</v>
      </c>
      <c r="R157" s="143">
        <f t="shared" ref="R157" si="152">+Q157/$L157</f>
        <v>0</v>
      </c>
    </row>
    <row r="158" spans="1:18" ht="24.95" customHeight="1">
      <c r="A158" s="32" t="e">
        <v>#REF!</v>
      </c>
      <c r="B158" s="145" t="s">
        <v>167</v>
      </c>
      <c r="C158" s="145" t="s">
        <v>190</v>
      </c>
      <c r="D158" s="145" t="s">
        <v>172</v>
      </c>
      <c r="E158" s="145" t="s">
        <v>22</v>
      </c>
      <c r="F158" s="145" t="s">
        <v>175</v>
      </c>
      <c r="G158" s="145" t="s">
        <v>197</v>
      </c>
      <c r="H158" s="145" t="s">
        <v>54</v>
      </c>
      <c r="I158" s="145">
        <v>11</v>
      </c>
      <c r="J158" s="146" t="s">
        <v>29</v>
      </c>
      <c r="K158" s="147" t="s">
        <v>178</v>
      </c>
      <c r="L158" s="148">
        <v>2722234333</v>
      </c>
      <c r="M158" s="148">
        <v>0</v>
      </c>
      <c r="N158" s="150">
        <f t="shared" si="130"/>
        <v>0</v>
      </c>
      <c r="O158" s="148">
        <v>0</v>
      </c>
      <c r="P158" s="150">
        <f t="shared" si="130"/>
        <v>0</v>
      </c>
      <c r="Q158" s="148">
        <v>0</v>
      </c>
      <c r="R158" s="150">
        <f t="shared" ref="R158" si="153">+Q158/$L158</f>
        <v>0</v>
      </c>
    </row>
    <row r="159" spans="1:18" ht="32.25" customHeight="1">
      <c r="A159" s="32" t="e">
        <v>#REF!</v>
      </c>
      <c r="B159" s="139" t="s">
        <v>167</v>
      </c>
      <c r="C159" s="139" t="s">
        <v>190</v>
      </c>
      <c r="D159" s="139" t="s">
        <v>172</v>
      </c>
      <c r="E159" s="139" t="s">
        <v>22</v>
      </c>
      <c r="F159" s="139" t="s">
        <v>175</v>
      </c>
      <c r="G159" s="139" t="s">
        <v>199</v>
      </c>
      <c r="H159" s="139"/>
      <c r="I159" s="139">
        <v>11</v>
      </c>
      <c r="J159" s="140" t="s">
        <v>29</v>
      </c>
      <c r="K159" s="140" t="s">
        <v>200</v>
      </c>
      <c r="L159" s="141">
        <v>2304259288</v>
      </c>
      <c r="M159" s="141">
        <v>0</v>
      </c>
      <c r="N159" s="143">
        <f t="shared" si="130"/>
        <v>0</v>
      </c>
      <c r="O159" s="141">
        <v>0</v>
      </c>
      <c r="P159" s="143">
        <f t="shared" si="130"/>
        <v>0</v>
      </c>
      <c r="Q159" s="141">
        <v>0</v>
      </c>
      <c r="R159" s="143">
        <f t="shared" ref="R159" si="154">+Q159/$L159</f>
        <v>0</v>
      </c>
    </row>
    <row r="160" spans="1:18" ht="24.95" customHeight="1">
      <c r="A160" s="32" t="e">
        <v>#REF!</v>
      </c>
      <c r="B160" s="145" t="s">
        <v>167</v>
      </c>
      <c r="C160" s="145" t="s">
        <v>190</v>
      </c>
      <c r="D160" s="145" t="s">
        <v>172</v>
      </c>
      <c r="E160" s="145" t="s">
        <v>22</v>
      </c>
      <c r="F160" s="145" t="s">
        <v>175</v>
      </c>
      <c r="G160" s="145" t="s">
        <v>199</v>
      </c>
      <c r="H160" s="145" t="s">
        <v>54</v>
      </c>
      <c r="I160" s="145">
        <v>11</v>
      </c>
      <c r="J160" s="146" t="s">
        <v>29</v>
      </c>
      <c r="K160" s="147" t="s">
        <v>178</v>
      </c>
      <c r="L160" s="148">
        <v>2304259288</v>
      </c>
      <c r="M160" s="148">
        <v>0</v>
      </c>
      <c r="N160" s="150">
        <f t="shared" si="130"/>
        <v>0</v>
      </c>
      <c r="O160" s="148">
        <v>0</v>
      </c>
      <c r="P160" s="150">
        <f t="shared" si="130"/>
        <v>0</v>
      </c>
      <c r="Q160" s="148">
        <v>0</v>
      </c>
      <c r="R160" s="150">
        <f t="shared" ref="R160" si="155">+Q160/$L160</f>
        <v>0</v>
      </c>
    </row>
    <row r="161" spans="1:18" ht="32.25" customHeight="1">
      <c r="A161" s="32" t="e">
        <v>#REF!</v>
      </c>
      <c r="B161" s="139" t="s">
        <v>167</v>
      </c>
      <c r="C161" s="139" t="s">
        <v>190</v>
      </c>
      <c r="D161" s="139" t="s">
        <v>172</v>
      </c>
      <c r="E161" s="139" t="s">
        <v>22</v>
      </c>
      <c r="F161" s="139" t="s">
        <v>175</v>
      </c>
      <c r="G161" s="139" t="s">
        <v>201</v>
      </c>
      <c r="H161" s="139"/>
      <c r="I161" s="139">
        <v>11</v>
      </c>
      <c r="J161" s="140" t="s">
        <v>29</v>
      </c>
      <c r="K161" s="140" t="s">
        <v>202</v>
      </c>
      <c r="L161" s="141">
        <v>2444410079</v>
      </c>
      <c r="M161" s="141">
        <v>1651931495</v>
      </c>
      <c r="N161" s="143">
        <f t="shared" si="130"/>
        <v>0.67579965783638052</v>
      </c>
      <c r="O161" s="141">
        <v>650096081</v>
      </c>
      <c r="P161" s="143">
        <f t="shared" si="130"/>
        <v>0.26595213568500425</v>
      </c>
      <c r="Q161" s="141">
        <v>597936469</v>
      </c>
      <c r="R161" s="143">
        <f t="shared" ref="R161" si="156">+Q161/$L161</f>
        <v>0.24461381260734033</v>
      </c>
    </row>
    <row r="162" spans="1:18" ht="24.95" customHeight="1">
      <c r="A162" s="32" t="e">
        <v>#REF!</v>
      </c>
      <c r="B162" s="145" t="s">
        <v>167</v>
      </c>
      <c r="C162" s="145" t="s">
        <v>190</v>
      </c>
      <c r="D162" s="145" t="s">
        <v>172</v>
      </c>
      <c r="E162" s="145" t="s">
        <v>22</v>
      </c>
      <c r="F162" s="145" t="s">
        <v>175</v>
      </c>
      <c r="G162" s="145" t="s">
        <v>201</v>
      </c>
      <c r="H162" s="145" t="s">
        <v>54</v>
      </c>
      <c r="I162" s="145">
        <v>11</v>
      </c>
      <c r="J162" s="146" t="s">
        <v>29</v>
      </c>
      <c r="K162" s="147" t="s">
        <v>178</v>
      </c>
      <c r="L162" s="148">
        <v>2444410079</v>
      </c>
      <c r="M162" s="148">
        <v>1651931495</v>
      </c>
      <c r="N162" s="150">
        <f t="shared" si="130"/>
        <v>0.67579965783638052</v>
      </c>
      <c r="O162" s="148">
        <v>650096081</v>
      </c>
      <c r="P162" s="150">
        <f t="shared" si="130"/>
        <v>0.26595213568500425</v>
      </c>
      <c r="Q162" s="148">
        <v>597936469</v>
      </c>
      <c r="R162" s="150">
        <f t="shared" ref="R162" si="157">+Q162/$L162</f>
        <v>0.24461381260734033</v>
      </c>
    </row>
    <row r="163" spans="1:18" ht="32.25" customHeight="1">
      <c r="A163" s="32" t="e">
        <v>#REF!</v>
      </c>
      <c r="B163" s="139" t="s">
        <v>167</v>
      </c>
      <c r="C163" s="139" t="s">
        <v>190</v>
      </c>
      <c r="D163" s="139" t="s">
        <v>172</v>
      </c>
      <c r="E163" s="139" t="s">
        <v>22</v>
      </c>
      <c r="F163" s="139" t="s">
        <v>175</v>
      </c>
      <c r="G163" s="139" t="s">
        <v>203</v>
      </c>
      <c r="H163" s="139"/>
      <c r="I163" s="139">
        <v>11</v>
      </c>
      <c r="J163" s="140" t="s">
        <v>29</v>
      </c>
      <c r="K163" s="140" t="s">
        <v>204</v>
      </c>
      <c r="L163" s="141">
        <v>18529096300</v>
      </c>
      <c r="M163" s="141">
        <v>0</v>
      </c>
      <c r="N163" s="143">
        <f t="shared" si="130"/>
        <v>0</v>
      </c>
      <c r="O163" s="141">
        <v>0</v>
      </c>
      <c r="P163" s="143">
        <f t="shared" si="130"/>
        <v>0</v>
      </c>
      <c r="Q163" s="141">
        <v>0</v>
      </c>
      <c r="R163" s="143">
        <f t="shared" ref="R163" si="158">+Q163/$L163</f>
        <v>0</v>
      </c>
    </row>
    <row r="164" spans="1:18" ht="24.95" customHeight="1">
      <c r="A164" s="32" t="e">
        <v>#REF!</v>
      </c>
      <c r="B164" s="145" t="s">
        <v>167</v>
      </c>
      <c r="C164" s="145" t="s">
        <v>190</v>
      </c>
      <c r="D164" s="145" t="s">
        <v>172</v>
      </c>
      <c r="E164" s="145" t="s">
        <v>22</v>
      </c>
      <c r="F164" s="145" t="s">
        <v>175</v>
      </c>
      <c r="G164" s="145" t="s">
        <v>203</v>
      </c>
      <c r="H164" s="145" t="s">
        <v>54</v>
      </c>
      <c r="I164" s="145">
        <v>11</v>
      </c>
      <c r="J164" s="146" t="s">
        <v>29</v>
      </c>
      <c r="K164" s="147" t="s">
        <v>178</v>
      </c>
      <c r="L164" s="148">
        <v>18529096300</v>
      </c>
      <c r="M164" s="148">
        <v>0</v>
      </c>
      <c r="N164" s="150">
        <f t="shared" si="130"/>
        <v>0</v>
      </c>
      <c r="O164" s="148">
        <v>0</v>
      </c>
      <c r="P164" s="150">
        <f t="shared" si="130"/>
        <v>0</v>
      </c>
      <c r="Q164" s="148">
        <v>0</v>
      </c>
      <c r="R164" s="150">
        <f t="shared" ref="R164" si="159">+Q164/$L164</f>
        <v>0</v>
      </c>
    </row>
    <row r="165" spans="1:18" ht="42" customHeight="1">
      <c r="A165" s="32" t="e">
        <v>#REF!</v>
      </c>
      <c r="B165" s="133" t="s">
        <v>167</v>
      </c>
      <c r="C165" s="133" t="s">
        <v>190</v>
      </c>
      <c r="D165" s="133" t="s">
        <v>172</v>
      </c>
      <c r="E165" s="133" t="s">
        <v>205</v>
      </c>
      <c r="F165" s="133"/>
      <c r="G165" s="133"/>
      <c r="H165" s="133"/>
      <c r="I165" s="133"/>
      <c r="J165" s="134"/>
      <c r="K165" s="134" t="s">
        <v>265</v>
      </c>
      <c r="L165" s="135">
        <v>557000000000</v>
      </c>
      <c r="M165" s="135">
        <v>341012111853.54999</v>
      </c>
      <c r="N165" s="137">
        <f t="shared" si="130"/>
        <v>0.61223000332773791</v>
      </c>
      <c r="O165" s="135">
        <v>69292701205.029999</v>
      </c>
      <c r="P165" s="137">
        <f t="shared" si="130"/>
        <v>0.12440341329448833</v>
      </c>
      <c r="Q165" s="135">
        <v>68911891358.029999</v>
      </c>
      <c r="R165" s="137">
        <f t="shared" ref="R165" si="160">+Q165/$L165</f>
        <v>0.12371973313829443</v>
      </c>
    </row>
    <row r="166" spans="1:18" ht="45" hidden="1" customHeight="1">
      <c r="A166" s="32"/>
      <c r="B166" s="133"/>
      <c r="C166" s="133"/>
      <c r="D166" s="133"/>
      <c r="E166" s="133"/>
      <c r="F166" s="133"/>
      <c r="G166" s="133"/>
      <c r="H166" s="133"/>
      <c r="I166" s="133"/>
      <c r="J166" s="134"/>
      <c r="K166" s="134"/>
      <c r="L166" s="135"/>
      <c r="M166" s="135"/>
      <c r="N166" s="137" t="e">
        <f t="shared" si="130"/>
        <v>#DIV/0!</v>
      </c>
      <c r="O166" s="135"/>
      <c r="P166" s="137" t="e">
        <f t="shared" si="130"/>
        <v>#DIV/0!</v>
      </c>
      <c r="Q166" s="135"/>
      <c r="R166" s="137" t="e">
        <f t="shared" ref="R166" si="161">+Q166/$L166</f>
        <v>#DIV/0!</v>
      </c>
    </row>
    <row r="167" spans="1:18" ht="32.25" customHeight="1">
      <c r="A167" s="32" t="e">
        <v>#REF!</v>
      </c>
      <c r="B167" s="139" t="s">
        <v>167</v>
      </c>
      <c r="C167" s="139" t="s">
        <v>190</v>
      </c>
      <c r="D167" s="139" t="s">
        <v>172</v>
      </c>
      <c r="E167" s="139" t="s">
        <v>205</v>
      </c>
      <c r="F167" s="139" t="s">
        <v>175</v>
      </c>
      <c r="G167" s="139" t="s">
        <v>207</v>
      </c>
      <c r="H167" s="139"/>
      <c r="I167" s="139"/>
      <c r="J167" s="140"/>
      <c r="K167" s="140" t="s">
        <v>208</v>
      </c>
      <c r="L167" s="141">
        <v>532228015566</v>
      </c>
      <c r="M167" s="141">
        <v>322899785012.54999</v>
      </c>
      <c r="N167" s="143">
        <f t="shared" si="130"/>
        <v>0.60669445344616235</v>
      </c>
      <c r="O167" s="141">
        <v>61971865445.029999</v>
      </c>
      <c r="P167" s="143">
        <f t="shared" si="130"/>
        <v>0.1164385632333273</v>
      </c>
      <c r="Q167" s="141">
        <v>61971865445.029999</v>
      </c>
      <c r="R167" s="143">
        <f t="shared" ref="R167" si="162">+Q167/$L167</f>
        <v>0.1164385632333273</v>
      </c>
    </row>
    <row r="168" spans="1:18" ht="24.95" customHeight="1">
      <c r="A168" s="32" t="e">
        <v>#REF!</v>
      </c>
      <c r="B168" s="145" t="s">
        <v>167</v>
      </c>
      <c r="C168" s="145" t="s">
        <v>190</v>
      </c>
      <c r="D168" s="145" t="s">
        <v>172</v>
      </c>
      <c r="E168" s="145" t="s">
        <v>205</v>
      </c>
      <c r="F168" s="145" t="s">
        <v>175</v>
      </c>
      <c r="G168" s="145" t="s">
        <v>207</v>
      </c>
      <c r="H168" s="145" t="s">
        <v>54</v>
      </c>
      <c r="I168" s="145">
        <v>11</v>
      </c>
      <c r="J168" s="146" t="s">
        <v>29</v>
      </c>
      <c r="K168" s="147" t="s">
        <v>178</v>
      </c>
      <c r="L168" s="148">
        <v>52895276161.970001</v>
      </c>
      <c r="M168" s="148">
        <v>39344457374.559998</v>
      </c>
      <c r="N168" s="150">
        <f t="shared" si="130"/>
        <v>0.74381797826489837</v>
      </c>
      <c r="O168" s="148">
        <v>9091941253.1700001</v>
      </c>
      <c r="P168" s="150">
        <f t="shared" si="130"/>
        <v>0.17188569401414361</v>
      </c>
      <c r="Q168" s="148">
        <v>9091941253.1700001</v>
      </c>
      <c r="R168" s="150">
        <f t="shared" ref="R168" si="163">+Q168/$L168</f>
        <v>0.17188569401414361</v>
      </c>
    </row>
    <row r="169" spans="1:18" ht="24.95" hidden="1" customHeight="1">
      <c r="A169" s="32" t="e">
        <v>#REF!</v>
      </c>
      <c r="B169" s="145" t="s">
        <v>167</v>
      </c>
      <c r="C169" s="145" t="s">
        <v>190</v>
      </c>
      <c r="D169" s="145" t="s">
        <v>172</v>
      </c>
      <c r="E169" s="145" t="s">
        <v>205</v>
      </c>
      <c r="F169" s="145" t="s">
        <v>175</v>
      </c>
      <c r="G169" s="145" t="s">
        <v>207</v>
      </c>
      <c r="H169" s="145" t="s">
        <v>65</v>
      </c>
      <c r="I169" s="145" t="s">
        <v>28</v>
      </c>
      <c r="J169" s="146" t="s">
        <v>29</v>
      </c>
      <c r="K169" s="147" t="s">
        <v>127</v>
      </c>
      <c r="L169" s="148">
        <v>0</v>
      </c>
      <c r="M169" s="148"/>
      <c r="N169" s="150" t="e">
        <f t="shared" si="130"/>
        <v>#DIV/0!</v>
      </c>
      <c r="O169" s="148"/>
      <c r="P169" s="150" t="e">
        <f t="shared" si="130"/>
        <v>#DIV/0!</v>
      </c>
      <c r="Q169" s="148"/>
      <c r="R169" s="150" t="e">
        <f t="shared" ref="R169" si="164">+Q169/$L169</f>
        <v>#DIV/0!</v>
      </c>
    </row>
    <row r="170" spans="1:18" ht="24.95" customHeight="1">
      <c r="A170" s="32" t="e">
        <v>#REF!</v>
      </c>
      <c r="B170" s="145" t="s">
        <v>167</v>
      </c>
      <c r="C170" s="145" t="s">
        <v>190</v>
      </c>
      <c r="D170" s="145" t="s">
        <v>172</v>
      </c>
      <c r="E170" s="145" t="s">
        <v>205</v>
      </c>
      <c r="F170" s="145" t="s">
        <v>175</v>
      </c>
      <c r="G170" s="145" t="s">
        <v>207</v>
      </c>
      <c r="H170" s="145" t="s">
        <v>65</v>
      </c>
      <c r="I170" s="145">
        <v>11</v>
      </c>
      <c r="J170" s="146" t="s">
        <v>29</v>
      </c>
      <c r="K170" s="147" t="s">
        <v>127</v>
      </c>
      <c r="L170" s="149">
        <v>479332739404.02997</v>
      </c>
      <c r="M170" s="148">
        <v>283555327637.98999</v>
      </c>
      <c r="N170" s="150">
        <f t="shared" si="130"/>
        <v>0.59156261262383947</v>
      </c>
      <c r="O170" s="148">
        <v>52879924191.860001</v>
      </c>
      <c r="P170" s="150">
        <f t="shared" si="130"/>
        <v>0.11031986727551166</v>
      </c>
      <c r="Q170" s="148">
        <v>52879924191.860001</v>
      </c>
      <c r="R170" s="150">
        <f t="shared" ref="R170" si="165">+Q170/$L170</f>
        <v>0.11031986727551166</v>
      </c>
    </row>
    <row r="171" spans="1:18" ht="32.25" customHeight="1">
      <c r="A171" s="32" t="e">
        <v>#REF!</v>
      </c>
      <c r="B171" s="139" t="s">
        <v>167</v>
      </c>
      <c r="C171" s="139" t="s">
        <v>190</v>
      </c>
      <c r="D171" s="139" t="s">
        <v>172</v>
      </c>
      <c r="E171" s="139" t="s">
        <v>205</v>
      </c>
      <c r="F171" s="139" t="s">
        <v>175</v>
      </c>
      <c r="G171" s="139" t="s">
        <v>209</v>
      </c>
      <c r="H171" s="139"/>
      <c r="I171" s="139">
        <v>11</v>
      </c>
      <c r="J171" s="140" t="s">
        <v>29</v>
      </c>
      <c r="K171" s="140" t="s">
        <v>210</v>
      </c>
      <c r="L171" s="141">
        <v>24771984434</v>
      </c>
      <c r="M171" s="141">
        <v>18112326841</v>
      </c>
      <c r="N171" s="143">
        <f t="shared" si="130"/>
        <v>0.73116172381169842</v>
      </c>
      <c r="O171" s="141">
        <v>7320835760</v>
      </c>
      <c r="P171" s="143">
        <f t="shared" si="130"/>
        <v>0.29552883740521085</v>
      </c>
      <c r="Q171" s="141">
        <v>6940025913</v>
      </c>
      <c r="R171" s="143">
        <f t="shared" ref="R171" si="166">+Q171/$L171</f>
        <v>0.28015623582722293</v>
      </c>
    </row>
    <row r="172" spans="1:18" ht="24.95" customHeight="1">
      <c r="A172" s="32" t="e">
        <v>#REF!</v>
      </c>
      <c r="B172" s="145" t="s">
        <v>167</v>
      </c>
      <c r="C172" s="145" t="s">
        <v>190</v>
      </c>
      <c r="D172" s="145" t="s">
        <v>172</v>
      </c>
      <c r="E172" s="145" t="s">
        <v>205</v>
      </c>
      <c r="F172" s="145" t="s">
        <v>175</v>
      </c>
      <c r="G172" s="145" t="s">
        <v>209</v>
      </c>
      <c r="H172" s="145" t="s">
        <v>54</v>
      </c>
      <c r="I172" s="145">
        <v>11</v>
      </c>
      <c r="J172" s="146" t="s">
        <v>29</v>
      </c>
      <c r="K172" s="147" t="s">
        <v>178</v>
      </c>
      <c r="L172" s="148">
        <v>24771984434</v>
      </c>
      <c r="M172" s="148">
        <v>18112326841</v>
      </c>
      <c r="N172" s="150">
        <f t="shared" si="130"/>
        <v>0.73116172381169842</v>
      </c>
      <c r="O172" s="148">
        <v>7320835760</v>
      </c>
      <c r="P172" s="150">
        <f t="shared" si="130"/>
        <v>0.29552883740521085</v>
      </c>
      <c r="Q172" s="148">
        <v>6940025913</v>
      </c>
      <c r="R172" s="150">
        <f t="shared" ref="R172" si="167">+Q172/$L172</f>
        <v>0.28015623582722293</v>
      </c>
    </row>
    <row r="173" spans="1:18" ht="38.25" customHeight="1">
      <c r="A173" s="32" t="e">
        <v>#REF!</v>
      </c>
      <c r="B173" s="133" t="s">
        <v>167</v>
      </c>
      <c r="C173" s="133" t="s">
        <v>190</v>
      </c>
      <c r="D173" s="133" t="s">
        <v>172</v>
      </c>
      <c r="E173" s="133" t="s">
        <v>211</v>
      </c>
      <c r="F173" s="133"/>
      <c r="G173" s="133"/>
      <c r="H173" s="133"/>
      <c r="I173" s="133"/>
      <c r="J173" s="134"/>
      <c r="K173" s="134" t="s">
        <v>266</v>
      </c>
      <c r="L173" s="135">
        <v>1500000000</v>
      </c>
      <c r="M173" s="135">
        <v>500000000</v>
      </c>
      <c r="N173" s="137">
        <f t="shared" si="130"/>
        <v>0.33333333333333331</v>
      </c>
      <c r="O173" s="135">
        <v>0</v>
      </c>
      <c r="P173" s="137">
        <f t="shared" si="130"/>
        <v>0</v>
      </c>
      <c r="Q173" s="135">
        <v>0</v>
      </c>
      <c r="R173" s="137">
        <f t="shared" ref="R173" si="168">+Q173/$L173</f>
        <v>0</v>
      </c>
    </row>
    <row r="174" spans="1:18" ht="32.25" customHeight="1">
      <c r="A174" s="32" t="e">
        <v>#REF!</v>
      </c>
      <c r="B174" s="139" t="s">
        <v>167</v>
      </c>
      <c r="C174" s="139" t="s">
        <v>190</v>
      </c>
      <c r="D174" s="139" t="s">
        <v>172</v>
      </c>
      <c r="E174" s="139" t="s">
        <v>211</v>
      </c>
      <c r="F174" s="139" t="s">
        <v>175</v>
      </c>
      <c r="G174" s="139" t="s">
        <v>213</v>
      </c>
      <c r="H174" s="139"/>
      <c r="I174" s="139" t="s">
        <v>144</v>
      </c>
      <c r="J174" s="140" t="s">
        <v>29</v>
      </c>
      <c r="K174" s="140" t="s">
        <v>214</v>
      </c>
      <c r="L174" s="141">
        <v>1095000000</v>
      </c>
      <c r="M174" s="141">
        <v>95000000</v>
      </c>
      <c r="N174" s="143">
        <f t="shared" si="130"/>
        <v>8.6757990867579904E-2</v>
      </c>
      <c r="O174" s="141">
        <v>0</v>
      </c>
      <c r="P174" s="143">
        <f t="shared" si="130"/>
        <v>0</v>
      </c>
      <c r="Q174" s="141">
        <v>0</v>
      </c>
      <c r="R174" s="143">
        <f t="shared" ref="R174" si="169">+Q174/$L174</f>
        <v>0</v>
      </c>
    </row>
    <row r="175" spans="1:18" ht="24.95" customHeight="1">
      <c r="A175" s="32" t="e">
        <v>#REF!</v>
      </c>
      <c r="B175" s="145" t="s">
        <v>167</v>
      </c>
      <c r="C175" s="145" t="s">
        <v>190</v>
      </c>
      <c r="D175" s="145" t="s">
        <v>172</v>
      </c>
      <c r="E175" s="145" t="s">
        <v>211</v>
      </c>
      <c r="F175" s="145" t="s">
        <v>175</v>
      </c>
      <c r="G175" s="145" t="s">
        <v>213</v>
      </c>
      <c r="H175" s="145" t="s">
        <v>54</v>
      </c>
      <c r="I175" s="145" t="s">
        <v>144</v>
      </c>
      <c r="J175" s="146" t="s">
        <v>29</v>
      </c>
      <c r="K175" s="147" t="s">
        <v>178</v>
      </c>
      <c r="L175" s="148">
        <v>1095000000</v>
      </c>
      <c r="M175" s="148">
        <v>95000000</v>
      </c>
      <c r="N175" s="150">
        <f t="shared" si="130"/>
        <v>8.6757990867579904E-2</v>
      </c>
      <c r="O175" s="148"/>
      <c r="P175" s="150">
        <f t="shared" si="130"/>
        <v>0</v>
      </c>
      <c r="Q175" s="148"/>
      <c r="R175" s="150">
        <f t="shared" ref="R175" si="170">+Q175/$L175</f>
        <v>0</v>
      </c>
    </row>
    <row r="176" spans="1:18" ht="32.25" customHeight="1">
      <c r="A176" s="32" t="e">
        <v>#REF!</v>
      </c>
      <c r="B176" s="139" t="s">
        <v>167</v>
      </c>
      <c r="C176" s="139" t="s">
        <v>190</v>
      </c>
      <c r="D176" s="139" t="s">
        <v>172</v>
      </c>
      <c r="E176" s="139" t="s">
        <v>211</v>
      </c>
      <c r="F176" s="139" t="s">
        <v>175</v>
      </c>
      <c r="G176" s="139" t="s">
        <v>215</v>
      </c>
      <c r="H176" s="139"/>
      <c r="I176" s="139" t="s">
        <v>144</v>
      </c>
      <c r="J176" s="140" t="s">
        <v>29</v>
      </c>
      <c r="K176" s="140" t="s">
        <v>216</v>
      </c>
      <c r="L176" s="141">
        <v>405000000</v>
      </c>
      <c r="M176" s="141">
        <v>405000000</v>
      </c>
      <c r="N176" s="143">
        <f t="shared" si="130"/>
        <v>1</v>
      </c>
      <c r="O176" s="141">
        <v>0</v>
      </c>
      <c r="P176" s="143">
        <f t="shared" si="130"/>
        <v>0</v>
      </c>
      <c r="Q176" s="141">
        <v>0</v>
      </c>
      <c r="R176" s="143">
        <f t="shared" ref="R176" si="171">+Q176/$L176</f>
        <v>0</v>
      </c>
    </row>
    <row r="177" spans="1:18" ht="24.95" customHeight="1">
      <c r="A177" s="32" t="e">
        <v>#REF!</v>
      </c>
      <c r="B177" s="145" t="s">
        <v>167</v>
      </c>
      <c r="C177" s="145" t="s">
        <v>190</v>
      </c>
      <c r="D177" s="145" t="s">
        <v>172</v>
      </c>
      <c r="E177" s="145" t="s">
        <v>211</v>
      </c>
      <c r="F177" s="145" t="s">
        <v>175</v>
      </c>
      <c r="G177" s="145" t="s">
        <v>215</v>
      </c>
      <c r="H177" s="145" t="s">
        <v>54</v>
      </c>
      <c r="I177" s="145" t="s">
        <v>144</v>
      </c>
      <c r="J177" s="146" t="s">
        <v>29</v>
      </c>
      <c r="K177" s="147" t="s">
        <v>178</v>
      </c>
      <c r="L177" s="148">
        <v>405000000</v>
      </c>
      <c r="M177" s="148">
        <v>405000000</v>
      </c>
      <c r="N177" s="150">
        <f t="shared" si="130"/>
        <v>1</v>
      </c>
      <c r="O177" s="148"/>
      <c r="P177" s="150">
        <f t="shared" si="130"/>
        <v>0</v>
      </c>
      <c r="Q177" s="148"/>
      <c r="R177" s="150">
        <f t="shared" ref="R177" si="172">+Q177/$L177</f>
        <v>0</v>
      </c>
    </row>
    <row r="178" spans="1:18" ht="49.5" customHeight="1">
      <c r="A178" s="32" t="e">
        <v>#REF!</v>
      </c>
      <c r="B178" s="133" t="s">
        <v>167</v>
      </c>
      <c r="C178" s="133" t="s">
        <v>190</v>
      </c>
      <c r="D178" s="133" t="s">
        <v>172</v>
      </c>
      <c r="E178" s="133" t="s">
        <v>217</v>
      </c>
      <c r="F178" s="133"/>
      <c r="G178" s="133"/>
      <c r="H178" s="133"/>
      <c r="I178" s="133"/>
      <c r="J178" s="134"/>
      <c r="K178" s="134" t="s">
        <v>267</v>
      </c>
      <c r="L178" s="135">
        <v>5207638916</v>
      </c>
      <c r="M178" s="135">
        <v>0</v>
      </c>
      <c r="N178" s="137">
        <f t="shared" si="130"/>
        <v>0</v>
      </c>
      <c r="O178" s="135">
        <v>0</v>
      </c>
      <c r="P178" s="137">
        <f t="shared" si="130"/>
        <v>0</v>
      </c>
      <c r="Q178" s="135">
        <v>0</v>
      </c>
      <c r="R178" s="137">
        <f t="shared" ref="R178" si="173">+Q178/$L178</f>
        <v>0</v>
      </c>
    </row>
    <row r="179" spans="1:18" ht="32.25" customHeight="1">
      <c r="A179" s="32" t="e">
        <v>#REF!</v>
      </c>
      <c r="B179" s="139" t="s">
        <v>167</v>
      </c>
      <c r="C179" s="139" t="s">
        <v>190</v>
      </c>
      <c r="D179" s="139" t="s">
        <v>172</v>
      </c>
      <c r="E179" s="139" t="s">
        <v>217</v>
      </c>
      <c r="F179" s="139" t="s">
        <v>175</v>
      </c>
      <c r="G179" s="139" t="s">
        <v>219</v>
      </c>
      <c r="H179" s="139"/>
      <c r="I179" s="139">
        <v>11</v>
      </c>
      <c r="J179" s="140" t="s">
        <v>29</v>
      </c>
      <c r="K179" s="140" t="s">
        <v>220</v>
      </c>
      <c r="L179" s="141">
        <v>610647150</v>
      </c>
      <c r="M179" s="141">
        <v>0</v>
      </c>
      <c r="N179" s="143">
        <f t="shared" si="130"/>
        <v>0</v>
      </c>
      <c r="O179" s="141">
        <v>0</v>
      </c>
      <c r="P179" s="143">
        <f t="shared" si="130"/>
        <v>0</v>
      </c>
      <c r="Q179" s="141">
        <v>0</v>
      </c>
      <c r="R179" s="143">
        <f t="shared" ref="R179" si="174">+Q179/$L179</f>
        <v>0</v>
      </c>
    </row>
    <row r="180" spans="1:18" ht="24.95" customHeight="1">
      <c r="A180" s="32" t="e">
        <v>#REF!</v>
      </c>
      <c r="B180" s="145" t="s">
        <v>167</v>
      </c>
      <c r="C180" s="145" t="s">
        <v>190</v>
      </c>
      <c r="D180" s="145" t="s">
        <v>172</v>
      </c>
      <c r="E180" s="145" t="s">
        <v>217</v>
      </c>
      <c r="F180" s="145" t="s">
        <v>175</v>
      </c>
      <c r="G180" s="145" t="s">
        <v>219</v>
      </c>
      <c r="H180" s="145" t="s">
        <v>54</v>
      </c>
      <c r="I180" s="145">
        <v>11</v>
      </c>
      <c r="J180" s="146" t="s">
        <v>29</v>
      </c>
      <c r="K180" s="147" t="s">
        <v>178</v>
      </c>
      <c r="L180" s="148">
        <v>610647150</v>
      </c>
      <c r="M180" s="148"/>
      <c r="N180" s="150">
        <f t="shared" si="130"/>
        <v>0</v>
      </c>
      <c r="O180" s="148"/>
      <c r="P180" s="150">
        <f t="shared" si="130"/>
        <v>0</v>
      </c>
      <c r="Q180" s="148"/>
      <c r="R180" s="150">
        <f t="shared" ref="R180" si="175">+Q180/$L180</f>
        <v>0</v>
      </c>
    </row>
    <row r="181" spans="1:18" ht="32.25" customHeight="1">
      <c r="A181" s="32" t="e">
        <v>#REF!</v>
      </c>
      <c r="B181" s="139" t="s">
        <v>167</v>
      </c>
      <c r="C181" s="139" t="s">
        <v>190</v>
      </c>
      <c r="D181" s="139" t="s">
        <v>172</v>
      </c>
      <c r="E181" s="139" t="s">
        <v>217</v>
      </c>
      <c r="F181" s="139" t="s">
        <v>175</v>
      </c>
      <c r="G181" s="139" t="s">
        <v>221</v>
      </c>
      <c r="H181" s="139"/>
      <c r="I181" s="139">
        <v>11</v>
      </c>
      <c r="J181" s="140" t="s">
        <v>29</v>
      </c>
      <c r="K181" s="140" t="s">
        <v>222</v>
      </c>
      <c r="L181" s="141">
        <v>2557468350</v>
      </c>
      <c r="M181" s="141">
        <v>0</v>
      </c>
      <c r="N181" s="143">
        <f t="shared" si="130"/>
        <v>0</v>
      </c>
      <c r="O181" s="141">
        <v>0</v>
      </c>
      <c r="P181" s="143">
        <f t="shared" si="130"/>
        <v>0</v>
      </c>
      <c r="Q181" s="141">
        <v>0</v>
      </c>
      <c r="R181" s="143">
        <f t="shared" ref="R181" si="176">+Q181/$L181</f>
        <v>0</v>
      </c>
    </row>
    <row r="182" spans="1:18" ht="24.95" customHeight="1">
      <c r="A182" s="32" t="e">
        <v>#REF!</v>
      </c>
      <c r="B182" s="145" t="s">
        <v>167</v>
      </c>
      <c r="C182" s="145" t="s">
        <v>190</v>
      </c>
      <c r="D182" s="145" t="s">
        <v>172</v>
      </c>
      <c r="E182" s="145" t="s">
        <v>217</v>
      </c>
      <c r="F182" s="145" t="s">
        <v>175</v>
      </c>
      <c r="G182" s="145" t="s">
        <v>221</v>
      </c>
      <c r="H182" s="145" t="s">
        <v>54</v>
      </c>
      <c r="I182" s="145">
        <v>11</v>
      </c>
      <c r="J182" s="146" t="s">
        <v>29</v>
      </c>
      <c r="K182" s="147" t="s">
        <v>178</v>
      </c>
      <c r="L182" s="148">
        <v>388286850</v>
      </c>
      <c r="M182" s="148"/>
      <c r="N182" s="150">
        <f t="shared" si="130"/>
        <v>0</v>
      </c>
      <c r="O182" s="148"/>
      <c r="P182" s="150">
        <f t="shared" si="130"/>
        <v>0</v>
      </c>
      <c r="Q182" s="148"/>
      <c r="R182" s="150">
        <f t="shared" ref="R182" si="177">+Q182/$L182</f>
        <v>0</v>
      </c>
    </row>
    <row r="183" spans="1:18" ht="24.95" customHeight="1">
      <c r="A183" s="32" t="e">
        <v>#REF!</v>
      </c>
      <c r="B183" s="145" t="s">
        <v>167</v>
      </c>
      <c r="C183" s="145" t="s">
        <v>190</v>
      </c>
      <c r="D183" s="145" t="s">
        <v>172</v>
      </c>
      <c r="E183" s="145" t="s">
        <v>217</v>
      </c>
      <c r="F183" s="145" t="s">
        <v>175</v>
      </c>
      <c r="G183" s="145" t="s">
        <v>221</v>
      </c>
      <c r="H183" s="145" t="s">
        <v>65</v>
      </c>
      <c r="I183" s="145">
        <v>11</v>
      </c>
      <c r="J183" s="146" t="s">
        <v>29</v>
      </c>
      <c r="K183" s="147" t="s">
        <v>127</v>
      </c>
      <c r="L183" s="148">
        <v>2169181500</v>
      </c>
      <c r="M183" s="148"/>
      <c r="N183" s="150">
        <f t="shared" si="130"/>
        <v>0</v>
      </c>
      <c r="O183" s="148"/>
      <c r="P183" s="150">
        <f t="shared" si="130"/>
        <v>0</v>
      </c>
      <c r="Q183" s="148"/>
      <c r="R183" s="150">
        <f t="shared" ref="R183" si="178">+Q183/$L183</f>
        <v>0</v>
      </c>
    </row>
    <row r="184" spans="1:18" ht="32.25" customHeight="1">
      <c r="A184" s="32" t="e">
        <v>#REF!</v>
      </c>
      <c r="B184" s="139" t="s">
        <v>167</v>
      </c>
      <c r="C184" s="139" t="s">
        <v>190</v>
      </c>
      <c r="D184" s="139" t="s">
        <v>172</v>
      </c>
      <c r="E184" s="139" t="s">
        <v>217</v>
      </c>
      <c r="F184" s="139" t="s">
        <v>175</v>
      </c>
      <c r="G184" s="139" t="s">
        <v>223</v>
      </c>
      <c r="H184" s="139"/>
      <c r="I184" s="139">
        <v>11</v>
      </c>
      <c r="J184" s="140" t="s">
        <v>29</v>
      </c>
      <c r="K184" s="140" t="s">
        <v>224</v>
      </c>
      <c r="L184" s="141">
        <v>1818499224</v>
      </c>
      <c r="M184" s="141">
        <v>0</v>
      </c>
      <c r="N184" s="143">
        <f t="shared" si="130"/>
        <v>0</v>
      </c>
      <c r="O184" s="141">
        <v>0</v>
      </c>
      <c r="P184" s="143">
        <f t="shared" si="130"/>
        <v>0</v>
      </c>
      <c r="Q184" s="141">
        <v>0</v>
      </c>
      <c r="R184" s="143">
        <f t="shared" ref="R184" si="179">+Q184/$L184</f>
        <v>0</v>
      </c>
    </row>
    <row r="185" spans="1:18" ht="24.95" customHeight="1">
      <c r="A185" s="32" t="e">
        <v>#REF!</v>
      </c>
      <c r="B185" s="145" t="s">
        <v>167</v>
      </c>
      <c r="C185" s="145" t="s">
        <v>190</v>
      </c>
      <c r="D185" s="145" t="s">
        <v>172</v>
      </c>
      <c r="E185" s="145" t="s">
        <v>217</v>
      </c>
      <c r="F185" s="145" t="s">
        <v>175</v>
      </c>
      <c r="G185" s="145" t="s">
        <v>223</v>
      </c>
      <c r="H185" s="145" t="s">
        <v>54</v>
      </c>
      <c r="I185" s="145">
        <v>11</v>
      </c>
      <c r="J185" s="146" t="s">
        <v>29</v>
      </c>
      <c r="K185" s="147" t="s">
        <v>178</v>
      </c>
      <c r="L185" s="148">
        <v>259599224</v>
      </c>
      <c r="M185" s="148"/>
      <c r="N185" s="150">
        <f t="shared" si="130"/>
        <v>0</v>
      </c>
      <c r="O185" s="148"/>
      <c r="P185" s="150">
        <f t="shared" si="130"/>
        <v>0</v>
      </c>
      <c r="Q185" s="148"/>
      <c r="R185" s="150">
        <f t="shared" ref="R185" si="180">+Q185/$L185</f>
        <v>0</v>
      </c>
    </row>
    <row r="186" spans="1:18" ht="24.95" customHeight="1">
      <c r="A186" s="32" t="e">
        <v>#REF!</v>
      </c>
      <c r="B186" s="145" t="s">
        <v>167</v>
      </c>
      <c r="C186" s="145" t="s">
        <v>190</v>
      </c>
      <c r="D186" s="145" t="s">
        <v>172</v>
      </c>
      <c r="E186" s="145" t="s">
        <v>217</v>
      </c>
      <c r="F186" s="145" t="s">
        <v>175</v>
      </c>
      <c r="G186" s="145" t="s">
        <v>223</v>
      </c>
      <c r="H186" s="145" t="s">
        <v>65</v>
      </c>
      <c r="I186" s="145">
        <v>11</v>
      </c>
      <c r="J186" s="146" t="s">
        <v>29</v>
      </c>
      <c r="K186" s="147" t="s">
        <v>127</v>
      </c>
      <c r="L186" s="148">
        <v>1558900000</v>
      </c>
      <c r="M186" s="148"/>
      <c r="N186" s="150">
        <f t="shared" si="130"/>
        <v>0</v>
      </c>
      <c r="O186" s="148"/>
      <c r="P186" s="150">
        <f t="shared" si="130"/>
        <v>0</v>
      </c>
      <c r="Q186" s="148"/>
      <c r="R186" s="150">
        <f t="shared" ref="R186" si="181">+Q186/$L186</f>
        <v>0</v>
      </c>
    </row>
    <row r="187" spans="1:18" ht="32.25" customHeight="1">
      <c r="A187" s="32" t="e">
        <v>#REF!</v>
      </c>
      <c r="B187" s="139" t="s">
        <v>167</v>
      </c>
      <c r="C187" s="139" t="s">
        <v>190</v>
      </c>
      <c r="D187" s="139" t="s">
        <v>172</v>
      </c>
      <c r="E187" s="139" t="s">
        <v>217</v>
      </c>
      <c r="F187" s="139" t="s">
        <v>175</v>
      </c>
      <c r="G187" s="139" t="s">
        <v>225</v>
      </c>
      <c r="H187" s="139"/>
      <c r="I187" s="139">
        <v>11</v>
      </c>
      <c r="J187" s="140" t="s">
        <v>29</v>
      </c>
      <c r="K187" s="140" t="s">
        <v>226</v>
      </c>
      <c r="L187" s="141">
        <v>221024192</v>
      </c>
      <c r="M187" s="141">
        <v>0</v>
      </c>
      <c r="N187" s="143">
        <f t="shared" si="130"/>
        <v>0</v>
      </c>
      <c r="O187" s="141">
        <v>0</v>
      </c>
      <c r="P187" s="143">
        <f t="shared" si="130"/>
        <v>0</v>
      </c>
      <c r="Q187" s="141">
        <v>0</v>
      </c>
      <c r="R187" s="143">
        <f t="shared" ref="R187" si="182">+Q187/$L187</f>
        <v>0</v>
      </c>
    </row>
    <row r="188" spans="1:18" ht="24.95" customHeight="1">
      <c r="A188" s="32" t="e">
        <v>#REF!</v>
      </c>
      <c r="B188" s="145" t="s">
        <v>167</v>
      </c>
      <c r="C188" s="145" t="s">
        <v>190</v>
      </c>
      <c r="D188" s="145" t="s">
        <v>172</v>
      </c>
      <c r="E188" s="145" t="s">
        <v>217</v>
      </c>
      <c r="F188" s="145" t="s">
        <v>175</v>
      </c>
      <c r="G188" s="145" t="s">
        <v>225</v>
      </c>
      <c r="H188" s="145" t="s">
        <v>54</v>
      </c>
      <c r="I188" s="145">
        <v>11</v>
      </c>
      <c r="J188" s="146" t="s">
        <v>29</v>
      </c>
      <c r="K188" s="147" t="s">
        <v>178</v>
      </c>
      <c r="L188" s="148">
        <v>221024192</v>
      </c>
      <c r="M188" s="148"/>
      <c r="N188" s="150">
        <f t="shared" si="130"/>
        <v>0</v>
      </c>
      <c r="O188" s="148"/>
      <c r="P188" s="150">
        <f t="shared" si="130"/>
        <v>0</v>
      </c>
      <c r="Q188" s="148"/>
      <c r="R188" s="150">
        <f t="shared" ref="R188" si="183">+Q188/$L188</f>
        <v>0</v>
      </c>
    </row>
    <row r="189" spans="1:18" ht="49.5" hidden="1" customHeight="1">
      <c r="A189" s="32" t="e">
        <v>#REF!</v>
      </c>
      <c r="B189" s="133" t="s">
        <v>167</v>
      </c>
      <c r="C189" s="133" t="s">
        <v>190</v>
      </c>
      <c r="D189" s="133" t="s">
        <v>172</v>
      </c>
      <c r="E189" s="133">
        <v>18</v>
      </c>
      <c r="F189" s="133"/>
      <c r="G189" s="133"/>
      <c r="H189" s="133"/>
      <c r="I189" s="133"/>
      <c r="J189" s="134"/>
      <c r="K189" s="134" t="s">
        <v>268</v>
      </c>
      <c r="L189" s="135">
        <v>0</v>
      </c>
      <c r="M189" s="135">
        <v>0</v>
      </c>
      <c r="N189" s="137" t="e">
        <f t="shared" si="130"/>
        <v>#DIV/0!</v>
      </c>
      <c r="O189" s="135">
        <v>0</v>
      </c>
      <c r="P189" s="137" t="e">
        <f t="shared" si="130"/>
        <v>#DIV/0!</v>
      </c>
      <c r="Q189" s="135">
        <v>0</v>
      </c>
      <c r="R189" s="137" t="e">
        <f t="shared" ref="R189" si="184">+Q189/$L189</f>
        <v>#DIV/0!</v>
      </c>
    </row>
    <row r="190" spans="1:18" ht="32.25" hidden="1" customHeight="1">
      <c r="A190" s="32" t="e">
        <v>#REF!</v>
      </c>
      <c r="B190" s="139" t="s">
        <v>167</v>
      </c>
      <c r="C190" s="139" t="s">
        <v>190</v>
      </c>
      <c r="D190" s="139" t="s">
        <v>172</v>
      </c>
      <c r="E190" s="139">
        <v>18</v>
      </c>
      <c r="F190" s="139" t="s">
        <v>175</v>
      </c>
      <c r="G190" s="139">
        <v>4103050</v>
      </c>
      <c r="H190" s="139"/>
      <c r="I190" s="139">
        <v>11</v>
      </c>
      <c r="J190" s="140" t="s">
        <v>29</v>
      </c>
      <c r="K190" s="140" t="s">
        <v>269</v>
      </c>
      <c r="L190" s="141">
        <v>0</v>
      </c>
      <c r="M190" s="141">
        <v>0</v>
      </c>
      <c r="N190" s="143" t="e">
        <f t="shared" si="130"/>
        <v>#DIV/0!</v>
      </c>
      <c r="O190" s="141">
        <v>0</v>
      </c>
      <c r="P190" s="143" t="e">
        <f t="shared" si="130"/>
        <v>#DIV/0!</v>
      </c>
      <c r="Q190" s="141">
        <v>0</v>
      </c>
      <c r="R190" s="143" t="e">
        <f t="shared" ref="R190" si="185">+Q190/$L190</f>
        <v>#DIV/0!</v>
      </c>
    </row>
    <row r="191" spans="1:18" ht="24.95" hidden="1" customHeight="1">
      <c r="A191" s="32" t="e">
        <v>#REF!</v>
      </c>
      <c r="B191" s="145" t="s">
        <v>167</v>
      </c>
      <c r="C191" s="145" t="s">
        <v>190</v>
      </c>
      <c r="D191" s="145" t="s">
        <v>172</v>
      </c>
      <c r="E191" s="145">
        <v>18</v>
      </c>
      <c r="F191" s="145" t="s">
        <v>175</v>
      </c>
      <c r="G191" s="145">
        <v>4103050</v>
      </c>
      <c r="H191" s="145" t="s">
        <v>54</v>
      </c>
      <c r="I191" s="145">
        <v>11</v>
      </c>
      <c r="J191" s="146" t="s">
        <v>29</v>
      </c>
      <c r="K191" s="147" t="s">
        <v>178</v>
      </c>
      <c r="L191" s="148">
        <v>0</v>
      </c>
      <c r="M191" s="148"/>
      <c r="N191" s="150" t="e">
        <f t="shared" si="130"/>
        <v>#DIV/0!</v>
      </c>
      <c r="O191" s="148"/>
      <c r="P191" s="150" t="e">
        <f t="shared" si="130"/>
        <v>#DIV/0!</v>
      </c>
      <c r="Q191" s="148"/>
      <c r="R191" s="150" t="e">
        <f t="shared" ref="R191" si="186">+Q191/$L191</f>
        <v>#DIV/0!</v>
      </c>
    </row>
    <row r="192" spans="1:18" ht="41.25" customHeight="1">
      <c r="A192" s="32" t="e">
        <v>#REF!</v>
      </c>
      <c r="B192" s="133" t="s">
        <v>167</v>
      </c>
      <c r="C192" s="133" t="s">
        <v>190</v>
      </c>
      <c r="D192" s="133" t="s">
        <v>172</v>
      </c>
      <c r="E192" s="133">
        <v>19</v>
      </c>
      <c r="F192" s="133"/>
      <c r="G192" s="133"/>
      <c r="H192" s="133"/>
      <c r="I192" s="133"/>
      <c r="J192" s="134"/>
      <c r="K192" s="134" t="s">
        <v>270</v>
      </c>
      <c r="L192" s="135">
        <v>14493806741</v>
      </c>
      <c r="M192" s="135">
        <v>11338234912.57</v>
      </c>
      <c r="N192" s="137">
        <f t="shared" si="130"/>
        <v>0.78228136439107221</v>
      </c>
      <c r="O192" s="135">
        <v>2013335199.5699999</v>
      </c>
      <c r="P192" s="137">
        <f t="shared" si="130"/>
        <v>0.13891003485472789</v>
      </c>
      <c r="Q192" s="135">
        <v>1850410534.5699999</v>
      </c>
      <c r="R192" s="137">
        <f t="shared" ref="R192" si="187">+Q192/$L192</f>
        <v>0.12766904979735716</v>
      </c>
    </row>
    <row r="193" spans="1:18" ht="32.25" customHeight="1">
      <c r="A193" s="32" t="e">
        <v>#REF!</v>
      </c>
      <c r="B193" s="139" t="s">
        <v>167</v>
      </c>
      <c r="C193" s="139" t="s">
        <v>190</v>
      </c>
      <c r="D193" s="139" t="s">
        <v>172</v>
      </c>
      <c r="E193" s="139">
        <v>19</v>
      </c>
      <c r="F193" s="139" t="s">
        <v>175</v>
      </c>
      <c r="G193" s="139">
        <v>4103049</v>
      </c>
      <c r="H193" s="139"/>
      <c r="I193" s="139">
        <v>11</v>
      </c>
      <c r="J193" s="140" t="s">
        <v>29</v>
      </c>
      <c r="K193" s="140" t="s">
        <v>228</v>
      </c>
      <c r="L193" s="141">
        <v>297454258</v>
      </c>
      <c r="M193" s="141">
        <v>273289301</v>
      </c>
      <c r="N193" s="143">
        <f t="shared" si="130"/>
        <v>0.91876076287332886</v>
      </c>
      <c r="O193" s="141">
        <v>104756702</v>
      </c>
      <c r="P193" s="143">
        <f t="shared" si="130"/>
        <v>0.35217751698817501</v>
      </c>
      <c r="Q193" s="141">
        <v>95843741</v>
      </c>
      <c r="R193" s="143">
        <f t="shared" ref="R193" si="188">+Q193/$L193</f>
        <v>0.32221337709006675</v>
      </c>
    </row>
    <row r="194" spans="1:18" ht="24.95" customHeight="1">
      <c r="A194" s="32" t="e">
        <v>#REF!</v>
      </c>
      <c r="B194" s="145" t="s">
        <v>167</v>
      </c>
      <c r="C194" s="145" t="s">
        <v>190</v>
      </c>
      <c r="D194" s="145" t="s">
        <v>172</v>
      </c>
      <c r="E194" s="145">
        <v>19</v>
      </c>
      <c r="F194" s="145" t="s">
        <v>175</v>
      </c>
      <c r="G194" s="145">
        <v>4103049</v>
      </c>
      <c r="H194" s="145" t="s">
        <v>54</v>
      </c>
      <c r="I194" s="145">
        <v>11</v>
      </c>
      <c r="J194" s="146" t="s">
        <v>29</v>
      </c>
      <c r="K194" s="147" t="s">
        <v>178</v>
      </c>
      <c r="L194" s="148">
        <v>297454258</v>
      </c>
      <c r="M194" s="148">
        <v>273289301</v>
      </c>
      <c r="N194" s="150">
        <f t="shared" si="130"/>
        <v>0.91876076287332886</v>
      </c>
      <c r="O194" s="148">
        <v>104756702</v>
      </c>
      <c r="P194" s="150">
        <f t="shared" si="130"/>
        <v>0.35217751698817501</v>
      </c>
      <c r="Q194" s="148">
        <v>95843741</v>
      </c>
      <c r="R194" s="150">
        <f t="shared" ref="R194" si="189">+Q194/$L194</f>
        <v>0.32221337709006675</v>
      </c>
    </row>
    <row r="195" spans="1:18" ht="32.25" customHeight="1">
      <c r="A195" s="32" t="e">
        <v>#REF!</v>
      </c>
      <c r="B195" s="139" t="s">
        <v>167</v>
      </c>
      <c r="C195" s="139" t="s">
        <v>190</v>
      </c>
      <c r="D195" s="139" t="s">
        <v>172</v>
      </c>
      <c r="E195" s="139">
        <v>19</v>
      </c>
      <c r="F195" s="139" t="s">
        <v>175</v>
      </c>
      <c r="G195" s="139">
        <v>4103052</v>
      </c>
      <c r="H195" s="139"/>
      <c r="I195" s="139">
        <v>11</v>
      </c>
      <c r="J195" s="140" t="s">
        <v>29</v>
      </c>
      <c r="K195" s="140" t="s">
        <v>229</v>
      </c>
      <c r="L195" s="141">
        <v>14196352483</v>
      </c>
      <c r="M195" s="141">
        <v>11064945611.57</v>
      </c>
      <c r="N195" s="143">
        <f t="shared" si="130"/>
        <v>0.77942172997043913</v>
      </c>
      <c r="O195" s="141">
        <v>1908578497.5699999</v>
      </c>
      <c r="P195" s="143">
        <f t="shared" si="130"/>
        <v>0.13444147007870541</v>
      </c>
      <c r="Q195" s="141">
        <v>1754566793.5699999</v>
      </c>
      <c r="R195" s="143">
        <f t="shared" ref="R195" si="190">+Q195/$L195</f>
        <v>0.12359278875831502</v>
      </c>
    </row>
    <row r="196" spans="1:18" ht="24.95" customHeight="1">
      <c r="A196" s="32" t="e">
        <v>#REF!</v>
      </c>
      <c r="B196" s="145" t="s">
        <v>167</v>
      </c>
      <c r="C196" s="145" t="s">
        <v>190</v>
      </c>
      <c r="D196" s="145" t="s">
        <v>172</v>
      </c>
      <c r="E196" s="145">
        <v>19</v>
      </c>
      <c r="F196" s="145" t="s">
        <v>175</v>
      </c>
      <c r="G196" s="145">
        <v>4103052</v>
      </c>
      <c r="H196" s="145" t="s">
        <v>54</v>
      </c>
      <c r="I196" s="145">
        <v>11</v>
      </c>
      <c r="J196" s="146" t="s">
        <v>29</v>
      </c>
      <c r="K196" s="147" t="s">
        <v>178</v>
      </c>
      <c r="L196" s="148">
        <v>14196352483</v>
      </c>
      <c r="M196" s="148">
        <v>11064945611.57</v>
      </c>
      <c r="N196" s="150">
        <f t="shared" si="130"/>
        <v>0.77942172997043913</v>
      </c>
      <c r="O196" s="148">
        <v>1908578497.5699999</v>
      </c>
      <c r="P196" s="150">
        <f t="shared" si="130"/>
        <v>0.13444147007870541</v>
      </c>
      <c r="Q196" s="148">
        <v>1754566793.5699999</v>
      </c>
      <c r="R196" s="150">
        <f t="shared" ref="R196" si="191">+Q196/$L196</f>
        <v>0.12359278875831502</v>
      </c>
    </row>
    <row r="197" spans="1:18" ht="32.25" hidden="1" customHeight="1">
      <c r="A197" s="32" t="e">
        <v>#REF!</v>
      </c>
      <c r="B197" s="139" t="s">
        <v>167</v>
      </c>
      <c r="C197" s="139" t="s">
        <v>190</v>
      </c>
      <c r="D197" s="139" t="s">
        <v>172</v>
      </c>
      <c r="E197" s="139">
        <v>19</v>
      </c>
      <c r="F197" s="139" t="s">
        <v>175</v>
      </c>
      <c r="G197" s="139">
        <v>4103060</v>
      </c>
      <c r="H197" s="139"/>
      <c r="I197" s="139">
        <v>11</v>
      </c>
      <c r="J197" s="140" t="s">
        <v>29</v>
      </c>
      <c r="K197" s="140" t="s">
        <v>216</v>
      </c>
      <c r="L197" s="141">
        <v>0</v>
      </c>
      <c r="M197" s="141">
        <v>0</v>
      </c>
      <c r="N197" s="143" t="e">
        <f t="shared" si="130"/>
        <v>#DIV/0!</v>
      </c>
      <c r="O197" s="141">
        <v>0</v>
      </c>
      <c r="P197" s="143" t="e">
        <f t="shared" si="130"/>
        <v>#DIV/0!</v>
      </c>
      <c r="Q197" s="141">
        <v>0</v>
      </c>
      <c r="R197" s="143" t="e">
        <f t="shared" ref="R197" si="192">+Q197/$L197</f>
        <v>#DIV/0!</v>
      </c>
    </row>
    <row r="198" spans="1:18" ht="24.95" hidden="1" customHeight="1">
      <c r="A198" s="32" t="e">
        <v>#REF!</v>
      </c>
      <c r="B198" s="145" t="s">
        <v>167</v>
      </c>
      <c r="C198" s="145" t="s">
        <v>190</v>
      </c>
      <c r="D198" s="145" t="s">
        <v>172</v>
      </c>
      <c r="E198" s="145">
        <v>19</v>
      </c>
      <c r="F198" s="145" t="s">
        <v>175</v>
      </c>
      <c r="G198" s="145">
        <v>4103060</v>
      </c>
      <c r="H198" s="145" t="s">
        <v>54</v>
      </c>
      <c r="I198" s="145">
        <v>11</v>
      </c>
      <c r="J198" s="146" t="s">
        <v>29</v>
      </c>
      <c r="K198" s="147" t="s">
        <v>178</v>
      </c>
      <c r="L198" s="148">
        <v>0</v>
      </c>
      <c r="M198" s="148">
        <v>0</v>
      </c>
      <c r="N198" s="150" t="e">
        <f t="shared" si="130"/>
        <v>#DIV/0!</v>
      </c>
      <c r="O198" s="148">
        <v>0</v>
      </c>
      <c r="P198" s="150" t="e">
        <f t="shared" si="130"/>
        <v>#DIV/0!</v>
      </c>
      <c r="Q198" s="148">
        <v>0</v>
      </c>
      <c r="R198" s="150" t="e">
        <f t="shared" ref="R198" si="193">+Q198/$L198</f>
        <v>#DIV/0!</v>
      </c>
    </row>
    <row r="199" spans="1:18" ht="49.5" customHeight="1">
      <c r="A199" s="32" t="e">
        <v>#REF!</v>
      </c>
      <c r="B199" s="133" t="s">
        <v>167</v>
      </c>
      <c r="C199" s="133" t="s">
        <v>190</v>
      </c>
      <c r="D199" s="133" t="s">
        <v>172</v>
      </c>
      <c r="E199" s="133">
        <v>20</v>
      </c>
      <c r="F199" s="133"/>
      <c r="G199" s="133"/>
      <c r="H199" s="133"/>
      <c r="I199" s="133"/>
      <c r="J199" s="134"/>
      <c r="K199" s="134" t="s">
        <v>271</v>
      </c>
      <c r="L199" s="135">
        <v>958240000000</v>
      </c>
      <c r="M199" s="135">
        <v>339605818815.28003</v>
      </c>
      <c r="N199" s="137">
        <f t="shared" si="130"/>
        <v>0.35440580524219406</v>
      </c>
      <c r="O199" s="135">
        <v>269401152642.67999</v>
      </c>
      <c r="P199" s="137">
        <f t="shared" si="130"/>
        <v>0.28114162698559858</v>
      </c>
      <c r="Q199" s="135">
        <v>269383158916.67999</v>
      </c>
      <c r="R199" s="137">
        <f t="shared" ref="R199" si="194">+Q199/$L199</f>
        <v>0.28112284909488228</v>
      </c>
    </row>
    <row r="200" spans="1:18" ht="32.25" customHeight="1">
      <c r="A200" s="32" t="e">
        <v>#REF!</v>
      </c>
      <c r="B200" s="139" t="s">
        <v>167</v>
      </c>
      <c r="C200" s="139" t="s">
        <v>190</v>
      </c>
      <c r="D200" s="139" t="s">
        <v>172</v>
      </c>
      <c r="E200" s="139">
        <v>20</v>
      </c>
      <c r="F200" s="139" t="s">
        <v>175</v>
      </c>
      <c r="G200" s="139">
        <v>4103061</v>
      </c>
      <c r="H200" s="139"/>
      <c r="I200" s="139">
        <v>11</v>
      </c>
      <c r="J200" s="140" t="s">
        <v>29</v>
      </c>
      <c r="K200" s="140" t="s">
        <v>231</v>
      </c>
      <c r="L200" s="141">
        <v>958240000000</v>
      </c>
      <c r="M200" s="141">
        <v>339605818815.28003</v>
      </c>
      <c r="N200" s="143">
        <f t="shared" ref="N200:P243" si="195">+M200/$L200</f>
        <v>0.35440580524219406</v>
      </c>
      <c r="O200" s="141">
        <v>269401152642.67999</v>
      </c>
      <c r="P200" s="143">
        <f t="shared" si="195"/>
        <v>0.28114162698559858</v>
      </c>
      <c r="Q200" s="141">
        <v>269383158916.67999</v>
      </c>
      <c r="R200" s="143">
        <f t="shared" ref="R200" si="196">+Q200/$L200</f>
        <v>0.28112284909488228</v>
      </c>
    </row>
    <row r="201" spans="1:18" ht="24.95" customHeight="1">
      <c r="A201" s="32" t="e">
        <v>#REF!</v>
      </c>
      <c r="B201" s="145" t="s">
        <v>167</v>
      </c>
      <c r="C201" s="145" t="s">
        <v>190</v>
      </c>
      <c r="D201" s="145" t="s">
        <v>172</v>
      </c>
      <c r="E201" s="145">
        <v>20</v>
      </c>
      <c r="F201" s="145" t="s">
        <v>175</v>
      </c>
      <c r="G201" s="145">
        <v>4103061</v>
      </c>
      <c r="H201" s="145" t="s">
        <v>54</v>
      </c>
      <c r="I201" s="145">
        <v>11</v>
      </c>
      <c r="J201" s="146" t="s">
        <v>29</v>
      </c>
      <c r="K201" s="147" t="s">
        <v>178</v>
      </c>
      <c r="L201" s="148">
        <v>50518387000</v>
      </c>
      <c r="M201" s="148">
        <v>35605818815.279999</v>
      </c>
      <c r="N201" s="150">
        <f t="shared" si="195"/>
        <v>0.70480909881940612</v>
      </c>
      <c r="O201" s="148">
        <v>4164268642.6799998</v>
      </c>
      <c r="P201" s="150">
        <f t="shared" si="195"/>
        <v>8.2430752246305874E-2</v>
      </c>
      <c r="Q201" s="148">
        <v>4146274916.6799998</v>
      </c>
      <c r="R201" s="150">
        <f t="shared" ref="R201" si="197">+Q201/$L201</f>
        <v>8.2074570525777074E-2</v>
      </c>
    </row>
    <row r="202" spans="1:18" ht="24.95" customHeight="1">
      <c r="A202" s="32" t="e">
        <v>#REF!</v>
      </c>
      <c r="B202" s="145" t="s">
        <v>167</v>
      </c>
      <c r="C202" s="145" t="s">
        <v>190</v>
      </c>
      <c r="D202" s="145" t="s">
        <v>172</v>
      </c>
      <c r="E202" s="145">
        <v>20</v>
      </c>
      <c r="F202" s="145" t="s">
        <v>175</v>
      </c>
      <c r="G202" s="145">
        <v>4103061</v>
      </c>
      <c r="H202" s="145" t="s">
        <v>65</v>
      </c>
      <c r="I202" s="145">
        <v>11</v>
      </c>
      <c r="J202" s="146" t="s">
        <v>29</v>
      </c>
      <c r="K202" s="147" t="s">
        <v>127</v>
      </c>
      <c r="L202" s="148">
        <v>907721613000</v>
      </c>
      <c r="M202" s="148">
        <v>304000000000</v>
      </c>
      <c r="N202" s="150">
        <f t="shared" si="195"/>
        <v>0.33490444167709821</v>
      </c>
      <c r="O202" s="148">
        <v>265236884000</v>
      </c>
      <c r="P202" s="150">
        <f t="shared" si="195"/>
        <v>0.29220069259274101</v>
      </c>
      <c r="Q202" s="148">
        <v>265236884000</v>
      </c>
      <c r="R202" s="150">
        <f t="shared" ref="R202" si="198">+Q202/$L202</f>
        <v>0.29220069259274101</v>
      </c>
    </row>
    <row r="203" spans="1:18" ht="42" customHeight="1">
      <c r="A203" s="32" t="e">
        <v>#REF!</v>
      </c>
      <c r="B203" s="133" t="s">
        <v>167</v>
      </c>
      <c r="C203" s="133">
        <v>4103</v>
      </c>
      <c r="D203" s="133" t="s">
        <v>172</v>
      </c>
      <c r="E203" s="133">
        <v>21</v>
      </c>
      <c r="F203" s="133"/>
      <c r="G203" s="133"/>
      <c r="H203" s="133"/>
      <c r="I203" s="133"/>
      <c r="J203" s="134"/>
      <c r="K203" s="134" t="s">
        <v>272</v>
      </c>
      <c r="L203" s="135">
        <v>25000000000</v>
      </c>
      <c r="M203" s="135">
        <v>7973832709</v>
      </c>
      <c r="N203" s="137">
        <f t="shared" si="195"/>
        <v>0.31895330836000002</v>
      </c>
      <c r="O203" s="135">
        <v>563146770</v>
      </c>
      <c r="P203" s="137">
        <f t="shared" si="195"/>
        <v>2.25258708E-2</v>
      </c>
      <c r="Q203" s="135">
        <v>486274111</v>
      </c>
      <c r="R203" s="137">
        <f t="shared" ref="R203" si="199">+Q203/$L203</f>
        <v>1.9450964439999999E-2</v>
      </c>
    </row>
    <row r="204" spans="1:18" ht="32.25" customHeight="1">
      <c r="A204" s="32" t="e">
        <v>#REF!</v>
      </c>
      <c r="B204" s="139" t="s">
        <v>167</v>
      </c>
      <c r="C204" s="139">
        <v>4103</v>
      </c>
      <c r="D204" s="139" t="s">
        <v>172</v>
      </c>
      <c r="E204" s="139">
        <v>21</v>
      </c>
      <c r="F204" s="139" t="s">
        <v>175</v>
      </c>
      <c r="G204" s="139" t="s">
        <v>219</v>
      </c>
      <c r="H204" s="139"/>
      <c r="I204" s="139" t="s">
        <v>144</v>
      </c>
      <c r="J204" s="140" t="s">
        <v>29</v>
      </c>
      <c r="K204" s="140" t="s">
        <v>233</v>
      </c>
      <c r="L204" s="141">
        <v>2475590106</v>
      </c>
      <c r="M204" s="141">
        <v>45689800</v>
      </c>
      <c r="N204" s="143">
        <f t="shared" si="195"/>
        <v>1.8456124820204787E-2</v>
      </c>
      <c r="O204" s="141">
        <v>0</v>
      </c>
      <c r="P204" s="143">
        <f t="shared" si="195"/>
        <v>0</v>
      </c>
      <c r="Q204" s="141">
        <v>0</v>
      </c>
      <c r="R204" s="143">
        <f t="shared" ref="R204" si="200">+Q204/$L204</f>
        <v>0</v>
      </c>
    </row>
    <row r="205" spans="1:18" ht="24.95" customHeight="1">
      <c r="A205" s="32" t="e">
        <v>#REF!</v>
      </c>
      <c r="B205" s="145" t="s">
        <v>167</v>
      </c>
      <c r="C205" s="145">
        <v>4103</v>
      </c>
      <c r="D205" s="145" t="s">
        <v>172</v>
      </c>
      <c r="E205" s="145">
        <v>21</v>
      </c>
      <c r="F205" s="145" t="s">
        <v>175</v>
      </c>
      <c r="G205" s="145" t="s">
        <v>219</v>
      </c>
      <c r="H205" s="145" t="s">
        <v>54</v>
      </c>
      <c r="I205" s="145" t="s">
        <v>144</v>
      </c>
      <c r="J205" s="146" t="s">
        <v>29</v>
      </c>
      <c r="K205" s="147" t="s">
        <v>178</v>
      </c>
      <c r="L205" s="148">
        <v>2475590106</v>
      </c>
      <c r="M205" s="148">
        <v>45689800</v>
      </c>
      <c r="N205" s="150">
        <f t="shared" si="195"/>
        <v>1.8456124820204787E-2</v>
      </c>
      <c r="O205" s="148">
        <v>0</v>
      </c>
      <c r="P205" s="150">
        <f t="shared" si="195"/>
        <v>0</v>
      </c>
      <c r="Q205" s="148">
        <v>0</v>
      </c>
      <c r="R205" s="150">
        <f t="shared" ref="R205" si="201">+Q205/$L205</f>
        <v>0</v>
      </c>
    </row>
    <row r="206" spans="1:18" ht="32.25" customHeight="1">
      <c r="A206" s="32" t="e">
        <v>#REF!</v>
      </c>
      <c r="B206" s="139" t="s">
        <v>167</v>
      </c>
      <c r="C206" s="139">
        <v>4103</v>
      </c>
      <c r="D206" s="139" t="s">
        <v>172</v>
      </c>
      <c r="E206" s="139">
        <v>21</v>
      </c>
      <c r="F206" s="139" t="s">
        <v>175</v>
      </c>
      <c r="G206" s="139" t="s">
        <v>234</v>
      </c>
      <c r="H206" s="139"/>
      <c r="I206" s="139" t="s">
        <v>144</v>
      </c>
      <c r="J206" s="140" t="s">
        <v>29</v>
      </c>
      <c r="K206" s="140" t="s">
        <v>235</v>
      </c>
      <c r="L206" s="141">
        <v>1113709158</v>
      </c>
      <c r="M206" s="141">
        <v>0</v>
      </c>
      <c r="N206" s="143">
        <f t="shared" si="195"/>
        <v>0</v>
      </c>
      <c r="O206" s="141">
        <v>0</v>
      </c>
      <c r="P206" s="143">
        <f t="shared" si="195"/>
        <v>0</v>
      </c>
      <c r="Q206" s="141">
        <v>0</v>
      </c>
      <c r="R206" s="143">
        <f t="shared" ref="R206" si="202">+Q206/$L206</f>
        <v>0</v>
      </c>
    </row>
    <row r="207" spans="1:18" ht="24.95" customHeight="1">
      <c r="A207" s="32" t="e">
        <v>#REF!</v>
      </c>
      <c r="B207" s="145" t="s">
        <v>167</v>
      </c>
      <c r="C207" s="145">
        <v>4103</v>
      </c>
      <c r="D207" s="145" t="s">
        <v>172</v>
      </c>
      <c r="E207" s="145">
        <v>21</v>
      </c>
      <c r="F207" s="145" t="s">
        <v>175</v>
      </c>
      <c r="G207" s="145" t="s">
        <v>234</v>
      </c>
      <c r="H207" s="145" t="s">
        <v>54</v>
      </c>
      <c r="I207" s="145" t="s">
        <v>144</v>
      </c>
      <c r="J207" s="146" t="s">
        <v>29</v>
      </c>
      <c r="K207" s="147" t="s">
        <v>178</v>
      </c>
      <c r="L207" s="148">
        <v>1113709158</v>
      </c>
      <c r="M207" s="148">
        <v>0</v>
      </c>
      <c r="N207" s="150">
        <f t="shared" si="195"/>
        <v>0</v>
      </c>
      <c r="O207" s="148">
        <v>0</v>
      </c>
      <c r="P207" s="150">
        <f t="shared" si="195"/>
        <v>0</v>
      </c>
      <c r="Q207" s="148">
        <v>0</v>
      </c>
      <c r="R207" s="150">
        <f t="shared" ref="R207" si="203">+Q207/$L207</f>
        <v>0</v>
      </c>
    </row>
    <row r="208" spans="1:18" ht="32.25" customHeight="1">
      <c r="A208" s="32" t="e">
        <v>#REF!</v>
      </c>
      <c r="B208" s="139" t="s">
        <v>167</v>
      </c>
      <c r="C208" s="139">
        <v>4103</v>
      </c>
      <c r="D208" s="139" t="s">
        <v>172</v>
      </c>
      <c r="E208" s="139">
        <v>21</v>
      </c>
      <c r="F208" s="139" t="s">
        <v>175</v>
      </c>
      <c r="G208" s="139" t="s">
        <v>197</v>
      </c>
      <c r="H208" s="139"/>
      <c r="I208" s="139" t="s">
        <v>144</v>
      </c>
      <c r="J208" s="140" t="s">
        <v>29</v>
      </c>
      <c r="K208" s="140" t="s">
        <v>236</v>
      </c>
      <c r="L208" s="141">
        <v>1536754755</v>
      </c>
      <c r="M208" s="141">
        <v>87254700</v>
      </c>
      <c r="N208" s="143">
        <f t="shared" si="195"/>
        <v>5.6778545643738708E-2</v>
      </c>
      <c r="O208" s="141">
        <v>0</v>
      </c>
      <c r="P208" s="143">
        <f t="shared" si="195"/>
        <v>0</v>
      </c>
      <c r="Q208" s="141">
        <v>0</v>
      </c>
      <c r="R208" s="143">
        <f t="shared" ref="R208" si="204">+Q208/$L208</f>
        <v>0</v>
      </c>
    </row>
    <row r="209" spans="1:18" ht="24.95" customHeight="1">
      <c r="A209" s="32" t="e">
        <v>#REF!</v>
      </c>
      <c r="B209" s="145" t="s">
        <v>167</v>
      </c>
      <c r="C209" s="145">
        <v>4103</v>
      </c>
      <c r="D209" s="145" t="s">
        <v>172</v>
      </c>
      <c r="E209" s="145">
        <v>21</v>
      </c>
      <c r="F209" s="145" t="s">
        <v>175</v>
      </c>
      <c r="G209" s="145" t="s">
        <v>197</v>
      </c>
      <c r="H209" s="145" t="s">
        <v>54</v>
      </c>
      <c r="I209" s="145" t="s">
        <v>144</v>
      </c>
      <c r="J209" s="146" t="s">
        <v>29</v>
      </c>
      <c r="K209" s="147" t="s">
        <v>178</v>
      </c>
      <c r="L209" s="148">
        <v>1536754755</v>
      </c>
      <c r="M209" s="148">
        <v>87254700</v>
      </c>
      <c r="N209" s="150">
        <f t="shared" si="195"/>
        <v>5.6778545643738708E-2</v>
      </c>
      <c r="O209" s="148"/>
      <c r="P209" s="150">
        <f t="shared" si="195"/>
        <v>0</v>
      </c>
      <c r="Q209" s="148"/>
      <c r="R209" s="150">
        <f t="shared" ref="R209" si="205">+Q209/$L209</f>
        <v>0</v>
      </c>
    </row>
    <row r="210" spans="1:18" ht="32.25" customHeight="1">
      <c r="A210" s="32" t="e">
        <v>#REF!</v>
      </c>
      <c r="B210" s="139" t="s">
        <v>167</v>
      </c>
      <c r="C210" s="139">
        <v>4103</v>
      </c>
      <c r="D210" s="139" t="s">
        <v>172</v>
      </c>
      <c r="E210" s="139">
        <v>21</v>
      </c>
      <c r="F210" s="139" t="s">
        <v>175</v>
      </c>
      <c r="G210" s="139" t="s">
        <v>203</v>
      </c>
      <c r="H210" s="139"/>
      <c r="I210" s="139" t="s">
        <v>144</v>
      </c>
      <c r="J210" s="140" t="s">
        <v>29</v>
      </c>
      <c r="K210" s="140" t="s">
        <v>237</v>
      </c>
      <c r="L210" s="141">
        <v>4563284631</v>
      </c>
      <c r="M210" s="141">
        <v>268698000</v>
      </c>
      <c r="N210" s="143">
        <f t="shared" si="195"/>
        <v>5.8882586059751746E-2</v>
      </c>
      <c r="O210" s="141">
        <v>0</v>
      </c>
      <c r="P210" s="143">
        <f t="shared" si="195"/>
        <v>0</v>
      </c>
      <c r="Q210" s="141">
        <v>0</v>
      </c>
      <c r="R210" s="143">
        <f t="shared" ref="R210" si="206">+Q210/$L210</f>
        <v>0</v>
      </c>
    </row>
    <row r="211" spans="1:18" ht="24.95" customHeight="1">
      <c r="A211" s="32" t="e">
        <v>#REF!</v>
      </c>
      <c r="B211" s="145" t="s">
        <v>167</v>
      </c>
      <c r="C211" s="145">
        <v>4103</v>
      </c>
      <c r="D211" s="145" t="s">
        <v>172</v>
      </c>
      <c r="E211" s="145">
        <v>21</v>
      </c>
      <c r="F211" s="145" t="s">
        <v>175</v>
      </c>
      <c r="G211" s="145" t="s">
        <v>203</v>
      </c>
      <c r="H211" s="145" t="s">
        <v>54</v>
      </c>
      <c r="I211" s="145" t="s">
        <v>144</v>
      </c>
      <c r="J211" s="146" t="s">
        <v>29</v>
      </c>
      <c r="K211" s="147" t="s">
        <v>178</v>
      </c>
      <c r="L211" s="148">
        <v>4563284631</v>
      </c>
      <c r="M211" s="148">
        <v>268698000</v>
      </c>
      <c r="N211" s="150">
        <f t="shared" si="195"/>
        <v>5.8882586059751746E-2</v>
      </c>
      <c r="O211" s="148">
        <v>0</v>
      </c>
      <c r="P211" s="150">
        <f t="shared" si="195"/>
        <v>0</v>
      </c>
      <c r="Q211" s="148">
        <v>0</v>
      </c>
      <c r="R211" s="150">
        <f t="shared" ref="R211" si="207">+Q211/$L211</f>
        <v>0</v>
      </c>
    </row>
    <row r="212" spans="1:18" ht="32.25" customHeight="1">
      <c r="A212" s="32" t="e">
        <v>#REF!</v>
      </c>
      <c r="B212" s="139" t="s">
        <v>167</v>
      </c>
      <c r="C212" s="139">
        <v>4103</v>
      </c>
      <c r="D212" s="139" t="s">
        <v>172</v>
      </c>
      <c r="E212" s="139">
        <v>21</v>
      </c>
      <c r="F212" s="139" t="s">
        <v>175</v>
      </c>
      <c r="G212" s="139" t="s">
        <v>223</v>
      </c>
      <c r="H212" s="139"/>
      <c r="I212" s="139" t="s">
        <v>144</v>
      </c>
      <c r="J212" s="140" t="s">
        <v>29</v>
      </c>
      <c r="K212" s="140" t="s">
        <v>238</v>
      </c>
      <c r="L212" s="141">
        <v>15310661350</v>
      </c>
      <c r="M212" s="141">
        <v>7572190209</v>
      </c>
      <c r="N212" s="143">
        <f t="shared" si="195"/>
        <v>0.49456976651109846</v>
      </c>
      <c r="O212" s="141">
        <v>563146770</v>
      </c>
      <c r="P212" s="143">
        <f t="shared" si="195"/>
        <v>3.6781348442534785E-2</v>
      </c>
      <c r="Q212" s="141">
        <v>486274111</v>
      </c>
      <c r="R212" s="143">
        <f t="shared" ref="R212" si="208">+Q212/$L212</f>
        <v>3.1760490280846036E-2</v>
      </c>
    </row>
    <row r="213" spans="1:18" ht="24.95" customHeight="1">
      <c r="A213" s="32" t="e">
        <v>#REF!</v>
      </c>
      <c r="B213" s="145" t="s">
        <v>167</v>
      </c>
      <c r="C213" s="145">
        <v>4103</v>
      </c>
      <c r="D213" s="145" t="s">
        <v>172</v>
      </c>
      <c r="E213" s="145">
        <v>21</v>
      </c>
      <c r="F213" s="145" t="s">
        <v>175</v>
      </c>
      <c r="G213" s="145" t="s">
        <v>223</v>
      </c>
      <c r="H213" s="145" t="s">
        <v>54</v>
      </c>
      <c r="I213" s="145" t="s">
        <v>144</v>
      </c>
      <c r="J213" s="146" t="s">
        <v>29</v>
      </c>
      <c r="K213" s="147" t="s">
        <v>178</v>
      </c>
      <c r="L213" s="148">
        <v>15310661350</v>
      </c>
      <c r="M213" s="148">
        <v>7572190209</v>
      </c>
      <c r="N213" s="150">
        <f t="shared" si="195"/>
        <v>0.49456976651109846</v>
      </c>
      <c r="O213" s="148">
        <v>563146770</v>
      </c>
      <c r="P213" s="150">
        <f t="shared" si="195"/>
        <v>3.6781348442534785E-2</v>
      </c>
      <c r="Q213" s="148">
        <v>486274111</v>
      </c>
      <c r="R213" s="150">
        <f t="shared" ref="R213" si="209">+Q213/$L213</f>
        <v>3.1760490280846036E-2</v>
      </c>
    </row>
    <row r="214" spans="1:18" ht="24.95" customHeight="1">
      <c r="A214" s="32" t="e">
        <v>#REF!</v>
      </c>
      <c r="B214" s="145" t="s">
        <v>167</v>
      </c>
      <c r="C214" s="145">
        <v>4103</v>
      </c>
      <c r="D214" s="145" t="s">
        <v>172</v>
      </c>
      <c r="E214" s="145">
        <v>21</v>
      </c>
      <c r="F214" s="145" t="s">
        <v>175</v>
      </c>
      <c r="G214" s="145" t="s">
        <v>223</v>
      </c>
      <c r="H214" s="145" t="s">
        <v>65</v>
      </c>
      <c r="I214" s="145" t="s">
        <v>144</v>
      </c>
      <c r="J214" s="146" t="s">
        <v>29</v>
      </c>
      <c r="K214" s="147" t="s">
        <v>127</v>
      </c>
      <c r="L214" s="148">
        <v>0</v>
      </c>
      <c r="M214" s="148">
        <v>0</v>
      </c>
      <c r="N214" s="150" t="e">
        <f t="shared" si="195"/>
        <v>#DIV/0!</v>
      </c>
      <c r="O214" s="148">
        <v>0</v>
      </c>
      <c r="P214" s="150" t="e">
        <f t="shared" si="195"/>
        <v>#DIV/0!</v>
      </c>
      <c r="Q214" s="148">
        <v>0</v>
      </c>
      <c r="R214" s="150" t="e">
        <f t="shared" ref="R214" si="210">+Q214/$L214</f>
        <v>#DIV/0!</v>
      </c>
    </row>
    <row r="215" spans="1:18" ht="49.5" customHeight="1">
      <c r="A215" s="32" t="e">
        <v>#REF!</v>
      </c>
      <c r="B215" s="133" t="s">
        <v>167</v>
      </c>
      <c r="C215" s="133">
        <v>4103</v>
      </c>
      <c r="D215" s="133" t="s">
        <v>172</v>
      </c>
      <c r="E215" s="133">
        <v>22</v>
      </c>
      <c r="F215" s="133"/>
      <c r="G215" s="133"/>
      <c r="H215" s="133"/>
      <c r="I215" s="133"/>
      <c r="J215" s="134"/>
      <c r="K215" s="134" t="s">
        <v>239</v>
      </c>
      <c r="L215" s="135">
        <v>137284000000</v>
      </c>
      <c r="M215" s="135">
        <v>89252702708</v>
      </c>
      <c r="N215" s="137">
        <f t="shared" si="195"/>
        <v>0.65013186320328664</v>
      </c>
      <c r="O215" s="135">
        <v>84415722077</v>
      </c>
      <c r="P215" s="137">
        <f t="shared" si="195"/>
        <v>0.61489847379884033</v>
      </c>
      <c r="Q215" s="135">
        <v>84295286901</v>
      </c>
      <c r="R215" s="137">
        <f t="shared" ref="R215" si="211">+Q215/$L215</f>
        <v>0.61402120349785849</v>
      </c>
    </row>
    <row r="216" spans="1:18" ht="32.25" customHeight="1">
      <c r="A216" s="32" t="e">
        <v>#REF!</v>
      </c>
      <c r="B216" s="139" t="s">
        <v>167</v>
      </c>
      <c r="C216" s="139">
        <v>4103</v>
      </c>
      <c r="D216" s="139" t="s">
        <v>172</v>
      </c>
      <c r="E216" s="139">
        <v>22</v>
      </c>
      <c r="F216" s="139" t="s">
        <v>175</v>
      </c>
      <c r="G216" s="139" t="s">
        <v>219</v>
      </c>
      <c r="H216" s="139"/>
      <c r="I216" s="139" t="s">
        <v>144</v>
      </c>
      <c r="J216" s="140" t="s">
        <v>29</v>
      </c>
      <c r="K216" s="140" t="s">
        <v>240</v>
      </c>
      <c r="L216" s="141">
        <v>9031396541</v>
      </c>
      <c r="M216" s="141">
        <v>5812280682</v>
      </c>
      <c r="N216" s="143">
        <f t="shared" si="195"/>
        <v>0.64356388910772333</v>
      </c>
      <c r="O216" s="141">
        <v>4816165702</v>
      </c>
      <c r="P216" s="143">
        <f t="shared" si="195"/>
        <v>0.53326921037471475</v>
      </c>
      <c r="Q216" s="141">
        <v>4816165702</v>
      </c>
      <c r="R216" s="143">
        <f t="shared" ref="R216" si="212">+Q216/$L216</f>
        <v>0.53326921037471475</v>
      </c>
    </row>
    <row r="217" spans="1:18" ht="24.95" customHeight="1">
      <c r="A217" s="32" t="e">
        <v>#REF!</v>
      </c>
      <c r="B217" s="145" t="s">
        <v>167</v>
      </c>
      <c r="C217" s="145">
        <v>4103</v>
      </c>
      <c r="D217" s="145" t="s">
        <v>172</v>
      </c>
      <c r="E217" s="145">
        <v>22</v>
      </c>
      <c r="F217" s="145" t="s">
        <v>175</v>
      </c>
      <c r="G217" s="145" t="s">
        <v>219</v>
      </c>
      <c r="H217" s="145" t="s">
        <v>54</v>
      </c>
      <c r="I217" s="145" t="s">
        <v>144</v>
      </c>
      <c r="J217" s="146" t="s">
        <v>29</v>
      </c>
      <c r="K217" s="147" t="s">
        <v>178</v>
      </c>
      <c r="L217" s="148">
        <v>9031396541</v>
      </c>
      <c r="M217" s="148">
        <v>5812280682</v>
      </c>
      <c r="N217" s="150">
        <f t="shared" si="195"/>
        <v>0.64356388910772333</v>
      </c>
      <c r="O217" s="148">
        <v>4816165702</v>
      </c>
      <c r="P217" s="150">
        <f t="shared" si="195"/>
        <v>0.53326921037471475</v>
      </c>
      <c r="Q217" s="148">
        <v>4816165702</v>
      </c>
      <c r="R217" s="150">
        <f t="shared" ref="R217" si="213">+Q217/$L217</f>
        <v>0.53326921037471475</v>
      </c>
    </row>
    <row r="218" spans="1:18" ht="32.25" customHeight="1">
      <c r="A218" s="32" t="e">
        <v>#REF!</v>
      </c>
      <c r="B218" s="139" t="s">
        <v>167</v>
      </c>
      <c r="C218" s="139">
        <v>4103</v>
      </c>
      <c r="D218" s="139" t="s">
        <v>172</v>
      </c>
      <c r="E218" s="139">
        <v>22</v>
      </c>
      <c r="F218" s="139" t="s">
        <v>175</v>
      </c>
      <c r="G218" s="139" t="s">
        <v>234</v>
      </c>
      <c r="H218" s="139"/>
      <c r="I218" s="139" t="s">
        <v>144</v>
      </c>
      <c r="J218" s="140" t="s">
        <v>29</v>
      </c>
      <c r="K218" s="140" t="s">
        <v>241</v>
      </c>
      <c r="L218" s="141">
        <v>6288213549</v>
      </c>
      <c r="M218" s="141">
        <v>709656489</v>
      </c>
      <c r="N218" s="143">
        <f t="shared" si="195"/>
        <v>0.11285502368361122</v>
      </c>
      <c r="O218" s="141">
        <v>240014845</v>
      </c>
      <c r="P218" s="143">
        <f t="shared" si="195"/>
        <v>3.8169003506277076E-2</v>
      </c>
      <c r="Q218" s="141">
        <v>240014845</v>
      </c>
      <c r="R218" s="143">
        <f t="shared" ref="R218" si="214">+Q218/$L218</f>
        <v>3.8169003506277076E-2</v>
      </c>
    </row>
    <row r="219" spans="1:18" ht="24.95" customHeight="1">
      <c r="A219" s="32" t="e">
        <v>#REF!</v>
      </c>
      <c r="B219" s="145" t="s">
        <v>167</v>
      </c>
      <c r="C219" s="145">
        <v>4103</v>
      </c>
      <c r="D219" s="145" t="s">
        <v>172</v>
      </c>
      <c r="E219" s="145">
        <v>22</v>
      </c>
      <c r="F219" s="145" t="s">
        <v>175</v>
      </c>
      <c r="G219" s="145" t="s">
        <v>234</v>
      </c>
      <c r="H219" s="145" t="s">
        <v>54</v>
      </c>
      <c r="I219" s="145" t="s">
        <v>144</v>
      </c>
      <c r="J219" s="146" t="s">
        <v>29</v>
      </c>
      <c r="K219" s="147" t="s">
        <v>178</v>
      </c>
      <c r="L219" s="148">
        <v>6288213549</v>
      </c>
      <c r="M219" s="148">
        <v>709656489</v>
      </c>
      <c r="N219" s="150">
        <f t="shared" si="195"/>
        <v>0.11285502368361122</v>
      </c>
      <c r="O219" s="148">
        <v>240014845</v>
      </c>
      <c r="P219" s="150">
        <f t="shared" si="195"/>
        <v>3.8169003506277076E-2</v>
      </c>
      <c r="Q219" s="148">
        <v>240014845</v>
      </c>
      <c r="R219" s="150">
        <f t="shared" ref="R219" si="215">+Q219/$L219</f>
        <v>3.8169003506277076E-2</v>
      </c>
    </row>
    <row r="220" spans="1:18" ht="24.95" customHeight="1">
      <c r="A220" s="32" t="e">
        <v>#REF!</v>
      </c>
      <c r="B220" s="145" t="s">
        <v>167</v>
      </c>
      <c r="C220" s="145">
        <v>4103</v>
      </c>
      <c r="D220" s="145" t="s">
        <v>172</v>
      </c>
      <c r="E220" s="145">
        <v>22</v>
      </c>
      <c r="F220" s="145" t="s">
        <v>175</v>
      </c>
      <c r="G220" s="145" t="s">
        <v>234</v>
      </c>
      <c r="H220" s="145" t="s">
        <v>65</v>
      </c>
      <c r="I220" s="145" t="s">
        <v>144</v>
      </c>
      <c r="J220" s="146" t="s">
        <v>29</v>
      </c>
      <c r="K220" s="147" t="s">
        <v>127</v>
      </c>
      <c r="L220" s="148">
        <v>0</v>
      </c>
      <c r="M220" s="148">
        <v>0</v>
      </c>
      <c r="N220" s="150" t="e">
        <f t="shared" si="195"/>
        <v>#DIV/0!</v>
      </c>
      <c r="O220" s="148">
        <v>0</v>
      </c>
      <c r="P220" s="150" t="e">
        <f t="shared" si="195"/>
        <v>#DIV/0!</v>
      </c>
      <c r="Q220" s="148">
        <v>0</v>
      </c>
      <c r="R220" s="150" t="e">
        <f t="shared" ref="R220" si="216">+Q220/$L220</f>
        <v>#DIV/0!</v>
      </c>
    </row>
    <row r="221" spans="1:18" ht="32.25" customHeight="1">
      <c r="A221" s="32" t="e">
        <v>#REF!</v>
      </c>
      <c r="B221" s="139" t="s">
        <v>167</v>
      </c>
      <c r="C221" s="139">
        <v>4103</v>
      </c>
      <c r="D221" s="139" t="s">
        <v>172</v>
      </c>
      <c r="E221" s="139">
        <v>22</v>
      </c>
      <c r="F221" s="139" t="s">
        <v>175</v>
      </c>
      <c r="G221" s="139">
        <v>4103051</v>
      </c>
      <c r="H221" s="139"/>
      <c r="I221" s="139" t="s">
        <v>144</v>
      </c>
      <c r="J221" s="140" t="s">
        <v>29</v>
      </c>
      <c r="K221" s="140" t="s">
        <v>242</v>
      </c>
      <c r="L221" s="141">
        <v>3268617345</v>
      </c>
      <c r="M221" s="141">
        <v>0</v>
      </c>
      <c r="N221" s="143">
        <f t="shared" si="195"/>
        <v>0</v>
      </c>
      <c r="O221" s="141">
        <v>0</v>
      </c>
      <c r="P221" s="143">
        <f t="shared" si="195"/>
        <v>0</v>
      </c>
      <c r="Q221" s="141">
        <v>0</v>
      </c>
      <c r="R221" s="143">
        <f t="shared" ref="R221" si="217">+Q221/$L221</f>
        <v>0</v>
      </c>
    </row>
    <row r="222" spans="1:18" ht="24.95" customHeight="1">
      <c r="A222" s="32" t="e">
        <v>#REF!</v>
      </c>
      <c r="B222" s="145" t="s">
        <v>167</v>
      </c>
      <c r="C222" s="145">
        <v>4103</v>
      </c>
      <c r="D222" s="145" t="s">
        <v>172</v>
      </c>
      <c r="E222" s="145">
        <v>22</v>
      </c>
      <c r="F222" s="145" t="s">
        <v>175</v>
      </c>
      <c r="G222" s="145">
        <v>4103051</v>
      </c>
      <c r="H222" s="145" t="s">
        <v>54</v>
      </c>
      <c r="I222" s="145" t="s">
        <v>144</v>
      </c>
      <c r="J222" s="146" t="s">
        <v>29</v>
      </c>
      <c r="K222" s="147" t="s">
        <v>178</v>
      </c>
      <c r="L222" s="148">
        <v>3268617345</v>
      </c>
      <c r="M222" s="148">
        <v>0</v>
      </c>
      <c r="N222" s="150">
        <f t="shared" si="195"/>
        <v>0</v>
      </c>
      <c r="O222" s="148">
        <v>0</v>
      </c>
      <c r="P222" s="150">
        <f t="shared" si="195"/>
        <v>0</v>
      </c>
      <c r="Q222" s="148">
        <v>0</v>
      </c>
      <c r="R222" s="150">
        <f t="shared" ref="R222" si="218">+Q222/$L222</f>
        <v>0</v>
      </c>
    </row>
    <row r="223" spans="1:18" ht="32.25" customHeight="1">
      <c r="A223" s="32" t="e">
        <v>#REF!</v>
      </c>
      <c r="B223" s="139" t="s">
        <v>167</v>
      </c>
      <c r="C223" s="139">
        <v>4103</v>
      </c>
      <c r="D223" s="139" t="s">
        <v>172</v>
      </c>
      <c r="E223" s="139">
        <v>22</v>
      </c>
      <c r="F223" s="139" t="s">
        <v>175</v>
      </c>
      <c r="G223" s="139">
        <v>4103055</v>
      </c>
      <c r="H223" s="139"/>
      <c r="I223" s="139" t="s">
        <v>144</v>
      </c>
      <c r="J223" s="140" t="s">
        <v>29</v>
      </c>
      <c r="K223" s="140" t="s">
        <v>243</v>
      </c>
      <c r="L223" s="141">
        <v>17030714381</v>
      </c>
      <c r="M223" s="141">
        <v>0</v>
      </c>
      <c r="N223" s="143">
        <f t="shared" si="195"/>
        <v>0</v>
      </c>
      <c r="O223" s="141">
        <v>0</v>
      </c>
      <c r="P223" s="143">
        <f t="shared" si="195"/>
        <v>0</v>
      </c>
      <c r="Q223" s="141">
        <v>0</v>
      </c>
      <c r="R223" s="143">
        <f t="shared" ref="R223" si="219">+Q223/$L223</f>
        <v>0</v>
      </c>
    </row>
    <row r="224" spans="1:18" ht="24.95" customHeight="1">
      <c r="A224" s="32" t="e">
        <v>#REF!</v>
      </c>
      <c r="B224" s="145" t="s">
        <v>167</v>
      </c>
      <c r="C224" s="145">
        <v>4103</v>
      </c>
      <c r="D224" s="145" t="s">
        <v>172</v>
      </c>
      <c r="E224" s="145">
        <v>22</v>
      </c>
      <c r="F224" s="145" t="s">
        <v>175</v>
      </c>
      <c r="G224" s="145" t="s">
        <v>203</v>
      </c>
      <c r="H224" s="145" t="s">
        <v>54</v>
      </c>
      <c r="I224" s="145" t="s">
        <v>144</v>
      </c>
      <c r="J224" s="146" t="s">
        <v>29</v>
      </c>
      <c r="K224" s="147" t="s">
        <v>178</v>
      </c>
      <c r="L224" s="148">
        <v>515114381</v>
      </c>
      <c r="M224" s="148">
        <v>0</v>
      </c>
      <c r="N224" s="150">
        <f t="shared" si="195"/>
        <v>0</v>
      </c>
      <c r="O224" s="148">
        <v>0</v>
      </c>
      <c r="P224" s="150">
        <f t="shared" si="195"/>
        <v>0</v>
      </c>
      <c r="Q224" s="148">
        <v>0</v>
      </c>
      <c r="R224" s="150">
        <f t="shared" ref="R224" si="220">+Q224/$L224</f>
        <v>0</v>
      </c>
    </row>
    <row r="225" spans="1:18" ht="24.95" customHeight="1">
      <c r="A225" s="32" t="e">
        <v>#REF!</v>
      </c>
      <c r="B225" s="145" t="s">
        <v>167</v>
      </c>
      <c r="C225" s="145">
        <v>4103</v>
      </c>
      <c r="D225" s="145" t="s">
        <v>172</v>
      </c>
      <c r="E225" s="145">
        <v>22</v>
      </c>
      <c r="F225" s="145" t="s">
        <v>175</v>
      </c>
      <c r="G225" s="145" t="s">
        <v>203</v>
      </c>
      <c r="H225" s="145" t="s">
        <v>65</v>
      </c>
      <c r="I225" s="145" t="s">
        <v>144</v>
      </c>
      <c r="J225" s="146" t="s">
        <v>29</v>
      </c>
      <c r="K225" s="147" t="s">
        <v>127</v>
      </c>
      <c r="L225" s="148">
        <v>16515600000</v>
      </c>
      <c r="M225" s="148">
        <v>0</v>
      </c>
      <c r="N225" s="150">
        <f t="shared" si="195"/>
        <v>0</v>
      </c>
      <c r="O225" s="148">
        <v>0</v>
      </c>
      <c r="P225" s="150">
        <f t="shared" si="195"/>
        <v>0</v>
      </c>
      <c r="Q225" s="148">
        <v>0</v>
      </c>
      <c r="R225" s="150">
        <f t="shared" ref="R225" si="221">+Q225/$L225</f>
        <v>0</v>
      </c>
    </row>
    <row r="226" spans="1:18" ht="32.25" customHeight="1">
      <c r="A226" s="32" t="e">
        <v>#REF!</v>
      </c>
      <c r="B226" s="139" t="s">
        <v>167</v>
      </c>
      <c r="C226" s="139">
        <v>4103</v>
      </c>
      <c r="D226" s="139" t="s">
        <v>172</v>
      </c>
      <c r="E226" s="139">
        <v>22</v>
      </c>
      <c r="F226" s="139" t="s">
        <v>175</v>
      </c>
      <c r="G226" s="139">
        <v>4103057</v>
      </c>
      <c r="H226" s="139"/>
      <c r="I226" s="139" t="s">
        <v>144</v>
      </c>
      <c r="J226" s="140" t="s">
        <v>29</v>
      </c>
      <c r="K226" s="140" t="s">
        <v>244</v>
      </c>
      <c r="L226" s="141">
        <v>98063436538</v>
      </c>
      <c r="M226" s="141">
        <v>82730765537</v>
      </c>
      <c r="N226" s="143">
        <f t="shared" si="195"/>
        <v>0.84364538361799579</v>
      </c>
      <c r="O226" s="141">
        <v>79359541530</v>
      </c>
      <c r="P226" s="143">
        <f t="shared" si="195"/>
        <v>0.80926739192183872</v>
      </c>
      <c r="Q226" s="141">
        <v>79239106354</v>
      </c>
      <c r="R226" s="143">
        <f t="shared" ref="R226" si="222">+Q226/$L226</f>
        <v>0.80803925654078534</v>
      </c>
    </row>
    <row r="227" spans="1:18" ht="24.95" customHeight="1">
      <c r="A227" s="32" t="e">
        <v>#REF!</v>
      </c>
      <c r="B227" s="145" t="s">
        <v>167</v>
      </c>
      <c r="C227" s="145">
        <v>4103</v>
      </c>
      <c r="D227" s="145" t="s">
        <v>172</v>
      </c>
      <c r="E227" s="145">
        <v>22</v>
      </c>
      <c r="F227" s="145" t="s">
        <v>175</v>
      </c>
      <c r="G227" s="145" t="s">
        <v>221</v>
      </c>
      <c r="H227" s="145" t="s">
        <v>54</v>
      </c>
      <c r="I227" s="145" t="s">
        <v>144</v>
      </c>
      <c r="J227" s="146" t="s">
        <v>29</v>
      </c>
      <c r="K227" s="147" t="s">
        <v>178</v>
      </c>
      <c r="L227" s="148">
        <v>6763610538</v>
      </c>
      <c r="M227" s="148">
        <v>5255781537</v>
      </c>
      <c r="N227" s="150">
        <f t="shared" si="195"/>
        <v>0.77706744163807739</v>
      </c>
      <c r="O227" s="148">
        <v>3360724530</v>
      </c>
      <c r="P227" s="150">
        <f t="shared" si="195"/>
        <v>0.49688321217172959</v>
      </c>
      <c r="Q227" s="148">
        <v>3240289354</v>
      </c>
      <c r="R227" s="150">
        <f t="shared" ref="R227" si="223">+Q227/$L227</f>
        <v>0.479076868160146</v>
      </c>
    </row>
    <row r="228" spans="1:18" ht="24.95" customHeight="1">
      <c r="A228" s="32" t="e">
        <v>#REF!</v>
      </c>
      <c r="B228" s="145" t="s">
        <v>167</v>
      </c>
      <c r="C228" s="145">
        <v>4103</v>
      </c>
      <c r="D228" s="145" t="s">
        <v>172</v>
      </c>
      <c r="E228" s="145">
        <v>22</v>
      </c>
      <c r="F228" s="145" t="s">
        <v>175</v>
      </c>
      <c r="G228" s="145" t="s">
        <v>221</v>
      </c>
      <c r="H228" s="145" t="s">
        <v>65</v>
      </c>
      <c r="I228" s="145" t="s">
        <v>144</v>
      </c>
      <c r="J228" s="146" t="s">
        <v>29</v>
      </c>
      <c r="K228" s="147" t="s">
        <v>127</v>
      </c>
      <c r="L228" s="148">
        <v>91299826000</v>
      </c>
      <c r="M228" s="148">
        <v>77474984000</v>
      </c>
      <c r="N228" s="150">
        <f t="shared" si="195"/>
        <v>0.84857756464946599</v>
      </c>
      <c r="O228" s="148">
        <v>75998817000</v>
      </c>
      <c r="P228" s="150">
        <f t="shared" si="195"/>
        <v>0.83240922058274236</v>
      </c>
      <c r="Q228" s="148">
        <v>75998817000</v>
      </c>
      <c r="R228" s="150">
        <f t="shared" ref="R228" si="224">+Q228/$L228</f>
        <v>0.83240922058274236</v>
      </c>
    </row>
    <row r="229" spans="1:18" ht="32.25" customHeight="1">
      <c r="A229" s="32" t="e">
        <v>#REF!</v>
      </c>
      <c r="B229" s="139" t="s">
        <v>167</v>
      </c>
      <c r="C229" s="139">
        <v>4103</v>
      </c>
      <c r="D229" s="139" t="s">
        <v>172</v>
      </c>
      <c r="E229" s="139">
        <v>22</v>
      </c>
      <c r="F229" s="139" t="s">
        <v>175</v>
      </c>
      <c r="G229" s="139">
        <v>4103062</v>
      </c>
      <c r="H229" s="139"/>
      <c r="I229" s="139" t="s">
        <v>144</v>
      </c>
      <c r="J229" s="140" t="s">
        <v>29</v>
      </c>
      <c r="K229" s="140" t="s">
        <v>245</v>
      </c>
      <c r="L229" s="141">
        <v>3601621646</v>
      </c>
      <c r="M229" s="141">
        <v>0</v>
      </c>
      <c r="N229" s="143">
        <f t="shared" si="195"/>
        <v>0</v>
      </c>
      <c r="O229" s="141">
        <v>0</v>
      </c>
      <c r="P229" s="143">
        <f t="shared" si="195"/>
        <v>0</v>
      </c>
      <c r="Q229" s="141">
        <v>0</v>
      </c>
      <c r="R229" s="143">
        <f t="shared" ref="R229" si="225">+Q229/$L229</f>
        <v>0</v>
      </c>
    </row>
    <row r="230" spans="1:18" ht="24.95" customHeight="1">
      <c r="A230" s="32" t="e">
        <v>#REF!</v>
      </c>
      <c r="B230" s="145" t="s">
        <v>167</v>
      </c>
      <c r="C230" s="145">
        <v>4103</v>
      </c>
      <c r="D230" s="145" t="s">
        <v>172</v>
      </c>
      <c r="E230" s="145">
        <v>22</v>
      </c>
      <c r="F230" s="145" t="s">
        <v>175</v>
      </c>
      <c r="G230" s="145" t="s">
        <v>246</v>
      </c>
      <c r="H230" s="145" t="s">
        <v>54</v>
      </c>
      <c r="I230" s="145" t="s">
        <v>144</v>
      </c>
      <c r="J230" s="146" t="s">
        <v>29</v>
      </c>
      <c r="K230" s="147" t="s">
        <v>178</v>
      </c>
      <c r="L230" s="148">
        <v>3601621646</v>
      </c>
      <c r="M230" s="148">
        <v>0</v>
      </c>
      <c r="N230" s="150">
        <f t="shared" si="195"/>
        <v>0</v>
      </c>
      <c r="O230" s="148">
        <v>0</v>
      </c>
      <c r="P230" s="150">
        <f t="shared" si="195"/>
        <v>0</v>
      </c>
      <c r="Q230" s="148">
        <v>0</v>
      </c>
      <c r="R230" s="150">
        <f t="shared" ref="R230" si="226">+Q230/$L230</f>
        <v>0</v>
      </c>
    </row>
    <row r="231" spans="1:18" ht="24.95" customHeight="1">
      <c r="A231" s="32" t="e">
        <v>#REF!</v>
      </c>
      <c r="B231" s="145" t="s">
        <v>167</v>
      </c>
      <c r="C231" s="145">
        <v>4103</v>
      </c>
      <c r="D231" s="145" t="s">
        <v>172</v>
      </c>
      <c r="E231" s="145">
        <v>22</v>
      </c>
      <c r="F231" s="145" t="s">
        <v>175</v>
      </c>
      <c r="G231" s="145" t="s">
        <v>246</v>
      </c>
      <c r="H231" s="145" t="s">
        <v>65</v>
      </c>
      <c r="I231" s="145" t="s">
        <v>144</v>
      </c>
      <c r="J231" s="146" t="s">
        <v>29</v>
      </c>
      <c r="K231" s="147" t="s">
        <v>127</v>
      </c>
      <c r="L231" s="148">
        <v>0</v>
      </c>
      <c r="M231" s="148">
        <v>0</v>
      </c>
      <c r="N231" s="150" t="e">
        <f t="shared" si="195"/>
        <v>#DIV/0!</v>
      </c>
      <c r="O231" s="148">
        <v>0</v>
      </c>
      <c r="P231" s="150" t="e">
        <f t="shared" si="195"/>
        <v>#DIV/0!</v>
      </c>
      <c r="Q231" s="148">
        <v>0</v>
      </c>
      <c r="R231" s="150" t="e">
        <f t="shared" ref="R231" si="227">+Q231/$L231</f>
        <v>#DIV/0!</v>
      </c>
    </row>
    <row r="232" spans="1:18" ht="39.75" customHeight="1">
      <c r="A232" s="32"/>
      <c r="B232" s="133" t="s">
        <v>167</v>
      </c>
      <c r="C232" s="133" t="s">
        <v>190</v>
      </c>
      <c r="D232" s="133" t="s">
        <v>172</v>
      </c>
      <c r="E232" s="133">
        <v>23</v>
      </c>
      <c r="F232" s="133"/>
      <c r="G232" s="133"/>
      <c r="H232" s="133"/>
      <c r="I232" s="133"/>
      <c r="J232" s="134"/>
      <c r="K232" s="134" t="s">
        <v>273</v>
      </c>
      <c r="L232" s="135">
        <v>1769368130080</v>
      </c>
      <c r="M232" s="135">
        <v>904053973868.78003</v>
      </c>
      <c r="N232" s="137">
        <f t="shared" si="195"/>
        <v>0.51094735939880653</v>
      </c>
      <c r="O232" s="135">
        <v>860390186294.42993</v>
      </c>
      <c r="P232" s="137">
        <f t="shared" si="195"/>
        <v>0.48626974323061212</v>
      </c>
      <c r="Q232" s="135">
        <v>860285446647.42993</v>
      </c>
      <c r="R232" s="137">
        <f t="shared" ref="R232" si="228">+Q232/$L232</f>
        <v>0.48621054715647732</v>
      </c>
    </row>
    <row r="233" spans="1:18" ht="32.25" customHeight="1">
      <c r="A233" s="32"/>
      <c r="B233" s="139" t="s">
        <v>167</v>
      </c>
      <c r="C233" s="139" t="s">
        <v>190</v>
      </c>
      <c r="D233" s="139" t="s">
        <v>172</v>
      </c>
      <c r="E233" s="139">
        <v>23</v>
      </c>
      <c r="F233" s="139" t="s">
        <v>175</v>
      </c>
      <c r="G233" s="139">
        <v>4103065</v>
      </c>
      <c r="H233" s="139"/>
      <c r="I233" s="139">
        <v>11</v>
      </c>
      <c r="J233" s="140" t="s">
        <v>29</v>
      </c>
      <c r="K233" s="140" t="s">
        <v>248</v>
      </c>
      <c r="L233" s="141">
        <v>1769368130080</v>
      </c>
      <c r="M233" s="141">
        <v>904053973868.78003</v>
      </c>
      <c r="N233" s="143">
        <f t="shared" si="195"/>
        <v>0.51094735939880653</v>
      </c>
      <c r="O233" s="141">
        <v>860390186294.42993</v>
      </c>
      <c r="P233" s="143">
        <f t="shared" si="195"/>
        <v>0.48626974323061212</v>
      </c>
      <c r="Q233" s="141">
        <v>860285446647.42993</v>
      </c>
      <c r="R233" s="143">
        <f t="shared" ref="R233" si="229">+Q233/$L233</f>
        <v>0.48621054715647732</v>
      </c>
    </row>
    <row r="234" spans="1:18" ht="24.95" customHeight="1">
      <c r="A234" s="32"/>
      <c r="B234" s="145" t="s">
        <v>167</v>
      </c>
      <c r="C234" s="145" t="s">
        <v>190</v>
      </c>
      <c r="D234" s="145" t="s">
        <v>172</v>
      </c>
      <c r="E234" s="145">
        <v>23</v>
      </c>
      <c r="F234" s="145" t="s">
        <v>175</v>
      </c>
      <c r="G234" s="145">
        <v>4103065</v>
      </c>
      <c r="H234" s="145" t="s">
        <v>54</v>
      </c>
      <c r="I234" s="145">
        <v>11</v>
      </c>
      <c r="J234" s="146" t="s">
        <v>29</v>
      </c>
      <c r="K234" s="147" t="s">
        <v>178</v>
      </c>
      <c r="L234" s="148">
        <v>21400000000</v>
      </c>
      <c r="M234" s="148">
        <v>2216960734.5</v>
      </c>
      <c r="N234" s="150">
        <f t="shared" si="195"/>
        <v>0.10359629600467289</v>
      </c>
      <c r="O234" s="148">
        <v>104739647</v>
      </c>
      <c r="P234" s="150">
        <f t="shared" si="195"/>
        <v>4.8943760280373829E-3</v>
      </c>
      <c r="Q234" s="148">
        <v>0</v>
      </c>
      <c r="R234" s="150">
        <f t="shared" ref="R234" si="230">+Q234/$L234</f>
        <v>0</v>
      </c>
    </row>
    <row r="235" spans="1:18" ht="24.95" customHeight="1">
      <c r="A235" s="32"/>
      <c r="B235" s="145" t="s">
        <v>167</v>
      </c>
      <c r="C235" s="145" t="s">
        <v>190</v>
      </c>
      <c r="D235" s="145" t="s">
        <v>172</v>
      </c>
      <c r="E235" s="145">
        <v>23</v>
      </c>
      <c r="F235" s="145" t="s">
        <v>175</v>
      </c>
      <c r="G235" s="145">
        <v>4103065</v>
      </c>
      <c r="H235" s="145" t="s">
        <v>54</v>
      </c>
      <c r="I235" s="145">
        <v>16</v>
      </c>
      <c r="J235" s="146" t="s">
        <v>156</v>
      </c>
      <c r="K235" s="147" t="s">
        <v>178</v>
      </c>
      <c r="L235" s="148">
        <v>68256379176</v>
      </c>
      <c r="M235" s="148">
        <v>68045733134.279999</v>
      </c>
      <c r="N235" s="150">
        <f t="shared" si="195"/>
        <v>0.99691389956128718</v>
      </c>
      <c r="O235" s="148">
        <v>26494166647.43</v>
      </c>
      <c r="P235" s="150">
        <f t="shared" si="195"/>
        <v>0.38815663777175219</v>
      </c>
      <c r="Q235" s="148">
        <v>26494166647.43</v>
      </c>
      <c r="R235" s="150">
        <f t="shared" ref="R235" si="231">+Q235/$L235</f>
        <v>0.38815663777175219</v>
      </c>
    </row>
    <row r="236" spans="1:18" ht="24.95" customHeight="1">
      <c r="A236" s="32"/>
      <c r="B236" s="145" t="s">
        <v>167</v>
      </c>
      <c r="C236" s="145" t="s">
        <v>190</v>
      </c>
      <c r="D236" s="145" t="s">
        <v>172</v>
      </c>
      <c r="E236" s="145">
        <v>23</v>
      </c>
      <c r="F236" s="145" t="s">
        <v>175</v>
      </c>
      <c r="G236" s="145">
        <v>4103065</v>
      </c>
      <c r="H236" s="145" t="s">
        <v>65</v>
      </c>
      <c r="I236" s="145">
        <v>11</v>
      </c>
      <c r="J236" s="146" t="s">
        <v>29</v>
      </c>
      <c r="K236" s="147" t="s">
        <v>127</v>
      </c>
      <c r="L236" s="148">
        <v>366600000000</v>
      </c>
      <c r="M236" s="148">
        <v>193084400000</v>
      </c>
      <c r="N236" s="150">
        <f t="shared" si="195"/>
        <v>0.52668957992362253</v>
      </c>
      <c r="O236" s="148">
        <v>193084400000</v>
      </c>
      <c r="P236" s="150">
        <f t="shared" si="195"/>
        <v>0.52668957992362253</v>
      </c>
      <c r="Q236" s="148">
        <v>193084400000</v>
      </c>
      <c r="R236" s="150">
        <f t="shared" ref="R236" si="232">+Q236/$L236</f>
        <v>0.52668957992362253</v>
      </c>
    </row>
    <row r="237" spans="1:18" ht="24.95" customHeight="1">
      <c r="A237" s="32"/>
      <c r="B237" s="145" t="s">
        <v>167</v>
      </c>
      <c r="C237" s="145" t="s">
        <v>190</v>
      </c>
      <c r="D237" s="145" t="s">
        <v>172</v>
      </c>
      <c r="E237" s="145">
        <v>23</v>
      </c>
      <c r="F237" s="145" t="s">
        <v>175</v>
      </c>
      <c r="G237" s="145">
        <v>4103065</v>
      </c>
      <c r="H237" s="145" t="s">
        <v>65</v>
      </c>
      <c r="I237" s="145">
        <v>16</v>
      </c>
      <c r="J237" s="146" t="s">
        <v>156</v>
      </c>
      <c r="K237" s="147" t="s">
        <v>127</v>
      </c>
      <c r="L237" s="148">
        <v>1313111750904</v>
      </c>
      <c r="M237" s="148">
        <v>640706880000</v>
      </c>
      <c r="N237" s="150">
        <f t="shared" si="195"/>
        <v>0.48793020057806286</v>
      </c>
      <c r="O237" s="148">
        <v>640706880000</v>
      </c>
      <c r="P237" s="150">
        <f t="shared" si="195"/>
        <v>0.48793020057806286</v>
      </c>
      <c r="Q237" s="148">
        <v>640706880000</v>
      </c>
      <c r="R237" s="150">
        <f t="shared" ref="R237" si="233">+Q237/$L237</f>
        <v>0.48793020057806286</v>
      </c>
    </row>
    <row r="238" spans="1:18" ht="36.75" customHeight="1">
      <c r="A238" s="32" t="e">
        <v>#REF!</v>
      </c>
      <c r="B238" s="123" t="s">
        <v>167</v>
      </c>
      <c r="C238" s="123">
        <v>4199</v>
      </c>
      <c r="D238" s="123"/>
      <c r="E238" s="123"/>
      <c r="F238" s="123"/>
      <c r="G238" s="123"/>
      <c r="H238" s="123"/>
      <c r="I238" s="124"/>
      <c r="J238" s="124"/>
      <c r="K238" s="124" t="s">
        <v>250</v>
      </c>
      <c r="L238" s="125">
        <v>3226548466</v>
      </c>
      <c r="M238" s="125">
        <v>2586383534.5500002</v>
      </c>
      <c r="N238" s="126">
        <f t="shared" si="195"/>
        <v>0.80159450936634413</v>
      </c>
      <c r="O238" s="125">
        <v>2335132756.5999999</v>
      </c>
      <c r="P238" s="126">
        <f t="shared" si="195"/>
        <v>0.72372468016725577</v>
      </c>
      <c r="Q238" s="125">
        <v>2335132756.5999999</v>
      </c>
      <c r="R238" s="126">
        <f t="shared" ref="R238" si="234">+Q238/$L238</f>
        <v>0.72372468016725577</v>
      </c>
    </row>
    <row r="239" spans="1:18" ht="24" customHeight="1">
      <c r="A239" s="32" t="e">
        <v>#REF!</v>
      </c>
      <c r="B239" s="128" t="s">
        <v>167</v>
      </c>
      <c r="C239" s="128">
        <v>4199</v>
      </c>
      <c r="D239" s="128">
        <v>1500</v>
      </c>
      <c r="E239" s="128"/>
      <c r="F239" s="128"/>
      <c r="G239" s="128"/>
      <c r="H239" s="128"/>
      <c r="I239" s="129"/>
      <c r="J239" s="129"/>
      <c r="K239" s="129" t="s">
        <v>170</v>
      </c>
      <c r="L239" s="130">
        <v>3226548466</v>
      </c>
      <c r="M239" s="130">
        <v>2586383534.5500002</v>
      </c>
      <c r="N239" s="131">
        <f t="shared" si="195"/>
        <v>0.80159450936634413</v>
      </c>
      <c r="O239" s="130">
        <v>2335132756.5999999</v>
      </c>
      <c r="P239" s="131">
        <f t="shared" si="195"/>
        <v>0.72372468016725577</v>
      </c>
      <c r="Q239" s="130">
        <v>2335132756.5999999</v>
      </c>
      <c r="R239" s="131">
        <f t="shared" ref="R239" si="235">+Q239/$L239</f>
        <v>0.72372468016725577</v>
      </c>
    </row>
    <row r="240" spans="1:18" ht="37.5" customHeight="1">
      <c r="A240" s="32" t="e">
        <v>#REF!</v>
      </c>
      <c r="B240" s="133" t="s">
        <v>167</v>
      </c>
      <c r="C240" s="133" t="s">
        <v>251</v>
      </c>
      <c r="D240" s="133" t="s">
        <v>172</v>
      </c>
      <c r="E240" s="133" t="s">
        <v>252</v>
      </c>
      <c r="F240" s="133"/>
      <c r="G240" s="133"/>
      <c r="H240" s="133"/>
      <c r="I240" s="133"/>
      <c r="J240" s="134"/>
      <c r="K240" s="134" t="s">
        <v>274</v>
      </c>
      <c r="L240" s="135">
        <v>3226548466</v>
      </c>
      <c r="M240" s="135">
        <v>2586383534.5500002</v>
      </c>
      <c r="N240" s="137">
        <f t="shared" si="195"/>
        <v>0.80159450936634413</v>
      </c>
      <c r="O240" s="135">
        <v>2335132756.5999999</v>
      </c>
      <c r="P240" s="137">
        <f t="shared" si="195"/>
        <v>0.72372468016725577</v>
      </c>
      <c r="Q240" s="135">
        <v>2335132756.5999999</v>
      </c>
      <c r="R240" s="137">
        <f t="shared" ref="R240" si="236">+Q240/$L240</f>
        <v>0.72372468016725577</v>
      </c>
    </row>
    <row r="241" spans="1:41" ht="32.25" customHeight="1">
      <c r="A241" s="32" t="e">
        <v>#REF!</v>
      </c>
      <c r="B241" s="139" t="s">
        <v>167</v>
      </c>
      <c r="C241" s="139" t="s">
        <v>251</v>
      </c>
      <c r="D241" s="139" t="s">
        <v>172</v>
      </c>
      <c r="E241" s="139" t="s">
        <v>252</v>
      </c>
      <c r="F241" s="139" t="s">
        <v>175</v>
      </c>
      <c r="G241" s="139" t="s">
        <v>254</v>
      </c>
      <c r="H241" s="139"/>
      <c r="I241" s="139">
        <v>11</v>
      </c>
      <c r="J241" s="140" t="s">
        <v>29</v>
      </c>
      <c r="K241" s="140" t="s">
        <v>255</v>
      </c>
      <c r="L241" s="141">
        <v>3226548466</v>
      </c>
      <c r="M241" s="141">
        <v>2586383534.5500002</v>
      </c>
      <c r="N241" s="143">
        <f t="shared" si="195"/>
        <v>0.80159450936634413</v>
      </c>
      <c r="O241" s="141">
        <v>2335132756.5999999</v>
      </c>
      <c r="P241" s="143">
        <f t="shared" si="195"/>
        <v>0.72372468016725577</v>
      </c>
      <c r="Q241" s="141">
        <v>2335132756.5999999</v>
      </c>
      <c r="R241" s="143">
        <f t="shared" ref="R241" si="237">+Q241/$L241</f>
        <v>0.72372468016725577</v>
      </c>
    </row>
    <row r="242" spans="1:41" ht="24.95" customHeight="1">
      <c r="A242" s="32" t="e">
        <v>#REF!</v>
      </c>
      <c r="B242" s="145" t="s">
        <v>167</v>
      </c>
      <c r="C242" s="145" t="s">
        <v>251</v>
      </c>
      <c r="D242" s="145" t="s">
        <v>172</v>
      </c>
      <c r="E242" s="145" t="s">
        <v>252</v>
      </c>
      <c r="F242" s="145" t="s">
        <v>175</v>
      </c>
      <c r="G242" s="145" t="s">
        <v>254</v>
      </c>
      <c r="H242" s="145" t="s">
        <v>54</v>
      </c>
      <c r="I242" s="145">
        <v>11</v>
      </c>
      <c r="J242" s="146" t="s">
        <v>29</v>
      </c>
      <c r="K242" s="147" t="s">
        <v>178</v>
      </c>
      <c r="L242" s="148">
        <v>3226548466</v>
      </c>
      <c r="M242" s="148">
        <v>2586383534.5500002</v>
      </c>
      <c r="N242" s="150">
        <f t="shared" si="195"/>
        <v>0.80159450936634413</v>
      </c>
      <c r="O242" s="148">
        <v>2335132756.5999999</v>
      </c>
      <c r="P242" s="150">
        <f t="shared" si="195"/>
        <v>0.72372468016725577</v>
      </c>
      <c r="Q242" s="148">
        <v>2335132756.5999999</v>
      </c>
      <c r="R242" s="150">
        <f t="shared" ref="R242" si="238">+Q242/$L242</f>
        <v>0.72372468016725577</v>
      </c>
    </row>
    <row r="243" spans="1:41" ht="35.1" customHeight="1">
      <c r="A243" s="32"/>
      <c r="B243" s="118"/>
      <c r="C243" s="119"/>
      <c r="D243" s="119"/>
      <c r="E243" s="119"/>
      <c r="F243" s="119"/>
      <c r="G243" s="119"/>
      <c r="H243" s="119"/>
      <c r="I243" s="119"/>
      <c r="J243" s="119"/>
      <c r="K243" s="119" t="s">
        <v>256</v>
      </c>
      <c r="L243" s="120">
        <v>9871923546214</v>
      </c>
      <c r="M243" s="120">
        <v>6555553950204.5996</v>
      </c>
      <c r="N243" s="121">
        <f t="shared" si="195"/>
        <v>0.66406044571918632</v>
      </c>
      <c r="O243" s="120">
        <v>5975098269381.291</v>
      </c>
      <c r="P243" s="121">
        <f t="shared" si="195"/>
        <v>0.60526180550423858</v>
      </c>
      <c r="Q243" s="120">
        <v>5639105679730.29</v>
      </c>
      <c r="R243" s="121">
        <f t="shared" ref="R243" si="239">+Q243/$L243</f>
        <v>0.57122663615977398</v>
      </c>
    </row>
    <row r="244" spans="1:41" s="90" customFormat="1" ht="16.5">
      <c r="A244" s="32"/>
      <c r="B244" s="82"/>
      <c r="C244" s="82"/>
      <c r="D244" s="82"/>
      <c r="E244" s="82"/>
      <c r="F244" s="82"/>
      <c r="G244" s="83"/>
      <c r="H244" s="84"/>
      <c r="I244" s="84"/>
      <c r="J244" s="85"/>
      <c r="K244" s="84"/>
      <c r="L244" s="86"/>
      <c r="M244" s="86"/>
      <c r="N244" s="87"/>
      <c r="O244" s="86"/>
      <c r="P244" s="87"/>
      <c r="Q244" s="86"/>
      <c r="R244" s="89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</row>
    <row r="245" spans="1:41" s="8" customFormat="1" ht="16.5">
      <c r="A245" s="32" t="e">
        <v>#REF!</v>
      </c>
      <c r="B245" s="91"/>
      <c r="C245" s="91"/>
      <c r="D245" s="91"/>
      <c r="E245" s="91"/>
      <c r="F245" s="91"/>
      <c r="G245" s="92"/>
      <c r="H245" s="93"/>
      <c r="I245" s="93"/>
      <c r="J245" s="94"/>
      <c r="K245" s="93"/>
      <c r="L245" s="95">
        <v>9871923546214</v>
      </c>
      <c r="M245" s="95">
        <v>6555553950204.5996</v>
      </c>
      <c r="N245" s="361">
        <v>0.66406044571918632</v>
      </c>
      <c r="O245" s="95">
        <v>5975098269381.29</v>
      </c>
      <c r="P245" s="361">
        <v>8.8544108588290066E-2</v>
      </c>
      <c r="Q245" s="95">
        <v>5639105679730.29</v>
      </c>
      <c r="R245" s="361">
        <v>0.86020277196472361</v>
      </c>
    </row>
    <row r="246" spans="1:41" s="8" customFormat="1" ht="16.5">
      <c r="A246" s="32"/>
      <c r="B246" s="94"/>
      <c r="C246" s="93"/>
      <c r="D246" s="93"/>
      <c r="E246" s="93"/>
      <c r="F246" s="93"/>
      <c r="G246" s="93"/>
      <c r="H246" s="93"/>
      <c r="I246" s="93"/>
      <c r="J246" s="94"/>
      <c r="K246" s="97"/>
      <c r="L246" s="362">
        <v>0</v>
      </c>
      <c r="M246" s="362">
        <v>0</v>
      </c>
      <c r="N246" s="363"/>
      <c r="O246" s="362">
        <v>0</v>
      </c>
      <c r="P246" s="363"/>
      <c r="Q246" s="362">
        <v>0</v>
      </c>
      <c r="R246" s="363"/>
    </row>
    <row r="247" spans="1:41" s="289" customFormat="1" ht="16.5">
      <c r="A247" s="22"/>
      <c r="B247" s="284"/>
      <c r="C247" s="285"/>
      <c r="D247" s="285"/>
      <c r="E247" s="285"/>
      <c r="F247" s="285"/>
      <c r="G247" s="285"/>
      <c r="H247" s="285"/>
      <c r="I247" s="285"/>
      <c r="J247" s="284"/>
      <c r="K247" s="286"/>
      <c r="L247" s="98"/>
      <c r="M247" s="98"/>
      <c r="N247" s="287"/>
      <c r="O247" s="98"/>
      <c r="P247" s="287"/>
      <c r="Q247" s="98"/>
      <c r="R247" s="2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</row>
    <row r="248" spans="1:41" ht="18">
      <c r="A248" s="30"/>
      <c r="B248" s="312"/>
      <c r="C248" s="317"/>
      <c r="D248" s="312"/>
      <c r="E248" s="312"/>
      <c r="F248" s="312"/>
      <c r="G248" s="312"/>
      <c r="H248" s="312"/>
      <c r="I248" s="312"/>
      <c r="J248" s="317"/>
      <c r="K248" s="312"/>
      <c r="L248" s="359"/>
      <c r="M248" s="332"/>
      <c r="N248" s="333"/>
      <c r="O248" s="332"/>
      <c r="P248" s="333"/>
      <c r="Q248" s="332"/>
      <c r="R248" s="333"/>
    </row>
    <row r="249" spans="1:41" ht="18">
      <c r="A249" s="30"/>
      <c r="B249" s="312"/>
      <c r="C249" s="317"/>
      <c r="D249" s="312"/>
      <c r="E249" s="312"/>
      <c r="F249" s="312"/>
      <c r="G249" s="312"/>
      <c r="H249" s="312"/>
      <c r="I249" s="312"/>
      <c r="J249" s="317"/>
      <c r="K249" s="312"/>
      <c r="L249" s="332"/>
      <c r="M249" s="332"/>
      <c r="N249" s="333"/>
      <c r="O249" s="332"/>
      <c r="P249" s="333"/>
      <c r="Q249" s="332"/>
      <c r="R249" s="333"/>
    </row>
    <row r="250" spans="1:41" ht="18">
      <c r="A250" s="1"/>
      <c r="B250" s="312"/>
      <c r="C250" s="312"/>
      <c r="D250" s="312"/>
      <c r="E250" s="312"/>
      <c r="F250" s="312"/>
      <c r="G250" s="312"/>
      <c r="H250" s="312"/>
      <c r="I250" s="312"/>
      <c r="J250" s="317"/>
      <c r="K250" s="312"/>
      <c r="L250" s="332"/>
      <c r="M250" s="332"/>
      <c r="N250" s="333"/>
      <c r="O250" s="332"/>
      <c r="P250" s="333"/>
      <c r="Q250" s="332"/>
      <c r="R250" s="333"/>
    </row>
    <row r="251" spans="1:41" ht="30">
      <c r="A251" s="1"/>
      <c r="B251" s="318"/>
      <c r="C251" s="318"/>
      <c r="D251" s="318"/>
      <c r="E251" s="318"/>
      <c r="F251" s="318"/>
      <c r="G251" s="318"/>
      <c r="H251" s="312"/>
      <c r="I251" s="312"/>
      <c r="J251" s="317"/>
      <c r="K251" s="336" t="s">
        <v>738</v>
      </c>
      <c r="L251" s="319"/>
      <c r="M251" s="319"/>
      <c r="N251" s="319"/>
      <c r="O251" s="319"/>
      <c r="P251" s="320"/>
      <c r="Q251" s="319"/>
      <c r="R251" s="319"/>
    </row>
    <row r="252" spans="1:41" ht="30">
      <c r="A252" s="1"/>
      <c r="B252" s="321"/>
      <c r="C252" s="322"/>
      <c r="D252" s="322"/>
      <c r="E252" s="322"/>
      <c r="F252" s="322"/>
      <c r="G252" s="322"/>
      <c r="H252" s="322"/>
      <c r="I252" s="322"/>
      <c r="J252" s="321"/>
      <c r="K252" s="337" t="s">
        <v>739</v>
      </c>
      <c r="L252" s="360"/>
      <c r="M252" s="323"/>
      <c r="N252" s="323"/>
      <c r="O252" s="323"/>
      <c r="P252" s="324"/>
      <c r="Q252" s="323"/>
      <c r="R252" s="323"/>
    </row>
    <row r="253" spans="1:41" ht="30">
      <c r="A253" s="325"/>
      <c r="B253" s="308"/>
      <c r="C253" s="308"/>
      <c r="D253" s="308"/>
      <c r="E253" s="308"/>
      <c r="F253" s="308"/>
      <c r="G253" s="308"/>
      <c r="H253" s="308"/>
      <c r="I253" s="308"/>
      <c r="J253" s="336"/>
      <c r="K253" s="308"/>
      <c r="L253" s="334"/>
      <c r="M253" s="334"/>
      <c r="N253" s="329"/>
      <c r="O253" s="329"/>
      <c r="P253" s="329"/>
    </row>
  </sheetData>
  <sheetProtection selectLockedCells="1" selectUnlockedCells="1"/>
  <autoFilter ref="A6:R246" xr:uid="{00000000-0009-0000-0000-000002000000}"/>
  <mergeCells count="8">
    <mergeCell ref="L5:L6"/>
    <mergeCell ref="M5:N5"/>
    <mergeCell ref="O5:P5"/>
    <mergeCell ref="Q5:R5"/>
    <mergeCell ref="B5:H5"/>
    <mergeCell ref="I5:I6"/>
    <mergeCell ref="J5:J6"/>
    <mergeCell ref="K5:K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38879-D1EC-42A2-A37C-C4B9CD09EB01}">
  <sheetPr>
    <tabColor rgb="FF00B0F0"/>
    <pageSetUpPr fitToPage="1"/>
  </sheetPr>
  <dimension ref="A1:BB208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6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70.7109375" style="9" customWidth="1"/>
    <col min="14" max="14" width="20" style="13" bestFit="1" customWidth="1"/>
    <col min="15" max="15" width="17.42578125" style="13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bestFit="1" customWidth="1"/>
    <col min="27" max="27" width="19.5703125" style="13" bestFit="1" customWidth="1"/>
    <col min="28" max="28" width="22.140625" style="13" bestFit="1" customWidth="1"/>
    <col min="29" max="29" width="13.42578125" style="13" customWidth="1"/>
    <col min="30" max="30" width="11.42578125" style="13"/>
    <col min="31" max="31" width="18.28515625" style="291" bestFit="1" customWidth="1"/>
    <col min="32" max="32" width="27.7109375" style="13" bestFit="1" customWidth="1"/>
    <col min="33" max="33" width="13.85546875" style="13" customWidth="1"/>
    <col min="34" max="16384" width="11.42578125" style="13"/>
  </cols>
  <sheetData>
    <row r="1" spans="1:32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  <c r="AE1" s="290"/>
    </row>
    <row r="2" spans="1:32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32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899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32" ht="20.25" customHeight="1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/>
      <c r="S4" s="666"/>
      <c r="T4" s="666"/>
      <c r="U4" s="666"/>
      <c r="V4" s="20"/>
      <c r="W4" s="21"/>
      <c r="X4" s="20"/>
      <c r="Y4" s="20"/>
      <c r="Z4" s="21"/>
      <c r="AA4" s="20"/>
      <c r="AB4" s="20"/>
      <c r="AC4" s="21"/>
    </row>
    <row r="5" spans="1:32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560"/>
      <c r="V5" s="663" t="s">
        <v>7</v>
      </c>
      <c r="W5" s="662"/>
      <c r="X5" s="776" t="s">
        <v>8</v>
      </c>
      <c r="Y5" s="777"/>
      <c r="Z5" s="778"/>
      <c r="AA5" s="779" t="s">
        <v>9</v>
      </c>
      <c r="AB5" s="780"/>
      <c r="AC5" s="781"/>
      <c r="AE5" s="292"/>
    </row>
    <row r="6" spans="1:32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  <c r="AE6" s="292"/>
    </row>
    <row r="7" spans="1:32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32" ht="35.1" customHeight="1" thickBot="1">
      <c r="A8" s="32" t="str">
        <f>+CONCATENATE(B8,"=",K8)</f>
        <v>A=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f t="shared" ref="N8:V8" si="0">+N9+N43+N88+N101</f>
        <v>162991000000</v>
      </c>
      <c r="O8" s="186">
        <f t="shared" si="0"/>
        <v>0</v>
      </c>
      <c r="P8" s="186">
        <f t="shared" si="0"/>
        <v>0</v>
      </c>
      <c r="Q8" s="186">
        <f t="shared" si="0"/>
        <v>161000000</v>
      </c>
      <c r="R8" s="186">
        <f t="shared" si="0"/>
        <v>161000000</v>
      </c>
      <c r="S8" s="186">
        <f t="shared" si="0"/>
        <v>11791000000</v>
      </c>
      <c r="T8" s="186">
        <f t="shared" si="0"/>
        <v>151200000000</v>
      </c>
      <c r="U8" s="186">
        <f t="shared" si="0"/>
        <v>116703682422.52</v>
      </c>
      <c r="V8" s="186">
        <f t="shared" si="0"/>
        <v>34496317577.480003</v>
      </c>
      <c r="W8" s="187">
        <f t="shared" ref="W8:W13" si="1">+IF(T8&gt;0,U8/T8,0)</f>
        <v>0.7718497514716931</v>
      </c>
      <c r="X8" s="186">
        <f t="shared" ref="X8:Y8" si="2">+X9+X43+X88+X101</f>
        <v>17869734724.220001</v>
      </c>
      <c r="Y8" s="186">
        <f t="shared" si="2"/>
        <v>98833947698.300003</v>
      </c>
      <c r="Z8" s="187">
        <f t="shared" ref="Z8:Z23" si="3">+IF(U8&gt;0,Y8/U8,0)</f>
        <v>0.84687942699594088</v>
      </c>
      <c r="AA8" s="186">
        <f t="shared" ref="AA8:AB8" si="4">+AA9+AA43+AA88+AA101</f>
        <v>17847980793.219997</v>
      </c>
      <c r="AB8" s="186">
        <f t="shared" si="4"/>
        <v>21753930.999999993</v>
      </c>
      <c r="AC8" s="187">
        <f>+IF(U8&gt;0,(AA8/U8),0)</f>
        <v>0.15293416987993791</v>
      </c>
      <c r="AE8" s="13"/>
    </row>
    <row r="9" spans="1:32" ht="35.1" customHeight="1">
      <c r="A9" s="32" t="str">
        <f t="shared" ref="A9:A74" si="5">+CONCATENATE(B9,"=",K9)</f>
        <v>A-01=</v>
      </c>
      <c r="B9" s="188" t="str">
        <f>CONCATENATE(C9,"-",D9)</f>
        <v>A-01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f>+N10</f>
        <v>99738000000</v>
      </c>
      <c r="O9" s="194">
        <f t="shared" ref="O9:AB9" si="6">+O10</f>
        <v>0</v>
      </c>
      <c r="P9" s="194">
        <f t="shared" si="6"/>
        <v>0</v>
      </c>
      <c r="Q9" s="194">
        <f>+Q10</f>
        <v>0</v>
      </c>
      <c r="R9" s="194">
        <f t="shared" si="6"/>
        <v>0</v>
      </c>
      <c r="S9" s="194">
        <f t="shared" si="6"/>
        <v>0</v>
      </c>
      <c r="T9" s="194">
        <f t="shared" si="6"/>
        <v>99738000000</v>
      </c>
      <c r="U9" s="194">
        <f t="shared" si="6"/>
        <v>89763954000</v>
      </c>
      <c r="V9" s="194">
        <f t="shared" si="6"/>
        <v>9974046000</v>
      </c>
      <c r="W9" s="195">
        <f t="shared" si="1"/>
        <v>0.89999753353786927</v>
      </c>
      <c r="X9" s="194">
        <f t="shared" si="6"/>
        <v>13674525695</v>
      </c>
      <c r="Y9" s="194">
        <f t="shared" si="6"/>
        <v>76089428305</v>
      </c>
      <c r="Z9" s="195">
        <f t="shared" si="3"/>
        <v>0.84766128177687006</v>
      </c>
      <c r="AA9" s="194">
        <f t="shared" si="6"/>
        <v>13674442895</v>
      </c>
      <c r="AB9" s="194">
        <f t="shared" si="6"/>
        <v>82800</v>
      </c>
      <c r="AC9" s="195">
        <f t="shared" ref="AC9:AC74" si="7">+IF(U9&gt;0,(AA9/U9),0)</f>
        <v>0.15233779580387022</v>
      </c>
      <c r="AE9" s="13"/>
    </row>
    <row r="10" spans="1:32" ht="24.95" customHeight="1">
      <c r="A10" s="32" t="str">
        <f t="shared" si="5"/>
        <v>A-01-01=</v>
      </c>
      <c r="B10" s="196" t="str">
        <f>CONCATENATE(C10,"-",D10,"-",E10)</f>
        <v>A-01-01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f>+N11+N23+N33</f>
        <v>99738000000</v>
      </c>
      <c r="O10" s="201">
        <f t="shared" ref="O10:V10" si="8">+O11+O23+O33</f>
        <v>0</v>
      </c>
      <c r="P10" s="201">
        <f t="shared" si="8"/>
        <v>0</v>
      </c>
      <c r="Q10" s="201">
        <f t="shared" si="8"/>
        <v>0</v>
      </c>
      <c r="R10" s="201">
        <f t="shared" si="8"/>
        <v>0</v>
      </c>
      <c r="S10" s="201">
        <f t="shared" si="8"/>
        <v>0</v>
      </c>
      <c r="T10" s="201">
        <f t="shared" si="8"/>
        <v>99738000000</v>
      </c>
      <c r="U10" s="201">
        <f t="shared" si="8"/>
        <v>89763954000</v>
      </c>
      <c r="V10" s="201">
        <f t="shared" si="8"/>
        <v>9974046000</v>
      </c>
      <c r="W10" s="202">
        <f t="shared" si="1"/>
        <v>0.89999753353786927</v>
      </c>
      <c r="X10" s="201">
        <f t="shared" ref="X10:AB10" si="9">+X11+X23+X33</f>
        <v>13674525695</v>
      </c>
      <c r="Y10" s="201">
        <f t="shared" si="9"/>
        <v>76089428305</v>
      </c>
      <c r="Z10" s="202">
        <f t="shared" si="3"/>
        <v>0.84766128177687006</v>
      </c>
      <c r="AA10" s="201">
        <f t="shared" si="9"/>
        <v>13674442895</v>
      </c>
      <c r="AB10" s="201">
        <f t="shared" si="9"/>
        <v>82800</v>
      </c>
      <c r="AC10" s="202">
        <f t="shared" si="7"/>
        <v>0.15233779580387022</v>
      </c>
      <c r="AE10" s="13"/>
      <c r="AF10" s="293"/>
    </row>
    <row r="11" spans="1:32" ht="24.95" customHeight="1">
      <c r="A11" s="32" t="str">
        <f t="shared" si="5"/>
        <v>A-01-01-01=10</v>
      </c>
      <c r="B11" s="203" t="str">
        <f>CONCATENATE(C11,"-",D11,"-",E11,"-",F11)</f>
        <v>A-01-01-01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f>SUM(N12)</f>
        <v>68019000000</v>
      </c>
      <c r="O11" s="208">
        <f t="shared" ref="O11:AB11" si="10">SUM(O12)</f>
        <v>0</v>
      </c>
      <c r="P11" s="208">
        <f t="shared" si="10"/>
        <v>0</v>
      </c>
      <c r="Q11" s="208">
        <f t="shared" si="10"/>
        <v>0</v>
      </c>
      <c r="R11" s="208">
        <f t="shared" si="10"/>
        <v>0</v>
      </c>
      <c r="S11" s="208">
        <f t="shared" si="10"/>
        <v>0</v>
      </c>
      <c r="T11" s="208">
        <f t="shared" si="10"/>
        <v>68019000000</v>
      </c>
      <c r="U11" s="208">
        <f t="shared" si="10"/>
        <v>61031327000</v>
      </c>
      <c r="V11" s="208">
        <f t="shared" si="10"/>
        <v>6987673000</v>
      </c>
      <c r="W11" s="209">
        <f t="shared" si="1"/>
        <v>0.89726880724503444</v>
      </c>
      <c r="X11" s="208">
        <f t="shared" si="10"/>
        <v>9178883040</v>
      </c>
      <c r="Y11" s="208">
        <f t="shared" si="10"/>
        <v>51852443960</v>
      </c>
      <c r="Z11" s="209">
        <f t="shared" si="3"/>
        <v>0.84960374464740052</v>
      </c>
      <c r="AA11" s="208">
        <f t="shared" si="10"/>
        <v>9178883040</v>
      </c>
      <c r="AB11" s="208">
        <f t="shared" si="10"/>
        <v>0</v>
      </c>
      <c r="AC11" s="209">
        <f t="shared" si="7"/>
        <v>0.15039625535259948</v>
      </c>
      <c r="AE11" s="13"/>
      <c r="AF11" s="293"/>
    </row>
    <row r="12" spans="1:32" ht="24.95" customHeight="1">
      <c r="A12" s="32" t="str">
        <f t="shared" si="5"/>
        <v>A-01-01-01-001=10</v>
      </c>
      <c r="B12" s="210" t="str">
        <f>CONCATENATE(C12,"-",D12,"-",E12,"-",F12,"-",G12)</f>
        <v>A-01-01-01-001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f>SUM(N13:N22)</f>
        <v>68019000000</v>
      </c>
      <c r="O12" s="215">
        <f t="shared" ref="O12:V12" si="11">SUM(O13:O22)</f>
        <v>0</v>
      </c>
      <c r="P12" s="215">
        <f t="shared" si="11"/>
        <v>0</v>
      </c>
      <c r="Q12" s="215">
        <f t="shared" si="11"/>
        <v>0</v>
      </c>
      <c r="R12" s="215">
        <f t="shared" si="11"/>
        <v>0</v>
      </c>
      <c r="S12" s="215">
        <f t="shared" si="11"/>
        <v>0</v>
      </c>
      <c r="T12" s="215">
        <f t="shared" si="11"/>
        <v>68019000000</v>
      </c>
      <c r="U12" s="215">
        <f t="shared" si="11"/>
        <v>61031327000</v>
      </c>
      <c r="V12" s="215">
        <f t="shared" si="11"/>
        <v>6987673000</v>
      </c>
      <c r="W12" s="216">
        <f t="shared" si="1"/>
        <v>0.89726880724503444</v>
      </c>
      <c r="X12" s="215">
        <f t="shared" ref="X12:AB12" si="12">SUM(X13:X22)</f>
        <v>9178883040</v>
      </c>
      <c r="Y12" s="215">
        <f t="shared" si="12"/>
        <v>51852443960</v>
      </c>
      <c r="Z12" s="216">
        <f t="shared" si="3"/>
        <v>0.84960374464740052</v>
      </c>
      <c r="AA12" s="215">
        <f t="shared" si="12"/>
        <v>9178883040</v>
      </c>
      <c r="AB12" s="215">
        <f t="shared" si="12"/>
        <v>0</v>
      </c>
      <c r="AC12" s="216">
        <f t="shared" si="7"/>
        <v>0.15039625535259948</v>
      </c>
      <c r="AE12" s="13"/>
      <c r="AF12" s="293"/>
    </row>
    <row r="13" spans="1:32" ht="24.95" customHeight="1">
      <c r="A13" s="32" t="str">
        <f t="shared" si="5"/>
        <v>A-01-01-01-001-001=10</v>
      </c>
      <c r="B13" s="217" t="str">
        <f>CONCATENATE(C13,"-",D13,"-",E13,"-",F13,"-",G13,"-",H13)</f>
        <v>A-01-01-01-001-001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f t="shared" ref="T13:T22" si="13">+N13-S13+O13-P13+Q13-R13</f>
        <v>54858000000</v>
      </c>
      <c r="U13" s="222">
        <v>48931483000</v>
      </c>
      <c r="V13" s="222">
        <f t="shared" ref="V13:V108" si="14">+T13-U13</f>
        <v>5926517000</v>
      </c>
      <c r="W13" s="224">
        <f t="shared" si="1"/>
        <v>0.89196622188194974</v>
      </c>
      <c r="X13" s="222">
        <v>8471994648</v>
      </c>
      <c r="Y13" s="222">
        <f>+U13-X13</f>
        <v>40459488352</v>
      </c>
      <c r="Z13" s="224">
        <f t="shared" si="3"/>
        <v>0.82686004738503427</v>
      </c>
      <c r="AA13" s="222">
        <v>8471994648</v>
      </c>
      <c r="AB13" s="222">
        <f t="shared" ref="AB13:AB108" si="15">+X13-AA13</f>
        <v>0</v>
      </c>
      <c r="AC13" s="224">
        <f t="shared" si="7"/>
        <v>0.1731399526149657</v>
      </c>
      <c r="AE13" s="13"/>
      <c r="AF13" s="293"/>
    </row>
    <row r="14" spans="1:32" ht="24.95" customHeight="1">
      <c r="A14" s="32" t="str">
        <f t="shared" si="5"/>
        <v>A-01-01-01-001-002=10</v>
      </c>
      <c r="B14" s="217" t="str">
        <f t="shared" ref="B14:B22" si="16">CONCATENATE(C14,"-",D14,"-",E14,"-",F14,"-",G14,"-",H14)</f>
        <v>A-01-01-01-001-002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f t="shared" si="13"/>
        <v>263000000</v>
      </c>
      <c r="U14" s="222">
        <v>263000000</v>
      </c>
      <c r="V14" s="222">
        <f t="shared" si="14"/>
        <v>0</v>
      </c>
      <c r="W14" s="224">
        <f>+IF(T14&gt;0,U14/T14,0)</f>
        <v>1</v>
      </c>
      <c r="X14" s="222">
        <v>43724808</v>
      </c>
      <c r="Y14" s="222">
        <f t="shared" ref="Y14:Y114" si="17">+U14-X14</f>
        <v>219275192</v>
      </c>
      <c r="Z14" s="224">
        <f t="shared" si="3"/>
        <v>0.83374597718631183</v>
      </c>
      <c r="AA14" s="222">
        <v>43724808</v>
      </c>
      <c r="AB14" s="222">
        <f t="shared" si="15"/>
        <v>0</v>
      </c>
      <c r="AC14" s="224">
        <f t="shared" si="7"/>
        <v>0.1662540228136882</v>
      </c>
      <c r="AE14" s="13"/>
      <c r="AF14" s="293"/>
    </row>
    <row r="15" spans="1:32" ht="24.95" customHeight="1">
      <c r="A15" s="32" t="str">
        <f t="shared" si="5"/>
        <v>A-01-01-01-001-003=10</v>
      </c>
      <c r="B15" s="217" t="str">
        <f t="shared" si="16"/>
        <v>A-01-01-01-001-003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f t="shared" si="13"/>
        <v>550000000</v>
      </c>
      <c r="U15" s="222">
        <v>494639000</v>
      </c>
      <c r="V15" s="222">
        <f t="shared" si="14"/>
        <v>55361000</v>
      </c>
      <c r="W15" s="224">
        <f t="shared" ref="W15:W80" si="18">+IF(T15&gt;0,U15/T15,0)</f>
        <v>0.89934363636363635</v>
      </c>
      <c r="X15" s="222">
        <v>85502643</v>
      </c>
      <c r="Y15" s="222">
        <f t="shared" si="17"/>
        <v>409136357</v>
      </c>
      <c r="Z15" s="224">
        <f t="shared" si="3"/>
        <v>0.82714132326808032</v>
      </c>
      <c r="AA15" s="222">
        <v>85502643</v>
      </c>
      <c r="AB15" s="222">
        <f t="shared" si="15"/>
        <v>0</v>
      </c>
      <c r="AC15" s="224">
        <f t="shared" si="7"/>
        <v>0.17285867673191965</v>
      </c>
      <c r="AE15" s="13"/>
      <c r="AF15" s="293"/>
    </row>
    <row r="16" spans="1:32" ht="24.95" customHeight="1">
      <c r="A16" s="32" t="str">
        <f t="shared" si="5"/>
        <v>A-01-01-01-001-004=10</v>
      </c>
      <c r="B16" s="217" t="str">
        <f t="shared" si="16"/>
        <v>A-01-01-01-001-004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f t="shared" si="13"/>
        <v>100000000</v>
      </c>
      <c r="U16" s="222">
        <v>94700000</v>
      </c>
      <c r="V16" s="222">
        <f t="shared" si="14"/>
        <v>5300000</v>
      </c>
      <c r="W16" s="224">
        <f t="shared" si="18"/>
        <v>0.94699999999999995</v>
      </c>
      <c r="X16" s="222">
        <v>14350665</v>
      </c>
      <c r="Y16" s="222">
        <f t="shared" si="17"/>
        <v>80349335</v>
      </c>
      <c r="Z16" s="224">
        <f t="shared" si="3"/>
        <v>0.8484618268215417</v>
      </c>
      <c r="AA16" s="222">
        <v>14350665</v>
      </c>
      <c r="AB16" s="222">
        <f t="shared" si="15"/>
        <v>0</v>
      </c>
      <c r="AC16" s="224">
        <f t="shared" si="7"/>
        <v>0.1515381731784583</v>
      </c>
      <c r="AE16" s="13"/>
      <c r="AF16" s="293"/>
    </row>
    <row r="17" spans="1:32" ht="24.95" customHeight="1">
      <c r="A17" s="32" t="str">
        <f t="shared" si="5"/>
        <v>A-01-01-01-001-005=10</v>
      </c>
      <c r="B17" s="217" t="str">
        <f t="shared" si="16"/>
        <v>A-01-01-01-001-005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f t="shared" si="13"/>
        <v>98000000</v>
      </c>
      <c r="U17" s="222">
        <v>90000000</v>
      </c>
      <c r="V17" s="222">
        <f t="shared" si="14"/>
        <v>8000000</v>
      </c>
      <c r="W17" s="224">
        <f t="shared" si="18"/>
        <v>0.91836734693877553</v>
      </c>
      <c r="X17" s="222">
        <v>23474715</v>
      </c>
      <c r="Y17" s="222">
        <f t="shared" si="17"/>
        <v>66525285</v>
      </c>
      <c r="Z17" s="224">
        <f t="shared" si="3"/>
        <v>0.7391698333333333</v>
      </c>
      <c r="AA17" s="222">
        <v>23474715</v>
      </c>
      <c r="AB17" s="222">
        <f t="shared" si="15"/>
        <v>0</v>
      </c>
      <c r="AC17" s="224">
        <f t="shared" si="7"/>
        <v>0.26083016666666664</v>
      </c>
      <c r="AE17" s="13"/>
      <c r="AF17" s="293"/>
    </row>
    <row r="18" spans="1:32" ht="24.95" customHeight="1">
      <c r="A18" s="32" t="str">
        <f t="shared" si="5"/>
        <v>A-01-01-01-001-006=10</v>
      </c>
      <c r="B18" s="217" t="str">
        <f t="shared" si="16"/>
        <v>A-01-01-01-001-006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/>
      <c r="R18" s="222"/>
      <c r="S18" s="222"/>
      <c r="T18" s="222">
        <f t="shared" si="13"/>
        <v>2500000000</v>
      </c>
      <c r="U18" s="222">
        <v>2242820000</v>
      </c>
      <c r="V18" s="222">
        <f t="shared" si="14"/>
        <v>257180000</v>
      </c>
      <c r="W18" s="224">
        <f t="shared" si="18"/>
        <v>0.89712800000000004</v>
      </c>
      <c r="X18" s="222">
        <v>12518048</v>
      </c>
      <c r="Y18" s="222">
        <f t="shared" si="17"/>
        <v>2230301952</v>
      </c>
      <c r="Z18" s="224">
        <f t="shared" si="3"/>
        <v>0.99441861228275119</v>
      </c>
      <c r="AA18" s="222">
        <v>12518048</v>
      </c>
      <c r="AB18" s="222">
        <f t="shared" si="15"/>
        <v>0</v>
      </c>
      <c r="AC18" s="224">
        <f t="shared" si="7"/>
        <v>5.5813877172488204E-3</v>
      </c>
      <c r="AE18" s="13"/>
      <c r="AF18" s="293"/>
    </row>
    <row r="19" spans="1:32" ht="24.95" customHeight="1">
      <c r="A19" s="32" t="str">
        <f t="shared" si="5"/>
        <v>A-01-01-01-001-007=10</v>
      </c>
      <c r="B19" s="217" t="str">
        <f t="shared" si="16"/>
        <v>A-01-01-01-001-007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f t="shared" si="13"/>
        <v>1800000000</v>
      </c>
      <c r="U19" s="222">
        <v>1622800000</v>
      </c>
      <c r="V19" s="222">
        <f t="shared" si="14"/>
        <v>177200000</v>
      </c>
      <c r="W19" s="224">
        <f t="shared" si="18"/>
        <v>0.90155555555555555</v>
      </c>
      <c r="X19" s="222">
        <v>296377109</v>
      </c>
      <c r="Y19" s="222">
        <f t="shared" si="17"/>
        <v>1326422891</v>
      </c>
      <c r="Z19" s="224">
        <f t="shared" si="3"/>
        <v>0.81736682955385753</v>
      </c>
      <c r="AA19" s="222">
        <v>296377109</v>
      </c>
      <c r="AB19" s="222">
        <f t="shared" si="15"/>
        <v>0</v>
      </c>
      <c r="AC19" s="224">
        <f t="shared" si="7"/>
        <v>0.18263317044614247</v>
      </c>
      <c r="AE19" s="13"/>
      <c r="AF19" s="293"/>
    </row>
    <row r="20" spans="1:32" ht="24.95" customHeight="1">
      <c r="A20" s="32" t="str">
        <f t="shared" si="5"/>
        <v>A-01-01-01-001-008=10</v>
      </c>
      <c r="B20" s="217" t="str">
        <f t="shared" si="16"/>
        <v>A-01-01-01-001-008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f t="shared" si="13"/>
        <v>250000000</v>
      </c>
      <c r="U20" s="222">
        <v>250000000</v>
      </c>
      <c r="V20" s="222">
        <f t="shared" si="14"/>
        <v>0</v>
      </c>
      <c r="W20" s="224">
        <f t="shared" si="18"/>
        <v>1</v>
      </c>
      <c r="X20" s="222">
        <v>10413481</v>
      </c>
      <c r="Y20" s="222">
        <f t="shared" si="17"/>
        <v>239586519</v>
      </c>
      <c r="Z20" s="224">
        <f t="shared" si="3"/>
        <v>0.95834607599999999</v>
      </c>
      <c r="AA20" s="222">
        <v>10413481</v>
      </c>
      <c r="AB20" s="222">
        <f t="shared" si="15"/>
        <v>0</v>
      </c>
      <c r="AC20" s="224">
        <f t="shared" si="7"/>
        <v>4.1653924000000002E-2</v>
      </c>
      <c r="AE20" s="13"/>
      <c r="AF20" s="293"/>
    </row>
    <row r="21" spans="1:32" ht="24.95" customHeight="1">
      <c r="A21" s="32" t="str">
        <f t="shared" si="5"/>
        <v>A-01-01-01-001-009=10</v>
      </c>
      <c r="B21" s="217" t="str">
        <f t="shared" si="16"/>
        <v>A-01-01-01-001-009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f t="shared" si="13"/>
        <v>5000000000</v>
      </c>
      <c r="U21" s="222">
        <v>4441885000</v>
      </c>
      <c r="V21" s="222">
        <f t="shared" si="14"/>
        <v>558115000</v>
      </c>
      <c r="W21" s="224">
        <f t="shared" si="18"/>
        <v>0.88837699999999997</v>
      </c>
      <c r="X21" s="222">
        <v>4265269</v>
      </c>
      <c r="Y21" s="222">
        <f t="shared" si="17"/>
        <v>4437619731</v>
      </c>
      <c r="Z21" s="224">
        <f t="shared" si="3"/>
        <v>0.9990397614976525</v>
      </c>
      <c r="AA21" s="222">
        <v>4265269</v>
      </c>
      <c r="AB21" s="222">
        <f t="shared" si="15"/>
        <v>0</v>
      </c>
      <c r="AC21" s="224">
        <f t="shared" si="7"/>
        <v>9.6023850234753941E-4</v>
      </c>
      <c r="AE21" s="13"/>
      <c r="AF21" s="293"/>
    </row>
    <row r="22" spans="1:32" ht="24.95" customHeight="1">
      <c r="A22" s="32" t="str">
        <f t="shared" si="5"/>
        <v>A-01-01-01-001-010=10</v>
      </c>
      <c r="B22" s="217" t="str">
        <f t="shared" si="16"/>
        <v>A-01-01-01-001-010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/>
      <c r="S22" s="222"/>
      <c r="T22" s="222">
        <f t="shared" si="13"/>
        <v>2600000000</v>
      </c>
      <c r="U22" s="222">
        <v>2600000000</v>
      </c>
      <c r="V22" s="222">
        <f t="shared" si="14"/>
        <v>0</v>
      </c>
      <c r="W22" s="224">
        <f t="shared" si="18"/>
        <v>1</v>
      </c>
      <c r="X22" s="222">
        <v>216261654</v>
      </c>
      <c r="Y22" s="222">
        <f t="shared" si="17"/>
        <v>2383738346</v>
      </c>
      <c r="Z22" s="224">
        <f t="shared" si="3"/>
        <v>0.91682244076923081</v>
      </c>
      <c r="AA22" s="222">
        <v>216261654</v>
      </c>
      <c r="AB22" s="222">
        <f t="shared" si="15"/>
        <v>0</v>
      </c>
      <c r="AC22" s="224">
        <f t="shared" si="7"/>
        <v>8.3177559230769235E-2</v>
      </c>
      <c r="AE22" s="13"/>
      <c r="AF22" s="293"/>
    </row>
    <row r="23" spans="1:32" ht="24.95" customHeight="1">
      <c r="A23" s="32" t="str">
        <f t="shared" si="5"/>
        <v>A-01-01-02=10</v>
      </c>
      <c r="B23" s="226" t="str">
        <f>CONCATENATE(C23,"-",D23,"-",E23,"-",F23)</f>
        <v>A-01-01-02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f>SUM(N24:N32)</f>
        <v>24735000000</v>
      </c>
      <c r="O23" s="232">
        <f t="shared" ref="O23:S23" si="19">SUM(O24:O32)</f>
        <v>0</v>
      </c>
      <c r="P23" s="232">
        <f t="shared" si="19"/>
        <v>0</v>
      </c>
      <c r="Q23" s="232">
        <f t="shared" si="19"/>
        <v>0</v>
      </c>
      <c r="R23" s="232">
        <f t="shared" si="19"/>
        <v>0</v>
      </c>
      <c r="S23" s="232">
        <f t="shared" si="19"/>
        <v>0</v>
      </c>
      <c r="T23" s="232">
        <f>SUM(T24:T32)</f>
        <v>24735000000</v>
      </c>
      <c r="U23" s="232">
        <f t="shared" ref="U23:V23" si="20">SUM(U24:U32)</f>
        <v>22257548000</v>
      </c>
      <c r="V23" s="232">
        <f t="shared" si="20"/>
        <v>2477452000</v>
      </c>
      <c r="W23" s="233">
        <f t="shared" si="18"/>
        <v>0.89984022639983829</v>
      </c>
      <c r="X23" s="232">
        <f t="shared" ref="X23:AB23" si="21">SUM(X24:X32)</f>
        <v>3681444213</v>
      </c>
      <c r="Y23" s="232">
        <f t="shared" si="21"/>
        <v>18576103787</v>
      </c>
      <c r="Z23" s="233">
        <f t="shared" si="3"/>
        <v>0.83459794344821814</v>
      </c>
      <c r="AA23" s="232">
        <f t="shared" si="21"/>
        <v>3681361413</v>
      </c>
      <c r="AB23" s="232">
        <f t="shared" si="21"/>
        <v>82800</v>
      </c>
      <c r="AC23" s="233">
        <f t="shared" si="7"/>
        <v>0.16539833646545432</v>
      </c>
      <c r="AE23" s="13"/>
      <c r="AF23" s="293"/>
    </row>
    <row r="24" spans="1:32" ht="24.95" customHeight="1">
      <c r="A24" s="32" t="str">
        <f t="shared" si="5"/>
        <v>A-01-01-02-001=10</v>
      </c>
      <c r="B24" s="217" t="str">
        <f t="shared" ref="B24:B32" si="22">CONCATENATE(C24,"-",D24,"-",E24,"-",F24,"-",G24)</f>
        <v>A-01-01-02-001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7000000000</v>
      </c>
      <c r="O24" s="222"/>
      <c r="P24" s="222"/>
      <c r="Q24" s="222"/>
      <c r="R24" s="222"/>
      <c r="S24" s="222"/>
      <c r="T24" s="222">
        <f t="shared" ref="T24:T32" si="23">+N24-S24+O24-P24+Q24-R24</f>
        <v>7000000000</v>
      </c>
      <c r="U24" s="222">
        <v>6261000000</v>
      </c>
      <c r="V24" s="222">
        <f t="shared" si="14"/>
        <v>739000000</v>
      </c>
      <c r="W24" s="224">
        <f t="shared" si="18"/>
        <v>0.89442857142857146</v>
      </c>
      <c r="X24" s="222">
        <v>1166669400</v>
      </c>
      <c r="Y24" s="222">
        <f t="shared" si="17"/>
        <v>5094330600</v>
      </c>
      <c r="Z24" s="224">
        <f>+IF(U24&gt;0,Y24/U24,0)</f>
        <v>0.81366085289889789</v>
      </c>
      <c r="AA24" s="222">
        <v>1166669400</v>
      </c>
      <c r="AB24" s="222">
        <f t="shared" si="15"/>
        <v>0</v>
      </c>
      <c r="AC24" s="224">
        <f t="shared" si="7"/>
        <v>0.18633914710110205</v>
      </c>
      <c r="AE24" s="13"/>
      <c r="AF24" s="293"/>
    </row>
    <row r="25" spans="1:32" ht="24.95" customHeight="1">
      <c r="A25" s="32" t="str">
        <f t="shared" si="5"/>
        <v>A-01-01-02-002=10</v>
      </c>
      <c r="B25" s="217" t="str">
        <f t="shared" si="22"/>
        <v>A-01-01-02-002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6000000000</v>
      </c>
      <c r="O25" s="222"/>
      <c r="P25" s="222"/>
      <c r="Q25" s="222"/>
      <c r="R25" s="222"/>
      <c r="S25" s="222"/>
      <c r="T25" s="222">
        <f t="shared" si="23"/>
        <v>6000000000</v>
      </c>
      <c r="U25" s="222">
        <v>5476480000</v>
      </c>
      <c r="V25" s="222">
        <f t="shared" si="14"/>
        <v>523520000</v>
      </c>
      <c r="W25" s="224">
        <f t="shared" si="18"/>
        <v>0.91274666666666671</v>
      </c>
      <c r="X25" s="222">
        <v>828066400</v>
      </c>
      <c r="Y25" s="222">
        <f t="shared" si="17"/>
        <v>4648413600</v>
      </c>
      <c r="Z25" s="224">
        <f t="shared" ref="Z25:Z90" si="24">+IF(U25&gt;0,Y25/U25,0)</f>
        <v>0.84879586887928016</v>
      </c>
      <c r="AA25" s="222">
        <v>828066400</v>
      </c>
      <c r="AB25" s="222">
        <f t="shared" si="15"/>
        <v>0</v>
      </c>
      <c r="AC25" s="224">
        <f t="shared" si="7"/>
        <v>0.15120413112071987</v>
      </c>
      <c r="AE25" s="13"/>
      <c r="AF25" s="293"/>
    </row>
    <row r="26" spans="1:32" ht="24.95" customHeight="1">
      <c r="A26" s="32" t="str">
        <f t="shared" si="5"/>
        <v>A-01-01-02-003=10</v>
      </c>
      <c r="B26" s="217" t="str">
        <f t="shared" si="22"/>
        <v>A-01-01-02-003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5555000000</v>
      </c>
      <c r="O26" s="222"/>
      <c r="P26" s="222"/>
      <c r="Q26" s="222"/>
      <c r="R26" s="222"/>
      <c r="S26" s="222"/>
      <c r="T26" s="222">
        <f t="shared" si="23"/>
        <v>5555000000</v>
      </c>
      <c r="U26" s="222">
        <v>4950300000</v>
      </c>
      <c r="V26" s="222">
        <f t="shared" si="14"/>
        <v>604700000</v>
      </c>
      <c r="W26" s="224">
        <f t="shared" si="18"/>
        <v>0.89114311431143112</v>
      </c>
      <c r="X26" s="222">
        <v>771808313</v>
      </c>
      <c r="Y26" s="222">
        <f t="shared" si="17"/>
        <v>4178491687</v>
      </c>
      <c r="Z26" s="224">
        <f t="shared" si="24"/>
        <v>0.84408857786396785</v>
      </c>
      <c r="AA26" s="222">
        <v>771808313</v>
      </c>
      <c r="AB26" s="222">
        <f t="shared" si="15"/>
        <v>0</v>
      </c>
      <c r="AC26" s="224">
        <f t="shared" si="7"/>
        <v>0.15591142213603215</v>
      </c>
      <c r="AE26" s="13"/>
      <c r="AF26" s="293"/>
    </row>
    <row r="27" spans="1:32" ht="24.95" customHeight="1">
      <c r="A27" s="32" t="str">
        <f t="shared" si="5"/>
        <v>A-01-01-02-004=10</v>
      </c>
      <c r="B27" s="217" t="str">
        <f t="shared" si="22"/>
        <v>A-01-01-02-004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2500000000</v>
      </c>
      <c r="O27" s="222"/>
      <c r="P27" s="222"/>
      <c r="Q27" s="222"/>
      <c r="R27" s="222"/>
      <c r="S27" s="222"/>
      <c r="T27" s="222">
        <f t="shared" si="23"/>
        <v>2500000000</v>
      </c>
      <c r="U27" s="222">
        <v>2243000000</v>
      </c>
      <c r="V27" s="222">
        <f t="shared" si="14"/>
        <v>257000000</v>
      </c>
      <c r="W27" s="224">
        <f t="shared" si="18"/>
        <v>0.8972</v>
      </c>
      <c r="X27" s="222">
        <v>370659200</v>
      </c>
      <c r="Y27" s="222">
        <f t="shared" si="17"/>
        <v>1872340800</v>
      </c>
      <c r="Z27" s="224">
        <f t="shared" si="24"/>
        <v>0.83474846188140883</v>
      </c>
      <c r="AA27" s="222">
        <v>370659200</v>
      </c>
      <c r="AB27" s="222">
        <f t="shared" si="15"/>
        <v>0</v>
      </c>
      <c r="AC27" s="224">
        <f t="shared" si="7"/>
        <v>0.16525153811859117</v>
      </c>
      <c r="AE27" s="13"/>
      <c r="AF27" s="293"/>
    </row>
    <row r="28" spans="1:32" ht="24.95" customHeight="1">
      <c r="A28" s="32" t="str">
        <f t="shared" si="5"/>
        <v>A-01-01-02-005=10</v>
      </c>
      <c r="B28" s="217" t="str">
        <f t="shared" si="22"/>
        <v>A-01-01-02-005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500000000</v>
      </c>
      <c r="O28" s="222"/>
      <c r="P28" s="222"/>
      <c r="Q28" s="222"/>
      <c r="R28" s="222"/>
      <c r="S28" s="222"/>
      <c r="T28" s="222">
        <f t="shared" si="23"/>
        <v>500000000</v>
      </c>
      <c r="U28" s="222">
        <v>467850000</v>
      </c>
      <c r="V28" s="222">
        <f t="shared" si="14"/>
        <v>32150000</v>
      </c>
      <c r="W28" s="224">
        <f t="shared" si="18"/>
        <v>0.93569999999999998</v>
      </c>
      <c r="X28" s="222">
        <v>80690100</v>
      </c>
      <c r="Y28" s="222">
        <f t="shared" si="17"/>
        <v>387159900</v>
      </c>
      <c r="Z28" s="224">
        <f t="shared" si="24"/>
        <v>0.82752997755690927</v>
      </c>
      <c r="AA28" s="222">
        <v>80607300</v>
      </c>
      <c r="AB28" s="222">
        <f t="shared" si="15"/>
        <v>82800</v>
      </c>
      <c r="AC28" s="224">
        <f t="shared" si="7"/>
        <v>0.1722930426418724</v>
      </c>
      <c r="AE28" s="13"/>
      <c r="AF28" s="293"/>
    </row>
    <row r="29" spans="1:32" ht="24.95" customHeight="1">
      <c r="A29" s="32" t="str">
        <f t="shared" si="5"/>
        <v>A-01-01-02-006=10</v>
      </c>
      <c r="B29" s="217" t="str">
        <f t="shared" si="22"/>
        <v>A-01-01-02-006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/>
      <c r="P29" s="222"/>
      <c r="Q29" s="222"/>
      <c r="R29" s="222"/>
      <c r="S29" s="222"/>
      <c r="T29" s="222">
        <f t="shared" si="23"/>
        <v>1890000000</v>
      </c>
      <c r="U29" s="222">
        <v>1697400000</v>
      </c>
      <c r="V29" s="222">
        <f t="shared" si="14"/>
        <v>192600000</v>
      </c>
      <c r="W29" s="224">
        <f t="shared" si="18"/>
        <v>0.89809523809523806</v>
      </c>
      <c r="X29" s="222">
        <v>278016400</v>
      </c>
      <c r="Y29" s="222">
        <f t="shared" si="17"/>
        <v>1419383600</v>
      </c>
      <c r="Z29" s="224">
        <f t="shared" si="24"/>
        <v>0.83621043949569929</v>
      </c>
      <c r="AA29" s="222">
        <v>278016400</v>
      </c>
      <c r="AB29" s="222">
        <f t="shared" si="15"/>
        <v>0</v>
      </c>
      <c r="AC29" s="224">
        <f t="shared" si="7"/>
        <v>0.16378956050430069</v>
      </c>
      <c r="AE29" s="13"/>
      <c r="AF29" s="293"/>
    </row>
    <row r="30" spans="1:32" ht="24.95" customHeight="1">
      <c r="A30" s="32" t="str">
        <f t="shared" si="5"/>
        <v>A-01-01-02-007=10</v>
      </c>
      <c r="B30" s="217" t="str">
        <f t="shared" si="22"/>
        <v>A-01-01-02-007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/>
      <c r="P30" s="222"/>
      <c r="Q30" s="222"/>
      <c r="R30" s="222"/>
      <c r="S30" s="222"/>
      <c r="T30" s="222">
        <f t="shared" si="23"/>
        <v>320000000</v>
      </c>
      <c r="U30" s="222">
        <v>287880000</v>
      </c>
      <c r="V30" s="222">
        <f t="shared" si="14"/>
        <v>32120000</v>
      </c>
      <c r="W30" s="224">
        <f t="shared" si="18"/>
        <v>0.89962500000000001</v>
      </c>
      <c r="X30" s="222">
        <v>46399800</v>
      </c>
      <c r="Y30" s="222">
        <f t="shared" si="17"/>
        <v>241480200</v>
      </c>
      <c r="Z30" s="224">
        <f t="shared" si="24"/>
        <v>0.8388224260108379</v>
      </c>
      <c r="AA30" s="222">
        <v>46399800</v>
      </c>
      <c r="AB30" s="222">
        <f t="shared" si="15"/>
        <v>0</v>
      </c>
      <c r="AC30" s="224">
        <f t="shared" si="7"/>
        <v>0.16117757398916216</v>
      </c>
      <c r="AE30" s="13"/>
      <c r="AF30" s="293"/>
    </row>
    <row r="31" spans="1:32" ht="24.95" customHeight="1">
      <c r="A31" s="32" t="str">
        <f t="shared" si="5"/>
        <v>A-01-01-02-008=10</v>
      </c>
      <c r="B31" s="217" t="str">
        <f t="shared" si="22"/>
        <v>A-01-01-02-008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/>
      <c r="P31" s="222"/>
      <c r="Q31" s="222"/>
      <c r="R31" s="222"/>
      <c r="S31" s="222"/>
      <c r="T31" s="222">
        <f t="shared" si="23"/>
        <v>320000000</v>
      </c>
      <c r="U31" s="222">
        <v>287880000</v>
      </c>
      <c r="V31" s="222">
        <f t="shared" si="14"/>
        <v>32120000</v>
      </c>
      <c r="W31" s="224">
        <f t="shared" si="18"/>
        <v>0.89962500000000001</v>
      </c>
      <c r="X31" s="222">
        <v>46399800</v>
      </c>
      <c r="Y31" s="222">
        <f t="shared" si="17"/>
        <v>241480200</v>
      </c>
      <c r="Z31" s="224">
        <f t="shared" si="24"/>
        <v>0.8388224260108379</v>
      </c>
      <c r="AA31" s="222">
        <v>46399800</v>
      </c>
      <c r="AB31" s="222">
        <f t="shared" si="15"/>
        <v>0</v>
      </c>
      <c r="AC31" s="224">
        <f t="shared" si="7"/>
        <v>0.16117757398916216</v>
      </c>
      <c r="AE31" s="13"/>
      <c r="AF31" s="293"/>
    </row>
    <row r="32" spans="1:32" ht="24.95" customHeight="1">
      <c r="A32" s="32" t="str">
        <f t="shared" si="5"/>
        <v>A-01-01-02-009=10</v>
      </c>
      <c r="B32" s="217" t="str">
        <f t="shared" si="22"/>
        <v>A-01-01-02-009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/>
      <c r="P32" s="222"/>
      <c r="Q32" s="222"/>
      <c r="R32" s="222"/>
      <c r="S32" s="222"/>
      <c r="T32" s="222">
        <f t="shared" si="23"/>
        <v>650000000</v>
      </c>
      <c r="U32" s="222">
        <v>585758000</v>
      </c>
      <c r="V32" s="222">
        <f t="shared" si="14"/>
        <v>64242000</v>
      </c>
      <c r="W32" s="224">
        <f t="shared" si="18"/>
        <v>0.90116615384615384</v>
      </c>
      <c r="X32" s="222">
        <v>92734800</v>
      </c>
      <c r="Y32" s="222">
        <f t="shared" si="17"/>
        <v>493023200</v>
      </c>
      <c r="Z32" s="224">
        <f t="shared" si="24"/>
        <v>0.8416841084543446</v>
      </c>
      <c r="AA32" s="222">
        <v>92734800</v>
      </c>
      <c r="AB32" s="222">
        <f t="shared" si="15"/>
        <v>0</v>
      </c>
      <c r="AC32" s="224">
        <f t="shared" si="7"/>
        <v>0.15831589154565537</v>
      </c>
      <c r="AE32" s="13"/>
      <c r="AF32" s="293"/>
    </row>
    <row r="33" spans="1:32" ht="24.95" customHeight="1">
      <c r="A33" s="32" t="str">
        <f t="shared" si="5"/>
        <v>A-01-01-03=10</v>
      </c>
      <c r="B33" s="226" t="str">
        <f>CONCATENATE(C33,"-",D33,"-",E33,"-",F33)</f>
        <v>A-01-01-03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f>+N34+N38+N39+N40+N41+N42</f>
        <v>6984000000</v>
      </c>
      <c r="O33" s="232">
        <f t="shared" ref="O33:AB33" si="25">+O34+O38+O39+O40+O41+O42</f>
        <v>0</v>
      </c>
      <c r="P33" s="232">
        <f t="shared" si="25"/>
        <v>0</v>
      </c>
      <c r="Q33" s="232">
        <f t="shared" si="25"/>
        <v>0</v>
      </c>
      <c r="R33" s="232">
        <f t="shared" si="25"/>
        <v>0</v>
      </c>
      <c r="S33" s="232">
        <f t="shared" si="25"/>
        <v>0</v>
      </c>
      <c r="T33" s="232">
        <f t="shared" si="25"/>
        <v>6984000000</v>
      </c>
      <c r="U33" s="232">
        <f t="shared" si="25"/>
        <v>6475079000</v>
      </c>
      <c r="V33" s="232">
        <f t="shared" si="25"/>
        <v>508921000</v>
      </c>
      <c r="W33" s="233">
        <f t="shared" si="18"/>
        <v>0.92713044100801834</v>
      </c>
      <c r="X33" s="232">
        <f t="shared" si="25"/>
        <v>814198442</v>
      </c>
      <c r="Y33" s="232">
        <f t="shared" si="25"/>
        <v>5660880558</v>
      </c>
      <c r="Z33" s="233">
        <f t="shared" si="24"/>
        <v>0.87425660103915337</v>
      </c>
      <c r="AA33" s="232">
        <f t="shared" si="25"/>
        <v>814198442</v>
      </c>
      <c r="AB33" s="232">
        <f t="shared" si="25"/>
        <v>0</v>
      </c>
      <c r="AC33" s="233">
        <f t="shared" si="7"/>
        <v>0.12574339896084666</v>
      </c>
      <c r="AE33" s="13"/>
      <c r="AF33" s="293"/>
    </row>
    <row r="34" spans="1:32" ht="24.95" customHeight="1">
      <c r="A34" s="32" t="str">
        <f t="shared" si="5"/>
        <v>A-01-01-03-001=10</v>
      </c>
      <c r="B34" s="210" t="str">
        <f>CONCATENATE(C34,"-",D34,"-",E34,"-",F34,"-",G34)</f>
        <v>A-01-01-03-001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f>SUM(N35:N37)</f>
        <v>3400000000</v>
      </c>
      <c r="O34" s="215">
        <f t="shared" ref="O34:S34" si="26">SUM(O35:O37)</f>
        <v>0</v>
      </c>
      <c r="P34" s="215">
        <f t="shared" si="26"/>
        <v>0</v>
      </c>
      <c r="Q34" s="215">
        <f>SUM(Q35:Q37)</f>
        <v>0</v>
      </c>
      <c r="R34" s="215">
        <f t="shared" si="26"/>
        <v>0</v>
      </c>
      <c r="S34" s="215">
        <f t="shared" si="26"/>
        <v>0</v>
      </c>
      <c r="T34" s="215">
        <f>SUM(T35:T37)</f>
        <v>3400000000</v>
      </c>
      <c r="U34" s="215">
        <f t="shared" ref="U34:AB34" si="27">SUM(U35:U37)</f>
        <v>3400000000</v>
      </c>
      <c r="V34" s="215">
        <f t="shared" si="27"/>
        <v>0</v>
      </c>
      <c r="W34" s="216">
        <f t="shared" si="18"/>
        <v>1</v>
      </c>
      <c r="X34" s="215">
        <f t="shared" si="27"/>
        <v>337230268</v>
      </c>
      <c r="Y34" s="215">
        <f t="shared" si="27"/>
        <v>3062769732</v>
      </c>
      <c r="Z34" s="216">
        <f t="shared" si="24"/>
        <v>0.90081462705882354</v>
      </c>
      <c r="AA34" s="215">
        <f t="shared" si="27"/>
        <v>337230268</v>
      </c>
      <c r="AB34" s="215">
        <f t="shared" si="27"/>
        <v>0</v>
      </c>
      <c r="AC34" s="216">
        <f t="shared" si="7"/>
        <v>9.9185372941176464E-2</v>
      </c>
      <c r="AE34" s="13"/>
      <c r="AF34" s="293"/>
    </row>
    <row r="35" spans="1:32" ht="24.95" customHeight="1">
      <c r="A35" s="32" t="str">
        <f t="shared" si="5"/>
        <v>A-01-01-03-001-001=10</v>
      </c>
      <c r="B35" s="217" t="str">
        <f>CONCATENATE(C35,"-",D35,"-",E35,"-",F35,"-",G35,"-",H35)</f>
        <v>A-01-01-03-001-001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2580000000</v>
      </c>
      <c r="O35" s="222"/>
      <c r="P35" s="222"/>
      <c r="Q35" s="223"/>
      <c r="R35" s="222"/>
      <c r="S35" s="222"/>
      <c r="T35" s="222">
        <f t="shared" ref="T35:T42" si="28">+N35-S35+O35-P35+Q35-R35</f>
        <v>2580000000</v>
      </c>
      <c r="U35" s="222">
        <v>2580000000</v>
      </c>
      <c r="V35" s="222">
        <f t="shared" si="14"/>
        <v>0</v>
      </c>
      <c r="W35" s="224">
        <f t="shared" si="18"/>
        <v>1</v>
      </c>
      <c r="X35" s="222">
        <v>256055248</v>
      </c>
      <c r="Y35" s="222">
        <f t="shared" si="17"/>
        <v>2323944752</v>
      </c>
      <c r="Z35" s="224">
        <f t="shared" si="24"/>
        <v>0.90075377984496119</v>
      </c>
      <c r="AA35" s="222">
        <v>256055248</v>
      </c>
      <c r="AB35" s="222">
        <f t="shared" si="15"/>
        <v>0</v>
      </c>
      <c r="AC35" s="224">
        <f t="shared" si="7"/>
        <v>9.9246220155038756E-2</v>
      </c>
      <c r="AE35" s="13"/>
      <c r="AF35" s="293"/>
    </row>
    <row r="36" spans="1:32" ht="24.95" customHeight="1">
      <c r="A36" s="32" t="str">
        <f t="shared" si="5"/>
        <v>A-01-01-03-001-002=10</v>
      </c>
      <c r="B36" s="217" t="str">
        <f>CONCATENATE(C36,"-",D36,"-",E36,"-",F36,"-",G36,"-",H36)</f>
        <v>A-01-01-03-001-002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500000000</v>
      </c>
      <c r="O36" s="222"/>
      <c r="P36" s="222"/>
      <c r="Q36" s="223"/>
      <c r="R36" s="222"/>
      <c r="S36" s="222"/>
      <c r="T36" s="222">
        <f t="shared" si="28"/>
        <v>500000000</v>
      </c>
      <c r="U36" s="222">
        <v>500000000</v>
      </c>
      <c r="V36" s="222">
        <f t="shared" si="14"/>
        <v>0</v>
      </c>
      <c r="W36" s="224">
        <f t="shared" si="18"/>
        <v>1</v>
      </c>
      <c r="X36" s="222">
        <v>54543184</v>
      </c>
      <c r="Y36" s="222">
        <f t="shared" si="17"/>
        <v>445456816</v>
      </c>
      <c r="Z36" s="224">
        <f t="shared" si="24"/>
        <v>0.89091363199999996</v>
      </c>
      <c r="AA36" s="222">
        <v>54543184</v>
      </c>
      <c r="AB36" s="222">
        <f t="shared" si="15"/>
        <v>0</v>
      </c>
      <c r="AC36" s="224">
        <f t="shared" si="7"/>
        <v>0.109086368</v>
      </c>
      <c r="AE36" s="13"/>
      <c r="AF36" s="293"/>
    </row>
    <row r="37" spans="1:32" ht="24.95" customHeight="1">
      <c r="A37" s="32" t="str">
        <f t="shared" si="5"/>
        <v>A-01-01-03-001-003=10</v>
      </c>
      <c r="B37" s="234" t="str">
        <f>CONCATENATE(C37,"-",D37,"-",E37,"-",F37,"-",G37,"-",H37)</f>
        <v>A-01-01-03-001-003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320000000</v>
      </c>
      <c r="O37" s="239"/>
      <c r="P37" s="239"/>
      <c r="Q37" s="639"/>
      <c r="R37" s="239"/>
      <c r="S37" s="239"/>
      <c r="T37" s="239">
        <f t="shared" si="28"/>
        <v>320000000</v>
      </c>
      <c r="U37" s="239">
        <v>320000000</v>
      </c>
      <c r="V37" s="239">
        <f t="shared" si="14"/>
        <v>0</v>
      </c>
      <c r="W37" s="240">
        <f t="shared" si="18"/>
        <v>1</v>
      </c>
      <c r="X37" s="239">
        <v>26631836</v>
      </c>
      <c r="Y37" s="239">
        <f t="shared" si="17"/>
        <v>293368164</v>
      </c>
      <c r="Z37" s="240">
        <f t="shared" si="24"/>
        <v>0.9167755125</v>
      </c>
      <c r="AA37" s="239">
        <v>26631836</v>
      </c>
      <c r="AB37" s="239">
        <f t="shared" si="15"/>
        <v>0</v>
      </c>
      <c r="AC37" s="240">
        <f t="shared" si="7"/>
        <v>8.32244875E-2</v>
      </c>
      <c r="AE37" s="13"/>
      <c r="AF37" s="293"/>
    </row>
    <row r="38" spans="1:32" ht="24.95" customHeight="1">
      <c r="A38" s="32" t="str">
        <f t="shared" si="5"/>
        <v>A-01-01-03-002=10</v>
      </c>
      <c r="B38" s="217" t="str">
        <f t="shared" ref="B38:B42" si="29">CONCATENATE(C38,"-",D38,"-",E38,"-",F38,"-",G38)</f>
        <v>A-01-01-03-002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/>
      <c r="P38" s="222"/>
      <c r="Q38" s="223"/>
      <c r="R38" s="223"/>
      <c r="S38" s="223"/>
      <c r="T38" s="222">
        <f t="shared" si="28"/>
        <v>2160000000</v>
      </c>
      <c r="U38" s="222">
        <v>1681079000</v>
      </c>
      <c r="V38" s="222">
        <f t="shared" si="14"/>
        <v>478921000</v>
      </c>
      <c r="W38" s="224">
        <f t="shared" si="18"/>
        <v>0.77827731481481477</v>
      </c>
      <c r="X38" s="222">
        <v>339522871</v>
      </c>
      <c r="Y38" s="222">
        <f t="shared" si="17"/>
        <v>1341556129</v>
      </c>
      <c r="Z38" s="224">
        <f t="shared" si="24"/>
        <v>0.79803276883477814</v>
      </c>
      <c r="AA38" s="222">
        <v>339522871</v>
      </c>
      <c r="AB38" s="222">
        <f t="shared" si="15"/>
        <v>0</v>
      </c>
      <c r="AC38" s="224">
        <f t="shared" si="7"/>
        <v>0.20196723116522186</v>
      </c>
      <c r="AE38" s="13"/>
      <c r="AF38" s="293"/>
    </row>
    <row r="39" spans="1:32" ht="24.95" customHeight="1">
      <c r="A39" s="32" t="str">
        <f t="shared" si="5"/>
        <v>A-01-01-03-005=10</v>
      </c>
      <c r="B39" s="217" t="str">
        <f t="shared" si="29"/>
        <v>A-01-01-03-005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24000000</v>
      </c>
      <c r="O39" s="222"/>
      <c r="P39" s="222"/>
      <c r="Q39" s="223"/>
      <c r="R39" s="223"/>
      <c r="S39" s="223"/>
      <c r="T39" s="222">
        <f t="shared" si="28"/>
        <v>24000000</v>
      </c>
      <c r="U39" s="222">
        <v>24000000</v>
      </c>
      <c r="V39" s="222">
        <f t="shared" si="14"/>
        <v>0</v>
      </c>
      <c r="W39" s="224">
        <f t="shared" si="18"/>
        <v>1</v>
      </c>
      <c r="X39" s="222">
        <v>662958</v>
      </c>
      <c r="Y39" s="222">
        <f t="shared" si="17"/>
        <v>23337042</v>
      </c>
      <c r="Z39" s="224">
        <f t="shared" si="24"/>
        <v>0.97237675000000001</v>
      </c>
      <c r="AA39" s="222">
        <v>662958</v>
      </c>
      <c r="AB39" s="222">
        <f t="shared" si="15"/>
        <v>0</v>
      </c>
      <c r="AC39" s="224">
        <f t="shared" si="7"/>
        <v>2.7623249999999998E-2</v>
      </c>
      <c r="AE39" s="13"/>
      <c r="AF39" s="293"/>
    </row>
    <row r="40" spans="1:32" ht="24.95" customHeight="1">
      <c r="A40" s="32" t="str">
        <f t="shared" si="5"/>
        <v>A-01-01-03-013=10</v>
      </c>
      <c r="B40" s="217" t="str">
        <f t="shared" si="29"/>
        <v>A-01-01-03-013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/>
      <c r="P40" s="222"/>
      <c r="Q40" s="223"/>
      <c r="R40" s="223"/>
      <c r="S40" s="223"/>
      <c r="T40" s="222">
        <f t="shared" si="28"/>
        <v>30000000</v>
      </c>
      <c r="U40" s="222">
        <v>0</v>
      </c>
      <c r="V40" s="222">
        <f t="shared" si="14"/>
        <v>30000000</v>
      </c>
      <c r="W40" s="224">
        <f t="shared" si="18"/>
        <v>0</v>
      </c>
      <c r="X40" s="222">
        <v>0</v>
      </c>
      <c r="Y40" s="222">
        <f t="shared" si="17"/>
        <v>0</v>
      </c>
      <c r="Z40" s="224">
        <f t="shared" si="24"/>
        <v>0</v>
      </c>
      <c r="AA40" s="222">
        <v>0</v>
      </c>
      <c r="AB40" s="222">
        <f t="shared" si="15"/>
        <v>0</v>
      </c>
      <c r="AC40" s="224">
        <f t="shared" si="7"/>
        <v>0</v>
      </c>
      <c r="AE40" s="13"/>
      <c r="AF40" s="293"/>
    </row>
    <row r="41" spans="1:32" ht="24.95" customHeight="1">
      <c r="A41" s="32" t="str">
        <f t="shared" si="5"/>
        <v>A-01-01-03-016=10</v>
      </c>
      <c r="B41" s="217" t="str">
        <f t="shared" si="29"/>
        <v>A-01-01-03-016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770000000</v>
      </c>
      <c r="O41" s="222"/>
      <c r="P41" s="222"/>
      <c r="Q41" s="223"/>
      <c r="R41" s="223"/>
      <c r="S41" s="223"/>
      <c r="T41" s="222">
        <f t="shared" si="28"/>
        <v>770000000</v>
      </c>
      <c r="U41" s="222">
        <v>770000000</v>
      </c>
      <c r="V41" s="222">
        <f t="shared" si="14"/>
        <v>0</v>
      </c>
      <c r="W41" s="224">
        <f t="shared" si="18"/>
        <v>1</v>
      </c>
      <c r="X41" s="222">
        <v>131314623</v>
      </c>
      <c r="Y41" s="222">
        <f t="shared" si="17"/>
        <v>638685377</v>
      </c>
      <c r="Z41" s="224">
        <f t="shared" si="24"/>
        <v>0.82946152857142852</v>
      </c>
      <c r="AA41" s="222">
        <v>131314623</v>
      </c>
      <c r="AB41" s="222">
        <f t="shared" si="15"/>
        <v>0</v>
      </c>
      <c r="AC41" s="224">
        <f t="shared" si="7"/>
        <v>0.17053847142857143</v>
      </c>
      <c r="AE41" s="13"/>
      <c r="AF41" s="293"/>
    </row>
    <row r="42" spans="1:32" ht="24.95" customHeight="1">
      <c r="A42" s="32" t="str">
        <f t="shared" si="5"/>
        <v>A-01-01-03-030=10</v>
      </c>
      <c r="B42" s="217" t="str">
        <f t="shared" si="29"/>
        <v>A-01-01-03-030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600000000</v>
      </c>
      <c r="O42" s="222"/>
      <c r="P42" s="222"/>
      <c r="Q42" s="223"/>
      <c r="R42" s="223"/>
      <c r="S42" s="223"/>
      <c r="T42" s="222">
        <f t="shared" si="28"/>
        <v>600000000</v>
      </c>
      <c r="U42" s="222">
        <v>600000000</v>
      </c>
      <c r="V42" s="222">
        <f t="shared" si="14"/>
        <v>0</v>
      </c>
      <c r="W42" s="224">
        <f t="shared" si="18"/>
        <v>1</v>
      </c>
      <c r="X42" s="222">
        <v>5467722</v>
      </c>
      <c r="Y42" s="222">
        <f t="shared" si="17"/>
        <v>594532278</v>
      </c>
      <c r="Z42" s="224">
        <f t="shared" si="24"/>
        <v>0.99088712999999995</v>
      </c>
      <c r="AA42" s="222">
        <v>5467722</v>
      </c>
      <c r="AB42" s="222">
        <f t="shared" si="15"/>
        <v>0</v>
      </c>
      <c r="AC42" s="224">
        <f t="shared" si="7"/>
        <v>9.1128700000000003E-3</v>
      </c>
      <c r="AE42" s="13"/>
      <c r="AF42" s="293"/>
    </row>
    <row r="43" spans="1:32" ht="35.1" customHeight="1">
      <c r="A43" s="32" t="str">
        <f t="shared" si="5"/>
        <v>A-02=</v>
      </c>
      <c r="B43" s="188" t="str">
        <f>CONCATENATE(C43,"-",D43)</f>
        <v>A-02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f>+N44</f>
        <v>42289000000</v>
      </c>
      <c r="O43" s="194">
        <f t="shared" ref="O43:V43" si="30">+O44</f>
        <v>0</v>
      </c>
      <c r="P43" s="194">
        <f t="shared" si="30"/>
        <v>0</v>
      </c>
      <c r="Q43" s="194">
        <f t="shared" si="30"/>
        <v>125000000</v>
      </c>
      <c r="R43" s="194">
        <f t="shared" si="30"/>
        <v>125000000</v>
      </c>
      <c r="S43" s="194">
        <f t="shared" si="30"/>
        <v>0</v>
      </c>
      <c r="T43" s="194">
        <f t="shared" si="30"/>
        <v>42289000000</v>
      </c>
      <c r="U43" s="194">
        <f t="shared" si="30"/>
        <v>26129926049.309998</v>
      </c>
      <c r="V43" s="194">
        <f t="shared" si="30"/>
        <v>16159073950.690002</v>
      </c>
      <c r="W43" s="195">
        <f t="shared" si="18"/>
        <v>0.61788942867672436</v>
      </c>
      <c r="X43" s="194">
        <f t="shared" ref="X43:Y43" si="31">+X44</f>
        <v>4028558598.0100002</v>
      </c>
      <c r="Y43" s="194">
        <f t="shared" si="31"/>
        <v>22101367451.299999</v>
      </c>
      <c r="Z43" s="195">
        <f t="shared" si="24"/>
        <v>0.84582587067381387</v>
      </c>
      <c r="AA43" s="194">
        <f t="shared" ref="AA43:AB43" si="32">+AA44</f>
        <v>4006887467.0099998</v>
      </c>
      <c r="AB43" s="194">
        <f t="shared" si="32"/>
        <v>21671130.999999993</v>
      </c>
      <c r="AC43" s="195">
        <f t="shared" si="7"/>
        <v>0.15334476873178168</v>
      </c>
      <c r="AE43" s="13"/>
      <c r="AF43" s="293"/>
    </row>
    <row r="44" spans="1:32" ht="24.95" customHeight="1">
      <c r="A44" s="32" t="str">
        <f t="shared" si="5"/>
        <v>A-02-02=</v>
      </c>
      <c r="B44" s="196" t="str">
        <f>CONCATENATE(C44,"-",D44,"-",E44)</f>
        <v>A-02-02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f t="shared" ref="N44:V44" si="33">+N45+N63</f>
        <v>42289000000</v>
      </c>
      <c r="O44" s="201">
        <f t="shared" si="33"/>
        <v>0</v>
      </c>
      <c r="P44" s="201">
        <f t="shared" si="33"/>
        <v>0</v>
      </c>
      <c r="Q44" s="201">
        <f t="shared" si="33"/>
        <v>125000000</v>
      </c>
      <c r="R44" s="201">
        <f t="shared" si="33"/>
        <v>125000000</v>
      </c>
      <c r="S44" s="201">
        <f t="shared" si="33"/>
        <v>0</v>
      </c>
      <c r="T44" s="201">
        <f t="shared" si="33"/>
        <v>42289000000</v>
      </c>
      <c r="U44" s="201">
        <f t="shared" si="33"/>
        <v>26129926049.309998</v>
      </c>
      <c r="V44" s="201">
        <f t="shared" si="33"/>
        <v>16159073950.690002</v>
      </c>
      <c r="W44" s="202">
        <f t="shared" si="18"/>
        <v>0.61788942867672436</v>
      </c>
      <c r="X44" s="201">
        <f t="shared" ref="X44:Y44" si="34">+X45+X63</f>
        <v>4028558598.0100002</v>
      </c>
      <c r="Y44" s="201">
        <f t="shared" si="34"/>
        <v>22101367451.299999</v>
      </c>
      <c r="Z44" s="202">
        <f t="shared" si="24"/>
        <v>0.84582587067381387</v>
      </c>
      <c r="AA44" s="201">
        <f t="shared" ref="AA44:AB44" si="35">+AA45+AA63</f>
        <v>4006887467.0099998</v>
      </c>
      <c r="AB44" s="201">
        <f t="shared" si="35"/>
        <v>21671130.999999993</v>
      </c>
      <c r="AC44" s="202">
        <f t="shared" si="7"/>
        <v>0.15334476873178168</v>
      </c>
      <c r="AE44" s="13"/>
      <c r="AF44" s="293"/>
    </row>
    <row r="45" spans="1:32" ht="24.95" customHeight="1">
      <c r="A45" s="32" t="str">
        <f t="shared" si="5"/>
        <v>A-02-02-01=10</v>
      </c>
      <c r="B45" s="203" t="str">
        <f>CONCATENATE(C45,"-",D45,"-",E45,"-",F45)</f>
        <v>A-02-02-01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f>+N46+N49+N51+N58</f>
        <v>862264202</v>
      </c>
      <c r="O45" s="208">
        <f t="shared" ref="O45:V45" si="36">+O46+O49+O51+O58</f>
        <v>0</v>
      </c>
      <c r="P45" s="208">
        <f t="shared" si="36"/>
        <v>0</v>
      </c>
      <c r="Q45" s="208">
        <f t="shared" si="36"/>
        <v>112000000</v>
      </c>
      <c r="R45" s="208">
        <f t="shared" si="36"/>
        <v>112000000</v>
      </c>
      <c r="S45" s="208">
        <f t="shared" si="36"/>
        <v>0</v>
      </c>
      <c r="T45" s="208">
        <f t="shared" si="36"/>
        <v>862264202</v>
      </c>
      <c r="U45" s="208">
        <f t="shared" si="36"/>
        <v>148763878.46000001</v>
      </c>
      <c r="V45" s="208">
        <f t="shared" si="36"/>
        <v>713500323.53999996</v>
      </c>
      <c r="W45" s="209">
        <f t="shared" si="18"/>
        <v>0.17252702607268858</v>
      </c>
      <c r="X45" s="208">
        <f t="shared" ref="X45:Y45" si="37">+X46+X49+X51+X58</f>
        <v>6097149</v>
      </c>
      <c r="Y45" s="208">
        <f t="shared" si="37"/>
        <v>142666729.46000001</v>
      </c>
      <c r="Z45" s="209">
        <f t="shared" si="24"/>
        <v>0.9590145869876644</v>
      </c>
      <c r="AA45" s="208">
        <f t="shared" ref="AA45:AB45" si="38">+AA46+AA49+AA51+AA58</f>
        <v>6097149</v>
      </c>
      <c r="AB45" s="208">
        <f t="shared" si="38"/>
        <v>0</v>
      </c>
      <c r="AC45" s="209">
        <f t="shared" si="7"/>
        <v>4.0985413012335624E-2</v>
      </c>
      <c r="AE45" s="13"/>
      <c r="AF45" s="293"/>
    </row>
    <row r="46" spans="1:32" ht="24.95" customHeight="1">
      <c r="A46" s="32" t="str">
        <f t="shared" si="5"/>
        <v>A-02-02-01-001=10</v>
      </c>
      <c r="B46" s="210" t="str">
        <f>CONCATENATE(C46,"-",D46,"-",E46,"-",F46,"-",G46)</f>
        <v>A-02-02-01-001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f>SUM(N47:N48)</f>
        <v>69000000</v>
      </c>
      <c r="O46" s="215">
        <f t="shared" ref="O46:V46" si="39">SUM(O47:O48)</f>
        <v>0</v>
      </c>
      <c r="P46" s="215">
        <f t="shared" si="39"/>
        <v>0</v>
      </c>
      <c r="Q46" s="215">
        <f t="shared" si="39"/>
        <v>0</v>
      </c>
      <c r="R46" s="215">
        <f t="shared" si="39"/>
        <v>0</v>
      </c>
      <c r="S46" s="215">
        <f t="shared" si="39"/>
        <v>0</v>
      </c>
      <c r="T46" s="215">
        <f t="shared" si="39"/>
        <v>69000000</v>
      </c>
      <c r="U46" s="215">
        <f t="shared" si="39"/>
        <v>0</v>
      </c>
      <c r="V46" s="215">
        <f t="shared" si="39"/>
        <v>69000000</v>
      </c>
      <c r="W46" s="216">
        <f t="shared" si="18"/>
        <v>0</v>
      </c>
      <c r="X46" s="215">
        <f t="shared" ref="X46:Y46" si="40">SUM(X47:X48)</f>
        <v>0</v>
      </c>
      <c r="Y46" s="215">
        <f t="shared" si="40"/>
        <v>0</v>
      </c>
      <c r="Z46" s="216">
        <f t="shared" si="24"/>
        <v>0</v>
      </c>
      <c r="AA46" s="215">
        <f t="shared" ref="AA46:AB46" si="41">SUM(AA47:AA48)</f>
        <v>0</v>
      </c>
      <c r="AB46" s="215">
        <f t="shared" si="41"/>
        <v>0</v>
      </c>
      <c r="AC46" s="216">
        <f t="shared" si="7"/>
        <v>0</v>
      </c>
      <c r="AE46" s="13"/>
      <c r="AF46" s="293"/>
    </row>
    <row r="47" spans="1:32" ht="24.95" customHeight="1">
      <c r="A47" s="32" t="str">
        <f t="shared" si="5"/>
        <v>A-02-02-01-001-005=10</v>
      </c>
      <c r="B47" s="217" t="str">
        <f>CONCATENATE(C47,"-",D47,"-",E47,"-",F47,"-",G47,"-",H47)</f>
        <v>A-02-02-01-001-005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51000000</v>
      </c>
      <c r="O47" s="222"/>
      <c r="P47" s="222"/>
      <c r="Q47" s="222"/>
      <c r="R47" s="223"/>
      <c r="S47" s="223"/>
      <c r="T47" s="222">
        <f>+N47-S47+O47-P47+Q47-R47</f>
        <v>51000000</v>
      </c>
      <c r="U47" s="222">
        <v>0</v>
      </c>
      <c r="V47" s="222">
        <f t="shared" si="14"/>
        <v>51000000</v>
      </c>
      <c r="W47" s="224">
        <f t="shared" si="18"/>
        <v>0</v>
      </c>
      <c r="X47" s="222">
        <v>0</v>
      </c>
      <c r="Y47" s="222">
        <f t="shared" ref="Y47:Y48" si="42">+U47-X47</f>
        <v>0</v>
      </c>
      <c r="Z47" s="224">
        <f t="shared" si="24"/>
        <v>0</v>
      </c>
      <c r="AA47" s="222">
        <v>0</v>
      </c>
      <c r="AB47" s="222">
        <f t="shared" si="15"/>
        <v>0</v>
      </c>
      <c r="AC47" s="224">
        <f t="shared" si="7"/>
        <v>0</v>
      </c>
      <c r="AE47" s="13"/>
      <c r="AF47" s="293"/>
    </row>
    <row r="48" spans="1:32" ht="24.95" customHeight="1">
      <c r="A48" s="32" t="str">
        <f t="shared" si="5"/>
        <v>A-02-02-01-001-007=10</v>
      </c>
      <c r="B48" s="217" t="str">
        <f>CONCATENATE(C48,"-",D48,"-",E48,"-",F48,"-",G48,"-",H48)</f>
        <v>A-02-02-01-001-007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18000000</v>
      </c>
      <c r="O48" s="222"/>
      <c r="P48" s="222"/>
      <c r="Q48" s="222"/>
      <c r="R48" s="223"/>
      <c r="S48" s="223"/>
      <c r="T48" s="222">
        <f>+N48-S48+O48-P48+Q48-R48</f>
        <v>18000000</v>
      </c>
      <c r="U48" s="222">
        <v>0</v>
      </c>
      <c r="V48" s="222">
        <f t="shared" si="14"/>
        <v>18000000</v>
      </c>
      <c r="W48" s="224">
        <f t="shared" si="18"/>
        <v>0</v>
      </c>
      <c r="X48" s="222">
        <v>0</v>
      </c>
      <c r="Y48" s="222">
        <f t="shared" si="42"/>
        <v>0</v>
      </c>
      <c r="Z48" s="224">
        <f t="shared" si="24"/>
        <v>0</v>
      </c>
      <c r="AA48" s="222">
        <v>0</v>
      </c>
      <c r="AB48" s="222">
        <f t="shared" si="15"/>
        <v>0</v>
      </c>
      <c r="AC48" s="224">
        <f t="shared" si="7"/>
        <v>0</v>
      </c>
      <c r="AE48" s="13"/>
      <c r="AF48" s="293"/>
    </row>
    <row r="49" spans="1:54" ht="33">
      <c r="A49" s="32" t="str">
        <f t="shared" si="5"/>
        <v>A-02-02-01-002=10</v>
      </c>
      <c r="B49" s="210" t="str">
        <f>CONCATENATE(C49,"-",D49,"-",E49,"-",F49,"-",G49)</f>
        <v>A-02-02-01-002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f>SUM(N50:N50)</f>
        <v>140000000</v>
      </c>
      <c r="O49" s="215">
        <f t="shared" ref="O49:AB49" si="43">SUM(O50:O50)</f>
        <v>0</v>
      </c>
      <c r="P49" s="215">
        <f t="shared" si="43"/>
        <v>0</v>
      </c>
      <c r="Q49" s="215">
        <f t="shared" si="43"/>
        <v>0</v>
      </c>
      <c r="R49" s="215">
        <f t="shared" si="43"/>
        <v>0</v>
      </c>
      <c r="S49" s="215">
        <f t="shared" si="43"/>
        <v>0</v>
      </c>
      <c r="T49" s="215">
        <f t="shared" si="43"/>
        <v>140000000</v>
      </c>
      <c r="U49" s="215">
        <f t="shared" si="43"/>
        <v>0</v>
      </c>
      <c r="V49" s="215">
        <f t="shared" si="43"/>
        <v>140000000</v>
      </c>
      <c r="W49" s="216">
        <f t="shared" si="18"/>
        <v>0</v>
      </c>
      <c r="X49" s="215">
        <f t="shared" si="43"/>
        <v>0</v>
      </c>
      <c r="Y49" s="215">
        <f t="shared" si="43"/>
        <v>0</v>
      </c>
      <c r="Z49" s="216">
        <f t="shared" si="24"/>
        <v>0</v>
      </c>
      <c r="AA49" s="215">
        <f t="shared" si="43"/>
        <v>0</v>
      </c>
      <c r="AB49" s="215">
        <f t="shared" si="43"/>
        <v>0</v>
      </c>
      <c r="AC49" s="216">
        <f t="shared" si="7"/>
        <v>0</v>
      </c>
      <c r="AE49" s="13"/>
      <c r="AF49" s="293"/>
    </row>
    <row r="50" spans="1:54" ht="24.95" customHeight="1">
      <c r="A50" s="32" t="str">
        <f t="shared" si="5"/>
        <v>A-02-02-01-002-008=10</v>
      </c>
      <c r="B50" s="217" t="str">
        <f>CONCATENATE(C50,"-",D50,"-",E50,"-",F50,"-",G50,"-",H50)</f>
        <v>A-02-02-01-002-008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140000000</v>
      </c>
      <c r="O50" s="222"/>
      <c r="P50" s="222"/>
      <c r="Q50" s="222"/>
      <c r="R50" s="223"/>
      <c r="S50" s="223"/>
      <c r="T50" s="222">
        <f>+N50-S50+O50-P50+Q50-R50</f>
        <v>140000000</v>
      </c>
      <c r="U50" s="222">
        <v>0</v>
      </c>
      <c r="V50" s="222">
        <f t="shared" si="14"/>
        <v>140000000</v>
      </c>
      <c r="W50" s="224">
        <f t="shared" si="18"/>
        <v>0</v>
      </c>
      <c r="X50" s="222">
        <v>0</v>
      </c>
      <c r="Y50" s="222">
        <f t="shared" si="17"/>
        <v>0</v>
      </c>
      <c r="Z50" s="224">
        <f t="shared" si="24"/>
        <v>0</v>
      </c>
      <c r="AA50" s="222">
        <v>0</v>
      </c>
      <c r="AB50" s="222">
        <f t="shared" si="15"/>
        <v>0</v>
      </c>
      <c r="AC50" s="224">
        <f t="shared" si="7"/>
        <v>0</v>
      </c>
      <c r="AE50" s="13"/>
      <c r="AF50" s="293"/>
    </row>
    <row r="51" spans="1:54" ht="33">
      <c r="A51" s="32" t="str">
        <f t="shared" si="5"/>
        <v>A-02-02-01-003=10</v>
      </c>
      <c r="B51" s="210" t="str">
        <f>CONCATENATE(C51,"-",D51,"-",E51,"-",F51,"-",G51)</f>
        <v>A-02-02-01-003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f>SUM(N52:N57)</f>
        <v>355264202</v>
      </c>
      <c r="O51" s="215">
        <f t="shared" ref="O51:AB51" si="44">SUM(O52:O57)</f>
        <v>0</v>
      </c>
      <c r="P51" s="215">
        <f t="shared" si="44"/>
        <v>0</v>
      </c>
      <c r="Q51" s="215">
        <f t="shared" si="44"/>
        <v>0</v>
      </c>
      <c r="R51" s="215">
        <f t="shared" si="44"/>
        <v>0</v>
      </c>
      <c r="S51" s="215">
        <f t="shared" si="44"/>
        <v>0</v>
      </c>
      <c r="T51" s="215">
        <f t="shared" si="44"/>
        <v>355264202</v>
      </c>
      <c r="U51" s="215">
        <f t="shared" si="44"/>
        <v>99064202</v>
      </c>
      <c r="V51" s="215">
        <f t="shared" si="44"/>
        <v>256200000</v>
      </c>
      <c r="W51" s="216">
        <f t="shared" si="18"/>
        <v>0.27884656388768381</v>
      </c>
      <c r="X51" s="215">
        <f t="shared" si="44"/>
        <v>6097149</v>
      </c>
      <c r="Y51" s="215">
        <f t="shared" si="44"/>
        <v>92967053</v>
      </c>
      <c r="Z51" s="216">
        <f t="shared" si="24"/>
        <v>0.93845255019568019</v>
      </c>
      <c r="AA51" s="215">
        <f t="shared" si="44"/>
        <v>6097149</v>
      </c>
      <c r="AB51" s="215">
        <f t="shared" si="44"/>
        <v>0</v>
      </c>
      <c r="AC51" s="216">
        <f t="shared" si="7"/>
        <v>6.154744980431983E-2</v>
      </c>
      <c r="AE51" s="13"/>
      <c r="AF51" s="293"/>
    </row>
    <row r="52" spans="1:54" ht="33">
      <c r="A52" s="32" t="str">
        <f t="shared" si="5"/>
        <v>A-02-02-01-003-002=10</v>
      </c>
      <c r="B52" s="217" t="str">
        <f>CONCATENATE(C52,"-",D52,"-",E52,"-",F52,"-",G52,"-",H52)</f>
        <v>A-02-02-01-003-002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106000000</v>
      </c>
      <c r="O52" s="222"/>
      <c r="P52" s="222"/>
      <c r="Q52" s="222"/>
      <c r="R52" s="223"/>
      <c r="S52" s="223"/>
      <c r="T52" s="222">
        <f t="shared" ref="T52:T57" si="45">+N52-S52+O52-P52+Q52-R52</f>
        <v>106000000</v>
      </c>
      <c r="U52" s="222">
        <v>500000</v>
      </c>
      <c r="V52" s="222">
        <f t="shared" si="14"/>
        <v>105500000</v>
      </c>
      <c r="W52" s="224">
        <f t="shared" si="18"/>
        <v>4.7169811320754715E-3</v>
      </c>
      <c r="X52" s="222">
        <v>500000</v>
      </c>
      <c r="Y52" s="222">
        <f t="shared" si="17"/>
        <v>0</v>
      </c>
      <c r="Z52" s="224">
        <f t="shared" si="24"/>
        <v>0</v>
      </c>
      <c r="AA52" s="222">
        <v>500000</v>
      </c>
      <c r="AB52" s="222">
        <f t="shared" ref="AB52:AB57" si="46">+X52-AA52</f>
        <v>0</v>
      </c>
      <c r="AC52" s="224">
        <f t="shared" si="7"/>
        <v>1</v>
      </c>
      <c r="AE52" s="13"/>
      <c r="AF52" s="293"/>
    </row>
    <row r="53" spans="1:54" ht="33">
      <c r="A53" s="32" t="str">
        <f t="shared" si="5"/>
        <v>A-02-02-01-003-003=10</v>
      </c>
      <c r="B53" s="217" t="str">
        <f t="shared" ref="B53:B57" si="47">CONCATENATE(C53,"-",D53,"-",E53,"-",F53,"-",G53,"-",H53)</f>
        <v>A-02-02-01-003-003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107264202</v>
      </c>
      <c r="O53" s="222"/>
      <c r="P53" s="222"/>
      <c r="Q53" s="222"/>
      <c r="R53" s="223"/>
      <c r="S53" s="223"/>
      <c r="T53" s="222">
        <f t="shared" si="45"/>
        <v>107264202</v>
      </c>
      <c r="U53" s="222">
        <v>98064202</v>
      </c>
      <c r="V53" s="222">
        <f t="shared" si="14"/>
        <v>9200000</v>
      </c>
      <c r="W53" s="224">
        <f t="shared" si="18"/>
        <v>0.91423047178405337</v>
      </c>
      <c r="X53" s="222">
        <v>5097149</v>
      </c>
      <c r="Y53" s="222">
        <f t="shared" si="17"/>
        <v>92967053</v>
      </c>
      <c r="Z53" s="224">
        <f t="shared" si="24"/>
        <v>0.94802232725046798</v>
      </c>
      <c r="AA53" s="222">
        <v>5097149</v>
      </c>
      <c r="AB53" s="222">
        <f t="shared" si="46"/>
        <v>0</v>
      </c>
      <c r="AC53" s="224">
        <f t="shared" si="7"/>
        <v>5.1977672749531988E-2</v>
      </c>
      <c r="AE53" s="13"/>
      <c r="AF53" s="293"/>
    </row>
    <row r="54" spans="1:54" ht="33">
      <c r="A54" s="32" t="str">
        <f t="shared" si="5"/>
        <v>A-02-02-01-003-005=10</v>
      </c>
      <c r="B54" s="217" t="str">
        <f t="shared" si="47"/>
        <v>A-02-02-01-003-005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6000000</v>
      </c>
      <c r="O54" s="222"/>
      <c r="P54" s="222"/>
      <c r="Q54" s="222"/>
      <c r="R54" s="223"/>
      <c r="S54" s="223"/>
      <c r="T54" s="222">
        <f t="shared" si="45"/>
        <v>6000000</v>
      </c>
      <c r="U54" s="222">
        <v>0</v>
      </c>
      <c r="V54" s="222">
        <f t="shared" si="14"/>
        <v>6000000</v>
      </c>
      <c r="W54" s="224">
        <f t="shared" si="18"/>
        <v>0</v>
      </c>
      <c r="X54" s="222">
        <v>0</v>
      </c>
      <c r="Y54" s="222">
        <f t="shared" si="17"/>
        <v>0</v>
      </c>
      <c r="Z54" s="224">
        <f t="shared" si="24"/>
        <v>0</v>
      </c>
      <c r="AA54" s="222">
        <v>0</v>
      </c>
      <c r="AB54" s="222">
        <f t="shared" si="46"/>
        <v>0</v>
      </c>
      <c r="AC54" s="224">
        <f t="shared" si="7"/>
        <v>0</v>
      </c>
      <c r="AE54" s="13"/>
      <c r="AF54" s="293"/>
    </row>
    <row r="55" spans="1:54" ht="24.95" customHeight="1">
      <c r="A55" s="32" t="str">
        <f t="shared" si="5"/>
        <v>A-02-02-01-003-006=10</v>
      </c>
      <c r="B55" s="217" t="str">
        <f t="shared" si="47"/>
        <v>A-02-02-01-003-006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18000000</v>
      </c>
      <c r="O55" s="222"/>
      <c r="P55" s="222"/>
      <c r="Q55" s="222"/>
      <c r="R55" s="223"/>
      <c r="S55" s="223"/>
      <c r="T55" s="222">
        <f t="shared" si="45"/>
        <v>18000000</v>
      </c>
      <c r="U55" s="222">
        <v>0</v>
      </c>
      <c r="V55" s="222">
        <f t="shared" si="14"/>
        <v>18000000</v>
      </c>
      <c r="W55" s="224">
        <f t="shared" si="18"/>
        <v>0</v>
      </c>
      <c r="X55" s="222">
        <v>0</v>
      </c>
      <c r="Y55" s="222">
        <f t="shared" si="17"/>
        <v>0</v>
      </c>
      <c r="Z55" s="224">
        <f t="shared" si="24"/>
        <v>0</v>
      </c>
      <c r="AA55" s="222">
        <v>0</v>
      </c>
      <c r="AB55" s="222">
        <f t="shared" si="46"/>
        <v>0</v>
      </c>
      <c r="AC55" s="224">
        <f t="shared" si="7"/>
        <v>0</v>
      </c>
      <c r="AE55" s="13"/>
      <c r="AF55" s="293"/>
    </row>
    <row r="56" spans="1:54" ht="16.5">
      <c r="A56" s="32" t="str">
        <f t="shared" si="5"/>
        <v>A-02-02-01-003-007=10</v>
      </c>
      <c r="B56" s="217" t="str">
        <f t="shared" si="47"/>
        <v>A-02-02-01-003-007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8000000</v>
      </c>
      <c r="O56" s="222"/>
      <c r="P56" s="222"/>
      <c r="Q56" s="222"/>
      <c r="R56" s="223"/>
      <c r="S56" s="223"/>
      <c r="T56" s="222">
        <f t="shared" si="45"/>
        <v>8000000</v>
      </c>
      <c r="U56" s="222">
        <v>0</v>
      </c>
      <c r="V56" s="222">
        <f t="shared" si="14"/>
        <v>8000000</v>
      </c>
      <c r="W56" s="224">
        <f t="shared" si="18"/>
        <v>0</v>
      </c>
      <c r="X56" s="222">
        <v>0</v>
      </c>
      <c r="Y56" s="222">
        <f t="shared" si="17"/>
        <v>0</v>
      </c>
      <c r="Z56" s="224">
        <f t="shared" si="24"/>
        <v>0</v>
      </c>
      <c r="AA56" s="222">
        <v>0</v>
      </c>
      <c r="AB56" s="222">
        <f t="shared" si="46"/>
        <v>0</v>
      </c>
      <c r="AC56" s="224">
        <f t="shared" si="7"/>
        <v>0</v>
      </c>
      <c r="AE56" s="13"/>
      <c r="AF56" s="293"/>
    </row>
    <row r="57" spans="1:54" ht="24.95" customHeight="1">
      <c r="A57" s="32" t="str">
        <f t="shared" si="5"/>
        <v>A-02-02-01-003-008=10</v>
      </c>
      <c r="B57" s="217" t="str">
        <f t="shared" si="47"/>
        <v>A-02-02-01-003-008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110000000</v>
      </c>
      <c r="O57" s="222"/>
      <c r="P57" s="222"/>
      <c r="Q57" s="222"/>
      <c r="R57" s="223"/>
      <c r="S57" s="223"/>
      <c r="T57" s="222">
        <f t="shared" si="45"/>
        <v>110000000</v>
      </c>
      <c r="U57" s="222">
        <v>500000</v>
      </c>
      <c r="V57" s="222">
        <f t="shared" si="14"/>
        <v>109500000</v>
      </c>
      <c r="W57" s="224">
        <f t="shared" si="18"/>
        <v>4.5454545454545452E-3</v>
      </c>
      <c r="X57" s="222">
        <v>500000</v>
      </c>
      <c r="Y57" s="222">
        <f t="shared" si="17"/>
        <v>0</v>
      </c>
      <c r="Z57" s="224">
        <f t="shared" si="24"/>
        <v>0</v>
      </c>
      <c r="AA57" s="222">
        <v>500000</v>
      </c>
      <c r="AB57" s="222">
        <f t="shared" si="46"/>
        <v>0</v>
      </c>
      <c r="AC57" s="224">
        <f t="shared" si="7"/>
        <v>1</v>
      </c>
      <c r="AE57" s="13"/>
      <c r="AF57" s="293"/>
    </row>
    <row r="58" spans="1:54" ht="24.95" customHeight="1">
      <c r="A58" s="32" t="str">
        <f t="shared" si="5"/>
        <v>A-02-02-01-004=10</v>
      </c>
      <c r="B58" s="210" t="str">
        <f>CONCATENATE(C58,"-",D58,"-",E58,"-",F58,"-",G58)</f>
        <v>A-02-02-01-004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f>SUM(N59:N62)</f>
        <v>298000000</v>
      </c>
      <c r="O58" s="215">
        <f t="shared" ref="O58:AB58" si="48">SUM(O59:O62)</f>
        <v>0</v>
      </c>
      <c r="P58" s="215">
        <f t="shared" si="48"/>
        <v>0</v>
      </c>
      <c r="Q58" s="215">
        <f t="shared" si="48"/>
        <v>112000000</v>
      </c>
      <c r="R58" s="215">
        <f t="shared" si="48"/>
        <v>112000000</v>
      </c>
      <c r="S58" s="215">
        <f t="shared" si="48"/>
        <v>0</v>
      </c>
      <c r="T58" s="215">
        <f t="shared" si="48"/>
        <v>298000000</v>
      </c>
      <c r="U58" s="215">
        <f t="shared" si="48"/>
        <v>49699676.460000001</v>
      </c>
      <c r="V58" s="215">
        <f t="shared" si="48"/>
        <v>248300323.53999999</v>
      </c>
      <c r="W58" s="216">
        <f t="shared" si="18"/>
        <v>0.16677743778523491</v>
      </c>
      <c r="X58" s="215">
        <f t="shared" si="48"/>
        <v>0</v>
      </c>
      <c r="Y58" s="215">
        <f t="shared" si="48"/>
        <v>49699676.460000001</v>
      </c>
      <c r="Z58" s="216">
        <f t="shared" si="24"/>
        <v>1</v>
      </c>
      <c r="AA58" s="215">
        <f t="shared" si="48"/>
        <v>0</v>
      </c>
      <c r="AB58" s="215">
        <f t="shared" si="48"/>
        <v>0</v>
      </c>
      <c r="AC58" s="216">
        <f t="shared" si="7"/>
        <v>0</v>
      </c>
      <c r="AE58" s="13"/>
      <c r="AF58" s="293"/>
    </row>
    <row r="59" spans="1:54" ht="24.95" customHeight="1">
      <c r="A59" s="32" t="str">
        <f t="shared" si="5"/>
        <v>A-02-02-01-004-002=10</v>
      </c>
      <c r="B59" s="217" t="str">
        <f>CONCATENATE(C59,"-",D59,"-",E59,"-",F59,"-",G59,"-",H59)</f>
        <v>A-02-02-01-004-002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37000000</v>
      </c>
      <c r="O59" s="222"/>
      <c r="P59" s="222"/>
      <c r="Q59" s="222"/>
      <c r="R59" s="223"/>
      <c r="S59" s="223"/>
      <c r="T59" s="222">
        <f>+N59-S59+O59-P59+Q59-R59</f>
        <v>37000000</v>
      </c>
      <c r="U59" s="222">
        <v>0</v>
      </c>
      <c r="V59" s="222">
        <f t="shared" si="14"/>
        <v>37000000</v>
      </c>
      <c r="W59" s="224">
        <f t="shared" si="18"/>
        <v>0</v>
      </c>
      <c r="X59" s="222">
        <v>0</v>
      </c>
      <c r="Y59" s="222">
        <f t="shared" si="17"/>
        <v>0</v>
      </c>
      <c r="Z59" s="224">
        <f t="shared" si="24"/>
        <v>0</v>
      </c>
      <c r="AA59" s="222">
        <v>0</v>
      </c>
      <c r="AB59" s="222">
        <f t="shared" ref="AB59:AB62" si="49">+X59-AA59</f>
        <v>0</v>
      </c>
      <c r="AC59" s="224">
        <f t="shared" si="7"/>
        <v>0</v>
      </c>
      <c r="AE59" s="13"/>
      <c r="AF59" s="293"/>
    </row>
    <row r="60" spans="1:54" s="64" customFormat="1" ht="24.95" customHeight="1">
      <c r="A60" s="32" t="str">
        <f t="shared" si="5"/>
        <v>A-02-02-01-004-005=10</v>
      </c>
      <c r="B60" s="217" t="str">
        <f>CONCATENATE(C60,"-",D60,"-",E60,"-",F60,"-",G60,"-",H60)</f>
        <v>A-02-02-01-004-005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f>VLOOKUP($A60,[1]Vigencia!$L$5:$AA$128,N$1,FALSE)</f>
        <v>0</v>
      </c>
      <c r="O60" s="222"/>
      <c r="P60" s="222"/>
      <c r="Q60" s="222">
        <v>82000000</v>
      </c>
      <c r="R60" s="223"/>
      <c r="S60" s="223"/>
      <c r="T60" s="222">
        <f t="shared" ref="T60:T61" si="50">+N60+O60-P60+Q60-R60-S60</f>
        <v>82000000</v>
      </c>
      <c r="U60" s="222">
        <v>0</v>
      </c>
      <c r="V60" s="222">
        <f t="shared" si="14"/>
        <v>82000000</v>
      </c>
      <c r="W60" s="224">
        <f t="shared" si="18"/>
        <v>0</v>
      </c>
      <c r="X60" s="222">
        <v>0</v>
      </c>
      <c r="Y60" s="222">
        <f t="shared" si="17"/>
        <v>0</v>
      </c>
      <c r="Z60" s="224">
        <f t="shared" si="24"/>
        <v>0</v>
      </c>
      <c r="AA60" s="222">
        <v>0</v>
      </c>
      <c r="AB60" s="222">
        <f t="shared" si="49"/>
        <v>0</v>
      </c>
      <c r="AC60" s="224">
        <f t="shared" si="7"/>
        <v>0</v>
      </c>
      <c r="AD60" s="13"/>
      <c r="AE60" s="13"/>
      <c r="AF60" s="29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</row>
    <row r="61" spans="1:54" s="64" customFormat="1" ht="24.95" customHeight="1">
      <c r="A61" s="32" t="str">
        <f t="shared" si="5"/>
        <v>A-02-02-01-004-006=10</v>
      </c>
      <c r="B61" s="217" t="str">
        <f>CONCATENATE(C61,"-",D61,"-",E61,"-",F61,"-",G61,"-",H61)</f>
        <v>A-02-02-01-004-006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f>VLOOKUP($A61,[1]Vigencia!$L$5:$AA$128,N$1,FALSE)</f>
        <v>0</v>
      </c>
      <c r="O61" s="222"/>
      <c r="P61" s="222"/>
      <c r="Q61" s="222">
        <v>30000000</v>
      </c>
      <c r="R61" s="223"/>
      <c r="S61" s="223"/>
      <c r="T61" s="222">
        <f t="shared" si="50"/>
        <v>30000000</v>
      </c>
      <c r="U61" s="222">
        <v>0</v>
      </c>
      <c r="V61" s="222">
        <f t="shared" si="14"/>
        <v>30000000</v>
      </c>
      <c r="W61" s="224">
        <f t="shared" si="18"/>
        <v>0</v>
      </c>
      <c r="X61" s="222">
        <v>0</v>
      </c>
      <c r="Y61" s="222">
        <f t="shared" si="17"/>
        <v>0</v>
      </c>
      <c r="Z61" s="224">
        <f t="shared" si="24"/>
        <v>0</v>
      </c>
      <c r="AA61" s="222">
        <v>0</v>
      </c>
      <c r="AB61" s="222">
        <f t="shared" si="49"/>
        <v>0</v>
      </c>
      <c r="AC61" s="224">
        <f t="shared" si="7"/>
        <v>0</v>
      </c>
      <c r="AD61" s="13"/>
      <c r="AE61" s="13"/>
      <c r="AF61" s="29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</row>
    <row r="62" spans="1:54" ht="24.95" customHeight="1">
      <c r="A62" s="32" t="str">
        <f t="shared" si="5"/>
        <v>A-02-02-01-004-007=10</v>
      </c>
      <c r="B62" s="217" t="str">
        <f>CONCATENATE(C62,"-",D62,"-",E62,"-",F62,"-",G62,"-",H62)</f>
        <v>A-02-02-01-004-007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261000000</v>
      </c>
      <c r="O62" s="222"/>
      <c r="P62" s="222"/>
      <c r="Q62" s="222"/>
      <c r="R62" s="222">
        <f>82000000+30000000</f>
        <v>112000000</v>
      </c>
      <c r="S62" s="223"/>
      <c r="T62" s="222">
        <f>+N62-S62+O62-P62+Q62-R62</f>
        <v>149000000</v>
      </c>
      <c r="U62" s="222">
        <v>49699676.460000001</v>
      </c>
      <c r="V62" s="222">
        <f t="shared" si="14"/>
        <v>99300323.539999992</v>
      </c>
      <c r="W62" s="224">
        <f t="shared" si="18"/>
        <v>0.33355487557046981</v>
      </c>
      <c r="X62" s="222">
        <v>0</v>
      </c>
      <c r="Y62" s="222">
        <f t="shared" si="17"/>
        <v>49699676.460000001</v>
      </c>
      <c r="Z62" s="224">
        <f t="shared" si="24"/>
        <v>1</v>
      </c>
      <c r="AA62" s="222">
        <v>0</v>
      </c>
      <c r="AB62" s="222">
        <f t="shared" si="49"/>
        <v>0</v>
      </c>
      <c r="AC62" s="224">
        <f t="shared" si="7"/>
        <v>0</v>
      </c>
      <c r="AE62" s="13"/>
      <c r="AF62" s="293"/>
    </row>
    <row r="63" spans="1:54" ht="24.95" customHeight="1">
      <c r="A63" s="32" t="str">
        <f t="shared" si="5"/>
        <v>A-02-02-02=10</v>
      </c>
      <c r="B63" s="203" t="str">
        <f>CONCATENATE(C63,"-",D63,"-",E63,"-",F63)</f>
        <v>A-02-02-02</v>
      </c>
      <c r="C63" s="204" t="s">
        <v>23</v>
      </c>
      <c r="D63" s="205" t="s">
        <v>54</v>
      </c>
      <c r="E63" s="205" t="s">
        <v>54</v>
      </c>
      <c r="F63" s="205" t="s">
        <v>54</v>
      </c>
      <c r="G63" s="205"/>
      <c r="H63" s="205"/>
      <c r="I63" s="205"/>
      <c r="J63" s="205"/>
      <c r="K63" s="206" t="s">
        <v>28</v>
      </c>
      <c r="L63" s="207" t="s">
        <v>29</v>
      </c>
      <c r="M63" s="203" t="s">
        <v>103</v>
      </c>
      <c r="N63" s="208">
        <f>+N64+N71+N74+N81+N87</f>
        <v>41426735798</v>
      </c>
      <c r="O63" s="208">
        <f t="shared" ref="O63:V63" si="51">+O64+O71+O74+O81+O87</f>
        <v>0</v>
      </c>
      <c r="P63" s="208">
        <f t="shared" si="51"/>
        <v>0</v>
      </c>
      <c r="Q63" s="208">
        <f t="shared" si="51"/>
        <v>13000000</v>
      </c>
      <c r="R63" s="208">
        <f t="shared" si="51"/>
        <v>13000000</v>
      </c>
      <c r="S63" s="208">
        <f t="shared" si="51"/>
        <v>0</v>
      </c>
      <c r="T63" s="208">
        <f t="shared" si="51"/>
        <v>41426735798</v>
      </c>
      <c r="U63" s="208">
        <f t="shared" si="51"/>
        <v>25981162170.849998</v>
      </c>
      <c r="V63" s="208">
        <f t="shared" si="51"/>
        <v>15445573627.150002</v>
      </c>
      <c r="W63" s="209">
        <f t="shared" si="18"/>
        <v>0.62715928905275509</v>
      </c>
      <c r="X63" s="208">
        <f t="shared" ref="X63:AB63" si="52">+X64+X71+X74+X81+X87</f>
        <v>4022461449.0100002</v>
      </c>
      <c r="Y63" s="208">
        <f t="shared" si="52"/>
        <v>21958700721.84</v>
      </c>
      <c r="Z63" s="209">
        <f t="shared" si="24"/>
        <v>0.84517777062632449</v>
      </c>
      <c r="AA63" s="208">
        <f t="shared" si="52"/>
        <v>4000790318.0099998</v>
      </c>
      <c r="AB63" s="208">
        <f t="shared" si="52"/>
        <v>21671130.999999993</v>
      </c>
      <c r="AC63" s="209">
        <f t="shared" si="7"/>
        <v>0.15398811999637005</v>
      </c>
      <c r="AE63" s="13"/>
      <c r="AF63" s="293"/>
    </row>
    <row r="64" spans="1:54" ht="49.5">
      <c r="A64" s="32" t="str">
        <f t="shared" si="5"/>
        <v>A-02-02-02-006=10</v>
      </c>
      <c r="B64" s="210" t="str">
        <f>CONCATENATE(C64,"-",D64,"-",E64,"-",F64,"-",G64)</f>
        <v>A-02-02-02-006</v>
      </c>
      <c r="C64" s="211" t="s">
        <v>23</v>
      </c>
      <c r="D64" s="212" t="s">
        <v>54</v>
      </c>
      <c r="E64" s="212" t="s">
        <v>54</v>
      </c>
      <c r="F64" s="212" t="s">
        <v>54</v>
      </c>
      <c r="G64" s="212" t="s">
        <v>42</v>
      </c>
      <c r="H64" s="212"/>
      <c r="I64" s="212"/>
      <c r="J64" s="212"/>
      <c r="K64" s="213" t="s">
        <v>28</v>
      </c>
      <c r="L64" s="214" t="s">
        <v>29</v>
      </c>
      <c r="M64" s="210" t="s">
        <v>104</v>
      </c>
      <c r="N64" s="215">
        <f>SUM(N65:N70)</f>
        <v>7757163474</v>
      </c>
      <c r="O64" s="215">
        <f t="shared" ref="O64:V64" si="53">SUM(O65:O70)</f>
        <v>0</v>
      </c>
      <c r="P64" s="215">
        <f t="shared" si="53"/>
        <v>0</v>
      </c>
      <c r="Q64" s="215">
        <f t="shared" si="53"/>
        <v>10000000</v>
      </c>
      <c r="R64" s="215">
        <f t="shared" si="53"/>
        <v>10000000</v>
      </c>
      <c r="S64" s="215">
        <f t="shared" si="53"/>
        <v>0</v>
      </c>
      <c r="T64" s="215">
        <f t="shared" si="53"/>
        <v>7757163474</v>
      </c>
      <c r="U64" s="215">
        <f t="shared" si="53"/>
        <v>3652158404.46</v>
      </c>
      <c r="V64" s="215">
        <f t="shared" si="53"/>
        <v>4105005069.54</v>
      </c>
      <c r="W64" s="216">
        <f t="shared" si="18"/>
        <v>0.4708110660167325</v>
      </c>
      <c r="X64" s="215">
        <f t="shared" ref="X64:AB64" si="54">SUM(X65:X70)</f>
        <v>719009980.46000004</v>
      </c>
      <c r="Y64" s="215">
        <f t="shared" si="54"/>
        <v>2933148424</v>
      </c>
      <c r="Z64" s="216">
        <f t="shared" si="24"/>
        <v>0.80312738363649616</v>
      </c>
      <c r="AA64" s="215">
        <f t="shared" si="54"/>
        <v>715052569.38999999</v>
      </c>
      <c r="AB64" s="215">
        <f t="shared" si="54"/>
        <v>3957411.0699999928</v>
      </c>
      <c r="AC64" s="216">
        <f t="shared" si="7"/>
        <v>0.19578903492159072</v>
      </c>
      <c r="AE64" s="13"/>
      <c r="AF64" s="293"/>
    </row>
    <row r="65" spans="1:54" ht="24.95" customHeight="1">
      <c r="A65" s="32" t="str">
        <f t="shared" si="5"/>
        <v>A-02-02-02-006-003=10</v>
      </c>
      <c r="B65" s="217" t="str">
        <f>CONCATENATE(C65,"-",D65,"-",E65,"-",F65,"-",G65,"-",H65)</f>
        <v>A-02-02-02-006-003</v>
      </c>
      <c r="C65" s="248" t="s">
        <v>23</v>
      </c>
      <c r="D65" s="249" t="s">
        <v>54</v>
      </c>
      <c r="E65" s="249" t="s">
        <v>54</v>
      </c>
      <c r="F65" s="249" t="s">
        <v>54</v>
      </c>
      <c r="G65" s="249" t="s">
        <v>42</v>
      </c>
      <c r="H65" s="225" t="s">
        <v>36</v>
      </c>
      <c r="I65" s="219"/>
      <c r="J65" s="219"/>
      <c r="K65" s="220">
        <v>10</v>
      </c>
      <c r="L65" s="221" t="s">
        <v>29</v>
      </c>
      <c r="M65" s="217" t="s">
        <v>105</v>
      </c>
      <c r="N65" s="222">
        <v>12000000</v>
      </c>
      <c r="O65" s="222"/>
      <c r="P65" s="222"/>
      <c r="Q65" s="223"/>
      <c r="R65" s="223"/>
      <c r="S65" s="223"/>
      <c r="T65" s="222">
        <f t="shared" ref="T65:T70" si="55">+N65-S65+O65-P65+Q65-R65</f>
        <v>12000000</v>
      </c>
      <c r="U65" s="222">
        <v>2000000</v>
      </c>
      <c r="V65" s="222">
        <f t="shared" si="14"/>
        <v>10000000</v>
      </c>
      <c r="W65" s="224">
        <f t="shared" si="18"/>
        <v>0.16666666666666666</v>
      </c>
      <c r="X65" s="222">
        <v>2000000</v>
      </c>
      <c r="Y65" s="222">
        <f t="shared" si="17"/>
        <v>0</v>
      </c>
      <c r="Z65" s="224">
        <f t="shared" si="24"/>
        <v>0</v>
      </c>
      <c r="AA65" s="222">
        <v>2000000</v>
      </c>
      <c r="AB65" s="222">
        <f t="shared" ref="AB65:AB70" si="56">+X65-AA65</f>
        <v>0</v>
      </c>
      <c r="AC65" s="224">
        <f t="shared" si="7"/>
        <v>1</v>
      </c>
      <c r="AE65" s="13"/>
      <c r="AF65" s="293"/>
    </row>
    <row r="66" spans="1:54" ht="24.95" customHeight="1">
      <c r="A66" s="32" t="str">
        <f t="shared" si="5"/>
        <v>A-02-02-02-006-004=10</v>
      </c>
      <c r="B66" s="217" t="str">
        <f t="shared" ref="B66:B86" si="57">CONCATENATE(C66,"-",D66,"-",E66,"-",F66,"-",G66,"-",H66)</f>
        <v>A-02-02-02-006-004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38</v>
      </c>
      <c r="I66" s="219"/>
      <c r="J66" s="219"/>
      <c r="K66" s="220">
        <v>10</v>
      </c>
      <c r="L66" s="221" t="s">
        <v>29</v>
      </c>
      <c r="M66" s="217" t="s">
        <v>106</v>
      </c>
      <c r="N66" s="222">
        <v>4851925294</v>
      </c>
      <c r="O66" s="222"/>
      <c r="P66" s="222"/>
      <c r="Q66" s="223">
        <v>2400000</v>
      </c>
      <c r="R66" s="223"/>
      <c r="S66" s="223"/>
      <c r="T66" s="222">
        <f t="shared" si="55"/>
        <v>4854325294</v>
      </c>
      <c r="U66" s="222">
        <v>1691763232</v>
      </c>
      <c r="V66" s="222">
        <f t="shared" si="14"/>
        <v>3162562062</v>
      </c>
      <c r="W66" s="224">
        <f t="shared" si="18"/>
        <v>0.34850635866760682</v>
      </c>
      <c r="X66" s="222">
        <v>434366532</v>
      </c>
      <c r="Y66" s="222">
        <f t="shared" si="17"/>
        <v>1257396700</v>
      </c>
      <c r="Z66" s="224">
        <f t="shared" si="24"/>
        <v>0.7432462629616956</v>
      </c>
      <c r="AA66" s="222">
        <v>434366532</v>
      </c>
      <c r="AB66" s="222">
        <f t="shared" si="56"/>
        <v>0</v>
      </c>
      <c r="AC66" s="224">
        <f t="shared" si="7"/>
        <v>0.2567537370383044</v>
      </c>
      <c r="AE66" s="13"/>
      <c r="AF66" s="293"/>
    </row>
    <row r="67" spans="1:54" ht="24.95" customHeight="1">
      <c r="A67" s="32" t="str">
        <f t="shared" si="5"/>
        <v>A-02-02-02-006-005=10</v>
      </c>
      <c r="B67" s="217" t="str">
        <f t="shared" si="57"/>
        <v>A-02-02-02-006-005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40</v>
      </c>
      <c r="I67" s="219"/>
      <c r="J67" s="219"/>
      <c r="K67" s="220">
        <v>10</v>
      </c>
      <c r="L67" s="221" t="s">
        <v>29</v>
      </c>
      <c r="M67" s="217" t="s">
        <v>107</v>
      </c>
      <c r="N67" s="222">
        <v>100000000</v>
      </c>
      <c r="O67" s="222"/>
      <c r="P67" s="222"/>
      <c r="Q67" s="223">
        <v>7600000</v>
      </c>
      <c r="R67" s="223"/>
      <c r="S67" s="223"/>
      <c r="T67" s="222">
        <f t="shared" si="55"/>
        <v>107600000</v>
      </c>
      <c r="U67" s="222">
        <v>3000000</v>
      </c>
      <c r="V67" s="222">
        <f t="shared" si="14"/>
        <v>104600000</v>
      </c>
      <c r="W67" s="224">
        <f t="shared" si="18"/>
        <v>2.7881040892193308E-2</v>
      </c>
      <c r="X67" s="222">
        <v>1500000</v>
      </c>
      <c r="Y67" s="222">
        <f t="shared" si="17"/>
        <v>1500000</v>
      </c>
      <c r="Z67" s="224">
        <f t="shared" si="24"/>
        <v>0.5</v>
      </c>
      <c r="AA67" s="222">
        <v>0</v>
      </c>
      <c r="AB67" s="222">
        <f t="shared" si="56"/>
        <v>1500000</v>
      </c>
      <c r="AC67" s="224">
        <f t="shared" si="7"/>
        <v>0</v>
      </c>
      <c r="AE67" s="13"/>
      <c r="AF67" s="293"/>
    </row>
    <row r="68" spans="1:54" ht="24.95" customHeight="1">
      <c r="A68" s="32" t="str">
        <f t="shared" si="5"/>
        <v>A-02-02-02-006-006=10</v>
      </c>
      <c r="B68" s="217" t="str">
        <f t="shared" si="57"/>
        <v>A-02-02-02-006-006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42</v>
      </c>
      <c r="I68" s="219"/>
      <c r="J68" s="219"/>
      <c r="K68" s="220">
        <v>10</v>
      </c>
      <c r="L68" s="221" t="s">
        <v>29</v>
      </c>
      <c r="M68" s="217" t="s">
        <v>259</v>
      </c>
      <c r="N68" s="222">
        <v>10000000</v>
      </c>
      <c r="O68" s="222"/>
      <c r="P68" s="222"/>
      <c r="Q68" s="223"/>
      <c r="R68" s="223">
        <v>10000000</v>
      </c>
      <c r="S68" s="223"/>
      <c r="T68" s="222">
        <f t="shared" si="55"/>
        <v>0</v>
      </c>
      <c r="U68" s="222">
        <v>0</v>
      </c>
      <c r="V68" s="222">
        <f t="shared" si="14"/>
        <v>0</v>
      </c>
      <c r="W68" s="224">
        <f t="shared" si="18"/>
        <v>0</v>
      </c>
      <c r="X68" s="222">
        <v>0</v>
      </c>
      <c r="Y68" s="222">
        <f t="shared" si="17"/>
        <v>0</v>
      </c>
      <c r="Z68" s="224">
        <f t="shared" si="24"/>
        <v>0</v>
      </c>
      <c r="AA68" s="222">
        <v>0</v>
      </c>
      <c r="AB68" s="222">
        <f t="shared" si="56"/>
        <v>0</v>
      </c>
      <c r="AC68" s="224">
        <f t="shared" si="7"/>
        <v>0</v>
      </c>
      <c r="AE68" s="13"/>
      <c r="AF68" s="293"/>
    </row>
    <row r="69" spans="1:54" ht="24.95" customHeight="1">
      <c r="A69" s="32" t="str">
        <f t="shared" si="5"/>
        <v>A-02-02-02-006-008=10</v>
      </c>
      <c r="B69" s="217" t="str">
        <f t="shared" si="57"/>
        <v>A-02-02-02-006-008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46</v>
      </c>
      <c r="I69" s="219"/>
      <c r="J69" s="219"/>
      <c r="K69" s="220">
        <v>10</v>
      </c>
      <c r="L69" s="221" t="s">
        <v>29</v>
      </c>
      <c r="M69" s="217" t="s">
        <v>108</v>
      </c>
      <c r="N69" s="222">
        <v>2053178180</v>
      </c>
      <c r="O69" s="222"/>
      <c r="P69" s="222"/>
      <c r="Q69" s="223"/>
      <c r="R69" s="223"/>
      <c r="S69" s="223"/>
      <c r="T69" s="222">
        <f t="shared" si="55"/>
        <v>2053178180</v>
      </c>
      <c r="U69" s="222">
        <v>1847178180</v>
      </c>
      <c r="V69" s="222">
        <f t="shared" si="14"/>
        <v>206000000</v>
      </c>
      <c r="W69" s="224">
        <f t="shared" si="18"/>
        <v>0.89966774340062394</v>
      </c>
      <c r="X69" s="222">
        <v>172926456</v>
      </c>
      <c r="Y69" s="222">
        <f t="shared" si="17"/>
        <v>1674251724</v>
      </c>
      <c r="Z69" s="224">
        <f t="shared" si="24"/>
        <v>0.90638344591099484</v>
      </c>
      <c r="AA69" s="222">
        <v>172926456</v>
      </c>
      <c r="AB69" s="222">
        <f t="shared" si="56"/>
        <v>0</v>
      </c>
      <c r="AC69" s="224">
        <f t="shared" si="7"/>
        <v>9.36165540890051E-2</v>
      </c>
      <c r="AE69" s="13"/>
      <c r="AF69" s="293"/>
    </row>
    <row r="70" spans="1:54" ht="33">
      <c r="A70" s="32" t="str">
        <f t="shared" si="5"/>
        <v>A-02-02-02-006-009=10</v>
      </c>
      <c r="B70" s="217" t="str">
        <f t="shared" si="57"/>
        <v>A-02-02-02-006-009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48</v>
      </c>
      <c r="I70" s="219"/>
      <c r="J70" s="219"/>
      <c r="K70" s="220">
        <v>10</v>
      </c>
      <c r="L70" s="221" t="s">
        <v>29</v>
      </c>
      <c r="M70" s="217" t="s">
        <v>109</v>
      </c>
      <c r="N70" s="222">
        <v>730060000</v>
      </c>
      <c r="O70" s="222"/>
      <c r="P70" s="222"/>
      <c r="Q70" s="223"/>
      <c r="R70" s="223"/>
      <c r="S70" s="223"/>
      <c r="T70" s="222">
        <f t="shared" si="55"/>
        <v>730060000</v>
      </c>
      <c r="U70" s="222">
        <v>108216992.45999999</v>
      </c>
      <c r="V70" s="222">
        <f t="shared" si="14"/>
        <v>621843007.53999996</v>
      </c>
      <c r="W70" s="224">
        <f t="shared" si="18"/>
        <v>0.1482302721146207</v>
      </c>
      <c r="X70" s="222">
        <v>108216992.45999999</v>
      </c>
      <c r="Y70" s="222">
        <f t="shared" si="17"/>
        <v>0</v>
      </c>
      <c r="Z70" s="224">
        <f t="shared" si="24"/>
        <v>0</v>
      </c>
      <c r="AA70" s="222">
        <v>105759581.39</v>
      </c>
      <c r="AB70" s="222">
        <f t="shared" si="56"/>
        <v>2457411.0699999928</v>
      </c>
      <c r="AC70" s="224">
        <f t="shared" si="7"/>
        <v>0.97729181883419725</v>
      </c>
      <c r="AE70" s="13"/>
      <c r="AF70" s="293"/>
    </row>
    <row r="71" spans="1:54" ht="33">
      <c r="A71" s="32" t="str">
        <f t="shared" si="5"/>
        <v>A-02-02-02-007=10</v>
      </c>
      <c r="B71" s="210" t="str">
        <f>CONCATENATE(C71,"-",D71,"-",E71,"-",F71,"-",G71)</f>
        <v>A-02-02-02-007</v>
      </c>
      <c r="C71" s="211" t="s">
        <v>23</v>
      </c>
      <c r="D71" s="212" t="s">
        <v>54</v>
      </c>
      <c r="E71" s="212" t="s">
        <v>54</v>
      </c>
      <c r="F71" s="212" t="s">
        <v>54</v>
      </c>
      <c r="G71" s="212" t="s">
        <v>44</v>
      </c>
      <c r="H71" s="212"/>
      <c r="I71" s="212"/>
      <c r="J71" s="212"/>
      <c r="K71" s="213" t="s">
        <v>28</v>
      </c>
      <c r="L71" s="214" t="s">
        <v>29</v>
      </c>
      <c r="M71" s="210" t="s">
        <v>110</v>
      </c>
      <c r="N71" s="215">
        <f>SUM(N72:N73)</f>
        <v>12770333207</v>
      </c>
      <c r="O71" s="215">
        <f t="shared" ref="O71:AB71" si="58">SUM(O72:O73)</f>
        <v>0</v>
      </c>
      <c r="P71" s="215">
        <f t="shared" si="58"/>
        <v>0</v>
      </c>
      <c r="Q71" s="215">
        <f t="shared" si="58"/>
        <v>0</v>
      </c>
      <c r="R71" s="215">
        <f t="shared" si="58"/>
        <v>0</v>
      </c>
      <c r="S71" s="215">
        <f t="shared" si="58"/>
        <v>0</v>
      </c>
      <c r="T71" s="215">
        <f t="shared" si="58"/>
        <v>12770333207</v>
      </c>
      <c r="U71" s="215">
        <f t="shared" si="58"/>
        <v>10913548266</v>
      </c>
      <c r="V71" s="215">
        <f t="shared" si="58"/>
        <v>1856784941</v>
      </c>
      <c r="W71" s="216">
        <f t="shared" si="18"/>
        <v>0.85460168416105131</v>
      </c>
      <c r="X71" s="215">
        <f t="shared" si="58"/>
        <v>2331173106</v>
      </c>
      <c r="Y71" s="215">
        <f t="shared" si="58"/>
        <v>8582375160</v>
      </c>
      <c r="Z71" s="216">
        <f t="shared" si="24"/>
        <v>0.78639640846574876</v>
      </c>
      <c r="AA71" s="215">
        <f t="shared" si="58"/>
        <v>2318845940</v>
      </c>
      <c r="AB71" s="215">
        <f t="shared" si="58"/>
        <v>12327166</v>
      </c>
      <c r="AC71" s="216">
        <f t="shared" si="7"/>
        <v>0.21247406283290268</v>
      </c>
      <c r="AE71" s="13"/>
      <c r="AF71" s="293"/>
    </row>
    <row r="72" spans="1:54" ht="24.95" customHeight="1">
      <c r="A72" s="32" t="str">
        <f t="shared" si="5"/>
        <v>A-02-02-02-007-001=10</v>
      </c>
      <c r="B72" s="217" t="str">
        <f t="shared" si="57"/>
        <v>A-02-02-02-007-001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44</v>
      </c>
      <c r="H72" s="225" t="s">
        <v>31</v>
      </c>
      <c r="I72" s="219"/>
      <c r="J72" s="219"/>
      <c r="K72" s="220">
        <v>10</v>
      </c>
      <c r="L72" s="221" t="s">
        <v>29</v>
      </c>
      <c r="M72" s="217" t="s">
        <v>111</v>
      </c>
      <c r="N72" s="222">
        <v>25000000</v>
      </c>
      <c r="O72" s="222"/>
      <c r="P72" s="222"/>
      <c r="Q72" s="223"/>
      <c r="R72" s="223"/>
      <c r="S72" s="223"/>
      <c r="T72" s="222">
        <f>+N72-S72+O72-P72+Q72-R72</f>
        <v>25000000</v>
      </c>
      <c r="U72" s="222">
        <v>8409000</v>
      </c>
      <c r="V72" s="222">
        <f t="shared" si="14"/>
        <v>16591000</v>
      </c>
      <c r="W72" s="224">
        <f t="shared" si="18"/>
        <v>0.33635999999999999</v>
      </c>
      <c r="X72" s="222">
        <v>0</v>
      </c>
      <c r="Y72" s="222">
        <f t="shared" si="17"/>
        <v>8409000</v>
      </c>
      <c r="Z72" s="224">
        <f t="shared" si="24"/>
        <v>1</v>
      </c>
      <c r="AA72" s="222">
        <v>0</v>
      </c>
      <c r="AB72" s="222">
        <f t="shared" ref="AB72:AB73" si="59">+X72-AA72</f>
        <v>0</v>
      </c>
      <c r="AC72" s="224">
        <f t="shared" si="7"/>
        <v>0</v>
      </c>
      <c r="AE72" s="13"/>
      <c r="AF72" s="293"/>
    </row>
    <row r="73" spans="1:54" ht="24.95" customHeight="1">
      <c r="A73" s="32" t="str">
        <f t="shared" si="5"/>
        <v>A-02-02-02-007-002=10</v>
      </c>
      <c r="B73" s="217" t="str">
        <f t="shared" si="57"/>
        <v>A-02-02-02-007-002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34</v>
      </c>
      <c r="I73" s="219"/>
      <c r="J73" s="219"/>
      <c r="K73" s="220">
        <v>10</v>
      </c>
      <c r="L73" s="221" t="s">
        <v>29</v>
      </c>
      <c r="M73" s="217" t="s">
        <v>112</v>
      </c>
      <c r="N73" s="222">
        <v>12745333207</v>
      </c>
      <c r="O73" s="222"/>
      <c r="P73" s="222"/>
      <c r="Q73" s="223"/>
      <c r="R73" s="223"/>
      <c r="S73" s="223"/>
      <c r="T73" s="222">
        <f>+N73-S73+O73-P73+Q73-R73</f>
        <v>12745333207</v>
      </c>
      <c r="U73" s="222">
        <v>10905139266</v>
      </c>
      <c r="V73" s="222">
        <f t="shared" si="14"/>
        <v>1840193941</v>
      </c>
      <c r="W73" s="224">
        <f t="shared" si="18"/>
        <v>0.85561821640023283</v>
      </c>
      <c r="X73" s="222">
        <v>2331173106</v>
      </c>
      <c r="Y73" s="222">
        <f t="shared" si="17"/>
        <v>8573966160</v>
      </c>
      <c r="Z73" s="224">
        <f t="shared" si="24"/>
        <v>0.78623169781351421</v>
      </c>
      <c r="AA73" s="222">
        <v>2318845940</v>
      </c>
      <c r="AB73" s="222">
        <f t="shared" si="59"/>
        <v>12327166</v>
      </c>
      <c r="AC73" s="224">
        <f t="shared" si="7"/>
        <v>0.21263790250067588</v>
      </c>
      <c r="AE73" s="13"/>
      <c r="AF73" s="293"/>
    </row>
    <row r="74" spans="1:54" ht="24.95" customHeight="1">
      <c r="A74" s="32" t="str">
        <f t="shared" si="5"/>
        <v>A-02-02-02-008=10</v>
      </c>
      <c r="B74" s="210" t="str">
        <f>CONCATENATE(C74,"-",D74,"-",E74,"-",F74,"-",G74)</f>
        <v>A-02-02-02-008</v>
      </c>
      <c r="C74" s="211" t="s">
        <v>23</v>
      </c>
      <c r="D74" s="212" t="s">
        <v>54</v>
      </c>
      <c r="E74" s="212" t="s">
        <v>54</v>
      </c>
      <c r="F74" s="212" t="s">
        <v>54</v>
      </c>
      <c r="G74" s="212" t="s">
        <v>46</v>
      </c>
      <c r="H74" s="212"/>
      <c r="I74" s="212"/>
      <c r="J74" s="212"/>
      <c r="K74" s="213" t="s">
        <v>28</v>
      </c>
      <c r="L74" s="214" t="s">
        <v>29</v>
      </c>
      <c r="M74" s="210" t="s">
        <v>113</v>
      </c>
      <c r="N74" s="215">
        <f>SUM(N75:N80)</f>
        <v>17318293047</v>
      </c>
      <c r="O74" s="215">
        <f t="shared" ref="O74:V74" si="60">SUM(O75:O80)</f>
        <v>0</v>
      </c>
      <c r="P74" s="215">
        <f t="shared" si="60"/>
        <v>0</v>
      </c>
      <c r="Q74" s="215">
        <f t="shared" si="60"/>
        <v>3000000</v>
      </c>
      <c r="R74" s="215">
        <f t="shared" si="60"/>
        <v>3000000</v>
      </c>
      <c r="S74" s="215">
        <f t="shared" si="60"/>
        <v>0</v>
      </c>
      <c r="T74" s="215">
        <f t="shared" si="60"/>
        <v>17318293047</v>
      </c>
      <c r="U74" s="215">
        <f t="shared" si="60"/>
        <v>11065650540.84</v>
      </c>
      <c r="V74" s="215">
        <f t="shared" si="60"/>
        <v>6252642506.1599998</v>
      </c>
      <c r="W74" s="216">
        <f t="shared" si="18"/>
        <v>0.6389573447457555</v>
      </c>
      <c r="X74" s="215">
        <f t="shared" ref="X74:AB74" si="61">SUM(X75:X80)</f>
        <v>923436438</v>
      </c>
      <c r="Y74" s="215">
        <f t="shared" si="61"/>
        <v>10142214102.84</v>
      </c>
      <c r="Z74" s="216">
        <f t="shared" si="24"/>
        <v>0.91654928604587027</v>
      </c>
      <c r="AA74" s="215">
        <f t="shared" si="61"/>
        <v>923098642</v>
      </c>
      <c r="AB74" s="215">
        <f t="shared" si="61"/>
        <v>337796</v>
      </c>
      <c r="AC74" s="216">
        <f t="shared" si="7"/>
        <v>8.3420187416286054E-2</v>
      </c>
      <c r="AE74" s="13"/>
      <c r="AF74" s="293"/>
    </row>
    <row r="75" spans="1:54" ht="24.95" customHeight="1">
      <c r="A75" s="32" t="str">
        <f t="shared" ref="A75:A139" si="62">+CONCATENATE(B75,"=",K75)</f>
        <v>A-02-02-02-008-002=10</v>
      </c>
      <c r="B75" s="217" t="str">
        <f t="shared" si="57"/>
        <v>A-02-02-02-008-002</v>
      </c>
      <c r="C75" s="218" t="s">
        <v>23</v>
      </c>
      <c r="D75" s="249" t="s">
        <v>54</v>
      </c>
      <c r="E75" s="249" t="s">
        <v>54</v>
      </c>
      <c r="F75" s="249" t="s">
        <v>54</v>
      </c>
      <c r="G75" s="249" t="s">
        <v>46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114</v>
      </c>
      <c r="N75" s="222">
        <v>172000000</v>
      </c>
      <c r="O75" s="222"/>
      <c r="P75" s="222"/>
      <c r="Q75" s="223"/>
      <c r="R75" s="223"/>
      <c r="S75" s="223"/>
      <c r="T75" s="222">
        <f t="shared" ref="T75:T80" si="63">+N75-S75+O75-P75+Q75-R75</f>
        <v>172000000</v>
      </c>
      <c r="U75" s="222">
        <v>21756280</v>
      </c>
      <c r="V75" s="222">
        <f t="shared" si="14"/>
        <v>150243720</v>
      </c>
      <c r="W75" s="224">
        <f t="shared" si="18"/>
        <v>0.12648999999999999</v>
      </c>
      <c r="X75" s="222">
        <v>0</v>
      </c>
      <c r="Y75" s="222">
        <f t="shared" si="17"/>
        <v>21756280</v>
      </c>
      <c r="Z75" s="224">
        <f t="shared" si="24"/>
        <v>1</v>
      </c>
      <c r="AA75" s="222">
        <v>0</v>
      </c>
      <c r="AB75" s="222">
        <f t="shared" ref="AB75:AB80" si="64">+X75-AA75</f>
        <v>0</v>
      </c>
      <c r="AC75" s="224">
        <f t="shared" ref="AC75:AC139" si="65">+IF(U75&gt;0,(AA75/U75),0)</f>
        <v>0</v>
      </c>
      <c r="AE75" s="13"/>
      <c r="AF75" s="293"/>
    </row>
    <row r="76" spans="1:54" ht="24.95" customHeight="1">
      <c r="A76" s="32" t="str">
        <f t="shared" si="62"/>
        <v>A-02-02-02-008-003=10</v>
      </c>
      <c r="B76" s="217" t="str">
        <f t="shared" si="57"/>
        <v>A-02-02-02-008-003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36</v>
      </c>
      <c r="I76" s="219"/>
      <c r="J76" s="219"/>
      <c r="K76" s="220">
        <v>10</v>
      </c>
      <c r="L76" s="221" t="s">
        <v>29</v>
      </c>
      <c r="M76" s="217" t="s">
        <v>115</v>
      </c>
      <c r="N76" s="222">
        <v>9548931993</v>
      </c>
      <c r="O76" s="222"/>
      <c r="P76" s="222"/>
      <c r="Q76" s="223"/>
      <c r="R76" s="223">
        <v>3000000</v>
      </c>
      <c r="S76" s="223"/>
      <c r="T76" s="222">
        <f t="shared" si="63"/>
        <v>9545931993</v>
      </c>
      <c r="U76" s="222">
        <v>7106852550</v>
      </c>
      <c r="V76" s="222">
        <f t="shared" si="14"/>
        <v>2439079443</v>
      </c>
      <c r="W76" s="224">
        <f t="shared" si="18"/>
        <v>0.74449017185660149</v>
      </c>
      <c r="X76" s="222">
        <v>232116184</v>
      </c>
      <c r="Y76" s="222">
        <f t="shared" si="17"/>
        <v>6874736366</v>
      </c>
      <c r="Z76" s="224">
        <f t="shared" si="24"/>
        <v>0.96733910231470888</v>
      </c>
      <c r="AA76" s="222">
        <v>232116184</v>
      </c>
      <c r="AB76" s="222">
        <f t="shared" si="64"/>
        <v>0</v>
      </c>
      <c r="AC76" s="224">
        <f t="shared" si="65"/>
        <v>3.2660897685291082E-2</v>
      </c>
      <c r="AE76" s="13"/>
      <c r="AF76" s="293"/>
    </row>
    <row r="77" spans="1:54" ht="33">
      <c r="A77" s="32" t="str">
        <f t="shared" si="62"/>
        <v>A-02-02-02-008-004=10</v>
      </c>
      <c r="B77" s="217" t="str">
        <f t="shared" si="57"/>
        <v>A-02-02-02-008-004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38</v>
      </c>
      <c r="I77" s="219"/>
      <c r="J77" s="219"/>
      <c r="K77" s="220">
        <v>10</v>
      </c>
      <c r="L77" s="221" t="s">
        <v>29</v>
      </c>
      <c r="M77" s="217" t="s">
        <v>116</v>
      </c>
      <c r="N77" s="222">
        <v>2298000000</v>
      </c>
      <c r="O77" s="222"/>
      <c r="P77" s="222"/>
      <c r="Q77" s="223"/>
      <c r="R77" s="223"/>
      <c r="S77" s="223"/>
      <c r="T77" s="222">
        <f t="shared" si="63"/>
        <v>2298000000</v>
      </c>
      <c r="U77" s="222">
        <v>546886674.63</v>
      </c>
      <c r="V77" s="222">
        <f t="shared" si="14"/>
        <v>1751113325.3699999</v>
      </c>
      <c r="W77" s="224">
        <f t="shared" si="18"/>
        <v>0.23798375745430808</v>
      </c>
      <c r="X77" s="222">
        <v>308981967</v>
      </c>
      <c r="Y77" s="222">
        <f t="shared" si="17"/>
        <v>237904707.63</v>
      </c>
      <c r="Z77" s="224">
        <f t="shared" si="24"/>
        <v>0.43501646440911379</v>
      </c>
      <c r="AA77" s="222">
        <v>308644171</v>
      </c>
      <c r="AB77" s="222">
        <f t="shared" si="64"/>
        <v>337796</v>
      </c>
      <c r="AC77" s="224">
        <f t="shared" si="65"/>
        <v>0.56436586466257455</v>
      </c>
      <c r="AE77" s="13"/>
      <c r="AF77" s="293"/>
    </row>
    <row r="78" spans="1:54" ht="24.95" customHeight="1">
      <c r="A78" s="32" t="str">
        <f t="shared" si="62"/>
        <v>A-02-02-02-008-005=10</v>
      </c>
      <c r="B78" s="217" t="str">
        <f t="shared" si="57"/>
        <v>A-02-02-02-008-005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40</v>
      </c>
      <c r="I78" s="219"/>
      <c r="J78" s="219"/>
      <c r="K78" s="220">
        <v>10</v>
      </c>
      <c r="L78" s="221" t="s">
        <v>29</v>
      </c>
      <c r="M78" s="217" t="s">
        <v>117</v>
      </c>
      <c r="N78" s="222">
        <v>3859335661</v>
      </c>
      <c r="O78" s="222"/>
      <c r="P78" s="222"/>
      <c r="Q78" s="223">
        <v>3000000</v>
      </c>
      <c r="R78" s="223"/>
      <c r="S78" s="223"/>
      <c r="T78" s="222">
        <f t="shared" si="63"/>
        <v>3862335661</v>
      </c>
      <c r="U78" s="222">
        <v>2828629643.21</v>
      </c>
      <c r="V78" s="222">
        <f t="shared" si="14"/>
        <v>1033706017.79</v>
      </c>
      <c r="W78" s="224">
        <f t="shared" si="18"/>
        <v>0.73236245926839971</v>
      </c>
      <c r="X78" s="222">
        <v>381338287</v>
      </c>
      <c r="Y78" s="222">
        <f t="shared" si="17"/>
        <v>2447291356.21</v>
      </c>
      <c r="Z78" s="224">
        <f t="shared" si="24"/>
        <v>0.8651862084824764</v>
      </c>
      <c r="AA78" s="222">
        <v>381338287</v>
      </c>
      <c r="AB78" s="222">
        <f t="shared" si="64"/>
        <v>0</v>
      </c>
      <c r="AC78" s="224">
        <f t="shared" si="65"/>
        <v>0.13481379151752357</v>
      </c>
      <c r="AE78" s="13"/>
      <c r="AF78" s="293"/>
    </row>
    <row r="79" spans="1:54" ht="33">
      <c r="A79" s="32" t="str">
        <f t="shared" si="62"/>
        <v>A-02-02-02-008-007=10</v>
      </c>
      <c r="B79" s="217" t="str">
        <f t="shared" si="57"/>
        <v>A-02-02-02-008-007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44</v>
      </c>
      <c r="I79" s="219"/>
      <c r="J79" s="219"/>
      <c r="K79" s="220">
        <v>10</v>
      </c>
      <c r="L79" s="221" t="s">
        <v>29</v>
      </c>
      <c r="M79" s="217" t="s">
        <v>118</v>
      </c>
      <c r="N79" s="222">
        <v>1363025393</v>
      </c>
      <c r="O79" s="222"/>
      <c r="P79" s="222"/>
      <c r="Q79" s="223"/>
      <c r="R79" s="223"/>
      <c r="S79" s="223"/>
      <c r="T79" s="222">
        <f t="shared" si="63"/>
        <v>1363025393</v>
      </c>
      <c r="U79" s="222">
        <v>561025393</v>
      </c>
      <c r="V79" s="222">
        <f t="shared" si="14"/>
        <v>802000000</v>
      </c>
      <c r="W79" s="224">
        <f t="shared" si="18"/>
        <v>0.41160303827149608</v>
      </c>
      <c r="X79" s="222">
        <v>500000</v>
      </c>
      <c r="Y79" s="222">
        <f t="shared" si="17"/>
        <v>560525393</v>
      </c>
      <c r="Z79" s="224">
        <f t="shared" si="24"/>
        <v>0.99910877474310689</v>
      </c>
      <c r="AA79" s="222">
        <v>500000</v>
      </c>
      <c r="AB79" s="222">
        <f t="shared" si="64"/>
        <v>0</v>
      </c>
      <c r="AC79" s="224">
        <f t="shared" si="65"/>
        <v>8.9122525689314027E-4</v>
      </c>
      <c r="AE79" s="13"/>
      <c r="AF79" s="293"/>
    </row>
    <row r="80" spans="1:54" s="250" customFormat="1" ht="33">
      <c r="A80" s="32" t="str">
        <f t="shared" si="62"/>
        <v>A-02-02-02-008-009=10</v>
      </c>
      <c r="B80" s="217" t="str">
        <f t="shared" si="57"/>
        <v>A-02-02-02-008-009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48</v>
      </c>
      <c r="I80" s="219"/>
      <c r="J80" s="219"/>
      <c r="K80" s="220">
        <v>10</v>
      </c>
      <c r="L80" s="221" t="s">
        <v>29</v>
      </c>
      <c r="M80" s="217" t="s">
        <v>119</v>
      </c>
      <c r="N80" s="222">
        <v>77000000</v>
      </c>
      <c r="O80" s="222"/>
      <c r="P80" s="222"/>
      <c r="Q80" s="223"/>
      <c r="R80" s="223"/>
      <c r="S80" s="223"/>
      <c r="T80" s="222">
        <f t="shared" si="63"/>
        <v>77000000</v>
      </c>
      <c r="U80" s="222">
        <v>500000</v>
      </c>
      <c r="V80" s="222">
        <f t="shared" si="14"/>
        <v>76500000</v>
      </c>
      <c r="W80" s="224">
        <f t="shared" si="18"/>
        <v>6.4935064935064939E-3</v>
      </c>
      <c r="X80" s="222">
        <v>500000</v>
      </c>
      <c r="Y80" s="222">
        <f t="shared" si="17"/>
        <v>0</v>
      </c>
      <c r="Z80" s="224">
        <f t="shared" si="24"/>
        <v>0</v>
      </c>
      <c r="AA80" s="222">
        <v>500000</v>
      </c>
      <c r="AB80" s="222">
        <f t="shared" si="64"/>
        <v>0</v>
      </c>
      <c r="AC80" s="224">
        <f t="shared" si="65"/>
        <v>1</v>
      </c>
      <c r="AD80" s="13"/>
      <c r="AE80" s="13"/>
      <c r="AF80" s="29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</row>
    <row r="81" spans="1:54" ht="24.95" customHeight="1">
      <c r="A81" s="32" t="str">
        <f t="shared" si="62"/>
        <v>A-02-02-02-009=10</v>
      </c>
      <c r="B81" s="210" t="str">
        <f>CONCATENATE(C81,"-",D81,"-",E81,"-",F81,"-",G81)</f>
        <v>A-02-02-02-009</v>
      </c>
      <c r="C81" s="211" t="s">
        <v>23</v>
      </c>
      <c r="D81" s="212" t="s">
        <v>54</v>
      </c>
      <c r="E81" s="212" t="s">
        <v>54</v>
      </c>
      <c r="F81" s="212" t="s">
        <v>54</v>
      </c>
      <c r="G81" s="212" t="s">
        <v>48</v>
      </c>
      <c r="H81" s="212"/>
      <c r="I81" s="212"/>
      <c r="J81" s="212"/>
      <c r="K81" s="213" t="s">
        <v>28</v>
      </c>
      <c r="L81" s="214" t="s">
        <v>29</v>
      </c>
      <c r="M81" s="210" t="s">
        <v>120</v>
      </c>
      <c r="N81" s="215">
        <f>SUM(N82:N86)</f>
        <v>2410636000</v>
      </c>
      <c r="O81" s="215">
        <f t="shared" ref="O81:AB81" si="66">SUM(O82:O86)</f>
        <v>0</v>
      </c>
      <c r="P81" s="215">
        <f t="shared" si="66"/>
        <v>0</v>
      </c>
      <c r="Q81" s="215">
        <f t="shared" si="66"/>
        <v>0</v>
      </c>
      <c r="R81" s="215">
        <f t="shared" si="66"/>
        <v>0</v>
      </c>
      <c r="S81" s="215">
        <f t="shared" si="66"/>
        <v>0</v>
      </c>
      <c r="T81" s="215">
        <f t="shared" si="66"/>
        <v>2410636000</v>
      </c>
      <c r="U81" s="215">
        <f t="shared" si="66"/>
        <v>165248339.55000001</v>
      </c>
      <c r="V81" s="215">
        <f t="shared" si="66"/>
        <v>2245387660.4499998</v>
      </c>
      <c r="W81" s="216">
        <f t="shared" ref="W81:W145" si="67">+IF(T81&gt;0,U81/T81,0)</f>
        <v>6.8549685456452167E-2</v>
      </c>
      <c r="X81" s="215">
        <f t="shared" si="66"/>
        <v>8182819.5499999998</v>
      </c>
      <c r="Y81" s="215">
        <f t="shared" si="66"/>
        <v>157065520</v>
      </c>
      <c r="Z81" s="216">
        <f t="shared" si="24"/>
        <v>0.95048168367510832</v>
      </c>
      <c r="AA81" s="215">
        <f t="shared" si="66"/>
        <v>5068260.62</v>
      </c>
      <c r="AB81" s="215">
        <f t="shared" si="66"/>
        <v>3114558.9299999997</v>
      </c>
      <c r="AC81" s="216">
        <f t="shared" si="65"/>
        <v>3.0670569119192095E-2</v>
      </c>
      <c r="AE81" s="13"/>
      <c r="AF81" s="293"/>
    </row>
    <row r="82" spans="1:54" ht="24.95" customHeight="1">
      <c r="A82" s="32" t="str">
        <f t="shared" si="62"/>
        <v>A-02-02-02-009-002=10</v>
      </c>
      <c r="B82" s="217" t="str">
        <f t="shared" si="57"/>
        <v>A-02-02-02-009-002</v>
      </c>
      <c r="C82" s="218" t="s">
        <v>23</v>
      </c>
      <c r="D82" s="219" t="s">
        <v>54</v>
      </c>
      <c r="E82" s="219" t="s">
        <v>54</v>
      </c>
      <c r="F82" s="219" t="s">
        <v>54</v>
      </c>
      <c r="G82" s="219" t="s">
        <v>48</v>
      </c>
      <c r="H82" s="225" t="s">
        <v>34</v>
      </c>
      <c r="I82" s="219"/>
      <c r="J82" s="219"/>
      <c r="K82" s="220">
        <v>10</v>
      </c>
      <c r="L82" s="221" t="s">
        <v>29</v>
      </c>
      <c r="M82" s="217" t="s">
        <v>121</v>
      </c>
      <c r="N82" s="222">
        <v>730000000</v>
      </c>
      <c r="O82" s="222"/>
      <c r="P82" s="222"/>
      <c r="Q82" s="223"/>
      <c r="R82" s="223"/>
      <c r="S82" s="223"/>
      <c r="T82" s="222">
        <f>+N82-S82+O82-P82+Q82-R82</f>
        <v>730000000</v>
      </c>
      <c r="U82" s="222">
        <v>0</v>
      </c>
      <c r="V82" s="222">
        <f t="shared" si="14"/>
        <v>730000000</v>
      </c>
      <c r="W82" s="224">
        <f t="shared" si="67"/>
        <v>0</v>
      </c>
      <c r="X82" s="222">
        <v>0</v>
      </c>
      <c r="Y82" s="222">
        <f t="shared" si="17"/>
        <v>0</v>
      </c>
      <c r="Z82" s="224">
        <f t="shared" si="24"/>
        <v>0</v>
      </c>
      <c r="AA82" s="222">
        <v>0</v>
      </c>
      <c r="AB82" s="222">
        <f t="shared" ref="AB82:AB87" si="68">+X82-AA82</f>
        <v>0</v>
      </c>
      <c r="AC82" s="224">
        <f t="shared" si="65"/>
        <v>0</v>
      </c>
      <c r="AE82" s="13"/>
      <c r="AF82" s="293"/>
    </row>
    <row r="83" spans="1:54" ht="34.5" customHeight="1">
      <c r="A83" s="32" t="str">
        <f t="shared" si="62"/>
        <v>A-02-02-02-009-003=10</v>
      </c>
      <c r="B83" s="217" t="str">
        <f t="shared" si="57"/>
        <v>A-02-02-02-009-003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36</v>
      </c>
      <c r="I83" s="219"/>
      <c r="J83" s="219"/>
      <c r="K83" s="220">
        <v>10</v>
      </c>
      <c r="L83" s="221" t="s">
        <v>29</v>
      </c>
      <c r="M83" s="217" t="s">
        <v>122</v>
      </c>
      <c r="N83" s="222">
        <v>365636000</v>
      </c>
      <c r="O83" s="222"/>
      <c r="P83" s="222"/>
      <c r="Q83" s="223"/>
      <c r="R83" s="223"/>
      <c r="S83" s="223"/>
      <c r="T83" s="222">
        <f>+N83-S83+O83-P83+Q83-R83</f>
        <v>365636000</v>
      </c>
      <c r="U83" s="222">
        <v>76906520</v>
      </c>
      <c r="V83" s="222">
        <f t="shared" si="14"/>
        <v>288729480</v>
      </c>
      <c r="W83" s="224">
        <f t="shared" si="67"/>
        <v>0.21033629073723595</v>
      </c>
      <c r="X83" s="222">
        <v>2652000</v>
      </c>
      <c r="Y83" s="222">
        <f t="shared" si="17"/>
        <v>74254520</v>
      </c>
      <c r="Z83" s="224">
        <f t="shared" si="24"/>
        <v>0.9655165777882031</v>
      </c>
      <c r="AA83" s="222">
        <v>0</v>
      </c>
      <c r="AB83" s="222">
        <f t="shared" si="68"/>
        <v>2652000</v>
      </c>
      <c r="AC83" s="224">
        <f t="shared" si="65"/>
        <v>0</v>
      </c>
      <c r="AE83" s="13"/>
      <c r="AF83" s="293"/>
    </row>
    <row r="84" spans="1:54" ht="49.5">
      <c r="A84" s="32" t="str">
        <f t="shared" si="62"/>
        <v>A-02-02-02-009-004=10</v>
      </c>
      <c r="B84" s="217" t="str">
        <f t="shared" si="57"/>
        <v>A-02-02-02-009-004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38</v>
      </c>
      <c r="I84" s="219"/>
      <c r="J84" s="219"/>
      <c r="K84" s="220">
        <v>10</v>
      </c>
      <c r="L84" s="221" t="s">
        <v>29</v>
      </c>
      <c r="M84" s="217" t="s">
        <v>123</v>
      </c>
      <c r="N84" s="222">
        <v>55000000</v>
      </c>
      <c r="O84" s="222"/>
      <c r="P84" s="222"/>
      <c r="Q84" s="223"/>
      <c r="R84" s="223"/>
      <c r="S84" s="223"/>
      <c r="T84" s="222">
        <f>+N84-S84+O84-P84+Q84-R84</f>
        <v>55000000</v>
      </c>
      <c r="U84" s="222">
        <v>5465319.5499999998</v>
      </c>
      <c r="V84" s="222">
        <f t="shared" si="14"/>
        <v>49534680.450000003</v>
      </c>
      <c r="W84" s="224">
        <f t="shared" si="67"/>
        <v>9.9369446363636357E-2</v>
      </c>
      <c r="X84" s="222">
        <v>5465319.5499999998</v>
      </c>
      <c r="Y84" s="222">
        <f t="shared" si="17"/>
        <v>0</v>
      </c>
      <c r="Z84" s="224">
        <f t="shared" si="24"/>
        <v>0</v>
      </c>
      <c r="AA84" s="222">
        <v>5002760.62</v>
      </c>
      <c r="AB84" s="222">
        <f t="shared" si="68"/>
        <v>462558.9299999997</v>
      </c>
      <c r="AC84" s="224">
        <f t="shared" si="65"/>
        <v>0.91536470543611681</v>
      </c>
      <c r="AE84" s="13"/>
      <c r="AF84" s="293"/>
    </row>
    <row r="85" spans="1:54" ht="24.95" customHeight="1">
      <c r="A85" s="32" t="str">
        <f t="shared" si="62"/>
        <v>A-02-02-02-009-006=10</v>
      </c>
      <c r="B85" s="217" t="str">
        <f t="shared" si="57"/>
        <v>A-02-02-02-009-006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42</v>
      </c>
      <c r="I85" s="219"/>
      <c r="J85" s="219"/>
      <c r="K85" s="220">
        <v>10</v>
      </c>
      <c r="L85" s="221" t="s">
        <v>29</v>
      </c>
      <c r="M85" s="217" t="s">
        <v>124</v>
      </c>
      <c r="N85" s="222">
        <v>1160000000</v>
      </c>
      <c r="O85" s="222"/>
      <c r="P85" s="222"/>
      <c r="Q85" s="223"/>
      <c r="R85" s="223"/>
      <c r="S85" s="223"/>
      <c r="T85" s="222">
        <f>+N85-S85+O85-P85+Q85-R85</f>
        <v>1160000000</v>
      </c>
      <c r="U85" s="222">
        <v>82811000</v>
      </c>
      <c r="V85" s="222">
        <f t="shared" si="14"/>
        <v>1077189000</v>
      </c>
      <c r="W85" s="224">
        <f t="shared" si="67"/>
        <v>7.138879310344827E-2</v>
      </c>
      <c r="X85" s="222">
        <v>0</v>
      </c>
      <c r="Y85" s="222">
        <f t="shared" si="17"/>
        <v>82811000</v>
      </c>
      <c r="Z85" s="224">
        <f t="shared" si="24"/>
        <v>1</v>
      </c>
      <c r="AA85" s="222">
        <v>0</v>
      </c>
      <c r="AB85" s="222">
        <f t="shared" si="68"/>
        <v>0</v>
      </c>
      <c r="AC85" s="224">
        <f t="shared" si="65"/>
        <v>0</v>
      </c>
      <c r="AE85" s="13"/>
      <c r="AF85" s="293"/>
    </row>
    <row r="86" spans="1:54" ht="24.95" customHeight="1">
      <c r="A86" s="32" t="str">
        <f t="shared" si="62"/>
        <v>A-02-02-02-009-007=10</v>
      </c>
      <c r="B86" s="217" t="str">
        <f t="shared" si="57"/>
        <v>A-02-02-02-009-007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44</v>
      </c>
      <c r="I86" s="219"/>
      <c r="J86" s="219"/>
      <c r="K86" s="220">
        <v>10</v>
      </c>
      <c r="L86" s="221" t="s">
        <v>29</v>
      </c>
      <c r="M86" s="217" t="s">
        <v>125</v>
      </c>
      <c r="N86" s="222">
        <v>100000000</v>
      </c>
      <c r="O86" s="222"/>
      <c r="P86" s="222"/>
      <c r="Q86" s="223"/>
      <c r="R86" s="223"/>
      <c r="S86" s="223"/>
      <c r="T86" s="222">
        <f>+N86-S86+O86-P86+Q86-R86</f>
        <v>100000000</v>
      </c>
      <c r="U86" s="222">
        <v>65500</v>
      </c>
      <c r="V86" s="222">
        <f t="shared" si="14"/>
        <v>99934500</v>
      </c>
      <c r="W86" s="224">
        <f t="shared" si="67"/>
        <v>6.5499999999999998E-4</v>
      </c>
      <c r="X86" s="222">
        <v>65500</v>
      </c>
      <c r="Y86" s="222">
        <f t="shared" si="17"/>
        <v>0</v>
      </c>
      <c r="Z86" s="224">
        <f t="shared" si="24"/>
        <v>0</v>
      </c>
      <c r="AA86" s="222">
        <v>65500</v>
      </c>
      <c r="AB86" s="222">
        <f t="shared" si="68"/>
        <v>0</v>
      </c>
      <c r="AC86" s="224">
        <f t="shared" si="65"/>
        <v>1</v>
      </c>
      <c r="AE86" s="13"/>
      <c r="AF86" s="293"/>
    </row>
    <row r="87" spans="1:54" ht="24.95" customHeight="1">
      <c r="A87" s="32" t="str">
        <f t="shared" si="62"/>
        <v>A-02-02-02-010=10</v>
      </c>
      <c r="B87" s="210" t="str">
        <f>CONCATENATE(C87,"-",D87,"-",E87,"-",F87,"-",G87)</f>
        <v>A-02-02-02-010</v>
      </c>
      <c r="C87" s="211" t="s">
        <v>23</v>
      </c>
      <c r="D87" s="212" t="s">
        <v>54</v>
      </c>
      <c r="E87" s="212" t="s">
        <v>54</v>
      </c>
      <c r="F87" s="212" t="s">
        <v>54</v>
      </c>
      <c r="G87" s="212" t="s">
        <v>50</v>
      </c>
      <c r="H87" s="212"/>
      <c r="I87" s="212"/>
      <c r="J87" s="212"/>
      <c r="K87" s="213" t="s">
        <v>28</v>
      </c>
      <c r="L87" s="214" t="s">
        <v>29</v>
      </c>
      <c r="M87" s="210" t="s">
        <v>126</v>
      </c>
      <c r="N87" s="215">
        <f>VLOOKUP($A87,[2]Vigencia!$L$5:$AA$125,N$1,FALSE)</f>
        <v>1170310070</v>
      </c>
      <c r="O87" s="215"/>
      <c r="P87" s="215"/>
      <c r="Q87" s="215"/>
      <c r="R87" s="215"/>
      <c r="S87" s="215"/>
      <c r="T87" s="215">
        <f>+N87+O87-P87+Q87-R87</f>
        <v>1170310070</v>
      </c>
      <c r="U87" s="215">
        <v>184556620</v>
      </c>
      <c r="V87" s="215">
        <f t="shared" si="14"/>
        <v>985753450</v>
      </c>
      <c r="W87" s="216">
        <f t="shared" si="67"/>
        <v>0.1576989079483867</v>
      </c>
      <c r="X87" s="215">
        <v>40659105</v>
      </c>
      <c r="Y87" s="215">
        <f t="shared" si="17"/>
        <v>143897515</v>
      </c>
      <c r="Z87" s="216">
        <f t="shared" si="24"/>
        <v>0.77969305571374248</v>
      </c>
      <c r="AA87" s="215">
        <v>38724906</v>
      </c>
      <c r="AB87" s="215">
        <f t="shared" si="68"/>
        <v>1934199</v>
      </c>
      <c r="AC87" s="216">
        <f t="shared" si="65"/>
        <v>0.20982669708623836</v>
      </c>
      <c r="AE87" s="13"/>
      <c r="AF87" s="293"/>
    </row>
    <row r="88" spans="1:54" ht="35.1" customHeight="1">
      <c r="A88" s="32" t="str">
        <f t="shared" si="62"/>
        <v>A-03=</v>
      </c>
      <c r="B88" s="188" t="str">
        <f>CONCATENATE(C88,"-",D88)</f>
        <v>A-03</v>
      </c>
      <c r="C88" s="189" t="s">
        <v>23</v>
      </c>
      <c r="D88" s="191" t="s">
        <v>65</v>
      </c>
      <c r="E88" s="191"/>
      <c r="F88" s="191"/>
      <c r="G88" s="191"/>
      <c r="H88" s="191"/>
      <c r="I88" s="191"/>
      <c r="J88" s="191"/>
      <c r="K88" s="192"/>
      <c r="L88" s="193"/>
      <c r="M88" s="188" t="s">
        <v>127</v>
      </c>
      <c r="N88" s="194">
        <f>+N89+N92+N98</f>
        <v>15140000000</v>
      </c>
      <c r="O88" s="194">
        <f t="shared" ref="O88:V88" si="69">+O89+O92+O98</f>
        <v>0</v>
      </c>
      <c r="P88" s="194">
        <f t="shared" si="69"/>
        <v>0</v>
      </c>
      <c r="Q88" s="194">
        <f t="shared" si="69"/>
        <v>36000000</v>
      </c>
      <c r="R88" s="194">
        <f t="shared" si="69"/>
        <v>36000000</v>
      </c>
      <c r="S88" s="194">
        <f t="shared" si="69"/>
        <v>11791000000</v>
      </c>
      <c r="T88" s="194">
        <f t="shared" si="69"/>
        <v>3349000000</v>
      </c>
      <c r="U88" s="194">
        <f t="shared" si="69"/>
        <v>751990874</v>
      </c>
      <c r="V88" s="194">
        <f t="shared" si="69"/>
        <v>2597009126</v>
      </c>
      <c r="W88" s="195">
        <f t="shared" si="67"/>
        <v>0.22454191519856673</v>
      </c>
      <c r="X88" s="194">
        <f t="shared" ref="X88:Y88" si="70">+X89+X92+X98</f>
        <v>150387331</v>
      </c>
      <c r="Y88" s="194">
        <f t="shared" si="70"/>
        <v>601603543</v>
      </c>
      <c r="Z88" s="195">
        <f t="shared" si="24"/>
        <v>0.8000144201218059</v>
      </c>
      <c r="AA88" s="194">
        <f t="shared" ref="AA88:AB88" si="71">+AA89+AA92+AA98</f>
        <v>150387331</v>
      </c>
      <c r="AB88" s="194">
        <f t="shared" si="71"/>
        <v>0</v>
      </c>
      <c r="AC88" s="195">
        <f t="shared" si="65"/>
        <v>0.1999855798781941</v>
      </c>
      <c r="AE88" s="13"/>
      <c r="AF88" s="293"/>
    </row>
    <row r="89" spans="1:54" ht="24.95" customHeight="1">
      <c r="A89" s="32" t="str">
        <f t="shared" si="62"/>
        <v>A-03-03=</v>
      </c>
      <c r="B89" s="196" t="str">
        <f>CONCATENATE(C89,"-",D89,"-",E89)</f>
        <v>A-03-03</v>
      </c>
      <c r="C89" s="197" t="s">
        <v>23</v>
      </c>
      <c r="D89" s="198" t="s">
        <v>65</v>
      </c>
      <c r="E89" s="198" t="s">
        <v>65</v>
      </c>
      <c r="F89" s="198"/>
      <c r="G89" s="198"/>
      <c r="H89" s="198"/>
      <c r="I89" s="198"/>
      <c r="J89" s="198"/>
      <c r="K89" s="199"/>
      <c r="L89" s="200"/>
      <c r="M89" s="196" t="s">
        <v>128</v>
      </c>
      <c r="N89" s="201">
        <f>+N90</f>
        <v>11791000000</v>
      </c>
      <c r="O89" s="201">
        <f t="shared" ref="O89:V90" si="72">+O90</f>
        <v>0</v>
      </c>
      <c r="P89" s="201">
        <f t="shared" si="72"/>
        <v>0</v>
      </c>
      <c r="Q89" s="201">
        <f t="shared" si="72"/>
        <v>0</v>
      </c>
      <c r="R89" s="201">
        <f t="shared" si="72"/>
        <v>0</v>
      </c>
      <c r="S89" s="201">
        <f t="shared" si="72"/>
        <v>11791000000</v>
      </c>
      <c r="T89" s="201">
        <f t="shared" si="72"/>
        <v>0</v>
      </c>
      <c r="U89" s="201">
        <f t="shared" si="72"/>
        <v>0</v>
      </c>
      <c r="V89" s="201">
        <f t="shared" si="72"/>
        <v>0</v>
      </c>
      <c r="W89" s="202">
        <f t="shared" si="67"/>
        <v>0</v>
      </c>
      <c r="X89" s="201">
        <f t="shared" ref="X89:Y90" si="73">+X90</f>
        <v>0</v>
      </c>
      <c r="Y89" s="201">
        <f t="shared" si="73"/>
        <v>0</v>
      </c>
      <c r="Z89" s="202">
        <f t="shared" si="24"/>
        <v>0</v>
      </c>
      <c r="AA89" s="201">
        <f t="shared" ref="AA89:AB90" si="74">+AA90</f>
        <v>0</v>
      </c>
      <c r="AB89" s="201">
        <f t="shared" si="74"/>
        <v>0</v>
      </c>
      <c r="AC89" s="202">
        <f t="shared" si="65"/>
        <v>0</v>
      </c>
      <c r="AE89" s="13"/>
      <c r="AF89" s="293"/>
    </row>
    <row r="90" spans="1:54" ht="24.95" customHeight="1">
      <c r="A90" s="32" t="str">
        <f t="shared" si="62"/>
        <v>A-03-03-01=10</v>
      </c>
      <c r="B90" s="203" t="str">
        <f>CONCATENATE(C90,"-",D90,"-",E90,"-",F90)</f>
        <v>A-03-03-01</v>
      </c>
      <c r="C90" s="204" t="s">
        <v>23</v>
      </c>
      <c r="D90" s="205" t="s">
        <v>65</v>
      </c>
      <c r="E90" s="205" t="s">
        <v>65</v>
      </c>
      <c r="F90" s="256" t="s">
        <v>25</v>
      </c>
      <c r="G90" s="205"/>
      <c r="H90" s="205"/>
      <c r="I90" s="205"/>
      <c r="J90" s="205"/>
      <c r="K90" s="206">
        <v>10</v>
      </c>
      <c r="L90" s="207" t="s">
        <v>29</v>
      </c>
      <c r="M90" s="203" t="s">
        <v>129</v>
      </c>
      <c r="N90" s="208">
        <f>+N91</f>
        <v>11791000000</v>
      </c>
      <c r="O90" s="208">
        <f t="shared" si="72"/>
        <v>0</v>
      </c>
      <c r="P90" s="208">
        <f t="shared" si="72"/>
        <v>0</v>
      </c>
      <c r="Q90" s="208">
        <f t="shared" si="72"/>
        <v>0</v>
      </c>
      <c r="R90" s="208">
        <f t="shared" si="72"/>
        <v>0</v>
      </c>
      <c r="S90" s="208">
        <f t="shared" si="72"/>
        <v>11791000000</v>
      </c>
      <c r="T90" s="208">
        <f t="shared" si="72"/>
        <v>0</v>
      </c>
      <c r="U90" s="208">
        <f t="shared" si="72"/>
        <v>0</v>
      </c>
      <c r="V90" s="208">
        <f t="shared" si="72"/>
        <v>0</v>
      </c>
      <c r="W90" s="209">
        <f t="shared" si="67"/>
        <v>0</v>
      </c>
      <c r="X90" s="208">
        <f t="shared" si="73"/>
        <v>0</v>
      </c>
      <c r="Y90" s="208">
        <f t="shared" si="73"/>
        <v>0</v>
      </c>
      <c r="Z90" s="209">
        <f t="shared" si="24"/>
        <v>0</v>
      </c>
      <c r="AA90" s="208">
        <f t="shared" si="74"/>
        <v>0</v>
      </c>
      <c r="AB90" s="208">
        <f t="shared" si="74"/>
        <v>0</v>
      </c>
      <c r="AC90" s="209">
        <f t="shared" si="65"/>
        <v>0</v>
      </c>
      <c r="AE90" s="13"/>
      <c r="AF90" s="293"/>
    </row>
    <row r="91" spans="1:54" ht="24.95" customHeight="1">
      <c r="A91" s="32" t="str">
        <f t="shared" si="62"/>
        <v>A-03-03-01-999=10</v>
      </c>
      <c r="B91" s="217" t="str">
        <f>CONCATENATE(C91,"-",D91,"-",E91,"-",F91,"-",G91)</f>
        <v>A-03-03-01-999</v>
      </c>
      <c r="C91" s="218" t="s">
        <v>23</v>
      </c>
      <c r="D91" s="219" t="s">
        <v>65</v>
      </c>
      <c r="E91" s="219" t="s">
        <v>65</v>
      </c>
      <c r="F91" s="219" t="s">
        <v>25</v>
      </c>
      <c r="G91" s="219" t="s">
        <v>134</v>
      </c>
      <c r="H91" s="219"/>
      <c r="I91" s="219"/>
      <c r="J91" s="219"/>
      <c r="K91" s="220" t="s">
        <v>28</v>
      </c>
      <c r="L91" s="221" t="s">
        <v>29</v>
      </c>
      <c r="M91" s="217" t="s">
        <v>135</v>
      </c>
      <c r="N91" s="222">
        <v>11791000000</v>
      </c>
      <c r="O91" s="222"/>
      <c r="P91" s="222"/>
      <c r="Q91" s="222"/>
      <c r="R91" s="222"/>
      <c r="S91" s="222">
        <v>11791000000</v>
      </c>
      <c r="T91" s="222">
        <f>+N91-S91+O91-P91+Q91-R91</f>
        <v>0</v>
      </c>
      <c r="U91" s="222">
        <v>0</v>
      </c>
      <c r="V91" s="222">
        <f t="shared" ref="V91" si="75">+T91-U91</f>
        <v>0</v>
      </c>
      <c r="W91" s="224">
        <f t="shared" si="67"/>
        <v>0</v>
      </c>
      <c r="X91" s="222">
        <v>0</v>
      </c>
      <c r="Y91" s="222">
        <f t="shared" ref="Y91" si="76">+U91-X91</f>
        <v>0</v>
      </c>
      <c r="Z91" s="224">
        <f t="shared" ref="Z91:Z155" si="77">+IF(U91&gt;0,Y91/U91,0)</f>
        <v>0</v>
      </c>
      <c r="AA91" s="222">
        <v>0</v>
      </c>
      <c r="AB91" s="222">
        <f t="shared" ref="AB91" si="78">+X91-AA91</f>
        <v>0</v>
      </c>
      <c r="AC91" s="224">
        <f t="shared" si="65"/>
        <v>0</v>
      </c>
      <c r="AE91" s="13"/>
      <c r="AF91" s="293"/>
    </row>
    <row r="92" spans="1:54" ht="24.95" customHeight="1">
      <c r="A92" s="32" t="str">
        <f t="shared" si="62"/>
        <v>A-03-04=</v>
      </c>
      <c r="B92" s="196" t="str">
        <f>CONCATENATE(C92,"-",D92,"-",E92)</f>
        <v>A-03-04</v>
      </c>
      <c r="C92" s="197" t="s">
        <v>23</v>
      </c>
      <c r="D92" s="198" t="s">
        <v>65</v>
      </c>
      <c r="E92" s="198" t="s">
        <v>136</v>
      </c>
      <c r="F92" s="198"/>
      <c r="G92" s="198"/>
      <c r="H92" s="198"/>
      <c r="I92" s="198"/>
      <c r="J92" s="198"/>
      <c r="K92" s="199"/>
      <c r="L92" s="200"/>
      <c r="M92" s="196" t="s">
        <v>137</v>
      </c>
      <c r="N92" s="201">
        <f>+N93</f>
        <v>752000000</v>
      </c>
      <c r="O92" s="201">
        <f t="shared" ref="O92:AB93" si="79">+O93</f>
        <v>0</v>
      </c>
      <c r="P92" s="201">
        <f t="shared" si="79"/>
        <v>0</v>
      </c>
      <c r="Q92" s="201">
        <f t="shared" si="79"/>
        <v>36000000</v>
      </c>
      <c r="R92" s="201">
        <f t="shared" si="79"/>
        <v>36000000</v>
      </c>
      <c r="S92" s="201">
        <f t="shared" si="79"/>
        <v>0</v>
      </c>
      <c r="T92" s="201">
        <f t="shared" si="79"/>
        <v>752000000</v>
      </c>
      <c r="U92" s="201">
        <f t="shared" si="79"/>
        <v>751990874</v>
      </c>
      <c r="V92" s="201">
        <f t="shared" si="79"/>
        <v>9126</v>
      </c>
      <c r="W92" s="202">
        <f t="shared" si="67"/>
        <v>0.99998786436170217</v>
      </c>
      <c r="X92" s="201">
        <f t="shared" si="79"/>
        <v>150387331</v>
      </c>
      <c r="Y92" s="201">
        <f t="shared" si="79"/>
        <v>601603543</v>
      </c>
      <c r="Z92" s="202">
        <f t="shared" si="77"/>
        <v>0.8000144201218059</v>
      </c>
      <c r="AA92" s="201">
        <f t="shared" si="79"/>
        <v>150387331</v>
      </c>
      <c r="AB92" s="201">
        <f t="shared" si="79"/>
        <v>0</v>
      </c>
      <c r="AC92" s="202">
        <f t="shared" si="65"/>
        <v>0.1999855798781941</v>
      </c>
      <c r="AE92" s="13"/>
      <c r="AF92" s="293"/>
    </row>
    <row r="93" spans="1:54" ht="24.95" customHeight="1">
      <c r="A93" s="32" t="str">
        <f t="shared" si="62"/>
        <v>A-03-04-02=10</v>
      </c>
      <c r="B93" s="203" t="str">
        <f>CONCATENATE(C93,"-",D93,"-",E93,"-",F93)</f>
        <v>A-03-04-02</v>
      </c>
      <c r="C93" s="204" t="s">
        <v>23</v>
      </c>
      <c r="D93" s="205" t="s">
        <v>65</v>
      </c>
      <c r="E93" s="205" t="s">
        <v>136</v>
      </c>
      <c r="F93" s="205" t="s">
        <v>54</v>
      </c>
      <c r="G93" s="205"/>
      <c r="H93" s="205"/>
      <c r="I93" s="205"/>
      <c r="J93" s="205"/>
      <c r="K93" s="206" t="s">
        <v>28</v>
      </c>
      <c r="L93" s="207" t="s">
        <v>29</v>
      </c>
      <c r="M93" s="203" t="s">
        <v>138</v>
      </c>
      <c r="N93" s="208">
        <f>+N94</f>
        <v>752000000</v>
      </c>
      <c r="O93" s="208">
        <f t="shared" si="79"/>
        <v>0</v>
      </c>
      <c r="P93" s="208">
        <f t="shared" si="79"/>
        <v>0</v>
      </c>
      <c r="Q93" s="208">
        <f t="shared" si="79"/>
        <v>36000000</v>
      </c>
      <c r="R93" s="208">
        <f t="shared" si="79"/>
        <v>36000000</v>
      </c>
      <c r="S93" s="208">
        <f t="shared" si="79"/>
        <v>0</v>
      </c>
      <c r="T93" s="208">
        <f t="shared" si="79"/>
        <v>752000000</v>
      </c>
      <c r="U93" s="208">
        <f t="shared" si="79"/>
        <v>751990874</v>
      </c>
      <c r="V93" s="208">
        <f t="shared" si="79"/>
        <v>9126</v>
      </c>
      <c r="W93" s="209">
        <f t="shared" si="67"/>
        <v>0.99998786436170217</v>
      </c>
      <c r="X93" s="208">
        <f t="shared" si="79"/>
        <v>150387331</v>
      </c>
      <c r="Y93" s="208">
        <f t="shared" si="79"/>
        <v>601603543</v>
      </c>
      <c r="Z93" s="209">
        <f t="shared" si="77"/>
        <v>0.8000144201218059</v>
      </c>
      <c r="AA93" s="208">
        <f t="shared" si="79"/>
        <v>150387331</v>
      </c>
      <c r="AB93" s="208">
        <f t="shared" si="79"/>
        <v>0</v>
      </c>
      <c r="AC93" s="209">
        <f t="shared" si="65"/>
        <v>0.1999855798781941</v>
      </c>
      <c r="AE93" s="13"/>
      <c r="AF93" s="293"/>
    </row>
    <row r="94" spans="1:54" s="64" customFormat="1" ht="24.95" customHeight="1">
      <c r="A94" s="32" t="str">
        <f t="shared" si="62"/>
        <v>A-03-04-02-012=10</v>
      </c>
      <c r="B94" s="210" t="str">
        <f>CONCATENATE(C94,"-",D94,"-",E94,"-",F94,"-",G94)</f>
        <v>A-03-04-02-012</v>
      </c>
      <c r="C94" s="211" t="s">
        <v>23</v>
      </c>
      <c r="D94" s="212" t="s">
        <v>65</v>
      </c>
      <c r="E94" s="212" t="s">
        <v>136</v>
      </c>
      <c r="F94" s="212" t="s">
        <v>54</v>
      </c>
      <c r="G94" s="212" t="s">
        <v>52</v>
      </c>
      <c r="H94" s="212"/>
      <c r="I94" s="212"/>
      <c r="J94" s="212"/>
      <c r="K94" s="213" t="s">
        <v>28</v>
      </c>
      <c r="L94" s="214" t="s">
        <v>29</v>
      </c>
      <c r="M94" s="210" t="s">
        <v>139</v>
      </c>
      <c r="N94" s="215">
        <f>SUM(N95:N97)</f>
        <v>752000000</v>
      </c>
      <c r="O94" s="215">
        <f t="shared" ref="O94:V94" si="80">SUM(O95:O97)</f>
        <v>0</v>
      </c>
      <c r="P94" s="215">
        <f t="shared" si="80"/>
        <v>0</v>
      </c>
      <c r="Q94" s="215">
        <f t="shared" si="80"/>
        <v>36000000</v>
      </c>
      <c r="R94" s="215">
        <f t="shared" si="80"/>
        <v>36000000</v>
      </c>
      <c r="S94" s="215">
        <f t="shared" si="80"/>
        <v>0</v>
      </c>
      <c r="T94" s="215">
        <f t="shared" si="80"/>
        <v>752000000</v>
      </c>
      <c r="U94" s="215">
        <f t="shared" si="80"/>
        <v>751990874</v>
      </c>
      <c r="V94" s="215">
        <f t="shared" si="80"/>
        <v>9126</v>
      </c>
      <c r="W94" s="216">
        <f t="shared" si="67"/>
        <v>0.99998786436170217</v>
      </c>
      <c r="X94" s="215">
        <f t="shared" ref="X94:Y94" si="81">SUM(X95:X97)</f>
        <v>150387331</v>
      </c>
      <c r="Y94" s="215">
        <f t="shared" si="81"/>
        <v>601603543</v>
      </c>
      <c r="Z94" s="216">
        <f t="shared" si="77"/>
        <v>0.8000144201218059</v>
      </c>
      <c r="AA94" s="215">
        <f t="shared" ref="AA94:AB94" si="82">SUM(AA95:AA97)</f>
        <v>150387331</v>
      </c>
      <c r="AB94" s="215">
        <f t="shared" si="82"/>
        <v>0</v>
      </c>
      <c r="AC94" s="216">
        <f t="shared" si="65"/>
        <v>0.1999855798781941</v>
      </c>
      <c r="AD94" s="13"/>
      <c r="AE94" s="13"/>
      <c r="AF94" s="29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</row>
    <row r="95" spans="1:54" ht="24.95" customHeight="1">
      <c r="A95" s="32" t="str">
        <f t="shared" si="62"/>
        <v>A-03-04-02-012-001=10</v>
      </c>
      <c r="B95" s="217" t="str">
        <f>CONCATENATE(C95,"-",D95,"-",E95,"-",F95,"-",G95,"-",H95)</f>
        <v>A-03-04-02-012-001</v>
      </c>
      <c r="C95" s="218" t="s">
        <v>23</v>
      </c>
      <c r="D95" s="219" t="s">
        <v>65</v>
      </c>
      <c r="E95" s="219" t="s">
        <v>136</v>
      </c>
      <c r="F95" s="219" t="s">
        <v>54</v>
      </c>
      <c r="G95" s="219" t="s">
        <v>52</v>
      </c>
      <c r="H95" s="219" t="s">
        <v>31</v>
      </c>
      <c r="I95" s="219"/>
      <c r="J95" s="219"/>
      <c r="K95" s="220" t="s">
        <v>28</v>
      </c>
      <c r="L95" s="221" t="s">
        <v>29</v>
      </c>
      <c r="M95" s="217" t="s">
        <v>140</v>
      </c>
      <c r="N95" s="222">
        <v>402000000</v>
      </c>
      <c r="O95" s="222"/>
      <c r="P95" s="222"/>
      <c r="Q95" s="222"/>
      <c r="R95" s="222"/>
      <c r="S95" s="222"/>
      <c r="T95" s="222">
        <f>+N95-S95+O95-P95+Q95-R95</f>
        <v>402000000</v>
      </c>
      <c r="U95" s="222">
        <v>402000000</v>
      </c>
      <c r="V95" s="222">
        <f t="shared" si="14"/>
        <v>0</v>
      </c>
      <c r="W95" s="224">
        <f t="shared" si="67"/>
        <v>1</v>
      </c>
      <c r="X95" s="222">
        <v>100660347</v>
      </c>
      <c r="Y95" s="222">
        <f t="shared" si="17"/>
        <v>301339653</v>
      </c>
      <c r="Z95" s="224">
        <f t="shared" si="77"/>
        <v>0.7496011268656716</v>
      </c>
      <c r="AA95" s="222">
        <v>100660347</v>
      </c>
      <c r="AB95" s="222">
        <f t="shared" si="15"/>
        <v>0</v>
      </c>
      <c r="AC95" s="224">
        <f t="shared" si="65"/>
        <v>0.25039887313432835</v>
      </c>
      <c r="AE95" s="13"/>
      <c r="AF95" s="293"/>
    </row>
    <row r="96" spans="1:54" ht="24.95" customHeight="1">
      <c r="A96" s="32" t="str">
        <f t="shared" si="62"/>
        <v>A-03-04-02-012-002=10</v>
      </c>
      <c r="B96" s="217" t="str">
        <f>CONCATENATE(C96,"-",D96,"-",E96,"-",F96,"-",G96,"-",H96)</f>
        <v>A-03-04-02-012-002</v>
      </c>
      <c r="C96" s="218" t="s">
        <v>23</v>
      </c>
      <c r="D96" s="219" t="s">
        <v>65</v>
      </c>
      <c r="E96" s="219" t="s">
        <v>136</v>
      </c>
      <c r="F96" s="219" t="s">
        <v>54</v>
      </c>
      <c r="G96" s="219" t="s">
        <v>52</v>
      </c>
      <c r="H96" s="219" t="s">
        <v>34</v>
      </c>
      <c r="I96" s="219"/>
      <c r="J96" s="219"/>
      <c r="K96" s="220" t="s">
        <v>28</v>
      </c>
      <c r="L96" s="221" t="s">
        <v>29</v>
      </c>
      <c r="M96" s="217" t="s">
        <v>141</v>
      </c>
      <c r="N96" s="222">
        <v>350000000</v>
      </c>
      <c r="O96" s="222"/>
      <c r="P96" s="222"/>
      <c r="Q96" s="223"/>
      <c r="R96" s="223">
        <v>36000000</v>
      </c>
      <c r="S96" s="223"/>
      <c r="T96" s="222">
        <f>+N96-S96+O96-P96+Q96-R96</f>
        <v>314000000</v>
      </c>
      <c r="U96" s="222">
        <v>314000000</v>
      </c>
      <c r="V96" s="222">
        <f t="shared" si="14"/>
        <v>0</v>
      </c>
      <c r="W96" s="224">
        <f t="shared" si="67"/>
        <v>1</v>
      </c>
      <c r="X96" s="222">
        <v>13736110</v>
      </c>
      <c r="Y96" s="222">
        <f t="shared" si="17"/>
        <v>300263890</v>
      </c>
      <c r="Z96" s="224">
        <f t="shared" si="77"/>
        <v>0.95625442675159233</v>
      </c>
      <c r="AA96" s="222">
        <v>13736110</v>
      </c>
      <c r="AB96" s="222">
        <f t="shared" si="15"/>
        <v>0</v>
      </c>
      <c r="AC96" s="224">
        <f t="shared" si="65"/>
        <v>4.3745573248407645E-2</v>
      </c>
      <c r="AE96" s="13"/>
      <c r="AF96" s="293"/>
    </row>
    <row r="97" spans="1:54" s="64" customFormat="1" ht="24.95" customHeight="1">
      <c r="A97" s="32" t="str">
        <f t="shared" si="62"/>
        <v>A-03-04-02-025=10</v>
      </c>
      <c r="B97" s="217" t="str">
        <f>CONCATENATE(C97,"-",D97,"-",E97,"-",F97,"-",G97)</f>
        <v>A-03-04-02-025</v>
      </c>
      <c r="C97" s="218" t="s">
        <v>23</v>
      </c>
      <c r="D97" s="219" t="s">
        <v>65</v>
      </c>
      <c r="E97" s="219" t="s">
        <v>136</v>
      </c>
      <c r="F97" s="219" t="s">
        <v>54</v>
      </c>
      <c r="G97" s="225" t="s">
        <v>142</v>
      </c>
      <c r="H97" s="219"/>
      <c r="I97" s="219"/>
      <c r="J97" s="219"/>
      <c r="K97" s="220" t="s">
        <v>28</v>
      </c>
      <c r="L97" s="221" t="s">
        <v>29</v>
      </c>
      <c r="M97" s="217" t="s">
        <v>260</v>
      </c>
      <c r="N97" s="222">
        <f>VLOOKUP($A97,[1]Vigencia!$L$5:$AA$128,N$1,FALSE)</f>
        <v>0</v>
      </c>
      <c r="O97" s="222"/>
      <c r="P97" s="222"/>
      <c r="Q97" s="223">
        <v>36000000</v>
      </c>
      <c r="R97" s="223"/>
      <c r="S97" s="223"/>
      <c r="T97" s="222">
        <f t="shared" ref="T97" si="83">+N97+O97-P97+Q97-R97-S97</f>
        <v>36000000</v>
      </c>
      <c r="U97" s="222">
        <v>35990874</v>
      </c>
      <c r="V97" s="222">
        <f t="shared" si="14"/>
        <v>9126</v>
      </c>
      <c r="W97" s="224">
        <f t="shared" si="67"/>
        <v>0.99974649999999998</v>
      </c>
      <c r="X97" s="222">
        <v>35990874</v>
      </c>
      <c r="Y97" s="222">
        <f t="shared" si="17"/>
        <v>0</v>
      </c>
      <c r="Z97" s="224">
        <f t="shared" si="77"/>
        <v>0</v>
      </c>
      <c r="AA97" s="222">
        <v>35990874</v>
      </c>
      <c r="AB97" s="222">
        <f t="shared" si="15"/>
        <v>0</v>
      </c>
      <c r="AC97" s="224">
        <f t="shared" si="65"/>
        <v>1</v>
      </c>
      <c r="AD97" s="13"/>
      <c r="AE97" s="13"/>
      <c r="AF97" s="29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</row>
    <row r="98" spans="1:54" ht="24.95" customHeight="1">
      <c r="A98" s="32" t="str">
        <f t="shared" si="62"/>
        <v>A-03-10=</v>
      </c>
      <c r="B98" s="196" t="str">
        <f>CONCATENATE(C98,"-",D98,"-",E98)</f>
        <v>A-03-10</v>
      </c>
      <c r="C98" s="197" t="s">
        <v>23</v>
      </c>
      <c r="D98" s="198" t="s">
        <v>65</v>
      </c>
      <c r="E98" s="198" t="s">
        <v>28</v>
      </c>
      <c r="F98" s="198"/>
      <c r="G98" s="198"/>
      <c r="H98" s="198"/>
      <c r="I98" s="198"/>
      <c r="J98" s="198"/>
      <c r="K98" s="199"/>
      <c r="L98" s="200"/>
      <c r="M98" s="196" t="s">
        <v>143</v>
      </c>
      <c r="N98" s="201">
        <f>+N99</f>
        <v>2597000000</v>
      </c>
      <c r="O98" s="201">
        <f t="shared" ref="O98:V98" si="84">+O99</f>
        <v>0</v>
      </c>
      <c r="P98" s="201">
        <f t="shared" si="84"/>
        <v>0</v>
      </c>
      <c r="Q98" s="201">
        <f t="shared" si="84"/>
        <v>0</v>
      </c>
      <c r="R98" s="201">
        <f t="shared" si="84"/>
        <v>0</v>
      </c>
      <c r="S98" s="201">
        <f t="shared" si="84"/>
        <v>0</v>
      </c>
      <c r="T98" s="201">
        <f t="shared" si="84"/>
        <v>2597000000</v>
      </c>
      <c r="U98" s="201">
        <f t="shared" si="84"/>
        <v>0</v>
      </c>
      <c r="V98" s="201">
        <f t="shared" si="84"/>
        <v>2597000000</v>
      </c>
      <c r="W98" s="202">
        <f t="shared" si="67"/>
        <v>0</v>
      </c>
      <c r="X98" s="201">
        <f t="shared" ref="X98:AB98" si="85">+X99</f>
        <v>0</v>
      </c>
      <c r="Y98" s="201">
        <f t="shared" si="85"/>
        <v>0</v>
      </c>
      <c r="Z98" s="202">
        <f t="shared" si="77"/>
        <v>0</v>
      </c>
      <c r="AA98" s="201">
        <f t="shared" si="85"/>
        <v>0</v>
      </c>
      <c r="AB98" s="201">
        <f t="shared" si="85"/>
        <v>0</v>
      </c>
      <c r="AC98" s="202">
        <f t="shared" si="65"/>
        <v>0</v>
      </c>
      <c r="AE98" s="13"/>
      <c r="AF98" s="293"/>
    </row>
    <row r="99" spans="1:54" ht="16.5">
      <c r="A99" s="32" t="str">
        <f t="shared" si="62"/>
        <v>A-03-10-01=11</v>
      </c>
      <c r="B99" s="203" t="str">
        <f>CONCATENATE(C99,"-",D99,"-",E99,"-",F99)</f>
        <v>A-03-10-01</v>
      </c>
      <c r="C99" s="204" t="s">
        <v>23</v>
      </c>
      <c r="D99" s="205" t="s">
        <v>65</v>
      </c>
      <c r="E99" s="205" t="s">
        <v>28</v>
      </c>
      <c r="F99" s="205" t="s">
        <v>25</v>
      </c>
      <c r="G99" s="205"/>
      <c r="H99" s="205"/>
      <c r="I99" s="205"/>
      <c r="J99" s="205"/>
      <c r="K99" s="206" t="s">
        <v>144</v>
      </c>
      <c r="L99" s="207" t="s">
        <v>29</v>
      </c>
      <c r="M99" s="203" t="s">
        <v>145</v>
      </c>
      <c r="N99" s="208">
        <f t="shared" ref="N99:V99" si="86">SUM(N100:N100)</f>
        <v>2597000000</v>
      </c>
      <c r="O99" s="208">
        <f t="shared" si="86"/>
        <v>0</v>
      </c>
      <c r="P99" s="208">
        <f t="shared" si="86"/>
        <v>0</v>
      </c>
      <c r="Q99" s="208">
        <f t="shared" si="86"/>
        <v>0</v>
      </c>
      <c r="R99" s="208">
        <f t="shared" si="86"/>
        <v>0</v>
      </c>
      <c r="S99" s="208">
        <f t="shared" si="86"/>
        <v>0</v>
      </c>
      <c r="T99" s="208">
        <f t="shared" si="86"/>
        <v>2597000000</v>
      </c>
      <c r="U99" s="208">
        <f t="shared" si="86"/>
        <v>0</v>
      </c>
      <c r="V99" s="208">
        <f t="shared" si="86"/>
        <v>2597000000</v>
      </c>
      <c r="W99" s="209">
        <f t="shared" si="67"/>
        <v>0</v>
      </c>
      <c r="X99" s="208">
        <f t="shared" ref="X99:Y99" si="87">SUM(X100:X100)</f>
        <v>0</v>
      </c>
      <c r="Y99" s="208">
        <f t="shared" si="87"/>
        <v>0</v>
      </c>
      <c r="Z99" s="209">
        <f t="shared" si="77"/>
        <v>0</v>
      </c>
      <c r="AA99" s="208">
        <f t="shared" ref="AA99:AB99" si="88">SUM(AA100:AA100)</f>
        <v>0</v>
      </c>
      <c r="AB99" s="208">
        <f t="shared" si="88"/>
        <v>0</v>
      </c>
      <c r="AC99" s="209">
        <f t="shared" si="65"/>
        <v>0</v>
      </c>
      <c r="AE99" s="13"/>
      <c r="AF99" s="293"/>
    </row>
    <row r="100" spans="1:54" ht="24.95" customHeight="1">
      <c r="A100" s="32" t="str">
        <f t="shared" si="62"/>
        <v>A-03-10-01-001=10</v>
      </c>
      <c r="B100" s="217" t="str">
        <f>CONCATENATE(C100,"-",D100,"-",E100,"-",F100,"-",G100)</f>
        <v>A-03-10-01-001</v>
      </c>
      <c r="C100" s="218" t="s">
        <v>23</v>
      </c>
      <c r="D100" s="219" t="s">
        <v>65</v>
      </c>
      <c r="E100" s="219" t="s">
        <v>28</v>
      </c>
      <c r="F100" s="219" t="s">
        <v>25</v>
      </c>
      <c r="G100" s="219" t="s">
        <v>31</v>
      </c>
      <c r="H100" s="219"/>
      <c r="I100" s="219"/>
      <c r="J100" s="219"/>
      <c r="K100" s="220">
        <v>10</v>
      </c>
      <c r="L100" s="221" t="s">
        <v>29</v>
      </c>
      <c r="M100" s="259" t="s">
        <v>146</v>
      </c>
      <c r="N100" s="222">
        <v>2597000000</v>
      </c>
      <c r="O100" s="222"/>
      <c r="P100" s="222"/>
      <c r="Q100" s="222"/>
      <c r="R100" s="222"/>
      <c r="S100" s="222"/>
      <c r="T100" s="222">
        <f>+N100-S100+O100-P100+Q100-R100</f>
        <v>2597000000</v>
      </c>
      <c r="U100" s="222">
        <v>0</v>
      </c>
      <c r="V100" s="222">
        <f t="shared" si="14"/>
        <v>2597000000</v>
      </c>
      <c r="W100" s="224">
        <f t="shared" si="67"/>
        <v>0</v>
      </c>
      <c r="X100" s="222">
        <v>0</v>
      </c>
      <c r="Y100" s="222">
        <f t="shared" si="17"/>
        <v>0</v>
      </c>
      <c r="Z100" s="224">
        <f t="shared" si="77"/>
        <v>0</v>
      </c>
      <c r="AA100" s="222">
        <v>0</v>
      </c>
      <c r="AB100" s="222">
        <f t="shared" si="15"/>
        <v>0</v>
      </c>
      <c r="AC100" s="224">
        <f t="shared" si="65"/>
        <v>0</v>
      </c>
      <c r="AE100" s="13"/>
      <c r="AF100" s="293"/>
    </row>
    <row r="101" spans="1:54" ht="35.1" customHeight="1">
      <c r="A101" s="32" t="str">
        <f t="shared" si="62"/>
        <v>A-08=</v>
      </c>
      <c r="B101" s="188" t="str">
        <f>CONCATENATE(C101,"-",D101)</f>
        <v>A-08</v>
      </c>
      <c r="C101" s="189" t="s">
        <v>23</v>
      </c>
      <c r="D101" s="191" t="s">
        <v>148</v>
      </c>
      <c r="E101" s="191"/>
      <c r="F101" s="191"/>
      <c r="G101" s="191"/>
      <c r="H101" s="191"/>
      <c r="I101" s="191"/>
      <c r="J101" s="191"/>
      <c r="K101" s="192"/>
      <c r="L101" s="193"/>
      <c r="M101" s="188" t="s">
        <v>149</v>
      </c>
      <c r="N101" s="194">
        <f>+N102+N107</f>
        <v>5824000000</v>
      </c>
      <c r="O101" s="194">
        <f t="shared" ref="O101:V101" si="89">+O102+O107</f>
        <v>0</v>
      </c>
      <c r="P101" s="194">
        <f t="shared" si="89"/>
        <v>0</v>
      </c>
      <c r="Q101" s="194">
        <f t="shared" si="89"/>
        <v>0</v>
      </c>
      <c r="R101" s="194">
        <f t="shared" si="89"/>
        <v>0</v>
      </c>
      <c r="S101" s="194">
        <f t="shared" si="89"/>
        <v>0</v>
      </c>
      <c r="T101" s="194">
        <f t="shared" si="89"/>
        <v>5824000000</v>
      </c>
      <c r="U101" s="194">
        <f t="shared" si="89"/>
        <v>57811499.210000001</v>
      </c>
      <c r="V101" s="194">
        <f t="shared" si="89"/>
        <v>5766188500.79</v>
      </c>
      <c r="W101" s="195">
        <f t="shared" si="67"/>
        <v>9.9264250017170336E-3</v>
      </c>
      <c r="X101" s="194">
        <f t="shared" ref="X101:AB101" si="90">+X102+X107</f>
        <v>16263100.210000001</v>
      </c>
      <c r="Y101" s="194">
        <f t="shared" si="90"/>
        <v>41548399</v>
      </c>
      <c r="Z101" s="195">
        <f t="shared" si="77"/>
        <v>0.71868745090099873</v>
      </c>
      <c r="AA101" s="194">
        <f t="shared" si="90"/>
        <v>16263100.210000001</v>
      </c>
      <c r="AB101" s="194">
        <f t="shared" si="90"/>
        <v>0</v>
      </c>
      <c r="AC101" s="195">
        <f t="shared" si="65"/>
        <v>0.28131254909900133</v>
      </c>
      <c r="AE101" s="13"/>
      <c r="AF101" s="293"/>
    </row>
    <row r="102" spans="1:54" ht="24.95" customHeight="1">
      <c r="A102" s="32" t="str">
        <f t="shared" si="62"/>
        <v>A-08-01=</v>
      </c>
      <c r="B102" s="196" t="str">
        <f>CONCATENATE(C102,"-",D102,"-",E102)</f>
        <v>A-08-01</v>
      </c>
      <c r="C102" s="197" t="s">
        <v>23</v>
      </c>
      <c r="D102" s="198" t="s">
        <v>148</v>
      </c>
      <c r="E102" s="198" t="s">
        <v>25</v>
      </c>
      <c r="F102" s="198"/>
      <c r="G102" s="198"/>
      <c r="H102" s="198"/>
      <c r="I102" s="198"/>
      <c r="J102" s="198"/>
      <c r="K102" s="199"/>
      <c r="L102" s="200"/>
      <c r="M102" s="196" t="s">
        <v>150</v>
      </c>
      <c r="N102" s="201">
        <f>+N103</f>
        <v>84000000</v>
      </c>
      <c r="O102" s="201">
        <f t="shared" ref="O102:AB102" si="91">+O103</f>
        <v>0</v>
      </c>
      <c r="P102" s="201">
        <f t="shared" si="91"/>
        <v>0</v>
      </c>
      <c r="Q102" s="201">
        <f t="shared" si="91"/>
        <v>0</v>
      </c>
      <c r="R102" s="201">
        <f t="shared" si="91"/>
        <v>0</v>
      </c>
      <c r="S102" s="201">
        <f t="shared" si="91"/>
        <v>0</v>
      </c>
      <c r="T102" s="201">
        <f t="shared" si="91"/>
        <v>84000000</v>
      </c>
      <c r="U102" s="201">
        <f t="shared" si="91"/>
        <v>57811499.210000001</v>
      </c>
      <c r="V102" s="201">
        <f t="shared" si="91"/>
        <v>26188500.789999999</v>
      </c>
      <c r="W102" s="202">
        <f t="shared" si="67"/>
        <v>0.68823213345238099</v>
      </c>
      <c r="X102" s="201">
        <f t="shared" si="91"/>
        <v>16263100.210000001</v>
      </c>
      <c r="Y102" s="201">
        <f t="shared" si="91"/>
        <v>41548399</v>
      </c>
      <c r="Z102" s="202">
        <f t="shared" si="77"/>
        <v>0.71868745090099873</v>
      </c>
      <c r="AA102" s="201">
        <f t="shared" si="91"/>
        <v>16263100.210000001</v>
      </c>
      <c r="AB102" s="201">
        <f t="shared" si="91"/>
        <v>0</v>
      </c>
      <c r="AC102" s="202">
        <f t="shared" si="65"/>
        <v>0.28131254909900133</v>
      </c>
      <c r="AE102" s="13"/>
      <c r="AF102" s="293"/>
    </row>
    <row r="103" spans="1:54" ht="16.5">
      <c r="A103" s="32" t="str">
        <f t="shared" si="62"/>
        <v>A-08-01-02=10</v>
      </c>
      <c r="B103" s="203" t="str">
        <f>CONCATENATE(C103,"-",D103,"-",E103,"-",F103)</f>
        <v>A-08-01-02</v>
      </c>
      <c r="C103" s="204" t="s">
        <v>23</v>
      </c>
      <c r="D103" s="205" t="s">
        <v>148</v>
      </c>
      <c r="E103" s="205" t="s">
        <v>25</v>
      </c>
      <c r="F103" s="205" t="s">
        <v>54</v>
      </c>
      <c r="G103" s="205"/>
      <c r="H103" s="205"/>
      <c r="I103" s="205"/>
      <c r="J103" s="205"/>
      <c r="K103" s="206" t="s">
        <v>28</v>
      </c>
      <c r="L103" s="207" t="s">
        <v>29</v>
      </c>
      <c r="M103" s="203" t="s">
        <v>151</v>
      </c>
      <c r="N103" s="208">
        <f>SUM(N104:N106)</f>
        <v>84000000</v>
      </c>
      <c r="O103" s="208">
        <f t="shared" ref="O103:V103" si="92">SUM(O104:O106)</f>
        <v>0</v>
      </c>
      <c r="P103" s="208">
        <f t="shared" si="92"/>
        <v>0</v>
      </c>
      <c r="Q103" s="208">
        <f t="shared" si="92"/>
        <v>0</v>
      </c>
      <c r="R103" s="208">
        <f t="shared" si="92"/>
        <v>0</v>
      </c>
      <c r="S103" s="208">
        <f t="shared" si="92"/>
        <v>0</v>
      </c>
      <c r="T103" s="208">
        <f t="shared" si="92"/>
        <v>84000000</v>
      </c>
      <c r="U103" s="208">
        <f t="shared" si="92"/>
        <v>57811499.210000001</v>
      </c>
      <c r="V103" s="208">
        <f t="shared" si="92"/>
        <v>26188500.789999999</v>
      </c>
      <c r="W103" s="209">
        <f t="shared" si="67"/>
        <v>0.68823213345238099</v>
      </c>
      <c r="X103" s="208">
        <f t="shared" ref="X103:AB103" si="93">SUM(X104:X106)</f>
        <v>16263100.210000001</v>
      </c>
      <c r="Y103" s="208">
        <f t="shared" si="93"/>
        <v>41548399</v>
      </c>
      <c r="Z103" s="209">
        <f t="shared" si="77"/>
        <v>0.71868745090099873</v>
      </c>
      <c r="AA103" s="208">
        <f t="shared" si="93"/>
        <v>16263100.210000001</v>
      </c>
      <c r="AB103" s="208">
        <f t="shared" si="93"/>
        <v>0</v>
      </c>
      <c r="AC103" s="209">
        <f t="shared" si="65"/>
        <v>0.28131254909900133</v>
      </c>
      <c r="AE103" s="13"/>
      <c r="AF103" s="293"/>
    </row>
    <row r="104" spans="1:54" ht="24.95" customHeight="1">
      <c r="A104" s="32" t="str">
        <f t="shared" si="62"/>
        <v>A-08-01-02-001=10</v>
      </c>
      <c r="B104" s="217" t="str">
        <f>CONCATENATE(C104,"-",D104,"-",E104,"-",F104,"-",G104)</f>
        <v>A-08-01-02-001</v>
      </c>
      <c r="C104" s="218" t="s">
        <v>23</v>
      </c>
      <c r="D104" s="219" t="s">
        <v>148</v>
      </c>
      <c r="E104" s="219" t="s">
        <v>25</v>
      </c>
      <c r="F104" s="219" t="s">
        <v>54</v>
      </c>
      <c r="G104" s="219" t="s">
        <v>31</v>
      </c>
      <c r="H104" s="219"/>
      <c r="I104" s="219"/>
      <c r="J104" s="219"/>
      <c r="K104" s="220" t="s">
        <v>28</v>
      </c>
      <c r="L104" s="221" t="s">
        <v>29</v>
      </c>
      <c r="M104" s="259" t="s">
        <v>152</v>
      </c>
      <c r="N104" s="222">
        <v>51000000</v>
      </c>
      <c r="O104" s="222"/>
      <c r="P104" s="222"/>
      <c r="Q104" s="222"/>
      <c r="R104" s="222"/>
      <c r="S104" s="222"/>
      <c r="T104" s="222">
        <f>+N104-S104+O104-P104+Q104-R104</f>
        <v>51000000</v>
      </c>
      <c r="U104" s="222">
        <v>49978748</v>
      </c>
      <c r="V104" s="222">
        <f t="shared" si="14"/>
        <v>1021252</v>
      </c>
      <c r="W104" s="224">
        <f t="shared" si="67"/>
        <v>0.97997545098039218</v>
      </c>
      <c r="X104" s="222">
        <v>8669748</v>
      </c>
      <c r="Y104" s="222">
        <f t="shared" si="17"/>
        <v>41309000</v>
      </c>
      <c r="Z104" s="224">
        <f t="shared" si="77"/>
        <v>0.82653130886752102</v>
      </c>
      <c r="AA104" s="222">
        <v>8669748</v>
      </c>
      <c r="AB104" s="222">
        <f t="shared" si="15"/>
        <v>0</v>
      </c>
      <c r="AC104" s="224">
        <f t="shared" si="65"/>
        <v>0.17346869113247895</v>
      </c>
      <c r="AE104" s="13"/>
      <c r="AF104" s="293"/>
    </row>
    <row r="105" spans="1:54" ht="24.95" customHeight="1">
      <c r="A105" s="32" t="str">
        <f t="shared" si="62"/>
        <v>A-08-01-02-004=10</v>
      </c>
      <c r="B105" s="217" t="str">
        <f>CONCATENATE(C105,"-",D105,"-",E105,"-",F105,"-",G105)</f>
        <v>A-08-01-02-004</v>
      </c>
      <c r="C105" s="218" t="s">
        <v>23</v>
      </c>
      <c r="D105" s="219" t="s">
        <v>148</v>
      </c>
      <c r="E105" s="219" t="s">
        <v>25</v>
      </c>
      <c r="F105" s="219" t="s">
        <v>54</v>
      </c>
      <c r="G105" s="219" t="s">
        <v>38</v>
      </c>
      <c r="H105" s="219"/>
      <c r="I105" s="219"/>
      <c r="J105" s="219"/>
      <c r="K105" s="220" t="s">
        <v>28</v>
      </c>
      <c r="L105" s="221" t="s">
        <v>29</v>
      </c>
      <c r="M105" s="259" t="s">
        <v>153</v>
      </c>
      <c r="N105" s="222">
        <v>26000000</v>
      </c>
      <c r="O105" s="223"/>
      <c r="P105" s="222"/>
      <c r="Q105" s="222"/>
      <c r="R105" s="222"/>
      <c r="S105" s="222"/>
      <c r="T105" s="222">
        <f>+N105-S105+O105-P105+Q105-R105</f>
        <v>26000000</v>
      </c>
      <c r="U105" s="222">
        <v>7832751.21</v>
      </c>
      <c r="V105" s="222">
        <f t="shared" si="14"/>
        <v>18167248.789999999</v>
      </c>
      <c r="W105" s="224">
        <f t="shared" si="67"/>
        <v>0.3012596619230769</v>
      </c>
      <c r="X105" s="222">
        <v>7593352.21</v>
      </c>
      <c r="Y105" s="222">
        <f t="shared" si="17"/>
        <v>239399</v>
      </c>
      <c r="Z105" s="224">
        <f t="shared" si="77"/>
        <v>3.056384577801495E-2</v>
      </c>
      <c r="AA105" s="222">
        <v>7593352.21</v>
      </c>
      <c r="AB105" s="222">
        <f t="shared" si="15"/>
        <v>0</v>
      </c>
      <c r="AC105" s="224">
        <f t="shared" si="65"/>
        <v>0.96943615422198504</v>
      </c>
      <c r="AE105" s="13"/>
      <c r="AF105" s="293"/>
    </row>
    <row r="106" spans="1:54" ht="24.95" customHeight="1">
      <c r="A106" s="32" t="str">
        <f t="shared" si="62"/>
        <v>A-08-01-02-006=10</v>
      </c>
      <c r="B106" s="217" t="str">
        <f>CONCATENATE(C106,"-",D106,"-",E106,"-",F106,"-",G106)</f>
        <v>A-08-01-02-006</v>
      </c>
      <c r="C106" s="218" t="s">
        <v>23</v>
      </c>
      <c r="D106" s="219" t="s">
        <v>148</v>
      </c>
      <c r="E106" s="219" t="s">
        <v>25</v>
      </c>
      <c r="F106" s="219" t="s">
        <v>54</v>
      </c>
      <c r="G106" s="219" t="s">
        <v>42</v>
      </c>
      <c r="H106" s="219"/>
      <c r="I106" s="219"/>
      <c r="J106" s="219"/>
      <c r="K106" s="220" t="s">
        <v>28</v>
      </c>
      <c r="L106" s="221" t="s">
        <v>29</v>
      </c>
      <c r="M106" s="259" t="s">
        <v>154</v>
      </c>
      <c r="N106" s="222">
        <v>7000000</v>
      </c>
      <c r="O106" s="222"/>
      <c r="P106" s="222"/>
      <c r="Q106" s="222"/>
      <c r="R106" s="222"/>
      <c r="S106" s="222"/>
      <c r="T106" s="222">
        <f>+N106-S106+O106-P106+Q106-R106</f>
        <v>7000000</v>
      </c>
      <c r="U106" s="222">
        <v>0</v>
      </c>
      <c r="V106" s="222">
        <f t="shared" si="14"/>
        <v>7000000</v>
      </c>
      <c r="W106" s="224">
        <f t="shared" si="67"/>
        <v>0</v>
      </c>
      <c r="X106" s="222">
        <v>0</v>
      </c>
      <c r="Y106" s="222">
        <f t="shared" si="17"/>
        <v>0</v>
      </c>
      <c r="Z106" s="224">
        <f t="shared" si="77"/>
        <v>0</v>
      </c>
      <c r="AA106" s="222">
        <v>0</v>
      </c>
      <c r="AB106" s="222">
        <f t="shared" si="15"/>
        <v>0</v>
      </c>
      <c r="AC106" s="224">
        <f t="shared" si="65"/>
        <v>0</v>
      </c>
      <c r="AE106" s="13"/>
      <c r="AF106" s="293"/>
    </row>
    <row r="107" spans="1:54" ht="24.95" customHeight="1">
      <c r="A107" s="32" t="str">
        <f t="shared" si="62"/>
        <v>A-08-04=</v>
      </c>
      <c r="B107" s="196" t="str">
        <f>CONCATENATE(C107,"-",D107,"-",E107)</f>
        <v>A-08-04</v>
      </c>
      <c r="C107" s="197" t="s">
        <v>23</v>
      </c>
      <c r="D107" s="198" t="s">
        <v>148</v>
      </c>
      <c r="E107" s="198" t="s">
        <v>136</v>
      </c>
      <c r="F107" s="198"/>
      <c r="G107" s="198"/>
      <c r="H107" s="198"/>
      <c r="I107" s="198"/>
      <c r="J107" s="198"/>
      <c r="K107" s="199"/>
      <c r="L107" s="200"/>
      <c r="M107" s="196" t="s">
        <v>155</v>
      </c>
      <c r="N107" s="201">
        <f>+N108</f>
        <v>5740000000</v>
      </c>
      <c r="O107" s="201">
        <f t="shared" ref="O107:AB107" si="94">+O108</f>
        <v>0</v>
      </c>
      <c r="P107" s="201">
        <f t="shared" si="94"/>
        <v>0</v>
      </c>
      <c r="Q107" s="201">
        <f t="shared" si="94"/>
        <v>0</v>
      </c>
      <c r="R107" s="201">
        <f t="shared" si="94"/>
        <v>0</v>
      </c>
      <c r="S107" s="201">
        <f t="shared" si="94"/>
        <v>0</v>
      </c>
      <c r="T107" s="201">
        <f t="shared" si="94"/>
        <v>5740000000</v>
      </c>
      <c r="U107" s="201">
        <f t="shared" si="94"/>
        <v>0</v>
      </c>
      <c r="V107" s="201">
        <f t="shared" si="94"/>
        <v>5740000000</v>
      </c>
      <c r="W107" s="202">
        <f t="shared" si="67"/>
        <v>0</v>
      </c>
      <c r="X107" s="201">
        <f t="shared" si="94"/>
        <v>0</v>
      </c>
      <c r="Y107" s="201">
        <f t="shared" si="94"/>
        <v>0</v>
      </c>
      <c r="Z107" s="202">
        <f t="shared" si="77"/>
        <v>0</v>
      </c>
      <c r="AA107" s="201">
        <f t="shared" si="94"/>
        <v>0</v>
      </c>
      <c r="AB107" s="201">
        <f t="shared" si="94"/>
        <v>0</v>
      </c>
      <c r="AC107" s="202">
        <f t="shared" si="65"/>
        <v>0</v>
      </c>
      <c r="AE107" s="13"/>
      <c r="AF107" s="293"/>
    </row>
    <row r="108" spans="1:54" ht="24.95" customHeight="1" thickBot="1">
      <c r="A108" s="32" t="str">
        <f t="shared" si="62"/>
        <v>A-08-04-01=11</v>
      </c>
      <c r="B108" s="217" t="str">
        <f>CONCATENATE(C108,"-",D108,"-",E108,"-",F108)</f>
        <v>A-08-04-01</v>
      </c>
      <c r="C108" s="218" t="s">
        <v>23</v>
      </c>
      <c r="D108" s="219" t="s">
        <v>148</v>
      </c>
      <c r="E108" s="219" t="s">
        <v>136</v>
      </c>
      <c r="F108" s="219" t="s">
        <v>25</v>
      </c>
      <c r="G108" s="219"/>
      <c r="H108" s="219"/>
      <c r="I108" s="219"/>
      <c r="J108" s="219"/>
      <c r="K108" s="220" t="s">
        <v>144</v>
      </c>
      <c r="L108" s="221" t="s">
        <v>156</v>
      </c>
      <c r="M108" s="259" t="s">
        <v>157</v>
      </c>
      <c r="N108" s="222">
        <v>5740000000</v>
      </c>
      <c r="O108" s="223"/>
      <c r="P108" s="222"/>
      <c r="Q108" s="222"/>
      <c r="R108" s="222"/>
      <c r="S108" s="222"/>
      <c r="T108" s="222">
        <f>+N108-S108+O108-P108+Q108-R108</f>
        <v>5740000000</v>
      </c>
      <c r="U108" s="222">
        <v>0</v>
      </c>
      <c r="V108" s="222">
        <f t="shared" si="14"/>
        <v>5740000000</v>
      </c>
      <c r="W108" s="224">
        <f t="shared" si="67"/>
        <v>0</v>
      </c>
      <c r="X108" s="222">
        <v>0</v>
      </c>
      <c r="Y108" s="222">
        <f t="shared" si="17"/>
        <v>0</v>
      </c>
      <c r="Z108" s="224">
        <f t="shared" si="77"/>
        <v>0</v>
      </c>
      <c r="AA108" s="222">
        <v>0</v>
      </c>
      <c r="AB108" s="222">
        <f t="shared" si="15"/>
        <v>0</v>
      </c>
      <c r="AC108" s="224">
        <f t="shared" si="65"/>
        <v>0</v>
      </c>
      <c r="AE108" s="13"/>
      <c r="AF108" s="293"/>
    </row>
    <row r="109" spans="1:54" ht="35.1" customHeight="1" thickBot="1">
      <c r="A109" s="32" t="str">
        <f t="shared" si="62"/>
        <v>C
=</v>
      </c>
      <c r="B109" s="260" t="s">
        <v>278</v>
      </c>
      <c r="C109" s="261" t="s">
        <v>167</v>
      </c>
      <c r="D109" s="262"/>
      <c r="E109" s="262"/>
      <c r="F109" s="262"/>
      <c r="G109" s="262"/>
      <c r="H109" s="262"/>
      <c r="I109" s="262"/>
      <c r="J109" s="262"/>
      <c r="K109" s="263"/>
      <c r="L109" s="264"/>
      <c r="M109" s="260" t="s">
        <v>168</v>
      </c>
      <c r="N109" s="265">
        <f t="shared" ref="N109:V109" si="95">+N110+N139+N188</f>
        <v>3485582139470</v>
      </c>
      <c r="O109" s="265">
        <f t="shared" si="95"/>
        <v>0</v>
      </c>
      <c r="P109" s="265">
        <f t="shared" si="95"/>
        <v>0</v>
      </c>
      <c r="Q109" s="265">
        <f t="shared" si="95"/>
        <v>51538310632</v>
      </c>
      <c r="R109" s="265">
        <f t="shared" si="95"/>
        <v>51538310632</v>
      </c>
      <c r="S109" s="265">
        <f t="shared" si="95"/>
        <v>800000000000</v>
      </c>
      <c r="T109" s="265">
        <f t="shared" si="95"/>
        <v>2685582139470</v>
      </c>
      <c r="U109" s="265">
        <f t="shared" si="95"/>
        <v>2424707693410.0298</v>
      </c>
      <c r="V109" s="265">
        <f t="shared" si="95"/>
        <v>260874446059.97003</v>
      </c>
      <c r="W109" s="187">
        <f t="shared" si="67"/>
        <v>0.90286111818145554</v>
      </c>
      <c r="X109" s="265">
        <f t="shared" ref="X109:Y109" si="96">+X110+X139+X188</f>
        <v>133128300999.89</v>
      </c>
      <c r="Y109" s="265">
        <f t="shared" si="96"/>
        <v>2291579392410.1401</v>
      </c>
      <c r="Z109" s="187">
        <f t="shared" si="77"/>
        <v>0.94509511337729024</v>
      </c>
      <c r="AA109" s="265">
        <f t="shared" ref="AA109:AB109" si="97">+AA110+AA139+AA188</f>
        <v>127925430216.89</v>
      </c>
      <c r="AB109" s="265">
        <f t="shared" si="97"/>
        <v>5202870783</v>
      </c>
      <c r="AC109" s="187">
        <f t="shared" si="65"/>
        <v>5.2759114248934418E-2</v>
      </c>
      <c r="AE109" s="13"/>
      <c r="AF109" s="293"/>
    </row>
    <row r="110" spans="1:54" ht="35.1" customHeight="1">
      <c r="A110" s="32" t="str">
        <f t="shared" si="62"/>
        <v>C-4101=</v>
      </c>
      <c r="B110" s="188" t="str">
        <f>CONCATENATE(C110,"-",D110)</f>
        <v>C-4101</v>
      </c>
      <c r="C110" s="189" t="s">
        <v>167</v>
      </c>
      <c r="D110" s="191">
        <v>4101</v>
      </c>
      <c r="E110" s="191"/>
      <c r="F110" s="191"/>
      <c r="G110" s="191"/>
      <c r="H110" s="191"/>
      <c r="I110" s="191"/>
      <c r="J110" s="191"/>
      <c r="K110" s="192"/>
      <c r="L110" s="193"/>
      <c r="M110" s="188" t="s">
        <v>169</v>
      </c>
      <c r="N110" s="194">
        <f>+N111</f>
        <v>184499832863</v>
      </c>
      <c r="O110" s="194">
        <f t="shared" ref="O110:AB110" si="98">+O111</f>
        <v>0</v>
      </c>
      <c r="P110" s="194">
        <f t="shared" si="98"/>
        <v>0</v>
      </c>
      <c r="Q110" s="194">
        <f t="shared" si="98"/>
        <v>0</v>
      </c>
      <c r="R110" s="194">
        <f t="shared" si="98"/>
        <v>0</v>
      </c>
      <c r="S110" s="194">
        <f t="shared" si="98"/>
        <v>0</v>
      </c>
      <c r="T110" s="194">
        <f t="shared" si="98"/>
        <v>184499832863</v>
      </c>
      <c r="U110" s="194">
        <f t="shared" si="98"/>
        <v>168430708798</v>
      </c>
      <c r="V110" s="194">
        <f t="shared" si="98"/>
        <v>16069124065</v>
      </c>
      <c r="W110" s="195">
        <f t="shared" si="67"/>
        <v>0.91290439771329168</v>
      </c>
      <c r="X110" s="194">
        <f t="shared" si="98"/>
        <v>8374496205</v>
      </c>
      <c r="Y110" s="194">
        <f t="shared" si="98"/>
        <v>160056212593</v>
      </c>
      <c r="Z110" s="195">
        <f t="shared" si="77"/>
        <v>0.950279279445154</v>
      </c>
      <c r="AA110" s="194">
        <f t="shared" si="98"/>
        <v>3171625422</v>
      </c>
      <c r="AB110" s="194">
        <f t="shared" si="98"/>
        <v>5202870783</v>
      </c>
      <c r="AC110" s="195">
        <f t="shared" si="65"/>
        <v>1.8830446327954067E-2</v>
      </c>
      <c r="AE110" s="13"/>
      <c r="AF110" s="293"/>
    </row>
    <row r="111" spans="1:54" ht="24.95" customHeight="1">
      <c r="A111" s="32" t="str">
        <f t="shared" si="62"/>
        <v>C-4101-1500=</v>
      </c>
      <c r="B111" s="196" t="str">
        <f>CONCATENATE(C111,"-",D111,"-",E111)</f>
        <v>C-4101-1500</v>
      </c>
      <c r="C111" s="197" t="s">
        <v>167</v>
      </c>
      <c r="D111" s="198">
        <v>4101</v>
      </c>
      <c r="E111" s="198">
        <v>1500</v>
      </c>
      <c r="F111" s="198"/>
      <c r="G111" s="198"/>
      <c r="H111" s="198"/>
      <c r="I111" s="198"/>
      <c r="J111" s="198"/>
      <c r="K111" s="199"/>
      <c r="L111" s="200"/>
      <c r="M111" s="196" t="s">
        <v>170</v>
      </c>
      <c r="N111" s="201">
        <f t="shared" ref="N111:V111" si="99">+N112+N125</f>
        <v>184499832863</v>
      </c>
      <c r="O111" s="201">
        <f t="shared" si="99"/>
        <v>0</v>
      </c>
      <c r="P111" s="201">
        <f t="shared" si="99"/>
        <v>0</v>
      </c>
      <c r="Q111" s="201">
        <f t="shared" si="99"/>
        <v>0</v>
      </c>
      <c r="R111" s="201">
        <f t="shared" si="99"/>
        <v>0</v>
      </c>
      <c r="S111" s="201">
        <f t="shared" si="99"/>
        <v>0</v>
      </c>
      <c r="T111" s="201">
        <f t="shared" si="99"/>
        <v>184499832863</v>
      </c>
      <c r="U111" s="201">
        <f t="shared" si="99"/>
        <v>168430708798</v>
      </c>
      <c r="V111" s="201">
        <f t="shared" si="99"/>
        <v>16069124065</v>
      </c>
      <c r="W111" s="202">
        <f t="shared" si="67"/>
        <v>0.91290439771329168</v>
      </c>
      <c r="X111" s="201">
        <f t="shared" ref="X111:Y111" si="100">+X112+X125</f>
        <v>8374496205</v>
      </c>
      <c r="Y111" s="201">
        <f t="shared" si="100"/>
        <v>160056212593</v>
      </c>
      <c r="Z111" s="202">
        <f t="shared" si="77"/>
        <v>0.950279279445154</v>
      </c>
      <c r="AA111" s="201">
        <f t="shared" ref="AA111:AB111" si="101">+AA112+AA125</f>
        <v>3171625422</v>
      </c>
      <c r="AB111" s="201">
        <f t="shared" si="101"/>
        <v>5202870783</v>
      </c>
      <c r="AC111" s="202">
        <f t="shared" si="65"/>
        <v>1.8830446327954067E-2</v>
      </c>
      <c r="AE111" s="13"/>
      <c r="AF111" s="293"/>
    </row>
    <row r="112" spans="1:54" ht="33">
      <c r="A112" s="32" t="str">
        <f t="shared" si="62"/>
        <v>C-4101-1500-5=</v>
      </c>
      <c r="B112" s="203" t="str">
        <f>CONCATENATE(C112,"-",D112,"-",E112,"-",F112)</f>
        <v>C-4101-1500-5</v>
      </c>
      <c r="C112" s="227" t="s">
        <v>167</v>
      </c>
      <c r="D112" s="228" t="s">
        <v>171</v>
      </c>
      <c r="E112" s="228" t="s">
        <v>172</v>
      </c>
      <c r="F112" s="228" t="s">
        <v>261</v>
      </c>
      <c r="G112" s="228"/>
      <c r="H112" s="228"/>
      <c r="I112" s="228"/>
      <c r="J112" s="228"/>
      <c r="K112" s="229"/>
      <c r="L112" s="230"/>
      <c r="M112" s="231" t="s">
        <v>279</v>
      </c>
      <c r="N112" s="232">
        <f t="shared" ref="N112:V112" si="102">+N113+N115+N117+N119+N121+N123</f>
        <v>66398074900</v>
      </c>
      <c r="O112" s="232">
        <f t="shared" si="102"/>
        <v>0</v>
      </c>
      <c r="P112" s="232">
        <f t="shared" si="102"/>
        <v>0</v>
      </c>
      <c r="Q112" s="232">
        <f t="shared" si="102"/>
        <v>0</v>
      </c>
      <c r="R112" s="232">
        <f t="shared" si="102"/>
        <v>0</v>
      </c>
      <c r="S112" s="232">
        <f t="shared" si="102"/>
        <v>0</v>
      </c>
      <c r="T112" s="232">
        <f t="shared" si="102"/>
        <v>66398074900</v>
      </c>
      <c r="U112" s="232">
        <f t="shared" si="102"/>
        <v>61254503910</v>
      </c>
      <c r="V112" s="232">
        <f t="shared" si="102"/>
        <v>5143570990</v>
      </c>
      <c r="W112" s="233">
        <f t="shared" si="67"/>
        <v>0.92253433555496045</v>
      </c>
      <c r="X112" s="232">
        <f t="shared" ref="X112:Y112" si="103">+X113+X115+X117+X119+X121+X123</f>
        <v>16005500</v>
      </c>
      <c r="Y112" s="232">
        <f t="shared" si="103"/>
        <v>61238498410</v>
      </c>
      <c r="Z112" s="233">
        <f t="shared" si="77"/>
        <v>0.99973870492815486</v>
      </c>
      <c r="AA112" s="232">
        <f t="shared" ref="AA112:AB112" si="104">+AA113+AA115+AA117+AA119+AA121+AA123</f>
        <v>16005500</v>
      </c>
      <c r="AB112" s="232">
        <f t="shared" si="104"/>
        <v>0</v>
      </c>
      <c r="AC112" s="233">
        <f t="shared" si="65"/>
        <v>2.6129507184510965E-4</v>
      </c>
      <c r="AE112" s="13"/>
      <c r="AF112" s="293"/>
    </row>
    <row r="113" spans="1:32" ht="24.95" customHeight="1">
      <c r="A113" s="32" t="str">
        <f t="shared" si="62"/>
        <v>C-4101-1500-5-0-4101073=11</v>
      </c>
      <c r="B113" s="210" t="str">
        <f>CONCATENATE(C113,"-",D113,"-",E113,"-",F113,"-",G113,"-",H113)</f>
        <v>C-4101-1500-5-0-4101073</v>
      </c>
      <c r="C113" s="211" t="s">
        <v>167</v>
      </c>
      <c r="D113" s="212" t="s">
        <v>171</v>
      </c>
      <c r="E113" s="212" t="s">
        <v>172</v>
      </c>
      <c r="F113" s="212" t="s">
        <v>261</v>
      </c>
      <c r="G113" s="212" t="s">
        <v>175</v>
      </c>
      <c r="H113" s="212" t="s">
        <v>176</v>
      </c>
      <c r="I113" s="212"/>
      <c r="J113" s="212"/>
      <c r="K113" s="213">
        <v>11</v>
      </c>
      <c r="L113" s="214" t="s">
        <v>29</v>
      </c>
      <c r="M113" s="210" t="s">
        <v>177</v>
      </c>
      <c r="N113" s="215">
        <f>+N114</f>
        <v>37511369742</v>
      </c>
      <c r="O113" s="215">
        <f t="shared" ref="O113:AB113" si="105">+O114</f>
        <v>0</v>
      </c>
      <c r="P113" s="215">
        <f t="shared" si="105"/>
        <v>0</v>
      </c>
      <c r="Q113" s="215">
        <f t="shared" si="105"/>
        <v>0</v>
      </c>
      <c r="R113" s="215">
        <f t="shared" si="105"/>
        <v>0</v>
      </c>
      <c r="S113" s="215">
        <f t="shared" si="105"/>
        <v>0</v>
      </c>
      <c r="T113" s="215">
        <f t="shared" si="105"/>
        <v>37511369742</v>
      </c>
      <c r="U113" s="215">
        <f t="shared" si="105"/>
        <v>34622400000</v>
      </c>
      <c r="V113" s="215">
        <f t="shared" si="105"/>
        <v>2888969742</v>
      </c>
      <c r="W113" s="216">
        <f t="shared" si="67"/>
        <v>0.92298415755356078</v>
      </c>
      <c r="X113" s="215">
        <f t="shared" si="105"/>
        <v>0</v>
      </c>
      <c r="Y113" s="215">
        <f t="shared" si="105"/>
        <v>34622400000</v>
      </c>
      <c r="Z113" s="216">
        <f t="shared" si="77"/>
        <v>1</v>
      </c>
      <c r="AA113" s="215">
        <f t="shared" si="105"/>
        <v>0</v>
      </c>
      <c r="AB113" s="215">
        <f t="shared" si="105"/>
        <v>0</v>
      </c>
      <c r="AC113" s="216">
        <f t="shared" si="65"/>
        <v>0</v>
      </c>
      <c r="AE113" s="13"/>
      <c r="AF113" s="293"/>
    </row>
    <row r="114" spans="1:32" ht="24.95" customHeight="1">
      <c r="A114" s="32" t="str">
        <f t="shared" si="62"/>
        <v>C-4101-1500-5-0-4101073-02=11</v>
      </c>
      <c r="B114" s="217" t="str">
        <f>CONCATENATE(C114,"-",D114,"-",E114,"-",F114,"-",G114,"-",H114,"-",I114)</f>
        <v>C-4101-1500-5-0-4101073-02</v>
      </c>
      <c r="C114" s="218" t="s">
        <v>167</v>
      </c>
      <c r="D114" s="219" t="s">
        <v>171</v>
      </c>
      <c r="E114" s="219" t="s">
        <v>172</v>
      </c>
      <c r="F114" s="219" t="s">
        <v>261</v>
      </c>
      <c r="G114" s="219" t="s">
        <v>175</v>
      </c>
      <c r="H114" s="219" t="s">
        <v>176</v>
      </c>
      <c r="I114" s="219" t="s">
        <v>54</v>
      </c>
      <c r="J114" s="219"/>
      <c r="K114" s="220">
        <v>11</v>
      </c>
      <c r="L114" s="221" t="s">
        <v>29</v>
      </c>
      <c r="M114" s="217" t="s">
        <v>178</v>
      </c>
      <c r="N114" s="222">
        <v>37511369742</v>
      </c>
      <c r="O114" s="222"/>
      <c r="P114" s="222"/>
      <c r="Q114" s="222"/>
      <c r="R114" s="222"/>
      <c r="S114" s="222"/>
      <c r="T114" s="222">
        <f>+N114-S114+O114-P114+Q114-R114</f>
        <v>37511369742</v>
      </c>
      <c r="U114" s="222">
        <v>34622400000</v>
      </c>
      <c r="V114" s="222">
        <f t="shared" ref="V114:V177" si="106">+T114-U114</f>
        <v>2888969742</v>
      </c>
      <c r="W114" s="224">
        <f t="shared" si="67"/>
        <v>0.92298415755356078</v>
      </c>
      <c r="X114" s="222">
        <v>0</v>
      </c>
      <c r="Y114" s="222">
        <f t="shared" si="17"/>
        <v>34622400000</v>
      </c>
      <c r="Z114" s="224">
        <f t="shared" si="77"/>
        <v>1</v>
      </c>
      <c r="AA114" s="222">
        <v>0</v>
      </c>
      <c r="AB114" s="222">
        <f t="shared" ref="AB114:AB177" si="107">+X114-AA114</f>
        <v>0</v>
      </c>
      <c r="AC114" s="224">
        <f t="shared" si="65"/>
        <v>0</v>
      </c>
      <c r="AE114" s="13"/>
      <c r="AF114" s="293"/>
    </row>
    <row r="115" spans="1:32" ht="33">
      <c r="A115" s="32" t="str">
        <f t="shared" si="62"/>
        <v>C-4101-1500-5-0-4101074=11</v>
      </c>
      <c r="B115" s="210" t="str">
        <f>CONCATENATE(C115,"-",D115,"-",E115,"-",F115,"-",G115,"-",H115)</f>
        <v>C-4101-1500-5-0-4101074</v>
      </c>
      <c r="C115" s="211" t="s">
        <v>167</v>
      </c>
      <c r="D115" s="212" t="s">
        <v>171</v>
      </c>
      <c r="E115" s="212" t="s">
        <v>172</v>
      </c>
      <c r="F115" s="212" t="s">
        <v>261</v>
      </c>
      <c r="G115" s="212" t="s">
        <v>175</v>
      </c>
      <c r="H115" s="212" t="s">
        <v>179</v>
      </c>
      <c r="I115" s="212"/>
      <c r="J115" s="212"/>
      <c r="K115" s="213">
        <v>11</v>
      </c>
      <c r="L115" s="214" t="s">
        <v>29</v>
      </c>
      <c r="M115" s="210" t="s">
        <v>180</v>
      </c>
      <c r="N115" s="215">
        <f>+N116</f>
        <v>8799663116</v>
      </c>
      <c r="O115" s="215">
        <f t="shared" ref="O115:AB115" si="108">+O116</f>
        <v>0</v>
      </c>
      <c r="P115" s="215">
        <f t="shared" si="108"/>
        <v>0</v>
      </c>
      <c r="Q115" s="215">
        <f t="shared" si="108"/>
        <v>0</v>
      </c>
      <c r="R115" s="215">
        <f t="shared" si="108"/>
        <v>0</v>
      </c>
      <c r="S115" s="215">
        <f t="shared" si="108"/>
        <v>0</v>
      </c>
      <c r="T115" s="215">
        <f t="shared" si="108"/>
        <v>8799663116</v>
      </c>
      <c r="U115" s="215">
        <f t="shared" si="108"/>
        <v>8799663116</v>
      </c>
      <c r="V115" s="215">
        <f t="shared" si="108"/>
        <v>0</v>
      </c>
      <c r="W115" s="216">
        <f t="shared" si="67"/>
        <v>1</v>
      </c>
      <c r="X115" s="215">
        <f t="shared" si="108"/>
        <v>0</v>
      </c>
      <c r="Y115" s="215">
        <f t="shared" si="108"/>
        <v>8799663116</v>
      </c>
      <c r="Z115" s="216">
        <f t="shared" si="77"/>
        <v>1</v>
      </c>
      <c r="AA115" s="215">
        <f t="shared" si="108"/>
        <v>0</v>
      </c>
      <c r="AB115" s="215">
        <f t="shared" si="108"/>
        <v>0</v>
      </c>
      <c r="AC115" s="216">
        <f t="shared" si="65"/>
        <v>0</v>
      </c>
      <c r="AE115" s="13"/>
      <c r="AF115" s="293"/>
    </row>
    <row r="116" spans="1:32" ht="24.95" customHeight="1">
      <c r="A116" s="32" t="str">
        <f t="shared" si="62"/>
        <v>C-4101-1500-5-0-4101074-02=11</v>
      </c>
      <c r="B116" s="217" t="str">
        <f>CONCATENATE(C116,"-",D116,"-",E116,"-",F116,"-",G116,"-",H116,"-",I116)</f>
        <v>C-4101-1500-5-0-4101074-02</v>
      </c>
      <c r="C116" s="218" t="s">
        <v>167</v>
      </c>
      <c r="D116" s="219" t="s">
        <v>171</v>
      </c>
      <c r="E116" s="219" t="s">
        <v>172</v>
      </c>
      <c r="F116" s="219">
        <v>5</v>
      </c>
      <c r="G116" s="219" t="s">
        <v>175</v>
      </c>
      <c r="H116" s="219" t="s">
        <v>179</v>
      </c>
      <c r="I116" s="219" t="s">
        <v>54</v>
      </c>
      <c r="J116" s="219"/>
      <c r="K116" s="220">
        <v>11</v>
      </c>
      <c r="L116" s="221" t="s">
        <v>29</v>
      </c>
      <c r="M116" s="259" t="s">
        <v>178</v>
      </c>
      <c r="N116" s="222">
        <v>8799663116</v>
      </c>
      <c r="O116" s="222"/>
      <c r="P116" s="222"/>
      <c r="Q116" s="222"/>
      <c r="R116" s="636"/>
      <c r="S116" s="636"/>
      <c r="T116" s="222">
        <f>+N116-S116+O116-P116+Q116-R116</f>
        <v>8799663116</v>
      </c>
      <c r="U116" s="222">
        <v>8799663116</v>
      </c>
      <c r="V116" s="222">
        <f t="shared" ref="V116" si="109">+T116-U116</f>
        <v>0</v>
      </c>
      <c r="W116" s="224">
        <f t="shared" si="67"/>
        <v>1</v>
      </c>
      <c r="X116" s="222">
        <v>0</v>
      </c>
      <c r="Y116" s="222">
        <f t="shared" ref="Y116" si="110">+U116-X116</f>
        <v>8799663116</v>
      </c>
      <c r="Z116" s="224">
        <f t="shared" si="77"/>
        <v>1</v>
      </c>
      <c r="AA116" s="222">
        <v>0</v>
      </c>
      <c r="AB116" s="222">
        <f t="shared" ref="AB116" si="111">+X116-AA116</f>
        <v>0</v>
      </c>
      <c r="AC116" s="224">
        <f t="shared" si="65"/>
        <v>0</v>
      </c>
      <c r="AE116" s="13"/>
      <c r="AF116" s="293"/>
    </row>
    <row r="117" spans="1:32" ht="49.5">
      <c r="A117" s="32" t="str">
        <f t="shared" si="62"/>
        <v>C-4101-1500-5-0-4101077=11</v>
      </c>
      <c r="B117" s="210" t="str">
        <f>CONCATENATE(C117,"-",D117,"-",E117,"-",F117,"-",G117,"-",H117)</f>
        <v>C-4101-1500-5-0-4101077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181</v>
      </c>
      <c r="I117" s="212"/>
      <c r="J117" s="212"/>
      <c r="K117" s="213">
        <v>11</v>
      </c>
      <c r="L117" s="214" t="s">
        <v>29</v>
      </c>
      <c r="M117" s="210" t="s">
        <v>182</v>
      </c>
      <c r="N117" s="215">
        <f t="shared" ref="N117:V117" si="112">SUM(N118:N118)</f>
        <v>4325174580</v>
      </c>
      <c r="O117" s="215">
        <f t="shared" si="112"/>
        <v>0</v>
      </c>
      <c r="P117" s="215">
        <f t="shared" si="112"/>
        <v>0</v>
      </c>
      <c r="Q117" s="215">
        <f t="shared" si="112"/>
        <v>0</v>
      </c>
      <c r="R117" s="215">
        <f t="shared" si="112"/>
        <v>0</v>
      </c>
      <c r="S117" s="215">
        <f t="shared" si="112"/>
        <v>0</v>
      </c>
      <c r="T117" s="215">
        <f t="shared" si="112"/>
        <v>4325174580</v>
      </c>
      <c r="U117" s="215">
        <f t="shared" si="112"/>
        <v>3015271633</v>
      </c>
      <c r="V117" s="215">
        <f t="shared" si="112"/>
        <v>1309902947</v>
      </c>
      <c r="W117" s="216">
        <f t="shared" si="67"/>
        <v>0.69714449144848156</v>
      </c>
      <c r="X117" s="215">
        <f t="shared" ref="X117:Y117" si="113">SUM(X118:X118)</f>
        <v>16005500</v>
      </c>
      <c r="Y117" s="215">
        <f t="shared" si="113"/>
        <v>2999266133</v>
      </c>
      <c r="Z117" s="216">
        <f t="shared" si="77"/>
        <v>0.9946918546824004</v>
      </c>
      <c r="AA117" s="215">
        <f t="shared" ref="AA117:AB117" si="114">SUM(AA118:AA118)</f>
        <v>16005500</v>
      </c>
      <c r="AB117" s="215">
        <f t="shared" si="114"/>
        <v>0</v>
      </c>
      <c r="AC117" s="216">
        <f t="shared" si="65"/>
        <v>5.3081453175996499E-3</v>
      </c>
      <c r="AE117" s="13"/>
      <c r="AF117" s="293"/>
    </row>
    <row r="118" spans="1:32" ht="24.95" customHeight="1">
      <c r="A118" s="32" t="str">
        <f t="shared" si="62"/>
        <v>C-4101-1500-5-0-4101077-02=11</v>
      </c>
      <c r="B118" s="217" t="str">
        <f>CONCATENATE(C118,"-",D118,"-",E118,"-",F118,"-",G118,"-",H118,"-",I118)</f>
        <v>C-4101-1500-5-0-4101077-02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181</v>
      </c>
      <c r="I118" s="225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4325174580</v>
      </c>
      <c r="O118" s="222"/>
      <c r="P118" s="222"/>
      <c r="Q118" s="222"/>
      <c r="R118" s="222"/>
      <c r="S118" s="222"/>
      <c r="T118" s="222">
        <f>+N118-S118+O118-P118+Q118-R118</f>
        <v>4325174580</v>
      </c>
      <c r="U118" s="222">
        <v>3015271633</v>
      </c>
      <c r="V118" s="222">
        <f t="shared" si="106"/>
        <v>1309902947</v>
      </c>
      <c r="W118" s="224">
        <f t="shared" si="67"/>
        <v>0.69714449144848156</v>
      </c>
      <c r="X118" s="222">
        <v>16005500</v>
      </c>
      <c r="Y118" s="222">
        <f t="shared" ref="Y118:Y177" si="115">+U118-X118</f>
        <v>2999266133</v>
      </c>
      <c r="Z118" s="224">
        <f t="shared" si="77"/>
        <v>0.9946918546824004</v>
      </c>
      <c r="AA118" s="222">
        <v>16005500</v>
      </c>
      <c r="AB118" s="222">
        <f t="shared" si="107"/>
        <v>0</v>
      </c>
      <c r="AC118" s="224">
        <f t="shared" si="65"/>
        <v>5.3081453175996499E-3</v>
      </c>
      <c r="AE118" s="13"/>
      <c r="AF118" s="293"/>
    </row>
    <row r="119" spans="1:32" ht="49.5">
      <c r="A119" s="32" t="str">
        <f t="shared" si="62"/>
        <v>C-4101-1500-5-0-4101078=11</v>
      </c>
      <c r="B119" s="210" t="str">
        <f>CONCATENATE(C119,"-",D119,"-",E119,"-",F119,"-",G119,"-",H119)</f>
        <v>C-4101-1500-5-0-4101078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183</v>
      </c>
      <c r="I119" s="212"/>
      <c r="J119" s="212"/>
      <c r="K119" s="213">
        <v>11</v>
      </c>
      <c r="L119" s="214" t="s">
        <v>29</v>
      </c>
      <c r="M119" s="210" t="s">
        <v>184</v>
      </c>
      <c r="N119" s="215">
        <f>+N120</f>
        <v>7972098301</v>
      </c>
      <c r="O119" s="215">
        <f t="shared" ref="O119:AB119" si="116">+O120</f>
        <v>0</v>
      </c>
      <c r="P119" s="215">
        <f t="shared" si="116"/>
        <v>0</v>
      </c>
      <c r="Q119" s="215">
        <f t="shared" si="116"/>
        <v>0</v>
      </c>
      <c r="R119" s="215">
        <f t="shared" si="116"/>
        <v>0</v>
      </c>
      <c r="S119" s="215">
        <f t="shared" si="116"/>
        <v>0</v>
      </c>
      <c r="T119" s="215">
        <f t="shared" si="116"/>
        <v>7972098301</v>
      </c>
      <c r="U119" s="215">
        <f t="shared" si="116"/>
        <v>7027400000</v>
      </c>
      <c r="V119" s="215">
        <f t="shared" si="116"/>
        <v>944698301</v>
      </c>
      <c r="W119" s="216">
        <f t="shared" si="67"/>
        <v>0.8814994164232145</v>
      </c>
      <c r="X119" s="215">
        <f t="shared" si="116"/>
        <v>0</v>
      </c>
      <c r="Y119" s="215">
        <f t="shared" si="116"/>
        <v>7027400000</v>
      </c>
      <c r="Z119" s="216">
        <f t="shared" si="77"/>
        <v>1</v>
      </c>
      <c r="AA119" s="215">
        <f t="shared" si="116"/>
        <v>0</v>
      </c>
      <c r="AB119" s="215">
        <f t="shared" si="116"/>
        <v>0</v>
      </c>
      <c r="AC119" s="216">
        <f t="shared" si="65"/>
        <v>0</v>
      </c>
      <c r="AE119" s="13"/>
      <c r="AF119" s="293"/>
    </row>
    <row r="120" spans="1:32" ht="24.95" customHeight="1">
      <c r="A120" s="32" t="str">
        <f t="shared" si="62"/>
        <v>C-4101-1500-5-0-4101078-02=11</v>
      </c>
      <c r="B120" s="217" t="str">
        <f>CONCATENATE(C120,"-",D120,"-",E120,"-",F120,"-",G120,"-",H120,"-",I120)</f>
        <v>C-4101-1500-5-0-4101078-02</v>
      </c>
      <c r="C120" s="218" t="s">
        <v>167</v>
      </c>
      <c r="D120" s="219" t="s">
        <v>171</v>
      </c>
      <c r="E120" s="219" t="s">
        <v>172</v>
      </c>
      <c r="F120" s="219" t="s">
        <v>261</v>
      </c>
      <c r="G120" s="219" t="s">
        <v>175</v>
      </c>
      <c r="H120" s="219" t="s">
        <v>183</v>
      </c>
      <c r="I120" s="219" t="s">
        <v>54</v>
      </c>
      <c r="J120" s="219"/>
      <c r="K120" s="220">
        <v>11</v>
      </c>
      <c r="L120" s="221" t="s">
        <v>29</v>
      </c>
      <c r="M120" s="217" t="s">
        <v>178</v>
      </c>
      <c r="N120" s="222">
        <v>7972098301</v>
      </c>
      <c r="O120" s="222"/>
      <c r="P120" s="222"/>
      <c r="Q120" s="222"/>
      <c r="R120" s="222"/>
      <c r="S120" s="222"/>
      <c r="T120" s="223">
        <f>+N120-S120+O120-P120+Q120-R120</f>
        <v>7972098301</v>
      </c>
      <c r="U120" s="222">
        <v>7027400000</v>
      </c>
      <c r="V120" s="222">
        <f t="shared" si="106"/>
        <v>944698301</v>
      </c>
      <c r="W120" s="224">
        <f t="shared" si="67"/>
        <v>0.8814994164232145</v>
      </c>
      <c r="X120" s="222">
        <v>0</v>
      </c>
      <c r="Y120" s="222">
        <f t="shared" si="115"/>
        <v>7027400000</v>
      </c>
      <c r="Z120" s="224">
        <f t="shared" si="77"/>
        <v>1</v>
      </c>
      <c r="AA120" s="222">
        <v>0</v>
      </c>
      <c r="AB120" s="222">
        <f t="shared" si="107"/>
        <v>0</v>
      </c>
      <c r="AC120" s="224">
        <f t="shared" si="65"/>
        <v>0</v>
      </c>
      <c r="AE120" s="13"/>
      <c r="AF120" s="293"/>
    </row>
    <row r="121" spans="1:32" ht="24.95" customHeight="1">
      <c r="A121" s="32" t="str">
        <f t="shared" si="62"/>
        <v>C-4101-1500-5-0-4101080=11</v>
      </c>
      <c r="B121" s="210" t="str">
        <f>CONCATENATE(C121,"-",D121,"-",E121,"-",F121,"-",G121,"-",H121)</f>
        <v>C-4101-1500-5-0-4101080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185</v>
      </c>
      <c r="I121" s="212"/>
      <c r="J121" s="212"/>
      <c r="K121" s="213">
        <v>11</v>
      </c>
      <c r="L121" s="214" t="s">
        <v>29</v>
      </c>
      <c r="M121" s="210" t="s">
        <v>186</v>
      </c>
      <c r="N121" s="215">
        <f>+N122</f>
        <v>5196200000</v>
      </c>
      <c r="O121" s="215">
        <f t="shared" ref="O121:AB121" si="117">+O122</f>
        <v>0</v>
      </c>
      <c r="P121" s="215">
        <f t="shared" si="117"/>
        <v>0</v>
      </c>
      <c r="Q121" s="215">
        <f t="shared" si="117"/>
        <v>0</v>
      </c>
      <c r="R121" s="215">
        <f t="shared" si="117"/>
        <v>0</v>
      </c>
      <c r="S121" s="215">
        <f t="shared" si="117"/>
        <v>0</v>
      </c>
      <c r="T121" s="215">
        <f t="shared" si="117"/>
        <v>5196200000</v>
      </c>
      <c r="U121" s="215">
        <f t="shared" si="117"/>
        <v>5196200000</v>
      </c>
      <c r="V121" s="215">
        <f t="shared" si="117"/>
        <v>0</v>
      </c>
      <c r="W121" s="216">
        <f t="shared" si="67"/>
        <v>1</v>
      </c>
      <c r="X121" s="215">
        <f t="shared" si="117"/>
        <v>0</v>
      </c>
      <c r="Y121" s="215">
        <f t="shared" si="117"/>
        <v>5196200000</v>
      </c>
      <c r="Z121" s="216">
        <f t="shared" si="77"/>
        <v>1</v>
      </c>
      <c r="AA121" s="215">
        <f t="shared" si="117"/>
        <v>0</v>
      </c>
      <c r="AB121" s="215">
        <f t="shared" si="117"/>
        <v>0</v>
      </c>
      <c r="AC121" s="216">
        <f t="shared" si="65"/>
        <v>0</v>
      </c>
      <c r="AE121" s="13"/>
      <c r="AF121" s="293"/>
    </row>
    <row r="122" spans="1:32" ht="24.95" customHeight="1">
      <c r="A122" s="32" t="str">
        <f t="shared" si="62"/>
        <v>C-4101-1500-5-0-4101080-02=11</v>
      </c>
      <c r="B122" s="217" t="str">
        <f>CONCATENATE(C122,"-",D122,"-",E122,"-",F122,"-",G122,"-",H122,"-",I122)</f>
        <v>C-4101-1500-5-0-4101080-02</v>
      </c>
      <c r="C122" s="218" t="s">
        <v>167</v>
      </c>
      <c r="D122" s="219" t="s">
        <v>171</v>
      </c>
      <c r="E122" s="219" t="s">
        <v>172</v>
      </c>
      <c r="F122" s="219">
        <v>5</v>
      </c>
      <c r="G122" s="219" t="s">
        <v>175</v>
      </c>
      <c r="H122" s="219" t="s">
        <v>185</v>
      </c>
      <c r="I122" s="219" t="s">
        <v>54</v>
      </c>
      <c r="J122" s="219"/>
      <c r="K122" s="220">
        <v>11</v>
      </c>
      <c r="L122" s="221" t="s">
        <v>29</v>
      </c>
      <c r="M122" s="259" t="s">
        <v>178</v>
      </c>
      <c r="N122" s="222">
        <v>5196200000</v>
      </c>
      <c r="O122" s="222"/>
      <c r="P122" s="222"/>
      <c r="Q122" s="222"/>
      <c r="R122" s="222"/>
      <c r="S122" s="222"/>
      <c r="T122" s="222">
        <f>+N122-S122+O122-P122+Q122-R122</f>
        <v>5196200000</v>
      </c>
      <c r="U122" s="222">
        <v>5196200000</v>
      </c>
      <c r="V122" s="222">
        <f t="shared" ref="V122" si="118">+T122-U122</f>
        <v>0</v>
      </c>
      <c r="W122" s="224">
        <f t="shared" si="67"/>
        <v>1</v>
      </c>
      <c r="X122" s="222">
        <v>0</v>
      </c>
      <c r="Y122" s="222">
        <f t="shared" ref="Y122" si="119">+U122-X122</f>
        <v>5196200000</v>
      </c>
      <c r="Z122" s="224">
        <f t="shared" si="77"/>
        <v>1</v>
      </c>
      <c r="AA122" s="222">
        <v>0</v>
      </c>
      <c r="AB122" s="222">
        <f t="shared" ref="AB122" si="120">+X122-AA122</f>
        <v>0</v>
      </c>
      <c r="AC122" s="224">
        <f t="shared" si="65"/>
        <v>0</v>
      </c>
      <c r="AE122" s="13"/>
      <c r="AF122" s="293"/>
    </row>
    <row r="123" spans="1:32" ht="33">
      <c r="A123" s="32" t="str">
        <f t="shared" si="62"/>
        <v>C-4101-1500-5-0-4101081=11</v>
      </c>
      <c r="B123" s="210" t="str">
        <f>CONCATENATE(C123,"-",D123,"-",E123,"-",F123,"-",G123,"-",H123)</f>
        <v>C-4101-1500-5-0-4101081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187</v>
      </c>
      <c r="I123" s="212"/>
      <c r="J123" s="212"/>
      <c r="K123" s="213">
        <v>11</v>
      </c>
      <c r="L123" s="214" t="s">
        <v>29</v>
      </c>
      <c r="M123" s="210" t="s">
        <v>188</v>
      </c>
      <c r="N123" s="215">
        <f>+N124</f>
        <v>2593569161</v>
      </c>
      <c r="O123" s="215">
        <f t="shared" ref="O123:AB123" si="121">+O124</f>
        <v>0</v>
      </c>
      <c r="P123" s="215">
        <f t="shared" si="121"/>
        <v>0</v>
      </c>
      <c r="Q123" s="215">
        <f t="shared" si="121"/>
        <v>0</v>
      </c>
      <c r="R123" s="215">
        <f t="shared" si="121"/>
        <v>0</v>
      </c>
      <c r="S123" s="215">
        <f t="shared" si="121"/>
        <v>0</v>
      </c>
      <c r="T123" s="215">
        <f t="shared" si="121"/>
        <v>2593569161</v>
      </c>
      <c r="U123" s="215">
        <f t="shared" si="121"/>
        <v>2593569161</v>
      </c>
      <c r="V123" s="215">
        <f t="shared" si="121"/>
        <v>0</v>
      </c>
      <c r="W123" s="216">
        <f t="shared" si="67"/>
        <v>1</v>
      </c>
      <c r="X123" s="215">
        <f t="shared" si="121"/>
        <v>0</v>
      </c>
      <c r="Y123" s="215">
        <f t="shared" si="121"/>
        <v>2593569161</v>
      </c>
      <c r="Z123" s="216">
        <f t="shared" si="77"/>
        <v>1</v>
      </c>
      <c r="AA123" s="215">
        <f t="shared" si="121"/>
        <v>0</v>
      </c>
      <c r="AB123" s="215">
        <f t="shared" si="121"/>
        <v>0</v>
      </c>
      <c r="AC123" s="216">
        <f t="shared" si="65"/>
        <v>0</v>
      </c>
      <c r="AE123" s="13"/>
      <c r="AF123" s="293"/>
    </row>
    <row r="124" spans="1:32" ht="24.95" customHeight="1">
      <c r="A124" s="32" t="str">
        <f t="shared" si="62"/>
        <v>C-4101-1500-5-0-4101081-02=11</v>
      </c>
      <c r="B124" s="217" t="str">
        <f>CONCATENATE(C124,"-",D124,"-",E124,"-",F124,"-",G124,"-",H124,"-",I124)</f>
        <v>C-4101-1500-5-0-4101081-02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187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2593569161</v>
      </c>
      <c r="O124" s="222"/>
      <c r="P124" s="222"/>
      <c r="Q124" s="222"/>
      <c r="R124" s="222"/>
      <c r="S124" s="222"/>
      <c r="T124" s="222">
        <f>+N124-S124+O124-P124+Q124-R124</f>
        <v>2593569161</v>
      </c>
      <c r="U124" s="222">
        <v>2593569161</v>
      </c>
      <c r="V124" s="222">
        <f t="shared" si="106"/>
        <v>0</v>
      </c>
      <c r="W124" s="224">
        <f t="shared" si="67"/>
        <v>1</v>
      </c>
      <c r="X124" s="222">
        <v>0</v>
      </c>
      <c r="Y124" s="222">
        <f t="shared" si="115"/>
        <v>2593569161</v>
      </c>
      <c r="Z124" s="224">
        <f t="shared" si="77"/>
        <v>1</v>
      </c>
      <c r="AA124" s="222">
        <v>0</v>
      </c>
      <c r="AB124" s="222">
        <f t="shared" si="107"/>
        <v>0</v>
      </c>
      <c r="AC124" s="224">
        <f t="shared" si="65"/>
        <v>0</v>
      </c>
      <c r="AE124" s="13"/>
      <c r="AF124" s="293"/>
    </row>
    <row r="125" spans="1:32" ht="66">
      <c r="A125" s="32" t="str">
        <f t="shared" si="62"/>
        <v>C-4101-1500-6=</v>
      </c>
      <c r="B125" s="226" t="str">
        <f>CONCATENATE(C125,"-",D125,"-",E125,"-",F125)</f>
        <v>C-4101-1500-6</v>
      </c>
      <c r="C125" s="227" t="s">
        <v>167</v>
      </c>
      <c r="D125" s="228" t="s">
        <v>171</v>
      </c>
      <c r="E125" s="228" t="s">
        <v>172</v>
      </c>
      <c r="F125" s="228" t="s">
        <v>173</v>
      </c>
      <c r="G125" s="228"/>
      <c r="H125" s="228"/>
      <c r="I125" s="228"/>
      <c r="J125" s="228"/>
      <c r="K125" s="229"/>
      <c r="L125" s="230"/>
      <c r="M125" s="231" t="s">
        <v>174</v>
      </c>
      <c r="N125" s="232">
        <f>+N130+N132+N134+N136+N126+N128</f>
        <v>118101757963</v>
      </c>
      <c r="O125" s="232">
        <f t="shared" ref="O125:V125" si="122">+O130+O132+O134+O136+O126+O128</f>
        <v>0</v>
      </c>
      <c r="P125" s="232">
        <f t="shared" si="122"/>
        <v>0</v>
      </c>
      <c r="Q125" s="232">
        <f t="shared" si="122"/>
        <v>0</v>
      </c>
      <c r="R125" s="232">
        <f t="shared" si="122"/>
        <v>0</v>
      </c>
      <c r="S125" s="232">
        <f t="shared" si="122"/>
        <v>0</v>
      </c>
      <c r="T125" s="232">
        <f t="shared" si="122"/>
        <v>118101757963</v>
      </c>
      <c r="U125" s="232">
        <f t="shared" si="122"/>
        <v>107176204888</v>
      </c>
      <c r="V125" s="232">
        <f t="shared" si="122"/>
        <v>10925553075</v>
      </c>
      <c r="W125" s="233">
        <f t="shared" si="67"/>
        <v>0.90749034338317924</v>
      </c>
      <c r="X125" s="232">
        <f t="shared" ref="X125:AB125" si="123">+X130+X132+X134+X136+X126+X128</f>
        <v>8358490705</v>
      </c>
      <c r="Y125" s="232">
        <f t="shared" si="123"/>
        <v>98817714183</v>
      </c>
      <c r="Z125" s="233">
        <f t="shared" si="77"/>
        <v>0.92201169360554713</v>
      </c>
      <c r="AA125" s="232">
        <f t="shared" si="123"/>
        <v>3155619922</v>
      </c>
      <c r="AB125" s="232">
        <f t="shared" si="123"/>
        <v>5202870783</v>
      </c>
      <c r="AC125" s="233">
        <f t="shared" si="65"/>
        <v>2.9443288510706721E-2</v>
      </c>
      <c r="AE125" s="13"/>
      <c r="AF125" s="293"/>
    </row>
    <row r="126" spans="1:32" ht="24.95" customHeight="1">
      <c r="A126" s="32" t="str">
        <f t="shared" si="62"/>
        <v>C-4101-1500-6-0-4101073=11</v>
      </c>
      <c r="B126" s="210" t="str">
        <f>CONCATENATE(C126,"-",D126,"-",E126,"-",F126,"-",G126,"-",H126)</f>
        <v>C-4101-1500-6-0-4101073</v>
      </c>
      <c r="C126" s="211" t="s">
        <v>167</v>
      </c>
      <c r="D126" s="212" t="s">
        <v>171</v>
      </c>
      <c r="E126" s="212" t="s">
        <v>172</v>
      </c>
      <c r="F126" s="212" t="s">
        <v>173</v>
      </c>
      <c r="G126" s="212" t="s">
        <v>175</v>
      </c>
      <c r="H126" s="212" t="s">
        <v>176</v>
      </c>
      <c r="I126" s="212"/>
      <c r="J126" s="212"/>
      <c r="K126" s="213" t="s">
        <v>144</v>
      </c>
      <c r="L126" s="214" t="s">
        <v>29</v>
      </c>
      <c r="M126" s="210" t="s">
        <v>177</v>
      </c>
      <c r="N126" s="215">
        <f t="shared" ref="N126:V126" si="124">SUM(N127:N127)</f>
        <v>4947405600</v>
      </c>
      <c r="O126" s="215">
        <f t="shared" si="124"/>
        <v>0</v>
      </c>
      <c r="P126" s="215">
        <f t="shared" si="124"/>
        <v>0</v>
      </c>
      <c r="Q126" s="215">
        <f t="shared" si="124"/>
        <v>0</v>
      </c>
      <c r="R126" s="215">
        <f t="shared" si="124"/>
        <v>0</v>
      </c>
      <c r="S126" s="215">
        <f t="shared" si="124"/>
        <v>0</v>
      </c>
      <c r="T126" s="215">
        <f t="shared" si="124"/>
        <v>4947405600</v>
      </c>
      <c r="U126" s="215">
        <f t="shared" si="124"/>
        <v>1947405600</v>
      </c>
      <c r="V126" s="215">
        <f t="shared" si="124"/>
        <v>3000000000</v>
      </c>
      <c r="W126" s="216">
        <f t="shared" si="67"/>
        <v>0.39362157814592763</v>
      </c>
      <c r="X126" s="215">
        <f t="shared" ref="X126:Y126" si="125">SUM(X127:X127)</f>
        <v>623536251</v>
      </c>
      <c r="Y126" s="215">
        <f t="shared" si="125"/>
        <v>1323869349</v>
      </c>
      <c r="Z126" s="216">
        <f t="shared" si="77"/>
        <v>0.67981182194402645</v>
      </c>
      <c r="AA126" s="215">
        <f t="shared" ref="AA126:AB126" si="126">SUM(AA127:AA127)</f>
        <v>263992268</v>
      </c>
      <c r="AB126" s="215">
        <f t="shared" si="126"/>
        <v>359543983</v>
      </c>
      <c r="AC126" s="216">
        <f t="shared" si="65"/>
        <v>0.13556100896495316</v>
      </c>
      <c r="AE126" s="13"/>
      <c r="AF126" s="293"/>
    </row>
    <row r="127" spans="1:32" ht="24.95" customHeight="1">
      <c r="A127" s="32" t="str">
        <f t="shared" si="62"/>
        <v>C-4101-1500-6-0-4101073-02=11</v>
      </c>
      <c r="B127" s="217" t="str">
        <f>CONCATENATE(C127,"-",D127,"-",E127,"-",F127,"-",G127,"-",H127,"-",I127)</f>
        <v>C-4101-1500-6-0-4101073-02</v>
      </c>
      <c r="C127" s="218" t="s">
        <v>167</v>
      </c>
      <c r="D127" s="219" t="s">
        <v>171</v>
      </c>
      <c r="E127" s="219" t="s">
        <v>172</v>
      </c>
      <c r="F127" s="219" t="s">
        <v>173</v>
      </c>
      <c r="G127" s="219" t="s">
        <v>175</v>
      </c>
      <c r="H127" s="219" t="s">
        <v>176</v>
      </c>
      <c r="I127" s="219" t="s">
        <v>54</v>
      </c>
      <c r="J127" s="219"/>
      <c r="K127" s="220" t="s">
        <v>144</v>
      </c>
      <c r="L127" s="221" t="s">
        <v>29</v>
      </c>
      <c r="M127" s="259" t="s">
        <v>178</v>
      </c>
      <c r="N127" s="222">
        <v>4947405600</v>
      </c>
      <c r="O127" s="222"/>
      <c r="P127" s="222"/>
      <c r="Q127" s="222"/>
      <c r="R127" s="222"/>
      <c r="S127" s="222"/>
      <c r="T127" s="222">
        <f>+N127-S127+O127-P127+Q127-R127</f>
        <v>4947405600</v>
      </c>
      <c r="U127" s="222">
        <v>1947405600</v>
      </c>
      <c r="V127" s="222">
        <f t="shared" si="106"/>
        <v>3000000000</v>
      </c>
      <c r="W127" s="224">
        <f t="shared" si="67"/>
        <v>0.39362157814592763</v>
      </c>
      <c r="X127" s="222">
        <v>623536251</v>
      </c>
      <c r="Y127" s="222">
        <f t="shared" si="115"/>
        <v>1323869349</v>
      </c>
      <c r="Z127" s="224">
        <f t="shared" si="77"/>
        <v>0.67981182194402645</v>
      </c>
      <c r="AA127" s="222">
        <v>263992268</v>
      </c>
      <c r="AB127" s="222">
        <f t="shared" si="107"/>
        <v>359543983</v>
      </c>
      <c r="AC127" s="224">
        <f t="shared" si="65"/>
        <v>0.13556100896495316</v>
      </c>
      <c r="AE127" s="13"/>
      <c r="AF127" s="293"/>
    </row>
    <row r="128" spans="1:32" ht="33">
      <c r="A128" s="32" t="str">
        <f t="shared" si="62"/>
        <v>C-4101-1500-6-0-4101074=11</v>
      </c>
      <c r="B128" s="210" t="str">
        <f>CONCATENATE(C128,"-",D128,"-",E128,"-",F128,"-",G128,"-",H128)</f>
        <v>C-4101-1500-6-0-4101074</v>
      </c>
      <c r="C128" s="211" t="s">
        <v>167</v>
      </c>
      <c r="D128" s="212" t="s">
        <v>171</v>
      </c>
      <c r="E128" s="212" t="s">
        <v>172</v>
      </c>
      <c r="F128" s="212" t="s">
        <v>173</v>
      </c>
      <c r="G128" s="212" t="s">
        <v>175</v>
      </c>
      <c r="H128" s="212" t="s">
        <v>179</v>
      </c>
      <c r="I128" s="212"/>
      <c r="J128" s="212"/>
      <c r="K128" s="213" t="s">
        <v>144</v>
      </c>
      <c r="L128" s="214" t="s">
        <v>29</v>
      </c>
      <c r="M128" s="210" t="s">
        <v>180</v>
      </c>
      <c r="N128" s="215">
        <f>+N129</f>
        <v>27420887861</v>
      </c>
      <c r="O128" s="215">
        <f t="shared" ref="O128:AB128" si="127">+O129</f>
        <v>0</v>
      </c>
      <c r="P128" s="215">
        <f t="shared" si="127"/>
        <v>0</v>
      </c>
      <c r="Q128" s="215">
        <f t="shared" si="127"/>
        <v>0</v>
      </c>
      <c r="R128" s="215">
        <f t="shared" si="127"/>
        <v>0</v>
      </c>
      <c r="S128" s="215">
        <f t="shared" si="127"/>
        <v>0</v>
      </c>
      <c r="T128" s="215">
        <f t="shared" si="127"/>
        <v>27420887861</v>
      </c>
      <c r="U128" s="215">
        <f t="shared" si="127"/>
        <v>27306887861</v>
      </c>
      <c r="V128" s="215">
        <f t="shared" si="127"/>
        <v>114000000</v>
      </c>
      <c r="W128" s="216">
        <f t="shared" si="67"/>
        <v>0.99584258538316195</v>
      </c>
      <c r="X128" s="215">
        <f t="shared" si="127"/>
        <v>7696085751</v>
      </c>
      <c r="Y128" s="215">
        <f t="shared" si="127"/>
        <v>19610802110</v>
      </c>
      <c r="Z128" s="216">
        <f t="shared" si="77"/>
        <v>0.7181632051892799</v>
      </c>
      <c r="AA128" s="215">
        <f t="shared" si="127"/>
        <v>2852758951</v>
      </c>
      <c r="AB128" s="215">
        <f t="shared" si="127"/>
        <v>4843326800</v>
      </c>
      <c r="AC128" s="216">
        <f t="shared" si="65"/>
        <v>0.10447030674170461</v>
      </c>
      <c r="AE128" s="13"/>
      <c r="AF128" s="293"/>
    </row>
    <row r="129" spans="1:54" ht="24.95" customHeight="1">
      <c r="A129" s="32" t="str">
        <f t="shared" si="62"/>
        <v>C-4101-1500-6-0-4101074-02=11</v>
      </c>
      <c r="B129" s="217" t="str">
        <f>CONCATENATE(C129,"-",D129,"-",E129,"-",F129,"-",G129,"-",H129,"-",I129)</f>
        <v>C-4101-1500-6-0-4101074-02</v>
      </c>
      <c r="C129" s="218" t="s">
        <v>167</v>
      </c>
      <c r="D129" s="219" t="s">
        <v>171</v>
      </c>
      <c r="E129" s="219" t="s">
        <v>172</v>
      </c>
      <c r="F129" s="219" t="s">
        <v>173</v>
      </c>
      <c r="G129" s="219" t="s">
        <v>175</v>
      </c>
      <c r="H129" s="219" t="s">
        <v>179</v>
      </c>
      <c r="I129" s="219" t="s">
        <v>54</v>
      </c>
      <c r="J129" s="219"/>
      <c r="K129" s="220" t="s">
        <v>144</v>
      </c>
      <c r="L129" s="221" t="s">
        <v>29</v>
      </c>
      <c r="M129" s="259" t="s">
        <v>178</v>
      </c>
      <c r="N129" s="222">
        <v>27420887861</v>
      </c>
      <c r="O129" s="222"/>
      <c r="P129" s="222"/>
      <c r="Q129" s="222"/>
      <c r="R129" s="222"/>
      <c r="S129" s="222"/>
      <c r="T129" s="222">
        <f>+N129-S129+O129-P129+Q129-R129</f>
        <v>27420887861</v>
      </c>
      <c r="U129" s="222">
        <v>27306887861</v>
      </c>
      <c r="V129" s="222">
        <f t="shared" si="106"/>
        <v>114000000</v>
      </c>
      <c r="W129" s="224">
        <f t="shared" si="67"/>
        <v>0.99584258538316195</v>
      </c>
      <c r="X129" s="222">
        <v>7696085751</v>
      </c>
      <c r="Y129" s="222">
        <f t="shared" si="115"/>
        <v>19610802110</v>
      </c>
      <c r="Z129" s="224">
        <f t="shared" si="77"/>
        <v>0.7181632051892799</v>
      </c>
      <c r="AA129" s="222">
        <v>2852758951</v>
      </c>
      <c r="AB129" s="222">
        <f t="shared" si="107"/>
        <v>4843326800</v>
      </c>
      <c r="AC129" s="224">
        <f t="shared" si="65"/>
        <v>0.10447030674170461</v>
      </c>
      <c r="AE129" s="13"/>
      <c r="AF129" s="293"/>
    </row>
    <row r="130" spans="1:54" ht="49.5">
      <c r="A130" s="32" t="str">
        <f t="shared" si="62"/>
        <v>C-4101-1500-6-0-4101077=11</v>
      </c>
      <c r="B130" s="210" t="str">
        <f>CONCATENATE(C130,"-",D130,"-",E130,"-",F130,"-",G130,"-",H130)</f>
        <v>C-4101-1500-6-0-4101077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181</v>
      </c>
      <c r="I130" s="212"/>
      <c r="J130" s="212"/>
      <c r="K130" s="213" t="s">
        <v>144</v>
      </c>
      <c r="L130" s="214" t="s">
        <v>29</v>
      </c>
      <c r="M130" s="210" t="s">
        <v>182</v>
      </c>
      <c r="N130" s="215">
        <f>+N131</f>
        <v>17722088000</v>
      </c>
      <c r="O130" s="215">
        <f t="shared" ref="O130:AB130" si="128">+O131</f>
        <v>0</v>
      </c>
      <c r="P130" s="215">
        <f t="shared" si="128"/>
        <v>0</v>
      </c>
      <c r="Q130" s="215">
        <f t="shared" si="128"/>
        <v>0</v>
      </c>
      <c r="R130" s="215">
        <f t="shared" si="128"/>
        <v>0</v>
      </c>
      <c r="S130" s="215">
        <f t="shared" si="128"/>
        <v>0</v>
      </c>
      <c r="T130" s="215">
        <f t="shared" si="128"/>
        <v>17722088000</v>
      </c>
      <c r="U130" s="215">
        <f t="shared" si="128"/>
        <v>17722088000</v>
      </c>
      <c r="V130" s="215">
        <f t="shared" si="128"/>
        <v>0</v>
      </c>
      <c r="W130" s="216">
        <f t="shared" si="67"/>
        <v>1</v>
      </c>
      <c r="X130" s="215">
        <f t="shared" si="128"/>
        <v>0</v>
      </c>
      <c r="Y130" s="215">
        <f t="shared" si="128"/>
        <v>17722088000</v>
      </c>
      <c r="Z130" s="216">
        <f t="shared" si="77"/>
        <v>1</v>
      </c>
      <c r="AA130" s="215">
        <f t="shared" si="128"/>
        <v>0</v>
      </c>
      <c r="AB130" s="215">
        <f t="shared" si="128"/>
        <v>0</v>
      </c>
      <c r="AC130" s="216">
        <f t="shared" si="65"/>
        <v>0</v>
      </c>
      <c r="AE130" s="13"/>
      <c r="AF130" s="293"/>
    </row>
    <row r="131" spans="1:54" ht="24.95" customHeight="1">
      <c r="A131" s="32" t="str">
        <f t="shared" si="62"/>
        <v>C-4101-1500-6-0-4101077-02=11</v>
      </c>
      <c r="B131" s="217" t="str">
        <f>CONCATENATE(C131,"-",D131,"-",E131,"-",F131,"-",G131,"-",H131,"-",I131)</f>
        <v>C-4101-1500-6-0-4101077-02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181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17722088000</v>
      </c>
      <c r="O131" s="222"/>
      <c r="P131" s="222"/>
      <c r="Q131" s="222"/>
      <c r="R131" s="222"/>
      <c r="S131" s="222"/>
      <c r="T131" s="222">
        <f>+N131-S131+O131-P131+Q131-R131</f>
        <v>17722088000</v>
      </c>
      <c r="U131" s="222">
        <v>17722088000</v>
      </c>
      <c r="V131" s="222">
        <f t="shared" si="106"/>
        <v>0</v>
      </c>
      <c r="W131" s="224">
        <f t="shared" si="67"/>
        <v>1</v>
      </c>
      <c r="X131" s="222">
        <v>0</v>
      </c>
      <c r="Y131" s="222">
        <f t="shared" si="115"/>
        <v>17722088000</v>
      </c>
      <c r="Z131" s="224">
        <f t="shared" si="77"/>
        <v>1</v>
      </c>
      <c r="AA131" s="222">
        <v>0</v>
      </c>
      <c r="AB131" s="222">
        <f t="shared" si="107"/>
        <v>0</v>
      </c>
      <c r="AC131" s="224">
        <f t="shared" si="65"/>
        <v>0</v>
      </c>
      <c r="AE131" s="13"/>
      <c r="AF131" s="293"/>
    </row>
    <row r="132" spans="1:54" ht="49.5">
      <c r="A132" s="32" t="str">
        <f t="shared" si="62"/>
        <v>C-4101-1500-6-0-4101078=11</v>
      </c>
      <c r="B132" s="210" t="str">
        <f>CONCATENATE(C132,"-",D132,"-",E132,"-",F132,"-",G132,"-",H132)</f>
        <v>C-4101-1500-6-0-4101078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183</v>
      </c>
      <c r="I132" s="212"/>
      <c r="J132" s="212"/>
      <c r="K132" s="213" t="s">
        <v>144</v>
      </c>
      <c r="L132" s="214" t="s">
        <v>29</v>
      </c>
      <c r="M132" s="210" t="s">
        <v>184</v>
      </c>
      <c r="N132" s="215">
        <f t="shared" ref="N132:V132" si="129">SUM(N133:N133)</f>
        <v>16276997084</v>
      </c>
      <c r="O132" s="215">
        <f t="shared" si="129"/>
        <v>0</v>
      </c>
      <c r="P132" s="215">
        <f t="shared" si="129"/>
        <v>0</v>
      </c>
      <c r="Q132" s="215">
        <f t="shared" si="129"/>
        <v>0</v>
      </c>
      <c r="R132" s="215">
        <f t="shared" si="129"/>
        <v>0</v>
      </c>
      <c r="S132" s="215">
        <f t="shared" si="129"/>
        <v>0</v>
      </c>
      <c r="T132" s="215">
        <f t="shared" si="129"/>
        <v>16276997084</v>
      </c>
      <c r="U132" s="215">
        <f t="shared" si="129"/>
        <v>15534032423</v>
      </c>
      <c r="V132" s="215">
        <f t="shared" si="129"/>
        <v>742964661</v>
      </c>
      <c r="W132" s="216">
        <f t="shared" si="67"/>
        <v>0.95435493063211763</v>
      </c>
      <c r="X132" s="215">
        <f t="shared" ref="X132:Y132" si="130">SUM(X133:X133)</f>
        <v>38868703</v>
      </c>
      <c r="Y132" s="215">
        <f t="shared" si="130"/>
        <v>15495163720</v>
      </c>
      <c r="Z132" s="216">
        <f t="shared" si="77"/>
        <v>0.99749783559467464</v>
      </c>
      <c r="AA132" s="215">
        <f t="shared" ref="AA132:AB132" si="131">SUM(AA133:AA133)</f>
        <v>38868703</v>
      </c>
      <c r="AB132" s="215">
        <f t="shared" si="131"/>
        <v>0</v>
      </c>
      <c r="AC132" s="216">
        <f t="shared" si="65"/>
        <v>2.5021644053253179E-3</v>
      </c>
      <c r="AE132" s="13"/>
      <c r="AF132" s="293"/>
    </row>
    <row r="133" spans="1:54" ht="24.95" customHeight="1">
      <c r="A133" s="32" t="str">
        <f t="shared" si="62"/>
        <v>C-4101-1500-6-0-4101078-02=11</v>
      </c>
      <c r="B133" s="217" t="str">
        <f>CONCATENATE(C133,"-",D133,"-",E133,"-",F133,"-",G133,"-",H133,"-",I133)</f>
        <v>C-4101-1500-6-0-4101078-02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183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16276997084</v>
      </c>
      <c r="O133" s="222"/>
      <c r="P133" s="222"/>
      <c r="Q133" s="222"/>
      <c r="R133" s="222"/>
      <c r="S133" s="222"/>
      <c r="T133" s="222">
        <f>+N133-S133+O133-P133+Q133-R133</f>
        <v>16276997084</v>
      </c>
      <c r="U133" s="222">
        <v>15534032423</v>
      </c>
      <c r="V133" s="222">
        <f t="shared" si="106"/>
        <v>742964661</v>
      </c>
      <c r="W133" s="224">
        <f t="shared" si="67"/>
        <v>0.95435493063211763</v>
      </c>
      <c r="X133" s="222">
        <v>38868703</v>
      </c>
      <c r="Y133" s="222">
        <f t="shared" si="115"/>
        <v>15495163720</v>
      </c>
      <c r="Z133" s="224">
        <f t="shared" si="77"/>
        <v>0.99749783559467464</v>
      </c>
      <c r="AA133" s="222">
        <v>38868703</v>
      </c>
      <c r="AB133" s="222">
        <f t="shared" si="107"/>
        <v>0</v>
      </c>
      <c r="AC133" s="224">
        <f t="shared" si="65"/>
        <v>2.5021644053253179E-3</v>
      </c>
      <c r="AE133" s="13"/>
      <c r="AF133" s="293"/>
    </row>
    <row r="134" spans="1:54" ht="24.95" customHeight="1">
      <c r="A134" s="32" t="str">
        <f t="shared" si="62"/>
        <v>C-4101-1500-6-0-4101080=11</v>
      </c>
      <c r="B134" s="210" t="str">
        <f>CONCATENATE(C134,"-",D134,"-",E134,"-",F134,"-",G134,"-",H134)</f>
        <v>C-4101-1500-6-0-4101080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185</v>
      </c>
      <c r="I134" s="212"/>
      <c r="J134" s="212"/>
      <c r="K134" s="213" t="s">
        <v>144</v>
      </c>
      <c r="L134" s="214" t="s">
        <v>29</v>
      </c>
      <c r="M134" s="210" t="s">
        <v>186</v>
      </c>
      <c r="N134" s="215">
        <f>+N135</f>
        <v>30467075662</v>
      </c>
      <c r="O134" s="215">
        <f t="shared" ref="O134:AB134" si="132">+O135</f>
        <v>0</v>
      </c>
      <c r="P134" s="215">
        <f t="shared" si="132"/>
        <v>0</v>
      </c>
      <c r="Q134" s="215">
        <f t="shared" si="132"/>
        <v>0</v>
      </c>
      <c r="R134" s="215">
        <f t="shared" si="132"/>
        <v>0</v>
      </c>
      <c r="S134" s="215">
        <f t="shared" si="132"/>
        <v>0</v>
      </c>
      <c r="T134" s="215">
        <f t="shared" si="132"/>
        <v>30467075662</v>
      </c>
      <c r="U134" s="215">
        <f t="shared" si="132"/>
        <v>23398487248</v>
      </c>
      <c r="V134" s="215">
        <f t="shared" si="132"/>
        <v>7068588414</v>
      </c>
      <c r="W134" s="216">
        <f t="shared" si="67"/>
        <v>0.76799255391562626</v>
      </c>
      <c r="X134" s="215">
        <f t="shared" si="132"/>
        <v>0</v>
      </c>
      <c r="Y134" s="215">
        <f t="shared" si="132"/>
        <v>23398487248</v>
      </c>
      <c r="Z134" s="216">
        <f t="shared" si="77"/>
        <v>1</v>
      </c>
      <c r="AA134" s="215">
        <f t="shared" si="132"/>
        <v>0</v>
      </c>
      <c r="AB134" s="215">
        <f t="shared" si="132"/>
        <v>0</v>
      </c>
      <c r="AC134" s="216">
        <f t="shared" si="65"/>
        <v>0</v>
      </c>
      <c r="AE134" s="13"/>
      <c r="AF134" s="293"/>
    </row>
    <row r="135" spans="1:54" ht="24.95" customHeight="1">
      <c r="A135" s="32" t="str">
        <f t="shared" si="62"/>
        <v>C-4101-1500-6-0-4101080-02=11</v>
      </c>
      <c r="B135" s="217" t="str">
        <f>CONCATENATE(C135,"-",D135,"-",E135,"-",F135,"-",G135,"-",H135,"-",I135)</f>
        <v>C-4101-1500-6-0-4101080-02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185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30467075662</v>
      </c>
      <c r="O135" s="222"/>
      <c r="P135" s="222"/>
      <c r="Q135" s="222"/>
      <c r="R135" s="222"/>
      <c r="S135" s="222"/>
      <c r="T135" s="222">
        <f>+N135-S135+O135-P135+Q135-R135</f>
        <v>30467075662</v>
      </c>
      <c r="U135" s="222">
        <v>23398487248</v>
      </c>
      <c r="V135" s="222">
        <f t="shared" si="106"/>
        <v>7068588414</v>
      </c>
      <c r="W135" s="224">
        <f t="shared" si="67"/>
        <v>0.76799255391562626</v>
      </c>
      <c r="X135" s="222">
        <v>0</v>
      </c>
      <c r="Y135" s="222">
        <f t="shared" si="115"/>
        <v>23398487248</v>
      </c>
      <c r="Z135" s="224">
        <f t="shared" si="77"/>
        <v>1</v>
      </c>
      <c r="AA135" s="222">
        <v>0</v>
      </c>
      <c r="AB135" s="222">
        <f t="shared" si="107"/>
        <v>0</v>
      </c>
      <c r="AC135" s="224">
        <f t="shared" si="65"/>
        <v>0</v>
      </c>
      <c r="AE135" s="13"/>
      <c r="AF135" s="293"/>
    </row>
    <row r="136" spans="1:54" ht="33">
      <c r="A136" s="32" t="str">
        <f t="shared" si="62"/>
        <v>C-4101-1500-6-0-4101081=11</v>
      </c>
      <c r="B136" s="210" t="str">
        <f>CONCATENATE(C136,"-",D136,"-",E136,"-",F136,"-",G136,"-",H136)</f>
        <v>C-4101-1500-6-0-4101081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187</v>
      </c>
      <c r="I136" s="212"/>
      <c r="J136" s="212"/>
      <c r="K136" s="213" t="s">
        <v>144</v>
      </c>
      <c r="L136" s="214" t="s">
        <v>29</v>
      </c>
      <c r="M136" s="210" t="s">
        <v>188</v>
      </c>
      <c r="N136" s="215">
        <f>SUM(N137:N138)</f>
        <v>21267303756</v>
      </c>
      <c r="O136" s="215">
        <f t="shared" ref="O136:AB136" si="133">SUM(O137:O138)</f>
        <v>0</v>
      </c>
      <c r="P136" s="215">
        <f t="shared" si="133"/>
        <v>0</v>
      </c>
      <c r="Q136" s="215">
        <f t="shared" si="133"/>
        <v>0</v>
      </c>
      <c r="R136" s="215">
        <f t="shared" si="133"/>
        <v>0</v>
      </c>
      <c r="S136" s="215">
        <f t="shared" si="133"/>
        <v>0</v>
      </c>
      <c r="T136" s="215">
        <f t="shared" si="133"/>
        <v>21267303756</v>
      </c>
      <c r="U136" s="215">
        <f t="shared" si="133"/>
        <v>21267303756</v>
      </c>
      <c r="V136" s="215">
        <f t="shared" si="133"/>
        <v>0</v>
      </c>
      <c r="W136" s="216">
        <f t="shared" si="67"/>
        <v>1</v>
      </c>
      <c r="X136" s="215">
        <f t="shared" si="133"/>
        <v>0</v>
      </c>
      <c r="Y136" s="215">
        <f t="shared" si="133"/>
        <v>21267303756</v>
      </c>
      <c r="Z136" s="216">
        <f t="shared" si="77"/>
        <v>1</v>
      </c>
      <c r="AA136" s="215">
        <f t="shared" si="133"/>
        <v>0</v>
      </c>
      <c r="AB136" s="215">
        <f t="shared" si="133"/>
        <v>0</v>
      </c>
      <c r="AC136" s="216">
        <f t="shared" si="65"/>
        <v>0</v>
      </c>
      <c r="AE136" s="13"/>
      <c r="AF136" s="293"/>
    </row>
    <row r="137" spans="1:54" ht="24.95" customHeight="1">
      <c r="A137" s="32" t="str">
        <f t="shared" si="62"/>
        <v>C-4101-1500-6-0-4101081-02=11</v>
      </c>
      <c r="B137" s="217" t="str">
        <f>CONCATENATE(C137,"-",D137,"-",E137,"-",F137,"-",G137,"-",H137,"-",I137)</f>
        <v>C-4101-1500-6-0-4101081-02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187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4435143756</v>
      </c>
      <c r="O137" s="222"/>
      <c r="P137" s="222"/>
      <c r="Q137" s="222"/>
      <c r="R137" s="222"/>
      <c r="S137" s="222"/>
      <c r="T137" s="222">
        <f>+N137-S137+O137-P137+Q137-R137</f>
        <v>4435143756</v>
      </c>
      <c r="U137" s="222">
        <v>4435143756</v>
      </c>
      <c r="V137" s="222">
        <f t="shared" si="106"/>
        <v>0</v>
      </c>
      <c r="W137" s="224">
        <f t="shared" si="67"/>
        <v>1</v>
      </c>
      <c r="X137" s="222">
        <v>0</v>
      </c>
      <c r="Y137" s="222">
        <f t="shared" si="115"/>
        <v>4435143756</v>
      </c>
      <c r="Z137" s="224">
        <f t="shared" si="77"/>
        <v>1</v>
      </c>
      <c r="AA137" s="222">
        <v>0</v>
      </c>
      <c r="AB137" s="222">
        <f t="shared" si="107"/>
        <v>0</v>
      </c>
      <c r="AC137" s="224">
        <f t="shared" si="65"/>
        <v>0</v>
      </c>
      <c r="AE137" s="13"/>
      <c r="AF137" s="293"/>
    </row>
    <row r="138" spans="1:54" ht="24.95" customHeight="1">
      <c r="A138" s="32" t="str">
        <f t="shared" si="62"/>
        <v>C-4101-1500-6-0-4101081-03=11</v>
      </c>
      <c r="B138" s="217" t="str">
        <f>CONCATENATE(C138,"-",D138,"-",E138,"-",F138,"-",G138,"-",H138,"-",I138)</f>
        <v>C-4101-1500-6-0-4101081-03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187</v>
      </c>
      <c r="I138" s="225" t="s">
        <v>65</v>
      </c>
      <c r="J138" s="219"/>
      <c r="K138" s="220" t="s">
        <v>144</v>
      </c>
      <c r="L138" s="221" t="s">
        <v>29</v>
      </c>
      <c r="M138" s="259" t="s">
        <v>127</v>
      </c>
      <c r="N138" s="222">
        <v>16832160000</v>
      </c>
      <c r="O138" s="222"/>
      <c r="P138" s="222"/>
      <c r="Q138" s="222"/>
      <c r="R138" s="222"/>
      <c r="S138" s="222"/>
      <c r="T138" s="222">
        <f>+N138-S138+O138-P138+Q138-R138</f>
        <v>16832160000</v>
      </c>
      <c r="U138" s="222">
        <v>16832160000</v>
      </c>
      <c r="V138" s="222">
        <f t="shared" si="106"/>
        <v>0</v>
      </c>
      <c r="W138" s="224">
        <f t="shared" si="67"/>
        <v>1</v>
      </c>
      <c r="X138" s="222">
        <v>0</v>
      </c>
      <c r="Y138" s="222">
        <f t="shared" si="115"/>
        <v>16832160000</v>
      </c>
      <c r="Z138" s="224">
        <f t="shared" si="77"/>
        <v>1</v>
      </c>
      <c r="AA138" s="222">
        <v>0</v>
      </c>
      <c r="AB138" s="222">
        <f t="shared" si="107"/>
        <v>0</v>
      </c>
      <c r="AC138" s="224">
        <f t="shared" si="65"/>
        <v>0</v>
      </c>
      <c r="AE138" s="13"/>
      <c r="AF138" s="293"/>
    </row>
    <row r="139" spans="1:54" ht="35.1" customHeight="1">
      <c r="A139" s="32" t="str">
        <f t="shared" si="62"/>
        <v>C-4103=</v>
      </c>
      <c r="B139" s="188" t="str">
        <f>CONCATENATE(C139,"-",D139)</f>
        <v>C-4103</v>
      </c>
      <c r="C139" s="189" t="s">
        <v>167</v>
      </c>
      <c r="D139" s="191">
        <v>4103</v>
      </c>
      <c r="E139" s="191"/>
      <c r="F139" s="191"/>
      <c r="G139" s="191"/>
      <c r="H139" s="191"/>
      <c r="I139" s="191"/>
      <c r="J139" s="191"/>
      <c r="K139" s="192"/>
      <c r="L139" s="193"/>
      <c r="M139" s="188" t="s">
        <v>189</v>
      </c>
      <c r="N139" s="194">
        <f>+N140</f>
        <v>3297855758141</v>
      </c>
      <c r="O139" s="194">
        <f t="shared" ref="O139:V139" si="134">+O140</f>
        <v>0</v>
      </c>
      <c r="P139" s="194">
        <f t="shared" si="134"/>
        <v>0</v>
      </c>
      <c r="Q139" s="194">
        <f t="shared" si="134"/>
        <v>51538310632</v>
      </c>
      <c r="R139" s="194">
        <f t="shared" si="134"/>
        <v>51538310632</v>
      </c>
      <c r="S139" s="194">
        <f t="shared" si="134"/>
        <v>800000000000</v>
      </c>
      <c r="T139" s="194">
        <f t="shared" si="134"/>
        <v>2497855758141</v>
      </c>
      <c r="U139" s="194">
        <f t="shared" si="134"/>
        <v>2254855764602.6299</v>
      </c>
      <c r="V139" s="194">
        <f t="shared" si="134"/>
        <v>242999993538.37003</v>
      </c>
      <c r="W139" s="195">
        <f t="shared" si="67"/>
        <v>0.90271656289744284</v>
      </c>
      <c r="X139" s="194">
        <f t="shared" ref="X139:Y139" si="135">+X140</f>
        <v>124753804794.89</v>
      </c>
      <c r="Y139" s="194">
        <f t="shared" si="135"/>
        <v>2130101959807.74</v>
      </c>
      <c r="Z139" s="195">
        <f t="shared" si="77"/>
        <v>0.94467326613377633</v>
      </c>
      <c r="AA139" s="194">
        <f t="shared" ref="AA139:AB139" si="136">+AA140</f>
        <v>124753804794.89</v>
      </c>
      <c r="AB139" s="194">
        <f t="shared" si="136"/>
        <v>0</v>
      </c>
      <c r="AC139" s="195">
        <f t="shared" si="65"/>
        <v>5.5326733866223672E-2</v>
      </c>
      <c r="AE139" s="13"/>
      <c r="AF139" s="293"/>
    </row>
    <row r="140" spans="1:54" ht="24.95" customHeight="1">
      <c r="A140" s="32" t="str">
        <f t="shared" ref="A140:A192" si="137">+CONCATENATE(B140,"=",K140)</f>
        <v>C-4103-1500=</v>
      </c>
      <c r="B140" s="196" t="str">
        <f>CONCATENATE(C140,"-",D140,"-",E140)</f>
        <v>C-4103-1500</v>
      </c>
      <c r="C140" s="197" t="s">
        <v>167</v>
      </c>
      <c r="D140" s="198">
        <v>4103</v>
      </c>
      <c r="E140" s="198">
        <v>1500</v>
      </c>
      <c r="F140" s="198"/>
      <c r="G140" s="198"/>
      <c r="H140" s="198"/>
      <c r="I140" s="198"/>
      <c r="J140" s="198"/>
      <c r="K140" s="199"/>
      <c r="L140" s="200"/>
      <c r="M140" s="196" t="s">
        <v>170</v>
      </c>
      <c r="N140" s="201">
        <f>+N141+N148+N157+N164+N169+N178+N181</f>
        <v>3297855758141</v>
      </c>
      <c r="O140" s="201">
        <f t="shared" ref="O140:V140" si="138">+O141+O148+O157+O164+O169+O178+O181</f>
        <v>0</v>
      </c>
      <c r="P140" s="201">
        <f t="shared" si="138"/>
        <v>0</v>
      </c>
      <c r="Q140" s="201">
        <f t="shared" si="138"/>
        <v>51538310632</v>
      </c>
      <c r="R140" s="201">
        <f t="shared" si="138"/>
        <v>51538310632</v>
      </c>
      <c r="S140" s="201">
        <f t="shared" si="138"/>
        <v>800000000000</v>
      </c>
      <c r="T140" s="201">
        <f t="shared" si="138"/>
        <v>2497855758141</v>
      </c>
      <c r="U140" s="201">
        <f t="shared" si="138"/>
        <v>2254855764602.6299</v>
      </c>
      <c r="V140" s="201">
        <f t="shared" si="138"/>
        <v>242999993538.37003</v>
      </c>
      <c r="W140" s="202">
        <f t="shared" si="67"/>
        <v>0.90271656289744284</v>
      </c>
      <c r="X140" s="201">
        <f t="shared" ref="X140:Y140" si="139">+X141+X148+X157+X164+X169+X178+X181</f>
        <v>124753804794.89</v>
      </c>
      <c r="Y140" s="201">
        <f t="shared" si="139"/>
        <v>2130101959807.74</v>
      </c>
      <c r="Z140" s="202">
        <f t="shared" si="77"/>
        <v>0.94467326613377633</v>
      </c>
      <c r="AA140" s="201">
        <f t="shared" ref="AA140:AB140" si="140">+AA141+AA148+AA157+AA164+AA169+AA178+AA181</f>
        <v>124753804794.89</v>
      </c>
      <c r="AB140" s="201">
        <f t="shared" si="140"/>
        <v>0</v>
      </c>
      <c r="AC140" s="202">
        <f t="shared" ref="AC140:AC193" si="141">+IF(U140&gt;0,(AA140/U140),0)</f>
        <v>5.5326733866223672E-2</v>
      </c>
      <c r="AE140" s="13"/>
      <c r="AF140" s="293"/>
    </row>
    <row r="141" spans="1:54" ht="33">
      <c r="A141" s="32" t="str">
        <f t="shared" si="137"/>
        <v>C-4103-1500-12=</v>
      </c>
      <c r="B141" s="203" t="str">
        <f>CONCATENATE(C141,"-",D141,"-",E141,"-",F141)</f>
        <v>C-4103-1500-12</v>
      </c>
      <c r="C141" s="227" t="s">
        <v>167</v>
      </c>
      <c r="D141" s="228" t="s">
        <v>190</v>
      </c>
      <c r="E141" s="228" t="s">
        <v>172</v>
      </c>
      <c r="F141" s="228" t="s">
        <v>191</v>
      </c>
      <c r="G141" s="228"/>
      <c r="H141" s="228"/>
      <c r="I141" s="228"/>
      <c r="J141" s="228"/>
      <c r="K141" s="229"/>
      <c r="L141" s="230"/>
      <c r="M141" s="231" t="s">
        <v>280</v>
      </c>
      <c r="N141" s="232">
        <f>+N142+N146</f>
        <v>1879080064351</v>
      </c>
      <c r="O141" s="232">
        <f t="shared" ref="O141:V141" si="142">+O142+O146</f>
        <v>0</v>
      </c>
      <c r="P141" s="232">
        <f t="shared" si="142"/>
        <v>0</v>
      </c>
      <c r="Q141" s="232">
        <f t="shared" si="142"/>
        <v>4660008249</v>
      </c>
      <c r="R141" s="232">
        <f t="shared" si="142"/>
        <v>4660008249</v>
      </c>
      <c r="S141" s="232">
        <f t="shared" si="142"/>
        <v>60000000000</v>
      </c>
      <c r="T141" s="232">
        <f t="shared" si="142"/>
        <v>1819080064351</v>
      </c>
      <c r="U141" s="232">
        <f t="shared" si="142"/>
        <v>1694897452474.96</v>
      </c>
      <c r="V141" s="232">
        <f t="shared" si="142"/>
        <v>124182611876.04001</v>
      </c>
      <c r="W141" s="233">
        <f t="shared" si="67"/>
        <v>0.93173328963926327</v>
      </c>
      <c r="X141" s="232">
        <f t="shared" ref="X141:Y141" si="143">+X142+X146</f>
        <v>101351067530.95999</v>
      </c>
      <c r="Y141" s="232">
        <f t="shared" si="143"/>
        <v>1593546384944</v>
      </c>
      <c r="Z141" s="233">
        <f t="shared" si="77"/>
        <v>0.940202242098504</v>
      </c>
      <c r="AA141" s="232">
        <f t="shared" ref="AA141:AB141" si="144">+AA142+AA146</f>
        <v>101351067530.95999</v>
      </c>
      <c r="AB141" s="232">
        <f t="shared" si="144"/>
        <v>0</v>
      </c>
      <c r="AC141" s="233">
        <f t="shared" si="141"/>
        <v>5.979775790149601E-2</v>
      </c>
      <c r="AE141" s="13"/>
      <c r="AF141" s="293"/>
    </row>
    <row r="142" spans="1:54" ht="33">
      <c r="A142" s="32" t="str">
        <f t="shared" si="137"/>
        <v>C-4103-1500-12-0-4103006=</v>
      </c>
      <c r="B142" s="210" t="str">
        <f>CONCATENATE(C142,"-",D142,"-",E142,"-",F142,"-",G142,"-",H142)</f>
        <v>C-4103-1500-12-0-4103006</v>
      </c>
      <c r="C142" s="211" t="s">
        <v>167</v>
      </c>
      <c r="D142" s="212" t="s">
        <v>190</v>
      </c>
      <c r="E142" s="212" t="s">
        <v>172</v>
      </c>
      <c r="F142" s="212" t="s">
        <v>191</v>
      </c>
      <c r="G142" s="212" t="s">
        <v>175</v>
      </c>
      <c r="H142" s="212" t="s">
        <v>193</v>
      </c>
      <c r="I142" s="212"/>
      <c r="J142" s="212"/>
      <c r="K142" s="213"/>
      <c r="L142" s="214"/>
      <c r="M142" s="210" t="s">
        <v>194</v>
      </c>
      <c r="N142" s="215">
        <f t="shared" ref="N142" si="145">SUM(N143:N145)</f>
        <v>1873368757333</v>
      </c>
      <c r="O142" s="215">
        <f t="shared" ref="O142:V142" si="146">SUM(O143:O145)</f>
        <v>0</v>
      </c>
      <c r="P142" s="215">
        <f t="shared" si="146"/>
        <v>0</v>
      </c>
      <c r="Q142" s="215">
        <f t="shared" si="146"/>
        <v>4660008249</v>
      </c>
      <c r="R142" s="215">
        <f t="shared" si="146"/>
        <v>4660008249</v>
      </c>
      <c r="S142" s="215">
        <f t="shared" si="146"/>
        <v>60000000000</v>
      </c>
      <c r="T142" s="215">
        <f t="shared" si="146"/>
        <v>1813368757333</v>
      </c>
      <c r="U142" s="215">
        <f t="shared" si="146"/>
        <v>1689786145456.96</v>
      </c>
      <c r="V142" s="215">
        <f t="shared" si="146"/>
        <v>123582611876.04001</v>
      </c>
      <c r="W142" s="216">
        <f t="shared" si="67"/>
        <v>0.93184915567984183</v>
      </c>
      <c r="X142" s="215">
        <f t="shared" ref="X142:Y142" si="147">SUM(X143:X145)</f>
        <v>101351067530.95999</v>
      </c>
      <c r="Y142" s="215">
        <f t="shared" si="147"/>
        <v>1588435077926</v>
      </c>
      <c r="Z142" s="216">
        <f t="shared" si="77"/>
        <v>0.94002136435817907</v>
      </c>
      <c r="AA142" s="215">
        <f t="shared" ref="AA142:AB142" si="148">SUM(AA143:AA145)</f>
        <v>101351067530.95999</v>
      </c>
      <c r="AB142" s="215">
        <f t="shared" si="148"/>
        <v>0</v>
      </c>
      <c r="AC142" s="216">
        <f t="shared" si="141"/>
        <v>5.9978635641820911E-2</v>
      </c>
      <c r="AE142" s="13"/>
      <c r="AF142" s="293"/>
    </row>
    <row r="143" spans="1:54" s="64" customFormat="1" ht="24.95" customHeight="1">
      <c r="A143" s="32" t="str">
        <f t="shared" si="137"/>
        <v>C-4103-1500-12-0-4103006-02=10</v>
      </c>
      <c r="B143" s="217" t="str">
        <f>CONCATENATE(C143,"-",D143,"-",E143,"-",F143,"-",G143,"-",H143,"-",I143)</f>
        <v>C-4103-1500-12-0-4103006-02</v>
      </c>
      <c r="C143" s="266" t="s">
        <v>167</v>
      </c>
      <c r="D143" s="267" t="s">
        <v>190</v>
      </c>
      <c r="E143" s="267" t="s">
        <v>172</v>
      </c>
      <c r="F143" s="267" t="s">
        <v>191</v>
      </c>
      <c r="G143" s="267" t="s">
        <v>175</v>
      </c>
      <c r="H143" s="267" t="s">
        <v>193</v>
      </c>
      <c r="I143" s="267" t="s">
        <v>54</v>
      </c>
      <c r="J143" s="219"/>
      <c r="K143" s="220">
        <v>10</v>
      </c>
      <c r="L143" s="221" t="s">
        <v>29</v>
      </c>
      <c r="M143" s="259" t="s">
        <v>178</v>
      </c>
      <c r="N143" s="222">
        <v>170514008840.17001</v>
      </c>
      <c r="O143" s="637"/>
      <c r="P143" s="638"/>
      <c r="Q143" s="223"/>
      <c r="R143" s="223">
        <v>4660008249</v>
      </c>
      <c r="S143" s="223"/>
      <c r="T143" s="222">
        <f>+N143-S143+O143-P143+Q143-R143</f>
        <v>165854000591.17001</v>
      </c>
      <c r="U143" s="222">
        <v>42295388715.129997</v>
      </c>
      <c r="V143" s="222">
        <f>+T143-U143</f>
        <v>123558611876.04001</v>
      </c>
      <c r="W143" s="224">
        <f t="shared" si="67"/>
        <v>0.25501578837032757</v>
      </c>
      <c r="X143" s="222">
        <v>17740107530.959999</v>
      </c>
      <c r="Y143" s="222">
        <f>+U143-X143</f>
        <v>24555281184.169998</v>
      </c>
      <c r="Z143" s="224">
        <f t="shared" si="77"/>
        <v>0.58056639104456398</v>
      </c>
      <c r="AA143" s="222">
        <v>17740107530.959999</v>
      </c>
      <c r="AB143" s="222">
        <f>+X143-AA143</f>
        <v>0</v>
      </c>
      <c r="AC143" s="224">
        <f t="shared" si="141"/>
        <v>0.41943360895543608</v>
      </c>
      <c r="AD143" s="13"/>
      <c r="AE143" s="13"/>
      <c r="AF143" s="29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</row>
    <row r="144" spans="1:54" ht="24.95" customHeight="1">
      <c r="A144" s="32" t="str">
        <f t="shared" si="137"/>
        <v>C-4103-1500-12-0-4103006-03=10</v>
      </c>
      <c r="B144" s="217" t="str">
        <f>CONCATENATE(C144,"-",D144,"-",E144,"-",F144,"-",G144,"-",H144,"-",I144)</f>
        <v>C-4103-1500-12-0-4103006-03</v>
      </c>
      <c r="C144" s="266" t="s">
        <v>167</v>
      </c>
      <c r="D144" s="267" t="s">
        <v>190</v>
      </c>
      <c r="E144" s="267" t="s">
        <v>172</v>
      </c>
      <c r="F144" s="267" t="s">
        <v>191</v>
      </c>
      <c r="G144" s="267" t="s">
        <v>175</v>
      </c>
      <c r="H144" s="267" t="s">
        <v>193</v>
      </c>
      <c r="I144" s="267" t="s">
        <v>65</v>
      </c>
      <c r="J144" s="219"/>
      <c r="K144" s="220">
        <v>10</v>
      </c>
      <c r="L144" s="221" t="s">
        <v>29</v>
      </c>
      <c r="M144" s="259" t="s">
        <v>127</v>
      </c>
      <c r="N144" s="222">
        <v>11682690576.83</v>
      </c>
      <c r="O144" s="637"/>
      <c r="P144" s="638"/>
      <c r="Q144" s="223">
        <v>4660008249</v>
      </c>
      <c r="R144" s="223"/>
      <c r="S144" s="223"/>
      <c r="T144" s="222">
        <f>+N144-S144+O144-P144+Q144-R144</f>
        <v>16342698825.83</v>
      </c>
      <c r="U144" s="222">
        <v>16318698825.83</v>
      </c>
      <c r="V144" s="222">
        <f>+T144-U144</f>
        <v>24000000</v>
      </c>
      <c r="W144" s="224">
        <f t="shared" si="67"/>
        <v>0.99853145430532764</v>
      </c>
      <c r="X144" s="222">
        <v>1000000</v>
      </c>
      <c r="Y144" s="222">
        <f>+U144-X144</f>
        <v>16317698825.83</v>
      </c>
      <c r="Z144" s="224">
        <f t="shared" si="77"/>
        <v>0.99993872060446287</v>
      </c>
      <c r="AA144" s="222">
        <v>1000000</v>
      </c>
      <c r="AB144" s="222">
        <f t="shared" ref="AB144:AB145" si="149">+X144-AA144</f>
        <v>0</v>
      </c>
      <c r="AC144" s="224">
        <f t="shared" si="141"/>
        <v>6.1279395537170719E-5</v>
      </c>
      <c r="AE144" s="13"/>
      <c r="AF144" s="293"/>
    </row>
    <row r="145" spans="1:54" ht="24.95" customHeight="1">
      <c r="A145" s="32" t="str">
        <f t="shared" si="137"/>
        <v>C-4103-1500-12-0-4103006-03=11</v>
      </c>
      <c r="B145" s="217" t="str">
        <f>CONCATENATE(C145,"-",D145,"-",E145,"-",F145,"-",G145,"-",H145,"-",I145)</f>
        <v>C-4103-1500-12-0-4103006-03</v>
      </c>
      <c r="C145" s="266" t="s">
        <v>167</v>
      </c>
      <c r="D145" s="267" t="s">
        <v>190</v>
      </c>
      <c r="E145" s="267" t="s">
        <v>172</v>
      </c>
      <c r="F145" s="267" t="s">
        <v>191</v>
      </c>
      <c r="G145" s="267" t="s">
        <v>175</v>
      </c>
      <c r="H145" s="267" t="s">
        <v>193</v>
      </c>
      <c r="I145" s="267" t="s">
        <v>65</v>
      </c>
      <c r="J145" s="267"/>
      <c r="K145" s="268" t="s">
        <v>144</v>
      </c>
      <c r="L145" s="269" t="s">
        <v>29</v>
      </c>
      <c r="M145" s="259" t="s">
        <v>127</v>
      </c>
      <c r="N145" s="222">
        <v>1691172057916</v>
      </c>
      <c r="O145" s="637"/>
      <c r="P145" s="638"/>
      <c r="Q145" s="223"/>
      <c r="R145" s="223"/>
      <c r="S145" s="223">
        <v>60000000000</v>
      </c>
      <c r="T145" s="222">
        <f>+N145-S145+O145-P145+Q145-R145</f>
        <v>1631172057916</v>
      </c>
      <c r="U145" s="222">
        <v>1631172057916</v>
      </c>
      <c r="V145" s="222">
        <f>+T145-U145</f>
        <v>0</v>
      </c>
      <c r="W145" s="224">
        <f t="shared" si="67"/>
        <v>1</v>
      </c>
      <c r="X145" s="222">
        <v>83609960000</v>
      </c>
      <c r="Y145" s="222">
        <f>+U145-X145</f>
        <v>1547562097916</v>
      </c>
      <c r="Z145" s="224">
        <f t="shared" si="77"/>
        <v>0.94874240298916057</v>
      </c>
      <c r="AA145" s="222">
        <v>83609960000</v>
      </c>
      <c r="AB145" s="222">
        <f t="shared" si="149"/>
        <v>0</v>
      </c>
      <c r="AC145" s="224">
        <f t="shared" si="141"/>
        <v>5.1257597010839449E-2</v>
      </c>
      <c r="AE145" s="13"/>
      <c r="AF145" s="293"/>
    </row>
    <row r="146" spans="1:54" ht="33">
      <c r="A146" s="32" t="str">
        <f t="shared" si="137"/>
        <v>C-4103-1500-12-0-4103009=10</v>
      </c>
      <c r="B146" s="210" t="str">
        <f>CONCATENATE(C146,"-",D146,"-",E146,"-",F146,"-",G146,"-",H146)</f>
        <v>C-4103-1500-12-0-4103009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>
        <v>4103009</v>
      </c>
      <c r="I146" s="212"/>
      <c r="J146" s="212"/>
      <c r="K146" s="252">
        <v>10</v>
      </c>
      <c r="L146" s="214" t="s">
        <v>29</v>
      </c>
      <c r="M146" s="210" t="s">
        <v>195</v>
      </c>
      <c r="N146" s="215">
        <f>+N147</f>
        <v>5711307018</v>
      </c>
      <c r="O146" s="215">
        <f>+O147</f>
        <v>0</v>
      </c>
      <c r="P146" s="215">
        <f t="shared" ref="P146:AB146" si="150">+P147</f>
        <v>0</v>
      </c>
      <c r="Q146" s="215">
        <f t="shared" si="150"/>
        <v>0</v>
      </c>
      <c r="R146" s="215">
        <f t="shared" si="150"/>
        <v>0</v>
      </c>
      <c r="S146" s="215">
        <f t="shared" si="150"/>
        <v>0</v>
      </c>
      <c r="T146" s="215">
        <f t="shared" si="150"/>
        <v>5711307018</v>
      </c>
      <c r="U146" s="215">
        <f t="shared" si="150"/>
        <v>5111307018</v>
      </c>
      <c r="V146" s="215">
        <f t="shared" si="150"/>
        <v>600000000</v>
      </c>
      <c r="W146" s="216">
        <f t="shared" ref="W146:W193" si="151">+IF(T146&gt;0,U146/T146,0)</f>
        <v>0.89494523790981395</v>
      </c>
      <c r="X146" s="215">
        <f t="shared" si="150"/>
        <v>0</v>
      </c>
      <c r="Y146" s="215">
        <f t="shared" si="150"/>
        <v>5111307018</v>
      </c>
      <c r="Z146" s="216">
        <f t="shared" si="77"/>
        <v>1</v>
      </c>
      <c r="AA146" s="215">
        <f t="shared" si="150"/>
        <v>0</v>
      </c>
      <c r="AB146" s="215">
        <f t="shared" si="150"/>
        <v>0</v>
      </c>
      <c r="AC146" s="216">
        <f t="shared" si="141"/>
        <v>0</v>
      </c>
      <c r="AE146" s="13"/>
      <c r="AF146" s="293"/>
    </row>
    <row r="147" spans="1:54" ht="24.95" customHeight="1">
      <c r="A147" s="32" t="str">
        <f t="shared" si="137"/>
        <v>C-4103-1500-12-0-4103009-02=10</v>
      </c>
      <c r="B147" s="217" t="str">
        <f>CONCATENATE(C147,"-",D147,"-",E147,"-",F147,"-",G147,"-",H147,"-",I147)</f>
        <v>C-4103-1500-12-0-4103009-02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>
        <v>4103009</v>
      </c>
      <c r="I147" s="267" t="s">
        <v>54</v>
      </c>
      <c r="J147" s="219"/>
      <c r="K147" s="270">
        <v>10</v>
      </c>
      <c r="L147" s="221" t="s">
        <v>29</v>
      </c>
      <c r="M147" s="259" t="s">
        <v>178</v>
      </c>
      <c r="N147" s="222">
        <v>5711307018</v>
      </c>
      <c r="O147" s="222"/>
      <c r="P147" s="636"/>
      <c r="Q147" s="222"/>
      <c r="R147" s="222"/>
      <c r="S147" s="222"/>
      <c r="T147" s="222">
        <f>+N147-S147+O147-P147+Q147-R147</f>
        <v>5711307018</v>
      </c>
      <c r="U147" s="222">
        <v>5111307018</v>
      </c>
      <c r="V147" s="222">
        <f>+T147-U147</f>
        <v>600000000</v>
      </c>
      <c r="W147" s="224">
        <f t="shared" si="151"/>
        <v>0.89494523790981395</v>
      </c>
      <c r="X147" s="222">
        <v>0</v>
      </c>
      <c r="Y147" s="222">
        <f>+U147-X147</f>
        <v>5111307018</v>
      </c>
      <c r="Z147" s="224">
        <f t="shared" si="77"/>
        <v>1</v>
      </c>
      <c r="AA147" s="222">
        <v>0</v>
      </c>
      <c r="AB147" s="222">
        <f t="shared" ref="AB147" si="152">+X147-AA147</f>
        <v>0</v>
      </c>
      <c r="AC147" s="224">
        <f t="shared" si="141"/>
        <v>0</v>
      </c>
      <c r="AE147" s="13"/>
      <c r="AF147" s="293"/>
    </row>
    <row r="148" spans="1:54" s="64" customFormat="1" ht="33">
      <c r="A148" s="32" t="str">
        <f t="shared" si="137"/>
        <v>C-4103-1500-13=</v>
      </c>
      <c r="B148" s="226" t="str">
        <f>CONCATENATE(C148,"-",D148,"-",E148,"-",F148)</f>
        <v>C-4103-1500-13</v>
      </c>
      <c r="C148" s="227" t="s">
        <v>167</v>
      </c>
      <c r="D148" s="228" t="s">
        <v>190</v>
      </c>
      <c r="E148" s="228" t="s">
        <v>172</v>
      </c>
      <c r="F148" s="228" t="s">
        <v>22</v>
      </c>
      <c r="G148" s="228"/>
      <c r="H148" s="228"/>
      <c r="I148" s="228"/>
      <c r="J148" s="228"/>
      <c r="K148" s="229"/>
      <c r="L148" s="230"/>
      <c r="M148" s="231" t="s">
        <v>264</v>
      </c>
      <c r="N148" s="232">
        <f>+N149+N151+N153+N155</f>
        <v>25903028858</v>
      </c>
      <c r="O148" s="232">
        <f t="shared" ref="O148:AB148" si="153">+O149+O151+O153+O155</f>
        <v>0</v>
      </c>
      <c r="P148" s="232">
        <f t="shared" si="153"/>
        <v>0</v>
      </c>
      <c r="Q148" s="232">
        <f t="shared" si="153"/>
        <v>0</v>
      </c>
      <c r="R148" s="232">
        <f t="shared" si="153"/>
        <v>0</v>
      </c>
      <c r="S148" s="232">
        <f t="shared" si="153"/>
        <v>0</v>
      </c>
      <c r="T148" s="232">
        <f t="shared" si="153"/>
        <v>25903028858</v>
      </c>
      <c r="U148" s="232">
        <f t="shared" si="153"/>
        <v>15235884496</v>
      </c>
      <c r="V148" s="232">
        <f t="shared" si="153"/>
        <v>10667144362</v>
      </c>
      <c r="W148" s="233">
        <f t="shared" si="151"/>
        <v>0.58818930324800556</v>
      </c>
      <c r="X148" s="232">
        <f t="shared" si="153"/>
        <v>20685476</v>
      </c>
      <c r="Y148" s="232">
        <f t="shared" si="153"/>
        <v>15215199020</v>
      </c>
      <c r="Z148" s="233">
        <f t="shared" si="77"/>
        <v>0.99864231866515984</v>
      </c>
      <c r="AA148" s="232">
        <f t="shared" si="153"/>
        <v>20685476</v>
      </c>
      <c r="AB148" s="232">
        <f t="shared" si="153"/>
        <v>0</v>
      </c>
      <c r="AC148" s="233">
        <f t="shared" si="141"/>
        <v>1.3576813348401746E-3</v>
      </c>
      <c r="AD148" s="13"/>
      <c r="AE148" s="13"/>
      <c r="AF148" s="29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</row>
    <row r="149" spans="1:54" ht="33">
      <c r="A149" s="32" t="str">
        <f t="shared" si="137"/>
        <v>C-4103-1500-13-0-4103051=11</v>
      </c>
      <c r="B149" s="210" t="str">
        <f>CONCATENATE(C149,"-",D149,"-",E149,"-",F149,"-",G149,"-",H149)</f>
        <v>C-4103-1500-13-0-4103051</v>
      </c>
      <c r="C149" s="211" t="s">
        <v>167</v>
      </c>
      <c r="D149" s="212" t="s">
        <v>190</v>
      </c>
      <c r="E149" s="212" t="s">
        <v>172</v>
      </c>
      <c r="F149" s="212" t="s">
        <v>22</v>
      </c>
      <c r="G149" s="212" t="s">
        <v>175</v>
      </c>
      <c r="H149" s="212" t="s">
        <v>197</v>
      </c>
      <c r="I149" s="212"/>
      <c r="J149" s="212"/>
      <c r="K149" s="213">
        <v>11</v>
      </c>
      <c r="L149" s="214" t="s">
        <v>29</v>
      </c>
      <c r="M149" s="210" t="s">
        <v>198</v>
      </c>
      <c r="N149" s="215">
        <f>+N150</f>
        <v>7218669145</v>
      </c>
      <c r="O149" s="215">
        <f t="shared" ref="O149:AB149" si="154">+O150</f>
        <v>0</v>
      </c>
      <c r="P149" s="215">
        <f t="shared" si="154"/>
        <v>0</v>
      </c>
      <c r="Q149" s="215">
        <f t="shared" si="154"/>
        <v>0</v>
      </c>
      <c r="R149" s="215">
        <f t="shared" si="154"/>
        <v>0</v>
      </c>
      <c r="S149" s="215">
        <f t="shared" si="154"/>
        <v>0</v>
      </c>
      <c r="T149" s="215">
        <f t="shared" si="154"/>
        <v>7218669145</v>
      </c>
      <c r="U149" s="215">
        <f t="shared" si="154"/>
        <v>4406021511</v>
      </c>
      <c r="V149" s="215">
        <f t="shared" si="154"/>
        <v>2812647634</v>
      </c>
      <c r="W149" s="216">
        <f t="shared" si="151"/>
        <v>0.61036479474223082</v>
      </c>
      <c r="X149" s="215">
        <f t="shared" si="154"/>
        <v>0</v>
      </c>
      <c r="Y149" s="215">
        <f t="shared" si="154"/>
        <v>4406021511</v>
      </c>
      <c r="Z149" s="216">
        <f t="shared" si="77"/>
        <v>1</v>
      </c>
      <c r="AA149" s="215">
        <f t="shared" si="154"/>
        <v>0</v>
      </c>
      <c r="AB149" s="215">
        <f t="shared" si="154"/>
        <v>0</v>
      </c>
      <c r="AC149" s="216">
        <f t="shared" si="141"/>
        <v>0</v>
      </c>
      <c r="AE149" s="13"/>
      <c r="AF149" s="293"/>
    </row>
    <row r="150" spans="1:54" ht="24.95" customHeight="1">
      <c r="A150" s="32" t="str">
        <f t="shared" si="137"/>
        <v>C-4103-1500-13-0-4103051-02=11</v>
      </c>
      <c r="B150" s="217" t="str">
        <f>CONCATENATE(C150,"-",D150,"-",E150,"-",F150,"-",G150,"-",H150,"-",I150)</f>
        <v>C-4103-1500-13-0-4103051-02</v>
      </c>
      <c r="C150" s="218" t="s">
        <v>167</v>
      </c>
      <c r="D150" s="219" t="s">
        <v>190</v>
      </c>
      <c r="E150" s="219" t="s">
        <v>172</v>
      </c>
      <c r="F150" s="219" t="s">
        <v>22</v>
      </c>
      <c r="G150" s="219" t="s">
        <v>175</v>
      </c>
      <c r="H150" s="219" t="s">
        <v>197</v>
      </c>
      <c r="I150" s="219" t="s">
        <v>54</v>
      </c>
      <c r="J150" s="219"/>
      <c r="K150" s="220">
        <v>11</v>
      </c>
      <c r="L150" s="221" t="s">
        <v>29</v>
      </c>
      <c r="M150" s="259" t="s">
        <v>178</v>
      </c>
      <c r="N150" s="222">
        <v>7218669145</v>
      </c>
      <c r="O150" s="222"/>
      <c r="P150" s="222"/>
      <c r="Q150" s="222"/>
      <c r="R150" s="222"/>
      <c r="S150" s="222"/>
      <c r="T150" s="222">
        <f>+N150-S150+O150-P150+Q150-R150</f>
        <v>7218669145</v>
      </c>
      <c r="U150" s="222">
        <v>4406021511</v>
      </c>
      <c r="V150" s="222">
        <f t="shared" si="106"/>
        <v>2812647634</v>
      </c>
      <c r="W150" s="224">
        <f t="shared" si="151"/>
        <v>0.61036479474223082</v>
      </c>
      <c r="X150" s="222">
        <v>0</v>
      </c>
      <c r="Y150" s="222">
        <f t="shared" si="115"/>
        <v>4406021511</v>
      </c>
      <c r="Z150" s="224">
        <f t="shared" si="77"/>
        <v>1</v>
      </c>
      <c r="AA150" s="222">
        <v>0</v>
      </c>
      <c r="AB150" s="222">
        <f t="shared" si="107"/>
        <v>0</v>
      </c>
      <c r="AC150" s="224">
        <f t="shared" si="141"/>
        <v>0</v>
      </c>
      <c r="AE150" s="13"/>
      <c r="AF150" s="293"/>
    </row>
    <row r="151" spans="1:54" ht="33">
      <c r="A151" s="32" t="str">
        <f t="shared" si="137"/>
        <v>C-4103-1500-13-0-4103053=11</v>
      </c>
      <c r="B151" s="210" t="str">
        <f>CONCATENATE(C151,"-",D151,"-",E151,"-",F151,"-",G151,"-",H151)</f>
        <v>C-4103-1500-13-0-4103053</v>
      </c>
      <c r="C151" s="211" t="s">
        <v>167</v>
      </c>
      <c r="D151" s="212" t="s">
        <v>190</v>
      </c>
      <c r="E151" s="212" t="s">
        <v>172</v>
      </c>
      <c r="F151" s="212" t="s">
        <v>22</v>
      </c>
      <c r="G151" s="212" t="s">
        <v>175</v>
      </c>
      <c r="H151" s="212" t="s">
        <v>199</v>
      </c>
      <c r="I151" s="212"/>
      <c r="J151" s="212"/>
      <c r="K151" s="213">
        <v>11</v>
      </c>
      <c r="L151" s="214" t="s">
        <v>29</v>
      </c>
      <c r="M151" s="210" t="s">
        <v>200</v>
      </c>
      <c r="N151" s="215">
        <f>+N152</f>
        <v>4348087590</v>
      </c>
      <c r="O151" s="215">
        <f t="shared" ref="O151:AB151" si="155">+O152</f>
        <v>0</v>
      </c>
      <c r="P151" s="215">
        <f t="shared" si="155"/>
        <v>0</v>
      </c>
      <c r="Q151" s="215">
        <f t="shared" si="155"/>
        <v>0</v>
      </c>
      <c r="R151" s="215">
        <f t="shared" si="155"/>
        <v>0</v>
      </c>
      <c r="S151" s="215">
        <f t="shared" si="155"/>
        <v>0</v>
      </c>
      <c r="T151" s="215">
        <f t="shared" si="155"/>
        <v>4348087590</v>
      </c>
      <c r="U151" s="215">
        <f t="shared" si="155"/>
        <v>2653919568</v>
      </c>
      <c r="V151" s="215">
        <f t="shared" si="155"/>
        <v>1694168022</v>
      </c>
      <c r="W151" s="216">
        <f t="shared" si="151"/>
        <v>0.61036478982246078</v>
      </c>
      <c r="X151" s="215">
        <f t="shared" si="155"/>
        <v>0</v>
      </c>
      <c r="Y151" s="215">
        <f t="shared" si="155"/>
        <v>2653919568</v>
      </c>
      <c r="Z151" s="216">
        <f t="shared" si="77"/>
        <v>1</v>
      </c>
      <c r="AA151" s="215">
        <f t="shared" si="155"/>
        <v>0</v>
      </c>
      <c r="AB151" s="215">
        <f t="shared" si="155"/>
        <v>0</v>
      </c>
      <c r="AC151" s="216">
        <f t="shared" si="141"/>
        <v>0</v>
      </c>
      <c r="AE151" s="13"/>
      <c r="AF151" s="293"/>
    </row>
    <row r="152" spans="1:54" ht="24.95" customHeight="1">
      <c r="A152" s="32" t="str">
        <f t="shared" si="137"/>
        <v>C-4103-1500-13-0-4103053-02=11</v>
      </c>
      <c r="B152" s="217" t="str">
        <f>CONCATENATE(C152,"-",D152,"-",E152,"-",F152,"-",G152,"-",H152,"-",I152)</f>
        <v>C-4103-1500-13-0-4103053-02</v>
      </c>
      <c r="C152" s="218" t="s">
        <v>167</v>
      </c>
      <c r="D152" s="219" t="s">
        <v>190</v>
      </c>
      <c r="E152" s="219" t="s">
        <v>172</v>
      </c>
      <c r="F152" s="219" t="s">
        <v>22</v>
      </c>
      <c r="G152" s="219" t="s">
        <v>175</v>
      </c>
      <c r="H152" s="219" t="s">
        <v>199</v>
      </c>
      <c r="I152" s="219" t="s">
        <v>54</v>
      </c>
      <c r="J152" s="219"/>
      <c r="K152" s="220">
        <v>11</v>
      </c>
      <c r="L152" s="221" t="s">
        <v>29</v>
      </c>
      <c r="M152" s="259" t="s">
        <v>178</v>
      </c>
      <c r="N152" s="222">
        <v>4348087590</v>
      </c>
      <c r="O152" s="222"/>
      <c r="P152" s="222"/>
      <c r="Q152" s="222"/>
      <c r="R152" s="222"/>
      <c r="S152" s="222"/>
      <c r="T152" s="222">
        <f>+N152-S152+O152-P152+Q152-R152</f>
        <v>4348087590</v>
      </c>
      <c r="U152" s="222">
        <v>2653919568</v>
      </c>
      <c r="V152" s="222">
        <f t="shared" si="106"/>
        <v>1694168022</v>
      </c>
      <c r="W152" s="224">
        <f t="shared" si="151"/>
        <v>0.61036478982246078</v>
      </c>
      <c r="X152" s="222">
        <v>0</v>
      </c>
      <c r="Y152" s="222">
        <f t="shared" si="115"/>
        <v>2653919568</v>
      </c>
      <c r="Z152" s="224">
        <f t="shared" si="77"/>
        <v>1</v>
      </c>
      <c r="AA152" s="222">
        <v>0</v>
      </c>
      <c r="AB152" s="222">
        <f t="shared" si="107"/>
        <v>0</v>
      </c>
      <c r="AC152" s="224">
        <f t="shared" si="141"/>
        <v>0</v>
      </c>
      <c r="AE152" s="13"/>
      <c r="AF152" s="293"/>
    </row>
    <row r="153" spans="1:54" ht="49.5">
      <c r="A153" s="32" t="str">
        <f t="shared" si="137"/>
        <v>C-4103-1500-13-0-4103054=11</v>
      </c>
      <c r="B153" s="210" t="str">
        <f>CONCATENATE(C153,"-",D153,"-",E153,"-",F153,"-",G153,"-",H153)</f>
        <v>C-4103-1500-13-0-4103054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201</v>
      </c>
      <c r="I153" s="212"/>
      <c r="J153" s="212"/>
      <c r="K153" s="213">
        <v>11</v>
      </c>
      <c r="L153" s="214" t="s">
        <v>29</v>
      </c>
      <c r="M153" s="210" t="s">
        <v>202</v>
      </c>
      <c r="N153" s="215">
        <f>+N154</f>
        <v>2171371771</v>
      </c>
      <c r="O153" s="215">
        <f t="shared" ref="O153:AB153" si="156">+O154</f>
        <v>0</v>
      </c>
      <c r="P153" s="215">
        <f t="shared" si="156"/>
        <v>0</v>
      </c>
      <c r="Q153" s="215">
        <f t="shared" si="156"/>
        <v>0</v>
      </c>
      <c r="R153" s="215">
        <f t="shared" si="156"/>
        <v>0</v>
      </c>
      <c r="S153" s="215">
        <f t="shared" si="156"/>
        <v>0</v>
      </c>
      <c r="T153" s="215">
        <f t="shared" si="156"/>
        <v>2171371771</v>
      </c>
      <c r="U153" s="215">
        <f t="shared" si="156"/>
        <v>718516598</v>
      </c>
      <c r="V153" s="215">
        <f t="shared" si="156"/>
        <v>1452855173</v>
      </c>
      <c r="W153" s="216">
        <f t="shared" si="151"/>
        <v>0.33090445753980469</v>
      </c>
      <c r="X153" s="215">
        <f t="shared" si="156"/>
        <v>20685476</v>
      </c>
      <c r="Y153" s="215">
        <f t="shared" si="156"/>
        <v>697831122</v>
      </c>
      <c r="Z153" s="216">
        <f t="shared" si="77"/>
        <v>0.97121085851380706</v>
      </c>
      <c r="AA153" s="215">
        <f t="shared" si="156"/>
        <v>20685476</v>
      </c>
      <c r="AB153" s="215">
        <f t="shared" si="156"/>
        <v>0</v>
      </c>
      <c r="AC153" s="216">
        <f t="shared" si="141"/>
        <v>2.878914148619292E-2</v>
      </c>
      <c r="AE153" s="13"/>
      <c r="AF153" s="293"/>
    </row>
    <row r="154" spans="1:54" ht="24.95" customHeight="1">
      <c r="A154" s="32" t="str">
        <f t="shared" si="137"/>
        <v>C-4103-1500-13-0-4103054-02=11</v>
      </c>
      <c r="B154" s="217" t="str">
        <f>CONCATENATE(C154,"-",D154,"-",E154,"-",F154,"-",G154,"-",H154,"-",I154)</f>
        <v>C-4103-1500-13-0-4103054-02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201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2171371771</v>
      </c>
      <c r="O154" s="222"/>
      <c r="P154" s="222"/>
      <c r="Q154" s="222"/>
      <c r="R154" s="222"/>
      <c r="S154" s="222"/>
      <c r="T154" s="222">
        <f>+N154-S154+O154-P154+Q154-R154</f>
        <v>2171371771</v>
      </c>
      <c r="U154" s="222">
        <v>718516598</v>
      </c>
      <c r="V154" s="222">
        <f t="shared" si="106"/>
        <v>1452855173</v>
      </c>
      <c r="W154" s="224">
        <f t="shared" si="151"/>
        <v>0.33090445753980469</v>
      </c>
      <c r="X154" s="222">
        <v>20685476</v>
      </c>
      <c r="Y154" s="222">
        <f t="shared" si="115"/>
        <v>697831122</v>
      </c>
      <c r="Z154" s="224">
        <f t="shared" si="77"/>
        <v>0.97121085851380706</v>
      </c>
      <c r="AA154" s="222">
        <v>20685476</v>
      </c>
      <c r="AB154" s="222">
        <f t="shared" si="107"/>
        <v>0</v>
      </c>
      <c r="AC154" s="224">
        <f t="shared" si="141"/>
        <v>2.878914148619292E-2</v>
      </c>
      <c r="AE154" s="13"/>
      <c r="AF154" s="293"/>
    </row>
    <row r="155" spans="1:54" ht="33">
      <c r="A155" s="32" t="str">
        <f t="shared" si="137"/>
        <v>C-4103-1500-13-0-4103055=11</v>
      </c>
      <c r="B155" s="210" t="str">
        <f>CONCATENATE(C155,"-",D155,"-",E155,"-",F155,"-",G155,"-",H155)</f>
        <v>C-4103-1500-13-0-4103055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203</v>
      </c>
      <c r="I155" s="212"/>
      <c r="J155" s="212"/>
      <c r="K155" s="213">
        <v>11</v>
      </c>
      <c r="L155" s="214" t="s">
        <v>29</v>
      </c>
      <c r="M155" s="210" t="s">
        <v>204</v>
      </c>
      <c r="N155" s="215">
        <f t="shared" ref="N155:V155" si="157">SUM(N156:N156)</f>
        <v>12164900352</v>
      </c>
      <c r="O155" s="215">
        <f t="shared" si="157"/>
        <v>0</v>
      </c>
      <c r="P155" s="215">
        <f t="shared" si="157"/>
        <v>0</v>
      </c>
      <c r="Q155" s="215">
        <f t="shared" si="157"/>
        <v>0</v>
      </c>
      <c r="R155" s="215">
        <f t="shared" si="157"/>
        <v>0</v>
      </c>
      <c r="S155" s="215">
        <f t="shared" si="157"/>
        <v>0</v>
      </c>
      <c r="T155" s="215">
        <f t="shared" si="157"/>
        <v>12164900352</v>
      </c>
      <c r="U155" s="215">
        <f t="shared" si="157"/>
        <v>7457426819</v>
      </c>
      <c r="V155" s="215">
        <f t="shared" si="157"/>
        <v>4707473533</v>
      </c>
      <c r="W155" s="216">
        <f t="shared" si="151"/>
        <v>0.61302818791885494</v>
      </c>
      <c r="X155" s="215">
        <f t="shared" ref="X155:Y155" si="158">SUM(X156:X156)</f>
        <v>0</v>
      </c>
      <c r="Y155" s="215">
        <f t="shared" si="158"/>
        <v>7457426819</v>
      </c>
      <c r="Z155" s="216">
        <f t="shared" si="77"/>
        <v>1</v>
      </c>
      <c r="AA155" s="215">
        <f t="shared" ref="AA155:AB155" si="159">SUM(AA156:AA156)</f>
        <v>0</v>
      </c>
      <c r="AB155" s="215">
        <f t="shared" si="159"/>
        <v>0</v>
      </c>
      <c r="AC155" s="216">
        <f t="shared" si="141"/>
        <v>0</v>
      </c>
      <c r="AE155" s="13"/>
      <c r="AF155" s="293"/>
    </row>
    <row r="156" spans="1:54" ht="24.95" customHeight="1">
      <c r="A156" s="32" t="str">
        <f t="shared" si="137"/>
        <v>C-4103-1500-13-0-4103055-02=11</v>
      </c>
      <c r="B156" s="217" t="str">
        <f>CONCATENATE(C156,"-",D156,"-",E156,"-",F156,"-",G156,"-",H156,"-",I156)</f>
        <v>C-4103-1500-13-0-4103055-02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203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12164900352</v>
      </c>
      <c r="O156" s="222"/>
      <c r="P156" s="222"/>
      <c r="Q156" s="222"/>
      <c r="R156" s="222"/>
      <c r="S156" s="222"/>
      <c r="T156" s="222">
        <f>+N156-S156+O156-P156+Q156-R156</f>
        <v>12164900352</v>
      </c>
      <c r="U156" s="222">
        <v>7457426819</v>
      </c>
      <c r="V156" s="222">
        <f t="shared" si="106"/>
        <v>4707473533</v>
      </c>
      <c r="W156" s="224">
        <f t="shared" si="151"/>
        <v>0.61302818791885494</v>
      </c>
      <c r="X156" s="222">
        <v>0</v>
      </c>
      <c r="Y156" s="222">
        <f t="shared" si="115"/>
        <v>7457426819</v>
      </c>
      <c r="Z156" s="224">
        <f t="shared" ref="Z156:Z193" si="160">+IF(U156&gt;0,Y156/U156,0)</f>
        <v>1</v>
      </c>
      <c r="AA156" s="222">
        <v>0</v>
      </c>
      <c r="AB156" s="222">
        <f t="shared" si="107"/>
        <v>0</v>
      </c>
      <c r="AC156" s="224">
        <f t="shared" si="141"/>
        <v>0</v>
      </c>
      <c r="AE156" s="13"/>
      <c r="AF156" s="293"/>
    </row>
    <row r="157" spans="1:54" ht="33">
      <c r="A157" s="32" t="str">
        <f t="shared" si="137"/>
        <v>C-4103-1500-14=</v>
      </c>
      <c r="B157" s="226" t="str">
        <f>CONCATENATE(C157,"-",D157,"-",E157,"-",F157)</f>
        <v>C-4103-1500-14</v>
      </c>
      <c r="C157" s="227" t="s">
        <v>167</v>
      </c>
      <c r="D157" s="228" t="s">
        <v>190</v>
      </c>
      <c r="E157" s="228" t="s">
        <v>172</v>
      </c>
      <c r="F157" s="228" t="s">
        <v>205</v>
      </c>
      <c r="G157" s="228"/>
      <c r="H157" s="228"/>
      <c r="I157" s="228"/>
      <c r="J157" s="228"/>
      <c r="K157" s="229"/>
      <c r="L157" s="230"/>
      <c r="M157" s="231" t="s">
        <v>281</v>
      </c>
      <c r="N157" s="232">
        <f>+N158+N162</f>
        <v>1226882227478</v>
      </c>
      <c r="O157" s="232">
        <f t="shared" ref="O157:V157" si="161">+O158+O162</f>
        <v>0</v>
      </c>
      <c r="P157" s="232">
        <f t="shared" si="161"/>
        <v>0</v>
      </c>
      <c r="Q157" s="232">
        <f t="shared" si="161"/>
        <v>46878302383</v>
      </c>
      <c r="R157" s="232">
        <f t="shared" si="161"/>
        <v>46878302383</v>
      </c>
      <c r="S157" s="232">
        <f t="shared" si="161"/>
        <v>640000000000</v>
      </c>
      <c r="T157" s="232">
        <f t="shared" si="161"/>
        <v>586882227478</v>
      </c>
      <c r="U157" s="232">
        <f t="shared" si="161"/>
        <v>499557309456.75</v>
      </c>
      <c r="V157" s="232">
        <f t="shared" si="161"/>
        <v>87324918021.250031</v>
      </c>
      <c r="W157" s="233">
        <f t="shared" si="151"/>
        <v>0.85120538000186163</v>
      </c>
      <c r="X157" s="232">
        <f t="shared" ref="X157:Y157" si="162">+X158+X162</f>
        <v>23117482525.549999</v>
      </c>
      <c r="Y157" s="232">
        <f t="shared" si="162"/>
        <v>476439826931.20001</v>
      </c>
      <c r="Z157" s="233">
        <f t="shared" si="160"/>
        <v>0.95372406310961721</v>
      </c>
      <c r="AA157" s="232">
        <f t="shared" ref="AA157:AB157" si="163">+AA158+AA162</f>
        <v>23117482525.549999</v>
      </c>
      <c r="AB157" s="232">
        <f t="shared" si="163"/>
        <v>0</v>
      </c>
      <c r="AC157" s="233">
        <f t="shared" si="141"/>
        <v>4.6275936890382813E-2</v>
      </c>
      <c r="AE157" s="13"/>
      <c r="AF157" s="293"/>
    </row>
    <row r="158" spans="1:54" ht="33">
      <c r="A158" s="32" t="str">
        <f t="shared" si="137"/>
        <v>C-4103-1500-14-0-4103016=</v>
      </c>
      <c r="B158" s="210" t="str">
        <f>CONCATENATE(C158,"-",D158,"-",E158,"-",F158,"-",G158,"-",H158)</f>
        <v>C-4103-1500-14-0-4103016</v>
      </c>
      <c r="C158" s="211" t="s">
        <v>167</v>
      </c>
      <c r="D158" s="212" t="s">
        <v>190</v>
      </c>
      <c r="E158" s="212" t="s">
        <v>172</v>
      </c>
      <c r="F158" s="212" t="s">
        <v>205</v>
      </c>
      <c r="G158" s="212" t="s">
        <v>175</v>
      </c>
      <c r="H158" s="212" t="s">
        <v>207</v>
      </c>
      <c r="I158" s="212"/>
      <c r="J158" s="212"/>
      <c r="K158" s="213"/>
      <c r="L158" s="214"/>
      <c r="M158" s="210" t="s">
        <v>208</v>
      </c>
      <c r="N158" s="215">
        <f>SUM(N159:N161)</f>
        <v>1205215344888.79</v>
      </c>
      <c r="O158" s="215">
        <f t="shared" ref="O158:V158" si="164">SUM(O159:O161)</f>
        <v>0</v>
      </c>
      <c r="P158" s="215">
        <f t="shared" si="164"/>
        <v>0</v>
      </c>
      <c r="Q158" s="215">
        <f t="shared" si="164"/>
        <v>46178302383</v>
      </c>
      <c r="R158" s="215">
        <f t="shared" si="164"/>
        <v>46878302383</v>
      </c>
      <c r="S158" s="215">
        <f t="shared" si="164"/>
        <v>640000000000</v>
      </c>
      <c r="T158" s="215">
        <f t="shared" si="164"/>
        <v>564515344888.79004</v>
      </c>
      <c r="U158" s="215">
        <f t="shared" si="164"/>
        <v>491124189525.75</v>
      </c>
      <c r="V158" s="215">
        <f t="shared" si="164"/>
        <v>73391155363.040039</v>
      </c>
      <c r="W158" s="216">
        <f t="shared" si="151"/>
        <v>0.86999262991248161</v>
      </c>
      <c r="X158" s="215">
        <f t="shared" ref="X158:Y158" si="165">SUM(X159:X161)</f>
        <v>23011802008.549999</v>
      </c>
      <c r="Y158" s="215">
        <f t="shared" si="165"/>
        <v>468112387517.20001</v>
      </c>
      <c r="Z158" s="216">
        <f t="shared" si="160"/>
        <v>0.95314463734565558</v>
      </c>
      <c r="AA158" s="215">
        <f t="shared" ref="AA158:AB158" si="166">SUM(AA159:AA161)</f>
        <v>23011802008.549999</v>
      </c>
      <c r="AB158" s="215">
        <f t="shared" si="166"/>
        <v>0</v>
      </c>
      <c r="AC158" s="216">
        <f t="shared" si="141"/>
        <v>4.6855362654344423E-2</v>
      </c>
      <c r="AE158" s="13"/>
      <c r="AF158" s="293"/>
    </row>
    <row r="159" spans="1:54" ht="24.95" customHeight="1">
      <c r="A159" s="32" t="str">
        <f t="shared" si="137"/>
        <v>C-4103-1500-14-0-4103016-02=11</v>
      </c>
      <c r="B159" s="217" t="str">
        <f>CONCATENATE(C159,"-",D159,"-",E159,"-",F159,"-",G159,"-",H159,"-",I159)</f>
        <v>C-4103-1500-14-0-4103016-02</v>
      </c>
      <c r="C159" s="266" t="s">
        <v>167</v>
      </c>
      <c r="D159" s="267" t="s">
        <v>190</v>
      </c>
      <c r="E159" s="267" t="s">
        <v>172</v>
      </c>
      <c r="F159" s="267" t="s">
        <v>205</v>
      </c>
      <c r="G159" s="267" t="s">
        <v>175</v>
      </c>
      <c r="H159" s="267" t="s">
        <v>207</v>
      </c>
      <c r="I159" s="267" t="s">
        <v>54</v>
      </c>
      <c r="J159" s="267"/>
      <c r="K159" s="268">
        <v>11</v>
      </c>
      <c r="L159" s="269" t="s">
        <v>29</v>
      </c>
      <c r="M159" s="259" t="s">
        <v>178</v>
      </c>
      <c r="N159" s="222">
        <v>358903207165.07001</v>
      </c>
      <c r="O159" s="222"/>
      <c r="P159" s="222"/>
      <c r="Q159" s="222">
        <f>44314848063+1863454320</f>
        <v>46178302383</v>
      </c>
      <c r="R159" s="223"/>
      <c r="S159" s="223">
        <v>366968373082.07001</v>
      </c>
      <c r="T159" s="222">
        <f>+N159-S159+O159-P159+Q159-R159</f>
        <v>38113136466</v>
      </c>
      <c r="U159" s="222">
        <v>36249682146</v>
      </c>
      <c r="V159" s="222">
        <f t="shared" ref="V159" si="167">+T159-U159</f>
        <v>1863454320</v>
      </c>
      <c r="W159" s="224">
        <f t="shared" si="151"/>
        <v>0.95110729546852302</v>
      </c>
      <c r="X159" s="222">
        <v>0</v>
      </c>
      <c r="Y159" s="222">
        <f t="shared" ref="Y159" si="168">+U159-X159</f>
        <v>36249682146</v>
      </c>
      <c r="Z159" s="224">
        <f t="shared" si="160"/>
        <v>1</v>
      </c>
      <c r="AA159" s="222">
        <v>0</v>
      </c>
      <c r="AB159" s="222">
        <f t="shared" ref="AB159" si="169">+X159-AA159</f>
        <v>0</v>
      </c>
      <c r="AC159" s="224">
        <f t="shared" si="141"/>
        <v>0</v>
      </c>
      <c r="AE159" s="13"/>
      <c r="AF159" s="293"/>
    </row>
    <row r="160" spans="1:54" ht="24.95" customHeight="1">
      <c r="A160" s="32" t="str">
        <f t="shared" si="137"/>
        <v>C-4103-1500-14-0-4103016-03=10</v>
      </c>
      <c r="B160" s="217" t="str">
        <f>CONCATENATE(C160,"-",D160,"-",E160,"-",F160,"-",G160,"-",H160,"-",I160)</f>
        <v>C-4103-1500-14-0-4103016-03</v>
      </c>
      <c r="C160" s="266" t="s">
        <v>167</v>
      </c>
      <c r="D160" s="267" t="s">
        <v>190</v>
      </c>
      <c r="E160" s="267" t="s">
        <v>172</v>
      </c>
      <c r="F160" s="267" t="s">
        <v>205</v>
      </c>
      <c r="G160" s="267" t="s">
        <v>175</v>
      </c>
      <c r="H160" s="267" t="s">
        <v>207</v>
      </c>
      <c r="I160" s="267" t="s">
        <v>65</v>
      </c>
      <c r="J160" s="267"/>
      <c r="K160" s="271" t="s">
        <v>28</v>
      </c>
      <c r="L160" s="269" t="s">
        <v>29</v>
      </c>
      <c r="M160" s="259" t="s">
        <v>127</v>
      </c>
      <c r="N160" s="222">
        <v>50000000000</v>
      </c>
      <c r="O160" s="222"/>
      <c r="P160" s="222"/>
      <c r="Q160" s="223"/>
      <c r="R160" s="223"/>
      <c r="S160" s="223">
        <v>50000000000</v>
      </c>
      <c r="T160" s="222">
        <f>+N160-S160+O160-P160+Q160-R160</f>
        <v>0</v>
      </c>
      <c r="U160" s="222">
        <v>0</v>
      </c>
      <c r="V160" s="222">
        <f t="shared" si="106"/>
        <v>0</v>
      </c>
      <c r="W160" s="224">
        <f t="shared" si="151"/>
        <v>0</v>
      </c>
      <c r="X160" s="222">
        <v>0</v>
      </c>
      <c r="Y160" s="222">
        <f t="shared" si="115"/>
        <v>0</v>
      </c>
      <c r="Z160" s="224">
        <f t="shared" si="160"/>
        <v>0</v>
      </c>
      <c r="AA160" s="222">
        <v>0</v>
      </c>
      <c r="AB160" s="222">
        <f t="shared" si="107"/>
        <v>0</v>
      </c>
      <c r="AC160" s="224">
        <f t="shared" si="141"/>
        <v>0</v>
      </c>
      <c r="AE160" s="13"/>
      <c r="AF160" s="293"/>
    </row>
    <row r="161" spans="1:54" ht="24.95" customHeight="1">
      <c r="A161" s="32" t="str">
        <f t="shared" si="137"/>
        <v>C-4103-1500-14-0-4103016-03=11</v>
      </c>
      <c r="B161" s="217" t="str">
        <f>CONCATENATE(C161,"-",D161,"-",E161,"-",F161,"-",G161,"-",H161,"-",I161)</f>
        <v>C-4103-1500-14-0-4103016-03</v>
      </c>
      <c r="C161" s="266" t="s">
        <v>167</v>
      </c>
      <c r="D161" s="267" t="s">
        <v>190</v>
      </c>
      <c r="E161" s="267" t="s">
        <v>172</v>
      </c>
      <c r="F161" s="267" t="s">
        <v>205</v>
      </c>
      <c r="G161" s="267" t="s">
        <v>175</v>
      </c>
      <c r="H161" s="267" t="s">
        <v>207</v>
      </c>
      <c r="I161" s="272" t="s">
        <v>65</v>
      </c>
      <c r="J161" s="273"/>
      <c r="K161" s="268">
        <v>11</v>
      </c>
      <c r="L161" s="269" t="s">
        <v>29</v>
      </c>
      <c r="M161" s="259" t="s">
        <v>127</v>
      </c>
      <c r="N161" s="222">
        <v>796312137723.71997</v>
      </c>
      <c r="O161" s="222"/>
      <c r="P161" s="222"/>
      <c r="Q161" s="223"/>
      <c r="R161" s="222">
        <f>44314848063+700000000+1863454320</f>
        <v>46878302383</v>
      </c>
      <c r="S161" s="222">
        <f>283031626917.93-60000000000</f>
        <v>223031626917.92999</v>
      </c>
      <c r="T161" s="222">
        <f>+N161-S161+O161-P161+Q161-R161</f>
        <v>526402208422.79004</v>
      </c>
      <c r="U161" s="222">
        <v>454874507379.75</v>
      </c>
      <c r="V161" s="222">
        <f t="shared" si="106"/>
        <v>71527701043.040039</v>
      </c>
      <c r="W161" s="224">
        <f t="shared" si="151"/>
        <v>0.86411967902385545</v>
      </c>
      <c r="X161" s="222">
        <v>23011802008.549999</v>
      </c>
      <c r="Y161" s="222">
        <f t="shared" si="115"/>
        <v>431862705371.20001</v>
      </c>
      <c r="Z161" s="224">
        <f t="shared" si="160"/>
        <v>0.94941065802718483</v>
      </c>
      <c r="AA161" s="222">
        <v>23011802008.549999</v>
      </c>
      <c r="AB161" s="222">
        <f t="shared" si="107"/>
        <v>0</v>
      </c>
      <c r="AC161" s="224">
        <f t="shared" si="141"/>
        <v>5.0589341972815144E-2</v>
      </c>
      <c r="AE161" s="13"/>
      <c r="AF161" s="293"/>
    </row>
    <row r="162" spans="1:54" ht="17.25" customHeight="1">
      <c r="A162" s="32" t="str">
        <f t="shared" si="137"/>
        <v>C-4103-1500-14-0-4103048=11</v>
      </c>
      <c r="B162" s="210" t="str">
        <f>CONCATENATE(C162,"-",D162,"-",E162,"-",F162,"-",G162,"-",H162)</f>
        <v>C-4103-1500-14-0-4103048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209</v>
      </c>
      <c r="I162" s="212"/>
      <c r="J162" s="212"/>
      <c r="K162" s="213">
        <v>11</v>
      </c>
      <c r="L162" s="214" t="s">
        <v>29</v>
      </c>
      <c r="M162" s="210" t="s">
        <v>210</v>
      </c>
      <c r="N162" s="215">
        <f t="shared" ref="N162:V162" si="170">SUM(N163:N163)</f>
        <v>21666882589.209999</v>
      </c>
      <c r="O162" s="215">
        <f t="shared" si="170"/>
        <v>0</v>
      </c>
      <c r="P162" s="215">
        <f t="shared" si="170"/>
        <v>0</v>
      </c>
      <c r="Q162" s="215">
        <f t="shared" si="170"/>
        <v>700000000</v>
      </c>
      <c r="R162" s="215">
        <f t="shared" si="170"/>
        <v>0</v>
      </c>
      <c r="S162" s="215">
        <f t="shared" si="170"/>
        <v>0</v>
      </c>
      <c r="T162" s="215">
        <f t="shared" si="170"/>
        <v>22366882589.209999</v>
      </c>
      <c r="U162" s="215">
        <f t="shared" si="170"/>
        <v>8433119931</v>
      </c>
      <c r="V162" s="215">
        <f t="shared" si="170"/>
        <v>13933762658.209999</v>
      </c>
      <c r="W162" s="216">
        <f t="shared" si="151"/>
        <v>0.37703599942301386</v>
      </c>
      <c r="X162" s="215">
        <f t="shared" ref="X162:Y162" si="171">SUM(X163:X163)</f>
        <v>105680517</v>
      </c>
      <c r="Y162" s="215">
        <f t="shared" si="171"/>
        <v>8327439414</v>
      </c>
      <c r="Z162" s="216">
        <f t="shared" si="160"/>
        <v>0.98746839629168315</v>
      </c>
      <c r="AA162" s="215">
        <f t="shared" ref="AA162:AB162" si="172">SUM(AA163:AA163)</f>
        <v>105680517</v>
      </c>
      <c r="AB162" s="215">
        <f t="shared" si="172"/>
        <v>0</v>
      </c>
      <c r="AC162" s="216">
        <f t="shared" si="141"/>
        <v>1.253160370831681E-2</v>
      </c>
      <c r="AE162" s="13"/>
      <c r="AF162" s="293"/>
    </row>
    <row r="163" spans="1:54" ht="24.95" customHeight="1">
      <c r="A163" s="32" t="str">
        <f t="shared" si="137"/>
        <v>C-4103-1500-14-0-4103048-02=11</v>
      </c>
      <c r="B163" s="217" t="str">
        <f>CONCATENATE(C163,"-",D163,"-",E163,"-",F163,"-",G163,"-",H163,"-",I163)</f>
        <v>C-4103-1500-14-0-4103048-02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209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21666882589.209999</v>
      </c>
      <c r="O163" s="222"/>
      <c r="P163" s="222"/>
      <c r="Q163" s="222">
        <v>700000000</v>
      </c>
      <c r="R163" s="222"/>
      <c r="S163" s="222"/>
      <c r="T163" s="222">
        <f>+N163-S163+O163-P163+Q163-R163</f>
        <v>22366882589.209999</v>
      </c>
      <c r="U163" s="222">
        <v>8433119931</v>
      </c>
      <c r="V163" s="222">
        <f t="shared" ref="V163" si="173">+T163-U163</f>
        <v>13933762658.209999</v>
      </c>
      <c r="W163" s="224">
        <f t="shared" si="151"/>
        <v>0.37703599942301386</v>
      </c>
      <c r="X163" s="222">
        <v>105680517</v>
      </c>
      <c r="Y163" s="222">
        <f t="shared" ref="Y163" si="174">+U163-X163</f>
        <v>8327439414</v>
      </c>
      <c r="Z163" s="224">
        <f t="shared" si="160"/>
        <v>0.98746839629168315</v>
      </c>
      <c r="AA163" s="222">
        <v>105680517</v>
      </c>
      <c r="AB163" s="222">
        <f t="shared" ref="AB163" si="175">+X163-AA163</f>
        <v>0</v>
      </c>
      <c r="AC163" s="224">
        <f t="shared" si="141"/>
        <v>1.253160370831681E-2</v>
      </c>
      <c r="AE163" s="13"/>
      <c r="AF163" s="293"/>
    </row>
    <row r="164" spans="1:54" ht="33" customHeight="1">
      <c r="A164" s="32" t="str">
        <f t="shared" si="137"/>
        <v>C-4103-1500-16=</v>
      </c>
      <c r="B164" s="226" t="str">
        <f>CONCATENATE(C164,"-",D164,"-",E164,"-",F164)</f>
        <v>C-4103-1500-16</v>
      </c>
      <c r="C164" s="227" t="s">
        <v>167</v>
      </c>
      <c r="D164" s="228" t="s">
        <v>190</v>
      </c>
      <c r="E164" s="228" t="s">
        <v>172</v>
      </c>
      <c r="F164" s="228" t="s">
        <v>211</v>
      </c>
      <c r="G164" s="228"/>
      <c r="H164" s="228"/>
      <c r="I164" s="228"/>
      <c r="J164" s="228"/>
      <c r="K164" s="229"/>
      <c r="L164" s="230"/>
      <c r="M164" s="231" t="s">
        <v>282</v>
      </c>
      <c r="N164" s="232">
        <f>+N165+N167</f>
        <v>1000000000</v>
      </c>
      <c r="O164" s="232">
        <f t="shared" ref="O164:V164" si="176">+O165+O167</f>
        <v>0</v>
      </c>
      <c r="P164" s="232">
        <f t="shared" si="176"/>
        <v>0</v>
      </c>
      <c r="Q164" s="232">
        <f t="shared" si="176"/>
        <v>0</v>
      </c>
      <c r="R164" s="232">
        <f t="shared" si="176"/>
        <v>0</v>
      </c>
      <c r="S164" s="232">
        <f t="shared" si="176"/>
        <v>0</v>
      </c>
      <c r="T164" s="232">
        <f t="shared" si="176"/>
        <v>1000000000</v>
      </c>
      <c r="U164" s="232">
        <f t="shared" si="176"/>
        <v>0</v>
      </c>
      <c r="V164" s="232">
        <f t="shared" si="176"/>
        <v>1000000000</v>
      </c>
      <c r="W164" s="233">
        <f t="shared" si="151"/>
        <v>0</v>
      </c>
      <c r="X164" s="232">
        <f t="shared" ref="X164:AB164" si="177">+X165+X167</f>
        <v>0</v>
      </c>
      <c r="Y164" s="232">
        <f t="shared" si="177"/>
        <v>0</v>
      </c>
      <c r="Z164" s="233">
        <f t="shared" si="160"/>
        <v>0</v>
      </c>
      <c r="AA164" s="232">
        <f t="shared" si="177"/>
        <v>0</v>
      </c>
      <c r="AB164" s="232">
        <f t="shared" si="177"/>
        <v>0</v>
      </c>
      <c r="AC164" s="233">
        <f t="shared" si="141"/>
        <v>0</v>
      </c>
      <c r="AE164" s="13"/>
      <c r="AF164" s="293"/>
    </row>
    <row r="165" spans="1:54" s="90" customFormat="1" ht="33.75" customHeight="1">
      <c r="A165" s="32" t="str">
        <f t="shared" si="137"/>
        <v>C-4103-1500-16-0-4103056=11</v>
      </c>
      <c r="B165" s="210" t="str">
        <f>CONCATENATE(C165,"-",D165,"-",E165,"-",F165,"-",G165,"-",H165)</f>
        <v>C-4103-1500-16-0-4103056</v>
      </c>
      <c r="C165" s="211" t="s">
        <v>167</v>
      </c>
      <c r="D165" s="212" t="s">
        <v>190</v>
      </c>
      <c r="E165" s="212" t="s">
        <v>172</v>
      </c>
      <c r="F165" s="212" t="s">
        <v>211</v>
      </c>
      <c r="G165" s="212" t="s">
        <v>175</v>
      </c>
      <c r="H165" s="212" t="s">
        <v>213</v>
      </c>
      <c r="I165" s="212"/>
      <c r="J165" s="212"/>
      <c r="K165" s="213" t="s">
        <v>144</v>
      </c>
      <c r="L165" s="214" t="s">
        <v>29</v>
      </c>
      <c r="M165" s="210" t="s">
        <v>214</v>
      </c>
      <c r="N165" s="215">
        <f>+N166</f>
        <v>730000000</v>
      </c>
      <c r="O165" s="215">
        <f t="shared" ref="O165:AB165" si="178">+O166</f>
        <v>0</v>
      </c>
      <c r="P165" s="215">
        <f t="shared" si="178"/>
        <v>0</v>
      </c>
      <c r="Q165" s="215">
        <f t="shared" si="178"/>
        <v>0</v>
      </c>
      <c r="R165" s="215">
        <f t="shared" si="178"/>
        <v>0</v>
      </c>
      <c r="S165" s="215">
        <f t="shared" si="178"/>
        <v>0</v>
      </c>
      <c r="T165" s="215">
        <f t="shared" si="178"/>
        <v>730000000</v>
      </c>
      <c r="U165" s="215">
        <f t="shared" si="178"/>
        <v>0</v>
      </c>
      <c r="V165" s="215">
        <f t="shared" si="178"/>
        <v>730000000</v>
      </c>
      <c r="W165" s="216">
        <f t="shared" si="151"/>
        <v>0</v>
      </c>
      <c r="X165" s="215">
        <f t="shared" si="178"/>
        <v>0</v>
      </c>
      <c r="Y165" s="215">
        <f t="shared" si="178"/>
        <v>0</v>
      </c>
      <c r="Z165" s="216">
        <f t="shared" si="160"/>
        <v>0</v>
      </c>
      <c r="AA165" s="215">
        <f t="shared" si="178"/>
        <v>0</v>
      </c>
      <c r="AB165" s="215">
        <f t="shared" si="178"/>
        <v>0</v>
      </c>
      <c r="AC165" s="216">
        <f t="shared" si="141"/>
        <v>0</v>
      </c>
      <c r="AD165" s="13"/>
      <c r="AE165" s="13"/>
      <c r="AF165" s="29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</row>
    <row r="166" spans="1:54" s="90" customFormat="1" ht="24.95" customHeight="1">
      <c r="A166" s="32" t="str">
        <f t="shared" si="137"/>
        <v>C-4103-1500-16-0-4103056-02=11</v>
      </c>
      <c r="B166" s="217" t="str">
        <f>CONCATENATE(C166,"-",D166,"-",E166,"-",F166,"-",G166,"-",H166,"-",I166)</f>
        <v>C-4103-1500-16-0-4103056-02</v>
      </c>
      <c r="C166" s="218" t="s">
        <v>167</v>
      </c>
      <c r="D166" s="219" t="s">
        <v>190</v>
      </c>
      <c r="E166" s="219" t="s">
        <v>172</v>
      </c>
      <c r="F166" s="219" t="s">
        <v>211</v>
      </c>
      <c r="G166" s="219" t="s">
        <v>175</v>
      </c>
      <c r="H166" s="219" t="s">
        <v>213</v>
      </c>
      <c r="I166" s="219" t="s">
        <v>54</v>
      </c>
      <c r="J166" s="219"/>
      <c r="K166" s="220" t="s">
        <v>144</v>
      </c>
      <c r="L166" s="221" t="s">
        <v>29</v>
      </c>
      <c r="M166" s="259" t="s">
        <v>178</v>
      </c>
      <c r="N166" s="222">
        <v>730000000</v>
      </c>
      <c r="O166" s="222"/>
      <c r="P166" s="222"/>
      <c r="Q166" s="222"/>
      <c r="R166" s="222"/>
      <c r="S166" s="222"/>
      <c r="T166" s="222">
        <f>+N166-S166+O166-P166+Q166-R166</f>
        <v>730000000</v>
      </c>
      <c r="U166" s="222">
        <v>0</v>
      </c>
      <c r="V166" s="222">
        <f t="shared" si="106"/>
        <v>730000000</v>
      </c>
      <c r="W166" s="224">
        <f t="shared" si="151"/>
        <v>0</v>
      </c>
      <c r="X166" s="222">
        <v>0</v>
      </c>
      <c r="Y166" s="222">
        <f t="shared" si="115"/>
        <v>0</v>
      </c>
      <c r="Z166" s="224">
        <f t="shared" si="160"/>
        <v>0</v>
      </c>
      <c r="AA166" s="222">
        <v>0</v>
      </c>
      <c r="AB166" s="222">
        <f t="shared" si="107"/>
        <v>0</v>
      </c>
      <c r="AC166" s="224">
        <f t="shared" si="141"/>
        <v>0</v>
      </c>
      <c r="AD166" s="13"/>
      <c r="AE166" s="13"/>
      <c r="AF166" s="29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</row>
    <row r="167" spans="1:54" s="90" customFormat="1" ht="18.75" customHeight="1">
      <c r="A167" s="32" t="str">
        <f t="shared" si="137"/>
        <v>C-4103-1500-16-0-4103060=11</v>
      </c>
      <c r="B167" s="210" t="str">
        <f>CONCATENATE(C167,"-",D167,"-",E167,"-",F167,"-",G167,"-",H167)</f>
        <v>C-4103-1500-16-0-4103060</v>
      </c>
      <c r="C167" s="211" t="s">
        <v>167</v>
      </c>
      <c r="D167" s="212" t="s">
        <v>190</v>
      </c>
      <c r="E167" s="212" t="s">
        <v>172</v>
      </c>
      <c r="F167" s="212" t="s">
        <v>211</v>
      </c>
      <c r="G167" s="212" t="s">
        <v>175</v>
      </c>
      <c r="H167" s="212" t="s">
        <v>215</v>
      </c>
      <c r="I167" s="212"/>
      <c r="J167" s="212"/>
      <c r="K167" s="213" t="s">
        <v>144</v>
      </c>
      <c r="L167" s="214" t="s">
        <v>29</v>
      </c>
      <c r="M167" s="210" t="s">
        <v>216</v>
      </c>
      <c r="N167" s="215">
        <f>+N168</f>
        <v>270000000</v>
      </c>
      <c r="O167" s="215">
        <f t="shared" ref="O167:AB167" si="179">+O168</f>
        <v>0</v>
      </c>
      <c r="P167" s="215">
        <f t="shared" si="179"/>
        <v>0</v>
      </c>
      <c r="Q167" s="215">
        <f t="shared" si="179"/>
        <v>0</v>
      </c>
      <c r="R167" s="215">
        <f t="shared" si="179"/>
        <v>0</v>
      </c>
      <c r="S167" s="215">
        <f t="shared" si="179"/>
        <v>0</v>
      </c>
      <c r="T167" s="215">
        <f t="shared" si="179"/>
        <v>270000000</v>
      </c>
      <c r="U167" s="215">
        <f t="shared" si="179"/>
        <v>0</v>
      </c>
      <c r="V167" s="215">
        <f t="shared" si="179"/>
        <v>270000000</v>
      </c>
      <c r="W167" s="216">
        <f t="shared" si="151"/>
        <v>0</v>
      </c>
      <c r="X167" s="215">
        <f t="shared" si="179"/>
        <v>0</v>
      </c>
      <c r="Y167" s="215">
        <f t="shared" si="179"/>
        <v>0</v>
      </c>
      <c r="Z167" s="216">
        <f t="shared" si="160"/>
        <v>0</v>
      </c>
      <c r="AA167" s="215">
        <f t="shared" si="179"/>
        <v>0</v>
      </c>
      <c r="AB167" s="215">
        <f t="shared" si="179"/>
        <v>0</v>
      </c>
      <c r="AC167" s="216">
        <f t="shared" si="141"/>
        <v>0</v>
      </c>
      <c r="AD167" s="13"/>
      <c r="AE167" s="13"/>
      <c r="AF167" s="29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</row>
    <row r="168" spans="1:54" s="90" customFormat="1" ht="24.95" customHeight="1">
      <c r="A168" s="32" t="str">
        <f t="shared" si="137"/>
        <v>C-4103-1500-16-0-4103060-02=11</v>
      </c>
      <c r="B168" s="217" t="str">
        <f>CONCATENATE(C168,"-",D168,"-",E168,"-",F168,"-",G168,"-",H168,"-",I168)</f>
        <v>C-4103-1500-16-0-4103060-02</v>
      </c>
      <c r="C168" s="218" t="s">
        <v>167</v>
      </c>
      <c r="D168" s="219" t="s">
        <v>190</v>
      </c>
      <c r="E168" s="219" t="s">
        <v>172</v>
      </c>
      <c r="F168" s="219" t="s">
        <v>211</v>
      </c>
      <c r="G168" s="219" t="s">
        <v>175</v>
      </c>
      <c r="H168" s="219" t="s">
        <v>215</v>
      </c>
      <c r="I168" s="219" t="s">
        <v>54</v>
      </c>
      <c r="J168" s="219"/>
      <c r="K168" s="220" t="s">
        <v>144</v>
      </c>
      <c r="L168" s="221" t="s">
        <v>29</v>
      </c>
      <c r="M168" s="259" t="s">
        <v>178</v>
      </c>
      <c r="N168" s="222">
        <v>270000000</v>
      </c>
      <c r="O168" s="222"/>
      <c r="P168" s="222"/>
      <c r="Q168" s="222"/>
      <c r="R168" s="222"/>
      <c r="S168" s="222"/>
      <c r="T168" s="222">
        <f>+N168-S168+O168-P168+Q168-R168</f>
        <v>270000000</v>
      </c>
      <c r="U168" s="222">
        <v>0</v>
      </c>
      <c r="V168" s="222">
        <f t="shared" si="106"/>
        <v>270000000</v>
      </c>
      <c r="W168" s="224">
        <f t="shared" si="151"/>
        <v>0</v>
      </c>
      <c r="X168" s="222">
        <v>0</v>
      </c>
      <c r="Y168" s="222">
        <f t="shared" si="115"/>
        <v>0</v>
      </c>
      <c r="Z168" s="224">
        <f t="shared" si="160"/>
        <v>0</v>
      </c>
      <c r="AA168" s="222">
        <v>0</v>
      </c>
      <c r="AB168" s="222">
        <f t="shared" si="107"/>
        <v>0</v>
      </c>
      <c r="AC168" s="224">
        <f t="shared" si="141"/>
        <v>0</v>
      </c>
      <c r="AD168" s="13"/>
      <c r="AE168" s="13"/>
      <c r="AF168" s="29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</row>
    <row r="169" spans="1:54" s="90" customFormat="1" ht="66">
      <c r="A169" s="32" t="str">
        <f t="shared" si="137"/>
        <v>C-4103-1500-17=</v>
      </c>
      <c r="B169" s="226" t="str">
        <f>CONCATENATE(C169,"-",D169,"-",E169,"-",F169)</f>
        <v>C-4103-1500-17</v>
      </c>
      <c r="C169" s="227" t="s">
        <v>167</v>
      </c>
      <c r="D169" s="228" t="s">
        <v>190</v>
      </c>
      <c r="E169" s="228" t="s">
        <v>172</v>
      </c>
      <c r="F169" s="228" t="s">
        <v>217</v>
      </c>
      <c r="G169" s="228"/>
      <c r="H169" s="228"/>
      <c r="I169" s="228"/>
      <c r="J169" s="228"/>
      <c r="K169" s="229"/>
      <c r="L169" s="230"/>
      <c r="M169" s="231" t="s">
        <v>283</v>
      </c>
      <c r="N169" s="232">
        <f t="shared" ref="N169:V169" si="180">+N174+N176+N172+N170</f>
        <v>83583395677</v>
      </c>
      <c r="O169" s="232">
        <f t="shared" si="180"/>
        <v>0</v>
      </c>
      <c r="P169" s="232">
        <f t="shared" si="180"/>
        <v>0</v>
      </c>
      <c r="Q169" s="232">
        <f t="shared" si="180"/>
        <v>0</v>
      </c>
      <c r="R169" s="232">
        <f t="shared" si="180"/>
        <v>0</v>
      </c>
      <c r="S169" s="232">
        <f t="shared" si="180"/>
        <v>40000000000</v>
      </c>
      <c r="T169" s="232">
        <f t="shared" si="180"/>
        <v>43583395677</v>
      </c>
      <c r="U169" s="232">
        <f t="shared" si="180"/>
        <v>38677333392</v>
      </c>
      <c r="V169" s="232">
        <f t="shared" si="180"/>
        <v>4906062285</v>
      </c>
      <c r="W169" s="233">
        <f t="shared" si="151"/>
        <v>0.88743276633699641</v>
      </c>
      <c r="X169" s="232">
        <f t="shared" ref="X169:Y169" si="181">+X174+X176+X172+X170</f>
        <v>100748682</v>
      </c>
      <c r="Y169" s="232">
        <f t="shared" si="181"/>
        <v>38576584710</v>
      </c>
      <c r="Z169" s="233">
        <f t="shared" si="160"/>
        <v>0.99739514922140837</v>
      </c>
      <c r="AA169" s="232">
        <f t="shared" ref="AA169:AB169" si="182">+AA174+AA176+AA172+AA170</f>
        <v>100748682</v>
      </c>
      <c r="AB169" s="232">
        <f t="shared" si="182"/>
        <v>0</v>
      </c>
      <c r="AC169" s="233">
        <f t="shared" si="141"/>
        <v>2.6048507785916492E-3</v>
      </c>
      <c r="AD169" s="13"/>
      <c r="AE169" s="13"/>
      <c r="AF169" s="29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</row>
    <row r="170" spans="1:54" s="90" customFormat="1" ht="24.95" customHeight="1">
      <c r="A170" s="32" t="str">
        <f t="shared" si="137"/>
        <v>C-4103-1500-17-0-4103005=11</v>
      </c>
      <c r="B170" s="210" t="str">
        <f>CONCATENATE(C170,"-",D170,"-",E170,"-",F170,"-",G170,"-",H170)</f>
        <v>C-4103-1500-17-0-4103005</v>
      </c>
      <c r="C170" s="211" t="s">
        <v>167</v>
      </c>
      <c r="D170" s="212" t="s">
        <v>190</v>
      </c>
      <c r="E170" s="212" t="s">
        <v>172</v>
      </c>
      <c r="F170" s="212" t="s">
        <v>217</v>
      </c>
      <c r="G170" s="212" t="s">
        <v>175</v>
      </c>
      <c r="H170" s="212" t="s">
        <v>219</v>
      </c>
      <c r="I170" s="212"/>
      <c r="J170" s="212"/>
      <c r="K170" s="213">
        <v>11</v>
      </c>
      <c r="L170" s="214" t="s">
        <v>29</v>
      </c>
      <c r="M170" s="210" t="s">
        <v>220</v>
      </c>
      <c r="N170" s="215">
        <f>N171</f>
        <v>24060301659</v>
      </c>
      <c r="O170" s="215">
        <f t="shared" ref="O170:AB170" si="183">O171</f>
        <v>0</v>
      </c>
      <c r="P170" s="215">
        <f t="shared" si="183"/>
        <v>0</v>
      </c>
      <c r="Q170" s="215">
        <f t="shared" si="183"/>
        <v>0</v>
      </c>
      <c r="R170" s="215">
        <f t="shared" si="183"/>
        <v>0</v>
      </c>
      <c r="S170" s="215">
        <f t="shared" si="183"/>
        <v>5805513391</v>
      </c>
      <c r="T170" s="215">
        <f t="shared" si="183"/>
        <v>18254788268</v>
      </c>
      <c r="U170" s="215">
        <f t="shared" si="183"/>
        <v>13681332098</v>
      </c>
      <c r="V170" s="215">
        <f t="shared" si="183"/>
        <v>4573456170</v>
      </c>
      <c r="W170" s="216">
        <f t="shared" si="151"/>
        <v>0.74946539489493247</v>
      </c>
      <c r="X170" s="215">
        <f t="shared" si="183"/>
        <v>100748682</v>
      </c>
      <c r="Y170" s="215">
        <f t="shared" si="183"/>
        <v>13580583416</v>
      </c>
      <c r="Z170" s="216">
        <f t="shared" si="160"/>
        <v>0.99263604733235533</v>
      </c>
      <c r="AA170" s="215">
        <f t="shared" si="183"/>
        <v>100748682</v>
      </c>
      <c r="AB170" s="215">
        <f t="shared" si="183"/>
        <v>0</v>
      </c>
      <c r="AC170" s="216">
        <f t="shared" si="141"/>
        <v>7.3639526676446887E-3</v>
      </c>
      <c r="AD170" s="13"/>
      <c r="AE170" s="13"/>
      <c r="AF170" s="29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</row>
    <row r="171" spans="1:54" s="90" customFormat="1" ht="24.95" customHeight="1">
      <c r="A171" s="32" t="str">
        <f t="shared" si="137"/>
        <v>C-4103-1500-17-0-4103005-02=11</v>
      </c>
      <c r="B171" s="217" t="str">
        <f>CONCATENATE(C171,"-",D171,"-",E171,"-",F171,"-",G171,"-",H171,"-",I171)</f>
        <v>C-4103-1500-17-0-4103005-02</v>
      </c>
      <c r="C171" s="266" t="s">
        <v>167</v>
      </c>
      <c r="D171" s="267" t="s">
        <v>190</v>
      </c>
      <c r="E171" s="267" t="s">
        <v>172</v>
      </c>
      <c r="F171" s="267" t="s">
        <v>217</v>
      </c>
      <c r="G171" s="267" t="s">
        <v>175</v>
      </c>
      <c r="H171" s="267" t="s">
        <v>219</v>
      </c>
      <c r="I171" s="267" t="s">
        <v>54</v>
      </c>
      <c r="J171" s="267"/>
      <c r="K171" s="268">
        <v>11</v>
      </c>
      <c r="L171" s="269" t="s">
        <v>29</v>
      </c>
      <c r="M171" s="259" t="s">
        <v>178</v>
      </c>
      <c r="N171" s="222">
        <v>24060301659</v>
      </c>
      <c r="O171" s="222"/>
      <c r="P171" s="222"/>
      <c r="Q171" s="222"/>
      <c r="R171" s="222"/>
      <c r="S171" s="222">
        <v>5805513391</v>
      </c>
      <c r="T171" s="222">
        <f>+N171-S171+O171-P171+Q171-R171</f>
        <v>18254788268</v>
      </c>
      <c r="U171" s="222">
        <v>13681332098</v>
      </c>
      <c r="V171" s="222">
        <f>+T171-U171</f>
        <v>4573456170</v>
      </c>
      <c r="W171" s="224">
        <f t="shared" si="151"/>
        <v>0.74946539489493247</v>
      </c>
      <c r="X171" s="222">
        <v>100748682</v>
      </c>
      <c r="Y171" s="222">
        <f>+U171-X171</f>
        <v>13580583416</v>
      </c>
      <c r="Z171" s="224">
        <f t="shared" si="160"/>
        <v>0.99263604733235533</v>
      </c>
      <c r="AA171" s="222">
        <v>100748682</v>
      </c>
      <c r="AB171" s="222">
        <f>+X171-AA171</f>
        <v>0</v>
      </c>
      <c r="AC171" s="224">
        <f t="shared" si="141"/>
        <v>7.3639526676446887E-3</v>
      </c>
      <c r="AD171" s="13"/>
      <c r="AE171" s="13"/>
      <c r="AF171" s="29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</row>
    <row r="172" spans="1:54" s="90" customFormat="1" ht="33">
      <c r="A172" s="32" t="str">
        <f t="shared" si="137"/>
        <v>C-4103-1500-17-0-4103057=11</v>
      </c>
      <c r="B172" s="210" t="str">
        <f>CONCATENATE(C172,"-",D172,"-",E172,"-",F172,"-",G172,"-",H172)</f>
        <v>C-4103-1500-17-0-4103057</v>
      </c>
      <c r="C172" s="211" t="s">
        <v>167</v>
      </c>
      <c r="D172" s="212" t="s">
        <v>190</v>
      </c>
      <c r="E172" s="212" t="s">
        <v>172</v>
      </c>
      <c r="F172" s="212" t="s">
        <v>217</v>
      </c>
      <c r="G172" s="212" t="s">
        <v>175</v>
      </c>
      <c r="H172" s="212" t="s">
        <v>221</v>
      </c>
      <c r="I172" s="212"/>
      <c r="J172" s="212"/>
      <c r="K172" s="213">
        <v>11</v>
      </c>
      <c r="L172" s="214" t="s">
        <v>29</v>
      </c>
      <c r="M172" s="210" t="s">
        <v>222</v>
      </c>
      <c r="N172" s="215">
        <f t="shared" ref="N172:V172" si="184">SUM(N173:N173)</f>
        <v>45582352481</v>
      </c>
      <c r="O172" s="215">
        <f t="shared" si="184"/>
        <v>0</v>
      </c>
      <c r="P172" s="215">
        <f t="shared" si="184"/>
        <v>0</v>
      </c>
      <c r="Q172" s="215">
        <f t="shared" si="184"/>
        <v>0</v>
      </c>
      <c r="R172" s="215">
        <f t="shared" si="184"/>
        <v>0</v>
      </c>
      <c r="S172" s="215">
        <f t="shared" si="184"/>
        <v>24481010129</v>
      </c>
      <c r="T172" s="215">
        <f t="shared" si="184"/>
        <v>21101342352</v>
      </c>
      <c r="U172" s="215">
        <f t="shared" si="184"/>
        <v>21101342352</v>
      </c>
      <c r="V172" s="215">
        <f t="shared" si="184"/>
        <v>0</v>
      </c>
      <c r="W172" s="216">
        <f t="shared" si="151"/>
        <v>1</v>
      </c>
      <c r="X172" s="215">
        <f t="shared" ref="X172:Y172" si="185">SUM(X173:X173)</f>
        <v>0</v>
      </c>
      <c r="Y172" s="215">
        <f t="shared" si="185"/>
        <v>21101342352</v>
      </c>
      <c r="Z172" s="216">
        <f t="shared" si="160"/>
        <v>1</v>
      </c>
      <c r="AA172" s="215">
        <f t="shared" ref="AA172:AB172" si="186">SUM(AA173:AA173)</f>
        <v>0</v>
      </c>
      <c r="AB172" s="215">
        <f t="shared" si="186"/>
        <v>0</v>
      </c>
      <c r="AC172" s="216">
        <f t="shared" si="141"/>
        <v>0</v>
      </c>
      <c r="AD172" s="13"/>
      <c r="AE172" s="13"/>
      <c r="AF172" s="29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</row>
    <row r="173" spans="1:54" s="90" customFormat="1" ht="24.95" customHeight="1">
      <c r="A173" s="32" t="str">
        <f t="shared" si="137"/>
        <v>C-4103-1500-17-0-4103057-03=11</v>
      </c>
      <c r="B173" s="217" t="str">
        <f>CONCATENATE(C173,"-",D173,"-",E173,"-",F173,"-",G173,"-",H173,"-",I173)</f>
        <v>C-4103-1500-17-0-4103057-03</v>
      </c>
      <c r="C173" s="266" t="s">
        <v>167</v>
      </c>
      <c r="D173" s="267" t="s">
        <v>190</v>
      </c>
      <c r="E173" s="267" t="s">
        <v>172</v>
      </c>
      <c r="F173" s="267" t="s">
        <v>217</v>
      </c>
      <c r="G173" s="267" t="s">
        <v>175</v>
      </c>
      <c r="H173" s="267" t="s">
        <v>221</v>
      </c>
      <c r="I173" s="274" t="s">
        <v>65</v>
      </c>
      <c r="J173" s="267"/>
      <c r="K173" s="268">
        <v>11</v>
      </c>
      <c r="L173" s="269" t="s">
        <v>29</v>
      </c>
      <c r="M173" s="259" t="s">
        <v>127</v>
      </c>
      <c r="N173" s="222">
        <v>45582352481</v>
      </c>
      <c r="O173" s="222"/>
      <c r="P173" s="222"/>
      <c r="Q173" s="222"/>
      <c r="R173" s="222"/>
      <c r="S173" s="222">
        <v>24481010129</v>
      </c>
      <c r="T173" s="222">
        <f>+N173-S173+O173-P173+Q173-R173</f>
        <v>21101342352</v>
      </c>
      <c r="U173" s="222">
        <v>21101342352</v>
      </c>
      <c r="V173" s="222">
        <f>+T173-U173</f>
        <v>0</v>
      </c>
      <c r="W173" s="224">
        <f t="shared" si="151"/>
        <v>1</v>
      </c>
      <c r="X173" s="222">
        <v>0</v>
      </c>
      <c r="Y173" s="222">
        <f>+U173-X173</f>
        <v>21101342352</v>
      </c>
      <c r="Z173" s="224">
        <f t="shared" si="160"/>
        <v>1</v>
      </c>
      <c r="AA173" s="222">
        <v>0</v>
      </c>
      <c r="AB173" s="222">
        <f>+X173-AA173</f>
        <v>0</v>
      </c>
      <c r="AC173" s="224">
        <f t="shared" si="141"/>
        <v>0</v>
      </c>
      <c r="AD173" s="13"/>
      <c r="AE173" s="13"/>
      <c r="AF173" s="29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</row>
    <row r="174" spans="1:54" s="90" customFormat="1" ht="33">
      <c r="A174" s="32" t="str">
        <f t="shared" si="137"/>
        <v>C-4103-1500-17-0-4103058=11</v>
      </c>
      <c r="B174" s="210" t="str">
        <f>CONCATENATE(C174,"-",D174,"-",E174,"-",F174,"-",G174,"-",H174)</f>
        <v>C-4103-1500-17-0-4103058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223</v>
      </c>
      <c r="I174" s="212"/>
      <c r="J174" s="212"/>
      <c r="K174" s="213">
        <v>11</v>
      </c>
      <c r="L174" s="214" t="s">
        <v>29</v>
      </c>
      <c r="M174" s="210" t="s">
        <v>224</v>
      </c>
      <c r="N174" s="215">
        <f t="shared" ref="N174:V174" si="187">SUM(N175:N175)</f>
        <v>12632794125</v>
      </c>
      <c r="O174" s="215">
        <f t="shared" si="187"/>
        <v>0</v>
      </c>
      <c r="P174" s="215">
        <f t="shared" si="187"/>
        <v>0</v>
      </c>
      <c r="Q174" s="215">
        <f t="shared" si="187"/>
        <v>0</v>
      </c>
      <c r="R174" s="215">
        <f t="shared" si="187"/>
        <v>0</v>
      </c>
      <c r="S174" s="215">
        <f t="shared" si="187"/>
        <v>9713476480</v>
      </c>
      <c r="T174" s="215">
        <f t="shared" si="187"/>
        <v>2919317645</v>
      </c>
      <c r="U174" s="215">
        <f t="shared" si="187"/>
        <v>2919317645</v>
      </c>
      <c r="V174" s="215">
        <f t="shared" si="187"/>
        <v>0</v>
      </c>
      <c r="W174" s="216">
        <f t="shared" si="151"/>
        <v>1</v>
      </c>
      <c r="X174" s="215">
        <f t="shared" ref="X174:Y174" si="188">SUM(X175:X175)</f>
        <v>0</v>
      </c>
      <c r="Y174" s="215">
        <f t="shared" si="188"/>
        <v>2919317645</v>
      </c>
      <c r="Z174" s="216">
        <f t="shared" si="160"/>
        <v>1</v>
      </c>
      <c r="AA174" s="215">
        <f t="shared" ref="AA174:AB174" si="189">SUM(AA175:AA175)</f>
        <v>0</v>
      </c>
      <c r="AB174" s="215">
        <f t="shared" si="189"/>
        <v>0</v>
      </c>
      <c r="AC174" s="216">
        <f t="shared" si="141"/>
        <v>0</v>
      </c>
      <c r="AD174" s="13"/>
      <c r="AE174" s="13"/>
      <c r="AF174" s="29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</row>
    <row r="175" spans="1:54" s="90" customFormat="1" ht="24.95" customHeight="1">
      <c r="A175" s="32" t="str">
        <f t="shared" si="137"/>
        <v>C-4103-1500-17-0-4103058-02=11</v>
      </c>
      <c r="B175" s="217" t="str">
        <f>CONCATENATE(C175,"-",D175,"-",E175,"-",F175,"-",G175,"-",H175,"-",I175)</f>
        <v>C-4103-1500-17-0-4103058-02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223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12632794125</v>
      </c>
      <c r="O175" s="222"/>
      <c r="P175" s="222"/>
      <c r="Q175" s="223"/>
      <c r="R175" s="222"/>
      <c r="S175" s="222">
        <v>9713476480</v>
      </c>
      <c r="T175" s="222">
        <f>+N175-S175+O175-P175+Q175-R175</f>
        <v>2919317645</v>
      </c>
      <c r="U175" s="222">
        <v>2919317645</v>
      </c>
      <c r="V175" s="222">
        <f t="shared" ref="V175" si="190">+T175-U175</f>
        <v>0</v>
      </c>
      <c r="W175" s="224">
        <f t="shared" si="151"/>
        <v>1</v>
      </c>
      <c r="X175" s="222">
        <v>0</v>
      </c>
      <c r="Y175" s="222">
        <f t="shared" ref="Y175" si="191">+U175-X175</f>
        <v>2919317645</v>
      </c>
      <c r="Z175" s="224">
        <f t="shared" si="160"/>
        <v>1</v>
      </c>
      <c r="AA175" s="222">
        <v>0</v>
      </c>
      <c r="AB175" s="222">
        <f t="shared" ref="AB175" si="192">+X175-AA175</f>
        <v>0</v>
      </c>
      <c r="AC175" s="224">
        <f t="shared" si="141"/>
        <v>0</v>
      </c>
      <c r="AD175" s="13"/>
      <c r="AE175" s="13"/>
      <c r="AF175" s="29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</row>
    <row r="176" spans="1:54" s="90" customFormat="1" ht="33">
      <c r="A176" s="32" t="str">
        <f t="shared" si="137"/>
        <v>C-4103-1500-17-0-4103059=11</v>
      </c>
      <c r="B176" s="210" t="str">
        <f>CONCATENATE(C176,"-",D176,"-",E176,"-",F176,"-",G176,"-",H176)</f>
        <v>C-4103-1500-17-0-4103059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225</v>
      </c>
      <c r="I176" s="212"/>
      <c r="J176" s="212"/>
      <c r="K176" s="213">
        <v>11</v>
      </c>
      <c r="L176" s="214" t="s">
        <v>29</v>
      </c>
      <c r="M176" s="210" t="s">
        <v>226</v>
      </c>
      <c r="N176" s="215">
        <f>SUM(N177:N177)</f>
        <v>1307947412</v>
      </c>
      <c r="O176" s="215">
        <f t="shared" ref="O176:V176" si="193">SUM(O177:O177)</f>
        <v>0</v>
      </c>
      <c r="P176" s="215">
        <f t="shared" si="193"/>
        <v>0</v>
      </c>
      <c r="Q176" s="215">
        <f t="shared" si="193"/>
        <v>0</v>
      </c>
      <c r="R176" s="215">
        <f t="shared" si="193"/>
        <v>0</v>
      </c>
      <c r="S176" s="215">
        <f t="shared" si="193"/>
        <v>0</v>
      </c>
      <c r="T176" s="215">
        <f t="shared" si="193"/>
        <v>1307947412</v>
      </c>
      <c r="U176" s="215">
        <f t="shared" si="193"/>
        <v>975341297</v>
      </c>
      <c r="V176" s="215">
        <f t="shared" si="193"/>
        <v>332606115</v>
      </c>
      <c r="W176" s="216">
        <f t="shared" si="151"/>
        <v>0.74570375540450251</v>
      </c>
      <c r="X176" s="215">
        <f t="shared" ref="X176:Y176" si="194">SUM(X177:X177)</f>
        <v>0</v>
      </c>
      <c r="Y176" s="215">
        <f t="shared" si="194"/>
        <v>975341297</v>
      </c>
      <c r="Z176" s="216">
        <f t="shared" si="160"/>
        <v>1</v>
      </c>
      <c r="AA176" s="215">
        <f t="shared" ref="AA176:AB176" si="195">SUM(AA177:AA177)</f>
        <v>0</v>
      </c>
      <c r="AB176" s="215">
        <f t="shared" si="195"/>
        <v>0</v>
      </c>
      <c r="AC176" s="216">
        <f t="shared" si="141"/>
        <v>0</v>
      </c>
      <c r="AD176" s="13"/>
      <c r="AE176" s="13"/>
      <c r="AF176" s="29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</row>
    <row r="177" spans="1:54" s="90" customFormat="1" ht="24.95" customHeight="1">
      <c r="A177" s="32" t="str">
        <f t="shared" si="137"/>
        <v>C-4103-1500-17-0-4103059-02=11</v>
      </c>
      <c r="B177" s="217" t="str">
        <f>CONCATENATE(C177,"-",D177,"-",E177,"-",F177,"-",G177,"-",H177,"-",I177)</f>
        <v>C-4103-1500-17-0-4103059-02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225</v>
      </c>
      <c r="I177" s="267" t="s">
        <v>54</v>
      </c>
      <c r="J177" s="267"/>
      <c r="K177" s="268">
        <v>11</v>
      </c>
      <c r="L177" s="269" t="s">
        <v>29</v>
      </c>
      <c r="M177" s="259" t="s">
        <v>178</v>
      </c>
      <c r="N177" s="222">
        <v>1307947412</v>
      </c>
      <c r="O177" s="222"/>
      <c r="P177" s="222"/>
      <c r="Q177" s="222"/>
      <c r="R177" s="222"/>
      <c r="S177" s="222"/>
      <c r="T177" s="222">
        <f>+N177-S177+O177-P177+Q177-R177</f>
        <v>1307947412</v>
      </c>
      <c r="U177" s="222">
        <v>975341297</v>
      </c>
      <c r="V177" s="222">
        <f t="shared" si="106"/>
        <v>332606115</v>
      </c>
      <c r="W177" s="224">
        <f t="shared" si="151"/>
        <v>0.74570375540450251</v>
      </c>
      <c r="X177" s="222">
        <v>0</v>
      </c>
      <c r="Y177" s="222">
        <f t="shared" si="115"/>
        <v>975341297</v>
      </c>
      <c r="Z177" s="224">
        <f t="shared" si="160"/>
        <v>1</v>
      </c>
      <c r="AA177" s="222">
        <v>0</v>
      </c>
      <c r="AB177" s="222">
        <f t="shared" si="107"/>
        <v>0</v>
      </c>
      <c r="AC177" s="224">
        <f t="shared" si="141"/>
        <v>0</v>
      </c>
      <c r="AD177" s="13"/>
      <c r="AE177" s="13"/>
      <c r="AF177" s="29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</row>
    <row r="178" spans="1:54" s="90" customFormat="1" ht="49.5">
      <c r="A178" s="32" t="str">
        <f t="shared" si="137"/>
        <v>C-4103-1500-18=</v>
      </c>
      <c r="B178" s="226" t="str">
        <f>CONCATENATE(C178,"-",D178,"-",E178,"-",F178)</f>
        <v>C-4103-1500-18</v>
      </c>
      <c r="C178" s="227" t="s">
        <v>167</v>
      </c>
      <c r="D178" s="228" t="s">
        <v>190</v>
      </c>
      <c r="E178" s="228" t="s">
        <v>172</v>
      </c>
      <c r="F178" s="228">
        <v>18</v>
      </c>
      <c r="G178" s="228"/>
      <c r="H178" s="228"/>
      <c r="I178" s="228"/>
      <c r="J178" s="228"/>
      <c r="K178" s="229"/>
      <c r="L178" s="230"/>
      <c r="M178" s="231" t="s">
        <v>284</v>
      </c>
      <c r="N178" s="232">
        <f>+N179</f>
        <v>70125561842</v>
      </c>
      <c r="O178" s="232">
        <f t="shared" ref="O178:AB178" si="196">+O179</f>
        <v>0</v>
      </c>
      <c r="P178" s="232">
        <f t="shared" si="196"/>
        <v>0</v>
      </c>
      <c r="Q178" s="232">
        <f t="shared" si="196"/>
        <v>0</v>
      </c>
      <c r="R178" s="232">
        <f t="shared" si="196"/>
        <v>0</v>
      </c>
      <c r="S178" s="232">
        <f t="shared" si="196"/>
        <v>60000000000</v>
      </c>
      <c r="T178" s="232">
        <f t="shared" si="196"/>
        <v>10125561842</v>
      </c>
      <c r="U178" s="232">
        <f t="shared" si="196"/>
        <v>3197913279.9200001</v>
      </c>
      <c r="V178" s="232">
        <f t="shared" si="196"/>
        <v>6927648562.0799999</v>
      </c>
      <c r="W178" s="233">
        <f t="shared" si="151"/>
        <v>0.31582576155481251</v>
      </c>
      <c r="X178" s="232">
        <f t="shared" si="196"/>
        <v>129771155.38</v>
      </c>
      <c r="Y178" s="232">
        <f t="shared" si="196"/>
        <v>3068142124.54</v>
      </c>
      <c r="Z178" s="233">
        <f t="shared" si="160"/>
        <v>0.95942005175848721</v>
      </c>
      <c r="AA178" s="232">
        <f t="shared" si="196"/>
        <v>129771155.38</v>
      </c>
      <c r="AB178" s="232">
        <f t="shared" si="196"/>
        <v>0</v>
      </c>
      <c r="AC178" s="233">
        <f t="shared" si="141"/>
        <v>4.0579948241512787E-2</v>
      </c>
      <c r="AD178" s="13"/>
      <c r="AE178" s="13"/>
      <c r="AF178" s="29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</row>
    <row r="179" spans="1:54" s="90" customFormat="1" ht="33">
      <c r="A179" s="32" t="str">
        <f t="shared" si="137"/>
        <v>C-4103-1500-18-0-4103050=11</v>
      </c>
      <c r="B179" s="210" t="str">
        <f>CONCATENATE(C179,"-",D179,"-",E179,"-",F179,"-",G179,"-",H179)</f>
        <v>C-4103-1500-18-0-4103050</v>
      </c>
      <c r="C179" s="211" t="s">
        <v>167</v>
      </c>
      <c r="D179" s="212" t="s">
        <v>190</v>
      </c>
      <c r="E179" s="212" t="s">
        <v>172</v>
      </c>
      <c r="F179" s="212">
        <v>18</v>
      </c>
      <c r="G179" s="212" t="s">
        <v>175</v>
      </c>
      <c r="H179" s="212">
        <v>4103050</v>
      </c>
      <c r="I179" s="212"/>
      <c r="J179" s="212"/>
      <c r="K179" s="213">
        <v>11</v>
      </c>
      <c r="L179" s="214" t="s">
        <v>29</v>
      </c>
      <c r="M179" s="210" t="s">
        <v>269</v>
      </c>
      <c r="N179" s="215">
        <f>N180</f>
        <v>70125561842</v>
      </c>
      <c r="O179" s="215">
        <f t="shared" ref="O179:AB179" si="197">O180</f>
        <v>0</v>
      </c>
      <c r="P179" s="215">
        <f t="shared" si="197"/>
        <v>0</v>
      </c>
      <c r="Q179" s="215">
        <f t="shared" si="197"/>
        <v>0</v>
      </c>
      <c r="R179" s="215">
        <f t="shared" si="197"/>
        <v>0</v>
      </c>
      <c r="S179" s="215">
        <f t="shared" si="197"/>
        <v>60000000000</v>
      </c>
      <c r="T179" s="215">
        <f t="shared" si="197"/>
        <v>10125561842</v>
      </c>
      <c r="U179" s="215">
        <f t="shared" si="197"/>
        <v>3197913279.9200001</v>
      </c>
      <c r="V179" s="215">
        <f t="shared" si="197"/>
        <v>6927648562.0799999</v>
      </c>
      <c r="W179" s="216">
        <f t="shared" si="151"/>
        <v>0.31582576155481251</v>
      </c>
      <c r="X179" s="215">
        <f t="shared" si="197"/>
        <v>129771155.38</v>
      </c>
      <c r="Y179" s="215">
        <f t="shared" si="197"/>
        <v>3068142124.54</v>
      </c>
      <c r="Z179" s="216">
        <f t="shared" si="160"/>
        <v>0.95942005175848721</v>
      </c>
      <c r="AA179" s="215">
        <f t="shared" si="197"/>
        <v>129771155.38</v>
      </c>
      <c r="AB179" s="215">
        <f t="shared" si="197"/>
        <v>0</v>
      </c>
      <c r="AC179" s="216">
        <f t="shared" si="141"/>
        <v>4.0579948241512787E-2</v>
      </c>
      <c r="AD179" s="13"/>
      <c r="AE179" s="13"/>
      <c r="AF179" s="29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</row>
    <row r="180" spans="1:54" s="90" customFormat="1" ht="24.95" customHeight="1">
      <c r="A180" s="32" t="str">
        <f t="shared" si="137"/>
        <v>C-4103-1500-18-0-4103050-02=11</v>
      </c>
      <c r="B180" s="217" t="str">
        <f>CONCATENATE(C180,"-",D180,"-",E180,"-",F180,"-",G180,"-",H180,"-",I180)</f>
        <v>C-4103-1500-18-0-4103050-02</v>
      </c>
      <c r="C180" s="266" t="s">
        <v>167</v>
      </c>
      <c r="D180" s="267" t="s">
        <v>190</v>
      </c>
      <c r="E180" s="267" t="s">
        <v>172</v>
      </c>
      <c r="F180" s="267">
        <v>18</v>
      </c>
      <c r="G180" s="267" t="s">
        <v>175</v>
      </c>
      <c r="H180" s="267">
        <v>4103050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>
        <v>70125561842</v>
      </c>
      <c r="O180" s="222"/>
      <c r="P180" s="222"/>
      <c r="Q180" s="222"/>
      <c r="R180" s="222"/>
      <c r="S180" s="222">
        <v>60000000000</v>
      </c>
      <c r="T180" s="222">
        <f>+N180-S180+O180-P180+Q180-R180</f>
        <v>10125561842</v>
      </c>
      <c r="U180" s="222">
        <v>3197913279.9200001</v>
      </c>
      <c r="V180" s="222">
        <f>+T180-U180</f>
        <v>6927648562.0799999</v>
      </c>
      <c r="W180" s="224">
        <f t="shared" si="151"/>
        <v>0.31582576155481251</v>
      </c>
      <c r="X180" s="222">
        <v>129771155.38</v>
      </c>
      <c r="Y180" s="222">
        <f>+U180-X180</f>
        <v>3068142124.54</v>
      </c>
      <c r="Z180" s="224">
        <f t="shared" si="160"/>
        <v>0.95942005175848721</v>
      </c>
      <c r="AA180" s="222">
        <v>129771155.38</v>
      </c>
      <c r="AB180" s="222">
        <f>+X180-AA180</f>
        <v>0</v>
      </c>
      <c r="AC180" s="224">
        <f t="shared" si="141"/>
        <v>4.0579948241512787E-2</v>
      </c>
      <c r="AD180" s="13"/>
      <c r="AE180" s="13"/>
      <c r="AF180" s="29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</row>
    <row r="181" spans="1:54" s="90" customFormat="1" ht="33">
      <c r="A181" s="32" t="str">
        <f t="shared" si="137"/>
        <v>C-4103-1500-19=</v>
      </c>
      <c r="B181" s="226" t="str">
        <f>CONCATENATE(C181,"-",D181,"-",E181,"-",F181)</f>
        <v>C-4103-1500-19</v>
      </c>
      <c r="C181" s="227" t="s">
        <v>167</v>
      </c>
      <c r="D181" s="228" t="s">
        <v>190</v>
      </c>
      <c r="E181" s="228" t="s">
        <v>172</v>
      </c>
      <c r="F181" s="228">
        <v>19</v>
      </c>
      <c r="G181" s="228"/>
      <c r="H181" s="228"/>
      <c r="I181" s="228"/>
      <c r="J181" s="228"/>
      <c r="K181" s="229"/>
      <c r="L181" s="230"/>
      <c r="M181" s="231" t="s">
        <v>285</v>
      </c>
      <c r="N181" s="232">
        <f>+N182+N184+N186</f>
        <v>11281479935</v>
      </c>
      <c r="O181" s="232">
        <f t="shared" ref="O181:V181" si="198">+O182+O184+O186</f>
        <v>0</v>
      </c>
      <c r="P181" s="232">
        <f t="shared" si="198"/>
        <v>0</v>
      </c>
      <c r="Q181" s="232">
        <f t="shared" si="198"/>
        <v>0</v>
      </c>
      <c r="R181" s="232">
        <f t="shared" si="198"/>
        <v>0</v>
      </c>
      <c r="S181" s="232">
        <f t="shared" si="198"/>
        <v>0</v>
      </c>
      <c r="T181" s="232">
        <f t="shared" si="198"/>
        <v>11281479935</v>
      </c>
      <c r="U181" s="232">
        <f t="shared" si="198"/>
        <v>3289871503</v>
      </c>
      <c r="V181" s="232">
        <f t="shared" si="198"/>
        <v>7991608432</v>
      </c>
      <c r="W181" s="233">
        <f t="shared" si="151"/>
        <v>0.29161701496214204</v>
      </c>
      <c r="X181" s="232">
        <f t="shared" ref="X181:AB181" si="199">+X182+X184+X186</f>
        <v>34049425</v>
      </c>
      <c r="Y181" s="232">
        <f t="shared" si="199"/>
        <v>3255822078</v>
      </c>
      <c r="Z181" s="233">
        <f t="shared" si="160"/>
        <v>0.98965022646965062</v>
      </c>
      <c r="AA181" s="232">
        <f t="shared" si="199"/>
        <v>34049425</v>
      </c>
      <c r="AB181" s="232">
        <f t="shared" si="199"/>
        <v>0</v>
      </c>
      <c r="AC181" s="233">
        <f t="shared" si="141"/>
        <v>1.034977353034934E-2</v>
      </c>
      <c r="AD181" s="13"/>
      <c r="AE181" s="13"/>
      <c r="AF181" s="29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</row>
    <row r="182" spans="1:54" s="90" customFormat="1" ht="33">
      <c r="A182" s="32" t="str">
        <f t="shared" si="137"/>
        <v>C-4103-1500-19-0-4103049=11</v>
      </c>
      <c r="B182" s="210" t="str">
        <f>CONCATENATE(C182,"-",D182,"-",E182,"-",F182,"-",G182,"-",H182)</f>
        <v>C-4103-1500-19-0-4103049</v>
      </c>
      <c r="C182" s="211" t="s">
        <v>167</v>
      </c>
      <c r="D182" s="212" t="s">
        <v>190</v>
      </c>
      <c r="E182" s="212" t="s">
        <v>172</v>
      </c>
      <c r="F182" s="212">
        <v>19</v>
      </c>
      <c r="G182" s="212" t="s">
        <v>175</v>
      </c>
      <c r="H182" s="212">
        <v>4103049</v>
      </c>
      <c r="I182" s="212"/>
      <c r="J182" s="212"/>
      <c r="K182" s="213">
        <v>11</v>
      </c>
      <c r="L182" s="214" t="s">
        <v>29</v>
      </c>
      <c r="M182" s="210" t="s">
        <v>228</v>
      </c>
      <c r="N182" s="215">
        <f>N183</f>
        <v>218772000</v>
      </c>
      <c r="O182" s="215">
        <f t="shared" ref="O182:AB186" si="200">O183</f>
        <v>0</v>
      </c>
      <c r="P182" s="215">
        <f t="shared" si="200"/>
        <v>0</v>
      </c>
      <c r="Q182" s="215">
        <f t="shared" si="200"/>
        <v>0</v>
      </c>
      <c r="R182" s="215">
        <f t="shared" si="200"/>
        <v>0</v>
      </c>
      <c r="S182" s="215">
        <f t="shared" si="200"/>
        <v>0</v>
      </c>
      <c r="T182" s="215">
        <f t="shared" si="200"/>
        <v>218772000</v>
      </c>
      <c r="U182" s="215">
        <f t="shared" si="200"/>
        <v>193677224</v>
      </c>
      <c r="V182" s="215">
        <f t="shared" si="200"/>
        <v>25094776</v>
      </c>
      <c r="W182" s="216">
        <f t="shared" si="151"/>
        <v>0.88529256029107928</v>
      </c>
      <c r="X182" s="215">
        <f t="shared" si="200"/>
        <v>0</v>
      </c>
      <c r="Y182" s="215">
        <f t="shared" si="200"/>
        <v>193677224</v>
      </c>
      <c r="Z182" s="216">
        <f t="shared" si="160"/>
        <v>1</v>
      </c>
      <c r="AA182" s="215">
        <f t="shared" si="200"/>
        <v>0</v>
      </c>
      <c r="AB182" s="215">
        <f t="shared" si="200"/>
        <v>0</v>
      </c>
      <c r="AC182" s="216">
        <f t="shared" si="141"/>
        <v>0</v>
      </c>
      <c r="AD182" s="13"/>
      <c r="AE182" s="13"/>
      <c r="AF182" s="29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</row>
    <row r="183" spans="1:54" s="90" customFormat="1" ht="24.95" customHeight="1">
      <c r="A183" s="32" t="str">
        <f t="shared" si="137"/>
        <v>C-4103-1500-19-0-4103049-02=11</v>
      </c>
      <c r="B183" s="217" t="str">
        <f>CONCATENATE(C183,"-",D183,"-",E183,"-",F183,"-",G183,"-",H183,"-",I183)</f>
        <v>C-4103-1500-19-0-4103049-02</v>
      </c>
      <c r="C183" s="266" t="s">
        <v>167</v>
      </c>
      <c r="D183" s="267" t="s">
        <v>190</v>
      </c>
      <c r="E183" s="267" t="s">
        <v>172</v>
      </c>
      <c r="F183" s="267">
        <v>19</v>
      </c>
      <c r="G183" s="267" t="s">
        <v>175</v>
      </c>
      <c r="H183" s="267">
        <v>4103049</v>
      </c>
      <c r="I183" s="267" t="s">
        <v>54</v>
      </c>
      <c r="J183" s="267"/>
      <c r="K183" s="268">
        <v>11</v>
      </c>
      <c r="L183" s="269" t="s">
        <v>29</v>
      </c>
      <c r="M183" s="259" t="s">
        <v>178</v>
      </c>
      <c r="N183" s="222">
        <v>218772000</v>
      </c>
      <c r="O183" s="222"/>
      <c r="P183" s="222"/>
      <c r="Q183" s="222"/>
      <c r="R183" s="222"/>
      <c r="S183" s="222"/>
      <c r="T183" s="222">
        <f>+N183-S183+O183-P183+Q183-R183</f>
        <v>218772000</v>
      </c>
      <c r="U183" s="222">
        <v>193677224</v>
      </c>
      <c r="V183" s="222">
        <f>+T183-U183</f>
        <v>25094776</v>
      </c>
      <c r="W183" s="224">
        <f t="shared" si="151"/>
        <v>0.88529256029107928</v>
      </c>
      <c r="X183" s="222">
        <v>0</v>
      </c>
      <c r="Y183" s="222">
        <f>+U183-X183</f>
        <v>193677224</v>
      </c>
      <c r="Z183" s="224">
        <f t="shared" si="160"/>
        <v>1</v>
      </c>
      <c r="AA183" s="222">
        <v>0</v>
      </c>
      <c r="AB183" s="222">
        <f>+X183-AA183</f>
        <v>0</v>
      </c>
      <c r="AC183" s="224">
        <f t="shared" si="141"/>
        <v>0</v>
      </c>
      <c r="AD183" s="13"/>
      <c r="AE183" s="13"/>
      <c r="AF183" s="29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</row>
    <row r="184" spans="1:54" s="90" customFormat="1" ht="34.5" customHeight="1">
      <c r="A184" s="32" t="str">
        <f t="shared" si="137"/>
        <v>C-4103-1500-19-0-4103052=11</v>
      </c>
      <c r="B184" s="210" t="str">
        <f>CONCATENATE(C184,"-",D184,"-",E184,"-",F184,"-",G184,"-",H184)</f>
        <v>C-4103-1500-19-0-4103052</v>
      </c>
      <c r="C184" s="211" t="s">
        <v>167</v>
      </c>
      <c r="D184" s="212" t="s">
        <v>190</v>
      </c>
      <c r="E184" s="212" t="s">
        <v>172</v>
      </c>
      <c r="F184" s="212">
        <v>19</v>
      </c>
      <c r="G184" s="212" t="s">
        <v>175</v>
      </c>
      <c r="H184" s="212">
        <v>4103052</v>
      </c>
      <c r="I184" s="212"/>
      <c r="J184" s="212"/>
      <c r="K184" s="213">
        <v>11</v>
      </c>
      <c r="L184" s="214" t="s">
        <v>29</v>
      </c>
      <c r="M184" s="210" t="s">
        <v>229</v>
      </c>
      <c r="N184" s="215">
        <f>N185</f>
        <v>9835707936</v>
      </c>
      <c r="O184" s="215">
        <f t="shared" si="200"/>
        <v>0</v>
      </c>
      <c r="P184" s="215">
        <f t="shared" si="200"/>
        <v>0</v>
      </c>
      <c r="Q184" s="215">
        <f t="shared" si="200"/>
        <v>0</v>
      </c>
      <c r="R184" s="215">
        <f t="shared" si="200"/>
        <v>0</v>
      </c>
      <c r="S184" s="215">
        <f t="shared" si="200"/>
        <v>0</v>
      </c>
      <c r="T184" s="215">
        <f t="shared" si="200"/>
        <v>9835707936</v>
      </c>
      <c r="U184" s="215">
        <f t="shared" si="200"/>
        <v>3096194279</v>
      </c>
      <c r="V184" s="215">
        <f t="shared" si="200"/>
        <v>6739513657</v>
      </c>
      <c r="W184" s="216">
        <f t="shared" si="151"/>
        <v>0.31479119745590622</v>
      </c>
      <c r="X184" s="215">
        <f t="shared" si="200"/>
        <v>34049425</v>
      </c>
      <c r="Y184" s="215">
        <f t="shared" si="200"/>
        <v>3062144854</v>
      </c>
      <c r="Z184" s="216">
        <f t="shared" si="160"/>
        <v>0.98900281379920474</v>
      </c>
      <c r="AA184" s="215">
        <f t="shared" si="200"/>
        <v>34049425</v>
      </c>
      <c r="AB184" s="215">
        <f t="shared" si="200"/>
        <v>0</v>
      </c>
      <c r="AC184" s="216">
        <f t="shared" si="141"/>
        <v>1.0997186200795251E-2</v>
      </c>
      <c r="AD184" s="13"/>
      <c r="AE184" s="13"/>
      <c r="AF184" s="29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</row>
    <row r="185" spans="1:54" s="90" customFormat="1" ht="24.95" customHeight="1">
      <c r="A185" s="32" t="str">
        <f t="shared" si="137"/>
        <v>C-4103-1500-19-0-4103052-02=11</v>
      </c>
      <c r="B185" s="217" t="str">
        <f>CONCATENATE(C185,"-",D185,"-",E185,"-",F185,"-",G185,"-",H185,"-",I185)</f>
        <v>C-4103-1500-19-0-4103052-02</v>
      </c>
      <c r="C185" s="266" t="s">
        <v>167</v>
      </c>
      <c r="D185" s="267" t="s">
        <v>190</v>
      </c>
      <c r="E185" s="267" t="s">
        <v>172</v>
      </c>
      <c r="F185" s="267">
        <v>19</v>
      </c>
      <c r="G185" s="267" t="s">
        <v>175</v>
      </c>
      <c r="H185" s="267">
        <v>4103052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>
        <v>9835707936</v>
      </c>
      <c r="O185" s="222"/>
      <c r="P185" s="222"/>
      <c r="Q185" s="222"/>
      <c r="R185" s="222"/>
      <c r="S185" s="222"/>
      <c r="T185" s="222">
        <f>+N185-S185+O185-P185+Q185-R185</f>
        <v>9835707936</v>
      </c>
      <c r="U185" s="222">
        <v>3096194279</v>
      </c>
      <c r="V185" s="222">
        <f>+T185-U185</f>
        <v>6739513657</v>
      </c>
      <c r="W185" s="224">
        <f t="shared" si="151"/>
        <v>0.31479119745590622</v>
      </c>
      <c r="X185" s="222">
        <v>34049425</v>
      </c>
      <c r="Y185" s="222">
        <f>+U185-X185</f>
        <v>3062144854</v>
      </c>
      <c r="Z185" s="224">
        <f t="shared" si="160"/>
        <v>0.98900281379920474</v>
      </c>
      <c r="AA185" s="222">
        <v>34049425</v>
      </c>
      <c r="AB185" s="222">
        <f>+X185-AA185</f>
        <v>0</v>
      </c>
      <c r="AC185" s="224">
        <f t="shared" si="141"/>
        <v>1.0997186200795251E-2</v>
      </c>
      <c r="AD185" s="13"/>
      <c r="AE185" s="13"/>
      <c r="AF185" s="29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</row>
    <row r="186" spans="1:54" s="90" customFormat="1" ht="24.95" customHeight="1">
      <c r="A186" s="32" t="str">
        <f t="shared" si="137"/>
        <v>C-4103-1500-19-0-4103060=11</v>
      </c>
      <c r="B186" s="210" t="str">
        <f>CONCATENATE(C186,"-",D186,"-",E186,"-",F186,"-",G186,"-",H186)</f>
        <v>C-4103-1500-19-0-4103060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4103060</v>
      </c>
      <c r="I186" s="212"/>
      <c r="J186" s="212"/>
      <c r="K186" s="213">
        <v>11</v>
      </c>
      <c r="L186" s="214" t="s">
        <v>29</v>
      </c>
      <c r="M186" s="210" t="s">
        <v>216</v>
      </c>
      <c r="N186" s="215">
        <f>N187</f>
        <v>1226999999</v>
      </c>
      <c r="O186" s="215">
        <f t="shared" si="200"/>
        <v>0</v>
      </c>
      <c r="P186" s="215">
        <f t="shared" si="200"/>
        <v>0</v>
      </c>
      <c r="Q186" s="215">
        <f t="shared" si="200"/>
        <v>0</v>
      </c>
      <c r="R186" s="215">
        <f t="shared" si="200"/>
        <v>0</v>
      </c>
      <c r="S186" s="215">
        <f t="shared" si="200"/>
        <v>0</v>
      </c>
      <c r="T186" s="215">
        <f t="shared" si="200"/>
        <v>1226999999</v>
      </c>
      <c r="U186" s="215">
        <f t="shared" si="200"/>
        <v>0</v>
      </c>
      <c r="V186" s="215">
        <f t="shared" si="200"/>
        <v>1226999999</v>
      </c>
      <c r="W186" s="216">
        <f t="shared" si="151"/>
        <v>0</v>
      </c>
      <c r="X186" s="215">
        <f t="shared" si="200"/>
        <v>0</v>
      </c>
      <c r="Y186" s="215">
        <f t="shared" si="200"/>
        <v>0</v>
      </c>
      <c r="Z186" s="216">
        <f t="shared" si="160"/>
        <v>0</v>
      </c>
      <c r="AA186" s="215">
        <f t="shared" si="200"/>
        <v>0</v>
      </c>
      <c r="AB186" s="215">
        <f t="shared" si="200"/>
        <v>0</v>
      </c>
      <c r="AC186" s="216">
        <f t="shared" si="141"/>
        <v>0</v>
      </c>
      <c r="AD186" s="13"/>
      <c r="AE186" s="13"/>
      <c r="AF186" s="29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</row>
    <row r="187" spans="1:54" s="90" customFormat="1" ht="24.95" customHeight="1">
      <c r="A187" s="32" t="str">
        <f t="shared" si="137"/>
        <v>C-4103-1500-19-0-4103060-02=11</v>
      </c>
      <c r="B187" s="217" t="str">
        <f>CONCATENATE(C187,"-",D187,"-",E187,"-",F187,"-",G187,"-",H187,"-",I187)</f>
        <v>C-4103-1500-19-0-4103060-02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4103060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1226999999</v>
      </c>
      <c r="O187" s="222"/>
      <c r="P187" s="222"/>
      <c r="Q187" s="222"/>
      <c r="R187" s="222"/>
      <c r="S187" s="222"/>
      <c r="T187" s="222">
        <f>+N187-S187+O187-P187+Q187-R187</f>
        <v>1226999999</v>
      </c>
      <c r="U187" s="222">
        <v>0</v>
      </c>
      <c r="V187" s="222">
        <f>+T187-U187</f>
        <v>1226999999</v>
      </c>
      <c r="W187" s="224">
        <f t="shared" si="151"/>
        <v>0</v>
      </c>
      <c r="X187" s="222">
        <v>0</v>
      </c>
      <c r="Y187" s="222">
        <f>+U187-X187</f>
        <v>0</v>
      </c>
      <c r="Z187" s="224">
        <f t="shared" si="160"/>
        <v>0</v>
      </c>
      <c r="AA187" s="222">
        <v>0</v>
      </c>
      <c r="AB187" s="222">
        <f>+X187-AA187</f>
        <v>0</v>
      </c>
      <c r="AC187" s="224">
        <f t="shared" si="141"/>
        <v>0</v>
      </c>
      <c r="AD187" s="13"/>
      <c r="AE187" s="13"/>
      <c r="AF187" s="29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</row>
    <row r="188" spans="1:54" s="90" customFormat="1" ht="35.1" customHeight="1">
      <c r="A188" s="32" t="str">
        <f t="shared" si="137"/>
        <v>C-4199=</v>
      </c>
      <c r="B188" s="188" t="str">
        <f>CONCATENATE(C188,"-",D188)</f>
        <v>C-4199</v>
      </c>
      <c r="C188" s="189" t="s">
        <v>167</v>
      </c>
      <c r="D188" s="191">
        <v>4199</v>
      </c>
      <c r="E188" s="191"/>
      <c r="F188" s="191"/>
      <c r="G188" s="191"/>
      <c r="H188" s="191"/>
      <c r="I188" s="191"/>
      <c r="J188" s="191"/>
      <c r="K188" s="192"/>
      <c r="L188" s="193"/>
      <c r="M188" s="188" t="s">
        <v>250</v>
      </c>
      <c r="N188" s="194">
        <f>+N189</f>
        <v>3226548466</v>
      </c>
      <c r="O188" s="194">
        <f t="shared" ref="O188:AB191" si="201">+O189</f>
        <v>0</v>
      </c>
      <c r="P188" s="194">
        <f t="shared" si="201"/>
        <v>0</v>
      </c>
      <c r="Q188" s="194">
        <f t="shared" si="201"/>
        <v>0</v>
      </c>
      <c r="R188" s="194">
        <f t="shared" si="201"/>
        <v>0</v>
      </c>
      <c r="S188" s="194">
        <f t="shared" si="201"/>
        <v>0</v>
      </c>
      <c r="T188" s="194">
        <f t="shared" si="201"/>
        <v>3226548466</v>
      </c>
      <c r="U188" s="194">
        <f t="shared" si="201"/>
        <v>1421220009.4000001</v>
      </c>
      <c r="V188" s="194">
        <f t="shared" si="201"/>
        <v>1805328456.5999999</v>
      </c>
      <c r="W188" s="195">
        <f t="shared" si="151"/>
        <v>0.44047688245697036</v>
      </c>
      <c r="X188" s="194">
        <f t="shared" si="201"/>
        <v>0</v>
      </c>
      <c r="Y188" s="194">
        <f t="shared" si="201"/>
        <v>1421220009.4000001</v>
      </c>
      <c r="Z188" s="195">
        <f t="shared" si="160"/>
        <v>1</v>
      </c>
      <c r="AA188" s="194">
        <f t="shared" si="201"/>
        <v>0</v>
      </c>
      <c r="AB188" s="194">
        <f t="shared" si="201"/>
        <v>0</v>
      </c>
      <c r="AC188" s="195">
        <f t="shared" si="141"/>
        <v>0</v>
      </c>
      <c r="AD188" s="13"/>
      <c r="AE188" s="13"/>
      <c r="AF188" s="29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</row>
    <row r="189" spans="1:54" s="90" customFormat="1" ht="24.95" customHeight="1">
      <c r="A189" s="32" t="str">
        <f t="shared" si="137"/>
        <v>C-4199-1500=</v>
      </c>
      <c r="B189" s="196" t="str">
        <f>CONCATENATE(C189,"-",D189,"-",E189)</f>
        <v>C-4199-1500</v>
      </c>
      <c r="C189" s="197" t="s">
        <v>167</v>
      </c>
      <c r="D189" s="198">
        <v>4199</v>
      </c>
      <c r="E189" s="198">
        <v>1500</v>
      </c>
      <c r="F189" s="198"/>
      <c r="G189" s="198"/>
      <c r="H189" s="198"/>
      <c r="I189" s="198"/>
      <c r="J189" s="198"/>
      <c r="K189" s="199"/>
      <c r="L189" s="200"/>
      <c r="M189" s="196" t="s">
        <v>170</v>
      </c>
      <c r="N189" s="201">
        <f>+N190</f>
        <v>3226548466</v>
      </c>
      <c r="O189" s="201">
        <f t="shared" si="201"/>
        <v>0</v>
      </c>
      <c r="P189" s="201">
        <f t="shared" si="201"/>
        <v>0</v>
      </c>
      <c r="Q189" s="201">
        <f t="shared" si="201"/>
        <v>0</v>
      </c>
      <c r="R189" s="201">
        <f t="shared" si="201"/>
        <v>0</v>
      </c>
      <c r="S189" s="201">
        <f t="shared" si="201"/>
        <v>0</v>
      </c>
      <c r="T189" s="201">
        <f t="shared" si="201"/>
        <v>3226548466</v>
      </c>
      <c r="U189" s="201">
        <f t="shared" si="201"/>
        <v>1421220009.4000001</v>
      </c>
      <c r="V189" s="201">
        <f t="shared" si="201"/>
        <v>1805328456.5999999</v>
      </c>
      <c r="W189" s="202">
        <f t="shared" si="151"/>
        <v>0.44047688245697036</v>
      </c>
      <c r="X189" s="201">
        <f t="shared" si="201"/>
        <v>0</v>
      </c>
      <c r="Y189" s="201">
        <f t="shared" si="201"/>
        <v>1421220009.4000001</v>
      </c>
      <c r="Z189" s="202">
        <f t="shared" si="160"/>
        <v>1</v>
      </c>
      <c r="AA189" s="201">
        <f t="shared" si="201"/>
        <v>0</v>
      </c>
      <c r="AB189" s="201">
        <f t="shared" si="201"/>
        <v>0</v>
      </c>
      <c r="AC189" s="202">
        <f t="shared" si="141"/>
        <v>0</v>
      </c>
      <c r="AD189" s="13"/>
      <c r="AE189" s="13"/>
      <c r="AF189" s="29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</row>
    <row r="190" spans="1:54" s="90" customFormat="1" ht="33">
      <c r="A190" s="32" t="str">
        <f t="shared" si="137"/>
        <v>C-4199-1500-2=</v>
      </c>
      <c r="B190" s="203" t="str">
        <f>CONCATENATE(C190,"-",D190,"-",E190,"-",F190)</f>
        <v>C-4199-1500-2</v>
      </c>
      <c r="C190" s="227" t="s">
        <v>167</v>
      </c>
      <c r="D190" s="228" t="s">
        <v>251</v>
      </c>
      <c r="E190" s="228" t="s">
        <v>172</v>
      </c>
      <c r="F190" s="228" t="s">
        <v>252</v>
      </c>
      <c r="G190" s="228"/>
      <c r="H190" s="228"/>
      <c r="I190" s="228"/>
      <c r="J190" s="228"/>
      <c r="K190" s="229"/>
      <c r="L190" s="230"/>
      <c r="M190" s="231" t="s">
        <v>287</v>
      </c>
      <c r="N190" s="232">
        <f>+N191</f>
        <v>3226548466</v>
      </c>
      <c r="O190" s="232">
        <f t="shared" si="201"/>
        <v>0</v>
      </c>
      <c r="P190" s="232">
        <f t="shared" si="201"/>
        <v>0</v>
      </c>
      <c r="Q190" s="232">
        <f t="shared" si="201"/>
        <v>0</v>
      </c>
      <c r="R190" s="232">
        <f t="shared" si="201"/>
        <v>0</v>
      </c>
      <c r="S190" s="232">
        <f t="shared" si="201"/>
        <v>0</v>
      </c>
      <c r="T190" s="232">
        <f t="shared" si="201"/>
        <v>3226548466</v>
      </c>
      <c r="U190" s="232">
        <f t="shared" si="201"/>
        <v>1421220009.4000001</v>
      </c>
      <c r="V190" s="232">
        <f t="shared" si="201"/>
        <v>1805328456.5999999</v>
      </c>
      <c r="W190" s="233">
        <f t="shared" si="151"/>
        <v>0.44047688245697036</v>
      </c>
      <c r="X190" s="232">
        <f t="shared" si="201"/>
        <v>0</v>
      </c>
      <c r="Y190" s="232">
        <f t="shared" si="201"/>
        <v>1421220009.4000001</v>
      </c>
      <c r="Z190" s="233">
        <f t="shared" si="160"/>
        <v>1</v>
      </c>
      <c r="AA190" s="232">
        <f t="shared" si="201"/>
        <v>0</v>
      </c>
      <c r="AB190" s="232">
        <f t="shared" si="201"/>
        <v>0</v>
      </c>
      <c r="AC190" s="233">
        <f t="shared" si="141"/>
        <v>0</v>
      </c>
      <c r="AD190" s="13"/>
      <c r="AE190" s="13"/>
      <c r="AF190" s="29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</row>
    <row r="191" spans="1:54" s="90" customFormat="1" ht="24.95" customHeight="1">
      <c r="A191" s="32" t="str">
        <f t="shared" si="137"/>
        <v>C-4199-1500-2-0-4199062=11</v>
      </c>
      <c r="B191" s="210" t="str">
        <f>CONCATENATE(C191,"-",D191,"-",E191,"-",F191,"-",G191,"-",H191)</f>
        <v>C-4199-1500-2-0-4199062</v>
      </c>
      <c r="C191" s="211" t="s">
        <v>167</v>
      </c>
      <c r="D191" s="212" t="s">
        <v>251</v>
      </c>
      <c r="E191" s="212" t="s">
        <v>172</v>
      </c>
      <c r="F191" s="212" t="s">
        <v>252</v>
      </c>
      <c r="G191" s="212" t="s">
        <v>175</v>
      </c>
      <c r="H191" s="212" t="s">
        <v>254</v>
      </c>
      <c r="I191" s="212"/>
      <c r="J191" s="212"/>
      <c r="K191" s="213">
        <v>11</v>
      </c>
      <c r="L191" s="214" t="s">
        <v>29</v>
      </c>
      <c r="M191" s="210" t="s">
        <v>255</v>
      </c>
      <c r="N191" s="215">
        <f>+N192</f>
        <v>3226548466</v>
      </c>
      <c r="O191" s="215">
        <f t="shared" si="201"/>
        <v>0</v>
      </c>
      <c r="P191" s="215">
        <f t="shared" si="201"/>
        <v>0</v>
      </c>
      <c r="Q191" s="215">
        <f t="shared" si="201"/>
        <v>0</v>
      </c>
      <c r="R191" s="215">
        <f t="shared" si="201"/>
        <v>0</v>
      </c>
      <c r="S191" s="215">
        <f t="shared" si="201"/>
        <v>0</v>
      </c>
      <c r="T191" s="215">
        <f t="shared" si="201"/>
        <v>3226548466</v>
      </c>
      <c r="U191" s="215">
        <f t="shared" si="201"/>
        <v>1421220009.4000001</v>
      </c>
      <c r="V191" s="215">
        <f t="shared" si="201"/>
        <v>1805328456.5999999</v>
      </c>
      <c r="W191" s="216">
        <f t="shared" si="151"/>
        <v>0.44047688245697036</v>
      </c>
      <c r="X191" s="215">
        <f t="shared" si="201"/>
        <v>0</v>
      </c>
      <c r="Y191" s="215">
        <f t="shared" si="201"/>
        <v>1421220009.4000001</v>
      </c>
      <c r="Z191" s="216">
        <f t="shared" si="160"/>
        <v>1</v>
      </c>
      <c r="AA191" s="215">
        <f t="shared" si="201"/>
        <v>0</v>
      </c>
      <c r="AB191" s="215">
        <f t="shared" si="201"/>
        <v>0</v>
      </c>
      <c r="AC191" s="216">
        <f t="shared" si="141"/>
        <v>0</v>
      </c>
      <c r="AD191" s="13"/>
      <c r="AE191" s="13"/>
      <c r="AF191" s="29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</row>
    <row r="192" spans="1:54" s="90" customFormat="1" ht="24.95" customHeight="1" thickBot="1">
      <c r="A192" s="32" t="str">
        <f t="shared" si="137"/>
        <v>C-4199-1500-2-0-4199062-02=11</v>
      </c>
      <c r="B192" s="217" t="str">
        <f>CONCATENATE(C192,"-",D192,"-",E192,"-",F192,"-",G192,"-",H192,"-",I192)</f>
        <v>C-4199-1500-2-0-4199062-02</v>
      </c>
      <c r="C192" s="218" t="s">
        <v>167</v>
      </c>
      <c r="D192" s="219" t="s">
        <v>251</v>
      </c>
      <c r="E192" s="219" t="s">
        <v>172</v>
      </c>
      <c r="F192" s="219" t="s">
        <v>252</v>
      </c>
      <c r="G192" s="219" t="s">
        <v>175</v>
      </c>
      <c r="H192" s="219" t="s">
        <v>254</v>
      </c>
      <c r="I192" s="219" t="s">
        <v>54</v>
      </c>
      <c r="J192" s="219"/>
      <c r="K192" s="275">
        <v>11</v>
      </c>
      <c r="L192" s="276" t="s">
        <v>29</v>
      </c>
      <c r="M192" s="217" t="s">
        <v>178</v>
      </c>
      <c r="N192" s="222">
        <v>3226548466</v>
      </c>
      <c r="O192" s="222"/>
      <c r="P192" s="222"/>
      <c r="Q192" s="222"/>
      <c r="R192" s="222"/>
      <c r="S192" s="222"/>
      <c r="T192" s="222">
        <f>+N192-S192+O192-P192+Q192-R192</f>
        <v>3226548466</v>
      </c>
      <c r="U192" s="222">
        <v>1421220009.4000001</v>
      </c>
      <c r="V192" s="222">
        <f t="shared" ref="V192" si="202">+T192-U192</f>
        <v>1805328456.5999999</v>
      </c>
      <c r="W192" s="224">
        <f t="shared" si="151"/>
        <v>0.44047688245697036</v>
      </c>
      <c r="X192" s="222">
        <v>0</v>
      </c>
      <c r="Y192" s="222">
        <f t="shared" ref="Y192" si="203">+U192-X192</f>
        <v>1421220009.4000001</v>
      </c>
      <c r="Z192" s="224">
        <f t="shared" si="160"/>
        <v>1</v>
      </c>
      <c r="AA192" s="222">
        <v>0</v>
      </c>
      <c r="AB192" s="222">
        <f t="shared" ref="AB192" si="204">+X192-AA192</f>
        <v>0</v>
      </c>
      <c r="AC192" s="224">
        <f t="shared" si="141"/>
        <v>0</v>
      </c>
      <c r="AD192" s="13"/>
      <c r="AE192" s="13"/>
      <c r="AF192" s="29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</row>
    <row r="193" spans="1:54" s="90" customFormat="1" ht="35.1" customHeight="1" thickBot="1">
      <c r="A193" s="32"/>
      <c r="B193" s="277" t="s">
        <v>288</v>
      </c>
      <c r="C193" s="278"/>
      <c r="D193" s="278"/>
      <c r="E193" s="278"/>
      <c r="F193" s="278"/>
      <c r="G193" s="278"/>
      <c r="H193" s="278"/>
      <c r="I193" s="278"/>
      <c r="J193" s="278"/>
      <c r="K193" s="278"/>
      <c r="L193" s="278"/>
      <c r="M193" s="260" t="s">
        <v>256</v>
      </c>
      <c r="N193" s="265">
        <f t="shared" ref="N193:AB193" si="205">+N8+N109</f>
        <v>3648573139470</v>
      </c>
      <c r="O193" s="265">
        <f t="shared" si="205"/>
        <v>0</v>
      </c>
      <c r="P193" s="265">
        <f t="shared" si="205"/>
        <v>0</v>
      </c>
      <c r="Q193" s="265">
        <f>+Q8+Q109</f>
        <v>51699310632</v>
      </c>
      <c r="R193" s="265">
        <f t="shared" si="205"/>
        <v>51699310632</v>
      </c>
      <c r="S193" s="265">
        <f t="shared" si="205"/>
        <v>811791000000</v>
      </c>
      <c r="T193" s="265">
        <f t="shared" si="205"/>
        <v>2836782139470</v>
      </c>
      <c r="U193" s="265">
        <f t="shared" si="205"/>
        <v>2541411375832.5498</v>
      </c>
      <c r="V193" s="265">
        <f t="shared" si="205"/>
        <v>295370763637.45001</v>
      </c>
      <c r="W193" s="187">
        <f t="shared" si="151"/>
        <v>0.89587823487473217</v>
      </c>
      <c r="X193" s="265">
        <f t="shared" si="205"/>
        <v>150998035724.10999</v>
      </c>
      <c r="Y193" s="265">
        <f t="shared" si="205"/>
        <v>2390413340108.4399</v>
      </c>
      <c r="Z193" s="187">
        <f t="shared" si="160"/>
        <v>0.94058496898218857</v>
      </c>
      <c r="AA193" s="265">
        <f t="shared" si="205"/>
        <v>145773411010.10999</v>
      </c>
      <c r="AB193" s="265">
        <f t="shared" si="205"/>
        <v>5224624714</v>
      </c>
      <c r="AC193" s="187">
        <f t="shared" si="141"/>
        <v>5.7359234477478316E-2</v>
      </c>
      <c r="AD193" s="13"/>
      <c r="AE193" s="13"/>
      <c r="AF193" s="29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</row>
    <row r="194" spans="1:54" s="90" customFormat="1" ht="16.5">
      <c r="A194" s="32"/>
      <c r="B194" s="279" t="s">
        <v>900</v>
      </c>
      <c r="C194" s="82"/>
      <c r="D194" s="82"/>
      <c r="E194" s="82"/>
      <c r="F194" s="82"/>
      <c r="G194" s="82"/>
      <c r="H194" s="83"/>
      <c r="I194" s="84"/>
      <c r="J194" s="84"/>
      <c r="K194" s="84"/>
      <c r="L194" s="84"/>
      <c r="M194" s="84"/>
      <c r="N194" s="86"/>
      <c r="O194" s="86"/>
      <c r="P194" s="86"/>
      <c r="Q194" s="86"/>
      <c r="R194" s="86"/>
      <c r="S194" s="86"/>
      <c r="T194" s="86"/>
      <c r="U194" s="86"/>
      <c r="V194" s="86"/>
      <c r="W194" s="87"/>
      <c r="X194" s="86"/>
      <c r="Y194" s="86"/>
      <c r="Z194" s="87"/>
      <c r="AA194" s="86"/>
      <c r="AB194" s="86"/>
      <c r="AC194" s="89"/>
      <c r="AD194" s="13"/>
      <c r="AE194" s="13"/>
      <c r="AF194" s="29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</row>
    <row r="195" spans="1:54" s="8" customFormat="1" ht="16.5">
      <c r="A195" s="32" t="str">
        <f t="shared" ref="A195" si="206">+CONCATENATE(B195,"=",K195)</f>
        <v xml:space="preserve"> =</v>
      </c>
      <c r="B195" s="316" t="s">
        <v>276</v>
      </c>
      <c r="C195" s="91"/>
      <c r="D195" s="91"/>
      <c r="E195" s="91"/>
      <c r="F195" s="91"/>
      <c r="G195" s="91"/>
      <c r="H195" s="92"/>
      <c r="I195" s="93"/>
      <c r="J195" s="93"/>
      <c r="K195" s="93"/>
      <c r="L195" s="93"/>
      <c r="M195" s="93"/>
      <c r="N195" s="286"/>
      <c r="O195" s="286"/>
      <c r="P195" s="286"/>
      <c r="Q195" s="286"/>
      <c r="R195" s="286"/>
      <c r="S195" s="286"/>
      <c r="T195" s="286"/>
      <c r="U195" s="286"/>
      <c r="V195" s="286"/>
      <c r="W195" s="295"/>
      <c r="X195" s="286"/>
      <c r="Y195" s="286"/>
      <c r="Z195" s="295"/>
      <c r="AA195" s="286"/>
      <c r="AB195" s="286"/>
      <c r="AC195" s="296"/>
      <c r="AF195" s="297"/>
    </row>
    <row r="196" spans="1:54" s="8" customFormat="1" ht="16.5">
      <c r="A196" s="32"/>
      <c r="B196" s="280"/>
      <c r="C196" s="94"/>
      <c r="D196" s="93"/>
      <c r="E196" s="93"/>
      <c r="F196" s="93"/>
      <c r="G196" s="93"/>
      <c r="H196" s="93"/>
      <c r="I196" s="93"/>
      <c r="J196" s="93"/>
      <c r="K196" s="93"/>
      <c r="L196" s="93"/>
      <c r="M196" s="97" t="s">
        <v>289</v>
      </c>
      <c r="N196" s="281">
        <v>3648573139470</v>
      </c>
      <c r="O196" s="281">
        <v>0</v>
      </c>
      <c r="P196" s="8">
        <v>0</v>
      </c>
      <c r="Q196" s="635">
        <v>51699310632</v>
      </c>
      <c r="R196" s="634">
        <v>51699310632</v>
      </c>
      <c r="S196" s="281">
        <v>811791000000</v>
      </c>
      <c r="T196" s="281">
        <v>2836782139470</v>
      </c>
      <c r="U196" s="281">
        <v>2541411375832.5498</v>
      </c>
      <c r="V196" s="281">
        <v>295370763637.4502</v>
      </c>
      <c r="W196" s="282">
        <v>0.89587823487473217</v>
      </c>
      <c r="X196" s="281">
        <v>150998035724.10999</v>
      </c>
      <c r="Y196" s="281">
        <v>2390413340108.4399</v>
      </c>
      <c r="Z196" s="282">
        <v>0.94058496898218857</v>
      </c>
      <c r="AA196" s="281">
        <v>145773411010.10999</v>
      </c>
      <c r="AB196" s="281">
        <v>5224624714</v>
      </c>
      <c r="AC196" s="282">
        <v>5.7359234477478316E-2</v>
      </c>
      <c r="AF196" s="297"/>
    </row>
    <row r="197" spans="1:54" s="289" customFormat="1" ht="16.5">
      <c r="A197" s="22"/>
      <c r="B197" s="283"/>
      <c r="C197" s="284"/>
      <c r="D197" s="285"/>
      <c r="E197" s="285"/>
      <c r="F197" s="285"/>
      <c r="G197" s="285"/>
      <c r="H197" s="285"/>
      <c r="I197" s="285"/>
      <c r="J197" s="285"/>
      <c r="K197" s="285"/>
      <c r="L197" s="285"/>
      <c r="M197" s="286" t="s">
        <v>290</v>
      </c>
      <c r="N197" s="98">
        <f>+N193-N196</f>
        <v>0</v>
      </c>
      <c r="O197" s="98">
        <f>+O193-O196</f>
        <v>0</v>
      </c>
      <c r="P197" s="98">
        <f>+P193-P196</f>
        <v>0</v>
      </c>
      <c r="Q197" s="98">
        <f>+Q193-Q196</f>
        <v>0</v>
      </c>
      <c r="R197" s="98">
        <f t="shared" ref="R197:AB197" si="207">+R193-R196</f>
        <v>0</v>
      </c>
      <c r="S197" s="98">
        <f t="shared" si="207"/>
        <v>0</v>
      </c>
      <c r="T197" s="98">
        <f t="shared" si="207"/>
        <v>0</v>
      </c>
      <c r="U197" s="98">
        <f t="shared" si="207"/>
        <v>0</v>
      </c>
      <c r="V197" s="98">
        <f t="shared" si="207"/>
        <v>0</v>
      </c>
      <c r="W197" s="287">
        <f t="shared" si="207"/>
        <v>0</v>
      </c>
      <c r="X197" s="98">
        <f>+X193-X196</f>
        <v>0</v>
      </c>
      <c r="Y197" s="98">
        <f t="shared" si="207"/>
        <v>0</v>
      </c>
      <c r="Z197" s="287">
        <f t="shared" si="207"/>
        <v>0</v>
      </c>
      <c r="AA197" s="98">
        <f t="shared" si="207"/>
        <v>0</v>
      </c>
      <c r="AB197" s="98">
        <f t="shared" si="207"/>
        <v>0</v>
      </c>
      <c r="AC197" s="288">
        <v>0</v>
      </c>
      <c r="AD197" s="8"/>
      <c r="AE197" s="8"/>
      <c r="AF197" s="297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</row>
    <row r="198" spans="1:54" ht="18">
      <c r="A198" s="30"/>
      <c r="B198" s="279"/>
      <c r="C198" s="312"/>
      <c r="D198" s="317"/>
      <c r="E198" s="312"/>
      <c r="F198" s="312"/>
      <c r="G198" s="312"/>
      <c r="H198" s="312"/>
      <c r="I198" s="312"/>
      <c r="J198" s="312"/>
      <c r="K198" s="312"/>
      <c r="L198" s="312"/>
      <c r="M198" s="312"/>
      <c r="N198" s="335"/>
      <c r="O198" s="632"/>
      <c r="P198" s="332"/>
      <c r="Q198" s="332"/>
      <c r="R198" s="633"/>
      <c r="S198" s="633"/>
      <c r="T198" s="332"/>
      <c r="U198" s="332"/>
      <c r="V198" s="332"/>
      <c r="W198" s="333"/>
      <c r="X198" s="332"/>
      <c r="Y198" s="332"/>
      <c r="Z198" s="333"/>
      <c r="AA198" s="332"/>
      <c r="AB198" s="332"/>
      <c r="AC198" s="333"/>
      <c r="AE198" s="13"/>
      <c r="AF198" s="293"/>
    </row>
    <row r="199" spans="1:54" ht="18">
      <c r="A199" s="30"/>
      <c r="B199" s="279"/>
      <c r="C199" s="312"/>
      <c r="D199" s="317"/>
      <c r="E199" s="312"/>
      <c r="F199" s="312"/>
      <c r="G199" s="312"/>
      <c r="H199" s="312"/>
      <c r="I199" s="312"/>
      <c r="J199" s="312"/>
      <c r="K199" s="312"/>
      <c r="L199" s="312"/>
      <c r="M199" s="312"/>
      <c r="N199" s="332"/>
      <c r="O199" s="632"/>
      <c r="P199" s="332"/>
      <c r="Q199" s="332"/>
      <c r="R199" s="633"/>
      <c r="S199" s="633"/>
      <c r="T199" s="332"/>
      <c r="U199" s="332"/>
      <c r="V199" s="332"/>
      <c r="W199" s="333"/>
      <c r="X199" s="332"/>
      <c r="Y199" s="332"/>
      <c r="Z199" s="333"/>
      <c r="AA199" s="332"/>
      <c r="AB199" s="332"/>
      <c r="AC199" s="333"/>
      <c r="AE199" s="13"/>
      <c r="AF199" s="293"/>
    </row>
    <row r="200" spans="1:54" ht="18">
      <c r="A200" s="1"/>
      <c r="B200" s="156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32"/>
      <c r="O200" s="632"/>
      <c r="P200" s="332"/>
      <c r="Q200" s="332"/>
      <c r="R200" s="332"/>
      <c r="S200" s="332"/>
      <c r="T200" s="332"/>
      <c r="U200" s="332"/>
      <c r="V200" s="332"/>
      <c r="W200" s="333"/>
      <c r="X200" s="332"/>
      <c r="Y200" s="631"/>
      <c r="Z200" s="333"/>
      <c r="AA200" s="332"/>
      <c r="AB200" s="332"/>
      <c r="AC200" s="333"/>
      <c r="AE200" s="13"/>
      <c r="AF200" s="293"/>
    </row>
    <row r="201" spans="1:54" ht="30">
      <c r="A201" s="1"/>
      <c r="B201" s="156"/>
      <c r="C201" s="318"/>
      <c r="D201" s="318"/>
      <c r="E201" s="318"/>
      <c r="F201" s="318"/>
      <c r="G201" s="318"/>
      <c r="H201" s="318"/>
      <c r="I201" s="312"/>
      <c r="J201" s="312"/>
      <c r="K201" s="312"/>
      <c r="L201" s="312"/>
      <c r="M201" s="336" t="s">
        <v>738</v>
      </c>
      <c r="N201" s="628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20"/>
      <c r="AA201" s="319"/>
      <c r="AB201" s="319"/>
      <c r="AC201" s="319"/>
    </row>
    <row r="202" spans="1:54" ht="30">
      <c r="A202" s="1"/>
      <c r="B202" s="156"/>
      <c r="C202" s="321"/>
      <c r="D202" s="322"/>
      <c r="E202" s="322"/>
      <c r="F202" s="322"/>
      <c r="G202" s="322"/>
      <c r="H202" s="322"/>
      <c r="I202" s="322"/>
      <c r="J202" s="322"/>
      <c r="K202" s="322"/>
      <c r="L202" s="322"/>
      <c r="M202" s="337" t="s">
        <v>739</v>
      </c>
      <c r="N202" s="628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4"/>
      <c r="AA202" s="323"/>
      <c r="AB202" s="323"/>
      <c r="AC202" s="323"/>
    </row>
    <row r="203" spans="1:54" ht="30">
      <c r="A203" s="325"/>
      <c r="B203" s="314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628"/>
      <c r="P203" s="309"/>
      <c r="Q203" s="309"/>
      <c r="R203" s="630"/>
      <c r="S203" s="630"/>
      <c r="T203" s="334"/>
      <c r="U203" s="334"/>
      <c r="V203" s="629"/>
      <c r="W203" s="329"/>
      <c r="X203" s="329"/>
      <c r="Y203" s="329"/>
      <c r="Z203" s="329"/>
    </row>
    <row r="204" spans="1:54" ht="16.5">
      <c r="N204" s="628"/>
      <c r="O204" s="628"/>
    </row>
    <row r="205" spans="1:54" ht="16.5">
      <c r="N205" s="628"/>
      <c r="O205" s="628"/>
    </row>
    <row r="206" spans="1:54" ht="16.5">
      <c r="N206" s="628"/>
    </row>
    <row r="207" spans="1:54" ht="16.5">
      <c r="N207" s="628"/>
    </row>
    <row r="208" spans="1:54" ht="16.5">
      <c r="N208" s="628"/>
    </row>
  </sheetData>
  <sheetProtection selectLockedCells="1" selectUnlockedCells="1"/>
  <autoFilter ref="A6:AC196" xr:uid="{7E29D852-9D13-4595-889A-7B30A2B8800B}"/>
  <mergeCells count="6">
    <mergeCell ref="N2:AC2"/>
    <mergeCell ref="N3:AC3"/>
    <mergeCell ref="O5:P5"/>
    <mergeCell ref="Q5:R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567B-0AE8-40EB-8452-112C34CA05B7}">
  <sheetPr>
    <tabColor theme="7" tint="0.59999389629810485"/>
    <pageSetUpPr fitToPage="1"/>
  </sheetPr>
  <dimension ref="A1:BA259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4.5703125" style="9" customWidth="1" outlineLevel="1"/>
    <col min="3" max="3" width="6" style="9" customWidth="1" outlineLevel="1"/>
    <col min="4" max="4" width="7.85546875" style="9" customWidth="1" outlineLevel="1"/>
    <col min="5" max="6" width="5.85546875" style="9" customWidth="1" outlineLevel="1"/>
    <col min="7" max="7" width="8" style="9" customWidth="1" outlineLevel="1"/>
    <col min="8" max="8" width="5.42578125" style="9" customWidth="1" outlineLevel="1"/>
    <col min="9" max="9" width="3.85546875" style="9" customWidth="1"/>
    <col min="10" max="10" width="6.28515625" style="111" customWidth="1"/>
    <col min="11" max="11" width="64.85546875" style="9" customWidth="1"/>
    <col min="12" max="12" width="20" style="13" bestFit="1" customWidth="1"/>
    <col min="13" max="13" width="19.7109375" style="13" customWidth="1"/>
    <col min="14" max="14" width="18.42578125" style="13" customWidth="1"/>
    <col min="15" max="15" width="21.140625" style="13" customWidth="1"/>
    <col min="16" max="16" width="21" style="13" customWidth="1"/>
    <col min="17" max="17" width="19.140625" style="13" customWidth="1"/>
    <col min="18" max="18" width="23.7109375" style="13" bestFit="1" customWidth="1"/>
    <col min="19" max="19" width="19.5703125" style="13" bestFit="1" customWidth="1"/>
    <col min="20" max="20" width="20.5703125" style="13" customWidth="1"/>
    <col min="21" max="21" width="12.85546875" style="13" customWidth="1"/>
    <col min="22" max="22" width="19.5703125" style="13" bestFit="1" customWidth="1"/>
    <col min="23" max="23" width="18.28515625" style="13" customWidth="1"/>
    <col min="24" max="24" width="12.5703125" style="13" customWidth="1"/>
    <col min="25" max="25" width="19.5703125" style="13" customWidth="1"/>
    <col min="26" max="26" width="22.140625" style="13" customWidth="1"/>
    <col min="27" max="27" width="12.140625" style="13" customWidth="1"/>
    <col min="28" max="28" width="11.42578125" style="13"/>
    <col min="29" max="29" width="13.85546875" style="13" customWidth="1"/>
    <col min="30" max="16384" width="11.42578125" style="13"/>
  </cols>
  <sheetData>
    <row r="1" spans="1:27" s="8" customFormat="1">
      <c r="A1" s="1"/>
      <c r="B1" s="3"/>
      <c r="C1" s="3"/>
      <c r="D1" s="3"/>
      <c r="E1" s="3"/>
      <c r="F1" s="3"/>
      <c r="G1" s="3"/>
      <c r="H1" s="3"/>
      <c r="I1" s="3"/>
      <c r="J1" s="4"/>
      <c r="K1" s="3"/>
      <c r="L1" s="5">
        <v>6</v>
      </c>
      <c r="M1" s="6"/>
      <c r="N1" s="6"/>
      <c r="O1" s="6"/>
      <c r="P1" s="6"/>
      <c r="Q1" s="6"/>
      <c r="R1" s="6"/>
      <c r="S1" s="5">
        <v>13</v>
      </c>
      <c r="T1" s="6"/>
      <c r="U1" s="7"/>
      <c r="V1" s="5">
        <v>14</v>
      </c>
      <c r="W1" s="326"/>
      <c r="X1" s="7"/>
      <c r="Y1" s="5">
        <v>16</v>
      </c>
      <c r="Z1" s="6"/>
      <c r="AA1" s="7"/>
    </row>
    <row r="2" spans="1:27" ht="19.5" customHeight="1">
      <c r="A2" s="1"/>
      <c r="C2" s="10"/>
      <c r="D2" s="10"/>
      <c r="E2" s="10"/>
      <c r="F2" s="10"/>
      <c r="G2" s="10"/>
      <c r="H2" s="10"/>
      <c r="I2" s="10"/>
      <c r="J2" s="12"/>
      <c r="K2" s="10"/>
      <c r="L2" s="812" t="s">
        <v>0</v>
      </c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</row>
    <row r="3" spans="1:27" ht="30.75" customHeight="1">
      <c r="A3" s="1"/>
      <c r="C3" s="14"/>
      <c r="D3" s="14"/>
      <c r="E3" s="14"/>
      <c r="F3" s="14"/>
      <c r="G3" s="14"/>
      <c r="H3" s="14"/>
      <c r="I3" s="14"/>
      <c r="J3" s="16"/>
      <c r="K3" s="14"/>
      <c r="L3" s="813" t="s">
        <v>919</v>
      </c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</row>
    <row r="4" spans="1:27">
      <c r="A4" s="1"/>
      <c r="B4" s="17"/>
      <c r="C4" s="17"/>
      <c r="D4" s="17"/>
      <c r="E4" s="17"/>
      <c r="F4" s="17"/>
      <c r="G4" s="17"/>
      <c r="H4" s="18"/>
      <c r="I4" s="18"/>
      <c r="J4" s="19"/>
      <c r="K4" s="18"/>
      <c r="L4" s="20"/>
      <c r="M4" s="20"/>
      <c r="N4" s="20"/>
      <c r="O4" s="20"/>
      <c r="P4" s="20" t="s">
        <v>276</v>
      </c>
      <c r="Q4" s="20"/>
      <c r="R4" s="20"/>
      <c r="S4" s="20"/>
      <c r="T4" s="20"/>
      <c r="U4" s="21"/>
      <c r="V4" s="20"/>
      <c r="W4" s="20"/>
      <c r="X4" s="21"/>
      <c r="Y4" s="20"/>
      <c r="Z4" s="20"/>
      <c r="AA4" s="21"/>
    </row>
    <row r="5" spans="1:27" s="25" customFormat="1" ht="27" customHeight="1">
      <c r="A5" s="22"/>
      <c r="B5" s="814" t="s">
        <v>2</v>
      </c>
      <c r="C5" s="814"/>
      <c r="D5" s="814"/>
      <c r="E5" s="814"/>
      <c r="F5" s="814"/>
      <c r="G5" s="814"/>
      <c r="H5" s="814"/>
      <c r="I5" s="815" t="s">
        <v>3</v>
      </c>
      <c r="J5" s="822" t="s">
        <v>4</v>
      </c>
      <c r="K5" s="816" t="s">
        <v>5</v>
      </c>
      <c r="L5" s="818" t="s">
        <v>869</v>
      </c>
      <c r="M5" s="820" t="s">
        <v>870</v>
      </c>
      <c r="N5" s="821"/>
      <c r="O5" s="820" t="s">
        <v>871</v>
      </c>
      <c r="P5" s="821"/>
      <c r="Q5" s="818" t="s">
        <v>872</v>
      </c>
      <c r="R5" s="804" t="s">
        <v>6</v>
      </c>
      <c r="S5" s="806" t="s">
        <v>7</v>
      </c>
      <c r="T5" s="807"/>
      <c r="U5" s="808"/>
      <c r="V5" s="809" t="s">
        <v>8</v>
      </c>
      <c r="W5" s="810"/>
      <c r="X5" s="811"/>
      <c r="Y5" s="806" t="s">
        <v>9</v>
      </c>
      <c r="Z5" s="807"/>
      <c r="AA5" s="808"/>
    </row>
    <row r="6" spans="1:27" s="25" customFormat="1" ht="48.75" customHeight="1">
      <c r="A6" s="22"/>
      <c r="B6" s="113" t="s">
        <v>10</v>
      </c>
      <c r="C6" s="113" t="s">
        <v>11</v>
      </c>
      <c r="D6" s="113" t="s">
        <v>12</v>
      </c>
      <c r="E6" s="113" t="s">
        <v>13</v>
      </c>
      <c r="F6" s="113" t="s">
        <v>14</v>
      </c>
      <c r="G6" s="113" t="s">
        <v>15</v>
      </c>
      <c r="H6" s="113" t="s">
        <v>16</v>
      </c>
      <c r="I6" s="815"/>
      <c r="J6" s="822" t="s">
        <v>17</v>
      </c>
      <c r="K6" s="817"/>
      <c r="L6" s="819"/>
      <c r="M6" s="114" t="s">
        <v>873</v>
      </c>
      <c r="N6" s="114" t="s">
        <v>874</v>
      </c>
      <c r="O6" s="114" t="s">
        <v>875</v>
      </c>
      <c r="P6" s="114" t="s">
        <v>876</v>
      </c>
      <c r="Q6" s="819"/>
      <c r="R6" s="805" t="s">
        <v>6</v>
      </c>
      <c r="S6" s="112" t="s">
        <v>18</v>
      </c>
      <c r="T6" s="112" t="s">
        <v>877</v>
      </c>
      <c r="U6" s="115" t="s">
        <v>19</v>
      </c>
      <c r="V6" s="112" t="s">
        <v>18</v>
      </c>
      <c r="W6" s="114" t="s">
        <v>920</v>
      </c>
      <c r="X6" s="116" t="s">
        <v>879</v>
      </c>
      <c r="Y6" s="114" t="s">
        <v>18</v>
      </c>
      <c r="Z6" s="114" t="s">
        <v>921</v>
      </c>
      <c r="AA6" s="116" t="s">
        <v>20</v>
      </c>
    </row>
    <row r="7" spans="1:27" s="640" customFormat="1" ht="16.5">
      <c r="A7" s="30"/>
      <c r="B7" s="711"/>
      <c r="C7" s="712"/>
      <c r="D7" s="712"/>
      <c r="E7" s="712"/>
      <c r="F7" s="712"/>
      <c r="G7" s="711"/>
      <c r="H7" s="711"/>
      <c r="I7" s="711"/>
      <c r="J7" s="732"/>
      <c r="K7" s="713"/>
      <c r="L7" s="714">
        <v>1</v>
      </c>
      <c r="M7" s="714">
        <v>2</v>
      </c>
      <c r="N7" s="714">
        <v>3</v>
      </c>
      <c r="O7" s="714">
        <v>4</v>
      </c>
      <c r="P7" s="714">
        <v>5</v>
      </c>
      <c r="Q7" s="714"/>
      <c r="R7" s="714" t="s">
        <v>895</v>
      </c>
      <c r="S7" s="715" t="s">
        <v>21</v>
      </c>
      <c r="T7" s="714" t="s">
        <v>894</v>
      </c>
      <c r="U7" s="714" t="s">
        <v>893</v>
      </c>
      <c r="V7" s="716">
        <v>10</v>
      </c>
      <c r="W7" s="714" t="s">
        <v>892</v>
      </c>
      <c r="X7" s="714" t="s">
        <v>891</v>
      </c>
      <c r="Y7" s="715" t="s">
        <v>22</v>
      </c>
      <c r="Z7" s="714" t="s">
        <v>890</v>
      </c>
      <c r="AA7" s="714" t="s">
        <v>889</v>
      </c>
    </row>
    <row r="8" spans="1:27" ht="35.1" customHeight="1">
      <c r="A8" s="32" t="e">
        <v>#REF!</v>
      </c>
      <c r="B8" s="118" t="s">
        <v>23</v>
      </c>
      <c r="C8" s="119"/>
      <c r="D8" s="119"/>
      <c r="E8" s="119"/>
      <c r="F8" s="119"/>
      <c r="G8" s="119"/>
      <c r="H8" s="119"/>
      <c r="I8" s="119"/>
      <c r="J8" s="119"/>
      <c r="K8" s="119" t="s">
        <v>24</v>
      </c>
      <c r="L8" s="120">
        <v>179300000000</v>
      </c>
      <c r="M8" s="120">
        <v>4794322613752</v>
      </c>
      <c r="N8" s="717">
        <v>0</v>
      </c>
      <c r="O8" s="120">
        <v>2069118566.1300001</v>
      </c>
      <c r="P8" s="120">
        <v>2069118566.1300001</v>
      </c>
      <c r="Q8" s="120">
        <v>22607000000</v>
      </c>
      <c r="R8" s="120">
        <v>4951015613752</v>
      </c>
      <c r="S8" s="120">
        <v>4224776979960.25</v>
      </c>
      <c r="T8" s="120">
        <v>74264870100.160004</v>
      </c>
      <c r="U8" s="121">
        <v>0.85331522046213293</v>
      </c>
      <c r="V8" s="120">
        <v>4096137063084.4399</v>
      </c>
      <c r="W8" s="120">
        <v>128639916875.81</v>
      </c>
      <c r="X8" s="121">
        <v>3.0448924874851107E-2</v>
      </c>
      <c r="Y8" s="120">
        <v>4094763583412.4399</v>
      </c>
      <c r="Z8" s="120">
        <v>1373479672</v>
      </c>
      <c r="AA8" s="718">
        <v>0.96922597401838873</v>
      </c>
    </row>
    <row r="9" spans="1:27" ht="24" customHeight="1">
      <c r="A9" s="32" t="e">
        <v>#REF!</v>
      </c>
      <c r="B9" s="123" t="s">
        <v>23</v>
      </c>
      <c r="C9" s="123" t="s">
        <v>25</v>
      </c>
      <c r="D9" s="123"/>
      <c r="E9" s="123"/>
      <c r="F9" s="123"/>
      <c r="G9" s="123"/>
      <c r="H9" s="123"/>
      <c r="I9" s="124"/>
      <c r="J9" s="124"/>
      <c r="K9" s="124" t="s">
        <v>26</v>
      </c>
      <c r="L9" s="125">
        <v>105148000000</v>
      </c>
      <c r="M9" s="719">
        <v>0</v>
      </c>
      <c r="N9" s="719">
        <v>0</v>
      </c>
      <c r="O9" s="125">
        <v>320000000</v>
      </c>
      <c r="P9" s="125">
        <v>320000000</v>
      </c>
      <c r="Q9" s="719">
        <v>0</v>
      </c>
      <c r="R9" s="125">
        <v>105148000000</v>
      </c>
      <c r="S9" s="125">
        <v>57663054998</v>
      </c>
      <c r="T9" s="125">
        <v>47484945002</v>
      </c>
      <c r="U9" s="126">
        <v>0.54839897095522505</v>
      </c>
      <c r="V9" s="125">
        <v>54582280646</v>
      </c>
      <c r="W9" s="125">
        <v>3080774352</v>
      </c>
      <c r="X9" s="126">
        <v>5.3427178842793785E-2</v>
      </c>
      <c r="Y9" s="125">
        <v>54582280646</v>
      </c>
      <c r="Z9" s="125">
        <v>0</v>
      </c>
      <c r="AA9" s="720">
        <v>0.9465728211572062</v>
      </c>
    </row>
    <row r="10" spans="1:27" ht="24" customHeight="1">
      <c r="A10" s="32" t="e">
        <v>#REF!</v>
      </c>
      <c r="B10" s="128" t="s">
        <v>23</v>
      </c>
      <c r="C10" s="128" t="s">
        <v>25</v>
      </c>
      <c r="D10" s="128" t="s">
        <v>25</v>
      </c>
      <c r="E10" s="128"/>
      <c r="F10" s="128"/>
      <c r="G10" s="128"/>
      <c r="H10" s="128"/>
      <c r="I10" s="129"/>
      <c r="J10" s="129"/>
      <c r="K10" s="129" t="s">
        <v>27</v>
      </c>
      <c r="L10" s="130">
        <v>105148000000</v>
      </c>
      <c r="M10" s="721">
        <v>0</v>
      </c>
      <c r="N10" s="721">
        <v>0</v>
      </c>
      <c r="O10" s="130">
        <v>320000000</v>
      </c>
      <c r="P10" s="130">
        <v>320000000</v>
      </c>
      <c r="Q10" s="721">
        <v>0</v>
      </c>
      <c r="R10" s="130">
        <v>105148000000</v>
      </c>
      <c r="S10" s="130">
        <v>57663054998</v>
      </c>
      <c r="T10" s="130">
        <v>47484945002</v>
      </c>
      <c r="U10" s="131">
        <v>0.54839897095522505</v>
      </c>
      <c r="V10" s="130">
        <v>54582280646</v>
      </c>
      <c r="W10" s="130">
        <v>3080774352</v>
      </c>
      <c r="X10" s="131">
        <v>5.3427178842793785E-2</v>
      </c>
      <c r="Y10" s="130">
        <v>54582280646</v>
      </c>
      <c r="Z10" s="130">
        <v>0</v>
      </c>
      <c r="AA10" s="722">
        <v>0.9465728211572062</v>
      </c>
    </row>
    <row r="11" spans="1:27" ht="24" customHeight="1">
      <c r="A11" s="32" t="e">
        <v>#REF!</v>
      </c>
      <c r="B11" s="133" t="s">
        <v>23</v>
      </c>
      <c r="C11" s="133" t="s">
        <v>25</v>
      </c>
      <c r="D11" s="133" t="s">
        <v>25</v>
      </c>
      <c r="E11" s="133" t="s">
        <v>25</v>
      </c>
      <c r="F11" s="133"/>
      <c r="G11" s="133"/>
      <c r="H11" s="133"/>
      <c r="I11" s="133" t="s">
        <v>28</v>
      </c>
      <c r="J11" s="134" t="s">
        <v>29</v>
      </c>
      <c r="K11" s="134" t="s">
        <v>30</v>
      </c>
      <c r="L11" s="135">
        <v>69237000000</v>
      </c>
      <c r="M11" s="136">
        <v>0</v>
      </c>
      <c r="N11" s="136">
        <v>0</v>
      </c>
      <c r="O11" s="135">
        <v>320000000</v>
      </c>
      <c r="P11" s="135">
        <v>320000000</v>
      </c>
      <c r="Q11" s="136">
        <v>0</v>
      </c>
      <c r="R11" s="135">
        <v>69237000000</v>
      </c>
      <c r="S11" s="135">
        <v>36367267179</v>
      </c>
      <c r="T11" s="135">
        <v>32869732821</v>
      </c>
      <c r="U11" s="137">
        <v>0.52525769717058801</v>
      </c>
      <c r="V11" s="135">
        <v>36367200418</v>
      </c>
      <c r="W11" s="136">
        <v>66761</v>
      </c>
      <c r="X11" s="137">
        <v>1.8357442056726943E-6</v>
      </c>
      <c r="Y11" s="135">
        <v>36367200418</v>
      </c>
      <c r="Z11" s="135">
        <v>0</v>
      </c>
      <c r="AA11" s="723">
        <v>0.99999816425579435</v>
      </c>
    </row>
    <row r="12" spans="1:27" ht="24.95" customHeight="1">
      <c r="A12" s="32" t="e">
        <v>#REF!</v>
      </c>
      <c r="B12" s="139" t="s">
        <v>23</v>
      </c>
      <c r="C12" s="139" t="s">
        <v>25</v>
      </c>
      <c r="D12" s="139" t="s">
        <v>25</v>
      </c>
      <c r="E12" s="139" t="s">
        <v>25</v>
      </c>
      <c r="F12" s="139" t="s">
        <v>31</v>
      </c>
      <c r="G12" s="139"/>
      <c r="H12" s="139"/>
      <c r="I12" s="139" t="s">
        <v>28</v>
      </c>
      <c r="J12" s="140" t="s">
        <v>29</v>
      </c>
      <c r="K12" s="140" t="s">
        <v>32</v>
      </c>
      <c r="L12" s="141">
        <v>69237000000</v>
      </c>
      <c r="M12" s="142">
        <v>0</v>
      </c>
      <c r="N12" s="142">
        <v>0</v>
      </c>
      <c r="O12" s="141">
        <v>320000000</v>
      </c>
      <c r="P12" s="141">
        <v>320000000</v>
      </c>
      <c r="Q12" s="142">
        <v>0</v>
      </c>
      <c r="R12" s="141">
        <v>69237000000</v>
      </c>
      <c r="S12" s="141">
        <v>36367267179</v>
      </c>
      <c r="T12" s="141">
        <v>32869732821</v>
      </c>
      <c r="U12" s="143">
        <v>0.52525769717058801</v>
      </c>
      <c r="V12" s="141">
        <v>36367200418</v>
      </c>
      <c r="W12" s="142">
        <v>66761</v>
      </c>
      <c r="X12" s="143">
        <v>1.8357442056726943E-6</v>
      </c>
      <c r="Y12" s="141">
        <v>36367200418</v>
      </c>
      <c r="Z12" s="141">
        <v>0</v>
      </c>
      <c r="AA12" s="724">
        <v>0.99999816425579435</v>
      </c>
    </row>
    <row r="13" spans="1:27" ht="24.95" customHeight="1">
      <c r="A13" s="32" t="e">
        <v>#REF!</v>
      </c>
      <c r="B13" s="145" t="s">
        <v>23</v>
      </c>
      <c r="C13" s="145" t="s">
        <v>25</v>
      </c>
      <c r="D13" s="145" t="s">
        <v>25</v>
      </c>
      <c r="E13" s="145" t="s">
        <v>25</v>
      </c>
      <c r="F13" s="145" t="s">
        <v>31</v>
      </c>
      <c r="G13" s="145" t="s">
        <v>31</v>
      </c>
      <c r="H13" s="145"/>
      <c r="I13" s="145" t="s">
        <v>28</v>
      </c>
      <c r="J13" s="146" t="s">
        <v>29</v>
      </c>
      <c r="K13" s="147" t="s">
        <v>33</v>
      </c>
      <c r="L13" s="148">
        <v>57000000000</v>
      </c>
      <c r="M13" s="148"/>
      <c r="N13" s="148"/>
      <c r="O13" s="148"/>
      <c r="P13" s="149"/>
      <c r="Q13" s="149"/>
      <c r="R13" s="148">
        <v>57000000000</v>
      </c>
      <c r="S13" s="148">
        <v>30894912098</v>
      </c>
      <c r="T13" s="148">
        <v>26105087902</v>
      </c>
      <c r="U13" s="150">
        <v>0.5420160017192982</v>
      </c>
      <c r="V13" s="148">
        <v>30894912098</v>
      </c>
      <c r="W13" s="148">
        <v>0</v>
      </c>
      <c r="X13" s="150">
        <v>0</v>
      </c>
      <c r="Y13" s="148">
        <v>30894912098</v>
      </c>
      <c r="Z13" s="148">
        <v>0</v>
      </c>
      <c r="AA13" s="150">
        <v>1</v>
      </c>
    </row>
    <row r="14" spans="1:27" ht="24.95" customHeight="1">
      <c r="A14" s="32" t="e">
        <v>#REF!</v>
      </c>
      <c r="B14" s="145" t="s">
        <v>23</v>
      </c>
      <c r="C14" s="145" t="s">
        <v>25</v>
      </c>
      <c r="D14" s="145" t="s">
        <v>25</v>
      </c>
      <c r="E14" s="145" t="s">
        <v>25</v>
      </c>
      <c r="F14" s="145" t="s">
        <v>31</v>
      </c>
      <c r="G14" s="145" t="s">
        <v>34</v>
      </c>
      <c r="H14" s="145"/>
      <c r="I14" s="145" t="s">
        <v>28</v>
      </c>
      <c r="J14" s="146" t="s">
        <v>29</v>
      </c>
      <c r="K14" s="147" t="s">
        <v>35</v>
      </c>
      <c r="L14" s="148">
        <v>276000000</v>
      </c>
      <c r="M14" s="148"/>
      <c r="N14" s="148"/>
      <c r="O14" s="148"/>
      <c r="P14" s="148"/>
      <c r="Q14" s="148"/>
      <c r="R14" s="148">
        <v>276000000</v>
      </c>
      <c r="S14" s="148">
        <v>126555109</v>
      </c>
      <c r="T14" s="148">
        <v>149444891</v>
      </c>
      <c r="U14" s="150">
        <v>0.45853300362318838</v>
      </c>
      <c r="V14" s="148">
        <v>126555109</v>
      </c>
      <c r="W14" s="148">
        <v>0</v>
      </c>
      <c r="X14" s="150">
        <v>0</v>
      </c>
      <c r="Y14" s="148">
        <v>126555109</v>
      </c>
      <c r="Z14" s="148">
        <v>0</v>
      </c>
      <c r="AA14" s="150">
        <v>1</v>
      </c>
    </row>
    <row r="15" spans="1:27" ht="24.95" customHeight="1">
      <c r="A15" s="32" t="e">
        <v>#REF!</v>
      </c>
      <c r="B15" s="145" t="s">
        <v>23</v>
      </c>
      <c r="C15" s="145" t="s">
        <v>25</v>
      </c>
      <c r="D15" s="145" t="s">
        <v>25</v>
      </c>
      <c r="E15" s="145" t="s">
        <v>25</v>
      </c>
      <c r="F15" s="145" t="s">
        <v>31</v>
      </c>
      <c r="G15" s="145" t="s">
        <v>36</v>
      </c>
      <c r="H15" s="145"/>
      <c r="I15" s="145" t="s">
        <v>28</v>
      </c>
      <c r="J15" s="146" t="s">
        <v>29</v>
      </c>
      <c r="K15" s="147" t="s">
        <v>37</v>
      </c>
      <c r="L15" s="148">
        <v>540000000</v>
      </c>
      <c r="M15" s="148"/>
      <c r="N15" s="148"/>
      <c r="O15" s="148"/>
      <c r="P15" s="148"/>
      <c r="Q15" s="148"/>
      <c r="R15" s="148">
        <v>540000000</v>
      </c>
      <c r="S15" s="148">
        <v>300342039</v>
      </c>
      <c r="T15" s="148">
        <v>239657961</v>
      </c>
      <c r="U15" s="150">
        <v>0.55618896111111116</v>
      </c>
      <c r="V15" s="148">
        <v>300342039</v>
      </c>
      <c r="W15" s="148">
        <v>0</v>
      </c>
      <c r="X15" s="150">
        <v>0</v>
      </c>
      <c r="Y15" s="148">
        <v>300342039</v>
      </c>
      <c r="Z15" s="148">
        <v>0</v>
      </c>
      <c r="AA15" s="150">
        <v>1</v>
      </c>
    </row>
    <row r="16" spans="1:27" ht="24.95" customHeight="1">
      <c r="A16" s="32" t="e">
        <v>#REF!</v>
      </c>
      <c r="B16" s="145" t="s">
        <v>23</v>
      </c>
      <c r="C16" s="145" t="s">
        <v>25</v>
      </c>
      <c r="D16" s="145" t="s">
        <v>25</v>
      </c>
      <c r="E16" s="145" t="s">
        <v>25</v>
      </c>
      <c r="F16" s="145" t="s">
        <v>31</v>
      </c>
      <c r="G16" s="145" t="s">
        <v>38</v>
      </c>
      <c r="H16" s="145"/>
      <c r="I16" s="145" t="s">
        <v>28</v>
      </c>
      <c r="J16" s="146" t="s">
        <v>29</v>
      </c>
      <c r="K16" s="147" t="s">
        <v>39</v>
      </c>
      <c r="L16" s="148">
        <v>96000000</v>
      </c>
      <c r="M16" s="148"/>
      <c r="N16" s="148"/>
      <c r="O16" s="148"/>
      <c r="P16" s="148"/>
      <c r="Q16" s="148"/>
      <c r="R16" s="148">
        <v>96000000</v>
      </c>
      <c r="S16" s="148">
        <v>51164257</v>
      </c>
      <c r="T16" s="148">
        <v>44835743</v>
      </c>
      <c r="U16" s="150">
        <v>0.53296101041666666</v>
      </c>
      <c r="V16" s="148">
        <v>51164257</v>
      </c>
      <c r="W16" s="148">
        <v>0</v>
      </c>
      <c r="X16" s="150">
        <v>0</v>
      </c>
      <c r="Y16" s="148">
        <v>51164257</v>
      </c>
      <c r="Z16" s="148">
        <v>0</v>
      </c>
      <c r="AA16" s="150">
        <v>1</v>
      </c>
    </row>
    <row r="17" spans="1:53" ht="24.95" customHeight="1">
      <c r="A17" s="32" t="e">
        <v>#REF!</v>
      </c>
      <c r="B17" s="145" t="s">
        <v>23</v>
      </c>
      <c r="C17" s="145" t="s">
        <v>25</v>
      </c>
      <c r="D17" s="145" t="s">
        <v>25</v>
      </c>
      <c r="E17" s="145" t="s">
        <v>25</v>
      </c>
      <c r="F17" s="145" t="s">
        <v>31</v>
      </c>
      <c r="G17" s="145" t="s">
        <v>40</v>
      </c>
      <c r="H17" s="145"/>
      <c r="I17" s="145" t="s">
        <v>28</v>
      </c>
      <c r="J17" s="146" t="s">
        <v>29</v>
      </c>
      <c r="K17" s="147" t="s">
        <v>41</v>
      </c>
      <c r="L17" s="148">
        <v>80000000</v>
      </c>
      <c r="M17" s="148"/>
      <c r="N17" s="148"/>
      <c r="O17" s="148"/>
      <c r="P17" s="148"/>
      <c r="Q17" s="148"/>
      <c r="R17" s="148">
        <v>80000000</v>
      </c>
      <c r="S17" s="148">
        <v>59035846</v>
      </c>
      <c r="T17" s="148">
        <v>20964154</v>
      </c>
      <c r="U17" s="150">
        <v>0.73794807500000004</v>
      </c>
      <c r="V17" s="148">
        <v>59035846</v>
      </c>
      <c r="W17" s="148">
        <v>0</v>
      </c>
      <c r="X17" s="150">
        <v>0</v>
      </c>
      <c r="Y17" s="148">
        <v>59035846</v>
      </c>
      <c r="Z17" s="148">
        <v>0</v>
      </c>
      <c r="AA17" s="150">
        <v>1</v>
      </c>
    </row>
    <row r="18" spans="1:53" ht="24.95" customHeight="1">
      <c r="A18" s="32" t="e">
        <v>#REF!</v>
      </c>
      <c r="B18" s="145" t="s">
        <v>23</v>
      </c>
      <c r="C18" s="145" t="s">
        <v>25</v>
      </c>
      <c r="D18" s="145" t="s">
        <v>25</v>
      </c>
      <c r="E18" s="145" t="s">
        <v>25</v>
      </c>
      <c r="F18" s="145" t="s">
        <v>31</v>
      </c>
      <c r="G18" s="145" t="s">
        <v>42</v>
      </c>
      <c r="H18" s="145"/>
      <c r="I18" s="145" t="s">
        <v>28</v>
      </c>
      <c r="J18" s="146" t="s">
        <v>29</v>
      </c>
      <c r="K18" s="147" t="s">
        <v>43</v>
      </c>
      <c r="L18" s="148">
        <v>2448300000</v>
      </c>
      <c r="M18" s="148"/>
      <c r="N18" s="148"/>
      <c r="O18" s="148">
        <v>320000000</v>
      </c>
      <c r="P18" s="148"/>
      <c r="Q18" s="148"/>
      <c r="R18" s="148">
        <v>2768300000</v>
      </c>
      <c r="S18" s="148">
        <v>2477315121</v>
      </c>
      <c r="T18" s="148">
        <v>290984879</v>
      </c>
      <c r="U18" s="150">
        <v>0.89488679731243004</v>
      </c>
      <c r="V18" s="148">
        <v>2477315121</v>
      </c>
      <c r="W18" s="148">
        <v>0</v>
      </c>
      <c r="X18" s="150">
        <v>0</v>
      </c>
      <c r="Y18" s="148">
        <v>2477315121</v>
      </c>
      <c r="Z18" s="148">
        <v>0</v>
      </c>
      <c r="AA18" s="150">
        <v>1</v>
      </c>
    </row>
    <row r="19" spans="1:53" ht="24.95" customHeight="1">
      <c r="A19" s="32" t="e">
        <v>#REF!</v>
      </c>
      <c r="B19" s="145" t="s">
        <v>23</v>
      </c>
      <c r="C19" s="145" t="s">
        <v>25</v>
      </c>
      <c r="D19" s="145" t="s">
        <v>25</v>
      </c>
      <c r="E19" s="145" t="s">
        <v>25</v>
      </c>
      <c r="F19" s="145" t="s">
        <v>31</v>
      </c>
      <c r="G19" s="145" t="s">
        <v>44</v>
      </c>
      <c r="H19" s="145"/>
      <c r="I19" s="145" t="s">
        <v>28</v>
      </c>
      <c r="J19" s="146" t="s">
        <v>29</v>
      </c>
      <c r="K19" s="147" t="s">
        <v>45</v>
      </c>
      <c r="L19" s="148">
        <v>1757500000</v>
      </c>
      <c r="M19" s="148"/>
      <c r="N19" s="148"/>
      <c r="O19" s="148"/>
      <c r="P19" s="148"/>
      <c r="Q19" s="148"/>
      <c r="R19" s="148">
        <v>1757500000</v>
      </c>
      <c r="S19" s="148">
        <v>1087263853</v>
      </c>
      <c r="T19" s="148">
        <v>670236147</v>
      </c>
      <c r="U19" s="150">
        <v>0.61864230611664295</v>
      </c>
      <c r="V19" s="148">
        <v>1087263853</v>
      </c>
      <c r="W19" s="148">
        <v>0</v>
      </c>
      <c r="X19" s="150">
        <v>0</v>
      </c>
      <c r="Y19" s="148">
        <v>1087263853</v>
      </c>
      <c r="Z19" s="148">
        <v>0</v>
      </c>
      <c r="AA19" s="150">
        <v>1</v>
      </c>
    </row>
    <row r="20" spans="1:53" ht="24.95" customHeight="1">
      <c r="A20" s="32" t="e">
        <v>#REF!</v>
      </c>
      <c r="B20" s="145" t="s">
        <v>23</v>
      </c>
      <c r="C20" s="145" t="s">
        <v>25</v>
      </c>
      <c r="D20" s="145" t="s">
        <v>25</v>
      </c>
      <c r="E20" s="145" t="s">
        <v>25</v>
      </c>
      <c r="F20" s="145" t="s">
        <v>31</v>
      </c>
      <c r="G20" s="145" t="s">
        <v>46</v>
      </c>
      <c r="H20" s="145"/>
      <c r="I20" s="145" t="s">
        <v>28</v>
      </c>
      <c r="J20" s="146" t="s">
        <v>29</v>
      </c>
      <c r="K20" s="147" t="s">
        <v>47</v>
      </c>
      <c r="L20" s="148">
        <v>210000000</v>
      </c>
      <c r="M20" s="148"/>
      <c r="N20" s="148"/>
      <c r="O20" s="148"/>
      <c r="P20" s="148"/>
      <c r="Q20" s="148"/>
      <c r="R20" s="148">
        <v>210000000</v>
      </c>
      <c r="S20" s="148">
        <v>44103643</v>
      </c>
      <c r="T20" s="148">
        <v>165896357</v>
      </c>
      <c r="U20" s="150">
        <v>0.21001734761904761</v>
      </c>
      <c r="V20" s="148">
        <v>44103643</v>
      </c>
      <c r="W20" s="148">
        <v>0</v>
      </c>
      <c r="X20" s="150">
        <v>0</v>
      </c>
      <c r="Y20" s="148">
        <v>44103643</v>
      </c>
      <c r="Z20" s="148">
        <v>0</v>
      </c>
      <c r="AA20" s="150">
        <v>1</v>
      </c>
    </row>
    <row r="21" spans="1:53" ht="24.95" customHeight="1">
      <c r="A21" s="32" t="e">
        <v>#REF!</v>
      </c>
      <c r="B21" s="145" t="s">
        <v>23</v>
      </c>
      <c r="C21" s="145" t="s">
        <v>25</v>
      </c>
      <c r="D21" s="145" t="s">
        <v>25</v>
      </c>
      <c r="E21" s="145" t="s">
        <v>25</v>
      </c>
      <c r="F21" s="145" t="s">
        <v>31</v>
      </c>
      <c r="G21" s="145" t="s">
        <v>48</v>
      </c>
      <c r="H21" s="145"/>
      <c r="I21" s="145" t="s">
        <v>28</v>
      </c>
      <c r="J21" s="146" t="s">
        <v>29</v>
      </c>
      <c r="K21" s="147" t="s">
        <v>49</v>
      </c>
      <c r="L21" s="148">
        <v>5100500000</v>
      </c>
      <c r="M21" s="148"/>
      <c r="N21" s="148"/>
      <c r="O21" s="148"/>
      <c r="P21" s="148">
        <v>320000000</v>
      </c>
      <c r="Q21" s="148"/>
      <c r="R21" s="148">
        <v>4780500000</v>
      </c>
      <c r="S21" s="148">
        <v>22720494</v>
      </c>
      <c r="T21" s="148">
        <v>4757779506</v>
      </c>
      <c r="U21" s="150">
        <v>4.7527442736115472E-3</v>
      </c>
      <c r="V21" s="148">
        <v>22720494</v>
      </c>
      <c r="W21" s="148">
        <v>0</v>
      </c>
      <c r="X21" s="150">
        <v>0</v>
      </c>
      <c r="Y21" s="148">
        <v>22720494</v>
      </c>
      <c r="Z21" s="148">
        <v>0</v>
      </c>
      <c r="AA21" s="150">
        <v>1</v>
      </c>
    </row>
    <row r="22" spans="1:53" ht="24.95" customHeight="1">
      <c r="A22" s="32" t="e">
        <v>#REF!</v>
      </c>
      <c r="B22" s="145" t="s">
        <v>23</v>
      </c>
      <c r="C22" s="145" t="s">
        <v>25</v>
      </c>
      <c r="D22" s="145" t="s">
        <v>25</v>
      </c>
      <c r="E22" s="145" t="s">
        <v>25</v>
      </c>
      <c r="F22" s="145" t="s">
        <v>31</v>
      </c>
      <c r="G22" s="145" t="s">
        <v>50</v>
      </c>
      <c r="H22" s="145"/>
      <c r="I22" s="145" t="s">
        <v>28</v>
      </c>
      <c r="J22" s="146" t="s">
        <v>29</v>
      </c>
      <c r="K22" s="147" t="s">
        <v>51</v>
      </c>
      <c r="L22" s="148">
        <v>1676700000</v>
      </c>
      <c r="M22" s="148"/>
      <c r="N22" s="148"/>
      <c r="O22" s="148"/>
      <c r="P22" s="148"/>
      <c r="Q22" s="148"/>
      <c r="R22" s="148">
        <v>1676700000</v>
      </c>
      <c r="S22" s="148">
        <v>1287531769</v>
      </c>
      <c r="T22" s="148">
        <v>389168231</v>
      </c>
      <c r="U22" s="150">
        <v>0.76789632552036735</v>
      </c>
      <c r="V22" s="148">
        <v>1287465008</v>
      </c>
      <c r="W22" s="148">
        <v>66761</v>
      </c>
      <c r="X22" s="150">
        <v>5.1851924439776677E-5</v>
      </c>
      <c r="Y22" s="148">
        <v>1287465008</v>
      </c>
      <c r="Z22" s="148">
        <v>0</v>
      </c>
      <c r="AA22" s="150">
        <v>0.99994814807556021</v>
      </c>
    </row>
    <row r="23" spans="1:53" s="64" customFormat="1" ht="24.95" customHeight="1">
      <c r="A23" s="32" t="e">
        <v>#REF!</v>
      </c>
      <c r="B23" s="145" t="s">
        <v>23</v>
      </c>
      <c r="C23" s="145" t="s">
        <v>25</v>
      </c>
      <c r="D23" s="145" t="s">
        <v>25</v>
      </c>
      <c r="E23" s="145" t="s">
        <v>25</v>
      </c>
      <c r="F23" s="145" t="s">
        <v>31</v>
      </c>
      <c r="G23" s="151" t="s">
        <v>52</v>
      </c>
      <c r="H23" s="145"/>
      <c r="I23" s="145" t="s">
        <v>28</v>
      </c>
      <c r="J23" s="146" t="s">
        <v>29</v>
      </c>
      <c r="K23" s="147" t="s">
        <v>53</v>
      </c>
      <c r="L23" s="148">
        <v>52000000</v>
      </c>
      <c r="M23" s="148"/>
      <c r="N23" s="148"/>
      <c r="O23" s="148"/>
      <c r="P23" s="148"/>
      <c r="Q23" s="148"/>
      <c r="R23" s="148">
        <v>52000000</v>
      </c>
      <c r="S23" s="148">
        <v>16322950</v>
      </c>
      <c r="T23" s="148">
        <v>35677050</v>
      </c>
      <c r="U23" s="150">
        <v>0.31390288461538463</v>
      </c>
      <c r="V23" s="148">
        <v>16322950</v>
      </c>
      <c r="W23" s="148">
        <v>0</v>
      </c>
      <c r="X23" s="150">
        <v>0</v>
      </c>
      <c r="Y23" s="148">
        <v>16322950</v>
      </c>
      <c r="Z23" s="148">
        <v>0</v>
      </c>
      <c r="AA23" s="150">
        <v>1</v>
      </c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</row>
    <row r="24" spans="1:53" ht="24.95" customHeight="1">
      <c r="A24" s="32" t="e">
        <v>#REF!</v>
      </c>
      <c r="B24" s="133" t="s">
        <v>23</v>
      </c>
      <c r="C24" s="133" t="s">
        <v>25</v>
      </c>
      <c r="D24" s="133" t="s">
        <v>25</v>
      </c>
      <c r="E24" s="133" t="s">
        <v>54</v>
      </c>
      <c r="F24" s="134"/>
      <c r="G24" s="134"/>
      <c r="H24" s="134"/>
      <c r="I24" s="133" t="s">
        <v>28</v>
      </c>
      <c r="J24" s="134" t="s">
        <v>29</v>
      </c>
      <c r="K24" s="134" t="s">
        <v>55</v>
      </c>
      <c r="L24" s="135">
        <v>28758000000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5">
        <v>28758000000</v>
      </c>
      <c r="S24" s="135">
        <v>17099393000</v>
      </c>
      <c r="T24" s="135">
        <v>11658607000</v>
      </c>
      <c r="U24" s="137">
        <v>0.59459604284025314</v>
      </c>
      <c r="V24" s="135">
        <v>14021670659</v>
      </c>
      <c r="W24" s="135">
        <v>3077722341</v>
      </c>
      <c r="X24" s="137">
        <v>0.17999015175567928</v>
      </c>
      <c r="Y24" s="135">
        <v>14021670659</v>
      </c>
      <c r="Z24" s="136">
        <v>0</v>
      </c>
      <c r="AA24" s="723">
        <v>0.82000984824432077</v>
      </c>
    </row>
    <row r="25" spans="1:53" ht="24.95" customHeight="1">
      <c r="A25" s="32" t="e">
        <v>#REF!</v>
      </c>
      <c r="B25" s="145" t="s">
        <v>23</v>
      </c>
      <c r="C25" s="145" t="s">
        <v>25</v>
      </c>
      <c r="D25" s="145" t="s">
        <v>25</v>
      </c>
      <c r="E25" s="145" t="s">
        <v>54</v>
      </c>
      <c r="F25" s="145" t="s">
        <v>31</v>
      </c>
      <c r="G25" s="145"/>
      <c r="H25" s="145"/>
      <c r="I25" s="145" t="s">
        <v>28</v>
      </c>
      <c r="J25" s="146" t="s">
        <v>29</v>
      </c>
      <c r="K25" s="147" t="s">
        <v>56</v>
      </c>
      <c r="L25" s="148">
        <v>7690200000</v>
      </c>
      <c r="M25" s="148"/>
      <c r="N25" s="148"/>
      <c r="O25" s="148"/>
      <c r="P25" s="148"/>
      <c r="Q25" s="148"/>
      <c r="R25" s="148">
        <v>7690200000</v>
      </c>
      <c r="S25" s="148">
        <v>4177304200</v>
      </c>
      <c r="T25" s="148">
        <v>3512895800</v>
      </c>
      <c r="U25" s="150">
        <v>0.54319838235676576</v>
      </c>
      <c r="V25" s="148">
        <v>4177304200</v>
      </c>
      <c r="W25" s="148">
        <v>0</v>
      </c>
      <c r="X25" s="150">
        <v>0</v>
      </c>
      <c r="Y25" s="148">
        <v>4177304200</v>
      </c>
      <c r="Z25" s="148">
        <v>0</v>
      </c>
      <c r="AA25" s="150">
        <v>1</v>
      </c>
    </row>
    <row r="26" spans="1:53" ht="24.95" customHeight="1">
      <c r="A26" s="32" t="e">
        <v>#REF!</v>
      </c>
      <c r="B26" s="145" t="s">
        <v>23</v>
      </c>
      <c r="C26" s="145" t="s">
        <v>25</v>
      </c>
      <c r="D26" s="145" t="s">
        <v>25</v>
      </c>
      <c r="E26" s="145" t="s">
        <v>54</v>
      </c>
      <c r="F26" s="145" t="s">
        <v>34</v>
      </c>
      <c r="G26" s="145"/>
      <c r="H26" s="145"/>
      <c r="I26" s="145" t="s">
        <v>28</v>
      </c>
      <c r="J26" s="146" t="s">
        <v>29</v>
      </c>
      <c r="K26" s="147" t="s">
        <v>57</v>
      </c>
      <c r="L26" s="148">
        <v>5447200000</v>
      </c>
      <c r="M26" s="148"/>
      <c r="N26" s="148"/>
      <c r="O26" s="148"/>
      <c r="P26" s="148"/>
      <c r="Q26" s="148"/>
      <c r="R26" s="148">
        <v>5447200000</v>
      </c>
      <c r="S26" s="148">
        <v>2968501600</v>
      </c>
      <c r="T26" s="148">
        <v>2478698400</v>
      </c>
      <c r="U26" s="150">
        <v>0.54495917168453523</v>
      </c>
      <c r="V26" s="148">
        <v>2968501600</v>
      </c>
      <c r="W26" s="148">
        <v>0</v>
      </c>
      <c r="X26" s="150">
        <v>0</v>
      </c>
      <c r="Y26" s="148">
        <v>2968501600</v>
      </c>
      <c r="Z26" s="148">
        <v>0</v>
      </c>
      <c r="AA26" s="150">
        <v>1</v>
      </c>
    </row>
    <row r="27" spans="1:53" ht="24.95" customHeight="1">
      <c r="A27" s="32" t="e">
        <v>#REF!</v>
      </c>
      <c r="B27" s="145" t="s">
        <v>23</v>
      </c>
      <c r="C27" s="145" t="s">
        <v>25</v>
      </c>
      <c r="D27" s="145" t="s">
        <v>25</v>
      </c>
      <c r="E27" s="145" t="s">
        <v>54</v>
      </c>
      <c r="F27" s="145" t="s">
        <v>36</v>
      </c>
      <c r="G27" s="145"/>
      <c r="H27" s="145"/>
      <c r="I27" s="145" t="s">
        <v>28</v>
      </c>
      <c r="J27" s="146" t="s">
        <v>29</v>
      </c>
      <c r="K27" s="147" t="s">
        <v>58</v>
      </c>
      <c r="L27" s="148">
        <v>8895400000</v>
      </c>
      <c r="M27" s="148"/>
      <c r="N27" s="148"/>
      <c r="O27" s="148"/>
      <c r="P27" s="148"/>
      <c r="Q27" s="148"/>
      <c r="R27" s="148">
        <v>8895400000</v>
      </c>
      <c r="S27" s="148">
        <v>6200000000</v>
      </c>
      <c r="T27" s="148">
        <v>2695400000</v>
      </c>
      <c r="U27" s="150">
        <v>0.69698945522404843</v>
      </c>
      <c r="V27" s="148">
        <v>3122383859</v>
      </c>
      <c r="W27" s="148">
        <v>3077616141</v>
      </c>
      <c r="X27" s="150">
        <v>0.4963897001612903</v>
      </c>
      <c r="Y27" s="148">
        <v>3122383859</v>
      </c>
      <c r="Z27" s="148">
        <v>0</v>
      </c>
      <c r="AA27" s="150">
        <v>0.50361029983870964</v>
      </c>
    </row>
    <row r="28" spans="1:53" ht="24.95" customHeight="1">
      <c r="A28" s="32" t="e">
        <v>#REF!</v>
      </c>
      <c r="B28" s="145" t="s">
        <v>23</v>
      </c>
      <c r="C28" s="145" t="s">
        <v>25</v>
      </c>
      <c r="D28" s="145" t="s">
        <v>25</v>
      </c>
      <c r="E28" s="145" t="s">
        <v>54</v>
      </c>
      <c r="F28" s="145" t="s">
        <v>38</v>
      </c>
      <c r="G28" s="145"/>
      <c r="H28" s="145"/>
      <c r="I28" s="145" t="s">
        <v>28</v>
      </c>
      <c r="J28" s="146" t="s">
        <v>29</v>
      </c>
      <c r="K28" s="147" t="s">
        <v>59</v>
      </c>
      <c r="L28" s="148">
        <v>2732300000</v>
      </c>
      <c r="M28" s="148"/>
      <c r="N28" s="148"/>
      <c r="O28" s="148"/>
      <c r="P28" s="148"/>
      <c r="Q28" s="148"/>
      <c r="R28" s="148">
        <v>2732300000</v>
      </c>
      <c r="S28" s="148">
        <v>1532750800</v>
      </c>
      <c r="T28" s="148">
        <v>1199549200</v>
      </c>
      <c r="U28" s="150">
        <v>0.56097456355451447</v>
      </c>
      <c r="V28" s="148">
        <v>1532750800</v>
      </c>
      <c r="W28" s="148">
        <v>0</v>
      </c>
      <c r="X28" s="150">
        <v>0</v>
      </c>
      <c r="Y28" s="148">
        <v>1532750800</v>
      </c>
      <c r="Z28" s="148">
        <v>0</v>
      </c>
      <c r="AA28" s="150">
        <v>1</v>
      </c>
    </row>
    <row r="29" spans="1:53" ht="24.95" customHeight="1">
      <c r="A29" s="32" t="e">
        <v>#REF!</v>
      </c>
      <c r="B29" s="145" t="s">
        <v>23</v>
      </c>
      <c r="C29" s="145" t="s">
        <v>25</v>
      </c>
      <c r="D29" s="145" t="s">
        <v>25</v>
      </c>
      <c r="E29" s="145" t="s">
        <v>54</v>
      </c>
      <c r="F29" s="145" t="s">
        <v>40</v>
      </c>
      <c r="G29" s="145"/>
      <c r="H29" s="145"/>
      <c r="I29" s="145" t="s">
        <v>28</v>
      </c>
      <c r="J29" s="146" t="s">
        <v>29</v>
      </c>
      <c r="K29" s="147" t="s">
        <v>60</v>
      </c>
      <c r="L29" s="148">
        <v>540000000</v>
      </c>
      <c r="M29" s="148"/>
      <c r="N29" s="148"/>
      <c r="O29" s="148"/>
      <c r="P29" s="148"/>
      <c r="Q29" s="148"/>
      <c r="R29" s="148">
        <v>540000000</v>
      </c>
      <c r="S29" s="148">
        <v>303609800</v>
      </c>
      <c r="T29" s="148">
        <v>236390200</v>
      </c>
      <c r="U29" s="150">
        <v>0.56224037037037033</v>
      </c>
      <c r="V29" s="148">
        <v>303609800</v>
      </c>
      <c r="W29" s="148">
        <v>0</v>
      </c>
      <c r="X29" s="150">
        <v>0</v>
      </c>
      <c r="Y29" s="148">
        <v>303609800</v>
      </c>
      <c r="Z29" s="148">
        <v>0</v>
      </c>
      <c r="AA29" s="150">
        <v>1</v>
      </c>
    </row>
    <row r="30" spans="1:53" ht="24.95" customHeight="1">
      <c r="A30" s="32" t="e">
        <v>#REF!</v>
      </c>
      <c r="B30" s="145" t="s">
        <v>23</v>
      </c>
      <c r="C30" s="145" t="s">
        <v>25</v>
      </c>
      <c r="D30" s="145" t="s">
        <v>25</v>
      </c>
      <c r="E30" s="145" t="s">
        <v>54</v>
      </c>
      <c r="F30" s="145" t="s">
        <v>42</v>
      </c>
      <c r="G30" s="145"/>
      <c r="H30" s="145"/>
      <c r="I30" s="145" t="s">
        <v>28</v>
      </c>
      <c r="J30" s="146" t="s">
        <v>29</v>
      </c>
      <c r="K30" s="147" t="s">
        <v>61</v>
      </c>
      <c r="L30" s="148">
        <v>2071700000</v>
      </c>
      <c r="M30" s="148"/>
      <c r="N30" s="148"/>
      <c r="O30" s="148"/>
      <c r="P30" s="148"/>
      <c r="Q30" s="148"/>
      <c r="R30" s="148">
        <v>2071700000</v>
      </c>
      <c r="S30" s="148">
        <v>1149710500</v>
      </c>
      <c r="T30" s="148">
        <v>921989500</v>
      </c>
      <c r="U30" s="150">
        <v>0.55495993628421103</v>
      </c>
      <c r="V30" s="148">
        <v>1149710500</v>
      </c>
      <c r="W30" s="148">
        <v>0</v>
      </c>
      <c r="X30" s="150">
        <v>0</v>
      </c>
      <c r="Y30" s="148">
        <v>1149710500</v>
      </c>
      <c r="Z30" s="148">
        <v>0</v>
      </c>
      <c r="AA30" s="150">
        <v>1</v>
      </c>
    </row>
    <row r="31" spans="1:53" ht="24.95" customHeight="1">
      <c r="A31" s="32" t="e">
        <v>#REF!</v>
      </c>
      <c r="B31" s="145" t="s">
        <v>23</v>
      </c>
      <c r="C31" s="145" t="s">
        <v>25</v>
      </c>
      <c r="D31" s="145" t="s">
        <v>25</v>
      </c>
      <c r="E31" s="145" t="s">
        <v>54</v>
      </c>
      <c r="F31" s="145" t="s">
        <v>44</v>
      </c>
      <c r="G31" s="145"/>
      <c r="H31" s="145"/>
      <c r="I31" s="145" t="s">
        <v>28</v>
      </c>
      <c r="J31" s="146" t="s">
        <v>29</v>
      </c>
      <c r="K31" s="147" t="s">
        <v>62</v>
      </c>
      <c r="L31" s="148">
        <v>345300000</v>
      </c>
      <c r="M31" s="148"/>
      <c r="N31" s="148"/>
      <c r="O31" s="148"/>
      <c r="P31" s="148"/>
      <c r="Q31" s="148"/>
      <c r="R31" s="148">
        <v>345300000</v>
      </c>
      <c r="S31" s="148">
        <v>192048900</v>
      </c>
      <c r="T31" s="148">
        <v>153251100</v>
      </c>
      <c r="U31" s="150">
        <v>0.55617984361424844</v>
      </c>
      <c r="V31" s="148">
        <v>191942700</v>
      </c>
      <c r="W31" s="148">
        <v>106200</v>
      </c>
      <c r="X31" s="150">
        <v>5.5298416184627972E-4</v>
      </c>
      <c r="Y31" s="148">
        <v>191942700</v>
      </c>
      <c r="Z31" s="148">
        <v>0</v>
      </c>
      <c r="AA31" s="150">
        <v>0.99944701583815376</v>
      </c>
    </row>
    <row r="32" spans="1:53" ht="24.95" customHeight="1">
      <c r="A32" s="32" t="e">
        <v>#REF!</v>
      </c>
      <c r="B32" s="145" t="s">
        <v>23</v>
      </c>
      <c r="C32" s="145" t="s">
        <v>25</v>
      </c>
      <c r="D32" s="145" t="s">
        <v>25</v>
      </c>
      <c r="E32" s="145" t="s">
        <v>54</v>
      </c>
      <c r="F32" s="145" t="s">
        <v>46</v>
      </c>
      <c r="G32" s="145"/>
      <c r="H32" s="145"/>
      <c r="I32" s="145" t="s">
        <v>28</v>
      </c>
      <c r="J32" s="146" t="s">
        <v>29</v>
      </c>
      <c r="K32" s="147" t="s">
        <v>63</v>
      </c>
      <c r="L32" s="148">
        <v>345300000</v>
      </c>
      <c r="M32" s="148"/>
      <c r="N32" s="148"/>
      <c r="O32" s="148"/>
      <c r="P32" s="148"/>
      <c r="Q32" s="148"/>
      <c r="R32" s="148">
        <v>345300000</v>
      </c>
      <c r="S32" s="148">
        <v>191942700</v>
      </c>
      <c r="T32" s="148">
        <v>153357300</v>
      </c>
      <c r="U32" s="150">
        <v>0.55587228496959162</v>
      </c>
      <c r="V32" s="148">
        <v>191942700</v>
      </c>
      <c r="W32" s="148">
        <v>0</v>
      </c>
      <c r="X32" s="150">
        <v>0</v>
      </c>
      <c r="Y32" s="148">
        <v>191942700</v>
      </c>
      <c r="Z32" s="148">
        <v>0</v>
      </c>
      <c r="AA32" s="150">
        <v>1</v>
      </c>
    </row>
    <row r="33" spans="1:27" ht="24.75" customHeight="1">
      <c r="A33" s="32" t="e">
        <v>#REF!</v>
      </c>
      <c r="B33" s="145" t="s">
        <v>23</v>
      </c>
      <c r="C33" s="145" t="s">
        <v>25</v>
      </c>
      <c r="D33" s="145" t="s">
        <v>25</v>
      </c>
      <c r="E33" s="145" t="s">
        <v>54</v>
      </c>
      <c r="F33" s="145" t="s">
        <v>48</v>
      </c>
      <c r="G33" s="145"/>
      <c r="H33" s="145"/>
      <c r="I33" s="145" t="s">
        <v>28</v>
      </c>
      <c r="J33" s="146" t="s">
        <v>29</v>
      </c>
      <c r="K33" s="147" t="s">
        <v>64</v>
      </c>
      <c r="L33" s="148">
        <v>690600000</v>
      </c>
      <c r="M33" s="148"/>
      <c r="N33" s="148"/>
      <c r="O33" s="148"/>
      <c r="P33" s="148"/>
      <c r="Q33" s="148"/>
      <c r="R33" s="148">
        <v>690600000</v>
      </c>
      <c r="S33" s="148">
        <v>383524500</v>
      </c>
      <c r="T33" s="148">
        <v>307075500</v>
      </c>
      <c r="U33" s="150">
        <v>0.55534969591659422</v>
      </c>
      <c r="V33" s="148">
        <v>383524500</v>
      </c>
      <c r="W33" s="148">
        <v>0</v>
      </c>
      <c r="X33" s="150">
        <v>0</v>
      </c>
      <c r="Y33" s="148">
        <v>383524500</v>
      </c>
      <c r="Z33" s="148">
        <v>0</v>
      </c>
      <c r="AA33" s="150">
        <v>1</v>
      </c>
    </row>
    <row r="34" spans="1:27" ht="24.95" customHeight="1">
      <c r="A34" s="32" t="e">
        <v>#REF!</v>
      </c>
      <c r="B34" s="133" t="s">
        <v>23</v>
      </c>
      <c r="C34" s="133" t="s">
        <v>25</v>
      </c>
      <c r="D34" s="133" t="s">
        <v>25</v>
      </c>
      <c r="E34" s="133" t="s">
        <v>65</v>
      </c>
      <c r="F34" s="133"/>
      <c r="G34" s="134"/>
      <c r="H34" s="134"/>
      <c r="I34" s="133" t="s">
        <v>28</v>
      </c>
      <c r="J34" s="134" t="s">
        <v>29</v>
      </c>
      <c r="K34" s="134" t="s">
        <v>66</v>
      </c>
      <c r="L34" s="135">
        <v>7153000000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5">
        <v>7153000000</v>
      </c>
      <c r="S34" s="135">
        <v>4196394819</v>
      </c>
      <c r="T34" s="135">
        <v>2956605181</v>
      </c>
      <c r="U34" s="137">
        <v>0.58666221431567178</v>
      </c>
      <c r="V34" s="135">
        <v>4193409569</v>
      </c>
      <c r="W34" s="135">
        <v>2985250</v>
      </c>
      <c r="X34" s="137">
        <v>7.1138444516318997E-4</v>
      </c>
      <c r="Y34" s="135">
        <v>4193409569</v>
      </c>
      <c r="Z34" s="136">
        <v>0</v>
      </c>
      <c r="AA34" s="723">
        <v>0.99928861555483683</v>
      </c>
    </row>
    <row r="35" spans="1:27" ht="24.95" customHeight="1">
      <c r="A35" s="32" t="e">
        <v>#REF!</v>
      </c>
      <c r="B35" s="139" t="s">
        <v>23</v>
      </c>
      <c r="C35" s="139" t="s">
        <v>25</v>
      </c>
      <c r="D35" s="139" t="s">
        <v>25</v>
      </c>
      <c r="E35" s="139" t="s">
        <v>65</v>
      </c>
      <c r="F35" s="139" t="s">
        <v>31</v>
      </c>
      <c r="G35" s="140"/>
      <c r="H35" s="140"/>
      <c r="I35" s="139" t="s">
        <v>28</v>
      </c>
      <c r="J35" s="140" t="s">
        <v>29</v>
      </c>
      <c r="K35" s="140" t="s">
        <v>67</v>
      </c>
      <c r="L35" s="141">
        <v>3551000000</v>
      </c>
      <c r="M35" s="142">
        <v>0</v>
      </c>
      <c r="N35" s="142">
        <v>0</v>
      </c>
      <c r="O35" s="142">
        <v>0</v>
      </c>
      <c r="P35" s="142">
        <v>0</v>
      </c>
      <c r="Q35" s="142">
        <v>0</v>
      </c>
      <c r="R35" s="141">
        <v>3551000000</v>
      </c>
      <c r="S35" s="141">
        <v>2033968687</v>
      </c>
      <c r="T35" s="141">
        <v>1517031313</v>
      </c>
      <c r="U35" s="143">
        <v>0.57278757730216845</v>
      </c>
      <c r="V35" s="141">
        <v>2033861869</v>
      </c>
      <c r="W35" s="142">
        <v>106818</v>
      </c>
      <c r="X35" s="143">
        <v>5.251703267740621E-5</v>
      </c>
      <c r="Y35" s="141">
        <v>2033861869</v>
      </c>
      <c r="Z35" s="142">
        <v>0</v>
      </c>
      <c r="AA35" s="724">
        <v>0.99994748296732261</v>
      </c>
    </row>
    <row r="36" spans="1:27" ht="24.95" customHeight="1">
      <c r="A36" s="32" t="e">
        <v>#REF!</v>
      </c>
      <c r="B36" s="145" t="s">
        <v>23</v>
      </c>
      <c r="C36" s="145" t="s">
        <v>25</v>
      </c>
      <c r="D36" s="145" t="s">
        <v>25</v>
      </c>
      <c r="E36" s="145" t="s">
        <v>65</v>
      </c>
      <c r="F36" s="145" t="s">
        <v>31</v>
      </c>
      <c r="G36" s="145" t="s">
        <v>31</v>
      </c>
      <c r="H36" s="145"/>
      <c r="I36" s="145" t="s">
        <v>28</v>
      </c>
      <c r="J36" s="146" t="s">
        <v>29</v>
      </c>
      <c r="K36" s="147" t="s">
        <v>68</v>
      </c>
      <c r="L36" s="148">
        <v>2801000000</v>
      </c>
      <c r="M36" s="148"/>
      <c r="N36" s="148"/>
      <c r="O36" s="148"/>
      <c r="P36" s="148"/>
      <c r="Q36" s="148"/>
      <c r="R36" s="148">
        <v>2801000000</v>
      </c>
      <c r="S36" s="148">
        <v>1691273229</v>
      </c>
      <c r="T36" s="148">
        <v>1109726771</v>
      </c>
      <c r="U36" s="150">
        <v>0.60381050660478397</v>
      </c>
      <c r="V36" s="148">
        <v>1691175313</v>
      </c>
      <c r="W36" s="148">
        <v>97916</v>
      </c>
      <c r="X36" s="150">
        <v>5.7894844145256671E-5</v>
      </c>
      <c r="Y36" s="148">
        <v>1691175313</v>
      </c>
      <c r="Z36" s="148">
        <v>0</v>
      </c>
      <c r="AA36" s="150">
        <v>0.99994210515585469</v>
      </c>
    </row>
    <row r="37" spans="1:27" ht="24.95" customHeight="1">
      <c r="A37" s="32" t="e">
        <v>#REF!</v>
      </c>
      <c r="B37" s="145" t="s">
        <v>23</v>
      </c>
      <c r="C37" s="145" t="s">
        <v>25</v>
      </c>
      <c r="D37" s="145" t="s">
        <v>25</v>
      </c>
      <c r="E37" s="145" t="s">
        <v>65</v>
      </c>
      <c r="F37" s="145" t="s">
        <v>31</v>
      </c>
      <c r="G37" s="145" t="s">
        <v>34</v>
      </c>
      <c r="H37" s="145"/>
      <c r="I37" s="145" t="s">
        <v>28</v>
      </c>
      <c r="J37" s="146" t="s">
        <v>29</v>
      </c>
      <c r="K37" s="147" t="s">
        <v>69</v>
      </c>
      <c r="L37" s="148">
        <v>400000000</v>
      </c>
      <c r="M37" s="148"/>
      <c r="N37" s="148"/>
      <c r="O37" s="148"/>
      <c r="P37" s="148"/>
      <c r="Q37" s="148"/>
      <c r="R37" s="148">
        <v>400000000</v>
      </c>
      <c r="S37" s="148">
        <v>184186709</v>
      </c>
      <c r="T37" s="148">
        <v>215813291</v>
      </c>
      <c r="U37" s="150">
        <v>0.46046677250000001</v>
      </c>
      <c r="V37" s="148">
        <v>184186709</v>
      </c>
      <c r="W37" s="148">
        <v>0</v>
      </c>
      <c r="X37" s="150">
        <v>0</v>
      </c>
      <c r="Y37" s="148">
        <v>184186709</v>
      </c>
      <c r="Z37" s="148">
        <v>0</v>
      </c>
      <c r="AA37" s="150">
        <v>1</v>
      </c>
    </row>
    <row r="38" spans="1:27" ht="24.95" customHeight="1">
      <c r="A38" s="32" t="e">
        <v>#REF!</v>
      </c>
      <c r="B38" s="145" t="s">
        <v>23</v>
      </c>
      <c r="C38" s="145" t="s">
        <v>25</v>
      </c>
      <c r="D38" s="145" t="s">
        <v>25</v>
      </c>
      <c r="E38" s="145" t="s">
        <v>65</v>
      </c>
      <c r="F38" s="145" t="s">
        <v>31</v>
      </c>
      <c r="G38" s="145" t="s">
        <v>36</v>
      </c>
      <c r="H38" s="145"/>
      <c r="I38" s="145" t="s">
        <v>28</v>
      </c>
      <c r="J38" s="146" t="s">
        <v>29</v>
      </c>
      <c r="K38" s="147" t="s">
        <v>70</v>
      </c>
      <c r="L38" s="148">
        <v>350000000</v>
      </c>
      <c r="M38" s="148"/>
      <c r="N38" s="148"/>
      <c r="O38" s="148"/>
      <c r="P38" s="148"/>
      <c r="Q38" s="148"/>
      <c r="R38" s="148">
        <v>350000000</v>
      </c>
      <c r="S38" s="148">
        <v>158508749</v>
      </c>
      <c r="T38" s="148">
        <v>191491251</v>
      </c>
      <c r="U38" s="150">
        <v>0.45288213999999999</v>
      </c>
      <c r="V38" s="148">
        <v>158499847</v>
      </c>
      <c r="W38" s="148">
        <v>8902</v>
      </c>
      <c r="X38" s="150">
        <v>5.6160937841986251E-5</v>
      </c>
      <c r="Y38" s="148">
        <v>158499847</v>
      </c>
      <c r="Z38" s="148">
        <v>0</v>
      </c>
      <c r="AA38" s="150">
        <v>0.999943839062158</v>
      </c>
    </row>
    <row r="39" spans="1:27" ht="24.95" customHeight="1">
      <c r="A39" s="32" t="e">
        <v>#REF!</v>
      </c>
      <c r="B39" s="145" t="s">
        <v>23</v>
      </c>
      <c r="C39" s="145" t="s">
        <v>25</v>
      </c>
      <c r="D39" s="145" t="s">
        <v>25</v>
      </c>
      <c r="E39" s="145" t="s">
        <v>65</v>
      </c>
      <c r="F39" s="145" t="s">
        <v>34</v>
      </c>
      <c r="G39" s="145"/>
      <c r="H39" s="145"/>
      <c r="I39" s="145" t="s">
        <v>28</v>
      </c>
      <c r="J39" s="146" t="s">
        <v>29</v>
      </c>
      <c r="K39" s="147" t="s">
        <v>71</v>
      </c>
      <c r="L39" s="148">
        <v>2160000000</v>
      </c>
      <c r="M39" s="148"/>
      <c r="N39" s="148"/>
      <c r="O39" s="148"/>
      <c r="P39" s="148"/>
      <c r="Q39" s="148"/>
      <c r="R39" s="148">
        <v>2160000000</v>
      </c>
      <c r="S39" s="148">
        <v>1397320428</v>
      </c>
      <c r="T39" s="148">
        <v>762679572</v>
      </c>
      <c r="U39" s="150">
        <v>0.6469076055555556</v>
      </c>
      <c r="V39" s="148">
        <v>1397320428</v>
      </c>
      <c r="W39" s="148">
        <v>0</v>
      </c>
      <c r="X39" s="150">
        <v>0</v>
      </c>
      <c r="Y39" s="148">
        <v>1397320428</v>
      </c>
      <c r="Z39" s="148">
        <v>0</v>
      </c>
      <c r="AA39" s="150">
        <v>1</v>
      </c>
    </row>
    <row r="40" spans="1:27" ht="24.95" customHeight="1">
      <c r="A40" s="32" t="e">
        <v>#REF!</v>
      </c>
      <c r="B40" s="145" t="s">
        <v>23</v>
      </c>
      <c r="C40" s="145" t="s">
        <v>25</v>
      </c>
      <c r="D40" s="145" t="s">
        <v>25</v>
      </c>
      <c r="E40" s="145" t="s">
        <v>65</v>
      </c>
      <c r="F40" s="145" t="s">
        <v>40</v>
      </c>
      <c r="G40" s="145"/>
      <c r="H40" s="145"/>
      <c r="I40" s="145" t="s">
        <v>28</v>
      </c>
      <c r="J40" s="146" t="s">
        <v>29</v>
      </c>
      <c r="K40" s="147" t="s">
        <v>72</v>
      </c>
      <c r="L40" s="148">
        <v>12000000</v>
      </c>
      <c r="M40" s="148"/>
      <c r="N40" s="148"/>
      <c r="O40" s="148"/>
      <c r="P40" s="148"/>
      <c r="Q40" s="148"/>
      <c r="R40" s="148">
        <v>12000000</v>
      </c>
      <c r="S40" s="148">
        <v>2392696</v>
      </c>
      <c r="T40" s="148">
        <v>9607304</v>
      </c>
      <c r="U40" s="150">
        <v>0.19939133333333334</v>
      </c>
      <c r="V40" s="148">
        <v>2392696</v>
      </c>
      <c r="W40" s="148">
        <v>0</v>
      </c>
      <c r="X40" s="150">
        <v>0</v>
      </c>
      <c r="Y40" s="148">
        <v>2392696</v>
      </c>
      <c r="Z40" s="148">
        <v>0</v>
      </c>
      <c r="AA40" s="150">
        <v>1</v>
      </c>
    </row>
    <row r="41" spans="1:27" ht="24.95" customHeight="1">
      <c r="A41" s="32" t="e">
        <v>#REF!</v>
      </c>
      <c r="B41" s="145" t="s">
        <v>23</v>
      </c>
      <c r="C41" s="145" t="s">
        <v>25</v>
      </c>
      <c r="D41" s="145" t="s">
        <v>25</v>
      </c>
      <c r="E41" s="145" t="s">
        <v>65</v>
      </c>
      <c r="F41" s="145" t="s">
        <v>74</v>
      </c>
      <c r="G41" s="145"/>
      <c r="H41" s="145"/>
      <c r="I41" s="145" t="s">
        <v>28</v>
      </c>
      <c r="J41" s="146" t="s">
        <v>29</v>
      </c>
      <c r="K41" s="147" t="s">
        <v>75</v>
      </c>
      <c r="L41" s="148">
        <v>30000000</v>
      </c>
      <c r="M41" s="148"/>
      <c r="N41" s="148"/>
      <c r="O41" s="148"/>
      <c r="P41" s="148"/>
      <c r="Q41" s="148"/>
      <c r="R41" s="148">
        <v>30000000</v>
      </c>
      <c r="S41" s="148">
        <v>0</v>
      </c>
      <c r="T41" s="148">
        <v>30000000</v>
      </c>
      <c r="U41" s="150">
        <v>0</v>
      </c>
      <c r="V41" s="148">
        <v>0</v>
      </c>
      <c r="W41" s="148">
        <v>0</v>
      </c>
      <c r="X41" s="150">
        <v>0</v>
      </c>
      <c r="Y41" s="148">
        <v>0</v>
      </c>
      <c r="Z41" s="148">
        <v>0</v>
      </c>
      <c r="AA41" s="150">
        <v>0</v>
      </c>
    </row>
    <row r="42" spans="1:27" ht="24.95" customHeight="1">
      <c r="A42" s="32" t="e">
        <v>#REF!</v>
      </c>
      <c r="B42" s="145" t="s">
        <v>23</v>
      </c>
      <c r="C42" s="145" t="s">
        <v>25</v>
      </c>
      <c r="D42" s="145" t="s">
        <v>25</v>
      </c>
      <c r="E42" s="145" t="s">
        <v>65</v>
      </c>
      <c r="F42" s="145" t="s">
        <v>76</v>
      </c>
      <c r="G42" s="145"/>
      <c r="H42" s="145"/>
      <c r="I42" s="145" t="s">
        <v>28</v>
      </c>
      <c r="J42" s="146" t="s">
        <v>29</v>
      </c>
      <c r="K42" s="147" t="s">
        <v>77</v>
      </c>
      <c r="L42" s="148">
        <v>840000000</v>
      </c>
      <c r="M42" s="148"/>
      <c r="N42" s="148"/>
      <c r="O42" s="148"/>
      <c r="P42" s="148"/>
      <c r="Q42" s="148"/>
      <c r="R42" s="148">
        <v>840000000</v>
      </c>
      <c r="S42" s="148">
        <v>485087137</v>
      </c>
      <c r="T42" s="148">
        <v>354912863</v>
      </c>
      <c r="U42" s="150">
        <v>0.57748468690476196</v>
      </c>
      <c r="V42" s="148">
        <v>482208705</v>
      </c>
      <c r="W42" s="148">
        <v>2878432</v>
      </c>
      <c r="X42" s="150">
        <v>5.9338452423239579E-3</v>
      </c>
      <c r="Y42" s="148">
        <v>482208705</v>
      </c>
      <c r="Z42" s="148">
        <v>0</v>
      </c>
      <c r="AA42" s="150">
        <v>0.99406615475767601</v>
      </c>
    </row>
    <row r="43" spans="1:27" ht="24.95" customHeight="1">
      <c r="A43" s="32" t="e">
        <v>#REF!</v>
      </c>
      <c r="B43" s="145" t="s">
        <v>23</v>
      </c>
      <c r="C43" s="145" t="s">
        <v>25</v>
      </c>
      <c r="D43" s="145" t="s">
        <v>25</v>
      </c>
      <c r="E43" s="145" t="s">
        <v>65</v>
      </c>
      <c r="F43" s="145" t="s">
        <v>78</v>
      </c>
      <c r="G43" s="145"/>
      <c r="H43" s="145"/>
      <c r="I43" s="145" t="s">
        <v>28</v>
      </c>
      <c r="J43" s="146" t="s">
        <v>29</v>
      </c>
      <c r="K43" s="147" t="s">
        <v>79</v>
      </c>
      <c r="L43" s="148">
        <v>560000000</v>
      </c>
      <c r="M43" s="148"/>
      <c r="N43" s="148"/>
      <c r="O43" s="148"/>
      <c r="P43" s="148"/>
      <c r="Q43" s="148"/>
      <c r="R43" s="148">
        <v>560000000</v>
      </c>
      <c r="S43" s="148">
        <v>277625871</v>
      </c>
      <c r="T43" s="148">
        <v>282374129</v>
      </c>
      <c r="U43" s="150">
        <v>0.49576048392857142</v>
      </c>
      <c r="V43" s="148">
        <v>277625871</v>
      </c>
      <c r="W43" s="148">
        <v>0</v>
      </c>
      <c r="X43" s="150">
        <v>0</v>
      </c>
      <c r="Y43" s="148">
        <v>277625871</v>
      </c>
      <c r="Z43" s="148">
        <v>0</v>
      </c>
      <c r="AA43" s="150">
        <v>1</v>
      </c>
    </row>
    <row r="44" spans="1:27" ht="24" customHeight="1">
      <c r="A44" s="32" t="e">
        <v>#REF!</v>
      </c>
      <c r="B44" s="123" t="s">
        <v>23</v>
      </c>
      <c r="C44" s="123" t="s">
        <v>54</v>
      </c>
      <c r="D44" s="123"/>
      <c r="E44" s="123"/>
      <c r="F44" s="123"/>
      <c r="G44" s="123"/>
      <c r="H44" s="123"/>
      <c r="I44" s="124"/>
      <c r="J44" s="124"/>
      <c r="K44" s="124" t="s">
        <v>80</v>
      </c>
      <c r="L44" s="125">
        <v>42289000000</v>
      </c>
      <c r="M44" s="719">
        <v>0</v>
      </c>
      <c r="N44" s="719">
        <v>0</v>
      </c>
      <c r="O44" s="725">
        <v>1649118566.1300001</v>
      </c>
      <c r="P44" s="725">
        <v>1649118566.1300001</v>
      </c>
      <c r="Q44" s="719">
        <v>0</v>
      </c>
      <c r="R44" s="125">
        <v>42289000000</v>
      </c>
      <c r="S44" s="125">
        <v>37067842089.839996</v>
      </c>
      <c r="T44" s="125">
        <v>5221157910.1599998</v>
      </c>
      <c r="U44" s="126">
        <v>0.87653626450944677</v>
      </c>
      <c r="V44" s="125">
        <v>22923293917.029999</v>
      </c>
      <c r="W44" s="125">
        <v>14144548172.810001</v>
      </c>
      <c r="X44" s="126">
        <v>0.38158542217074221</v>
      </c>
      <c r="Y44" s="125">
        <v>22601803874.029999</v>
      </c>
      <c r="Z44" s="125">
        <v>321490043</v>
      </c>
      <c r="AA44" s="720">
        <v>0.60974156033283022</v>
      </c>
    </row>
    <row r="45" spans="1:27" ht="24" customHeight="1">
      <c r="A45" s="32" t="e">
        <v>#REF!</v>
      </c>
      <c r="B45" s="128" t="s">
        <v>23</v>
      </c>
      <c r="C45" s="128" t="s">
        <v>54</v>
      </c>
      <c r="D45" s="128" t="s">
        <v>54</v>
      </c>
      <c r="E45" s="128"/>
      <c r="F45" s="128"/>
      <c r="G45" s="128"/>
      <c r="H45" s="128"/>
      <c r="I45" s="129"/>
      <c r="J45" s="129"/>
      <c r="K45" s="129" t="s">
        <v>86</v>
      </c>
      <c r="L45" s="130">
        <v>42289000000</v>
      </c>
      <c r="M45" s="721">
        <v>0</v>
      </c>
      <c r="N45" s="721">
        <v>0</v>
      </c>
      <c r="O45" s="726">
        <v>1649118566.1300001</v>
      </c>
      <c r="P45" s="726">
        <v>1649118566.1300001</v>
      </c>
      <c r="Q45" s="721">
        <v>0</v>
      </c>
      <c r="R45" s="130">
        <v>42289000000</v>
      </c>
      <c r="S45" s="130">
        <v>37067842089.839996</v>
      </c>
      <c r="T45" s="130">
        <v>5221157910.1599998</v>
      </c>
      <c r="U45" s="131">
        <v>0.87653626450944677</v>
      </c>
      <c r="V45" s="130">
        <v>22923293917.029999</v>
      </c>
      <c r="W45" s="130">
        <v>14144548172.810001</v>
      </c>
      <c r="X45" s="131">
        <v>0.38158542217074221</v>
      </c>
      <c r="Y45" s="130">
        <v>22601803874.029999</v>
      </c>
      <c r="Z45" s="130">
        <v>321490043</v>
      </c>
      <c r="AA45" s="722">
        <v>0.60974156033283022</v>
      </c>
    </row>
    <row r="46" spans="1:27" ht="24.95" customHeight="1">
      <c r="A46" s="32" t="e">
        <v>#REF!</v>
      </c>
      <c r="B46" s="133" t="s">
        <v>23</v>
      </c>
      <c r="C46" s="133" t="s">
        <v>54</v>
      </c>
      <c r="D46" s="133" t="s">
        <v>54</v>
      </c>
      <c r="E46" s="133" t="s">
        <v>25</v>
      </c>
      <c r="F46" s="133"/>
      <c r="G46" s="134"/>
      <c r="H46" s="134"/>
      <c r="I46" s="133" t="s">
        <v>28</v>
      </c>
      <c r="J46" s="134" t="s">
        <v>29</v>
      </c>
      <c r="K46" s="134" t="s">
        <v>87</v>
      </c>
      <c r="L46" s="135">
        <v>655883077</v>
      </c>
      <c r="M46" s="136">
        <v>0</v>
      </c>
      <c r="N46" s="136">
        <v>0</v>
      </c>
      <c r="O46" s="727">
        <v>71293908</v>
      </c>
      <c r="P46" s="727">
        <v>90623150</v>
      </c>
      <c r="Q46" s="136">
        <v>0</v>
      </c>
      <c r="R46" s="135">
        <v>636553835</v>
      </c>
      <c r="S46" s="135">
        <v>141209037</v>
      </c>
      <c r="T46" s="135">
        <v>495344798</v>
      </c>
      <c r="U46" s="137">
        <v>0.22183361286323883</v>
      </c>
      <c r="V46" s="135">
        <v>74633160.140000015</v>
      </c>
      <c r="W46" s="135">
        <v>66575876.859999999</v>
      </c>
      <c r="X46" s="137">
        <v>0.47147036956282051</v>
      </c>
      <c r="Y46" s="135">
        <v>74633160.140000015</v>
      </c>
      <c r="Z46" s="135">
        <v>0</v>
      </c>
      <c r="AA46" s="723">
        <v>0.5285296304371796</v>
      </c>
    </row>
    <row r="47" spans="1:27" ht="24.95" customHeight="1">
      <c r="A47" s="32" t="e">
        <v>#REF!</v>
      </c>
      <c r="B47" s="139" t="s">
        <v>23</v>
      </c>
      <c r="C47" s="139" t="s">
        <v>54</v>
      </c>
      <c r="D47" s="139" t="s">
        <v>54</v>
      </c>
      <c r="E47" s="139" t="s">
        <v>25</v>
      </c>
      <c r="F47" s="139" t="s">
        <v>31</v>
      </c>
      <c r="G47" s="140"/>
      <c r="H47" s="140"/>
      <c r="I47" s="139" t="s">
        <v>28</v>
      </c>
      <c r="J47" s="140" t="s">
        <v>29</v>
      </c>
      <c r="K47" s="140" t="s">
        <v>88</v>
      </c>
      <c r="L47" s="141">
        <v>23000000</v>
      </c>
      <c r="M47" s="142">
        <v>0</v>
      </c>
      <c r="N47" s="142">
        <v>0</v>
      </c>
      <c r="O47" s="728">
        <v>6000000</v>
      </c>
      <c r="P47" s="728">
        <v>0</v>
      </c>
      <c r="Q47" s="142">
        <v>0</v>
      </c>
      <c r="R47" s="141">
        <v>29000000</v>
      </c>
      <c r="S47" s="141">
        <v>11000000</v>
      </c>
      <c r="T47" s="141">
        <v>18000000</v>
      </c>
      <c r="U47" s="143">
        <v>0.37931034482758619</v>
      </c>
      <c r="V47" s="141">
        <v>1527847</v>
      </c>
      <c r="W47" s="141">
        <v>9472153</v>
      </c>
      <c r="X47" s="143">
        <v>0.86110481818181817</v>
      </c>
      <c r="Y47" s="141">
        <v>1527847</v>
      </c>
      <c r="Z47" s="141">
        <v>0</v>
      </c>
      <c r="AA47" s="724">
        <v>0.13889518181818181</v>
      </c>
    </row>
    <row r="48" spans="1:27" ht="24.95" customHeight="1">
      <c r="A48" s="32" t="e">
        <v>#REF!</v>
      </c>
      <c r="B48" s="145" t="s">
        <v>23</v>
      </c>
      <c r="C48" s="145" t="s">
        <v>54</v>
      </c>
      <c r="D48" s="145" t="s">
        <v>54</v>
      </c>
      <c r="E48" s="145" t="s">
        <v>25</v>
      </c>
      <c r="F48" s="145" t="s">
        <v>31</v>
      </c>
      <c r="G48" s="145" t="s">
        <v>40</v>
      </c>
      <c r="H48" s="145"/>
      <c r="I48" s="145">
        <v>10</v>
      </c>
      <c r="J48" s="146" t="s">
        <v>29</v>
      </c>
      <c r="K48" s="147" t="s">
        <v>89</v>
      </c>
      <c r="L48" s="148">
        <v>11000000</v>
      </c>
      <c r="M48" s="148"/>
      <c r="N48" s="148"/>
      <c r="O48" s="148"/>
      <c r="P48" s="148"/>
      <c r="Q48" s="148"/>
      <c r="R48" s="148">
        <v>11000000</v>
      </c>
      <c r="S48" s="148">
        <v>11000000</v>
      </c>
      <c r="T48" s="148">
        <v>0</v>
      </c>
      <c r="U48" s="150">
        <v>1</v>
      </c>
      <c r="V48" s="148">
        <v>1527847</v>
      </c>
      <c r="W48" s="148">
        <v>9472153</v>
      </c>
      <c r="X48" s="150">
        <v>0.86110481818181817</v>
      </c>
      <c r="Y48" s="148">
        <v>1527847</v>
      </c>
      <c r="Z48" s="148">
        <v>0</v>
      </c>
      <c r="AA48" s="150">
        <v>0.13889518181818181</v>
      </c>
    </row>
    <row r="49" spans="1:27" ht="24.95" customHeight="1">
      <c r="A49" s="32" t="e">
        <v>#REF!</v>
      </c>
      <c r="B49" s="145" t="s">
        <v>23</v>
      </c>
      <c r="C49" s="145" t="s">
        <v>54</v>
      </c>
      <c r="D49" s="145" t="s">
        <v>54</v>
      </c>
      <c r="E49" s="145" t="s">
        <v>25</v>
      </c>
      <c r="F49" s="145" t="s">
        <v>31</v>
      </c>
      <c r="G49" s="145" t="s">
        <v>44</v>
      </c>
      <c r="H49" s="145"/>
      <c r="I49" s="145">
        <v>10</v>
      </c>
      <c r="J49" s="146" t="s">
        <v>29</v>
      </c>
      <c r="K49" s="147" t="s">
        <v>90</v>
      </c>
      <c r="L49" s="148">
        <v>12000000</v>
      </c>
      <c r="M49" s="148"/>
      <c r="N49" s="148"/>
      <c r="O49" s="149">
        <v>6000000</v>
      </c>
      <c r="P49" s="148"/>
      <c r="Q49" s="148"/>
      <c r="R49" s="148">
        <v>18000000</v>
      </c>
      <c r="S49" s="148">
        <v>0</v>
      </c>
      <c r="T49" s="148">
        <v>18000000</v>
      </c>
      <c r="U49" s="150">
        <v>0</v>
      </c>
      <c r="V49" s="148">
        <v>0</v>
      </c>
      <c r="W49" s="148">
        <v>0</v>
      </c>
      <c r="X49" s="150">
        <v>0</v>
      </c>
      <c r="Y49" s="148">
        <v>0</v>
      </c>
      <c r="Z49" s="148">
        <v>0</v>
      </c>
      <c r="AA49" s="150">
        <v>0</v>
      </c>
    </row>
    <row r="50" spans="1:27" ht="24.95" customHeight="1">
      <c r="A50" s="32" t="e">
        <v>#REF!</v>
      </c>
      <c r="B50" s="139" t="s">
        <v>23</v>
      </c>
      <c r="C50" s="139" t="s">
        <v>54</v>
      </c>
      <c r="D50" s="139" t="s">
        <v>54</v>
      </c>
      <c r="E50" s="139" t="s">
        <v>25</v>
      </c>
      <c r="F50" s="139" t="s">
        <v>34</v>
      </c>
      <c r="G50" s="140"/>
      <c r="H50" s="140"/>
      <c r="I50" s="139" t="s">
        <v>28</v>
      </c>
      <c r="J50" s="140" t="s">
        <v>29</v>
      </c>
      <c r="K50" s="140" t="s">
        <v>91</v>
      </c>
      <c r="L50" s="141">
        <v>141060000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1">
        <v>141060000</v>
      </c>
      <c r="S50" s="141">
        <v>0</v>
      </c>
      <c r="T50" s="141">
        <v>141060000</v>
      </c>
      <c r="U50" s="143">
        <v>0</v>
      </c>
      <c r="V50" s="142">
        <v>0</v>
      </c>
      <c r="W50" s="142">
        <v>0</v>
      </c>
      <c r="X50" s="143">
        <v>0</v>
      </c>
      <c r="Y50" s="142">
        <v>0</v>
      </c>
      <c r="Z50" s="142">
        <v>0</v>
      </c>
      <c r="AA50" s="724">
        <v>0</v>
      </c>
    </row>
    <row r="51" spans="1:27" ht="24.95" customHeight="1">
      <c r="A51" s="32" t="e">
        <v>#REF!</v>
      </c>
      <c r="B51" s="145" t="s">
        <v>23</v>
      </c>
      <c r="C51" s="145" t="s">
        <v>54</v>
      </c>
      <c r="D51" s="145" t="s">
        <v>54</v>
      </c>
      <c r="E51" s="145" t="s">
        <v>25</v>
      </c>
      <c r="F51" s="145" t="s">
        <v>34</v>
      </c>
      <c r="G51" s="145" t="s">
        <v>46</v>
      </c>
      <c r="H51" s="145"/>
      <c r="I51" s="145">
        <v>10</v>
      </c>
      <c r="J51" s="146" t="s">
        <v>29</v>
      </c>
      <c r="K51" s="147" t="s">
        <v>92</v>
      </c>
      <c r="L51" s="148">
        <v>141060000</v>
      </c>
      <c r="M51" s="148"/>
      <c r="N51" s="148"/>
      <c r="O51" s="148"/>
      <c r="P51" s="148"/>
      <c r="Q51" s="148"/>
      <c r="R51" s="148">
        <v>141060000</v>
      </c>
      <c r="S51" s="148">
        <v>0</v>
      </c>
      <c r="T51" s="148">
        <v>141060000</v>
      </c>
      <c r="U51" s="150">
        <v>0</v>
      </c>
      <c r="V51" s="148">
        <v>0</v>
      </c>
      <c r="W51" s="148">
        <v>0</v>
      </c>
      <c r="X51" s="150">
        <v>0</v>
      </c>
      <c r="Y51" s="148">
        <v>0</v>
      </c>
      <c r="Z51" s="148">
        <v>0</v>
      </c>
      <c r="AA51" s="150">
        <v>0</v>
      </c>
    </row>
    <row r="52" spans="1:27" ht="24.95" customHeight="1">
      <c r="A52" s="32" t="e">
        <v>#REF!</v>
      </c>
      <c r="B52" s="139" t="s">
        <v>23</v>
      </c>
      <c r="C52" s="139" t="s">
        <v>54</v>
      </c>
      <c r="D52" s="139" t="s">
        <v>54</v>
      </c>
      <c r="E52" s="139" t="s">
        <v>25</v>
      </c>
      <c r="F52" s="139" t="s">
        <v>36</v>
      </c>
      <c r="G52" s="140"/>
      <c r="H52" s="140"/>
      <c r="I52" s="139" t="s">
        <v>28</v>
      </c>
      <c r="J52" s="140" t="s">
        <v>29</v>
      </c>
      <c r="K52" s="140" t="s">
        <v>93</v>
      </c>
      <c r="L52" s="141">
        <v>418823077</v>
      </c>
      <c r="M52" s="142">
        <v>0</v>
      </c>
      <c r="N52" s="142">
        <v>0</v>
      </c>
      <c r="O52" s="141">
        <v>0</v>
      </c>
      <c r="P52" s="141">
        <v>54623150</v>
      </c>
      <c r="Q52" s="142">
        <v>0</v>
      </c>
      <c r="R52" s="141">
        <v>364199927</v>
      </c>
      <c r="S52" s="141">
        <v>122209037</v>
      </c>
      <c r="T52" s="141">
        <v>241990890</v>
      </c>
      <c r="U52" s="143">
        <v>0.33555480915843239</v>
      </c>
      <c r="V52" s="141">
        <v>73105313.140000015</v>
      </c>
      <c r="W52" s="141">
        <v>49103723.859999999</v>
      </c>
      <c r="X52" s="143">
        <v>0.40180108660867692</v>
      </c>
      <c r="Y52" s="141">
        <v>73105313.140000015</v>
      </c>
      <c r="Z52" s="142">
        <v>0</v>
      </c>
      <c r="AA52" s="724">
        <v>0.59819891339132325</v>
      </c>
    </row>
    <row r="53" spans="1:27" ht="24.95" customHeight="1">
      <c r="A53" s="32" t="e">
        <v>#REF!</v>
      </c>
      <c r="B53" s="145" t="s">
        <v>23</v>
      </c>
      <c r="C53" s="145" t="s">
        <v>54</v>
      </c>
      <c r="D53" s="145" t="s">
        <v>54</v>
      </c>
      <c r="E53" s="145" t="s">
        <v>25</v>
      </c>
      <c r="F53" s="145" t="s">
        <v>36</v>
      </c>
      <c r="G53" s="145" t="s">
        <v>34</v>
      </c>
      <c r="H53" s="145"/>
      <c r="I53" s="145">
        <v>10</v>
      </c>
      <c r="J53" s="146" t="s">
        <v>29</v>
      </c>
      <c r="K53" s="147" t="s">
        <v>94</v>
      </c>
      <c r="L53" s="148">
        <v>195500000</v>
      </c>
      <c r="M53" s="148"/>
      <c r="N53" s="148"/>
      <c r="O53" s="148"/>
      <c r="P53" s="148"/>
      <c r="Q53" s="148"/>
      <c r="R53" s="148">
        <v>195500000</v>
      </c>
      <c r="S53" s="148">
        <v>3500000</v>
      </c>
      <c r="T53" s="148">
        <v>192000000</v>
      </c>
      <c r="U53" s="150">
        <v>1.7902813299232736E-2</v>
      </c>
      <c r="V53" s="148">
        <v>1075525.01</v>
      </c>
      <c r="W53" s="148">
        <v>2424474.9900000002</v>
      </c>
      <c r="X53" s="150">
        <v>0.69270714000000011</v>
      </c>
      <c r="Y53" s="148">
        <v>1075525.01</v>
      </c>
      <c r="Z53" s="148">
        <v>0</v>
      </c>
      <c r="AA53" s="150">
        <v>0.30729286</v>
      </c>
    </row>
    <row r="54" spans="1:27" ht="24.95" customHeight="1">
      <c r="A54" s="32" t="e">
        <v>#REF!</v>
      </c>
      <c r="B54" s="145" t="s">
        <v>23</v>
      </c>
      <c r="C54" s="145" t="s">
        <v>54</v>
      </c>
      <c r="D54" s="145" t="s">
        <v>54</v>
      </c>
      <c r="E54" s="145" t="s">
        <v>25</v>
      </c>
      <c r="F54" s="145" t="s">
        <v>36</v>
      </c>
      <c r="G54" s="145" t="s">
        <v>36</v>
      </c>
      <c r="H54" s="145"/>
      <c r="I54" s="145">
        <v>10</v>
      </c>
      <c r="J54" s="146" t="s">
        <v>29</v>
      </c>
      <c r="K54" s="147" t="s">
        <v>95</v>
      </c>
      <c r="L54" s="148">
        <v>84823077</v>
      </c>
      <c r="M54" s="148"/>
      <c r="N54" s="148"/>
      <c r="O54" s="148"/>
      <c r="P54" s="148">
        <v>20000000</v>
      </c>
      <c r="Q54" s="148"/>
      <c r="R54" s="148">
        <v>64823077</v>
      </c>
      <c r="S54" s="148">
        <v>41220582</v>
      </c>
      <c r="T54" s="148">
        <v>23602495</v>
      </c>
      <c r="U54" s="150">
        <v>0.63589363399087029</v>
      </c>
      <c r="V54" s="148">
        <v>24946845.91</v>
      </c>
      <c r="W54" s="148">
        <v>16273736.09</v>
      </c>
      <c r="X54" s="150">
        <v>0.39479636871696766</v>
      </c>
      <c r="Y54" s="148">
        <v>24946845.91</v>
      </c>
      <c r="Z54" s="148">
        <v>0</v>
      </c>
      <c r="AA54" s="150">
        <v>0.60520363128303234</v>
      </c>
    </row>
    <row r="55" spans="1:27" ht="24.95" customHeight="1">
      <c r="A55" s="32" t="e">
        <v>#REF!</v>
      </c>
      <c r="B55" s="145" t="s">
        <v>23</v>
      </c>
      <c r="C55" s="145" t="s">
        <v>54</v>
      </c>
      <c r="D55" s="145" t="s">
        <v>54</v>
      </c>
      <c r="E55" s="145" t="s">
        <v>25</v>
      </c>
      <c r="F55" s="145" t="s">
        <v>36</v>
      </c>
      <c r="G55" s="145" t="s">
        <v>40</v>
      </c>
      <c r="H55" s="145"/>
      <c r="I55" s="145">
        <v>10</v>
      </c>
      <c r="J55" s="146" t="s">
        <v>29</v>
      </c>
      <c r="K55" s="147" t="s">
        <v>96</v>
      </c>
      <c r="L55" s="148">
        <v>26000000</v>
      </c>
      <c r="M55" s="148"/>
      <c r="N55" s="148"/>
      <c r="O55" s="148"/>
      <c r="P55" s="148"/>
      <c r="Q55" s="148"/>
      <c r="R55" s="148">
        <v>26000000</v>
      </c>
      <c r="S55" s="148">
        <v>6000000</v>
      </c>
      <c r="T55" s="148">
        <v>20000000</v>
      </c>
      <c r="U55" s="150">
        <v>0.23076923076923078</v>
      </c>
      <c r="V55" s="148">
        <v>1893020.02</v>
      </c>
      <c r="W55" s="148">
        <v>4106979.98</v>
      </c>
      <c r="X55" s="150">
        <v>0.68449666333333337</v>
      </c>
      <c r="Y55" s="148">
        <v>1893020.02</v>
      </c>
      <c r="Z55" s="148">
        <v>0</v>
      </c>
      <c r="AA55" s="150">
        <v>0.31550333666666669</v>
      </c>
    </row>
    <row r="56" spans="1:27" ht="24.95" customHeight="1">
      <c r="A56" s="32" t="e">
        <v>#REF!</v>
      </c>
      <c r="B56" s="145" t="s">
        <v>23</v>
      </c>
      <c r="C56" s="145" t="s">
        <v>54</v>
      </c>
      <c r="D56" s="145" t="s">
        <v>54</v>
      </c>
      <c r="E56" s="145" t="s">
        <v>25</v>
      </c>
      <c r="F56" s="145" t="s">
        <v>36</v>
      </c>
      <c r="G56" s="145" t="s">
        <v>42</v>
      </c>
      <c r="H56" s="145"/>
      <c r="I56" s="145">
        <v>10</v>
      </c>
      <c r="J56" s="146" t="s">
        <v>29</v>
      </c>
      <c r="K56" s="147" t="s">
        <v>97</v>
      </c>
      <c r="L56" s="148">
        <v>20000000</v>
      </c>
      <c r="M56" s="148"/>
      <c r="N56" s="148"/>
      <c r="O56" s="148"/>
      <c r="P56" s="148"/>
      <c r="Q56" s="148"/>
      <c r="R56" s="148">
        <v>20000000</v>
      </c>
      <c r="S56" s="148">
        <v>20000000</v>
      </c>
      <c r="T56" s="148">
        <v>0</v>
      </c>
      <c r="U56" s="150">
        <v>1</v>
      </c>
      <c r="V56" s="148">
        <v>7232059.1100000003</v>
      </c>
      <c r="W56" s="148">
        <v>12767940.890000001</v>
      </c>
      <c r="X56" s="150">
        <v>0.63839704450000001</v>
      </c>
      <c r="Y56" s="148">
        <v>7232059.1100000003</v>
      </c>
      <c r="Z56" s="148">
        <v>0</v>
      </c>
      <c r="AA56" s="150">
        <v>0.36160295549999999</v>
      </c>
    </row>
    <row r="57" spans="1:27" ht="24.95" hidden="1" customHeight="1">
      <c r="A57" s="32" t="e">
        <v>#REF!</v>
      </c>
      <c r="B57" s="145" t="s">
        <v>23</v>
      </c>
      <c r="C57" s="145" t="s">
        <v>54</v>
      </c>
      <c r="D57" s="145" t="s">
        <v>54</v>
      </c>
      <c r="E57" s="145" t="s">
        <v>25</v>
      </c>
      <c r="F57" s="145" t="s">
        <v>36</v>
      </c>
      <c r="G57" s="145" t="s">
        <v>44</v>
      </c>
      <c r="H57" s="145"/>
      <c r="I57" s="145">
        <v>10</v>
      </c>
      <c r="J57" s="146" t="s">
        <v>29</v>
      </c>
      <c r="K57" s="147" t="s">
        <v>98</v>
      </c>
      <c r="L57" s="148"/>
      <c r="M57" s="148"/>
      <c r="N57" s="148"/>
      <c r="O57" s="148"/>
      <c r="P57" s="148"/>
      <c r="Q57" s="148"/>
      <c r="R57" s="148">
        <v>0</v>
      </c>
      <c r="S57" s="148">
        <v>0</v>
      </c>
      <c r="T57" s="148">
        <v>0</v>
      </c>
      <c r="U57" s="150">
        <v>0</v>
      </c>
      <c r="V57" s="148">
        <v>0</v>
      </c>
      <c r="W57" s="148">
        <v>0</v>
      </c>
      <c r="X57" s="150">
        <v>0</v>
      </c>
      <c r="Y57" s="148">
        <v>0</v>
      </c>
      <c r="Z57" s="148">
        <v>0</v>
      </c>
      <c r="AA57" s="150">
        <v>0</v>
      </c>
    </row>
    <row r="58" spans="1:27" ht="24.95" customHeight="1">
      <c r="A58" s="32" t="e">
        <v>#REF!</v>
      </c>
      <c r="B58" s="145" t="s">
        <v>23</v>
      </c>
      <c r="C58" s="145" t="s">
        <v>54</v>
      </c>
      <c r="D58" s="145" t="s">
        <v>54</v>
      </c>
      <c r="E58" s="145" t="s">
        <v>25</v>
      </c>
      <c r="F58" s="145" t="s">
        <v>36</v>
      </c>
      <c r="G58" s="145" t="s">
        <v>46</v>
      </c>
      <c r="H58" s="145"/>
      <c r="I58" s="145">
        <v>10</v>
      </c>
      <c r="J58" s="146" t="s">
        <v>29</v>
      </c>
      <c r="K58" s="147" t="s">
        <v>99</v>
      </c>
      <c r="L58" s="148">
        <v>92500000</v>
      </c>
      <c r="M58" s="148"/>
      <c r="N58" s="148"/>
      <c r="O58" s="148"/>
      <c r="P58" s="148">
        <v>34623150</v>
      </c>
      <c r="Q58" s="148"/>
      <c r="R58" s="148">
        <v>57876850</v>
      </c>
      <c r="S58" s="148">
        <v>51488455</v>
      </c>
      <c r="T58" s="148">
        <v>6388395</v>
      </c>
      <c r="U58" s="150">
        <v>0.88962089332781591</v>
      </c>
      <c r="V58" s="148">
        <v>37957863.090000004</v>
      </c>
      <c r="W58" s="148">
        <v>13530591.909999996</v>
      </c>
      <c r="X58" s="150">
        <v>0.26278885062680551</v>
      </c>
      <c r="Y58" s="148">
        <v>37957863.090000004</v>
      </c>
      <c r="Z58" s="148">
        <v>0</v>
      </c>
      <c r="AA58" s="150">
        <v>0.73721114937319454</v>
      </c>
    </row>
    <row r="59" spans="1:27" ht="24.95" customHeight="1">
      <c r="A59" s="32" t="e">
        <v>#REF!</v>
      </c>
      <c r="B59" s="139" t="s">
        <v>23</v>
      </c>
      <c r="C59" s="139" t="s">
        <v>54</v>
      </c>
      <c r="D59" s="139" t="s">
        <v>54</v>
      </c>
      <c r="E59" s="139" t="s">
        <v>25</v>
      </c>
      <c r="F59" s="139" t="s">
        <v>38</v>
      </c>
      <c r="G59" s="140"/>
      <c r="H59" s="140"/>
      <c r="I59" s="139" t="s">
        <v>28</v>
      </c>
      <c r="J59" s="140" t="s">
        <v>29</v>
      </c>
      <c r="K59" s="140" t="s">
        <v>100</v>
      </c>
      <c r="L59" s="141">
        <v>73000000</v>
      </c>
      <c r="M59" s="142">
        <v>0</v>
      </c>
      <c r="N59" s="142">
        <v>0</v>
      </c>
      <c r="O59" s="141">
        <v>65293908</v>
      </c>
      <c r="P59" s="141">
        <v>36000000</v>
      </c>
      <c r="Q59" s="142">
        <v>0</v>
      </c>
      <c r="R59" s="141">
        <v>102293908</v>
      </c>
      <c r="S59" s="141">
        <v>8000000</v>
      </c>
      <c r="T59" s="141">
        <v>94293908</v>
      </c>
      <c r="U59" s="143">
        <v>7.820602571953747E-2</v>
      </c>
      <c r="V59" s="142">
        <v>0</v>
      </c>
      <c r="W59" s="141">
        <v>8000000</v>
      </c>
      <c r="X59" s="143">
        <v>1</v>
      </c>
      <c r="Y59" s="142">
        <v>0</v>
      </c>
      <c r="Z59" s="142">
        <v>0</v>
      </c>
      <c r="AA59" s="724">
        <v>0</v>
      </c>
    </row>
    <row r="60" spans="1:27" ht="24.95" customHeight="1">
      <c r="A60" s="32" t="e">
        <v>#REF!</v>
      </c>
      <c r="B60" s="145" t="s">
        <v>23</v>
      </c>
      <c r="C60" s="145" t="s">
        <v>54</v>
      </c>
      <c r="D60" s="145" t="s">
        <v>54</v>
      </c>
      <c r="E60" s="145" t="s">
        <v>25</v>
      </c>
      <c r="F60" s="145" t="s">
        <v>38</v>
      </c>
      <c r="G60" s="145" t="s">
        <v>34</v>
      </c>
      <c r="H60" s="145"/>
      <c r="I60" s="145">
        <v>10</v>
      </c>
      <c r="J60" s="146" t="s">
        <v>29</v>
      </c>
      <c r="K60" s="147" t="s">
        <v>101</v>
      </c>
      <c r="L60" s="148"/>
      <c r="M60" s="148"/>
      <c r="N60" s="148"/>
      <c r="O60" s="149">
        <v>23000000</v>
      </c>
      <c r="P60" s="148"/>
      <c r="Q60" s="148"/>
      <c r="R60" s="148">
        <v>23000000</v>
      </c>
      <c r="S60" s="148">
        <v>0</v>
      </c>
      <c r="T60" s="148">
        <v>23000000</v>
      </c>
      <c r="U60" s="150">
        <v>0</v>
      </c>
      <c r="V60" s="148">
        <v>0</v>
      </c>
      <c r="W60" s="148">
        <v>0</v>
      </c>
      <c r="X60" s="150">
        <v>0</v>
      </c>
      <c r="Y60" s="148">
        <v>0</v>
      </c>
      <c r="Z60" s="148">
        <v>0</v>
      </c>
      <c r="AA60" s="150">
        <v>0</v>
      </c>
    </row>
    <row r="61" spans="1:27" ht="24.95" customHeight="1">
      <c r="A61" s="32" t="e">
        <v>#REF!</v>
      </c>
      <c r="B61" s="145" t="s">
        <v>23</v>
      </c>
      <c r="C61" s="145" t="s">
        <v>54</v>
      </c>
      <c r="D61" s="145" t="s">
        <v>54</v>
      </c>
      <c r="E61" s="145" t="s">
        <v>25</v>
      </c>
      <c r="F61" s="145" t="s">
        <v>38</v>
      </c>
      <c r="G61" s="145" t="s">
        <v>40</v>
      </c>
      <c r="H61" s="145"/>
      <c r="I61" s="145">
        <v>10</v>
      </c>
      <c r="J61" s="146" t="s">
        <v>29</v>
      </c>
      <c r="K61" s="147" t="s">
        <v>102</v>
      </c>
      <c r="L61" s="148">
        <v>10000000</v>
      </c>
      <c r="M61" s="148"/>
      <c r="N61" s="148"/>
      <c r="O61" s="148"/>
      <c r="P61" s="148">
        <v>9000000</v>
      </c>
      <c r="Q61" s="148"/>
      <c r="R61" s="148">
        <v>1000000</v>
      </c>
      <c r="S61" s="148">
        <v>0</v>
      </c>
      <c r="T61" s="148">
        <v>1000000</v>
      </c>
      <c r="U61" s="150">
        <v>0</v>
      </c>
      <c r="V61" s="148">
        <v>0</v>
      </c>
      <c r="W61" s="148">
        <v>0</v>
      </c>
      <c r="X61" s="150">
        <v>0</v>
      </c>
      <c r="Y61" s="148">
        <v>0</v>
      </c>
      <c r="Z61" s="148">
        <v>0</v>
      </c>
      <c r="AA61" s="150">
        <v>0</v>
      </c>
    </row>
    <row r="62" spans="1:27" ht="24.95" customHeight="1">
      <c r="A62" s="32" t="e">
        <v>#REF!</v>
      </c>
      <c r="B62" s="145" t="s">
        <v>23</v>
      </c>
      <c r="C62" s="145" t="s">
        <v>54</v>
      </c>
      <c r="D62" s="145" t="s">
        <v>54</v>
      </c>
      <c r="E62" s="145" t="s">
        <v>25</v>
      </c>
      <c r="F62" s="145" t="s">
        <v>38</v>
      </c>
      <c r="G62" s="145" t="s">
        <v>42</v>
      </c>
      <c r="H62" s="145"/>
      <c r="I62" s="145">
        <v>10</v>
      </c>
      <c r="J62" s="146" t="s">
        <v>29</v>
      </c>
      <c r="K62" s="147" t="s">
        <v>84</v>
      </c>
      <c r="L62" s="148">
        <v>28000000</v>
      </c>
      <c r="M62" s="148"/>
      <c r="N62" s="148"/>
      <c r="O62" s="148"/>
      <c r="P62" s="148">
        <v>20000000</v>
      </c>
      <c r="Q62" s="148"/>
      <c r="R62" s="148">
        <v>8000000</v>
      </c>
      <c r="S62" s="148">
        <v>8000000</v>
      </c>
      <c r="T62" s="148">
        <v>0</v>
      </c>
      <c r="U62" s="150">
        <v>1</v>
      </c>
      <c r="V62" s="148">
        <v>0</v>
      </c>
      <c r="W62" s="148">
        <v>8000000</v>
      </c>
      <c r="X62" s="150">
        <v>1</v>
      </c>
      <c r="Y62" s="148">
        <v>0</v>
      </c>
      <c r="Z62" s="148">
        <v>0</v>
      </c>
      <c r="AA62" s="150">
        <v>0</v>
      </c>
    </row>
    <row r="63" spans="1:27" ht="24.95" customHeight="1">
      <c r="A63" s="32" t="e">
        <v>#REF!</v>
      </c>
      <c r="B63" s="145" t="s">
        <v>23</v>
      </c>
      <c r="C63" s="145" t="s">
        <v>54</v>
      </c>
      <c r="D63" s="145" t="s">
        <v>54</v>
      </c>
      <c r="E63" s="145" t="s">
        <v>25</v>
      </c>
      <c r="F63" s="145" t="s">
        <v>38</v>
      </c>
      <c r="G63" s="145" t="s">
        <v>44</v>
      </c>
      <c r="H63" s="145"/>
      <c r="I63" s="145">
        <v>10</v>
      </c>
      <c r="J63" s="146" t="s">
        <v>29</v>
      </c>
      <c r="K63" s="147" t="s">
        <v>85</v>
      </c>
      <c r="L63" s="148">
        <v>35000000</v>
      </c>
      <c r="M63" s="148"/>
      <c r="N63" s="148"/>
      <c r="O63" s="149">
        <v>42293908</v>
      </c>
      <c r="P63" s="148">
        <v>7000000</v>
      </c>
      <c r="Q63" s="148"/>
      <c r="R63" s="148">
        <v>70293908</v>
      </c>
      <c r="S63" s="148">
        <v>0</v>
      </c>
      <c r="T63" s="148">
        <v>70293908</v>
      </c>
      <c r="U63" s="150">
        <v>0</v>
      </c>
      <c r="V63" s="148">
        <v>0</v>
      </c>
      <c r="W63" s="148">
        <v>0</v>
      </c>
      <c r="X63" s="150">
        <v>0</v>
      </c>
      <c r="Y63" s="148">
        <v>0</v>
      </c>
      <c r="Z63" s="148">
        <v>0</v>
      </c>
      <c r="AA63" s="150">
        <v>0</v>
      </c>
    </row>
    <row r="64" spans="1:27" ht="24.95" hidden="1" customHeight="1">
      <c r="A64" s="32" t="e">
        <v>#REF!</v>
      </c>
      <c r="B64" s="145" t="s">
        <v>23</v>
      </c>
      <c r="C64" s="145" t="s">
        <v>54</v>
      </c>
      <c r="D64" s="145" t="s">
        <v>54</v>
      </c>
      <c r="E64" s="145" t="s">
        <v>25</v>
      </c>
      <c r="F64" s="145" t="s">
        <v>38</v>
      </c>
      <c r="G64" s="145" t="s">
        <v>46</v>
      </c>
      <c r="H64" s="145"/>
      <c r="I64" s="145">
        <v>10</v>
      </c>
      <c r="J64" s="146" t="s">
        <v>29</v>
      </c>
      <c r="K64" s="147" t="s">
        <v>258</v>
      </c>
      <c r="L64" s="148"/>
      <c r="M64" s="148"/>
      <c r="N64" s="148"/>
      <c r="O64" s="148"/>
      <c r="P64" s="148"/>
      <c r="Q64" s="148"/>
      <c r="R64" s="148">
        <v>0</v>
      </c>
      <c r="S64" s="148">
        <v>0</v>
      </c>
      <c r="T64" s="148">
        <v>0</v>
      </c>
      <c r="U64" s="150">
        <v>0</v>
      </c>
      <c r="V64" s="148">
        <v>0</v>
      </c>
      <c r="W64" s="148">
        <v>0</v>
      </c>
      <c r="X64" s="150">
        <v>0</v>
      </c>
      <c r="Y64" s="148">
        <v>0</v>
      </c>
      <c r="Z64" s="148">
        <v>0</v>
      </c>
      <c r="AA64" s="150">
        <v>0</v>
      </c>
    </row>
    <row r="65" spans="1:27" ht="24.95" customHeight="1">
      <c r="A65" s="32" t="e">
        <v>#REF!</v>
      </c>
      <c r="B65" s="133" t="s">
        <v>23</v>
      </c>
      <c r="C65" s="133" t="s">
        <v>54</v>
      </c>
      <c r="D65" s="133" t="s">
        <v>54</v>
      </c>
      <c r="E65" s="133" t="s">
        <v>54</v>
      </c>
      <c r="F65" s="133"/>
      <c r="G65" s="134"/>
      <c r="H65" s="134"/>
      <c r="I65" s="133" t="s">
        <v>28</v>
      </c>
      <c r="J65" s="134" t="s">
        <v>29</v>
      </c>
      <c r="K65" s="134" t="s">
        <v>103</v>
      </c>
      <c r="L65" s="135">
        <v>41633116923</v>
      </c>
      <c r="M65" s="136">
        <v>0</v>
      </c>
      <c r="N65" s="136">
        <v>0</v>
      </c>
      <c r="O65" s="727">
        <v>1577824658.1300001</v>
      </c>
      <c r="P65" s="727">
        <v>1558495416.1300001</v>
      </c>
      <c r="Q65" s="136">
        <v>0</v>
      </c>
      <c r="R65" s="135">
        <v>41652446165</v>
      </c>
      <c r="S65" s="135">
        <v>36926633052.839996</v>
      </c>
      <c r="T65" s="135">
        <v>4725813112.1599998</v>
      </c>
      <c r="U65" s="137">
        <v>0.88654176291497033</v>
      </c>
      <c r="V65" s="135">
        <v>22848660756.889999</v>
      </c>
      <c r="W65" s="135">
        <v>14077972295.950001</v>
      </c>
      <c r="X65" s="137">
        <v>0.38124169825624749</v>
      </c>
      <c r="Y65" s="135">
        <v>22527170713.889999</v>
      </c>
      <c r="Z65" s="135">
        <v>321490043</v>
      </c>
      <c r="AA65" s="723">
        <v>0.6100521182544546</v>
      </c>
    </row>
    <row r="66" spans="1:27" ht="24.95" customHeight="1">
      <c r="A66" s="32" t="e">
        <v>#REF!</v>
      </c>
      <c r="B66" s="139" t="s">
        <v>23</v>
      </c>
      <c r="C66" s="139" t="s">
        <v>54</v>
      </c>
      <c r="D66" s="139" t="s">
        <v>54</v>
      </c>
      <c r="E66" s="139" t="s">
        <v>54</v>
      </c>
      <c r="F66" s="139" t="s">
        <v>42</v>
      </c>
      <c r="G66" s="140"/>
      <c r="H66" s="140"/>
      <c r="I66" s="139" t="s">
        <v>28</v>
      </c>
      <c r="J66" s="140" t="s">
        <v>29</v>
      </c>
      <c r="K66" s="140" t="s">
        <v>104</v>
      </c>
      <c r="L66" s="141">
        <v>4648096573</v>
      </c>
      <c r="M66" s="142">
        <v>0</v>
      </c>
      <c r="N66" s="142">
        <v>0</v>
      </c>
      <c r="O66" s="141">
        <v>202205305</v>
      </c>
      <c r="P66" s="141">
        <v>119957553</v>
      </c>
      <c r="Q66" s="142">
        <v>0</v>
      </c>
      <c r="R66" s="141">
        <v>4730344325</v>
      </c>
      <c r="S66" s="141">
        <v>3631865228</v>
      </c>
      <c r="T66" s="141">
        <v>1098479097</v>
      </c>
      <c r="U66" s="143">
        <v>0.76778030910043737</v>
      </c>
      <c r="V66" s="141">
        <v>2621056088.96</v>
      </c>
      <c r="W66" s="141">
        <v>1010809139.04</v>
      </c>
      <c r="X66" s="143">
        <v>0.27831680846721107</v>
      </c>
      <c r="Y66" s="141">
        <v>2618867915.96</v>
      </c>
      <c r="Z66" s="141">
        <v>2188173</v>
      </c>
      <c r="AA66" s="724">
        <v>0.7210806986365409</v>
      </c>
    </row>
    <row r="67" spans="1:27" ht="24.95" customHeight="1">
      <c r="A67" s="32" t="e">
        <v>#REF!</v>
      </c>
      <c r="B67" s="145" t="s">
        <v>23</v>
      </c>
      <c r="C67" s="145" t="s">
        <v>54</v>
      </c>
      <c r="D67" s="145" t="s">
        <v>54</v>
      </c>
      <c r="E67" s="145" t="s">
        <v>54</v>
      </c>
      <c r="F67" s="145" t="s">
        <v>42</v>
      </c>
      <c r="G67" s="145" t="s">
        <v>36</v>
      </c>
      <c r="H67" s="145"/>
      <c r="I67" s="145">
        <v>10</v>
      </c>
      <c r="J67" s="146" t="s">
        <v>29</v>
      </c>
      <c r="K67" s="147" t="s">
        <v>105</v>
      </c>
      <c r="L67" s="148">
        <v>12000000</v>
      </c>
      <c r="M67" s="148"/>
      <c r="N67" s="148"/>
      <c r="O67" s="148">
        <v>104342700</v>
      </c>
      <c r="P67" s="148"/>
      <c r="Q67" s="148"/>
      <c r="R67" s="148">
        <v>116342700</v>
      </c>
      <c r="S67" s="148">
        <v>2000000</v>
      </c>
      <c r="T67" s="148">
        <v>114342700</v>
      </c>
      <c r="U67" s="150">
        <v>1.7190592963718394E-2</v>
      </c>
      <c r="V67" s="148">
        <v>2000000</v>
      </c>
      <c r="W67" s="148">
        <v>0</v>
      </c>
      <c r="X67" s="150">
        <v>0</v>
      </c>
      <c r="Y67" s="148">
        <v>2000000</v>
      </c>
      <c r="Z67" s="148">
        <v>0</v>
      </c>
      <c r="AA67" s="150">
        <v>1</v>
      </c>
    </row>
    <row r="68" spans="1:27" ht="24.95" customHeight="1">
      <c r="A68" s="32" t="e">
        <v>#REF!</v>
      </c>
      <c r="B68" s="145" t="s">
        <v>23</v>
      </c>
      <c r="C68" s="145" t="s">
        <v>54</v>
      </c>
      <c r="D68" s="145" t="s">
        <v>54</v>
      </c>
      <c r="E68" s="145" t="s">
        <v>54</v>
      </c>
      <c r="F68" s="145" t="s">
        <v>42</v>
      </c>
      <c r="G68" s="145" t="s">
        <v>38</v>
      </c>
      <c r="H68" s="145"/>
      <c r="I68" s="145">
        <v>10</v>
      </c>
      <c r="J68" s="146" t="s">
        <v>29</v>
      </c>
      <c r="K68" s="147" t="s">
        <v>106</v>
      </c>
      <c r="L68" s="148">
        <v>1885720708</v>
      </c>
      <c r="M68" s="148"/>
      <c r="N68" s="148"/>
      <c r="O68" s="148">
        <v>97862605</v>
      </c>
      <c r="P68" s="148"/>
      <c r="Q68" s="148"/>
      <c r="R68" s="148">
        <v>1983583313</v>
      </c>
      <c r="S68" s="148">
        <v>1609983345</v>
      </c>
      <c r="T68" s="148">
        <v>373599968</v>
      </c>
      <c r="U68" s="150">
        <v>0.81165400739585669</v>
      </c>
      <c r="V68" s="148">
        <v>901876241</v>
      </c>
      <c r="W68" s="148">
        <v>708107104</v>
      </c>
      <c r="X68" s="150">
        <v>0.43982262686077661</v>
      </c>
      <c r="Y68" s="148">
        <v>901876241</v>
      </c>
      <c r="Z68" s="148">
        <v>0</v>
      </c>
      <c r="AA68" s="150">
        <v>0.56017737313922333</v>
      </c>
    </row>
    <row r="69" spans="1:27" ht="24.95" customHeight="1">
      <c r="A69" s="32" t="e">
        <v>#REF!</v>
      </c>
      <c r="B69" s="145" t="s">
        <v>23</v>
      </c>
      <c r="C69" s="145" t="s">
        <v>54</v>
      </c>
      <c r="D69" s="145" t="s">
        <v>54</v>
      </c>
      <c r="E69" s="145" t="s">
        <v>54</v>
      </c>
      <c r="F69" s="145" t="s">
        <v>42</v>
      </c>
      <c r="G69" s="145" t="s">
        <v>40</v>
      </c>
      <c r="H69" s="145"/>
      <c r="I69" s="145">
        <v>10</v>
      </c>
      <c r="J69" s="146" t="s">
        <v>29</v>
      </c>
      <c r="K69" s="147" t="s">
        <v>107</v>
      </c>
      <c r="L69" s="148">
        <v>62000000</v>
      </c>
      <c r="M69" s="148"/>
      <c r="N69" s="148"/>
      <c r="O69" s="148"/>
      <c r="P69" s="148"/>
      <c r="Q69" s="148"/>
      <c r="R69" s="148">
        <v>62000000</v>
      </c>
      <c r="S69" s="148">
        <v>53170000</v>
      </c>
      <c r="T69" s="148">
        <v>8830000</v>
      </c>
      <c r="U69" s="150">
        <v>0.85758064516129029</v>
      </c>
      <c r="V69" s="148">
        <v>20897481</v>
      </c>
      <c r="W69" s="148">
        <v>32272519</v>
      </c>
      <c r="X69" s="150">
        <v>0.60696857250329128</v>
      </c>
      <c r="Y69" s="148">
        <v>20897481</v>
      </c>
      <c r="Z69" s="148">
        <v>0</v>
      </c>
      <c r="AA69" s="150">
        <v>0.39303142749670866</v>
      </c>
    </row>
    <row r="70" spans="1:27" ht="24.95" hidden="1" customHeight="1">
      <c r="A70" s="32" t="e">
        <v>#REF!</v>
      </c>
      <c r="B70" s="145" t="s">
        <v>23</v>
      </c>
      <c r="C70" s="145" t="s">
        <v>54</v>
      </c>
      <c r="D70" s="145" t="s">
        <v>54</v>
      </c>
      <c r="E70" s="145" t="s">
        <v>54</v>
      </c>
      <c r="F70" s="145" t="s">
        <v>42</v>
      </c>
      <c r="G70" s="145" t="s">
        <v>42</v>
      </c>
      <c r="H70" s="145"/>
      <c r="I70" s="145">
        <v>10</v>
      </c>
      <c r="J70" s="146" t="s">
        <v>29</v>
      </c>
      <c r="K70" s="147" t="s">
        <v>259</v>
      </c>
      <c r="L70" s="148"/>
      <c r="M70" s="148"/>
      <c r="N70" s="148"/>
      <c r="O70" s="148"/>
      <c r="P70" s="148"/>
      <c r="Q70" s="148"/>
      <c r="R70" s="148">
        <v>0</v>
      </c>
      <c r="S70" s="148">
        <v>0</v>
      </c>
      <c r="T70" s="148">
        <v>0</v>
      </c>
      <c r="U70" s="150">
        <v>0</v>
      </c>
      <c r="V70" s="148">
        <v>0</v>
      </c>
      <c r="W70" s="148">
        <v>0</v>
      </c>
      <c r="X70" s="150">
        <v>0</v>
      </c>
      <c r="Y70" s="148">
        <v>0</v>
      </c>
      <c r="Z70" s="148">
        <v>0</v>
      </c>
      <c r="AA70" s="150">
        <v>0</v>
      </c>
    </row>
    <row r="71" spans="1:27" ht="24.95" customHeight="1">
      <c r="A71" s="32" t="e">
        <v>#REF!</v>
      </c>
      <c r="B71" s="145" t="s">
        <v>23</v>
      </c>
      <c r="C71" s="145" t="s">
        <v>54</v>
      </c>
      <c r="D71" s="145" t="s">
        <v>54</v>
      </c>
      <c r="E71" s="145" t="s">
        <v>54</v>
      </c>
      <c r="F71" s="145" t="s">
        <v>42</v>
      </c>
      <c r="G71" s="145" t="s">
        <v>46</v>
      </c>
      <c r="H71" s="145"/>
      <c r="I71" s="145">
        <v>10</v>
      </c>
      <c r="J71" s="146" t="s">
        <v>29</v>
      </c>
      <c r="K71" s="147" t="s">
        <v>108</v>
      </c>
      <c r="L71" s="148">
        <v>1588375865</v>
      </c>
      <c r="M71" s="148"/>
      <c r="N71" s="148"/>
      <c r="O71" s="148"/>
      <c r="P71" s="148">
        <v>119957553</v>
      </c>
      <c r="Q71" s="148"/>
      <c r="R71" s="148">
        <v>1468418312</v>
      </c>
      <c r="S71" s="148">
        <v>1462418312</v>
      </c>
      <c r="T71" s="148">
        <v>6000000</v>
      </c>
      <c r="U71" s="150">
        <v>0.99591397086854094</v>
      </c>
      <c r="V71" s="148">
        <v>1192165517</v>
      </c>
      <c r="W71" s="148">
        <v>270252795</v>
      </c>
      <c r="X71" s="150">
        <v>0.1847985578287808</v>
      </c>
      <c r="Y71" s="148">
        <v>1192165517</v>
      </c>
      <c r="Z71" s="148">
        <v>0</v>
      </c>
      <c r="AA71" s="150">
        <v>0.81520144217121915</v>
      </c>
    </row>
    <row r="72" spans="1:27" ht="24.95" customHeight="1">
      <c r="A72" s="32" t="e">
        <v>#REF!</v>
      </c>
      <c r="B72" s="145" t="s">
        <v>23</v>
      </c>
      <c r="C72" s="145" t="s">
        <v>54</v>
      </c>
      <c r="D72" s="145" t="s">
        <v>54</v>
      </c>
      <c r="E72" s="145" t="s">
        <v>54</v>
      </c>
      <c r="F72" s="145" t="s">
        <v>42</v>
      </c>
      <c r="G72" s="145" t="s">
        <v>48</v>
      </c>
      <c r="H72" s="145"/>
      <c r="I72" s="145">
        <v>10</v>
      </c>
      <c r="J72" s="146" t="s">
        <v>29</v>
      </c>
      <c r="K72" s="147" t="s">
        <v>109</v>
      </c>
      <c r="L72" s="148">
        <v>1100000000</v>
      </c>
      <c r="M72" s="148"/>
      <c r="N72" s="148"/>
      <c r="O72" s="148"/>
      <c r="P72" s="148"/>
      <c r="Q72" s="148"/>
      <c r="R72" s="148">
        <v>1100000000</v>
      </c>
      <c r="S72" s="148">
        <v>504293571</v>
      </c>
      <c r="T72" s="148">
        <v>595706429</v>
      </c>
      <c r="U72" s="150">
        <v>0.4584487009090909</v>
      </c>
      <c r="V72" s="148">
        <v>504116849.95999998</v>
      </c>
      <c r="W72" s="148">
        <v>176721.04000002146</v>
      </c>
      <c r="X72" s="150">
        <v>3.5043286324191797E-4</v>
      </c>
      <c r="Y72" s="148">
        <v>501928676.95999998</v>
      </c>
      <c r="Z72" s="148">
        <v>2188173</v>
      </c>
      <c r="AA72" s="150">
        <v>0.99531048148143053</v>
      </c>
    </row>
    <row r="73" spans="1:27" ht="24.95" customHeight="1">
      <c r="A73" s="32" t="e">
        <v>#REF!</v>
      </c>
      <c r="B73" s="139" t="s">
        <v>23</v>
      </c>
      <c r="C73" s="139" t="s">
        <v>54</v>
      </c>
      <c r="D73" s="139" t="s">
        <v>54</v>
      </c>
      <c r="E73" s="139" t="s">
        <v>54</v>
      </c>
      <c r="F73" s="139" t="s">
        <v>44</v>
      </c>
      <c r="G73" s="140"/>
      <c r="H73" s="140"/>
      <c r="I73" s="139" t="s">
        <v>28</v>
      </c>
      <c r="J73" s="140" t="s">
        <v>29</v>
      </c>
      <c r="K73" s="140" t="s">
        <v>110</v>
      </c>
      <c r="L73" s="141">
        <v>15081981155</v>
      </c>
      <c r="M73" s="142">
        <v>0</v>
      </c>
      <c r="N73" s="142">
        <v>0</v>
      </c>
      <c r="O73" s="141">
        <v>43983435</v>
      </c>
      <c r="P73" s="141">
        <v>189023435</v>
      </c>
      <c r="Q73" s="142">
        <v>0</v>
      </c>
      <c r="R73" s="141">
        <v>14936941155</v>
      </c>
      <c r="S73" s="141">
        <v>14777195704</v>
      </c>
      <c r="T73" s="141">
        <v>159745451</v>
      </c>
      <c r="U73" s="143">
        <v>0.98930534375530244</v>
      </c>
      <c r="V73" s="141">
        <v>8761962480</v>
      </c>
      <c r="W73" s="141">
        <v>6015233224</v>
      </c>
      <c r="X73" s="143">
        <v>0.40706189080054966</v>
      </c>
      <c r="Y73" s="141">
        <v>8761764780</v>
      </c>
      <c r="Z73" s="141">
        <v>197700</v>
      </c>
      <c r="AA73" s="724">
        <v>0.59292473047699445</v>
      </c>
    </row>
    <row r="74" spans="1:27" ht="24.95" customHeight="1">
      <c r="A74" s="32" t="e">
        <v>#REF!</v>
      </c>
      <c r="B74" s="145" t="s">
        <v>23</v>
      </c>
      <c r="C74" s="145" t="s">
        <v>54</v>
      </c>
      <c r="D74" s="145" t="s">
        <v>54</v>
      </c>
      <c r="E74" s="145" t="s">
        <v>54</v>
      </c>
      <c r="F74" s="145" t="s">
        <v>44</v>
      </c>
      <c r="G74" s="145" t="s">
        <v>31</v>
      </c>
      <c r="H74" s="145"/>
      <c r="I74" s="145">
        <v>10</v>
      </c>
      <c r="J74" s="146" t="s">
        <v>29</v>
      </c>
      <c r="K74" s="147" t="s">
        <v>111</v>
      </c>
      <c r="L74" s="148">
        <v>520000000</v>
      </c>
      <c r="M74" s="148"/>
      <c r="N74" s="148"/>
      <c r="O74" s="148">
        <v>43983435</v>
      </c>
      <c r="P74" s="148">
        <v>189023435</v>
      </c>
      <c r="Q74" s="148"/>
      <c r="R74" s="148">
        <v>374960000</v>
      </c>
      <c r="S74" s="148">
        <v>340687714</v>
      </c>
      <c r="T74" s="148">
        <v>34272286</v>
      </c>
      <c r="U74" s="150">
        <v>0.90859748773202476</v>
      </c>
      <c r="V74" s="148">
        <v>305175678</v>
      </c>
      <c r="W74" s="148">
        <v>35512036</v>
      </c>
      <c r="X74" s="150">
        <v>0.10423632711333992</v>
      </c>
      <c r="Y74" s="148">
        <v>304977978</v>
      </c>
      <c r="Z74" s="148">
        <v>197700</v>
      </c>
      <c r="AA74" s="150">
        <v>0.89518337605799314</v>
      </c>
    </row>
    <row r="75" spans="1:27" ht="24.95" customHeight="1">
      <c r="A75" s="32" t="e">
        <v>#REF!</v>
      </c>
      <c r="B75" s="145" t="s">
        <v>23</v>
      </c>
      <c r="C75" s="145" t="s">
        <v>54</v>
      </c>
      <c r="D75" s="145" t="s">
        <v>54</v>
      </c>
      <c r="E75" s="145" t="s">
        <v>54</v>
      </c>
      <c r="F75" s="145" t="s">
        <v>44</v>
      </c>
      <c r="G75" s="145" t="s">
        <v>34</v>
      </c>
      <c r="H75" s="145"/>
      <c r="I75" s="145">
        <v>10</v>
      </c>
      <c r="J75" s="146" t="s">
        <v>29</v>
      </c>
      <c r="K75" s="147" t="s">
        <v>112</v>
      </c>
      <c r="L75" s="148">
        <v>14561981155</v>
      </c>
      <c r="M75" s="148"/>
      <c r="N75" s="148"/>
      <c r="O75" s="148"/>
      <c r="P75" s="148"/>
      <c r="Q75" s="148"/>
      <c r="R75" s="148">
        <v>14561981155</v>
      </c>
      <c r="S75" s="148">
        <v>14436507990</v>
      </c>
      <c r="T75" s="148">
        <v>125473165</v>
      </c>
      <c r="U75" s="150">
        <v>0.99138351000015423</v>
      </c>
      <c r="V75" s="148">
        <v>8456786802</v>
      </c>
      <c r="W75" s="148">
        <v>5979721188</v>
      </c>
      <c r="X75" s="150">
        <v>0.41420828306555041</v>
      </c>
      <c r="Y75" s="148">
        <v>8456786802</v>
      </c>
      <c r="Z75" s="148">
        <v>0</v>
      </c>
      <c r="AA75" s="150">
        <v>0.58579171693444965</v>
      </c>
    </row>
    <row r="76" spans="1:27" ht="24.95" customHeight="1">
      <c r="A76" s="32" t="e">
        <v>#REF!</v>
      </c>
      <c r="B76" s="139" t="s">
        <v>23</v>
      </c>
      <c r="C76" s="139" t="s">
        <v>54</v>
      </c>
      <c r="D76" s="139" t="s">
        <v>54</v>
      </c>
      <c r="E76" s="139" t="s">
        <v>54</v>
      </c>
      <c r="F76" s="139" t="s">
        <v>46</v>
      </c>
      <c r="G76" s="140"/>
      <c r="H76" s="140"/>
      <c r="I76" s="139" t="s">
        <v>28</v>
      </c>
      <c r="J76" s="140" t="s">
        <v>29</v>
      </c>
      <c r="K76" s="140" t="s">
        <v>113</v>
      </c>
      <c r="L76" s="141">
        <v>18842006651</v>
      </c>
      <c r="M76" s="142">
        <v>0</v>
      </c>
      <c r="N76" s="142">
        <v>0</v>
      </c>
      <c r="O76" s="141">
        <v>1326519936.1300001</v>
      </c>
      <c r="P76" s="141">
        <v>1168588023.1300001</v>
      </c>
      <c r="Q76" s="142">
        <v>0</v>
      </c>
      <c r="R76" s="141">
        <v>18999938564</v>
      </c>
      <c r="S76" s="141">
        <v>16326866765.84</v>
      </c>
      <c r="T76" s="141">
        <v>2673071798.1599994</v>
      </c>
      <c r="U76" s="143">
        <v>0.85931155571077567</v>
      </c>
      <c r="V76" s="141">
        <v>10194946325.040001</v>
      </c>
      <c r="W76" s="141">
        <v>6131920440.8000002</v>
      </c>
      <c r="X76" s="143">
        <v>0.37557239418585525</v>
      </c>
      <c r="Y76" s="141">
        <v>9880576107.0400009</v>
      </c>
      <c r="Z76" s="141">
        <v>314370218</v>
      </c>
      <c r="AA76" s="724">
        <v>0.60517282640614822</v>
      </c>
    </row>
    <row r="77" spans="1:27" ht="24.95" customHeight="1">
      <c r="A77" s="32" t="e">
        <v>#REF!</v>
      </c>
      <c r="B77" s="145" t="s">
        <v>23</v>
      </c>
      <c r="C77" s="145" t="s">
        <v>54</v>
      </c>
      <c r="D77" s="145" t="s">
        <v>54</v>
      </c>
      <c r="E77" s="145" t="s">
        <v>54</v>
      </c>
      <c r="F77" s="145" t="s">
        <v>46</v>
      </c>
      <c r="G77" s="145" t="s">
        <v>34</v>
      </c>
      <c r="H77" s="145"/>
      <c r="I77" s="145">
        <v>10</v>
      </c>
      <c r="J77" s="146" t="s">
        <v>29</v>
      </c>
      <c r="K77" s="147" t="s">
        <v>114</v>
      </c>
      <c r="L77" s="148">
        <v>49955000</v>
      </c>
      <c r="M77" s="148"/>
      <c r="N77" s="148"/>
      <c r="O77" s="148"/>
      <c r="P77" s="148">
        <v>22729050</v>
      </c>
      <c r="Q77" s="148"/>
      <c r="R77" s="148">
        <v>27225950</v>
      </c>
      <c r="S77" s="148">
        <v>24625950</v>
      </c>
      <c r="T77" s="148">
        <v>2600000</v>
      </c>
      <c r="U77" s="150">
        <v>0.90450287317797906</v>
      </c>
      <c r="V77" s="148">
        <v>8593358.8000000007</v>
      </c>
      <c r="W77" s="148">
        <v>16032591.199999999</v>
      </c>
      <c r="X77" s="150">
        <v>0.65104457696048268</v>
      </c>
      <c r="Y77" s="148">
        <v>8593358.8000000007</v>
      </c>
      <c r="Z77" s="148">
        <v>0</v>
      </c>
      <c r="AA77" s="150">
        <v>0.34895542303951727</v>
      </c>
    </row>
    <row r="78" spans="1:27" ht="24.95" customHeight="1">
      <c r="A78" s="32" t="e">
        <v>#REF!</v>
      </c>
      <c r="B78" s="145" t="s">
        <v>23</v>
      </c>
      <c r="C78" s="145" t="s">
        <v>54</v>
      </c>
      <c r="D78" s="145" t="s">
        <v>54</v>
      </c>
      <c r="E78" s="145" t="s">
        <v>54</v>
      </c>
      <c r="F78" s="145" t="s">
        <v>46</v>
      </c>
      <c r="G78" s="145" t="s">
        <v>36</v>
      </c>
      <c r="H78" s="145"/>
      <c r="I78" s="145">
        <v>10</v>
      </c>
      <c r="J78" s="146" t="s">
        <v>29</v>
      </c>
      <c r="K78" s="147" t="s">
        <v>115</v>
      </c>
      <c r="L78" s="148">
        <v>10819632797</v>
      </c>
      <c r="M78" s="148"/>
      <c r="N78" s="148"/>
      <c r="O78" s="148">
        <v>33729050</v>
      </c>
      <c r="P78" s="148">
        <v>927818557</v>
      </c>
      <c r="Q78" s="148"/>
      <c r="R78" s="148">
        <v>9925543290</v>
      </c>
      <c r="S78" s="148">
        <v>9827497121</v>
      </c>
      <c r="T78" s="148">
        <v>98046169</v>
      </c>
      <c r="U78" s="150">
        <v>0.99012183352232397</v>
      </c>
      <c r="V78" s="148">
        <v>5630471767</v>
      </c>
      <c r="W78" s="148">
        <v>4197025354</v>
      </c>
      <c r="X78" s="150">
        <v>0.42706960911049652</v>
      </c>
      <c r="Y78" s="148">
        <v>5322374141</v>
      </c>
      <c r="Z78" s="148">
        <v>308097626</v>
      </c>
      <c r="AA78" s="150">
        <v>0.54157982194945886</v>
      </c>
    </row>
    <row r="79" spans="1:27" ht="24.95" customHeight="1">
      <c r="A79" s="32" t="e">
        <v>#REF!</v>
      </c>
      <c r="B79" s="145" t="s">
        <v>23</v>
      </c>
      <c r="C79" s="145" t="s">
        <v>54</v>
      </c>
      <c r="D79" s="145" t="s">
        <v>54</v>
      </c>
      <c r="E79" s="145" t="s">
        <v>54</v>
      </c>
      <c r="F79" s="145" t="s">
        <v>46</v>
      </c>
      <c r="G79" s="145" t="s">
        <v>38</v>
      </c>
      <c r="H79" s="145"/>
      <c r="I79" s="145">
        <v>10</v>
      </c>
      <c r="J79" s="146" t="s">
        <v>29</v>
      </c>
      <c r="K79" s="147" t="s">
        <v>116</v>
      </c>
      <c r="L79" s="148">
        <v>2518099374</v>
      </c>
      <c r="M79" s="148"/>
      <c r="N79" s="148"/>
      <c r="O79" s="148"/>
      <c r="P79" s="148">
        <v>98597306.129999995</v>
      </c>
      <c r="Q79" s="148"/>
      <c r="R79" s="148">
        <v>2419502067.8699999</v>
      </c>
      <c r="S79" s="148">
        <v>1524139983.75</v>
      </c>
      <c r="T79" s="148">
        <v>895362084.11999989</v>
      </c>
      <c r="U79" s="150">
        <v>0.6299395251568316</v>
      </c>
      <c r="V79" s="148">
        <v>1190188687.97</v>
      </c>
      <c r="W79" s="148">
        <v>333951295.77999997</v>
      </c>
      <c r="X79" s="150">
        <v>0.21910802114012184</v>
      </c>
      <c r="Y79" s="148">
        <v>1190188687.97</v>
      </c>
      <c r="Z79" s="148">
        <v>0</v>
      </c>
      <c r="AA79" s="150">
        <v>0.78089197885987816</v>
      </c>
    </row>
    <row r="80" spans="1:27" ht="24.95" customHeight="1">
      <c r="A80" s="32" t="e">
        <v>#REF!</v>
      </c>
      <c r="B80" s="145" t="s">
        <v>23</v>
      </c>
      <c r="C80" s="145" t="s">
        <v>54</v>
      </c>
      <c r="D80" s="145" t="s">
        <v>54</v>
      </c>
      <c r="E80" s="145" t="s">
        <v>54</v>
      </c>
      <c r="F80" s="145" t="s">
        <v>46</v>
      </c>
      <c r="G80" s="145" t="s">
        <v>40</v>
      </c>
      <c r="H80" s="145"/>
      <c r="I80" s="145">
        <v>10</v>
      </c>
      <c r="J80" s="146" t="s">
        <v>29</v>
      </c>
      <c r="K80" s="147" t="s">
        <v>117</v>
      </c>
      <c r="L80" s="148">
        <v>4954700583</v>
      </c>
      <c r="M80" s="148"/>
      <c r="N80" s="148"/>
      <c r="O80" s="148">
        <v>946630616</v>
      </c>
      <c r="P80" s="148">
        <v>37149202</v>
      </c>
      <c r="Q80" s="148"/>
      <c r="R80" s="148">
        <v>5864181997</v>
      </c>
      <c r="S80" s="148">
        <v>4426623971.1400003</v>
      </c>
      <c r="T80" s="148">
        <v>1437558025.8599997</v>
      </c>
      <c r="U80" s="150">
        <v>0.75485787675153571</v>
      </c>
      <c r="V80" s="148">
        <v>3254037158.0799999</v>
      </c>
      <c r="W80" s="148">
        <v>1172586813.0600004</v>
      </c>
      <c r="X80" s="150">
        <v>0.26489415425950918</v>
      </c>
      <c r="Y80" s="148">
        <v>3247764566.0799999</v>
      </c>
      <c r="Z80" s="148">
        <v>6272592</v>
      </c>
      <c r="AA80" s="150">
        <v>0.73368883086845849</v>
      </c>
    </row>
    <row r="81" spans="1:27" ht="24.95" customHeight="1">
      <c r="A81" s="32" t="e">
        <v>#REF!</v>
      </c>
      <c r="B81" s="145" t="s">
        <v>23</v>
      </c>
      <c r="C81" s="145" t="s">
        <v>54</v>
      </c>
      <c r="D81" s="145" t="s">
        <v>54</v>
      </c>
      <c r="E81" s="145" t="s">
        <v>54</v>
      </c>
      <c r="F81" s="145" t="s">
        <v>46</v>
      </c>
      <c r="G81" s="145" t="s">
        <v>44</v>
      </c>
      <c r="H81" s="145"/>
      <c r="I81" s="145">
        <v>10</v>
      </c>
      <c r="J81" s="146" t="s">
        <v>29</v>
      </c>
      <c r="K81" s="147" t="s">
        <v>118</v>
      </c>
      <c r="L81" s="148">
        <v>396618897</v>
      </c>
      <c r="M81" s="148"/>
      <c r="N81" s="148"/>
      <c r="O81" s="148">
        <v>346160270.13</v>
      </c>
      <c r="P81" s="149">
        <v>62293908</v>
      </c>
      <c r="Q81" s="148"/>
      <c r="R81" s="148">
        <v>680485259.13</v>
      </c>
      <c r="S81" s="148">
        <v>442290287.94999999</v>
      </c>
      <c r="T81" s="148">
        <v>238194971.18000001</v>
      </c>
      <c r="U81" s="150">
        <v>0.6499630697591714</v>
      </c>
      <c r="V81" s="148">
        <v>109965901.19</v>
      </c>
      <c r="W81" s="148">
        <v>332324386.75999999</v>
      </c>
      <c r="X81" s="150">
        <v>0.75137165751550161</v>
      </c>
      <c r="Y81" s="148">
        <v>109965901.19</v>
      </c>
      <c r="Z81" s="148">
        <v>0</v>
      </c>
      <c r="AA81" s="150">
        <v>0.24862834248449836</v>
      </c>
    </row>
    <row r="82" spans="1:27" ht="24.95" customHeight="1">
      <c r="A82" s="32" t="e">
        <v>#REF!</v>
      </c>
      <c r="B82" s="145" t="s">
        <v>23</v>
      </c>
      <c r="C82" s="145" t="s">
        <v>54</v>
      </c>
      <c r="D82" s="145" t="s">
        <v>54</v>
      </c>
      <c r="E82" s="145" t="s">
        <v>54</v>
      </c>
      <c r="F82" s="145" t="s">
        <v>46</v>
      </c>
      <c r="G82" s="145" t="s">
        <v>48</v>
      </c>
      <c r="H82" s="145"/>
      <c r="I82" s="145">
        <v>10</v>
      </c>
      <c r="J82" s="146" t="s">
        <v>29</v>
      </c>
      <c r="K82" s="147" t="s">
        <v>119</v>
      </c>
      <c r="L82" s="148">
        <v>103000000</v>
      </c>
      <c r="M82" s="148"/>
      <c r="N82" s="148"/>
      <c r="O82" s="148"/>
      <c r="P82" s="148">
        <v>20000000</v>
      </c>
      <c r="Q82" s="148"/>
      <c r="R82" s="148">
        <v>83000000</v>
      </c>
      <c r="S82" s="148">
        <v>81689452</v>
      </c>
      <c r="T82" s="148">
        <v>1310548</v>
      </c>
      <c r="U82" s="150">
        <v>0.98421026506024101</v>
      </c>
      <c r="V82" s="148">
        <v>1689452</v>
      </c>
      <c r="W82" s="148">
        <v>80000000</v>
      </c>
      <c r="X82" s="150">
        <v>0.97931860284728067</v>
      </c>
      <c r="Y82" s="148">
        <v>1689452</v>
      </c>
      <c r="Z82" s="148">
        <v>0</v>
      </c>
      <c r="AA82" s="150">
        <v>2.06813971527193E-2</v>
      </c>
    </row>
    <row r="83" spans="1:27" ht="24.95" customHeight="1">
      <c r="A83" s="32" t="e">
        <v>#REF!</v>
      </c>
      <c r="B83" s="139" t="s">
        <v>23</v>
      </c>
      <c r="C83" s="139" t="s">
        <v>54</v>
      </c>
      <c r="D83" s="139" t="s">
        <v>54</v>
      </c>
      <c r="E83" s="139" t="s">
        <v>54</v>
      </c>
      <c r="F83" s="139" t="s">
        <v>48</v>
      </c>
      <c r="G83" s="140"/>
      <c r="H83" s="140"/>
      <c r="I83" s="139" t="s">
        <v>28</v>
      </c>
      <c r="J83" s="140" t="s">
        <v>29</v>
      </c>
      <c r="K83" s="140" t="s">
        <v>120</v>
      </c>
      <c r="L83" s="141">
        <v>2327016750</v>
      </c>
      <c r="M83" s="142">
        <v>0</v>
      </c>
      <c r="N83" s="142">
        <v>0</v>
      </c>
      <c r="O83" s="141">
        <v>5115982</v>
      </c>
      <c r="P83" s="141">
        <v>15000000</v>
      </c>
      <c r="Q83" s="142">
        <v>0</v>
      </c>
      <c r="R83" s="141">
        <v>2317132732</v>
      </c>
      <c r="S83" s="141">
        <v>1643454145</v>
      </c>
      <c r="T83" s="141">
        <v>673678587</v>
      </c>
      <c r="U83" s="143">
        <v>0.70926197809198266</v>
      </c>
      <c r="V83" s="141">
        <v>940736965.88999999</v>
      </c>
      <c r="W83" s="141">
        <v>702717179.11000001</v>
      </c>
      <c r="X83" s="143">
        <v>0.42758551021817526</v>
      </c>
      <c r="Y83" s="141">
        <v>936003013.88999999</v>
      </c>
      <c r="Z83" s="141">
        <v>4733952</v>
      </c>
      <c r="AA83" s="724">
        <v>0.5695340005303281</v>
      </c>
    </row>
    <row r="84" spans="1:27" ht="24.95" customHeight="1">
      <c r="A84" s="32" t="e">
        <v>#REF!</v>
      </c>
      <c r="B84" s="145" t="s">
        <v>23</v>
      </c>
      <c r="C84" s="145" t="s">
        <v>54</v>
      </c>
      <c r="D84" s="145" t="s">
        <v>54</v>
      </c>
      <c r="E84" s="145" t="s">
        <v>54</v>
      </c>
      <c r="F84" s="145" t="s">
        <v>48</v>
      </c>
      <c r="G84" s="145" t="s">
        <v>34</v>
      </c>
      <c r="H84" s="145"/>
      <c r="I84" s="145">
        <v>10</v>
      </c>
      <c r="J84" s="146" t="s">
        <v>29</v>
      </c>
      <c r="K84" s="147" t="s">
        <v>121</v>
      </c>
      <c r="L84" s="148">
        <v>992069874</v>
      </c>
      <c r="M84" s="148"/>
      <c r="N84" s="148"/>
      <c r="O84" s="148"/>
      <c r="P84" s="148"/>
      <c r="Q84" s="148"/>
      <c r="R84" s="148">
        <v>992069874</v>
      </c>
      <c r="S84" s="148">
        <v>642069874</v>
      </c>
      <c r="T84" s="148">
        <v>350000000</v>
      </c>
      <c r="U84" s="150">
        <v>0.64720226954497762</v>
      </c>
      <c r="V84" s="148">
        <v>360858178</v>
      </c>
      <c r="W84" s="148">
        <v>281211696</v>
      </c>
      <c r="X84" s="150">
        <v>0.43797678007861179</v>
      </c>
      <c r="Y84" s="148">
        <v>360858178</v>
      </c>
      <c r="Z84" s="148">
        <v>0</v>
      </c>
      <c r="AA84" s="150">
        <v>0.56202321992138815</v>
      </c>
    </row>
    <row r="85" spans="1:27" ht="24.95" customHeight="1">
      <c r="A85" s="32" t="e">
        <v>#REF!</v>
      </c>
      <c r="B85" s="145" t="s">
        <v>23</v>
      </c>
      <c r="C85" s="145" t="s">
        <v>54</v>
      </c>
      <c r="D85" s="145" t="s">
        <v>54</v>
      </c>
      <c r="E85" s="145" t="s">
        <v>54</v>
      </c>
      <c r="F85" s="145" t="s">
        <v>48</v>
      </c>
      <c r="G85" s="145" t="s">
        <v>36</v>
      </c>
      <c r="H85" s="145"/>
      <c r="I85" s="145">
        <v>10</v>
      </c>
      <c r="J85" s="146" t="s">
        <v>29</v>
      </c>
      <c r="K85" s="147" t="s">
        <v>122</v>
      </c>
      <c r="L85" s="148">
        <v>364946876</v>
      </c>
      <c r="M85" s="148"/>
      <c r="N85" s="148"/>
      <c r="O85" s="148"/>
      <c r="P85" s="148"/>
      <c r="Q85" s="148"/>
      <c r="R85" s="148">
        <v>364946876</v>
      </c>
      <c r="S85" s="148">
        <v>159832826</v>
      </c>
      <c r="T85" s="148">
        <v>205114050</v>
      </c>
      <c r="U85" s="150">
        <v>0.43796189667890184</v>
      </c>
      <c r="V85" s="148">
        <v>71655928</v>
      </c>
      <c r="W85" s="148">
        <v>88176898</v>
      </c>
      <c r="X85" s="150">
        <v>0.55168203057361942</v>
      </c>
      <c r="Y85" s="148">
        <v>71655928</v>
      </c>
      <c r="Z85" s="148">
        <v>0</v>
      </c>
      <c r="AA85" s="150">
        <v>0.44831796942638052</v>
      </c>
    </row>
    <row r="86" spans="1:27" ht="24.95" customHeight="1">
      <c r="A86" s="32" t="e">
        <v>#REF!</v>
      </c>
      <c r="B86" s="145" t="s">
        <v>23</v>
      </c>
      <c r="C86" s="145" t="s">
        <v>54</v>
      </c>
      <c r="D86" s="145" t="s">
        <v>54</v>
      </c>
      <c r="E86" s="145" t="s">
        <v>54</v>
      </c>
      <c r="F86" s="145" t="s">
        <v>48</v>
      </c>
      <c r="G86" s="145" t="s">
        <v>38</v>
      </c>
      <c r="H86" s="145"/>
      <c r="I86" s="145">
        <v>10</v>
      </c>
      <c r="J86" s="146" t="s">
        <v>29</v>
      </c>
      <c r="K86" s="147" t="s">
        <v>123</v>
      </c>
      <c r="L86" s="148">
        <v>115000000</v>
      </c>
      <c r="M86" s="148"/>
      <c r="N86" s="148"/>
      <c r="O86" s="148"/>
      <c r="P86" s="148">
        <v>15000000</v>
      </c>
      <c r="Q86" s="148"/>
      <c r="R86" s="148">
        <v>100000000</v>
      </c>
      <c r="S86" s="148">
        <v>46035473</v>
      </c>
      <c r="T86" s="148">
        <v>53964527</v>
      </c>
      <c r="U86" s="150">
        <v>0.46035472999999999</v>
      </c>
      <c r="V86" s="148">
        <v>45781779</v>
      </c>
      <c r="W86" s="148">
        <v>253694</v>
      </c>
      <c r="X86" s="150">
        <v>5.5108372623867688E-3</v>
      </c>
      <c r="Y86" s="148">
        <v>41047827</v>
      </c>
      <c r="Z86" s="148">
        <v>4733952</v>
      </c>
      <c r="AA86" s="150">
        <v>0.89165646239802943</v>
      </c>
    </row>
    <row r="87" spans="1:27" ht="24.95" customHeight="1">
      <c r="A87" s="32" t="e">
        <v>#REF!</v>
      </c>
      <c r="B87" s="145" t="s">
        <v>23</v>
      </c>
      <c r="C87" s="145" t="s">
        <v>54</v>
      </c>
      <c r="D87" s="145" t="s">
        <v>54</v>
      </c>
      <c r="E87" s="145" t="s">
        <v>54</v>
      </c>
      <c r="F87" s="145" t="s">
        <v>48</v>
      </c>
      <c r="G87" s="145" t="s">
        <v>42</v>
      </c>
      <c r="H87" s="145"/>
      <c r="I87" s="145">
        <v>10</v>
      </c>
      <c r="J87" s="146" t="s">
        <v>29</v>
      </c>
      <c r="K87" s="147" t="s">
        <v>124</v>
      </c>
      <c r="L87" s="148">
        <v>830000000</v>
      </c>
      <c r="M87" s="148"/>
      <c r="N87" s="148"/>
      <c r="O87" s="148"/>
      <c r="P87" s="148"/>
      <c r="Q87" s="148"/>
      <c r="R87" s="148">
        <v>830000000</v>
      </c>
      <c r="S87" s="148">
        <v>795515972</v>
      </c>
      <c r="T87" s="148">
        <v>34484028</v>
      </c>
      <c r="U87" s="150">
        <v>0.95845297831325305</v>
      </c>
      <c r="V87" s="148">
        <v>462441080.88999999</v>
      </c>
      <c r="W87" s="148">
        <v>333074891.11000001</v>
      </c>
      <c r="X87" s="150">
        <v>0.41869038816734155</v>
      </c>
      <c r="Y87" s="148">
        <v>462441080.88999999</v>
      </c>
      <c r="Z87" s="148">
        <v>0</v>
      </c>
      <c r="AA87" s="150">
        <v>0.5813096118326585</v>
      </c>
    </row>
    <row r="88" spans="1:27" ht="24.95" customHeight="1">
      <c r="A88" s="32" t="e">
        <v>#REF!</v>
      </c>
      <c r="B88" s="145" t="s">
        <v>23</v>
      </c>
      <c r="C88" s="145" t="s">
        <v>54</v>
      </c>
      <c r="D88" s="145" t="s">
        <v>54</v>
      </c>
      <c r="E88" s="145" t="s">
        <v>54</v>
      </c>
      <c r="F88" s="145" t="s">
        <v>48</v>
      </c>
      <c r="G88" s="145" t="s">
        <v>44</v>
      </c>
      <c r="H88" s="145"/>
      <c r="I88" s="145">
        <v>10</v>
      </c>
      <c r="J88" s="146" t="s">
        <v>29</v>
      </c>
      <c r="K88" s="147" t="s">
        <v>125</v>
      </c>
      <c r="L88" s="148">
        <v>25000000</v>
      </c>
      <c r="M88" s="148"/>
      <c r="N88" s="148"/>
      <c r="O88" s="149">
        <v>5115982</v>
      </c>
      <c r="P88" s="148"/>
      <c r="Q88" s="148"/>
      <c r="R88" s="148">
        <v>30115982</v>
      </c>
      <c r="S88" s="148">
        <v>0</v>
      </c>
      <c r="T88" s="148">
        <v>30115982</v>
      </c>
      <c r="U88" s="150">
        <v>0</v>
      </c>
      <c r="V88" s="148">
        <v>0</v>
      </c>
      <c r="W88" s="148">
        <v>0</v>
      </c>
      <c r="X88" s="150">
        <v>0</v>
      </c>
      <c r="Y88" s="148">
        <v>0</v>
      </c>
      <c r="Z88" s="148">
        <v>0</v>
      </c>
      <c r="AA88" s="150">
        <v>0</v>
      </c>
    </row>
    <row r="89" spans="1:27" ht="24.95" customHeight="1">
      <c r="A89" s="32" t="e">
        <v>#REF!</v>
      </c>
      <c r="B89" s="145" t="s">
        <v>23</v>
      </c>
      <c r="C89" s="145" t="s">
        <v>54</v>
      </c>
      <c r="D89" s="145" t="s">
        <v>54</v>
      </c>
      <c r="E89" s="145" t="s">
        <v>54</v>
      </c>
      <c r="F89" s="145" t="s">
        <v>50</v>
      </c>
      <c r="G89" s="145"/>
      <c r="H89" s="145"/>
      <c r="I89" s="145" t="s">
        <v>28</v>
      </c>
      <c r="J89" s="146" t="s">
        <v>29</v>
      </c>
      <c r="K89" s="152" t="s">
        <v>126</v>
      </c>
      <c r="L89" s="153">
        <v>734015794</v>
      </c>
      <c r="M89" s="153"/>
      <c r="N89" s="153"/>
      <c r="O89" s="153"/>
      <c r="P89" s="153">
        <v>65926405</v>
      </c>
      <c r="Q89" s="153"/>
      <c r="R89" s="153">
        <v>668089389</v>
      </c>
      <c r="S89" s="153">
        <v>547251210</v>
      </c>
      <c r="T89" s="153">
        <v>120838179</v>
      </c>
      <c r="U89" s="154">
        <v>0.81912872590167718</v>
      </c>
      <c r="V89" s="153">
        <v>329958897</v>
      </c>
      <c r="W89" s="153">
        <v>217292313</v>
      </c>
      <c r="X89" s="154">
        <v>0.39706136602237935</v>
      </c>
      <c r="Y89" s="153">
        <v>329958897</v>
      </c>
      <c r="Z89" s="148">
        <v>0</v>
      </c>
      <c r="AA89" s="150">
        <v>0.6029386339776206</v>
      </c>
    </row>
    <row r="90" spans="1:27" ht="36" customHeight="1">
      <c r="A90" s="32" t="e">
        <v>#REF!</v>
      </c>
      <c r="B90" s="123" t="s">
        <v>23</v>
      </c>
      <c r="C90" s="123" t="s">
        <v>65</v>
      </c>
      <c r="D90" s="123"/>
      <c r="E90" s="123"/>
      <c r="F90" s="123"/>
      <c r="G90" s="123"/>
      <c r="H90" s="123"/>
      <c r="I90" s="124"/>
      <c r="J90" s="124"/>
      <c r="K90" s="124" t="s">
        <v>127</v>
      </c>
      <c r="L90" s="125">
        <v>25816000000</v>
      </c>
      <c r="M90" s="125">
        <v>4794322613752</v>
      </c>
      <c r="N90" s="719">
        <v>0</v>
      </c>
      <c r="O90" s="125">
        <v>100000000</v>
      </c>
      <c r="P90" s="125">
        <v>100000000</v>
      </c>
      <c r="Q90" s="125">
        <v>22607000000</v>
      </c>
      <c r="R90" s="125">
        <v>4797531613752</v>
      </c>
      <c r="S90" s="125">
        <v>4129969456553.4102</v>
      </c>
      <c r="T90" s="125">
        <v>15588393507</v>
      </c>
      <c r="U90" s="126">
        <v>0.86085299463477427</v>
      </c>
      <c r="V90" s="125">
        <v>4018554862202.4102</v>
      </c>
      <c r="W90" s="125">
        <v>111414594351</v>
      </c>
      <c r="X90" s="126">
        <v>2.6977098867936665E-2</v>
      </c>
      <c r="Y90" s="125">
        <v>4017503004202.4102</v>
      </c>
      <c r="Z90" s="125">
        <v>1051858000</v>
      </c>
      <c r="AA90" s="720">
        <v>0.97276821208143827</v>
      </c>
    </row>
    <row r="91" spans="1:27" ht="24" customHeight="1">
      <c r="A91" s="32" t="e">
        <v>#REF!</v>
      </c>
      <c r="B91" s="128" t="s">
        <v>23</v>
      </c>
      <c r="C91" s="128" t="s">
        <v>65</v>
      </c>
      <c r="D91" s="128" t="s">
        <v>65</v>
      </c>
      <c r="E91" s="128"/>
      <c r="F91" s="128"/>
      <c r="G91" s="128"/>
      <c r="H91" s="128"/>
      <c r="I91" s="129"/>
      <c r="J91" s="129"/>
      <c r="K91" s="129" t="s">
        <v>128</v>
      </c>
      <c r="L91" s="130">
        <v>22607000000</v>
      </c>
      <c r="M91" s="130">
        <v>4794322613752</v>
      </c>
      <c r="N91" s="721">
        <v>0</v>
      </c>
      <c r="O91" s="130">
        <v>0</v>
      </c>
      <c r="P91" s="130">
        <v>0</v>
      </c>
      <c r="Q91" s="130">
        <v>22607000000</v>
      </c>
      <c r="R91" s="130">
        <v>4794322613752</v>
      </c>
      <c r="S91" s="130">
        <v>4127916510508.4102</v>
      </c>
      <c r="T91" s="130">
        <v>14432339552</v>
      </c>
      <c r="U91" s="131">
        <v>0.86100098868355768</v>
      </c>
      <c r="V91" s="130">
        <v>4016716786508.4102</v>
      </c>
      <c r="W91" s="130">
        <v>111199724000</v>
      </c>
      <c r="X91" s="131">
        <v>2.6938462470575554E-2</v>
      </c>
      <c r="Y91" s="130">
        <v>4015664928508.4102</v>
      </c>
      <c r="Z91" s="130">
        <v>1051858000</v>
      </c>
      <c r="AA91" s="722">
        <v>0.97280672181371841</v>
      </c>
    </row>
    <row r="92" spans="1:27" ht="24" customHeight="1">
      <c r="A92" s="32" t="e">
        <v>#REF!</v>
      </c>
      <c r="B92" s="133" t="s">
        <v>23</v>
      </c>
      <c r="C92" s="133" t="s">
        <v>65</v>
      </c>
      <c r="D92" s="133" t="s">
        <v>65</v>
      </c>
      <c r="E92" s="133" t="s">
        <v>25</v>
      </c>
      <c r="F92" s="133"/>
      <c r="G92" s="133"/>
      <c r="H92" s="133"/>
      <c r="I92" s="133"/>
      <c r="J92" s="134"/>
      <c r="K92" s="134" t="s">
        <v>129</v>
      </c>
      <c r="L92" s="135">
        <v>22607000000</v>
      </c>
      <c r="M92" s="135">
        <v>4794322613752</v>
      </c>
      <c r="N92" s="136">
        <v>0</v>
      </c>
      <c r="O92" s="136">
        <v>0</v>
      </c>
      <c r="P92" s="136">
        <v>0</v>
      </c>
      <c r="Q92" s="135">
        <v>22607000000</v>
      </c>
      <c r="R92" s="135">
        <v>4794322613752</v>
      </c>
      <c r="S92" s="135">
        <v>4127916510508.4102</v>
      </c>
      <c r="T92" s="135">
        <v>14432339552</v>
      </c>
      <c r="U92" s="137">
        <v>0.86100098868355768</v>
      </c>
      <c r="V92" s="135">
        <v>4016716786508.4102</v>
      </c>
      <c r="W92" s="135">
        <v>111199724000</v>
      </c>
      <c r="X92" s="137">
        <v>2.6938462470575554E-2</v>
      </c>
      <c r="Y92" s="135">
        <v>4015664928508.4102</v>
      </c>
      <c r="Z92" s="135">
        <v>1051858000</v>
      </c>
      <c r="AA92" s="723">
        <v>0.97280672181371841</v>
      </c>
    </row>
    <row r="93" spans="1:27" ht="24.95" customHeight="1">
      <c r="A93" s="32" t="e">
        <v>#REF!</v>
      </c>
      <c r="B93" s="145" t="s">
        <v>23</v>
      </c>
      <c r="C93" s="145" t="s">
        <v>65</v>
      </c>
      <c r="D93" s="145" t="s">
        <v>65</v>
      </c>
      <c r="E93" s="145" t="s">
        <v>25</v>
      </c>
      <c r="F93" s="145" t="s">
        <v>130</v>
      </c>
      <c r="G93" s="145"/>
      <c r="H93" s="145"/>
      <c r="I93" s="145">
        <v>54</v>
      </c>
      <c r="J93" s="146" t="s">
        <v>29</v>
      </c>
      <c r="K93" s="147" t="s">
        <v>131</v>
      </c>
      <c r="L93" s="148"/>
      <c r="M93" s="148">
        <v>14432339552</v>
      </c>
      <c r="N93" s="148"/>
      <c r="O93" s="148"/>
      <c r="P93" s="148"/>
      <c r="Q93" s="148"/>
      <c r="R93" s="148">
        <v>14432339552</v>
      </c>
      <c r="S93" s="148"/>
      <c r="T93" s="148">
        <v>14432339552</v>
      </c>
      <c r="U93" s="150">
        <v>0</v>
      </c>
      <c r="V93" s="148"/>
      <c r="W93" s="148">
        <v>0</v>
      </c>
      <c r="X93" s="150">
        <v>0</v>
      </c>
      <c r="Y93" s="148"/>
      <c r="Z93" s="148">
        <v>0</v>
      </c>
      <c r="AA93" s="150">
        <v>0</v>
      </c>
    </row>
    <row r="94" spans="1:27" ht="24.95" customHeight="1">
      <c r="A94" s="32" t="e">
        <v>#REF!</v>
      </c>
      <c r="B94" s="145" t="s">
        <v>23</v>
      </c>
      <c r="C94" s="145" t="s">
        <v>65</v>
      </c>
      <c r="D94" s="145" t="s">
        <v>65</v>
      </c>
      <c r="E94" s="145" t="s">
        <v>25</v>
      </c>
      <c r="F94" s="145" t="s">
        <v>130</v>
      </c>
      <c r="G94" s="145"/>
      <c r="H94" s="145"/>
      <c r="I94" s="145">
        <v>54</v>
      </c>
      <c r="J94" s="146" t="s">
        <v>29</v>
      </c>
      <c r="K94" s="147" t="s">
        <v>132</v>
      </c>
      <c r="L94" s="148"/>
      <c r="M94" s="149">
        <v>3962175234200</v>
      </c>
      <c r="N94" s="148"/>
      <c r="O94" s="148"/>
      <c r="P94" s="148"/>
      <c r="Q94" s="148"/>
      <c r="R94" s="148">
        <v>3962175234200</v>
      </c>
      <c r="S94" s="149">
        <v>3310201470508.4102</v>
      </c>
      <c r="T94" s="148"/>
      <c r="U94" s="150">
        <v>0.83545054795557794</v>
      </c>
      <c r="V94" s="148">
        <v>3202420226508.4102</v>
      </c>
      <c r="W94" s="148">
        <v>107781244000</v>
      </c>
      <c r="X94" s="150">
        <v>3.256032750884072E-2</v>
      </c>
      <c r="Y94" s="148">
        <v>3201368368508.4102</v>
      </c>
      <c r="Z94" s="148">
        <v>1051858000</v>
      </c>
      <c r="AA94" s="150">
        <v>0.96712190995937042</v>
      </c>
    </row>
    <row r="95" spans="1:27" ht="24.95" customHeight="1">
      <c r="A95" s="32" t="e">
        <v>#REF!</v>
      </c>
      <c r="B95" s="145" t="s">
        <v>23</v>
      </c>
      <c r="C95" s="145" t="s">
        <v>65</v>
      </c>
      <c r="D95" s="145" t="s">
        <v>65</v>
      </c>
      <c r="E95" s="145" t="s">
        <v>25</v>
      </c>
      <c r="F95" s="145" t="s">
        <v>130</v>
      </c>
      <c r="G95" s="145"/>
      <c r="H95" s="145"/>
      <c r="I95" s="145">
        <v>54</v>
      </c>
      <c r="J95" s="146" t="s">
        <v>29</v>
      </c>
      <c r="K95" s="147" t="s">
        <v>133</v>
      </c>
      <c r="L95" s="148"/>
      <c r="M95" s="149">
        <v>817715040000</v>
      </c>
      <c r="N95" s="148"/>
      <c r="O95" s="148"/>
      <c r="P95" s="148"/>
      <c r="Q95" s="148"/>
      <c r="R95" s="148">
        <v>817715040000</v>
      </c>
      <c r="S95" s="149">
        <v>817715040000</v>
      </c>
      <c r="T95" s="148"/>
      <c r="U95" s="150">
        <v>1</v>
      </c>
      <c r="V95" s="148">
        <v>814296560000</v>
      </c>
      <c r="W95" s="148">
        <v>3418480000</v>
      </c>
      <c r="X95" s="150">
        <v>4.1805272408833279E-3</v>
      </c>
      <c r="Y95" s="148">
        <v>814296560000</v>
      </c>
      <c r="Z95" s="148">
        <v>0</v>
      </c>
      <c r="AA95" s="150">
        <v>0.99581947275911664</v>
      </c>
    </row>
    <row r="96" spans="1:27" ht="24.95" customHeight="1">
      <c r="A96" s="32" t="e">
        <v>#REF!</v>
      </c>
      <c r="B96" s="145" t="s">
        <v>23</v>
      </c>
      <c r="C96" s="145" t="s">
        <v>65</v>
      </c>
      <c r="D96" s="145" t="s">
        <v>65</v>
      </c>
      <c r="E96" s="145" t="s">
        <v>25</v>
      </c>
      <c r="F96" s="145" t="s">
        <v>134</v>
      </c>
      <c r="G96" s="145"/>
      <c r="H96" s="145"/>
      <c r="I96" s="145" t="s">
        <v>28</v>
      </c>
      <c r="J96" s="146" t="s">
        <v>29</v>
      </c>
      <c r="K96" s="147" t="s">
        <v>135</v>
      </c>
      <c r="L96" s="148">
        <v>11607000000</v>
      </c>
      <c r="M96" s="148"/>
      <c r="N96" s="148"/>
      <c r="O96" s="148"/>
      <c r="P96" s="148"/>
      <c r="Q96" s="148">
        <v>11607000000</v>
      </c>
      <c r="R96" s="148">
        <v>0</v>
      </c>
      <c r="S96" s="148"/>
      <c r="T96" s="148">
        <v>0</v>
      </c>
      <c r="U96" s="150">
        <v>0</v>
      </c>
      <c r="V96" s="148"/>
      <c r="W96" s="148">
        <v>0</v>
      </c>
      <c r="X96" s="150">
        <v>0</v>
      </c>
      <c r="Y96" s="148"/>
      <c r="Z96" s="148">
        <v>0</v>
      </c>
      <c r="AA96" s="150">
        <v>0</v>
      </c>
    </row>
    <row r="97" spans="1:29" ht="24.95" customHeight="1">
      <c r="A97" s="32" t="e">
        <v>#REF!</v>
      </c>
      <c r="B97" s="145" t="s">
        <v>23</v>
      </c>
      <c r="C97" s="145" t="s">
        <v>65</v>
      </c>
      <c r="D97" s="145" t="s">
        <v>65</v>
      </c>
      <c r="E97" s="145" t="s">
        <v>25</v>
      </c>
      <c r="F97" s="145" t="s">
        <v>134</v>
      </c>
      <c r="G97" s="145"/>
      <c r="H97" s="145"/>
      <c r="I97" s="145">
        <v>11</v>
      </c>
      <c r="J97" s="146" t="s">
        <v>29</v>
      </c>
      <c r="K97" s="147" t="s">
        <v>135</v>
      </c>
      <c r="L97" s="148">
        <v>11000000000</v>
      </c>
      <c r="M97" s="148"/>
      <c r="N97" s="148"/>
      <c r="O97" s="148"/>
      <c r="P97" s="148"/>
      <c r="Q97" s="148">
        <v>11000000000</v>
      </c>
      <c r="R97" s="148">
        <v>0</v>
      </c>
      <c r="S97" s="148"/>
      <c r="T97" s="148">
        <v>0</v>
      </c>
      <c r="U97" s="150">
        <v>0</v>
      </c>
      <c r="V97" s="148"/>
      <c r="W97" s="148">
        <v>0</v>
      </c>
      <c r="X97" s="150">
        <v>0</v>
      </c>
      <c r="Y97" s="148"/>
      <c r="Z97" s="148">
        <v>0</v>
      </c>
      <c r="AA97" s="150">
        <v>0</v>
      </c>
    </row>
    <row r="98" spans="1:29" ht="24" customHeight="1">
      <c r="A98" s="32" t="e">
        <v>#REF!</v>
      </c>
      <c r="B98" s="128" t="s">
        <v>23</v>
      </c>
      <c r="C98" s="128" t="s">
        <v>65</v>
      </c>
      <c r="D98" s="128" t="s">
        <v>136</v>
      </c>
      <c r="E98" s="128"/>
      <c r="F98" s="128"/>
      <c r="G98" s="128"/>
      <c r="H98" s="128"/>
      <c r="I98" s="129"/>
      <c r="J98" s="129"/>
      <c r="K98" s="129" t="s">
        <v>137</v>
      </c>
      <c r="L98" s="130">
        <v>534000000</v>
      </c>
      <c r="M98" s="721">
        <v>0</v>
      </c>
      <c r="N98" s="721">
        <v>0</v>
      </c>
      <c r="O98" s="130">
        <v>100000000</v>
      </c>
      <c r="P98" s="130">
        <v>100000000</v>
      </c>
      <c r="Q98" s="721">
        <v>0</v>
      </c>
      <c r="R98" s="130">
        <v>534000000</v>
      </c>
      <c r="S98" s="130">
        <v>310884028</v>
      </c>
      <c r="T98" s="130">
        <v>223115972</v>
      </c>
      <c r="U98" s="131">
        <v>0.58217982771535581</v>
      </c>
      <c r="V98" s="130">
        <v>96013677</v>
      </c>
      <c r="W98" s="130">
        <v>214870351</v>
      </c>
      <c r="X98" s="131">
        <v>0.69115918364258966</v>
      </c>
      <c r="Y98" s="130">
        <v>96013677</v>
      </c>
      <c r="Z98" s="721">
        <v>0</v>
      </c>
      <c r="AA98" s="722">
        <v>0.30884081635741029</v>
      </c>
    </row>
    <row r="99" spans="1:29" ht="24" customHeight="1">
      <c r="A99" s="32" t="e">
        <v>#REF!</v>
      </c>
      <c r="B99" s="133" t="s">
        <v>23</v>
      </c>
      <c r="C99" s="133" t="s">
        <v>65</v>
      </c>
      <c r="D99" s="133" t="s">
        <v>136</v>
      </c>
      <c r="E99" s="133" t="s">
        <v>54</v>
      </c>
      <c r="F99" s="133"/>
      <c r="G99" s="133"/>
      <c r="H99" s="133"/>
      <c r="I99" s="133" t="s">
        <v>28</v>
      </c>
      <c r="J99" s="134" t="s">
        <v>29</v>
      </c>
      <c r="K99" s="134" t="s">
        <v>138</v>
      </c>
      <c r="L99" s="135">
        <v>534000000</v>
      </c>
      <c r="M99" s="136">
        <v>0</v>
      </c>
      <c r="N99" s="136">
        <v>0</v>
      </c>
      <c r="O99" s="135">
        <v>100000000</v>
      </c>
      <c r="P99" s="135">
        <v>100000000</v>
      </c>
      <c r="Q99" s="136">
        <v>0</v>
      </c>
      <c r="R99" s="135">
        <v>534000000</v>
      </c>
      <c r="S99" s="135">
        <v>310884028</v>
      </c>
      <c r="T99" s="135">
        <v>223115972</v>
      </c>
      <c r="U99" s="137">
        <v>0.58217982771535581</v>
      </c>
      <c r="V99" s="135">
        <v>96013677</v>
      </c>
      <c r="W99" s="135">
        <v>214870351</v>
      </c>
      <c r="X99" s="137">
        <v>0.69115918364258966</v>
      </c>
      <c r="Y99" s="135">
        <v>96013677</v>
      </c>
      <c r="Z99" s="136">
        <v>0</v>
      </c>
      <c r="AA99" s="723">
        <v>0.30884081635741029</v>
      </c>
    </row>
    <row r="100" spans="1:29" ht="24.95" customHeight="1">
      <c r="A100" s="32" t="e">
        <v>#REF!</v>
      </c>
      <c r="B100" s="139" t="s">
        <v>23</v>
      </c>
      <c r="C100" s="139" t="s">
        <v>65</v>
      </c>
      <c r="D100" s="139" t="s">
        <v>136</v>
      </c>
      <c r="E100" s="139" t="s">
        <v>54</v>
      </c>
      <c r="F100" s="139" t="s">
        <v>52</v>
      </c>
      <c r="G100" s="139"/>
      <c r="H100" s="139"/>
      <c r="I100" s="139" t="s">
        <v>28</v>
      </c>
      <c r="J100" s="140" t="s">
        <v>29</v>
      </c>
      <c r="K100" s="140" t="s">
        <v>139</v>
      </c>
      <c r="L100" s="141">
        <v>534000000</v>
      </c>
      <c r="M100" s="142">
        <v>0</v>
      </c>
      <c r="N100" s="142">
        <v>0</v>
      </c>
      <c r="O100" s="141">
        <v>100000000</v>
      </c>
      <c r="P100" s="141">
        <v>100000000</v>
      </c>
      <c r="Q100" s="142">
        <v>0</v>
      </c>
      <c r="R100" s="141">
        <v>534000000</v>
      </c>
      <c r="S100" s="141">
        <v>310884028</v>
      </c>
      <c r="T100" s="141">
        <v>223115972</v>
      </c>
      <c r="U100" s="143">
        <v>0.58217982771535581</v>
      </c>
      <c r="V100" s="141">
        <v>96013677</v>
      </c>
      <c r="W100" s="141">
        <v>214870351</v>
      </c>
      <c r="X100" s="143">
        <v>0.69115918364258966</v>
      </c>
      <c r="Y100" s="141">
        <v>96013677</v>
      </c>
      <c r="Z100" s="142">
        <v>0</v>
      </c>
      <c r="AA100" s="724">
        <v>0.30884081635741029</v>
      </c>
    </row>
    <row r="101" spans="1:29" ht="24.95" customHeight="1">
      <c r="A101" s="32" t="e">
        <v>#REF!</v>
      </c>
      <c r="B101" s="145" t="s">
        <v>23</v>
      </c>
      <c r="C101" s="145" t="s">
        <v>65</v>
      </c>
      <c r="D101" s="145" t="s">
        <v>136</v>
      </c>
      <c r="E101" s="145" t="s">
        <v>54</v>
      </c>
      <c r="F101" s="145" t="s">
        <v>52</v>
      </c>
      <c r="G101" s="145" t="s">
        <v>31</v>
      </c>
      <c r="H101" s="145"/>
      <c r="I101" s="145" t="s">
        <v>28</v>
      </c>
      <c r="J101" s="146" t="s">
        <v>29</v>
      </c>
      <c r="K101" s="147" t="s">
        <v>140</v>
      </c>
      <c r="L101" s="148">
        <v>367000000</v>
      </c>
      <c r="M101" s="148"/>
      <c r="N101" s="148"/>
      <c r="O101" s="148"/>
      <c r="P101" s="149">
        <v>100000000</v>
      </c>
      <c r="Q101" s="148"/>
      <c r="R101" s="148">
        <v>267000000</v>
      </c>
      <c r="S101" s="148">
        <v>135868272</v>
      </c>
      <c r="T101" s="148">
        <v>131131728</v>
      </c>
      <c r="U101" s="150">
        <v>0.50886993258426971</v>
      </c>
      <c r="V101" s="148">
        <v>83559780</v>
      </c>
      <c r="W101" s="148">
        <v>52308492</v>
      </c>
      <c r="X101" s="150">
        <v>0.384994165525267</v>
      </c>
      <c r="Y101" s="148">
        <v>83559780</v>
      </c>
      <c r="Z101" s="148">
        <v>0</v>
      </c>
      <c r="AA101" s="150">
        <v>0.615005834474733</v>
      </c>
    </row>
    <row r="102" spans="1:29" ht="24.95" customHeight="1">
      <c r="A102" s="32" t="e">
        <v>#REF!</v>
      </c>
      <c r="B102" s="145" t="s">
        <v>23</v>
      </c>
      <c r="C102" s="145" t="s">
        <v>65</v>
      </c>
      <c r="D102" s="145" t="s">
        <v>136</v>
      </c>
      <c r="E102" s="145" t="s">
        <v>54</v>
      </c>
      <c r="F102" s="145" t="s">
        <v>52</v>
      </c>
      <c r="G102" s="145" t="s">
        <v>34</v>
      </c>
      <c r="H102" s="145"/>
      <c r="I102" s="145" t="s">
        <v>28</v>
      </c>
      <c r="J102" s="146" t="s">
        <v>29</v>
      </c>
      <c r="K102" s="147" t="s">
        <v>141</v>
      </c>
      <c r="L102" s="148">
        <v>167000000</v>
      </c>
      <c r="M102" s="148"/>
      <c r="N102" s="148"/>
      <c r="O102" s="149">
        <v>100000000</v>
      </c>
      <c r="P102" s="148"/>
      <c r="Q102" s="148"/>
      <c r="R102" s="148">
        <v>267000000</v>
      </c>
      <c r="S102" s="148">
        <v>175015756</v>
      </c>
      <c r="T102" s="148">
        <v>91984244</v>
      </c>
      <c r="U102" s="150">
        <v>0.65548972284644191</v>
      </c>
      <c r="V102" s="148">
        <v>12453897</v>
      </c>
      <c r="W102" s="148">
        <v>162561859</v>
      </c>
      <c r="X102" s="150">
        <v>0.92884128101015084</v>
      </c>
      <c r="Y102" s="148">
        <v>12453897</v>
      </c>
      <c r="Z102" s="148">
        <v>0</v>
      </c>
      <c r="AA102" s="150">
        <v>7.1158718989849115E-2</v>
      </c>
    </row>
    <row r="103" spans="1:29" ht="24.95" hidden="1" customHeight="1">
      <c r="A103" s="32" t="e">
        <v>#REF!</v>
      </c>
      <c r="B103" s="145" t="s">
        <v>23</v>
      </c>
      <c r="C103" s="145" t="s">
        <v>65</v>
      </c>
      <c r="D103" s="145" t="s">
        <v>136</v>
      </c>
      <c r="E103" s="145" t="s">
        <v>54</v>
      </c>
      <c r="F103" s="145" t="s">
        <v>142</v>
      </c>
      <c r="G103" s="145"/>
      <c r="H103" s="145"/>
      <c r="I103" s="145" t="s">
        <v>28</v>
      </c>
      <c r="J103" s="146" t="s">
        <v>29</v>
      </c>
      <c r="K103" s="147" t="s">
        <v>260</v>
      </c>
      <c r="L103" s="148">
        <v>0</v>
      </c>
      <c r="M103" s="148"/>
      <c r="N103" s="148"/>
      <c r="O103" s="148"/>
      <c r="P103" s="148"/>
      <c r="Q103" s="148"/>
      <c r="R103" s="148">
        <v>0</v>
      </c>
      <c r="S103" s="148">
        <v>0</v>
      </c>
      <c r="T103" s="148">
        <v>0</v>
      </c>
      <c r="U103" s="150">
        <v>0</v>
      </c>
      <c r="V103" s="148">
        <v>0</v>
      </c>
      <c r="W103" s="148">
        <v>0</v>
      </c>
      <c r="X103" s="150">
        <v>0</v>
      </c>
      <c r="Y103" s="148">
        <v>0</v>
      </c>
      <c r="Z103" s="148">
        <v>0</v>
      </c>
      <c r="AA103" s="150">
        <v>0</v>
      </c>
    </row>
    <row r="104" spans="1:29" ht="24" customHeight="1">
      <c r="A104" s="32" t="e">
        <v>#REF!</v>
      </c>
      <c r="B104" s="128" t="s">
        <v>23</v>
      </c>
      <c r="C104" s="128" t="s">
        <v>65</v>
      </c>
      <c r="D104" s="128" t="s">
        <v>28</v>
      </c>
      <c r="E104" s="128"/>
      <c r="F104" s="128"/>
      <c r="G104" s="128"/>
      <c r="H104" s="128"/>
      <c r="I104" s="129"/>
      <c r="J104" s="129"/>
      <c r="K104" s="129" t="s">
        <v>143</v>
      </c>
      <c r="L104" s="130">
        <v>2675000000</v>
      </c>
      <c r="M104" s="721">
        <v>0</v>
      </c>
      <c r="N104" s="721">
        <v>0</v>
      </c>
      <c r="O104" s="721">
        <v>0</v>
      </c>
      <c r="P104" s="721">
        <v>0</v>
      </c>
      <c r="Q104" s="721">
        <v>0</v>
      </c>
      <c r="R104" s="130">
        <v>2675000000</v>
      </c>
      <c r="S104" s="130">
        <v>1742062017</v>
      </c>
      <c r="T104" s="130">
        <v>932937983</v>
      </c>
      <c r="U104" s="131">
        <v>0.65123813719626167</v>
      </c>
      <c r="V104" s="130">
        <v>1742062017</v>
      </c>
      <c r="W104" s="130">
        <v>0</v>
      </c>
      <c r="X104" s="131">
        <v>0</v>
      </c>
      <c r="Y104" s="130">
        <v>1742062017</v>
      </c>
      <c r="Z104" s="130">
        <v>0</v>
      </c>
      <c r="AA104" s="722">
        <v>1</v>
      </c>
    </row>
    <row r="105" spans="1:29" ht="24" customHeight="1">
      <c r="A105" s="32" t="e">
        <v>#REF!</v>
      </c>
      <c r="B105" s="133" t="s">
        <v>23</v>
      </c>
      <c r="C105" s="133" t="s">
        <v>65</v>
      </c>
      <c r="D105" s="133" t="s">
        <v>28</v>
      </c>
      <c r="E105" s="133" t="s">
        <v>25</v>
      </c>
      <c r="F105" s="133"/>
      <c r="G105" s="133"/>
      <c r="H105" s="133"/>
      <c r="I105" s="133" t="s">
        <v>144</v>
      </c>
      <c r="J105" s="134" t="s">
        <v>29</v>
      </c>
      <c r="K105" s="134" t="s">
        <v>145</v>
      </c>
      <c r="L105" s="135">
        <v>2675000000</v>
      </c>
      <c r="M105" s="136">
        <v>0</v>
      </c>
      <c r="N105" s="136">
        <v>0</v>
      </c>
      <c r="O105" s="136">
        <v>0</v>
      </c>
      <c r="P105" s="136">
        <v>0</v>
      </c>
      <c r="Q105" s="136">
        <v>0</v>
      </c>
      <c r="R105" s="135">
        <v>2675000000</v>
      </c>
      <c r="S105" s="135">
        <v>1742062017</v>
      </c>
      <c r="T105" s="135">
        <v>932937983</v>
      </c>
      <c r="U105" s="137">
        <v>0.65123813719626167</v>
      </c>
      <c r="V105" s="135">
        <v>1742062017</v>
      </c>
      <c r="W105" s="136">
        <v>0</v>
      </c>
      <c r="X105" s="137">
        <v>0</v>
      </c>
      <c r="Y105" s="135">
        <v>1742062017</v>
      </c>
      <c r="Z105" s="135">
        <v>0</v>
      </c>
      <c r="AA105" s="723">
        <v>1</v>
      </c>
    </row>
    <row r="106" spans="1:29" ht="24.95" customHeight="1">
      <c r="A106" s="32" t="e">
        <v>#REF!</v>
      </c>
      <c r="B106" s="145" t="s">
        <v>23</v>
      </c>
      <c r="C106" s="145" t="s">
        <v>65</v>
      </c>
      <c r="D106" s="145" t="s">
        <v>28</v>
      </c>
      <c r="E106" s="145" t="s">
        <v>25</v>
      </c>
      <c r="F106" s="145" t="s">
        <v>31</v>
      </c>
      <c r="G106" s="145"/>
      <c r="H106" s="145"/>
      <c r="I106" s="145">
        <v>10</v>
      </c>
      <c r="J106" s="146" t="s">
        <v>29</v>
      </c>
      <c r="K106" s="147" t="s">
        <v>146</v>
      </c>
      <c r="L106" s="148">
        <v>2675000000</v>
      </c>
      <c r="M106" s="148"/>
      <c r="N106" s="148"/>
      <c r="O106" s="148"/>
      <c r="P106" s="148"/>
      <c r="Q106" s="148"/>
      <c r="R106" s="148">
        <v>2675000000</v>
      </c>
      <c r="S106" s="149">
        <v>1742062017</v>
      </c>
      <c r="T106" s="148">
        <v>932937983</v>
      </c>
      <c r="U106" s="150">
        <v>0.65123813719626167</v>
      </c>
      <c r="V106" s="148">
        <v>1742062017</v>
      </c>
      <c r="W106" s="148">
        <v>0</v>
      </c>
      <c r="X106" s="150">
        <v>0</v>
      </c>
      <c r="Y106" s="148">
        <v>1742062017</v>
      </c>
      <c r="Z106" s="148">
        <v>0</v>
      </c>
      <c r="AA106" s="150">
        <v>1</v>
      </c>
    </row>
    <row r="107" spans="1:29" ht="24" customHeight="1">
      <c r="A107" s="32" t="e">
        <v>#REF!</v>
      </c>
      <c r="B107" s="123" t="s">
        <v>23</v>
      </c>
      <c r="C107" s="123" t="s">
        <v>148</v>
      </c>
      <c r="D107" s="123"/>
      <c r="E107" s="123"/>
      <c r="F107" s="123"/>
      <c r="G107" s="123"/>
      <c r="H107" s="123"/>
      <c r="I107" s="124"/>
      <c r="J107" s="124"/>
      <c r="K107" s="124" t="s">
        <v>149</v>
      </c>
      <c r="L107" s="125">
        <v>6047000000</v>
      </c>
      <c r="M107" s="719">
        <v>0</v>
      </c>
      <c r="N107" s="719">
        <v>0</v>
      </c>
      <c r="O107" s="719">
        <v>0</v>
      </c>
      <c r="P107" s="719">
        <v>0</v>
      </c>
      <c r="Q107" s="719">
        <v>0</v>
      </c>
      <c r="R107" s="125">
        <v>6047000000</v>
      </c>
      <c r="S107" s="125">
        <v>76626319</v>
      </c>
      <c r="T107" s="125">
        <v>5970373681</v>
      </c>
      <c r="U107" s="126">
        <v>1.2671790805358029E-2</v>
      </c>
      <c r="V107" s="125">
        <v>76626319</v>
      </c>
      <c r="W107" s="125">
        <v>0</v>
      </c>
      <c r="X107" s="126">
        <v>0</v>
      </c>
      <c r="Y107" s="125">
        <v>76494690</v>
      </c>
      <c r="Z107" s="125">
        <v>131629</v>
      </c>
      <c r="AA107" s="720">
        <v>0.99828219596454837</v>
      </c>
    </row>
    <row r="108" spans="1:29" ht="24" customHeight="1">
      <c r="A108" s="32" t="e">
        <v>#REF!</v>
      </c>
      <c r="B108" s="128" t="s">
        <v>23</v>
      </c>
      <c r="C108" s="128" t="s">
        <v>148</v>
      </c>
      <c r="D108" s="128" t="s">
        <v>25</v>
      </c>
      <c r="E108" s="128"/>
      <c r="F108" s="128"/>
      <c r="G108" s="128"/>
      <c r="H108" s="128"/>
      <c r="I108" s="129"/>
      <c r="J108" s="129"/>
      <c r="K108" s="129" t="s">
        <v>150</v>
      </c>
      <c r="L108" s="130">
        <v>134000000</v>
      </c>
      <c r="M108" s="721">
        <v>0</v>
      </c>
      <c r="N108" s="721">
        <v>0</v>
      </c>
      <c r="O108" s="721">
        <v>0</v>
      </c>
      <c r="P108" s="721">
        <v>0</v>
      </c>
      <c r="Q108" s="721">
        <v>0</v>
      </c>
      <c r="R108" s="130">
        <v>134000000</v>
      </c>
      <c r="S108" s="130">
        <v>76626319</v>
      </c>
      <c r="T108" s="130">
        <v>57373681</v>
      </c>
      <c r="U108" s="131">
        <v>0.57183820149253728</v>
      </c>
      <c r="V108" s="130">
        <v>76626319</v>
      </c>
      <c r="W108" s="130">
        <v>0</v>
      </c>
      <c r="X108" s="131">
        <v>0</v>
      </c>
      <c r="Y108" s="130">
        <v>76494690</v>
      </c>
      <c r="Z108" s="130">
        <v>131629</v>
      </c>
      <c r="AA108" s="722">
        <v>0.99828219596454837</v>
      </c>
    </row>
    <row r="109" spans="1:29" ht="24" customHeight="1">
      <c r="A109" s="32" t="e">
        <v>#REF!</v>
      </c>
      <c r="B109" s="133" t="s">
        <v>23</v>
      </c>
      <c r="C109" s="133" t="s">
        <v>148</v>
      </c>
      <c r="D109" s="133" t="s">
        <v>25</v>
      </c>
      <c r="E109" s="133" t="s">
        <v>54</v>
      </c>
      <c r="F109" s="133"/>
      <c r="G109" s="133"/>
      <c r="H109" s="133"/>
      <c r="I109" s="133" t="s">
        <v>28</v>
      </c>
      <c r="J109" s="134" t="s">
        <v>29</v>
      </c>
      <c r="K109" s="134" t="s">
        <v>151</v>
      </c>
      <c r="L109" s="135">
        <v>134000000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5">
        <v>134000000</v>
      </c>
      <c r="S109" s="135">
        <v>76626319</v>
      </c>
      <c r="T109" s="135">
        <v>57373681</v>
      </c>
      <c r="U109" s="137">
        <v>0.57183820149253728</v>
      </c>
      <c r="V109" s="135">
        <v>76626319</v>
      </c>
      <c r="W109" s="136">
        <v>0</v>
      </c>
      <c r="X109" s="137">
        <v>0</v>
      </c>
      <c r="Y109" s="135">
        <v>76494690</v>
      </c>
      <c r="Z109" s="135">
        <v>131629</v>
      </c>
      <c r="AA109" s="723">
        <v>0.99828219596454837</v>
      </c>
    </row>
    <row r="110" spans="1:29" ht="24.95" customHeight="1">
      <c r="A110" s="32" t="e">
        <v>#REF!</v>
      </c>
      <c r="B110" s="145" t="s">
        <v>23</v>
      </c>
      <c r="C110" s="145" t="s">
        <v>148</v>
      </c>
      <c r="D110" s="145" t="s">
        <v>25</v>
      </c>
      <c r="E110" s="145" t="s">
        <v>54</v>
      </c>
      <c r="F110" s="145" t="s">
        <v>31</v>
      </c>
      <c r="G110" s="145"/>
      <c r="H110" s="145"/>
      <c r="I110" s="145" t="s">
        <v>28</v>
      </c>
      <c r="J110" s="146" t="s">
        <v>29</v>
      </c>
      <c r="K110" s="147" t="s">
        <v>152</v>
      </c>
      <c r="L110" s="148">
        <v>60000000</v>
      </c>
      <c r="M110" s="148"/>
      <c r="N110" s="148"/>
      <c r="O110" s="148"/>
      <c r="P110" s="148"/>
      <c r="Q110" s="148"/>
      <c r="R110" s="148">
        <v>60000000</v>
      </c>
      <c r="S110" s="148">
        <v>50544836</v>
      </c>
      <c r="T110" s="148">
        <v>9455164</v>
      </c>
      <c r="U110" s="150">
        <v>0.84241393333333336</v>
      </c>
      <c r="V110" s="148">
        <v>50544836</v>
      </c>
      <c r="W110" s="148">
        <v>0</v>
      </c>
      <c r="X110" s="150">
        <v>0</v>
      </c>
      <c r="Y110" s="148">
        <v>50544836</v>
      </c>
      <c r="Z110" s="148">
        <v>0</v>
      </c>
      <c r="AA110" s="150">
        <v>1</v>
      </c>
    </row>
    <row r="111" spans="1:29" ht="24.95" customHeight="1">
      <c r="A111" s="32" t="e">
        <v>#REF!</v>
      </c>
      <c r="B111" s="145" t="s">
        <v>23</v>
      </c>
      <c r="C111" s="145" t="s">
        <v>148</v>
      </c>
      <c r="D111" s="145" t="s">
        <v>25</v>
      </c>
      <c r="E111" s="145" t="s">
        <v>54</v>
      </c>
      <c r="F111" s="145" t="s">
        <v>38</v>
      </c>
      <c r="G111" s="145"/>
      <c r="H111" s="145"/>
      <c r="I111" s="145" t="s">
        <v>28</v>
      </c>
      <c r="J111" s="146" t="s">
        <v>29</v>
      </c>
      <c r="K111" s="147" t="s">
        <v>153</v>
      </c>
      <c r="L111" s="148">
        <v>59000000</v>
      </c>
      <c r="M111" s="148"/>
      <c r="N111" s="148"/>
      <c r="O111" s="148"/>
      <c r="P111" s="148"/>
      <c r="Q111" s="148"/>
      <c r="R111" s="148">
        <v>59000000</v>
      </c>
      <c r="S111" s="148">
        <v>19136453</v>
      </c>
      <c r="T111" s="148">
        <v>39863547</v>
      </c>
      <c r="U111" s="150">
        <v>0.32434666101694914</v>
      </c>
      <c r="V111" s="148">
        <v>19136453</v>
      </c>
      <c r="W111" s="148">
        <v>0</v>
      </c>
      <c r="X111" s="150">
        <v>0</v>
      </c>
      <c r="Y111" s="148">
        <v>19004824</v>
      </c>
      <c r="Z111" s="148">
        <v>131629</v>
      </c>
      <c r="AA111" s="150">
        <v>0.99312155706180238</v>
      </c>
    </row>
    <row r="112" spans="1:29" ht="24.95" customHeight="1">
      <c r="A112" s="32" t="e">
        <v>#REF!</v>
      </c>
      <c r="B112" s="145" t="s">
        <v>23</v>
      </c>
      <c r="C112" s="145" t="s">
        <v>148</v>
      </c>
      <c r="D112" s="145" t="s">
        <v>25</v>
      </c>
      <c r="E112" s="145" t="s">
        <v>54</v>
      </c>
      <c r="F112" s="145" t="s">
        <v>42</v>
      </c>
      <c r="G112" s="145"/>
      <c r="H112" s="145"/>
      <c r="I112" s="145" t="s">
        <v>28</v>
      </c>
      <c r="J112" s="146" t="s">
        <v>29</v>
      </c>
      <c r="K112" s="147" t="s">
        <v>154</v>
      </c>
      <c r="L112" s="148">
        <v>15000000</v>
      </c>
      <c r="M112" s="148"/>
      <c r="N112" s="148"/>
      <c r="O112" s="148"/>
      <c r="P112" s="148"/>
      <c r="Q112" s="148"/>
      <c r="R112" s="148">
        <v>15000000</v>
      </c>
      <c r="S112" s="148">
        <v>6945030</v>
      </c>
      <c r="T112" s="148">
        <v>8054970</v>
      </c>
      <c r="U112" s="150">
        <v>0.46300200000000002</v>
      </c>
      <c r="V112" s="148">
        <v>6945030</v>
      </c>
      <c r="W112" s="148">
        <v>0</v>
      </c>
      <c r="X112" s="150">
        <v>0</v>
      </c>
      <c r="Y112" s="148">
        <v>6945030</v>
      </c>
      <c r="Z112" s="148">
        <v>0</v>
      </c>
      <c r="AA112" s="150">
        <v>1</v>
      </c>
    </row>
    <row r="113" spans="1:27" ht="24" customHeight="1">
      <c r="A113" s="32" t="e">
        <v>#REF!</v>
      </c>
      <c r="B113" s="128" t="s">
        <v>23</v>
      </c>
      <c r="C113" s="128" t="s">
        <v>148</v>
      </c>
      <c r="D113" s="128" t="s">
        <v>136</v>
      </c>
      <c r="E113" s="128"/>
      <c r="F113" s="128"/>
      <c r="G113" s="128"/>
      <c r="H113" s="128"/>
      <c r="I113" s="129"/>
      <c r="J113" s="129"/>
      <c r="K113" s="129" t="s">
        <v>155</v>
      </c>
      <c r="L113" s="130">
        <v>5913000000</v>
      </c>
      <c r="M113" s="721">
        <v>0</v>
      </c>
      <c r="N113" s="721">
        <v>0</v>
      </c>
      <c r="O113" s="721">
        <v>0</v>
      </c>
      <c r="P113" s="721">
        <v>0</v>
      </c>
      <c r="Q113" s="721">
        <v>0</v>
      </c>
      <c r="R113" s="130">
        <v>5913000000</v>
      </c>
      <c r="S113" s="130">
        <v>0</v>
      </c>
      <c r="T113" s="130">
        <v>5913000000</v>
      </c>
      <c r="U113" s="131">
        <v>0</v>
      </c>
      <c r="V113" s="130">
        <v>0</v>
      </c>
      <c r="W113" s="130">
        <v>0</v>
      </c>
      <c r="X113" s="131">
        <v>0</v>
      </c>
      <c r="Y113" s="130">
        <v>0</v>
      </c>
      <c r="Z113" s="130">
        <v>0</v>
      </c>
      <c r="AA113" s="722">
        <v>0</v>
      </c>
    </row>
    <row r="114" spans="1:27" ht="24.95" hidden="1" customHeight="1">
      <c r="A114" s="32"/>
      <c r="B114" s="145" t="s">
        <v>23</v>
      </c>
      <c r="C114" s="145" t="s">
        <v>148</v>
      </c>
      <c r="D114" s="145" t="s">
        <v>136</v>
      </c>
      <c r="E114" s="145" t="s">
        <v>25</v>
      </c>
      <c r="F114" s="145"/>
      <c r="G114" s="145"/>
      <c r="H114" s="145"/>
      <c r="I114" s="145">
        <v>10</v>
      </c>
      <c r="J114" s="146" t="s">
        <v>156</v>
      </c>
      <c r="K114" s="147" t="s">
        <v>157</v>
      </c>
      <c r="L114" s="148">
        <v>0</v>
      </c>
      <c r="M114" s="148"/>
      <c r="N114" s="148"/>
      <c r="O114" s="148"/>
      <c r="P114" s="148"/>
      <c r="Q114" s="148"/>
      <c r="R114" s="148">
        <v>0</v>
      </c>
      <c r="S114" s="148">
        <v>0</v>
      </c>
      <c r="T114" s="148">
        <v>0</v>
      </c>
      <c r="U114" s="150">
        <v>0</v>
      </c>
      <c r="V114" s="148">
        <v>0</v>
      </c>
      <c r="W114" s="148">
        <v>0</v>
      </c>
      <c r="X114" s="150">
        <v>0</v>
      </c>
      <c r="Y114" s="148">
        <v>0</v>
      </c>
      <c r="Z114" s="148">
        <v>0</v>
      </c>
      <c r="AA114" s="150">
        <v>0</v>
      </c>
    </row>
    <row r="115" spans="1:27" ht="24.95" customHeight="1">
      <c r="A115" s="32" t="e">
        <v>#REF!</v>
      </c>
      <c r="B115" s="145" t="s">
        <v>23</v>
      </c>
      <c r="C115" s="145" t="s">
        <v>148</v>
      </c>
      <c r="D115" s="145" t="s">
        <v>136</v>
      </c>
      <c r="E115" s="145" t="s">
        <v>25</v>
      </c>
      <c r="F115" s="145"/>
      <c r="G115" s="145"/>
      <c r="H115" s="145"/>
      <c r="I115" s="145" t="s">
        <v>144</v>
      </c>
      <c r="J115" s="146" t="s">
        <v>156</v>
      </c>
      <c r="K115" s="147" t="s">
        <v>157</v>
      </c>
      <c r="L115" s="148">
        <v>5913000000</v>
      </c>
      <c r="M115" s="148"/>
      <c r="N115" s="148"/>
      <c r="O115" s="148"/>
      <c r="P115" s="148"/>
      <c r="Q115" s="148"/>
      <c r="R115" s="148">
        <v>5913000000</v>
      </c>
      <c r="S115" s="149">
        <v>0</v>
      </c>
      <c r="T115" s="148">
        <v>5913000000</v>
      </c>
      <c r="U115" s="150">
        <v>0</v>
      </c>
      <c r="V115" s="148">
        <v>0</v>
      </c>
      <c r="W115" s="148">
        <v>0</v>
      </c>
      <c r="X115" s="150">
        <v>0</v>
      </c>
      <c r="Y115" s="148">
        <v>0</v>
      </c>
      <c r="Z115" s="148">
        <v>0</v>
      </c>
      <c r="AA115" s="150">
        <v>0</v>
      </c>
    </row>
    <row r="116" spans="1:27" ht="35.1" customHeight="1">
      <c r="A116" s="32" t="e">
        <v>#REF!</v>
      </c>
      <c r="B116" s="118" t="s">
        <v>167</v>
      </c>
      <c r="C116" s="119"/>
      <c r="D116" s="119"/>
      <c r="E116" s="119"/>
      <c r="F116" s="119"/>
      <c r="G116" s="119"/>
      <c r="H116" s="119"/>
      <c r="I116" s="119"/>
      <c r="J116" s="119"/>
      <c r="K116" s="119" t="s">
        <v>168</v>
      </c>
      <c r="L116" s="120">
        <v>6230508633098</v>
      </c>
      <c r="M116" s="717">
        <v>0</v>
      </c>
      <c r="N116" s="717">
        <v>0</v>
      </c>
      <c r="O116" s="120">
        <v>88851697011.320007</v>
      </c>
      <c r="P116" s="120">
        <v>88851697011.319992</v>
      </c>
      <c r="Q116" s="120">
        <v>318792361084</v>
      </c>
      <c r="R116" s="120">
        <v>5911716272014</v>
      </c>
      <c r="S116" s="120">
        <v>3307035505749.3496</v>
      </c>
      <c r="T116" s="120">
        <v>2604680766264.6504</v>
      </c>
      <c r="U116" s="121">
        <v>0.55940362385198006</v>
      </c>
      <c r="V116" s="120">
        <v>2718990304826.0698</v>
      </c>
      <c r="W116" s="120">
        <v>588045200923.28003</v>
      </c>
      <c r="X116" s="121">
        <v>0.17781641591115405</v>
      </c>
      <c r="Y116" s="120">
        <v>2717976172193.0698</v>
      </c>
      <c r="Z116" s="120">
        <v>1014132633</v>
      </c>
      <c r="AA116" s="718">
        <v>0.82187692495826303</v>
      </c>
    </row>
    <row r="117" spans="1:27" ht="27.75" customHeight="1">
      <c r="A117" s="32" t="e">
        <v>#REF!</v>
      </c>
      <c r="B117" s="123" t="s">
        <v>167</v>
      </c>
      <c r="C117" s="123">
        <v>4101</v>
      </c>
      <c r="D117" s="123"/>
      <c r="E117" s="123"/>
      <c r="F117" s="123"/>
      <c r="G117" s="123"/>
      <c r="H117" s="123"/>
      <c r="I117" s="124"/>
      <c r="J117" s="124"/>
      <c r="K117" s="124" t="s">
        <v>169</v>
      </c>
      <c r="L117" s="125">
        <v>10248574078</v>
      </c>
      <c r="M117" s="719">
        <v>0</v>
      </c>
      <c r="N117" s="719">
        <v>0</v>
      </c>
      <c r="O117" s="719">
        <v>0</v>
      </c>
      <c r="P117" s="719">
        <v>0</v>
      </c>
      <c r="Q117" s="719">
        <v>0</v>
      </c>
      <c r="R117" s="125">
        <v>10248574078</v>
      </c>
      <c r="S117" s="125">
        <v>10248574078</v>
      </c>
      <c r="T117" s="125">
        <v>0</v>
      </c>
      <c r="U117" s="126">
        <v>1</v>
      </c>
      <c r="V117" s="125">
        <v>10248574078</v>
      </c>
      <c r="W117" s="125">
        <v>0</v>
      </c>
      <c r="X117" s="126">
        <v>0</v>
      </c>
      <c r="Y117" s="125">
        <v>10248574078</v>
      </c>
      <c r="Z117" s="125">
        <v>0</v>
      </c>
      <c r="AA117" s="720">
        <v>1</v>
      </c>
    </row>
    <row r="118" spans="1:27" ht="24" customHeight="1">
      <c r="A118" s="32" t="e">
        <v>#REF!</v>
      </c>
      <c r="B118" s="128" t="s">
        <v>167</v>
      </c>
      <c r="C118" s="128">
        <v>4101</v>
      </c>
      <c r="D118" s="128">
        <v>1500</v>
      </c>
      <c r="E118" s="128"/>
      <c r="F118" s="128"/>
      <c r="G118" s="128"/>
      <c r="H118" s="128"/>
      <c r="I118" s="129"/>
      <c r="J118" s="129"/>
      <c r="K118" s="129" t="s">
        <v>170</v>
      </c>
      <c r="L118" s="130">
        <v>10248574078</v>
      </c>
      <c r="M118" s="721">
        <v>0</v>
      </c>
      <c r="N118" s="721">
        <v>0</v>
      </c>
      <c r="O118" s="721">
        <v>0</v>
      </c>
      <c r="P118" s="721">
        <v>0</v>
      </c>
      <c r="Q118" s="721">
        <v>0</v>
      </c>
      <c r="R118" s="130">
        <v>10248574078</v>
      </c>
      <c r="S118" s="130">
        <v>10248574078</v>
      </c>
      <c r="T118" s="721">
        <v>0</v>
      </c>
      <c r="U118" s="131">
        <v>1</v>
      </c>
      <c r="V118" s="130">
        <v>10248574078</v>
      </c>
      <c r="W118" s="721">
        <v>0</v>
      </c>
      <c r="X118" s="131">
        <v>0</v>
      </c>
      <c r="Y118" s="130">
        <v>10248574078</v>
      </c>
      <c r="Z118" s="721">
        <v>0</v>
      </c>
      <c r="AA118" s="722">
        <v>1</v>
      </c>
    </row>
    <row r="119" spans="1:27" ht="39.75" hidden="1" customHeight="1">
      <c r="A119" s="32" t="e">
        <v>#REF!</v>
      </c>
      <c r="B119" s="133" t="s">
        <v>167</v>
      </c>
      <c r="C119" s="133" t="s">
        <v>171</v>
      </c>
      <c r="D119" s="133" t="s">
        <v>172</v>
      </c>
      <c r="E119" s="133" t="s">
        <v>261</v>
      </c>
      <c r="F119" s="133"/>
      <c r="G119" s="133"/>
      <c r="H119" s="133"/>
      <c r="I119" s="133"/>
      <c r="J119" s="134"/>
      <c r="K119" s="134" t="s">
        <v>262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136">
        <v>0</v>
      </c>
      <c r="S119" s="136">
        <v>0</v>
      </c>
      <c r="T119" s="136">
        <v>0</v>
      </c>
      <c r="U119" s="137">
        <v>0</v>
      </c>
      <c r="V119" s="136">
        <v>0</v>
      </c>
      <c r="W119" s="136">
        <v>0</v>
      </c>
      <c r="X119" s="137">
        <v>0</v>
      </c>
      <c r="Y119" s="136">
        <v>0</v>
      </c>
      <c r="Z119" s="136">
        <v>0</v>
      </c>
      <c r="AA119" s="723">
        <v>0</v>
      </c>
    </row>
    <row r="120" spans="1:27" ht="24.95" hidden="1" customHeight="1">
      <c r="A120" s="32" t="e">
        <v>#REF!</v>
      </c>
      <c r="B120" s="139" t="s">
        <v>167</v>
      </c>
      <c r="C120" s="139" t="s">
        <v>171</v>
      </c>
      <c r="D120" s="139" t="s">
        <v>172</v>
      </c>
      <c r="E120" s="139" t="s">
        <v>261</v>
      </c>
      <c r="F120" s="139" t="s">
        <v>175</v>
      </c>
      <c r="G120" s="139" t="s">
        <v>176</v>
      </c>
      <c r="H120" s="139"/>
      <c r="I120" s="139">
        <v>11</v>
      </c>
      <c r="J120" s="140" t="s">
        <v>29</v>
      </c>
      <c r="K120" s="140" t="s">
        <v>177</v>
      </c>
      <c r="L120" s="142">
        <v>0</v>
      </c>
      <c r="M120" s="142">
        <v>0</v>
      </c>
      <c r="N120" s="142">
        <v>0</v>
      </c>
      <c r="O120" s="142">
        <v>0</v>
      </c>
      <c r="P120" s="142">
        <v>0</v>
      </c>
      <c r="Q120" s="142">
        <v>0</v>
      </c>
      <c r="R120" s="142">
        <v>0</v>
      </c>
      <c r="S120" s="142">
        <v>0</v>
      </c>
      <c r="T120" s="142">
        <v>0</v>
      </c>
      <c r="U120" s="143">
        <v>0</v>
      </c>
      <c r="V120" s="142">
        <v>0</v>
      </c>
      <c r="W120" s="142">
        <v>0</v>
      </c>
      <c r="X120" s="143">
        <v>0</v>
      </c>
      <c r="Y120" s="142">
        <v>0</v>
      </c>
      <c r="Z120" s="142">
        <v>0</v>
      </c>
      <c r="AA120" s="724">
        <v>0</v>
      </c>
    </row>
    <row r="121" spans="1:27" ht="24.95" hidden="1" customHeight="1">
      <c r="A121" s="32" t="e">
        <v>#REF!</v>
      </c>
      <c r="B121" s="145" t="s">
        <v>167</v>
      </c>
      <c r="C121" s="145" t="s">
        <v>171</v>
      </c>
      <c r="D121" s="145" t="s">
        <v>172</v>
      </c>
      <c r="E121" s="145" t="s">
        <v>261</v>
      </c>
      <c r="F121" s="145" t="s">
        <v>175</v>
      </c>
      <c r="G121" s="145" t="s">
        <v>176</v>
      </c>
      <c r="H121" s="145" t="s">
        <v>54</v>
      </c>
      <c r="I121" s="145">
        <v>11</v>
      </c>
      <c r="J121" s="146" t="s">
        <v>29</v>
      </c>
      <c r="K121" s="147" t="s">
        <v>178</v>
      </c>
      <c r="L121" s="148"/>
      <c r="M121" s="148"/>
      <c r="N121" s="148"/>
      <c r="O121" s="148"/>
      <c r="P121" s="148"/>
      <c r="Q121" s="148"/>
      <c r="R121" s="148">
        <v>0</v>
      </c>
      <c r="S121" s="148"/>
      <c r="T121" s="148">
        <v>0</v>
      </c>
      <c r="U121" s="150">
        <v>0</v>
      </c>
      <c r="V121" s="148"/>
      <c r="W121" s="148">
        <v>0</v>
      </c>
      <c r="X121" s="150">
        <v>0</v>
      </c>
      <c r="Y121" s="148"/>
      <c r="Z121" s="148">
        <v>0</v>
      </c>
      <c r="AA121" s="150">
        <v>0</v>
      </c>
    </row>
    <row r="122" spans="1:27" ht="24.95" hidden="1" customHeight="1">
      <c r="A122" s="32" t="e">
        <v>#REF!</v>
      </c>
      <c r="B122" s="139" t="s">
        <v>167</v>
      </c>
      <c r="C122" s="139" t="s">
        <v>171</v>
      </c>
      <c r="D122" s="139" t="s">
        <v>172</v>
      </c>
      <c r="E122" s="139" t="s">
        <v>261</v>
      </c>
      <c r="F122" s="139" t="s">
        <v>175</v>
      </c>
      <c r="G122" s="139" t="s">
        <v>179</v>
      </c>
      <c r="H122" s="139"/>
      <c r="I122" s="139">
        <v>11</v>
      </c>
      <c r="J122" s="140" t="s">
        <v>29</v>
      </c>
      <c r="K122" s="140" t="s">
        <v>180</v>
      </c>
      <c r="L122" s="141">
        <v>0</v>
      </c>
      <c r="M122" s="142">
        <v>0</v>
      </c>
      <c r="N122" s="142">
        <v>0</v>
      </c>
      <c r="O122" s="142">
        <v>0</v>
      </c>
      <c r="P122" s="142">
        <v>0</v>
      </c>
      <c r="Q122" s="142">
        <v>0</v>
      </c>
      <c r="R122" s="141">
        <v>0</v>
      </c>
      <c r="S122" s="141">
        <v>0</v>
      </c>
      <c r="T122" s="141">
        <v>0</v>
      </c>
      <c r="U122" s="143">
        <v>0</v>
      </c>
      <c r="V122" s="141">
        <v>0</v>
      </c>
      <c r="W122" s="142">
        <v>0</v>
      </c>
      <c r="X122" s="143">
        <v>0</v>
      </c>
      <c r="Y122" s="141">
        <v>0</v>
      </c>
      <c r="Z122" s="141">
        <v>0</v>
      </c>
      <c r="AA122" s="724">
        <v>0</v>
      </c>
    </row>
    <row r="123" spans="1:27" ht="24.95" hidden="1" customHeight="1">
      <c r="A123" s="32" t="e">
        <v>#REF!</v>
      </c>
      <c r="B123" s="145" t="s">
        <v>167</v>
      </c>
      <c r="C123" s="145" t="s">
        <v>171</v>
      </c>
      <c r="D123" s="145" t="s">
        <v>172</v>
      </c>
      <c r="E123" s="145">
        <v>5</v>
      </c>
      <c r="F123" s="145" t="s">
        <v>175</v>
      </c>
      <c r="G123" s="145" t="s">
        <v>179</v>
      </c>
      <c r="H123" s="145" t="s">
        <v>54</v>
      </c>
      <c r="I123" s="145">
        <v>11</v>
      </c>
      <c r="J123" s="146" t="s">
        <v>29</v>
      </c>
      <c r="K123" s="147" t="s">
        <v>178</v>
      </c>
      <c r="L123" s="148"/>
      <c r="M123" s="148"/>
      <c r="N123" s="148"/>
      <c r="O123" s="148"/>
      <c r="P123" s="148"/>
      <c r="Q123" s="148"/>
      <c r="R123" s="148">
        <v>0</v>
      </c>
      <c r="S123" s="148"/>
      <c r="T123" s="148">
        <v>0</v>
      </c>
      <c r="U123" s="150">
        <v>0</v>
      </c>
      <c r="V123" s="148"/>
      <c r="W123" s="148">
        <v>0</v>
      </c>
      <c r="X123" s="150">
        <v>0</v>
      </c>
      <c r="Y123" s="148"/>
      <c r="Z123" s="148">
        <v>0</v>
      </c>
      <c r="AA123" s="150">
        <v>0</v>
      </c>
    </row>
    <row r="124" spans="1:27" ht="24.95" hidden="1" customHeight="1">
      <c r="A124" s="32" t="e">
        <v>#REF!</v>
      </c>
      <c r="B124" s="139" t="s">
        <v>167</v>
      </c>
      <c r="C124" s="139" t="s">
        <v>171</v>
      </c>
      <c r="D124" s="139" t="s">
        <v>172</v>
      </c>
      <c r="E124" s="139" t="s">
        <v>261</v>
      </c>
      <c r="F124" s="139" t="s">
        <v>175</v>
      </c>
      <c r="G124" s="139" t="s">
        <v>181</v>
      </c>
      <c r="H124" s="139"/>
      <c r="I124" s="139">
        <v>11</v>
      </c>
      <c r="J124" s="140" t="s">
        <v>29</v>
      </c>
      <c r="K124" s="140" t="s">
        <v>182</v>
      </c>
      <c r="L124" s="141">
        <v>0</v>
      </c>
      <c r="M124" s="142">
        <v>0</v>
      </c>
      <c r="N124" s="142">
        <v>0</v>
      </c>
      <c r="O124" s="142">
        <v>0</v>
      </c>
      <c r="P124" s="142">
        <v>0</v>
      </c>
      <c r="Q124" s="142">
        <v>0</v>
      </c>
      <c r="R124" s="141">
        <v>0</v>
      </c>
      <c r="S124" s="141">
        <v>0</v>
      </c>
      <c r="T124" s="141">
        <v>0</v>
      </c>
      <c r="U124" s="143">
        <v>0</v>
      </c>
      <c r="V124" s="141">
        <v>0</v>
      </c>
      <c r="W124" s="142">
        <v>0</v>
      </c>
      <c r="X124" s="143">
        <v>0</v>
      </c>
      <c r="Y124" s="141">
        <v>0</v>
      </c>
      <c r="Z124" s="141">
        <v>0</v>
      </c>
      <c r="AA124" s="724">
        <v>0</v>
      </c>
    </row>
    <row r="125" spans="1:27" ht="24.95" hidden="1" customHeight="1">
      <c r="A125" s="32" t="e">
        <v>#REF!</v>
      </c>
      <c r="B125" s="145" t="s">
        <v>167</v>
      </c>
      <c r="C125" s="145" t="s">
        <v>171</v>
      </c>
      <c r="D125" s="145" t="s">
        <v>172</v>
      </c>
      <c r="E125" s="145" t="s">
        <v>261</v>
      </c>
      <c r="F125" s="145" t="s">
        <v>175</v>
      </c>
      <c r="G125" s="145" t="s">
        <v>181</v>
      </c>
      <c r="H125" s="145" t="s">
        <v>54</v>
      </c>
      <c r="I125" s="145">
        <v>11</v>
      </c>
      <c r="J125" s="146" t="s">
        <v>29</v>
      </c>
      <c r="K125" s="147" t="s">
        <v>178</v>
      </c>
      <c r="L125" s="148"/>
      <c r="M125" s="148"/>
      <c r="N125" s="148"/>
      <c r="O125" s="148"/>
      <c r="P125" s="148"/>
      <c r="Q125" s="148"/>
      <c r="R125" s="148">
        <v>0</v>
      </c>
      <c r="S125" s="148"/>
      <c r="T125" s="148">
        <v>0</v>
      </c>
      <c r="U125" s="150">
        <v>0</v>
      </c>
      <c r="V125" s="148"/>
      <c r="W125" s="148">
        <v>0</v>
      </c>
      <c r="X125" s="150">
        <v>0</v>
      </c>
      <c r="Y125" s="148"/>
      <c r="Z125" s="148">
        <v>0</v>
      </c>
      <c r="AA125" s="150">
        <v>0</v>
      </c>
    </row>
    <row r="126" spans="1:27" ht="24.95" hidden="1" customHeight="1">
      <c r="A126" s="32" t="e">
        <v>#REF!</v>
      </c>
      <c r="B126" s="139" t="s">
        <v>167</v>
      </c>
      <c r="C126" s="139" t="s">
        <v>171</v>
      </c>
      <c r="D126" s="139" t="s">
        <v>172</v>
      </c>
      <c r="E126" s="139" t="s">
        <v>261</v>
      </c>
      <c r="F126" s="139" t="s">
        <v>175</v>
      </c>
      <c r="G126" s="139" t="s">
        <v>183</v>
      </c>
      <c r="H126" s="139"/>
      <c r="I126" s="139">
        <v>11</v>
      </c>
      <c r="J126" s="140" t="s">
        <v>29</v>
      </c>
      <c r="K126" s="140" t="s">
        <v>184</v>
      </c>
      <c r="L126" s="141">
        <v>0</v>
      </c>
      <c r="M126" s="142">
        <v>0</v>
      </c>
      <c r="N126" s="142">
        <v>0</v>
      </c>
      <c r="O126" s="142">
        <v>0</v>
      </c>
      <c r="P126" s="142">
        <v>0</v>
      </c>
      <c r="Q126" s="142">
        <v>0</v>
      </c>
      <c r="R126" s="141">
        <v>0</v>
      </c>
      <c r="S126" s="141">
        <v>0</v>
      </c>
      <c r="T126" s="141">
        <v>0</v>
      </c>
      <c r="U126" s="143">
        <v>0</v>
      </c>
      <c r="V126" s="141">
        <v>0</v>
      </c>
      <c r="W126" s="142">
        <v>0</v>
      </c>
      <c r="X126" s="143">
        <v>0</v>
      </c>
      <c r="Y126" s="141">
        <v>0</v>
      </c>
      <c r="Z126" s="141">
        <v>0</v>
      </c>
      <c r="AA126" s="724">
        <v>0</v>
      </c>
    </row>
    <row r="127" spans="1:27" ht="24.95" hidden="1" customHeight="1">
      <c r="A127" s="32" t="e">
        <v>#REF!</v>
      </c>
      <c r="B127" s="145" t="s">
        <v>167</v>
      </c>
      <c r="C127" s="145" t="s">
        <v>171</v>
      </c>
      <c r="D127" s="145" t="s">
        <v>172</v>
      </c>
      <c r="E127" s="145" t="s">
        <v>261</v>
      </c>
      <c r="F127" s="145" t="s">
        <v>175</v>
      </c>
      <c r="G127" s="145" t="s">
        <v>183</v>
      </c>
      <c r="H127" s="145" t="s">
        <v>54</v>
      </c>
      <c r="I127" s="145">
        <v>11</v>
      </c>
      <c r="J127" s="146" t="s">
        <v>29</v>
      </c>
      <c r="K127" s="147" t="s">
        <v>178</v>
      </c>
      <c r="L127" s="148"/>
      <c r="M127" s="148"/>
      <c r="N127" s="148"/>
      <c r="O127" s="148"/>
      <c r="P127" s="148"/>
      <c r="Q127" s="148"/>
      <c r="R127" s="148">
        <v>0</v>
      </c>
      <c r="S127" s="148"/>
      <c r="T127" s="148">
        <v>0</v>
      </c>
      <c r="U127" s="150">
        <v>0</v>
      </c>
      <c r="V127" s="148"/>
      <c r="W127" s="148">
        <v>0</v>
      </c>
      <c r="X127" s="150">
        <v>0</v>
      </c>
      <c r="Y127" s="148"/>
      <c r="Z127" s="148">
        <v>0</v>
      </c>
      <c r="AA127" s="150">
        <v>0</v>
      </c>
    </row>
    <row r="128" spans="1:27" ht="24.95" hidden="1" customHeight="1">
      <c r="A128" s="32" t="e">
        <v>#REF!</v>
      </c>
      <c r="B128" s="139" t="s">
        <v>167</v>
      </c>
      <c r="C128" s="139" t="s">
        <v>171</v>
      </c>
      <c r="D128" s="139" t="s">
        <v>172</v>
      </c>
      <c r="E128" s="139" t="s">
        <v>261</v>
      </c>
      <c r="F128" s="139" t="s">
        <v>175</v>
      </c>
      <c r="G128" s="139" t="s">
        <v>185</v>
      </c>
      <c r="H128" s="139"/>
      <c r="I128" s="139">
        <v>11</v>
      </c>
      <c r="J128" s="140" t="s">
        <v>29</v>
      </c>
      <c r="K128" s="140" t="s">
        <v>186</v>
      </c>
      <c r="L128" s="141">
        <v>0</v>
      </c>
      <c r="M128" s="142">
        <v>0</v>
      </c>
      <c r="N128" s="142">
        <v>0</v>
      </c>
      <c r="O128" s="142">
        <v>0</v>
      </c>
      <c r="P128" s="142">
        <v>0</v>
      </c>
      <c r="Q128" s="142">
        <v>0</v>
      </c>
      <c r="R128" s="141">
        <v>0</v>
      </c>
      <c r="S128" s="141">
        <v>0</v>
      </c>
      <c r="T128" s="141">
        <v>0</v>
      </c>
      <c r="U128" s="143">
        <v>0</v>
      </c>
      <c r="V128" s="141">
        <v>0</v>
      </c>
      <c r="W128" s="142">
        <v>0</v>
      </c>
      <c r="X128" s="143">
        <v>0</v>
      </c>
      <c r="Y128" s="141">
        <v>0</v>
      </c>
      <c r="Z128" s="141">
        <v>0</v>
      </c>
      <c r="AA128" s="724">
        <v>0</v>
      </c>
    </row>
    <row r="129" spans="1:27" ht="24.95" hidden="1" customHeight="1">
      <c r="A129" s="32" t="e">
        <v>#REF!</v>
      </c>
      <c r="B129" s="145" t="s">
        <v>167</v>
      </c>
      <c r="C129" s="145" t="s">
        <v>171</v>
      </c>
      <c r="D129" s="145" t="s">
        <v>172</v>
      </c>
      <c r="E129" s="145">
        <v>5</v>
      </c>
      <c r="F129" s="145" t="s">
        <v>175</v>
      </c>
      <c r="G129" s="145" t="s">
        <v>185</v>
      </c>
      <c r="H129" s="145" t="s">
        <v>54</v>
      </c>
      <c r="I129" s="145">
        <v>11</v>
      </c>
      <c r="J129" s="146" t="s">
        <v>29</v>
      </c>
      <c r="K129" s="147" t="s">
        <v>178</v>
      </c>
      <c r="L129" s="148"/>
      <c r="M129" s="148"/>
      <c r="N129" s="148"/>
      <c r="O129" s="148"/>
      <c r="P129" s="148"/>
      <c r="Q129" s="148"/>
      <c r="R129" s="148">
        <v>0</v>
      </c>
      <c r="S129" s="148"/>
      <c r="T129" s="148">
        <v>0</v>
      </c>
      <c r="U129" s="150">
        <v>0</v>
      </c>
      <c r="V129" s="148"/>
      <c r="W129" s="148">
        <v>0</v>
      </c>
      <c r="X129" s="150">
        <v>0</v>
      </c>
      <c r="Y129" s="148"/>
      <c r="Z129" s="148">
        <v>0</v>
      </c>
      <c r="AA129" s="150">
        <v>0</v>
      </c>
    </row>
    <row r="130" spans="1:27" ht="24.95" hidden="1" customHeight="1">
      <c r="A130" s="32" t="e">
        <v>#REF!</v>
      </c>
      <c r="B130" s="139" t="s">
        <v>167</v>
      </c>
      <c r="C130" s="139" t="s">
        <v>171</v>
      </c>
      <c r="D130" s="139" t="s">
        <v>172</v>
      </c>
      <c r="E130" s="139" t="s">
        <v>261</v>
      </c>
      <c r="F130" s="139" t="s">
        <v>175</v>
      </c>
      <c r="G130" s="139" t="s">
        <v>187</v>
      </c>
      <c r="H130" s="139"/>
      <c r="I130" s="139">
        <v>11</v>
      </c>
      <c r="J130" s="140" t="s">
        <v>29</v>
      </c>
      <c r="K130" s="140" t="s">
        <v>188</v>
      </c>
      <c r="L130" s="141">
        <v>0</v>
      </c>
      <c r="M130" s="142">
        <v>0</v>
      </c>
      <c r="N130" s="142">
        <v>0</v>
      </c>
      <c r="O130" s="142">
        <v>0</v>
      </c>
      <c r="P130" s="142">
        <v>0</v>
      </c>
      <c r="Q130" s="142">
        <v>0</v>
      </c>
      <c r="R130" s="141">
        <v>0</v>
      </c>
      <c r="S130" s="141">
        <v>0</v>
      </c>
      <c r="T130" s="141">
        <v>0</v>
      </c>
      <c r="U130" s="143">
        <v>0</v>
      </c>
      <c r="V130" s="141">
        <v>0</v>
      </c>
      <c r="W130" s="142">
        <v>0</v>
      </c>
      <c r="X130" s="143">
        <v>0</v>
      </c>
      <c r="Y130" s="141">
        <v>0</v>
      </c>
      <c r="Z130" s="141">
        <v>0</v>
      </c>
      <c r="AA130" s="724">
        <v>0</v>
      </c>
    </row>
    <row r="131" spans="1:27" ht="24.95" hidden="1" customHeight="1">
      <c r="A131" s="32" t="e">
        <v>#REF!</v>
      </c>
      <c r="B131" s="145" t="s">
        <v>167</v>
      </c>
      <c r="C131" s="145" t="s">
        <v>171</v>
      </c>
      <c r="D131" s="145" t="s">
        <v>172</v>
      </c>
      <c r="E131" s="145" t="s">
        <v>261</v>
      </c>
      <c r="F131" s="145" t="s">
        <v>175</v>
      </c>
      <c r="G131" s="145" t="s">
        <v>187</v>
      </c>
      <c r="H131" s="145" t="s">
        <v>54</v>
      </c>
      <c r="I131" s="145">
        <v>11</v>
      </c>
      <c r="J131" s="146" t="s">
        <v>29</v>
      </c>
      <c r="K131" s="147" t="s">
        <v>178</v>
      </c>
      <c r="L131" s="148"/>
      <c r="M131" s="148"/>
      <c r="N131" s="148"/>
      <c r="O131" s="148"/>
      <c r="P131" s="148"/>
      <c r="Q131" s="148"/>
      <c r="R131" s="148">
        <v>0</v>
      </c>
      <c r="S131" s="148"/>
      <c r="T131" s="148">
        <v>0</v>
      </c>
      <c r="U131" s="150">
        <v>0</v>
      </c>
      <c r="V131" s="148"/>
      <c r="W131" s="148">
        <v>0</v>
      </c>
      <c r="X131" s="150">
        <v>0</v>
      </c>
      <c r="Y131" s="148"/>
      <c r="Z131" s="148">
        <v>0</v>
      </c>
      <c r="AA131" s="150">
        <v>0</v>
      </c>
    </row>
    <row r="132" spans="1:27" ht="54.75" customHeight="1">
      <c r="A132" s="32" t="e">
        <v>#REF!</v>
      </c>
      <c r="B132" s="133" t="s">
        <v>167</v>
      </c>
      <c r="C132" s="133" t="s">
        <v>171</v>
      </c>
      <c r="D132" s="133" t="s">
        <v>172</v>
      </c>
      <c r="E132" s="133" t="s">
        <v>173</v>
      </c>
      <c r="F132" s="133"/>
      <c r="G132" s="133"/>
      <c r="H132" s="133"/>
      <c r="I132" s="133"/>
      <c r="J132" s="134"/>
      <c r="K132" s="134" t="s">
        <v>174</v>
      </c>
      <c r="L132" s="135">
        <v>10248574078</v>
      </c>
      <c r="M132" s="136">
        <v>0</v>
      </c>
      <c r="N132" s="136">
        <v>0</v>
      </c>
      <c r="O132" s="136">
        <v>0</v>
      </c>
      <c r="P132" s="136">
        <v>0</v>
      </c>
      <c r="Q132" s="136">
        <v>0</v>
      </c>
      <c r="R132" s="135">
        <v>10248574078</v>
      </c>
      <c r="S132" s="135">
        <v>10248574078</v>
      </c>
      <c r="T132" s="135">
        <v>0</v>
      </c>
      <c r="U132" s="137">
        <v>1</v>
      </c>
      <c r="V132" s="135">
        <v>10248574078</v>
      </c>
      <c r="W132" s="136">
        <v>0</v>
      </c>
      <c r="X132" s="137">
        <v>0</v>
      </c>
      <c r="Y132" s="135">
        <v>10248574078</v>
      </c>
      <c r="Z132" s="135">
        <v>0</v>
      </c>
      <c r="AA132" s="723">
        <v>1</v>
      </c>
    </row>
    <row r="133" spans="1:27" ht="31.5" customHeight="1">
      <c r="A133" s="32" t="e">
        <v>#REF!</v>
      </c>
      <c r="B133" s="139" t="s">
        <v>167</v>
      </c>
      <c r="C133" s="139" t="s">
        <v>171</v>
      </c>
      <c r="D133" s="139" t="s">
        <v>172</v>
      </c>
      <c r="E133" s="139" t="s">
        <v>173</v>
      </c>
      <c r="F133" s="139" t="s">
        <v>175</v>
      </c>
      <c r="G133" s="139" t="s">
        <v>176</v>
      </c>
      <c r="H133" s="139"/>
      <c r="I133" s="139" t="s">
        <v>144</v>
      </c>
      <c r="J133" s="140" t="s">
        <v>29</v>
      </c>
      <c r="K133" s="140" t="s">
        <v>177</v>
      </c>
      <c r="L133" s="141">
        <v>1189683575</v>
      </c>
      <c r="M133" s="142">
        <v>0</v>
      </c>
      <c r="N133" s="142">
        <v>0</v>
      </c>
      <c r="O133" s="142">
        <v>0</v>
      </c>
      <c r="P133" s="142">
        <v>0</v>
      </c>
      <c r="Q133" s="142">
        <v>0</v>
      </c>
      <c r="R133" s="141">
        <v>1189683575</v>
      </c>
      <c r="S133" s="141">
        <v>1189683575</v>
      </c>
      <c r="T133" s="141">
        <v>0</v>
      </c>
      <c r="U133" s="143">
        <v>1</v>
      </c>
      <c r="V133" s="141">
        <v>1189683575</v>
      </c>
      <c r="W133" s="142">
        <v>0</v>
      </c>
      <c r="X133" s="143">
        <v>0</v>
      </c>
      <c r="Y133" s="141">
        <v>1189683575</v>
      </c>
      <c r="Z133" s="141">
        <v>0</v>
      </c>
      <c r="AA133" s="724">
        <v>1</v>
      </c>
    </row>
    <row r="134" spans="1:27" ht="24.95" customHeight="1">
      <c r="A134" s="32" t="e">
        <v>#REF!</v>
      </c>
      <c r="B134" s="145" t="s">
        <v>167</v>
      </c>
      <c r="C134" s="145" t="s">
        <v>171</v>
      </c>
      <c r="D134" s="145" t="s">
        <v>172</v>
      </c>
      <c r="E134" s="145" t="s">
        <v>173</v>
      </c>
      <c r="F134" s="145" t="s">
        <v>175</v>
      </c>
      <c r="G134" s="145" t="s">
        <v>176</v>
      </c>
      <c r="H134" s="145" t="s">
        <v>54</v>
      </c>
      <c r="I134" s="145" t="s">
        <v>144</v>
      </c>
      <c r="J134" s="146" t="s">
        <v>29</v>
      </c>
      <c r="K134" s="147" t="s">
        <v>178</v>
      </c>
      <c r="L134" s="148">
        <v>1189683575</v>
      </c>
      <c r="M134" s="148"/>
      <c r="N134" s="148"/>
      <c r="O134" s="148"/>
      <c r="P134" s="148"/>
      <c r="Q134" s="148"/>
      <c r="R134" s="148">
        <v>1189683575</v>
      </c>
      <c r="S134" s="148">
        <v>1189683575</v>
      </c>
      <c r="T134" s="148">
        <v>0</v>
      </c>
      <c r="U134" s="150">
        <v>1</v>
      </c>
      <c r="V134" s="148">
        <v>1189683575</v>
      </c>
      <c r="W134" s="148">
        <v>0</v>
      </c>
      <c r="X134" s="150">
        <v>0</v>
      </c>
      <c r="Y134" s="148">
        <v>1189683575</v>
      </c>
      <c r="Z134" s="148">
        <v>0</v>
      </c>
      <c r="AA134" s="150">
        <v>1</v>
      </c>
    </row>
    <row r="135" spans="1:27" ht="31.5" customHeight="1">
      <c r="A135" s="32" t="e">
        <v>#REF!</v>
      </c>
      <c r="B135" s="139" t="s">
        <v>167</v>
      </c>
      <c r="C135" s="139" t="s">
        <v>171</v>
      </c>
      <c r="D135" s="139" t="s">
        <v>172</v>
      </c>
      <c r="E135" s="139" t="s">
        <v>173</v>
      </c>
      <c r="F135" s="139" t="s">
        <v>175</v>
      </c>
      <c r="G135" s="139" t="s">
        <v>179</v>
      </c>
      <c r="H135" s="139"/>
      <c r="I135" s="139" t="s">
        <v>144</v>
      </c>
      <c r="J135" s="140" t="s">
        <v>29</v>
      </c>
      <c r="K135" s="140" t="s">
        <v>180</v>
      </c>
      <c r="L135" s="141">
        <v>115014864</v>
      </c>
      <c r="M135" s="142">
        <v>0</v>
      </c>
      <c r="N135" s="142">
        <v>0</v>
      </c>
      <c r="O135" s="142">
        <v>0</v>
      </c>
      <c r="P135" s="142">
        <v>0</v>
      </c>
      <c r="Q135" s="142">
        <v>0</v>
      </c>
      <c r="R135" s="141">
        <v>115014864</v>
      </c>
      <c r="S135" s="141">
        <v>115014864</v>
      </c>
      <c r="T135" s="141">
        <v>0</v>
      </c>
      <c r="U135" s="143">
        <v>1</v>
      </c>
      <c r="V135" s="141">
        <v>115014864</v>
      </c>
      <c r="W135" s="142">
        <v>0</v>
      </c>
      <c r="X135" s="143">
        <v>0</v>
      </c>
      <c r="Y135" s="141">
        <v>115014864</v>
      </c>
      <c r="Z135" s="141">
        <v>0</v>
      </c>
      <c r="AA135" s="724">
        <v>1</v>
      </c>
    </row>
    <row r="136" spans="1:27" ht="24.95" customHeight="1">
      <c r="A136" s="32" t="e">
        <v>#REF!</v>
      </c>
      <c r="B136" s="145" t="s">
        <v>167</v>
      </c>
      <c r="C136" s="145" t="s">
        <v>171</v>
      </c>
      <c r="D136" s="145" t="s">
        <v>172</v>
      </c>
      <c r="E136" s="145" t="s">
        <v>173</v>
      </c>
      <c r="F136" s="145" t="s">
        <v>175</v>
      </c>
      <c r="G136" s="145" t="s">
        <v>179</v>
      </c>
      <c r="H136" s="145" t="s">
        <v>54</v>
      </c>
      <c r="I136" s="145" t="s">
        <v>144</v>
      </c>
      <c r="J136" s="146" t="s">
        <v>29</v>
      </c>
      <c r="K136" s="147" t="s">
        <v>178</v>
      </c>
      <c r="L136" s="148">
        <v>115014864</v>
      </c>
      <c r="M136" s="148"/>
      <c r="N136" s="148"/>
      <c r="O136" s="148"/>
      <c r="P136" s="148"/>
      <c r="Q136" s="148"/>
      <c r="R136" s="148">
        <v>115014864</v>
      </c>
      <c r="S136" s="148">
        <v>115014864</v>
      </c>
      <c r="T136" s="148">
        <v>0</v>
      </c>
      <c r="U136" s="150">
        <v>1</v>
      </c>
      <c r="V136" s="148">
        <v>115014864</v>
      </c>
      <c r="W136" s="148">
        <v>0</v>
      </c>
      <c r="X136" s="150">
        <v>0</v>
      </c>
      <c r="Y136" s="148">
        <v>115014864</v>
      </c>
      <c r="Z136" s="148">
        <v>0</v>
      </c>
      <c r="AA136" s="150">
        <v>1</v>
      </c>
    </row>
    <row r="137" spans="1:27" ht="31.5" hidden="1" customHeight="1">
      <c r="A137" s="32" t="e">
        <v>#REF!</v>
      </c>
      <c r="B137" s="139" t="s">
        <v>167</v>
      </c>
      <c r="C137" s="139" t="s">
        <v>171</v>
      </c>
      <c r="D137" s="139" t="s">
        <v>172</v>
      </c>
      <c r="E137" s="139" t="s">
        <v>173</v>
      </c>
      <c r="F137" s="139" t="s">
        <v>175</v>
      </c>
      <c r="G137" s="139" t="s">
        <v>181</v>
      </c>
      <c r="H137" s="139"/>
      <c r="I137" s="139" t="s">
        <v>144</v>
      </c>
      <c r="J137" s="140" t="s">
        <v>29</v>
      </c>
      <c r="K137" s="140" t="s">
        <v>182</v>
      </c>
      <c r="L137" s="141">
        <v>0</v>
      </c>
      <c r="M137" s="142">
        <v>0</v>
      </c>
      <c r="N137" s="142">
        <v>0</v>
      </c>
      <c r="O137" s="142">
        <v>0</v>
      </c>
      <c r="P137" s="142">
        <v>0</v>
      </c>
      <c r="Q137" s="142">
        <v>0</v>
      </c>
      <c r="R137" s="141">
        <v>0</v>
      </c>
      <c r="S137" s="141">
        <v>0</v>
      </c>
      <c r="T137" s="141">
        <v>0</v>
      </c>
      <c r="U137" s="143">
        <v>0</v>
      </c>
      <c r="V137" s="141">
        <v>0</v>
      </c>
      <c r="W137" s="142">
        <v>0</v>
      </c>
      <c r="X137" s="143">
        <v>0</v>
      </c>
      <c r="Y137" s="141">
        <v>0</v>
      </c>
      <c r="Z137" s="141">
        <v>0</v>
      </c>
      <c r="AA137" s="724">
        <v>0</v>
      </c>
    </row>
    <row r="138" spans="1:27" ht="24.95" hidden="1" customHeight="1">
      <c r="A138" s="32" t="e">
        <v>#REF!</v>
      </c>
      <c r="B138" s="145" t="s">
        <v>167</v>
      </c>
      <c r="C138" s="145" t="s">
        <v>171</v>
      </c>
      <c r="D138" s="145" t="s">
        <v>172</v>
      </c>
      <c r="E138" s="145" t="s">
        <v>173</v>
      </c>
      <c r="F138" s="145" t="s">
        <v>175</v>
      </c>
      <c r="G138" s="145" t="s">
        <v>181</v>
      </c>
      <c r="H138" s="145" t="s">
        <v>54</v>
      </c>
      <c r="I138" s="145" t="s">
        <v>144</v>
      </c>
      <c r="J138" s="146" t="s">
        <v>29</v>
      </c>
      <c r="K138" s="147" t="s">
        <v>178</v>
      </c>
      <c r="L138" s="148"/>
      <c r="M138" s="148"/>
      <c r="N138" s="148"/>
      <c r="O138" s="148"/>
      <c r="P138" s="148"/>
      <c r="Q138" s="148"/>
      <c r="R138" s="148">
        <v>0</v>
      </c>
      <c r="S138" s="148"/>
      <c r="T138" s="148">
        <v>0</v>
      </c>
      <c r="U138" s="150">
        <v>0</v>
      </c>
      <c r="V138" s="148"/>
      <c r="W138" s="148">
        <v>0</v>
      </c>
      <c r="X138" s="150">
        <v>0</v>
      </c>
      <c r="Y138" s="148"/>
      <c r="Z138" s="148">
        <v>0</v>
      </c>
      <c r="AA138" s="150">
        <v>0</v>
      </c>
    </row>
    <row r="139" spans="1:27" ht="31.5" hidden="1" customHeight="1">
      <c r="A139" s="32" t="e">
        <v>#REF!</v>
      </c>
      <c r="B139" s="139" t="s">
        <v>167</v>
      </c>
      <c r="C139" s="139" t="s">
        <v>171</v>
      </c>
      <c r="D139" s="139" t="s">
        <v>172</v>
      </c>
      <c r="E139" s="139" t="s">
        <v>173</v>
      </c>
      <c r="F139" s="139" t="s">
        <v>175</v>
      </c>
      <c r="G139" s="139" t="s">
        <v>183</v>
      </c>
      <c r="H139" s="139"/>
      <c r="I139" s="139" t="s">
        <v>144</v>
      </c>
      <c r="J139" s="140" t="s">
        <v>29</v>
      </c>
      <c r="K139" s="140" t="s">
        <v>184</v>
      </c>
      <c r="L139" s="141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1">
        <v>0</v>
      </c>
      <c r="S139" s="141">
        <v>0</v>
      </c>
      <c r="T139" s="141">
        <v>0</v>
      </c>
      <c r="U139" s="143">
        <v>0</v>
      </c>
      <c r="V139" s="141">
        <v>0</v>
      </c>
      <c r="W139" s="142">
        <v>0</v>
      </c>
      <c r="X139" s="143">
        <v>0</v>
      </c>
      <c r="Y139" s="141">
        <v>0</v>
      </c>
      <c r="Z139" s="141">
        <v>0</v>
      </c>
      <c r="AA139" s="724">
        <v>0</v>
      </c>
    </row>
    <row r="140" spans="1:27" ht="24.95" hidden="1" customHeight="1">
      <c r="A140" s="32" t="e">
        <v>#REF!</v>
      </c>
      <c r="B140" s="145" t="s">
        <v>167</v>
      </c>
      <c r="C140" s="145" t="s">
        <v>171</v>
      </c>
      <c r="D140" s="145" t="s">
        <v>172</v>
      </c>
      <c r="E140" s="145" t="s">
        <v>173</v>
      </c>
      <c r="F140" s="145" t="s">
        <v>175</v>
      </c>
      <c r="G140" s="145" t="s">
        <v>183</v>
      </c>
      <c r="H140" s="145" t="s">
        <v>54</v>
      </c>
      <c r="I140" s="145" t="s">
        <v>144</v>
      </c>
      <c r="J140" s="146" t="s">
        <v>29</v>
      </c>
      <c r="K140" s="147" t="s">
        <v>178</v>
      </c>
      <c r="L140" s="148">
        <v>0</v>
      </c>
      <c r="M140" s="148"/>
      <c r="N140" s="148"/>
      <c r="O140" s="148"/>
      <c r="P140" s="148"/>
      <c r="Q140" s="148"/>
      <c r="R140" s="148">
        <v>0</v>
      </c>
      <c r="S140" s="148">
        <v>0</v>
      </c>
      <c r="T140" s="148">
        <v>0</v>
      </c>
      <c r="U140" s="150">
        <v>0</v>
      </c>
      <c r="V140" s="148">
        <v>0</v>
      </c>
      <c r="W140" s="148">
        <v>0</v>
      </c>
      <c r="X140" s="150">
        <v>0</v>
      </c>
      <c r="Y140" s="148">
        <v>0</v>
      </c>
      <c r="Z140" s="148">
        <v>0</v>
      </c>
      <c r="AA140" s="150">
        <v>0</v>
      </c>
    </row>
    <row r="141" spans="1:27" ht="31.5" customHeight="1">
      <c r="A141" s="32" t="e">
        <v>#REF!</v>
      </c>
      <c r="B141" s="139" t="s">
        <v>167</v>
      </c>
      <c r="C141" s="139" t="s">
        <v>171</v>
      </c>
      <c r="D141" s="139" t="s">
        <v>172</v>
      </c>
      <c r="E141" s="139" t="s">
        <v>173</v>
      </c>
      <c r="F141" s="139" t="s">
        <v>175</v>
      </c>
      <c r="G141" s="139" t="s">
        <v>185</v>
      </c>
      <c r="H141" s="139"/>
      <c r="I141" s="139" t="s">
        <v>144</v>
      </c>
      <c r="J141" s="140" t="s">
        <v>29</v>
      </c>
      <c r="K141" s="140" t="s">
        <v>186</v>
      </c>
      <c r="L141" s="141">
        <v>8943875639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1">
        <v>8943875639</v>
      </c>
      <c r="S141" s="141">
        <v>8943875639</v>
      </c>
      <c r="T141" s="141">
        <v>0</v>
      </c>
      <c r="U141" s="143">
        <v>1</v>
      </c>
      <c r="V141" s="141">
        <v>8943875639</v>
      </c>
      <c r="W141" s="142">
        <v>0</v>
      </c>
      <c r="X141" s="143">
        <v>0</v>
      </c>
      <c r="Y141" s="141">
        <v>8943875639</v>
      </c>
      <c r="Z141" s="141">
        <v>0</v>
      </c>
      <c r="AA141" s="724">
        <v>1</v>
      </c>
    </row>
    <row r="142" spans="1:27" ht="24.95" customHeight="1">
      <c r="A142" s="32" t="e">
        <v>#REF!</v>
      </c>
      <c r="B142" s="145" t="s">
        <v>167</v>
      </c>
      <c r="C142" s="145" t="s">
        <v>171</v>
      </c>
      <c r="D142" s="145" t="s">
        <v>172</v>
      </c>
      <c r="E142" s="145" t="s">
        <v>173</v>
      </c>
      <c r="F142" s="145" t="s">
        <v>175</v>
      </c>
      <c r="G142" s="145" t="s">
        <v>185</v>
      </c>
      <c r="H142" s="145" t="s">
        <v>54</v>
      </c>
      <c r="I142" s="145" t="s">
        <v>144</v>
      </c>
      <c r="J142" s="146" t="s">
        <v>29</v>
      </c>
      <c r="K142" s="147" t="s">
        <v>178</v>
      </c>
      <c r="L142" s="148">
        <v>8943875639</v>
      </c>
      <c r="M142" s="148"/>
      <c r="N142" s="148"/>
      <c r="O142" s="148"/>
      <c r="P142" s="148"/>
      <c r="Q142" s="148"/>
      <c r="R142" s="148">
        <v>8943875639</v>
      </c>
      <c r="S142" s="148">
        <v>8943875639</v>
      </c>
      <c r="T142" s="148">
        <v>0</v>
      </c>
      <c r="U142" s="150">
        <v>1</v>
      </c>
      <c r="V142" s="148">
        <v>8943875639</v>
      </c>
      <c r="W142" s="148">
        <v>0</v>
      </c>
      <c r="X142" s="150">
        <v>0</v>
      </c>
      <c r="Y142" s="148">
        <v>8943875639</v>
      </c>
      <c r="Z142" s="148">
        <v>0</v>
      </c>
      <c r="AA142" s="150">
        <v>1</v>
      </c>
    </row>
    <row r="143" spans="1:27" ht="31.5" hidden="1" customHeight="1">
      <c r="A143" s="32" t="e">
        <v>#REF!</v>
      </c>
      <c r="B143" s="139" t="s">
        <v>167</v>
      </c>
      <c r="C143" s="139" t="s">
        <v>171</v>
      </c>
      <c r="D143" s="139" t="s">
        <v>172</v>
      </c>
      <c r="E143" s="139" t="s">
        <v>173</v>
      </c>
      <c r="F143" s="139" t="s">
        <v>175</v>
      </c>
      <c r="G143" s="139" t="s">
        <v>187</v>
      </c>
      <c r="H143" s="139"/>
      <c r="I143" s="139" t="s">
        <v>144</v>
      </c>
      <c r="J143" s="140" t="s">
        <v>29</v>
      </c>
      <c r="K143" s="140" t="s">
        <v>188</v>
      </c>
      <c r="L143" s="141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41">
        <v>0</v>
      </c>
      <c r="S143" s="141">
        <v>0</v>
      </c>
      <c r="T143" s="141">
        <v>0</v>
      </c>
      <c r="U143" s="143">
        <v>0</v>
      </c>
      <c r="V143" s="141">
        <v>0</v>
      </c>
      <c r="W143" s="142">
        <v>0</v>
      </c>
      <c r="X143" s="143">
        <v>0</v>
      </c>
      <c r="Y143" s="141">
        <v>0</v>
      </c>
      <c r="Z143" s="141">
        <v>0</v>
      </c>
      <c r="AA143" s="724">
        <v>0</v>
      </c>
    </row>
    <row r="144" spans="1:27" ht="24.95" hidden="1" customHeight="1">
      <c r="A144" s="32" t="e">
        <v>#REF!</v>
      </c>
      <c r="B144" s="145" t="s">
        <v>167</v>
      </c>
      <c r="C144" s="145" t="s">
        <v>171</v>
      </c>
      <c r="D144" s="145" t="s">
        <v>172</v>
      </c>
      <c r="E144" s="145" t="s">
        <v>173</v>
      </c>
      <c r="F144" s="145" t="s">
        <v>175</v>
      </c>
      <c r="G144" s="145" t="s">
        <v>187</v>
      </c>
      <c r="H144" s="145" t="s">
        <v>54</v>
      </c>
      <c r="I144" s="145" t="s">
        <v>144</v>
      </c>
      <c r="J144" s="146" t="s">
        <v>29</v>
      </c>
      <c r="K144" s="147" t="s">
        <v>178</v>
      </c>
      <c r="L144" s="148">
        <v>0</v>
      </c>
      <c r="M144" s="148"/>
      <c r="N144" s="148"/>
      <c r="O144" s="148"/>
      <c r="P144" s="148"/>
      <c r="Q144" s="148"/>
      <c r="R144" s="148">
        <v>0</v>
      </c>
      <c r="S144" s="148">
        <v>0</v>
      </c>
      <c r="T144" s="148">
        <v>0</v>
      </c>
      <c r="U144" s="150">
        <v>0</v>
      </c>
      <c r="V144" s="148">
        <v>0</v>
      </c>
      <c r="W144" s="148">
        <v>0</v>
      </c>
      <c r="X144" s="150">
        <v>0</v>
      </c>
      <c r="Y144" s="148">
        <v>0</v>
      </c>
      <c r="Z144" s="148">
        <v>0</v>
      </c>
      <c r="AA144" s="150">
        <v>0</v>
      </c>
    </row>
    <row r="145" spans="1:27" ht="24.95" hidden="1" customHeight="1">
      <c r="A145" s="32" t="e">
        <v>#REF!</v>
      </c>
      <c r="B145" s="145" t="s">
        <v>167</v>
      </c>
      <c r="C145" s="145" t="s">
        <v>171</v>
      </c>
      <c r="D145" s="145" t="s">
        <v>172</v>
      </c>
      <c r="E145" s="145" t="s">
        <v>173</v>
      </c>
      <c r="F145" s="145" t="s">
        <v>175</v>
      </c>
      <c r="G145" s="145" t="s">
        <v>187</v>
      </c>
      <c r="H145" s="145" t="s">
        <v>65</v>
      </c>
      <c r="I145" s="145" t="s">
        <v>144</v>
      </c>
      <c r="J145" s="146" t="s">
        <v>29</v>
      </c>
      <c r="K145" s="147" t="s">
        <v>127</v>
      </c>
      <c r="L145" s="148">
        <v>0</v>
      </c>
      <c r="M145" s="148"/>
      <c r="N145" s="148"/>
      <c r="O145" s="148"/>
      <c r="P145" s="148"/>
      <c r="Q145" s="148"/>
      <c r="R145" s="148">
        <v>0</v>
      </c>
      <c r="S145" s="148">
        <v>0</v>
      </c>
      <c r="T145" s="148">
        <v>0</v>
      </c>
      <c r="U145" s="150">
        <v>0</v>
      </c>
      <c r="V145" s="148">
        <v>0</v>
      </c>
      <c r="W145" s="148">
        <v>0</v>
      </c>
      <c r="X145" s="150">
        <v>0</v>
      </c>
      <c r="Y145" s="148">
        <v>0</v>
      </c>
      <c r="Z145" s="148">
        <v>0</v>
      </c>
      <c r="AA145" s="150">
        <v>0</v>
      </c>
    </row>
    <row r="146" spans="1:27" ht="35.25" customHeight="1">
      <c r="A146" s="32" t="e">
        <v>#REF!</v>
      </c>
      <c r="B146" s="123" t="s">
        <v>167</v>
      </c>
      <c r="C146" s="123">
        <v>4103</v>
      </c>
      <c r="D146" s="123"/>
      <c r="E146" s="123"/>
      <c r="F146" s="123"/>
      <c r="G146" s="123"/>
      <c r="H146" s="123"/>
      <c r="I146" s="124"/>
      <c r="J146" s="124"/>
      <c r="K146" s="124" t="s">
        <v>189</v>
      </c>
      <c r="L146" s="125">
        <v>6217033510554</v>
      </c>
      <c r="M146" s="719">
        <v>0</v>
      </c>
      <c r="N146" s="719">
        <v>0</v>
      </c>
      <c r="O146" s="125">
        <v>88851697011.320007</v>
      </c>
      <c r="P146" s="125">
        <v>88851697011.319992</v>
      </c>
      <c r="Q146" s="125">
        <v>318792361084</v>
      </c>
      <c r="R146" s="125">
        <v>5898241149470</v>
      </c>
      <c r="S146" s="125">
        <v>3294200548136.7998</v>
      </c>
      <c r="T146" s="125">
        <v>2604040601333.2002</v>
      </c>
      <c r="U146" s="126">
        <v>0.55850557219635</v>
      </c>
      <c r="V146" s="125">
        <v>2706155347213.52</v>
      </c>
      <c r="W146" s="125">
        <v>588045200923.28003</v>
      </c>
      <c r="X146" s="126">
        <v>0.17850922927442242</v>
      </c>
      <c r="Y146" s="125">
        <v>2705141214580.52</v>
      </c>
      <c r="Z146" s="125">
        <v>1014132633</v>
      </c>
      <c r="AA146" s="720">
        <v>0.82118291678099209</v>
      </c>
    </row>
    <row r="147" spans="1:27" ht="24" customHeight="1">
      <c r="A147" s="32" t="e">
        <v>#REF!</v>
      </c>
      <c r="B147" s="128" t="s">
        <v>167</v>
      </c>
      <c r="C147" s="128">
        <v>4103</v>
      </c>
      <c r="D147" s="128">
        <v>1500</v>
      </c>
      <c r="E147" s="128"/>
      <c r="F147" s="128"/>
      <c r="G147" s="128"/>
      <c r="H147" s="128"/>
      <c r="I147" s="129"/>
      <c r="J147" s="129"/>
      <c r="K147" s="129" t="s">
        <v>170</v>
      </c>
      <c r="L147" s="130">
        <v>6217033510554</v>
      </c>
      <c r="M147" s="721">
        <v>0</v>
      </c>
      <c r="N147" s="721">
        <v>0</v>
      </c>
      <c r="O147" s="130">
        <v>88851697011.320007</v>
      </c>
      <c r="P147" s="130">
        <v>88851697011.319992</v>
      </c>
      <c r="Q147" s="130">
        <v>318792361084</v>
      </c>
      <c r="R147" s="130">
        <v>5898241149470</v>
      </c>
      <c r="S147" s="130">
        <v>3294200548136.7998</v>
      </c>
      <c r="T147" s="130">
        <v>2604040601333.2002</v>
      </c>
      <c r="U147" s="131">
        <v>0.55850557219635</v>
      </c>
      <c r="V147" s="130">
        <v>2706155347213.52</v>
      </c>
      <c r="W147" s="130">
        <v>588045200923.28003</v>
      </c>
      <c r="X147" s="131">
        <v>0.17850922927442242</v>
      </c>
      <c r="Y147" s="130">
        <v>2705141214580.52</v>
      </c>
      <c r="Z147" s="130">
        <v>1014132633</v>
      </c>
      <c r="AA147" s="722">
        <v>0.82118291678099209</v>
      </c>
    </row>
    <row r="148" spans="1:27" ht="42.75" customHeight="1">
      <c r="A148" s="32" t="e">
        <v>#REF!</v>
      </c>
      <c r="B148" s="133" t="s">
        <v>167</v>
      </c>
      <c r="C148" s="133" t="s">
        <v>190</v>
      </c>
      <c r="D148" s="133" t="s">
        <v>172</v>
      </c>
      <c r="E148" s="133" t="s">
        <v>191</v>
      </c>
      <c r="F148" s="133"/>
      <c r="G148" s="133"/>
      <c r="H148" s="133"/>
      <c r="I148" s="133"/>
      <c r="J148" s="134"/>
      <c r="K148" s="134" t="s">
        <v>263</v>
      </c>
      <c r="L148" s="135">
        <v>2404147573733</v>
      </c>
      <c r="M148" s="136">
        <v>0</v>
      </c>
      <c r="N148" s="136">
        <v>0</v>
      </c>
      <c r="O148" s="135">
        <v>15028347665.059999</v>
      </c>
      <c r="P148" s="135">
        <v>15028347665.059999</v>
      </c>
      <c r="Q148" s="135">
        <v>0</v>
      </c>
      <c r="R148" s="135">
        <v>2404147573733.0005</v>
      </c>
      <c r="S148" s="135">
        <v>1168772218592.03</v>
      </c>
      <c r="T148" s="135">
        <v>1235375355140.9705</v>
      </c>
      <c r="U148" s="137">
        <v>0.48614828447375141</v>
      </c>
      <c r="V148" s="135">
        <v>1099224051521.5601</v>
      </c>
      <c r="W148" s="135">
        <v>69548167070.470001</v>
      </c>
      <c r="X148" s="137">
        <v>5.9505321878930102E-2</v>
      </c>
      <c r="Y148" s="135">
        <v>1099013844062.5601</v>
      </c>
      <c r="Z148" s="135">
        <v>210207459</v>
      </c>
      <c r="AA148" s="723">
        <v>0.94031482489076879</v>
      </c>
    </row>
    <row r="149" spans="1:27" ht="30.75" customHeight="1">
      <c r="A149" s="32" t="e">
        <v>#REF!</v>
      </c>
      <c r="B149" s="139" t="s">
        <v>167</v>
      </c>
      <c r="C149" s="139" t="s">
        <v>190</v>
      </c>
      <c r="D149" s="139" t="s">
        <v>172</v>
      </c>
      <c r="E149" s="139" t="s">
        <v>191</v>
      </c>
      <c r="F149" s="139" t="s">
        <v>175</v>
      </c>
      <c r="G149" s="139" t="s">
        <v>193</v>
      </c>
      <c r="H149" s="139"/>
      <c r="I149" s="139"/>
      <c r="J149" s="140"/>
      <c r="K149" s="140" t="s">
        <v>194</v>
      </c>
      <c r="L149" s="141">
        <v>2398883573733</v>
      </c>
      <c r="M149" s="142">
        <v>0</v>
      </c>
      <c r="N149" s="142">
        <v>0</v>
      </c>
      <c r="O149" s="141">
        <v>15028347665.059999</v>
      </c>
      <c r="P149" s="141">
        <v>14899379616.059999</v>
      </c>
      <c r="Q149" s="141">
        <v>0</v>
      </c>
      <c r="R149" s="141">
        <v>2399012541782.0005</v>
      </c>
      <c r="S149" s="141">
        <v>1163637186641.03</v>
      </c>
      <c r="T149" s="141">
        <v>1235375355140.9705</v>
      </c>
      <c r="U149" s="143">
        <v>0.48504839652762866</v>
      </c>
      <c r="V149" s="141">
        <v>1098197045131.5601</v>
      </c>
      <c r="W149" s="141">
        <v>65440141509.470001</v>
      </c>
      <c r="X149" s="143">
        <v>5.6237581834566792E-2</v>
      </c>
      <c r="Y149" s="141">
        <v>1097986837672.5601</v>
      </c>
      <c r="Z149" s="141">
        <v>210207459</v>
      </c>
      <c r="AA149" s="724">
        <v>0.94358177125812115</v>
      </c>
    </row>
    <row r="150" spans="1:27" ht="24.95" hidden="1" customHeight="1">
      <c r="A150" s="32" t="e">
        <v>#REF!</v>
      </c>
      <c r="B150" s="145" t="s">
        <v>167</v>
      </c>
      <c r="C150" s="145" t="s">
        <v>190</v>
      </c>
      <c r="D150" s="145" t="s">
        <v>172</v>
      </c>
      <c r="E150" s="145" t="s">
        <v>191</v>
      </c>
      <c r="F150" s="145" t="s">
        <v>175</v>
      </c>
      <c r="G150" s="145" t="s">
        <v>193</v>
      </c>
      <c r="H150" s="145" t="s">
        <v>54</v>
      </c>
      <c r="I150" s="145">
        <v>10</v>
      </c>
      <c r="J150" s="146" t="s">
        <v>29</v>
      </c>
      <c r="K150" s="147" t="s">
        <v>178</v>
      </c>
      <c r="L150" s="148">
        <v>0</v>
      </c>
      <c r="M150" s="148"/>
      <c r="N150" s="148"/>
      <c r="O150" s="148"/>
      <c r="P150" s="148"/>
      <c r="Q150" s="148"/>
      <c r="R150" s="148">
        <v>0</v>
      </c>
      <c r="S150" s="148">
        <v>0</v>
      </c>
      <c r="T150" s="148">
        <v>0</v>
      </c>
      <c r="U150" s="150">
        <v>0</v>
      </c>
      <c r="V150" s="148">
        <v>0</v>
      </c>
      <c r="W150" s="148">
        <v>0</v>
      </c>
      <c r="X150" s="150">
        <v>0</v>
      </c>
      <c r="Y150" s="148">
        <v>0</v>
      </c>
      <c r="Z150" s="148">
        <v>0</v>
      </c>
      <c r="AA150" s="150">
        <v>0</v>
      </c>
    </row>
    <row r="151" spans="1:27" ht="24.95" customHeight="1">
      <c r="A151" s="32" t="e">
        <v>#REF!</v>
      </c>
      <c r="B151" s="145" t="s">
        <v>167</v>
      </c>
      <c r="C151" s="145" t="s">
        <v>190</v>
      </c>
      <c r="D151" s="145" t="s">
        <v>172</v>
      </c>
      <c r="E151" s="145" t="s">
        <v>191</v>
      </c>
      <c r="F151" s="145" t="s">
        <v>175</v>
      </c>
      <c r="G151" s="145" t="s">
        <v>193</v>
      </c>
      <c r="H151" s="145" t="s">
        <v>54</v>
      </c>
      <c r="I151" s="145">
        <v>11</v>
      </c>
      <c r="J151" s="146" t="s">
        <v>29</v>
      </c>
      <c r="K151" s="147" t="s">
        <v>178</v>
      </c>
      <c r="L151" s="148">
        <v>137428156966</v>
      </c>
      <c r="M151" s="148"/>
      <c r="N151" s="148"/>
      <c r="O151" s="148">
        <v>4797897104.0900002</v>
      </c>
      <c r="P151" s="148">
        <v>10101482511.969999</v>
      </c>
      <c r="Q151" s="148"/>
      <c r="R151" s="148">
        <v>132124571558.12</v>
      </c>
      <c r="S151" s="148">
        <v>92727123143.029999</v>
      </c>
      <c r="T151" s="148">
        <v>39397448415.089996</v>
      </c>
      <c r="U151" s="150">
        <v>0.70181588518711269</v>
      </c>
      <c r="V151" s="148">
        <v>27442318983.560001</v>
      </c>
      <c r="W151" s="148">
        <v>65284804159.470001</v>
      </c>
      <c r="X151" s="150">
        <v>0.70405294531535623</v>
      </c>
      <c r="Y151" s="148">
        <v>27232858124.560001</v>
      </c>
      <c r="Z151" s="148">
        <v>209460859</v>
      </c>
      <c r="AA151" s="150">
        <v>0.29368815942401</v>
      </c>
    </row>
    <row r="152" spans="1:27" ht="24.95" hidden="1" customHeight="1">
      <c r="A152" s="32" t="e">
        <v>#REF!</v>
      </c>
      <c r="B152" s="145" t="s">
        <v>167</v>
      </c>
      <c r="C152" s="145" t="s">
        <v>190</v>
      </c>
      <c r="D152" s="145" t="s">
        <v>172</v>
      </c>
      <c r="E152" s="145" t="s">
        <v>191</v>
      </c>
      <c r="F152" s="145" t="s">
        <v>175</v>
      </c>
      <c r="G152" s="145" t="s">
        <v>193</v>
      </c>
      <c r="H152" s="145" t="s">
        <v>65</v>
      </c>
      <c r="I152" s="145">
        <v>10</v>
      </c>
      <c r="J152" s="146" t="s">
        <v>29</v>
      </c>
      <c r="K152" s="147" t="s">
        <v>127</v>
      </c>
      <c r="L152" s="148">
        <v>0</v>
      </c>
      <c r="M152" s="148"/>
      <c r="N152" s="148"/>
      <c r="O152" s="148"/>
      <c r="P152" s="148"/>
      <c r="Q152" s="148"/>
      <c r="R152" s="148">
        <v>0</v>
      </c>
      <c r="S152" s="148">
        <v>0</v>
      </c>
      <c r="T152" s="148">
        <v>0</v>
      </c>
      <c r="U152" s="150">
        <v>0</v>
      </c>
      <c r="V152" s="148">
        <v>0</v>
      </c>
      <c r="W152" s="148">
        <v>0</v>
      </c>
      <c r="X152" s="150">
        <v>0</v>
      </c>
      <c r="Y152" s="148">
        <v>0</v>
      </c>
      <c r="Z152" s="148">
        <v>0</v>
      </c>
      <c r="AA152" s="150">
        <v>0</v>
      </c>
    </row>
    <row r="153" spans="1:27" ht="24.95" customHeight="1">
      <c r="A153" s="32" t="e">
        <v>#REF!</v>
      </c>
      <c r="B153" s="145" t="s">
        <v>167</v>
      </c>
      <c r="C153" s="145" t="s">
        <v>190</v>
      </c>
      <c r="D153" s="145" t="s">
        <v>172</v>
      </c>
      <c r="E153" s="145" t="s">
        <v>191</v>
      </c>
      <c r="F153" s="145" t="s">
        <v>175</v>
      </c>
      <c r="G153" s="145" t="s">
        <v>193</v>
      </c>
      <c r="H153" s="145" t="s">
        <v>65</v>
      </c>
      <c r="I153" s="145" t="s">
        <v>144</v>
      </c>
      <c r="J153" s="146" t="s">
        <v>29</v>
      </c>
      <c r="K153" s="147" t="s">
        <v>127</v>
      </c>
      <c r="L153" s="148">
        <v>2261455416767</v>
      </c>
      <c r="M153" s="148"/>
      <c r="N153" s="148"/>
      <c r="O153" s="148">
        <v>10230450560.969999</v>
      </c>
      <c r="P153" s="148">
        <v>4797897104.0900002</v>
      </c>
      <c r="Q153" s="148"/>
      <c r="R153" s="148">
        <v>2266887970223.8804</v>
      </c>
      <c r="S153" s="148">
        <v>1070910063498</v>
      </c>
      <c r="T153" s="148">
        <v>1195977906725.8804</v>
      </c>
      <c r="U153" s="150">
        <v>0.47241419848032268</v>
      </c>
      <c r="V153" s="148">
        <v>1070754726148</v>
      </c>
      <c r="W153" s="148">
        <v>155337350</v>
      </c>
      <c r="X153" s="150">
        <v>1.4505172310418774E-4</v>
      </c>
      <c r="Y153" s="148">
        <v>1070753979548</v>
      </c>
      <c r="Z153" s="148">
        <v>746600</v>
      </c>
      <c r="AA153" s="150">
        <v>0.9998542511128431</v>
      </c>
    </row>
    <row r="154" spans="1:27" ht="32.25" customHeight="1">
      <c r="A154" s="32" t="e">
        <v>#REF!</v>
      </c>
      <c r="B154" s="139" t="s">
        <v>167</v>
      </c>
      <c r="C154" s="139" t="s">
        <v>190</v>
      </c>
      <c r="D154" s="139" t="s">
        <v>172</v>
      </c>
      <c r="E154" s="139" t="s">
        <v>191</v>
      </c>
      <c r="F154" s="139" t="s">
        <v>175</v>
      </c>
      <c r="G154" s="139">
        <v>4103009</v>
      </c>
      <c r="H154" s="139"/>
      <c r="I154" s="139">
        <v>10</v>
      </c>
      <c r="J154" s="140" t="s">
        <v>29</v>
      </c>
      <c r="K154" s="140" t="s">
        <v>195</v>
      </c>
      <c r="L154" s="141">
        <v>5264000000</v>
      </c>
      <c r="M154" s="142">
        <v>0</v>
      </c>
      <c r="N154" s="142">
        <v>0</v>
      </c>
      <c r="O154" s="142">
        <v>0</v>
      </c>
      <c r="P154" s="141">
        <v>128968049</v>
      </c>
      <c r="Q154" s="142">
        <v>0</v>
      </c>
      <c r="R154" s="141">
        <v>5135031951</v>
      </c>
      <c r="S154" s="141">
        <v>5135031951</v>
      </c>
      <c r="T154" s="141">
        <v>0</v>
      </c>
      <c r="U154" s="143">
        <v>1</v>
      </c>
      <c r="V154" s="141">
        <v>1027006390</v>
      </c>
      <c r="W154" s="141">
        <v>4108025561</v>
      </c>
      <c r="X154" s="143">
        <v>0.80000000003894811</v>
      </c>
      <c r="Y154" s="141">
        <v>1027006390</v>
      </c>
      <c r="Z154" s="141">
        <v>0</v>
      </c>
      <c r="AA154" s="724">
        <v>0.19999999996105186</v>
      </c>
    </row>
    <row r="155" spans="1:27" ht="24.95" hidden="1" customHeight="1">
      <c r="A155" s="32" t="e">
        <v>#REF!</v>
      </c>
      <c r="B155" s="145" t="s">
        <v>167</v>
      </c>
      <c r="C155" s="145" t="s">
        <v>190</v>
      </c>
      <c r="D155" s="145" t="s">
        <v>172</v>
      </c>
      <c r="E155" s="145" t="s">
        <v>191</v>
      </c>
      <c r="F155" s="145" t="s">
        <v>175</v>
      </c>
      <c r="G155" s="145">
        <v>4103009</v>
      </c>
      <c r="H155" s="145" t="s">
        <v>54</v>
      </c>
      <c r="I155" s="145">
        <v>10</v>
      </c>
      <c r="J155" s="146" t="s">
        <v>29</v>
      </c>
      <c r="K155" s="147" t="s">
        <v>178</v>
      </c>
      <c r="L155" s="148">
        <v>0</v>
      </c>
      <c r="M155" s="148"/>
      <c r="N155" s="148"/>
      <c r="O155" s="148"/>
      <c r="P155" s="148"/>
      <c r="Q155" s="148"/>
      <c r="R155" s="148">
        <v>0</v>
      </c>
      <c r="S155" s="148">
        <v>0</v>
      </c>
      <c r="T155" s="148">
        <v>0</v>
      </c>
      <c r="U155" s="150">
        <v>0</v>
      </c>
      <c r="V155" s="148">
        <v>0</v>
      </c>
      <c r="W155" s="148">
        <v>0</v>
      </c>
      <c r="X155" s="150">
        <v>0</v>
      </c>
      <c r="Y155" s="148">
        <v>0</v>
      </c>
      <c r="Z155" s="148">
        <v>0</v>
      </c>
      <c r="AA155" s="150">
        <v>0</v>
      </c>
    </row>
    <row r="156" spans="1:27" ht="24.95" customHeight="1">
      <c r="A156" s="32" t="e">
        <v>#REF!</v>
      </c>
      <c r="B156" s="145" t="s">
        <v>167</v>
      </c>
      <c r="C156" s="145" t="s">
        <v>190</v>
      </c>
      <c r="D156" s="145" t="s">
        <v>172</v>
      </c>
      <c r="E156" s="145" t="s">
        <v>191</v>
      </c>
      <c r="F156" s="145" t="s">
        <v>175</v>
      </c>
      <c r="G156" s="145">
        <v>4103009</v>
      </c>
      <c r="H156" s="145" t="s">
        <v>54</v>
      </c>
      <c r="I156" s="145">
        <v>11</v>
      </c>
      <c r="J156" s="146" t="s">
        <v>29</v>
      </c>
      <c r="K156" s="147" t="s">
        <v>178</v>
      </c>
      <c r="L156" s="148">
        <v>5264000000</v>
      </c>
      <c r="M156" s="148"/>
      <c r="N156" s="148"/>
      <c r="O156" s="148"/>
      <c r="P156" s="148">
        <v>128968049</v>
      </c>
      <c r="Q156" s="148"/>
      <c r="R156" s="148">
        <v>5135031951</v>
      </c>
      <c r="S156" s="148">
        <v>5135031951</v>
      </c>
      <c r="T156" s="148">
        <v>0</v>
      </c>
      <c r="U156" s="150">
        <v>1</v>
      </c>
      <c r="V156" s="148">
        <v>1027006390</v>
      </c>
      <c r="W156" s="148">
        <v>4108025561</v>
      </c>
      <c r="X156" s="150">
        <v>0.80000000003894811</v>
      </c>
      <c r="Y156" s="148">
        <v>1027006390</v>
      </c>
      <c r="Z156" s="148">
        <v>0</v>
      </c>
      <c r="AA156" s="150">
        <v>0.19999999996105186</v>
      </c>
    </row>
    <row r="157" spans="1:27" ht="42" customHeight="1">
      <c r="A157" s="32" t="e">
        <v>#REF!</v>
      </c>
      <c r="B157" s="133" t="s">
        <v>167</v>
      </c>
      <c r="C157" s="133" t="s">
        <v>190</v>
      </c>
      <c r="D157" s="133" t="s">
        <v>172</v>
      </c>
      <c r="E157" s="133" t="s">
        <v>22</v>
      </c>
      <c r="F157" s="133"/>
      <c r="G157" s="133"/>
      <c r="H157" s="133"/>
      <c r="I157" s="133"/>
      <c r="J157" s="134"/>
      <c r="K157" s="134" t="s">
        <v>264</v>
      </c>
      <c r="L157" s="135">
        <v>26000000000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5">
        <v>26000000000</v>
      </c>
      <c r="S157" s="135">
        <v>20223393031</v>
      </c>
      <c r="T157" s="135">
        <v>5776606969</v>
      </c>
      <c r="U157" s="137">
        <v>0.77782280888461541</v>
      </c>
      <c r="V157" s="135">
        <v>825454455</v>
      </c>
      <c r="W157" s="135">
        <v>19397938576</v>
      </c>
      <c r="X157" s="137">
        <v>0.95918318683048498</v>
      </c>
      <c r="Y157" s="135">
        <v>731154258</v>
      </c>
      <c r="Z157" s="135">
        <v>94300197</v>
      </c>
      <c r="AA157" s="723">
        <v>3.6153886584671002E-2</v>
      </c>
    </row>
    <row r="158" spans="1:27" ht="32.25" customHeight="1">
      <c r="A158" s="32" t="e">
        <v>#REF!</v>
      </c>
      <c r="B158" s="139" t="s">
        <v>167</v>
      </c>
      <c r="C158" s="139" t="s">
        <v>190</v>
      </c>
      <c r="D158" s="139" t="s">
        <v>172</v>
      </c>
      <c r="E158" s="139" t="s">
        <v>22</v>
      </c>
      <c r="F158" s="139" t="s">
        <v>175</v>
      </c>
      <c r="G158" s="139" t="s">
        <v>197</v>
      </c>
      <c r="H158" s="139"/>
      <c r="I158" s="139">
        <v>11</v>
      </c>
      <c r="J158" s="140" t="s">
        <v>29</v>
      </c>
      <c r="K158" s="140" t="s">
        <v>198</v>
      </c>
      <c r="L158" s="141">
        <v>2722234333</v>
      </c>
      <c r="M158" s="142">
        <v>0</v>
      </c>
      <c r="N158" s="142">
        <v>0</v>
      </c>
      <c r="O158" s="142">
        <v>0</v>
      </c>
      <c r="P158" s="142">
        <v>0</v>
      </c>
      <c r="Q158" s="142">
        <v>0</v>
      </c>
      <c r="R158" s="141">
        <v>2722234333</v>
      </c>
      <c r="S158" s="141">
        <v>2119790394</v>
      </c>
      <c r="T158" s="141">
        <v>602443939</v>
      </c>
      <c r="U158" s="143">
        <v>0.77869504777860721</v>
      </c>
      <c r="V158" s="141">
        <v>0</v>
      </c>
      <c r="W158" s="142">
        <v>2119790394</v>
      </c>
      <c r="X158" s="143">
        <v>1</v>
      </c>
      <c r="Y158" s="141">
        <v>0</v>
      </c>
      <c r="Z158" s="141">
        <v>0</v>
      </c>
      <c r="AA158" s="724">
        <v>0</v>
      </c>
    </row>
    <row r="159" spans="1:27" ht="24.95" customHeight="1">
      <c r="A159" s="32" t="e">
        <v>#REF!</v>
      </c>
      <c r="B159" s="145" t="s">
        <v>167</v>
      </c>
      <c r="C159" s="145" t="s">
        <v>190</v>
      </c>
      <c r="D159" s="145" t="s">
        <v>172</v>
      </c>
      <c r="E159" s="145" t="s">
        <v>22</v>
      </c>
      <c r="F159" s="145" t="s">
        <v>175</v>
      </c>
      <c r="G159" s="145" t="s">
        <v>197</v>
      </c>
      <c r="H159" s="145" t="s">
        <v>54</v>
      </c>
      <c r="I159" s="145">
        <v>11</v>
      </c>
      <c r="J159" s="146" t="s">
        <v>29</v>
      </c>
      <c r="K159" s="147" t="s">
        <v>178</v>
      </c>
      <c r="L159" s="148">
        <v>2722234333</v>
      </c>
      <c r="M159" s="148"/>
      <c r="N159" s="148"/>
      <c r="O159" s="148"/>
      <c r="P159" s="148"/>
      <c r="Q159" s="148"/>
      <c r="R159" s="148">
        <v>2722234333</v>
      </c>
      <c r="S159" s="148">
        <v>2119790394</v>
      </c>
      <c r="T159" s="148">
        <v>602443939</v>
      </c>
      <c r="U159" s="150">
        <v>0.77869504777860721</v>
      </c>
      <c r="V159" s="148">
        <v>0</v>
      </c>
      <c r="W159" s="148">
        <v>2119790394</v>
      </c>
      <c r="X159" s="150">
        <v>1</v>
      </c>
      <c r="Y159" s="148">
        <v>0</v>
      </c>
      <c r="Z159" s="148">
        <v>0</v>
      </c>
      <c r="AA159" s="150">
        <v>0</v>
      </c>
    </row>
    <row r="160" spans="1:27" ht="32.25" customHeight="1">
      <c r="A160" s="32" t="e">
        <v>#REF!</v>
      </c>
      <c r="B160" s="139" t="s">
        <v>167</v>
      </c>
      <c r="C160" s="139" t="s">
        <v>190</v>
      </c>
      <c r="D160" s="139" t="s">
        <v>172</v>
      </c>
      <c r="E160" s="139" t="s">
        <v>22</v>
      </c>
      <c r="F160" s="139" t="s">
        <v>175</v>
      </c>
      <c r="G160" s="139" t="s">
        <v>199</v>
      </c>
      <c r="H160" s="139"/>
      <c r="I160" s="139">
        <v>11</v>
      </c>
      <c r="J160" s="140" t="s">
        <v>29</v>
      </c>
      <c r="K160" s="140" t="s">
        <v>200</v>
      </c>
      <c r="L160" s="141">
        <v>2304259288</v>
      </c>
      <c r="M160" s="142">
        <v>0</v>
      </c>
      <c r="N160" s="142">
        <v>0</v>
      </c>
      <c r="O160" s="142">
        <v>0</v>
      </c>
      <c r="P160" s="142">
        <v>0</v>
      </c>
      <c r="Q160" s="142">
        <v>0</v>
      </c>
      <c r="R160" s="141">
        <v>2304259288</v>
      </c>
      <c r="S160" s="141">
        <v>1742312334</v>
      </c>
      <c r="T160" s="141">
        <v>561946954</v>
      </c>
      <c r="U160" s="143">
        <v>0.756126857369534</v>
      </c>
      <c r="V160" s="141">
        <v>0</v>
      </c>
      <c r="W160" s="142">
        <v>1742312334</v>
      </c>
      <c r="X160" s="143">
        <v>1</v>
      </c>
      <c r="Y160" s="141">
        <v>0</v>
      </c>
      <c r="Z160" s="141">
        <v>0</v>
      </c>
      <c r="AA160" s="724">
        <v>0</v>
      </c>
    </row>
    <row r="161" spans="1:27" ht="24.95" customHeight="1">
      <c r="A161" s="32" t="e">
        <v>#REF!</v>
      </c>
      <c r="B161" s="145" t="s">
        <v>167</v>
      </c>
      <c r="C161" s="145" t="s">
        <v>190</v>
      </c>
      <c r="D161" s="145" t="s">
        <v>172</v>
      </c>
      <c r="E161" s="145" t="s">
        <v>22</v>
      </c>
      <c r="F161" s="145" t="s">
        <v>175</v>
      </c>
      <c r="G161" s="145" t="s">
        <v>199</v>
      </c>
      <c r="H161" s="145" t="s">
        <v>54</v>
      </c>
      <c r="I161" s="145">
        <v>11</v>
      </c>
      <c r="J161" s="146" t="s">
        <v>29</v>
      </c>
      <c r="K161" s="147" t="s">
        <v>178</v>
      </c>
      <c r="L161" s="148">
        <v>2304259288</v>
      </c>
      <c r="M161" s="148"/>
      <c r="N161" s="148"/>
      <c r="O161" s="148"/>
      <c r="P161" s="148"/>
      <c r="Q161" s="148"/>
      <c r="R161" s="148">
        <v>2304259288</v>
      </c>
      <c r="S161" s="148">
        <v>1742312334</v>
      </c>
      <c r="T161" s="148">
        <v>561946954</v>
      </c>
      <c r="U161" s="150">
        <v>0.756126857369534</v>
      </c>
      <c r="V161" s="148">
        <v>0</v>
      </c>
      <c r="W161" s="148">
        <v>1742312334</v>
      </c>
      <c r="X161" s="150">
        <v>1</v>
      </c>
      <c r="Y161" s="148">
        <v>0</v>
      </c>
      <c r="Z161" s="148">
        <v>0</v>
      </c>
      <c r="AA161" s="150">
        <v>0</v>
      </c>
    </row>
    <row r="162" spans="1:27" ht="32.25" customHeight="1">
      <c r="A162" s="32" t="e">
        <v>#REF!</v>
      </c>
      <c r="B162" s="139" t="s">
        <v>167</v>
      </c>
      <c r="C162" s="139" t="s">
        <v>190</v>
      </c>
      <c r="D162" s="139" t="s">
        <v>172</v>
      </c>
      <c r="E162" s="139" t="s">
        <v>22</v>
      </c>
      <c r="F162" s="139" t="s">
        <v>175</v>
      </c>
      <c r="G162" s="139" t="s">
        <v>201</v>
      </c>
      <c r="H162" s="139"/>
      <c r="I162" s="139">
        <v>11</v>
      </c>
      <c r="J162" s="140" t="s">
        <v>29</v>
      </c>
      <c r="K162" s="140" t="s">
        <v>202</v>
      </c>
      <c r="L162" s="141">
        <v>2444410079</v>
      </c>
      <c r="M162" s="142">
        <v>0</v>
      </c>
      <c r="N162" s="142">
        <v>0</v>
      </c>
      <c r="O162" s="142">
        <v>0</v>
      </c>
      <c r="P162" s="142">
        <v>0</v>
      </c>
      <c r="Q162" s="142">
        <v>0</v>
      </c>
      <c r="R162" s="141">
        <v>2444410079</v>
      </c>
      <c r="S162" s="141">
        <v>1695766898</v>
      </c>
      <c r="T162" s="141">
        <v>748643181</v>
      </c>
      <c r="U162" s="143">
        <v>0.69373257481156048</v>
      </c>
      <c r="V162" s="141">
        <v>825454455</v>
      </c>
      <c r="W162" s="141">
        <v>870312443</v>
      </c>
      <c r="X162" s="143">
        <v>0.51322646056274179</v>
      </c>
      <c r="Y162" s="141">
        <v>731154258</v>
      </c>
      <c r="Z162" s="141">
        <v>94300197</v>
      </c>
      <c r="AA162" s="724">
        <v>0.43116436513905815</v>
      </c>
    </row>
    <row r="163" spans="1:27" ht="24.95" customHeight="1">
      <c r="A163" s="32" t="e">
        <v>#REF!</v>
      </c>
      <c r="B163" s="145" t="s">
        <v>167</v>
      </c>
      <c r="C163" s="145" t="s">
        <v>190</v>
      </c>
      <c r="D163" s="145" t="s">
        <v>172</v>
      </c>
      <c r="E163" s="145" t="s">
        <v>22</v>
      </c>
      <c r="F163" s="145" t="s">
        <v>175</v>
      </c>
      <c r="G163" s="145" t="s">
        <v>201</v>
      </c>
      <c r="H163" s="145" t="s">
        <v>54</v>
      </c>
      <c r="I163" s="145">
        <v>11</v>
      </c>
      <c r="J163" s="146" t="s">
        <v>29</v>
      </c>
      <c r="K163" s="147" t="s">
        <v>178</v>
      </c>
      <c r="L163" s="148">
        <v>2444410079</v>
      </c>
      <c r="M163" s="148"/>
      <c r="N163" s="148"/>
      <c r="O163" s="148"/>
      <c r="P163" s="148"/>
      <c r="Q163" s="148"/>
      <c r="R163" s="148">
        <v>2444410079</v>
      </c>
      <c r="S163" s="148">
        <v>1695766898</v>
      </c>
      <c r="T163" s="148">
        <v>748643181</v>
      </c>
      <c r="U163" s="150">
        <v>0.69373257481156048</v>
      </c>
      <c r="V163" s="148">
        <v>825454455</v>
      </c>
      <c r="W163" s="148">
        <v>870312443</v>
      </c>
      <c r="X163" s="150">
        <v>0.51322646056274179</v>
      </c>
      <c r="Y163" s="148">
        <v>731154258</v>
      </c>
      <c r="Z163" s="148">
        <v>94300197</v>
      </c>
      <c r="AA163" s="150">
        <v>0.43116436513905815</v>
      </c>
    </row>
    <row r="164" spans="1:27" ht="32.25" customHeight="1">
      <c r="A164" s="32" t="e">
        <v>#REF!</v>
      </c>
      <c r="B164" s="139" t="s">
        <v>167</v>
      </c>
      <c r="C164" s="139" t="s">
        <v>190</v>
      </c>
      <c r="D164" s="139" t="s">
        <v>172</v>
      </c>
      <c r="E164" s="139" t="s">
        <v>22</v>
      </c>
      <c r="F164" s="139" t="s">
        <v>175</v>
      </c>
      <c r="G164" s="139" t="s">
        <v>203</v>
      </c>
      <c r="H164" s="139"/>
      <c r="I164" s="139">
        <v>11</v>
      </c>
      <c r="J164" s="140" t="s">
        <v>29</v>
      </c>
      <c r="K164" s="140" t="s">
        <v>204</v>
      </c>
      <c r="L164" s="141">
        <v>18529096300</v>
      </c>
      <c r="M164" s="142">
        <v>0</v>
      </c>
      <c r="N164" s="142">
        <v>0</v>
      </c>
      <c r="O164" s="142">
        <v>0</v>
      </c>
      <c r="P164" s="142">
        <v>0</v>
      </c>
      <c r="Q164" s="142">
        <v>0</v>
      </c>
      <c r="R164" s="141">
        <v>18529096300</v>
      </c>
      <c r="S164" s="141">
        <v>14665523405</v>
      </c>
      <c r="T164" s="141">
        <v>3863572895</v>
      </c>
      <c r="U164" s="143">
        <v>0.79148616681321904</v>
      </c>
      <c r="V164" s="141">
        <v>0</v>
      </c>
      <c r="W164" s="142">
        <v>14665523405</v>
      </c>
      <c r="X164" s="143">
        <v>1</v>
      </c>
      <c r="Y164" s="141">
        <v>0</v>
      </c>
      <c r="Z164" s="141">
        <v>0</v>
      </c>
      <c r="AA164" s="724">
        <v>0</v>
      </c>
    </row>
    <row r="165" spans="1:27" ht="24.95" customHeight="1">
      <c r="A165" s="32" t="e">
        <v>#REF!</v>
      </c>
      <c r="B165" s="145" t="s">
        <v>167</v>
      </c>
      <c r="C165" s="145" t="s">
        <v>190</v>
      </c>
      <c r="D165" s="145" t="s">
        <v>172</v>
      </c>
      <c r="E165" s="145" t="s">
        <v>22</v>
      </c>
      <c r="F165" s="145" t="s">
        <v>175</v>
      </c>
      <c r="G165" s="145" t="s">
        <v>203</v>
      </c>
      <c r="H165" s="145" t="s">
        <v>54</v>
      </c>
      <c r="I165" s="145">
        <v>11</v>
      </c>
      <c r="J165" s="146" t="s">
        <v>29</v>
      </c>
      <c r="K165" s="147" t="s">
        <v>178</v>
      </c>
      <c r="L165" s="148">
        <v>18529096300</v>
      </c>
      <c r="M165" s="148"/>
      <c r="N165" s="148"/>
      <c r="O165" s="148"/>
      <c r="P165" s="148"/>
      <c r="Q165" s="148"/>
      <c r="R165" s="148">
        <v>18529096300</v>
      </c>
      <c r="S165" s="148">
        <v>14665523405</v>
      </c>
      <c r="T165" s="148">
        <v>3863572895</v>
      </c>
      <c r="U165" s="150">
        <v>0.79148616681321904</v>
      </c>
      <c r="V165" s="148">
        <v>0</v>
      </c>
      <c r="W165" s="148">
        <v>14665523405</v>
      </c>
      <c r="X165" s="150">
        <v>1</v>
      </c>
      <c r="Y165" s="148">
        <v>0</v>
      </c>
      <c r="Z165" s="148">
        <v>0</v>
      </c>
      <c r="AA165" s="150">
        <v>0</v>
      </c>
    </row>
    <row r="166" spans="1:27" ht="42" customHeight="1">
      <c r="A166" s="32" t="e">
        <v>#REF!</v>
      </c>
      <c r="B166" s="133" t="s">
        <v>167</v>
      </c>
      <c r="C166" s="133" t="s">
        <v>190</v>
      </c>
      <c r="D166" s="133" t="s">
        <v>172</v>
      </c>
      <c r="E166" s="133" t="s">
        <v>205</v>
      </c>
      <c r="F166" s="133"/>
      <c r="G166" s="133"/>
      <c r="H166" s="133"/>
      <c r="I166" s="133"/>
      <c r="J166" s="134"/>
      <c r="K166" s="134" t="s">
        <v>265</v>
      </c>
      <c r="L166" s="135">
        <v>881000000000</v>
      </c>
      <c r="M166" s="136">
        <v>0</v>
      </c>
      <c r="N166" s="136">
        <v>0</v>
      </c>
      <c r="O166" s="135">
        <v>29531224425.259998</v>
      </c>
      <c r="P166" s="135">
        <v>34738863341.259995</v>
      </c>
      <c r="Q166" s="135">
        <v>318792361084</v>
      </c>
      <c r="R166" s="135">
        <v>557000000000</v>
      </c>
      <c r="S166" s="135">
        <v>417364140967.76001</v>
      </c>
      <c r="T166" s="135">
        <v>139635859032.23996</v>
      </c>
      <c r="U166" s="137">
        <v>0.74930725487928185</v>
      </c>
      <c r="V166" s="135">
        <v>78366956299.929993</v>
      </c>
      <c r="W166" s="135">
        <v>338997184667.83002</v>
      </c>
      <c r="X166" s="137">
        <v>0.81223361422901064</v>
      </c>
      <c r="Y166" s="135">
        <v>78144625348.929993</v>
      </c>
      <c r="Z166" s="135">
        <v>222330951</v>
      </c>
      <c r="AA166" s="723">
        <v>0.18723368319983774</v>
      </c>
    </row>
    <row r="167" spans="1:27" ht="45" hidden="1" customHeight="1">
      <c r="A167" s="32"/>
      <c r="B167" s="133"/>
      <c r="C167" s="133"/>
      <c r="D167" s="133"/>
      <c r="E167" s="133"/>
      <c r="F167" s="133"/>
      <c r="G167" s="133"/>
      <c r="H167" s="133"/>
      <c r="I167" s="133"/>
      <c r="J167" s="134"/>
      <c r="K167" s="134"/>
      <c r="L167" s="729">
        <v>526000000000</v>
      </c>
      <c r="M167" s="136"/>
      <c r="N167" s="136"/>
      <c r="O167" s="136"/>
      <c r="P167" s="136"/>
      <c r="Q167" s="136">
        <v>526000000000</v>
      </c>
      <c r="R167" s="135"/>
      <c r="S167" s="135"/>
      <c r="T167" s="135"/>
      <c r="U167" s="137"/>
      <c r="V167" s="135"/>
      <c r="W167" s="135"/>
      <c r="X167" s="137"/>
      <c r="Y167" s="135"/>
      <c r="Z167" s="135"/>
      <c r="AA167" s="723"/>
    </row>
    <row r="168" spans="1:27" ht="32.25" customHeight="1">
      <c r="A168" s="32" t="e">
        <v>#REF!</v>
      </c>
      <c r="B168" s="139" t="s">
        <v>167</v>
      </c>
      <c r="C168" s="139" t="s">
        <v>190</v>
      </c>
      <c r="D168" s="139" t="s">
        <v>172</v>
      </c>
      <c r="E168" s="139" t="s">
        <v>205</v>
      </c>
      <c r="F168" s="139" t="s">
        <v>175</v>
      </c>
      <c r="G168" s="139" t="s">
        <v>207</v>
      </c>
      <c r="H168" s="139"/>
      <c r="I168" s="139"/>
      <c r="J168" s="140"/>
      <c r="K168" s="140" t="s">
        <v>208</v>
      </c>
      <c r="L168" s="141">
        <v>331786185933</v>
      </c>
      <c r="M168" s="142">
        <v>0</v>
      </c>
      <c r="N168" s="142">
        <v>0</v>
      </c>
      <c r="O168" s="141">
        <v>27973054058.259998</v>
      </c>
      <c r="P168" s="141">
        <v>34738863341.259995</v>
      </c>
      <c r="Q168" s="730">
        <v>-207207638916</v>
      </c>
      <c r="R168" s="141">
        <v>532228015566</v>
      </c>
      <c r="S168" s="141">
        <v>399235627346.76001</v>
      </c>
      <c r="T168" s="141">
        <v>132992388219.23996</v>
      </c>
      <c r="U168" s="143">
        <v>0.75012140599587063</v>
      </c>
      <c r="V168" s="141">
        <v>69569048823.929993</v>
      </c>
      <c r="W168" s="141">
        <v>329666578522.83002</v>
      </c>
      <c r="X168" s="143">
        <v>0.82574438737777001</v>
      </c>
      <c r="Y168" s="141">
        <v>69569048823.929993</v>
      </c>
      <c r="Z168" s="141">
        <v>0</v>
      </c>
      <c r="AA168" s="724">
        <v>0.17425561262223002</v>
      </c>
    </row>
    <row r="169" spans="1:27" ht="24.95" customHeight="1">
      <c r="A169" s="32" t="e">
        <v>#REF!</v>
      </c>
      <c r="B169" s="145" t="s">
        <v>167</v>
      </c>
      <c r="C169" s="145" t="s">
        <v>190</v>
      </c>
      <c r="D169" s="145" t="s">
        <v>172</v>
      </c>
      <c r="E169" s="145" t="s">
        <v>205</v>
      </c>
      <c r="F169" s="145" t="s">
        <v>175</v>
      </c>
      <c r="G169" s="145" t="s">
        <v>207</v>
      </c>
      <c r="H169" s="145" t="s">
        <v>54</v>
      </c>
      <c r="I169" s="145">
        <v>11</v>
      </c>
      <c r="J169" s="146" t="s">
        <v>29</v>
      </c>
      <c r="K169" s="147" t="s">
        <v>178</v>
      </c>
      <c r="L169" s="148">
        <v>27122315285.709999</v>
      </c>
      <c r="M169" s="148"/>
      <c r="N169" s="148"/>
      <c r="O169" s="148">
        <v>26873007467.259998</v>
      </c>
      <c r="P169" s="148">
        <v>1100046591</v>
      </c>
      <c r="Q169" s="148"/>
      <c r="R169" s="148">
        <v>52895276161.970001</v>
      </c>
      <c r="S169" s="148">
        <v>42192223173.559998</v>
      </c>
      <c r="T169" s="148">
        <v>10703052988.410004</v>
      </c>
      <c r="U169" s="150">
        <v>0.7976557877184286</v>
      </c>
      <c r="V169" s="148">
        <v>10350362684.16</v>
      </c>
      <c r="W169" s="148">
        <v>31841860489.399998</v>
      </c>
      <c r="X169" s="150">
        <v>0.75468553430846197</v>
      </c>
      <c r="Y169" s="148">
        <v>10350362684.16</v>
      </c>
      <c r="Z169" s="148">
        <v>0</v>
      </c>
      <c r="AA169" s="150">
        <v>0.24531446569153803</v>
      </c>
    </row>
    <row r="170" spans="1:27" ht="24.95" hidden="1" customHeight="1">
      <c r="A170" s="32" t="e">
        <v>#REF!</v>
      </c>
      <c r="B170" s="145" t="s">
        <v>167</v>
      </c>
      <c r="C170" s="145" t="s">
        <v>190</v>
      </c>
      <c r="D170" s="145" t="s">
        <v>172</v>
      </c>
      <c r="E170" s="145" t="s">
        <v>205</v>
      </c>
      <c r="F170" s="145" t="s">
        <v>175</v>
      </c>
      <c r="G170" s="145" t="s">
        <v>207</v>
      </c>
      <c r="H170" s="145" t="s">
        <v>65</v>
      </c>
      <c r="I170" s="145" t="s">
        <v>28</v>
      </c>
      <c r="J170" s="146" t="s">
        <v>29</v>
      </c>
      <c r="K170" s="147" t="s">
        <v>127</v>
      </c>
      <c r="L170" s="148"/>
      <c r="M170" s="148"/>
      <c r="N170" s="148"/>
      <c r="O170" s="148"/>
      <c r="P170" s="148"/>
      <c r="Q170" s="148"/>
      <c r="R170" s="148">
        <v>0</v>
      </c>
      <c r="S170" s="148"/>
      <c r="T170" s="148">
        <v>0</v>
      </c>
      <c r="U170" s="150">
        <v>0</v>
      </c>
      <c r="V170" s="148"/>
      <c r="W170" s="148">
        <v>0</v>
      </c>
      <c r="X170" s="150">
        <v>0</v>
      </c>
      <c r="Y170" s="148"/>
      <c r="Z170" s="148">
        <v>0</v>
      </c>
      <c r="AA170" s="150">
        <v>0</v>
      </c>
    </row>
    <row r="171" spans="1:27" ht="24.95" customHeight="1">
      <c r="A171" s="32" t="e">
        <v>#REF!</v>
      </c>
      <c r="B171" s="145" t="s">
        <v>167</v>
      </c>
      <c r="C171" s="145" t="s">
        <v>190</v>
      </c>
      <c r="D171" s="145" t="s">
        <v>172</v>
      </c>
      <c r="E171" s="145" t="s">
        <v>205</v>
      </c>
      <c r="F171" s="145" t="s">
        <v>175</v>
      </c>
      <c r="G171" s="145" t="s">
        <v>207</v>
      </c>
      <c r="H171" s="145" t="s">
        <v>65</v>
      </c>
      <c r="I171" s="145">
        <v>11</v>
      </c>
      <c r="J171" s="146" t="s">
        <v>29</v>
      </c>
      <c r="K171" s="147" t="s">
        <v>127</v>
      </c>
      <c r="L171" s="148">
        <v>304663870647.28998</v>
      </c>
      <c r="M171" s="148"/>
      <c r="N171" s="148"/>
      <c r="O171" s="148">
        <v>1100046591</v>
      </c>
      <c r="P171" s="148">
        <v>33638816750.259998</v>
      </c>
      <c r="Q171" s="148">
        <v>-207207638916</v>
      </c>
      <c r="R171" s="149">
        <v>479332739404.02997</v>
      </c>
      <c r="S171" s="148">
        <v>357043404173.20001</v>
      </c>
      <c r="T171" s="148">
        <v>122289335230.82996</v>
      </c>
      <c r="U171" s="150">
        <v>0.74487589689184119</v>
      </c>
      <c r="V171" s="148">
        <v>59218686139.769997</v>
      </c>
      <c r="W171" s="148">
        <v>297824718033.42999</v>
      </c>
      <c r="X171" s="150">
        <v>0.83414149246951685</v>
      </c>
      <c r="Y171" s="148">
        <v>59218686139.769997</v>
      </c>
      <c r="Z171" s="148">
        <v>0</v>
      </c>
      <c r="AA171" s="150">
        <v>0.16585850753048303</v>
      </c>
    </row>
    <row r="172" spans="1:27" ht="32.25" customHeight="1">
      <c r="A172" s="32" t="e">
        <v>#REF!</v>
      </c>
      <c r="B172" s="139" t="s">
        <v>167</v>
      </c>
      <c r="C172" s="139" t="s">
        <v>190</v>
      </c>
      <c r="D172" s="139" t="s">
        <v>172</v>
      </c>
      <c r="E172" s="139" t="s">
        <v>205</v>
      </c>
      <c r="F172" s="139" t="s">
        <v>175</v>
      </c>
      <c r="G172" s="139" t="s">
        <v>209</v>
      </c>
      <c r="H172" s="139"/>
      <c r="I172" s="139">
        <v>11</v>
      </c>
      <c r="J172" s="140" t="s">
        <v>29</v>
      </c>
      <c r="K172" s="140" t="s">
        <v>210</v>
      </c>
      <c r="L172" s="141">
        <v>23213814067</v>
      </c>
      <c r="M172" s="142">
        <v>0</v>
      </c>
      <c r="N172" s="142">
        <v>0</v>
      </c>
      <c r="O172" s="141">
        <v>1558170367</v>
      </c>
      <c r="P172" s="142">
        <v>0</v>
      </c>
      <c r="Q172" s="142">
        <v>0</v>
      </c>
      <c r="R172" s="141">
        <v>24771984434</v>
      </c>
      <c r="S172" s="141">
        <v>18128513621</v>
      </c>
      <c r="T172" s="141">
        <v>6643470813</v>
      </c>
      <c r="U172" s="143">
        <v>0.73181515470832792</v>
      </c>
      <c r="V172" s="141">
        <v>8797907476</v>
      </c>
      <c r="W172" s="141">
        <v>9330606145</v>
      </c>
      <c r="X172" s="143">
        <v>0.51469228752386309</v>
      </c>
      <c r="Y172" s="141">
        <v>8575576525</v>
      </c>
      <c r="Z172" s="141">
        <v>222330951</v>
      </c>
      <c r="AA172" s="724">
        <v>0.47304355471626119</v>
      </c>
    </row>
    <row r="173" spans="1:27" ht="24.95" customHeight="1">
      <c r="A173" s="32" t="e">
        <v>#REF!</v>
      </c>
      <c r="B173" s="145" t="s">
        <v>167</v>
      </c>
      <c r="C173" s="145" t="s">
        <v>190</v>
      </c>
      <c r="D173" s="145" t="s">
        <v>172</v>
      </c>
      <c r="E173" s="145" t="s">
        <v>205</v>
      </c>
      <c r="F173" s="145" t="s">
        <v>175</v>
      </c>
      <c r="G173" s="145" t="s">
        <v>209</v>
      </c>
      <c r="H173" s="145" t="s">
        <v>54</v>
      </c>
      <c r="I173" s="145">
        <v>11</v>
      </c>
      <c r="J173" s="146" t="s">
        <v>29</v>
      </c>
      <c r="K173" s="147" t="s">
        <v>178</v>
      </c>
      <c r="L173" s="148">
        <v>23213814067</v>
      </c>
      <c r="M173" s="148"/>
      <c r="N173" s="148"/>
      <c r="O173" s="148">
        <v>1558170367</v>
      </c>
      <c r="P173" s="148"/>
      <c r="Q173" s="148"/>
      <c r="R173" s="148">
        <v>24771984434</v>
      </c>
      <c r="S173" s="148">
        <v>18128513621</v>
      </c>
      <c r="T173" s="148">
        <v>6643470813</v>
      </c>
      <c r="U173" s="150">
        <v>0.73181515470832792</v>
      </c>
      <c r="V173" s="148">
        <v>8797907476</v>
      </c>
      <c r="W173" s="148">
        <v>9330606145</v>
      </c>
      <c r="X173" s="150">
        <v>0.51469228752386309</v>
      </c>
      <c r="Y173" s="148">
        <v>8575576525</v>
      </c>
      <c r="Z173" s="148">
        <v>222330951</v>
      </c>
      <c r="AA173" s="150">
        <v>0.47304355471626119</v>
      </c>
    </row>
    <row r="174" spans="1:27" ht="38.25" customHeight="1">
      <c r="A174" s="32" t="e">
        <v>#REF!</v>
      </c>
      <c r="B174" s="133" t="s">
        <v>167</v>
      </c>
      <c r="C174" s="133" t="s">
        <v>190</v>
      </c>
      <c r="D174" s="133" t="s">
        <v>172</v>
      </c>
      <c r="E174" s="133" t="s">
        <v>211</v>
      </c>
      <c r="F174" s="133"/>
      <c r="G174" s="133"/>
      <c r="H174" s="133"/>
      <c r="I174" s="133"/>
      <c r="J174" s="134"/>
      <c r="K174" s="134" t="s">
        <v>266</v>
      </c>
      <c r="L174" s="135">
        <v>1500000000</v>
      </c>
      <c r="M174" s="136">
        <v>0</v>
      </c>
      <c r="N174" s="136">
        <v>0</v>
      </c>
      <c r="O174" s="135">
        <v>595000000</v>
      </c>
      <c r="P174" s="135">
        <v>595000000</v>
      </c>
      <c r="Q174" s="136">
        <v>0</v>
      </c>
      <c r="R174" s="135">
        <v>1500000000</v>
      </c>
      <c r="S174" s="135">
        <v>500000000</v>
      </c>
      <c r="T174" s="135">
        <v>1000000000</v>
      </c>
      <c r="U174" s="137">
        <v>0.33333333333333331</v>
      </c>
      <c r="V174" s="135">
        <v>225000000</v>
      </c>
      <c r="W174" s="136">
        <v>275000000</v>
      </c>
      <c r="X174" s="137">
        <v>0.55000000000000004</v>
      </c>
      <c r="Y174" s="135">
        <v>225000000</v>
      </c>
      <c r="Z174" s="135">
        <v>0</v>
      </c>
      <c r="AA174" s="723">
        <v>0.45</v>
      </c>
    </row>
    <row r="175" spans="1:27" ht="32.25" customHeight="1">
      <c r="A175" s="32" t="e">
        <v>#REF!</v>
      </c>
      <c r="B175" s="139" t="s">
        <v>167</v>
      </c>
      <c r="C175" s="139" t="s">
        <v>190</v>
      </c>
      <c r="D175" s="139" t="s">
        <v>172</v>
      </c>
      <c r="E175" s="139" t="s">
        <v>211</v>
      </c>
      <c r="F175" s="139" t="s">
        <v>175</v>
      </c>
      <c r="G175" s="139" t="s">
        <v>213</v>
      </c>
      <c r="H175" s="139"/>
      <c r="I175" s="139" t="s">
        <v>144</v>
      </c>
      <c r="J175" s="140" t="s">
        <v>29</v>
      </c>
      <c r="K175" s="140" t="s">
        <v>214</v>
      </c>
      <c r="L175" s="141">
        <v>1095000000</v>
      </c>
      <c r="M175" s="142">
        <v>0</v>
      </c>
      <c r="N175" s="142">
        <v>0</v>
      </c>
      <c r="O175" s="142">
        <v>0</v>
      </c>
      <c r="P175" s="141">
        <v>595000000</v>
      </c>
      <c r="Q175" s="142">
        <v>0</v>
      </c>
      <c r="R175" s="141">
        <v>500000000</v>
      </c>
      <c r="S175" s="141">
        <v>95000000</v>
      </c>
      <c r="T175" s="141">
        <v>405000000</v>
      </c>
      <c r="U175" s="143">
        <v>0.19</v>
      </c>
      <c r="V175" s="141">
        <v>95000000</v>
      </c>
      <c r="W175" s="142">
        <v>0</v>
      </c>
      <c r="X175" s="143">
        <v>0</v>
      </c>
      <c r="Y175" s="141">
        <v>95000000</v>
      </c>
      <c r="Z175" s="141">
        <v>0</v>
      </c>
      <c r="AA175" s="724">
        <v>1</v>
      </c>
    </row>
    <row r="176" spans="1:27" ht="24.95" customHeight="1">
      <c r="A176" s="32" t="e">
        <v>#REF!</v>
      </c>
      <c r="B176" s="145" t="s">
        <v>167</v>
      </c>
      <c r="C176" s="145" t="s">
        <v>190</v>
      </c>
      <c r="D176" s="145" t="s">
        <v>172</v>
      </c>
      <c r="E176" s="145" t="s">
        <v>211</v>
      </c>
      <c r="F176" s="145" t="s">
        <v>175</v>
      </c>
      <c r="G176" s="145" t="s">
        <v>213</v>
      </c>
      <c r="H176" s="145" t="s">
        <v>54</v>
      </c>
      <c r="I176" s="145" t="s">
        <v>144</v>
      </c>
      <c r="J176" s="146" t="s">
        <v>29</v>
      </c>
      <c r="K176" s="147" t="s">
        <v>178</v>
      </c>
      <c r="L176" s="148">
        <v>1095000000</v>
      </c>
      <c r="M176" s="148"/>
      <c r="N176" s="148"/>
      <c r="O176" s="148"/>
      <c r="P176" s="149">
        <v>595000000</v>
      </c>
      <c r="Q176" s="148"/>
      <c r="R176" s="148">
        <v>500000000</v>
      </c>
      <c r="S176" s="148">
        <v>95000000</v>
      </c>
      <c r="T176" s="148">
        <v>405000000</v>
      </c>
      <c r="U176" s="150">
        <v>0.19</v>
      </c>
      <c r="V176" s="148">
        <v>95000000</v>
      </c>
      <c r="W176" s="148">
        <v>0</v>
      </c>
      <c r="X176" s="150">
        <v>0</v>
      </c>
      <c r="Y176" s="148">
        <v>95000000</v>
      </c>
      <c r="Z176" s="148">
        <v>0</v>
      </c>
      <c r="AA176" s="150">
        <v>1</v>
      </c>
    </row>
    <row r="177" spans="1:27" ht="32.25" customHeight="1">
      <c r="A177" s="32" t="e">
        <v>#REF!</v>
      </c>
      <c r="B177" s="139" t="s">
        <v>167</v>
      </c>
      <c r="C177" s="139" t="s">
        <v>190</v>
      </c>
      <c r="D177" s="139" t="s">
        <v>172</v>
      </c>
      <c r="E177" s="139" t="s">
        <v>211</v>
      </c>
      <c r="F177" s="139" t="s">
        <v>175</v>
      </c>
      <c r="G177" s="139" t="s">
        <v>215</v>
      </c>
      <c r="H177" s="139"/>
      <c r="I177" s="139" t="s">
        <v>144</v>
      </c>
      <c r="J177" s="140" t="s">
        <v>29</v>
      </c>
      <c r="K177" s="140" t="s">
        <v>216</v>
      </c>
      <c r="L177" s="141">
        <v>405000000</v>
      </c>
      <c r="M177" s="142">
        <v>0</v>
      </c>
      <c r="N177" s="142">
        <v>0</v>
      </c>
      <c r="O177" s="141">
        <v>595000000</v>
      </c>
      <c r="P177" s="142">
        <v>0</v>
      </c>
      <c r="Q177" s="142">
        <v>0</v>
      </c>
      <c r="R177" s="141">
        <v>1000000000</v>
      </c>
      <c r="S177" s="141">
        <v>405000000</v>
      </c>
      <c r="T177" s="141">
        <v>595000000</v>
      </c>
      <c r="U177" s="143">
        <v>0.40500000000000003</v>
      </c>
      <c r="V177" s="141">
        <v>130000000</v>
      </c>
      <c r="W177" s="142">
        <v>275000000</v>
      </c>
      <c r="X177" s="143">
        <v>0.67901234567901236</v>
      </c>
      <c r="Y177" s="141">
        <v>130000000</v>
      </c>
      <c r="Z177" s="141">
        <v>0</v>
      </c>
      <c r="AA177" s="724">
        <v>0.32098765432098764</v>
      </c>
    </row>
    <row r="178" spans="1:27" ht="24.95" customHeight="1">
      <c r="A178" s="32" t="e">
        <v>#REF!</v>
      </c>
      <c r="B178" s="145" t="s">
        <v>167</v>
      </c>
      <c r="C178" s="145" t="s">
        <v>190</v>
      </c>
      <c r="D178" s="145" t="s">
        <v>172</v>
      </c>
      <c r="E178" s="145" t="s">
        <v>211</v>
      </c>
      <c r="F178" s="145" t="s">
        <v>175</v>
      </c>
      <c r="G178" s="145" t="s">
        <v>215</v>
      </c>
      <c r="H178" s="145" t="s">
        <v>54</v>
      </c>
      <c r="I178" s="145" t="s">
        <v>144</v>
      </c>
      <c r="J178" s="146" t="s">
        <v>29</v>
      </c>
      <c r="K178" s="147" t="s">
        <v>178</v>
      </c>
      <c r="L178" s="148">
        <v>405000000</v>
      </c>
      <c r="M178" s="148"/>
      <c r="N178" s="148"/>
      <c r="O178" s="149">
        <v>595000000</v>
      </c>
      <c r="P178" s="148"/>
      <c r="Q178" s="148"/>
      <c r="R178" s="148">
        <v>1000000000</v>
      </c>
      <c r="S178" s="148">
        <v>405000000</v>
      </c>
      <c r="T178" s="148">
        <v>595000000</v>
      </c>
      <c r="U178" s="150">
        <v>0.40500000000000003</v>
      </c>
      <c r="V178" s="148">
        <v>130000000</v>
      </c>
      <c r="W178" s="148">
        <v>275000000</v>
      </c>
      <c r="X178" s="150">
        <v>0.67901234567901236</v>
      </c>
      <c r="Y178" s="148">
        <v>130000000</v>
      </c>
      <c r="Z178" s="148">
        <v>0</v>
      </c>
      <c r="AA178" s="150">
        <v>0.32098765432098764</v>
      </c>
    </row>
    <row r="179" spans="1:27" ht="49.5" customHeight="1">
      <c r="A179" s="32" t="e">
        <v>#REF!</v>
      </c>
      <c r="B179" s="133" t="s">
        <v>167</v>
      </c>
      <c r="C179" s="133" t="s">
        <v>190</v>
      </c>
      <c r="D179" s="133" t="s">
        <v>172</v>
      </c>
      <c r="E179" s="133" t="s">
        <v>217</v>
      </c>
      <c r="F179" s="133"/>
      <c r="G179" s="133"/>
      <c r="H179" s="133"/>
      <c r="I179" s="133"/>
      <c r="J179" s="134"/>
      <c r="K179" s="134" t="s">
        <v>267</v>
      </c>
      <c r="L179" s="136">
        <v>0</v>
      </c>
      <c r="M179" s="136">
        <v>0</v>
      </c>
      <c r="N179" s="136">
        <v>0</v>
      </c>
      <c r="O179" s="135">
        <v>5207638916</v>
      </c>
      <c r="P179" s="136">
        <v>0</v>
      </c>
      <c r="Q179" s="136">
        <v>0</v>
      </c>
      <c r="R179" s="135">
        <v>5207638916</v>
      </c>
      <c r="S179" s="135">
        <v>5053763000</v>
      </c>
      <c r="T179" s="135">
        <v>153875916</v>
      </c>
      <c r="U179" s="137">
        <v>0.97045188453307885</v>
      </c>
      <c r="V179" s="135">
        <v>0</v>
      </c>
      <c r="W179" s="136">
        <v>5053763000</v>
      </c>
      <c r="X179" s="137">
        <v>1</v>
      </c>
      <c r="Y179" s="135">
        <v>0</v>
      </c>
      <c r="Z179" s="135">
        <v>0</v>
      </c>
      <c r="AA179" s="723">
        <v>0</v>
      </c>
    </row>
    <row r="180" spans="1:27" ht="32.25" customHeight="1">
      <c r="A180" s="32" t="e">
        <v>#REF!</v>
      </c>
      <c r="B180" s="139" t="s">
        <v>167</v>
      </c>
      <c r="C180" s="139" t="s">
        <v>190</v>
      </c>
      <c r="D180" s="139" t="s">
        <v>172</v>
      </c>
      <c r="E180" s="139" t="s">
        <v>217</v>
      </c>
      <c r="F180" s="139" t="s">
        <v>175</v>
      </c>
      <c r="G180" s="139" t="s">
        <v>219</v>
      </c>
      <c r="H180" s="139"/>
      <c r="I180" s="139">
        <v>11</v>
      </c>
      <c r="J180" s="140" t="s">
        <v>29</v>
      </c>
      <c r="K180" s="140" t="s">
        <v>220</v>
      </c>
      <c r="L180" s="142">
        <v>0</v>
      </c>
      <c r="M180" s="142">
        <v>0</v>
      </c>
      <c r="N180" s="142">
        <v>0</v>
      </c>
      <c r="O180" s="141">
        <v>610647150</v>
      </c>
      <c r="P180" s="142">
        <v>0</v>
      </c>
      <c r="Q180" s="142">
        <v>0</v>
      </c>
      <c r="R180" s="141">
        <v>610647150</v>
      </c>
      <c r="S180" s="141">
        <v>610647150</v>
      </c>
      <c r="T180" s="141">
        <v>0</v>
      </c>
      <c r="U180" s="143">
        <v>1</v>
      </c>
      <c r="V180" s="141">
        <v>0</v>
      </c>
      <c r="W180" s="142">
        <v>610647150</v>
      </c>
      <c r="X180" s="143">
        <v>1</v>
      </c>
      <c r="Y180" s="141">
        <v>0</v>
      </c>
      <c r="Z180" s="141">
        <v>0</v>
      </c>
      <c r="AA180" s="724">
        <v>0</v>
      </c>
    </row>
    <row r="181" spans="1:27" ht="24.95" customHeight="1">
      <c r="A181" s="32" t="e">
        <v>#REF!</v>
      </c>
      <c r="B181" s="145" t="s">
        <v>167</v>
      </c>
      <c r="C181" s="145" t="s">
        <v>190</v>
      </c>
      <c r="D181" s="145" t="s">
        <v>172</v>
      </c>
      <c r="E181" s="145" t="s">
        <v>217</v>
      </c>
      <c r="F181" s="145" t="s">
        <v>175</v>
      </c>
      <c r="G181" s="145" t="s">
        <v>219</v>
      </c>
      <c r="H181" s="145" t="s">
        <v>54</v>
      </c>
      <c r="I181" s="145">
        <v>11</v>
      </c>
      <c r="J181" s="146" t="s">
        <v>29</v>
      </c>
      <c r="K181" s="147" t="s">
        <v>178</v>
      </c>
      <c r="L181" s="148"/>
      <c r="M181" s="148"/>
      <c r="N181" s="148"/>
      <c r="O181" s="148">
        <v>610647150</v>
      </c>
      <c r="P181" s="148"/>
      <c r="Q181" s="148"/>
      <c r="R181" s="148">
        <v>610647150</v>
      </c>
      <c r="S181" s="148">
        <v>610647150</v>
      </c>
      <c r="T181" s="148">
        <v>0</v>
      </c>
      <c r="U181" s="150">
        <v>1</v>
      </c>
      <c r="V181" s="148"/>
      <c r="W181" s="148">
        <v>610647150</v>
      </c>
      <c r="X181" s="150">
        <v>1</v>
      </c>
      <c r="Y181" s="148"/>
      <c r="Z181" s="148">
        <v>0</v>
      </c>
      <c r="AA181" s="150">
        <v>0</v>
      </c>
    </row>
    <row r="182" spans="1:27" ht="32.25" customHeight="1">
      <c r="A182" s="32" t="e">
        <v>#REF!</v>
      </c>
      <c r="B182" s="139" t="s">
        <v>167</v>
      </c>
      <c r="C182" s="139" t="s">
        <v>190</v>
      </c>
      <c r="D182" s="139" t="s">
        <v>172</v>
      </c>
      <c r="E182" s="139" t="s">
        <v>217</v>
      </c>
      <c r="F182" s="139" t="s">
        <v>175</v>
      </c>
      <c r="G182" s="139" t="s">
        <v>221</v>
      </c>
      <c r="H182" s="139"/>
      <c r="I182" s="139">
        <v>11</v>
      </c>
      <c r="J182" s="140" t="s">
        <v>29</v>
      </c>
      <c r="K182" s="140" t="s">
        <v>222</v>
      </c>
      <c r="L182" s="142">
        <v>0</v>
      </c>
      <c r="M182" s="141">
        <v>0</v>
      </c>
      <c r="N182" s="141">
        <v>0</v>
      </c>
      <c r="O182" s="141">
        <v>2557468350</v>
      </c>
      <c r="P182" s="142">
        <v>0</v>
      </c>
      <c r="Q182" s="142">
        <v>0</v>
      </c>
      <c r="R182" s="141">
        <v>2557468350</v>
      </c>
      <c r="S182" s="141">
        <v>2403592434</v>
      </c>
      <c r="T182" s="141">
        <v>153875916</v>
      </c>
      <c r="U182" s="143">
        <v>0.93983271933746515</v>
      </c>
      <c r="V182" s="141">
        <v>0</v>
      </c>
      <c r="W182" s="141">
        <v>2403592434</v>
      </c>
      <c r="X182" s="143">
        <v>1</v>
      </c>
      <c r="Y182" s="141">
        <v>0</v>
      </c>
      <c r="Z182" s="141">
        <v>0</v>
      </c>
      <c r="AA182" s="724">
        <v>0</v>
      </c>
    </row>
    <row r="183" spans="1:27" ht="24.95" customHeight="1">
      <c r="A183" s="32" t="e">
        <v>#REF!</v>
      </c>
      <c r="B183" s="145" t="s">
        <v>167</v>
      </c>
      <c r="C183" s="145" t="s">
        <v>190</v>
      </c>
      <c r="D183" s="145" t="s">
        <v>172</v>
      </c>
      <c r="E183" s="145" t="s">
        <v>217</v>
      </c>
      <c r="F183" s="145" t="s">
        <v>175</v>
      </c>
      <c r="G183" s="145" t="s">
        <v>221</v>
      </c>
      <c r="H183" s="145" t="s">
        <v>54</v>
      </c>
      <c r="I183" s="145">
        <v>11</v>
      </c>
      <c r="J183" s="146" t="s">
        <v>29</v>
      </c>
      <c r="K183" s="147" t="s">
        <v>178</v>
      </c>
      <c r="L183" s="148"/>
      <c r="M183" s="148"/>
      <c r="N183" s="148"/>
      <c r="O183" s="148">
        <v>388286850</v>
      </c>
      <c r="P183" s="148"/>
      <c r="Q183" s="148"/>
      <c r="R183" s="148">
        <v>388286850</v>
      </c>
      <c r="S183" s="148">
        <v>388286850</v>
      </c>
      <c r="T183" s="148">
        <v>0</v>
      </c>
      <c r="U183" s="150">
        <v>1</v>
      </c>
      <c r="V183" s="148"/>
      <c r="W183" s="148">
        <v>388286850</v>
      </c>
      <c r="X183" s="150">
        <v>1</v>
      </c>
      <c r="Y183" s="148"/>
      <c r="Z183" s="148">
        <v>0</v>
      </c>
      <c r="AA183" s="150">
        <v>0</v>
      </c>
    </row>
    <row r="184" spans="1:27" ht="24.95" customHeight="1">
      <c r="A184" s="32" t="e">
        <v>#REF!</v>
      </c>
      <c r="B184" s="145" t="s">
        <v>167</v>
      </c>
      <c r="C184" s="145" t="s">
        <v>190</v>
      </c>
      <c r="D184" s="145" t="s">
        <v>172</v>
      </c>
      <c r="E184" s="145" t="s">
        <v>217</v>
      </c>
      <c r="F184" s="145" t="s">
        <v>175</v>
      </c>
      <c r="G184" s="145" t="s">
        <v>221</v>
      </c>
      <c r="H184" s="145" t="s">
        <v>65</v>
      </c>
      <c r="I184" s="145">
        <v>11</v>
      </c>
      <c r="J184" s="146" t="s">
        <v>29</v>
      </c>
      <c r="K184" s="147" t="s">
        <v>127</v>
      </c>
      <c r="L184" s="148"/>
      <c r="M184" s="148"/>
      <c r="N184" s="148"/>
      <c r="O184" s="148">
        <v>2169181500</v>
      </c>
      <c r="P184" s="148"/>
      <c r="Q184" s="148"/>
      <c r="R184" s="148">
        <v>2169181500</v>
      </c>
      <c r="S184" s="148">
        <v>2015305584</v>
      </c>
      <c r="T184" s="148">
        <v>153875916</v>
      </c>
      <c r="U184" s="150">
        <v>0.92906268285987137</v>
      </c>
      <c r="V184" s="148"/>
      <c r="W184" s="148">
        <v>2015305584</v>
      </c>
      <c r="X184" s="150">
        <v>1</v>
      </c>
      <c r="Y184" s="148"/>
      <c r="Z184" s="148">
        <v>0</v>
      </c>
      <c r="AA184" s="150">
        <v>0</v>
      </c>
    </row>
    <row r="185" spans="1:27" ht="32.25" customHeight="1">
      <c r="A185" s="32" t="e">
        <v>#REF!</v>
      </c>
      <c r="B185" s="139" t="s">
        <v>167</v>
      </c>
      <c r="C185" s="139" t="s">
        <v>190</v>
      </c>
      <c r="D185" s="139" t="s">
        <v>172</v>
      </c>
      <c r="E185" s="139" t="s">
        <v>217</v>
      </c>
      <c r="F185" s="139" t="s">
        <v>175</v>
      </c>
      <c r="G185" s="139" t="s">
        <v>223</v>
      </c>
      <c r="H185" s="139"/>
      <c r="I185" s="139">
        <v>11</v>
      </c>
      <c r="J185" s="140" t="s">
        <v>29</v>
      </c>
      <c r="K185" s="140" t="s">
        <v>224</v>
      </c>
      <c r="L185" s="142">
        <v>0</v>
      </c>
      <c r="M185" s="141">
        <v>0</v>
      </c>
      <c r="N185" s="141">
        <v>0</v>
      </c>
      <c r="O185" s="141">
        <v>1818499224</v>
      </c>
      <c r="P185" s="142">
        <v>0</v>
      </c>
      <c r="Q185" s="142">
        <v>0</v>
      </c>
      <c r="R185" s="141">
        <v>1818499224</v>
      </c>
      <c r="S185" s="141">
        <v>1818499224</v>
      </c>
      <c r="T185" s="141">
        <v>0</v>
      </c>
      <c r="U185" s="143">
        <v>1</v>
      </c>
      <c r="V185" s="141">
        <v>0</v>
      </c>
      <c r="W185" s="141">
        <v>1818499224</v>
      </c>
      <c r="X185" s="143">
        <v>1</v>
      </c>
      <c r="Y185" s="141">
        <v>0</v>
      </c>
      <c r="Z185" s="141">
        <v>0</v>
      </c>
      <c r="AA185" s="724">
        <v>0</v>
      </c>
    </row>
    <row r="186" spans="1:27" ht="24.95" customHeight="1">
      <c r="A186" s="32" t="e">
        <v>#REF!</v>
      </c>
      <c r="B186" s="145" t="s">
        <v>167</v>
      </c>
      <c r="C186" s="145" t="s">
        <v>190</v>
      </c>
      <c r="D186" s="145" t="s">
        <v>172</v>
      </c>
      <c r="E186" s="145" t="s">
        <v>217</v>
      </c>
      <c r="F186" s="145" t="s">
        <v>175</v>
      </c>
      <c r="G186" s="145" t="s">
        <v>223</v>
      </c>
      <c r="H186" s="145" t="s">
        <v>54</v>
      </c>
      <c r="I186" s="145">
        <v>11</v>
      </c>
      <c r="J186" s="146" t="s">
        <v>29</v>
      </c>
      <c r="K186" s="147" t="s">
        <v>178</v>
      </c>
      <c r="L186" s="148"/>
      <c r="M186" s="148"/>
      <c r="N186" s="148"/>
      <c r="O186" s="148">
        <v>259599224</v>
      </c>
      <c r="P186" s="148"/>
      <c r="Q186" s="148"/>
      <c r="R186" s="148">
        <v>259599224</v>
      </c>
      <c r="S186" s="148">
        <v>259599224</v>
      </c>
      <c r="T186" s="148">
        <v>0</v>
      </c>
      <c r="U186" s="150">
        <v>1</v>
      </c>
      <c r="V186" s="148"/>
      <c r="W186" s="148">
        <v>259599224</v>
      </c>
      <c r="X186" s="150">
        <v>1</v>
      </c>
      <c r="Y186" s="148"/>
      <c r="Z186" s="148">
        <v>0</v>
      </c>
      <c r="AA186" s="150">
        <v>0</v>
      </c>
    </row>
    <row r="187" spans="1:27" ht="24.95" customHeight="1">
      <c r="A187" s="32" t="e">
        <v>#REF!</v>
      </c>
      <c r="B187" s="145" t="s">
        <v>167</v>
      </c>
      <c r="C187" s="145" t="s">
        <v>190</v>
      </c>
      <c r="D187" s="145" t="s">
        <v>172</v>
      </c>
      <c r="E187" s="145" t="s">
        <v>217</v>
      </c>
      <c r="F187" s="145" t="s">
        <v>175</v>
      </c>
      <c r="G187" s="145" t="s">
        <v>223</v>
      </c>
      <c r="H187" s="145" t="s">
        <v>65</v>
      </c>
      <c r="I187" s="145">
        <v>11</v>
      </c>
      <c r="J187" s="146" t="s">
        <v>29</v>
      </c>
      <c r="K187" s="147" t="s">
        <v>127</v>
      </c>
      <c r="L187" s="148"/>
      <c r="M187" s="148"/>
      <c r="N187" s="148"/>
      <c r="O187" s="148">
        <v>1558900000</v>
      </c>
      <c r="P187" s="148"/>
      <c r="Q187" s="148"/>
      <c r="R187" s="148">
        <v>1558900000</v>
      </c>
      <c r="S187" s="148">
        <v>1558900000</v>
      </c>
      <c r="T187" s="148">
        <v>0</v>
      </c>
      <c r="U187" s="150">
        <v>1</v>
      </c>
      <c r="V187" s="148"/>
      <c r="W187" s="148">
        <v>1558900000</v>
      </c>
      <c r="X187" s="150">
        <v>1</v>
      </c>
      <c r="Y187" s="148"/>
      <c r="Z187" s="148">
        <v>0</v>
      </c>
      <c r="AA187" s="150">
        <v>0</v>
      </c>
    </row>
    <row r="188" spans="1:27" ht="32.25" customHeight="1">
      <c r="A188" s="32" t="e">
        <v>#REF!</v>
      </c>
      <c r="B188" s="139" t="s">
        <v>167</v>
      </c>
      <c r="C188" s="139" t="s">
        <v>190</v>
      </c>
      <c r="D188" s="139" t="s">
        <v>172</v>
      </c>
      <c r="E188" s="139" t="s">
        <v>217</v>
      </c>
      <c r="F188" s="139" t="s">
        <v>175</v>
      </c>
      <c r="G188" s="139" t="s">
        <v>225</v>
      </c>
      <c r="H188" s="139"/>
      <c r="I188" s="139">
        <v>11</v>
      </c>
      <c r="J188" s="140" t="s">
        <v>29</v>
      </c>
      <c r="K188" s="140" t="s">
        <v>226</v>
      </c>
      <c r="L188" s="142">
        <v>0</v>
      </c>
      <c r="M188" s="142">
        <v>0</v>
      </c>
      <c r="N188" s="142">
        <v>0</v>
      </c>
      <c r="O188" s="141">
        <v>221024192</v>
      </c>
      <c r="P188" s="142">
        <v>0</v>
      </c>
      <c r="Q188" s="142">
        <v>0</v>
      </c>
      <c r="R188" s="141">
        <v>221024192</v>
      </c>
      <c r="S188" s="141">
        <v>221024192</v>
      </c>
      <c r="T188" s="141">
        <v>0</v>
      </c>
      <c r="U188" s="143">
        <v>1</v>
      </c>
      <c r="V188" s="141">
        <v>0</v>
      </c>
      <c r="W188" s="142">
        <v>221024192</v>
      </c>
      <c r="X188" s="143">
        <v>1</v>
      </c>
      <c r="Y188" s="141">
        <v>0</v>
      </c>
      <c r="Z188" s="141">
        <v>0</v>
      </c>
      <c r="AA188" s="724">
        <v>0</v>
      </c>
    </row>
    <row r="189" spans="1:27" ht="24.95" customHeight="1">
      <c r="A189" s="32" t="e">
        <v>#REF!</v>
      </c>
      <c r="B189" s="145" t="s">
        <v>167</v>
      </c>
      <c r="C189" s="145" t="s">
        <v>190</v>
      </c>
      <c r="D189" s="145" t="s">
        <v>172</v>
      </c>
      <c r="E189" s="145" t="s">
        <v>217</v>
      </c>
      <c r="F189" s="145" t="s">
        <v>175</v>
      </c>
      <c r="G189" s="145" t="s">
        <v>225</v>
      </c>
      <c r="H189" s="145" t="s">
        <v>54</v>
      </c>
      <c r="I189" s="145">
        <v>11</v>
      </c>
      <c r="J189" s="146" t="s">
        <v>29</v>
      </c>
      <c r="K189" s="147" t="s">
        <v>178</v>
      </c>
      <c r="L189" s="148"/>
      <c r="M189" s="148"/>
      <c r="N189" s="148"/>
      <c r="O189" s="148">
        <v>221024192</v>
      </c>
      <c r="P189" s="148"/>
      <c r="Q189" s="148"/>
      <c r="R189" s="148">
        <v>221024192</v>
      </c>
      <c r="S189" s="148">
        <v>221024192</v>
      </c>
      <c r="T189" s="148">
        <v>0</v>
      </c>
      <c r="U189" s="150">
        <v>1</v>
      </c>
      <c r="V189" s="148"/>
      <c r="W189" s="148">
        <v>221024192</v>
      </c>
      <c r="X189" s="150">
        <v>1</v>
      </c>
      <c r="Y189" s="148"/>
      <c r="Z189" s="148">
        <v>0</v>
      </c>
      <c r="AA189" s="150">
        <v>0</v>
      </c>
    </row>
    <row r="190" spans="1:27" ht="49.5" hidden="1" customHeight="1">
      <c r="A190" s="32" t="e">
        <v>#REF!</v>
      </c>
      <c r="B190" s="133" t="s">
        <v>167</v>
      </c>
      <c r="C190" s="133" t="s">
        <v>190</v>
      </c>
      <c r="D190" s="133" t="s">
        <v>172</v>
      </c>
      <c r="E190" s="133">
        <v>18</v>
      </c>
      <c r="F190" s="133"/>
      <c r="G190" s="133"/>
      <c r="H190" s="133"/>
      <c r="I190" s="133"/>
      <c r="J190" s="134"/>
      <c r="K190" s="134" t="s">
        <v>268</v>
      </c>
      <c r="L190" s="135">
        <v>0</v>
      </c>
      <c r="M190" s="136">
        <v>0</v>
      </c>
      <c r="N190" s="136">
        <v>0</v>
      </c>
      <c r="O190" s="136">
        <v>0</v>
      </c>
      <c r="P190" s="136">
        <v>0</v>
      </c>
      <c r="Q190" s="136">
        <v>0</v>
      </c>
      <c r="R190" s="135">
        <v>0</v>
      </c>
      <c r="S190" s="135">
        <v>0</v>
      </c>
      <c r="T190" s="135">
        <v>0</v>
      </c>
      <c r="U190" s="137">
        <v>0</v>
      </c>
      <c r="V190" s="135">
        <v>0</v>
      </c>
      <c r="W190" s="136">
        <v>0</v>
      </c>
      <c r="X190" s="137">
        <v>0</v>
      </c>
      <c r="Y190" s="135">
        <v>0</v>
      </c>
      <c r="Z190" s="135">
        <v>0</v>
      </c>
      <c r="AA190" s="723">
        <v>0</v>
      </c>
    </row>
    <row r="191" spans="1:27" ht="32.25" hidden="1" customHeight="1">
      <c r="A191" s="32" t="e">
        <v>#REF!</v>
      </c>
      <c r="B191" s="139" t="s">
        <v>167</v>
      </c>
      <c r="C191" s="139" t="s">
        <v>190</v>
      </c>
      <c r="D191" s="139" t="s">
        <v>172</v>
      </c>
      <c r="E191" s="139">
        <v>18</v>
      </c>
      <c r="F191" s="139" t="s">
        <v>175</v>
      </c>
      <c r="G191" s="139">
        <v>4103050</v>
      </c>
      <c r="H191" s="139"/>
      <c r="I191" s="139">
        <v>11</v>
      </c>
      <c r="J191" s="140" t="s">
        <v>29</v>
      </c>
      <c r="K191" s="140" t="s">
        <v>269</v>
      </c>
      <c r="L191" s="141">
        <v>0</v>
      </c>
      <c r="M191" s="142">
        <v>0</v>
      </c>
      <c r="N191" s="142">
        <v>0</v>
      </c>
      <c r="O191" s="142">
        <v>0</v>
      </c>
      <c r="P191" s="142">
        <v>0</v>
      </c>
      <c r="Q191" s="142">
        <v>0</v>
      </c>
      <c r="R191" s="141">
        <v>0</v>
      </c>
      <c r="S191" s="141">
        <v>0</v>
      </c>
      <c r="T191" s="141">
        <v>0</v>
      </c>
      <c r="U191" s="143">
        <v>0</v>
      </c>
      <c r="V191" s="141">
        <v>0</v>
      </c>
      <c r="W191" s="142">
        <v>0</v>
      </c>
      <c r="X191" s="143">
        <v>0</v>
      </c>
      <c r="Y191" s="141">
        <v>0</v>
      </c>
      <c r="Z191" s="141">
        <v>0</v>
      </c>
      <c r="AA191" s="724">
        <v>0</v>
      </c>
    </row>
    <row r="192" spans="1:27" ht="24.95" hidden="1" customHeight="1">
      <c r="A192" s="32" t="e">
        <v>#REF!</v>
      </c>
      <c r="B192" s="145" t="s">
        <v>167</v>
      </c>
      <c r="C192" s="145" t="s">
        <v>190</v>
      </c>
      <c r="D192" s="145" t="s">
        <v>172</v>
      </c>
      <c r="E192" s="145">
        <v>18</v>
      </c>
      <c r="F192" s="145" t="s">
        <v>175</v>
      </c>
      <c r="G192" s="145">
        <v>4103050</v>
      </c>
      <c r="H192" s="145" t="s">
        <v>54</v>
      </c>
      <c r="I192" s="145">
        <v>11</v>
      </c>
      <c r="J192" s="146" t="s">
        <v>29</v>
      </c>
      <c r="K192" s="147" t="s">
        <v>178</v>
      </c>
      <c r="L192" s="148"/>
      <c r="M192" s="148"/>
      <c r="N192" s="148"/>
      <c r="O192" s="148"/>
      <c r="P192" s="148"/>
      <c r="Q192" s="148"/>
      <c r="R192" s="148">
        <v>0</v>
      </c>
      <c r="S192" s="148"/>
      <c r="T192" s="148">
        <v>0</v>
      </c>
      <c r="U192" s="150">
        <v>0</v>
      </c>
      <c r="V192" s="148"/>
      <c r="W192" s="148">
        <v>0</v>
      </c>
      <c r="X192" s="150">
        <v>0</v>
      </c>
      <c r="Y192" s="148"/>
      <c r="Z192" s="148">
        <v>0</v>
      </c>
      <c r="AA192" s="150">
        <v>0</v>
      </c>
    </row>
    <row r="193" spans="1:27" ht="41.25" customHeight="1">
      <c r="A193" s="32" t="e">
        <v>#REF!</v>
      </c>
      <c r="B193" s="133" t="s">
        <v>167</v>
      </c>
      <c r="C193" s="133" t="s">
        <v>190</v>
      </c>
      <c r="D193" s="133" t="s">
        <v>172</v>
      </c>
      <c r="E193" s="133">
        <v>19</v>
      </c>
      <c r="F193" s="133"/>
      <c r="G193" s="133"/>
      <c r="H193" s="133"/>
      <c r="I193" s="133"/>
      <c r="J193" s="134"/>
      <c r="K193" s="134" t="s">
        <v>270</v>
      </c>
      <c r="L193" s="135">
        <v>12733806741</v>
      </c>
      <c r="M193" s="136">
        <v>0</v>
      </c>
      <c r="N193" s="136">
        <v>0</v>
      </c>
      <c r="O193" s="135">
        <v>1842545742</v>
      </c>
      <c r="P193" s="135">
        <v>82545742</v>
      </c>
      <c r="Q193" s="136">
        <v>0</v>
      </c>
      <c r="R193" s="135">
        <v>14493806741</v>
      </c>
      <c r="S193" s="135">
        <v>11806746178.950001</v>
      </c>
      <c r="T193" s="135">
        <v>2687060562.0499992</v>
      </c>
      <c r="U193" s="137">
        <v>0.81460629287619402</v>
      </c>
      <c r="V193" s="135">
        <v>2600405821.5700002</v>
      </c>
      <c r="W193" s="135">
        <v>9206340357.3800011</v>
      </c>
      <c r="X193" s="137">
        <v>0.77975254298206154</v>
      </c>
      <c r="Y193" s="135">
        <v>2401479177.5700002</v>
      </c>
      <c r="Z193" s="135">
        <v>198926644</v>
      </c>
      <c r="AA193" s="723">
        <v>0.20339889933871425</v>
      </c>
    </row>
    <row r="194" spans="1:27" ht="32.25" customHeight="1">
      <c r="A194" s="32" t="e">
        <v>#REF!</v>
      </c>
      <c r="B194" s="139" t="s">
        <v>167</v>
      </c>
      <c r="C194" s="139" t="s">
        <v>190</v>
      </c>
      <c r="D194" s="139" t="s">
        <v>172</v>
      </c>
      <c r="E194" s="139">
        <v>19</v>
      </c>
      <c r="F194" s="139" t="s">
        <v>175</v>
      </c>
      <c r="G194" s="139">
        <v>4103049</v>
      </c>
      <c r="H194" s="139"/>
      <c r="I194" s="139">
        <v>11</v>
      </c>
      <c r="J194" s="140" t="s">
        <v>29</v>
      </c>
      <c r="K194" s="140" t="s">
        <v>228</v>
      </c>
      <c r="L194" s="141">
        <v>380000000</v>
      </c>
      <c r="M194" s="142">
        <v>0</v>
      </c>
      <c r="N194" s="142">
        <v>0</v>
      </c>
      <c r="O194" s="142">
        <v>0</v>
      </c>
      <c r="P194" s="141">
        <v>82545742</v>
      </c>
      <c r="Q194" s="142">
        <v>0</v>
      </c>
      <c r="R194" s="141">
        <v>297454258</v>
      </c>
      <c r="S194" s="141">
        <v>273862636</v>
      </c>
      <c r="T194" s="141">
        <v>23591622</v>
      </c>
      <c r="U194" s="143">
        <v>0.92068823570177305</v>
      </c>
      <c r="V194" s="141">
        <v>125542655</v>
      </c>
      <c r="W194" s="141">
        <v>148319981</v>
      </c>
      <c r="X194" s="143">
        <v>0.54158531140407196</v>
      </c>
      <c r="Y194" s="141">
        <v>121266095</v>
      </c>
      <c r="Z194" s="141">
        <v>4276560</v>
      </c>
      <c r="AA194" s="724">
        <v>0.44279897678338276</v>
      </c>
    </row>
    <row r="195" spans="1:27" ht="24.95" customHeight="1">
      <c r="A195" s="32" t="e">
        <v>#REF!</v>
      </c>
      <c r="B195" s="145" t="s">
        <v>167</v>
      </c>
      <c r="C195" s="145" t="s">
        <v>190</v>
      </c>
      <c r="D195" s="145" t="s">
        <v>172</v>
      </c>
      <c r="E195" s="145">
        <v>19</v>
      </c>
      <c r="F195" s="145" t="s">
        <v>175</v>
      </c>
      <c r="G195" s="145">
        <v>4103049</v>
      </c>
      <c r="H195" s="145" t="s">
        <v>54</v>
      </c>
      <c r="I195" s="145">
        <v>11</v>
      </c>
      <c r="J195" s="146" t="s">
        <v>29</v>
      </c>
      <c r="K195" s="147" t="s">
        <v>178</v>
      </c>
      <c r="L195" s="148">
        <v>380000000</v>
      </c>
      <c r="M195" s="148"/>
      <c r="N195" s="148"/>
      <c r="O195" s="148"/>
      <c r="P195" s="148">
        <v>82545742</v>
      </c>
      <c r="Q195" s="148"/>
      <c r="R195" s="148">
        <v>297454258</v>
      </c>
      <c r="S195" s="148">
        <v>273862636</v>
      </c>
      <c r="T195" s="148">
        <v>23591622</v>
      </c>
      <c r="U195" s="150">
        <v>0.92068823570177305</v>
      </c>
      <c r="V195" s="148">
        <v>125542655</v>
      </c>
      <c r="W195" s="148">
        <v>148319981</v>
      </c>
      <c r="X195" s="150">
        <v>0.54158531140407196</v>
      </c>
      <c r="Y195" s="148">
        <v>121266095</v>
      </c>
      <c r="Z195" s="148">
        <v>4276560</v>
      </c>
      <c r="AA195" s="150">
        <v>0.44279897678338276</v>
      </c>
    </row>
    <row r="196" spans="1:27" ht="32.25" customHeight="1">
      <c r="A196" s="32" t="e">
        <v>#REF!</v>
      </c>
      <c r="B196" s="139" t="s">
        <v>167</v>
      </c>
      <c r="C196" s="139" t="s">
        <v>190</v>
      </c>
      <c r="D196" s="139" t="s">
        <v>172</v>
      </c>
      <c r="E196" s="139">
        <v>19</v>
      </c>
      <c r="F196" s="139" t="s">
        <v>175</v>
      </c>
      <c r="G196" s="139">
        <v>4103052</v>
      </c>
      <c r="H196" s="139"/>
      <c r="I196" s="139">
        <v>11</v>
      </c>
      <c r="J196" s="140" t="s">
        <v>29</v>
      </c>
      <c r="K196" s="140" t="s">
        <v>229</v>
      </c>
      <c r="L196" s="141">
        <v>12353806741</v>
      </c>
      <c r="M196" s="142">
        <v>0</v>
      </c>
      <c r="N196" s="142">
        <v>0</v>
      </c>
      <c r="O196" s="141">
        <v>1842545742</v>
      </c>
      <c r="P196" s="142">
        <v>0</v>
      </c>
      <c r="Q196" s="142">
        <v>0</v>
      </c>
      <c r="R196" s="141">
        <v>14196352483</v>
      </c>
      <c r="S196" s="141">
        <v>11532883542.950001</v>
      </c>
      <c r="T196" s="141">
        <v>2663468940.0499992</v>
      </c>
      <c r="U196" s="143">
        <v>0.81238357224227287</v>
      </c>
      <c r="V196" s="141">
        <v>2474863166.5700002</v>
      </c>
      <c r="W196" s="141">
        <v>9058020376.3800011</v>
      </c>
      <c r="X196" s="143">
        <v>0.78540811954328005</v>
      </c>
      <c r="Y196" s="141">
        <v>2280213082.5700002</v>
      </c>
      <c r="Z196" s="141">
        <v>194650084</v>
      </c>
      <c r="AA196" s="724">
        <v>0.19771404732200595</v>
      </c>
    </row>
    <row r="197" spans="1:27" ht="24.95" customHeight="1">
      <c r="A197" s="32" t="e">
        <v>#REF!</v>
      </c>
      <c r="B197" s="145" t="s">
        <v>167</v>
      </c>
      <c r="C197" s="145" t="s">
        <v>190</v>
      </c>
      <c r="D197" s="145" t="s">
        <v>172</v>
      </c>
      <c r="E197" s="145">
        <v>19</v>
      </c>
      <c r="F197" s="145" t="s">
        <v>175</v>
      </c>
      <c r="G197" s="145">
        <v>4103052</v>
      </c>
      <c r="H197" s="145" t="s">
        <v>54</v>
      </c>
      <c r="I197" s="145">
        <v>11</v>
      </c>
      <c r="J197" s="146" t="s">
        <v>29</v>
      </c>
      <c r="K197" s="147" t="s">
        <v>178</v>
      </c>
      <c r="L197" s="148">
        <v>12353806741</v>
      </c>
      <c r="M197" s="148"/>
      <c r="N197" s="148"/>
      <c r="O197" s="148">
        <v>1842545742</v>
      </c>
      <c r="P197" s="148"/>
      <c r="Q197" s="148"/>
      <c r="R197" s="148">
        <v>14196352483</v>
      </c>
      <c r="S197" s="148">
        <v>11532883542.950001</v>
      </c>
      <c r="T197" s="148">
        <v>2663468940.0499992</v>
      </c>
      <c r="U197" s="150">
        <v>0.81238357224227287</v>
      </c>
      <c r="V197" s="148">
        <v>2474863166.5700002</v>
      </c>
      <c r="W197" s="148">
        <v>9058020376.3800011</v>
      </c>
      <c r="X197" s="150">
        <v>0.78540811954328005</v>
      </c>
      <c r="Y197" s="148">
        <v>2280213082.5700002</v>
      </c>
      <c r="Z197" s="148">
        <v>194650084</v>
      </c>
      <c r="AA197" s="150">
        <v>0.19771404732200595</v>
      </c>
    </row>
    <row r="198" spans="1:27" ht="32.25" hidden="1" customHeight="1">
      <c r="A198" s="32" t="e">
        <v>#REF!</v>
      </c>
      <c r="B198" s="139" t="s">
        <v>167</v>
      </c>
      <c r="C198" s="139" t="s">
        <v>190</v>
      </c>
      <c r="D198" s="139" t="s">
        <v>172</v>
      </c>
      <c r="E198" s="139">
        <v>19</v>
      </c>
      <c r="F198" s="139" t="s">
        <v>175</v>
      </c>
      <c r="G198" s="139">
        <v>4103060</v>
      </c>
      <c r="H198" s="139"/>
      <c r="I198" s="139">
        <v>11</v>
      </c>
      <c r="J198" s="140" t="s">
        <v>29</v>
      </c>
      <c r="K198" s="140" t="s">
        <v>216</v>
      </c>
      <c r="L198" s="141">
        <v>0</v>
      </c>
      <c r="M198" s="142">
        <v>0</v>
      </c>
      <c r="N198" s="142">
        <v>0</v>
      </c>
      <c r="O198" s="142">
        <v>0</v>
      </c>
      <c r="P198" s="142">
        <v>0</v>
      </c>
      <c r="Q198" s="142">
        <v>0</v>
      </c>
      <c r="R198" s="141">
        <v>0</v>
      </c>
      <c r="S198" s="141">
        <v>0</v>
      </c>
      <c r="T198" s="141">
        <v>0</v>
      </c>
      <c r="U198" s="143">
        <v>0</v>
      </c>
      <c r="V198" s="141">
        <v>0</v>
      </c>
      <c r="W198" s="142">
        <v>0</v>
      </c>
      <c r="X198" s="143">
        <v>0</v>
      </c>
      <c r="Y198" s="141">
        <v>0</v>
      </c>
      <c r="Z198" s="141">
        <v>0</v>
      </c>
      <c r="AA198" s="724">
        <v>0</v>
      </c>
    </row>
    <row r="199" spans="1:27" ht="24.95" hidden="1" customHeight="1">
      <c r="A199" s="32" t="e">
        <v>#REF!</v>
      </c>
      <c r="B199" s="145" t="s">
        <v>167</v>
      </c>
      <c r="C199" s="145" t="s">
        <v>190</v>
      </c>
      <c r="D199" s="145" t="s">
        <v>172</v>
      </c>
      <c r="E199" s="145">
        <v>19</v>
      </c>
      <c r="F199" s="145" t="s">
        <v>175</v>
      </c>
      <c r="G199" s="145">
        <v>4103060</v>
      </c>
      <c r="H199" s="145" t="s">
        <v>54</v>
      </c>
      <c r="I199" s="145">
        <v>11</v>
      </c>
      <c r="J199" s="146" t="s">
        <v>29</v>
      </c>
      <c r="K199" s="147" t="s">
        <v>178</v>
      </c>
      <c r="L199" s="148"/>
      <c r="M199" s="148"/>
      <c r="N199" s="148"/>
      <c r="O199" s="148"/>
      <c r="P199" s="148"/>
      <c r="Q199" s="148"/>
      <c r="R199" s="148">
        <v>0</v>
      </c>
      <c r="S199" s="148">
        <v>0</v>
      </c>
      <c r="T199" s="148">
        <v>0</v>
      </c>
      <c r="U199" s="150">
        <v>0</v>
      </c>
      <c r="V199" s="148">
        <v>0</v>
      </c>
      <c r="W199" s="148">
        <v>0</v>
      </c>
      <c r="X199" s="150">
        <v>0</v>
      </c>
      <c r="Y199" s="148">
        <v>0</v>
      </c>
      <c r="Z199" s="148">
        <v>0</v>
      </c>
      <c r="AA199" s="150">
        <v>0</v>
      </c>
    </row>
    <row r="200" spans="1:27" ht="49.5" customHeight="1">
      <c r="A200" s="32" t="e">
        <v>#REF!</v>
      </c>
      <c r="B200" s="133" t="s">
        <v>167</v>
      </c>
      <c r="C200" s="133" t="s">
        <v>190</v>
      </c>
      <c r="D200" s="133" t="s">
        <v>172</v>
      </c>
      <c r="E200" s="133">
        <v>20</v>
      </c>
      <c r="F200" s="133"/>
      <c r="G200" s="133"/>
      <c r="H200" s="133"/>
      <c r="I200" s="133"/>
      <c r="J200" s="134"/>
      <c r="K200" s="134" t="s">
        <v>271</v>
      </c>
      <c r="L200" s="135">
        <v>960000000000</v>
      </c>
      <c r="M200" s="136">
        <v>0</v>
      </c>
      <c r="N200" s="136">
        <v>0</v>
      </c>
      <c r="O200" s="136">
        <v>0</v>
      </c>
      <c r="P200" s="135">
        <v>1760000000</v>
      </c>
      <c r="Q200" s="136">
        <v>0</v>
      </c>
      <c r="R200" s="135">
        <v>958240000000</v>
      </c>
      <c r="S200" s="135">
        <v>525205818815.28003</v>
      </c>
      <c r="T200" s="135">
        <v>433034181184.71997</v>
      </c>
      <c r="U200" s="137">
        <v>0.54809423402830193</v>
      </c>
      <c r="V200" s="135">
        <v>434212744381.67999</v>
      </c>
      <c r="W200" s="135">
        <v>90993074433.600006</v>
      </c>
      <c r="X200" s="137">
        <v>0.17325222069864987</v>
      </c>
      <c r="Y200" s="135">
        <v>434146564951.67999</v>
      </c>
      <c r="Z200" s="135">
        <v>66179430</v>
      </c>
      <c r="AA200" s="723">
        <v>0.82662177264333303</v>
      </c>
    </row>
    <row r="201" spans="1:27" ht="32.25" customHeight="1">
      <c r="A201" s="32" t="e">
        <v>#REF!</v>
      </c>
      <c r="B201" s="139" t="s">
        <v>167</v>
      </c>
      <c r="C201" s="139" t="s">
        <v>190</v>
      </c>
      <c r="D201" s="139" t="s">
        <v>172</v>
      </c>
      <c r="E201" s="139">
        <v>20</v>
      </c>
      <c r="F201" s="139" t="s">
        <v>175</v>
      </c>
      <c r="G201" s="139">
        <v>4103061</v>
      </c>
      <c r="H201" s="139"/>
      <c r="I201" s="139">
        <v>11</v>
      </c>
      <c r="J201" s="140" t="s">
        <v>29</v>
      </c>
      <c r="K201" s="140" t="s">
        <v>231</v>
      </c>
      <c r="L201" s="141">
        <v>960000000000</v>
      </c>
      <c r="M201" s="142">
        <v>0</v>
      </c>
      <c r="N201" s="142">
        <v>0</v>
      </c>
      <c r="O201" s="142">
        <v>0</v>
      </c>
      <c r="P201" s="141">
        <v>1760000000</v>
      </c>
      <c r="Q201" s="142">
        <v>0</v>
      </c>
      <c r="R201" s="141">
        <v>958240000000</v>
      </c>
      <c r="S201" s="141">
        <v>525205818815.28003</v>
      </c>
      <c r="T201" s="141">
        <v>433034181184.71997</v>
      </c>
      <c r="U201" s="143">
        <v>0.54809423402830193</v>
      </c>
      <c r="V201" s="141">
        <v>434212744381.67999</v>
      </c>
      <c r="W201" s="141">
        <v>90993074433.600006</v>
      </c>
      <c r="X201" s="143">
        <v>0.17325222069864987</v>
      </c>
      <c r="Y201" s="141">
        <v>434146564951.67999</v>
      </c>
      <c r="Z201" s="141">
        <v>66179430</v>
      </c>
      <c r="AA201" s="724">
        <v>0.82662177264333303</v>
      </c>
    </row>
    <row r="202" spans="1:27" ht="24.95" customHeight="1">
      <c r="A202" s="32" t="e">
        <v>#REF!</v>
      </c>
      <c r="B202" s="145" t="s">
        <v>167</v>
      </c>
      <c r="C202" s="145" t="s">
        <v>190</v>
      </c>
      <c r="D202" s="145" t="s">
        <v>172</v>
      </c>
      <c r="E202" s="145">
        <v>20</v>
      </c>
      <c r="F202" s="145" t="s">
        <v>175</v>
      </c>
      <c r="G202" s="145">
        <v>4103061</v>
      </c>
      <c r="H202" s="145" t="s">
        <v>54</v>
      </c>
      <c r="I202" s="145">
        <v>11</v>
      </c>
      <c r="J202" s="146" t="s">
        <v>29</v>
      </c>
      <c r="K202" s="147" t="s">
        <v>178</v>
      </c>
      <c r="L202" s="148">
        <v>52278387000</v>
      </c>
      <c r="M202" s="148"/>
      <c r="N202" s="148"/>
      <c r="O202" s="148"/>
      <c r="P202" s="148">
        <v>1760000000</v>
      </c>
      <c r="Q202" s="148"/>
      <c r="R202" s="148">
        <v>50518387000</v>
      </c>
      <c r="S202" s="148">
        <v>35605818815.279999</v>
      </c>
      <c r="T202" s="148">
        <v>14912568184.720001</v>
      </c>
      <c r="U202" s="150">
        <v>0.70480909881940612</v>
      </c>
      <c r="V202" s="148">
        <v>7978808381.6800003</v>
      </c>
      <c r="W202" s="148">
        <v>27627010433.599998</v>
      </c>
      <c r="X202" s="150">
        <v>0.77591279607770325</v>
      </c>
      <c r="Y202" s="148">
        <v>7912628951.6800003</v>
      </c>
      <c r="Z202" s="148">
        <v>66179430</v>
      </c>
      <c r="AA202" s="150">
        <v>0.22222853496868181</v>
      </c>
    </row>
    <row r="203" spans="1:27" ht="24.95" customHeight="1">
      <c r="A203" s="32" t="e">
        <v>#REF!</v>
      </c>
      <c r="B203" s="145" t="s">
        <v>167</v>
      </c>
      <c r="C203" s="145" t="s">
        <v>190</v>
      </c>
      <c r="D203" s="145" t="s">
        <v>172</v>
      </c>
      <c r="E203" s="145">
        <v>20</v>
      </c>
      <c r="F203" s="145" t="s">
        <v>175</v>
      </c>
      <c r="G203" s="145">
        <v>4103061</v>
      </c>
      <c r="H203" s="145" t="s">
        <v>65</v>
      </c>
      <c r="I203" s="145">
        <v>11</v>
      </c>
      <c r="J203" s="146" t="s">
        <v>29</v>
      </c>
      <c r="K203" s="147" t="s">
        <v>127</v>
      </c>
      <c r="L203" s="148">
        <v>907721613000</v>
      </c>
      <c r="M203" s="148"/>
      <c r="N203" s="148"/>
      <c r="O203" s="148"/>
      <c r="P203" s="148"/>
      <c r="Q203" s="148"/>
      <c r="R203" s="148">
        <v>907721613000</v>
      </c>
      <c r="S203" s="148">
        <v>489600000000</v>
      </c>
      <c r="T203" s="148">
        <v>418121613000</v>
      </c>
      <c r="U203" s="150">
        <v>0.53937241659574764</v>
      </c>
      <c r="V203" s="148">
        <v>426233936000</v>
      </c>
      <c r="W203" s="148">
        <v>63366064000</v>
      </c>
      <c r="X203" s="150">
        <v>0.12942415032679738</v>
      </c>
      <c r="Y203" s="148">
        <v>426233936000</v>
      </c>
      <c r="Z203" s="148">
        <v>0</v>
      </c>
      <c r="AA203" s="150">
        <v>0.87057584967320256</v>
      </c>
    </row>
    <row r="204" spans="1:27" ht="42" customHeight="1">
      <c r="A204" s="32" t="e">
        <v>#REF!</v>
      </c>
      <c r="B204" s="133" t="s">
        <v>167</v>
      </c>
      <c r="C204" s="133">
        <v>4103</v>
      </c>
      <c r="D204" s="133" t="s">
        <v>172</v>
      </c>
      <c r="E204" s="133">
        <v>21</v>
      </c>
      <c r="F204" s="133"/>
      <c r="G204" s="133"/>
      <c r="H204" s="133"/>
      <c r="I204" s="133"/>
      <c r="J204" s="134"/>
      <c r="K204" s="134" t="s">
        <v>272</v>
      </c>
      <c r="L204" s="135">
        <v>25000000000</v>
      </c>
      <c r="M204" s="135">
        <v>0</v>
      </c>
      <c r="N204" s="135">
        <v>0</v>
      </c>
      <c r="O204" s="135">
        <v>16740482418</v>
      </c>
      <c r="P204" s="135">
        <v>16740482418</v>
      </c>
      <c r="Q204" s="135">
        <v>0</v>
      </c>
      <c r="R204" s="135">
        <v>25000000000</v>
      </c>
      <c r="S204" s="135">
        <v>16665802032</v>
      </c>
      <c r="T204" s="135">
        <v>8334197968</v>
      </c>
      <c r="U204" s="137">
        <v>0.66663208127999996</v>
      </c>
      <c r="V204" s="135">
        <v>3002017182</v>
      </c>
      <c r="W204" s="135">
        <v>13663784850</v>
      </c>
      <c r="X204" s="137">
        <v>0.81986962426195709</v>
      </c>
      <c r="Y204" s="135">
        <v>2919488168</v>
      </c>
      <c r="Z204" s="135">
        <v>82529014</v>
      </c>
      <c r="AA204" s="723">
        <v>0.17517837799790806</v>
      </c>
    </row>
    <row r="205" spans="1:27" ht="32.25" customHeight="1">
      <c r="A205" s="32" t="e">
        <v>#REF!</v>
      </c>
      <c r="B205" s="139" t="s">
        <v>167</v>
      </c>
      <c r="C205" s="139">
        <v>4103</v>
      </c>
      <c r="D205" s="139" t="s">
        <v>172</v>
      </c>
      <c r="E205" s="139">
        <v>21</v>
      </c>
      <c r="F205" s="139" t="s">
        <v>175</v>
      </c>
      <c r="G205" s="139" t="s">
        <v>219</v>
      </c>
      <c r="H205" s="139"/>
      <c r="I205" s="139" t="s">
        <v>144</v>
      </c>
      <c r="J205" s="140" t="s">
        <v>29</v>
      </c>
      <c r="K205" s="140" t="s">
        <v>233</v>
      </c>
      <c r="L205" s="141">
        <v>2606454177</v>
      </c>
      <c r="M205" s="142">
        <v>0</v>
      </c>
      <c r="N205" s="142">
        <v>0</v>
      </c>
      <c r="O205" s="141">
        <v>130864071</v>
      </c>
      <c r="P205" s="141">
        <v>261728142</v>
      </c>
      <c r="Q205" s="142">
        <v>0</v>
      </c>
      <c r="R205" s="141">
        <v>2475590106</v>
      </c>
      <c r="S205" s="141">
        <v>2475590106</v>
      </c>
      <c r="T205" s="141">
        <v>0</v>
      </c>
      <c r="U205" s="143">
        <v>1</v>
      </c>
      <c r="V205" s="141">
        <v>0</v>
      </c>
      <c r="W205" s="141">
        <v>2475590106</v>
      </c>
      <c r="X205" s="143">
        <v>1</v>
      </c>
      <c r="Y205" s="141">
        <v>0</v>
      </c>
      <c r="Z205" s="141">
        <v>0</v>
      </c>
      <c r="AA205" s="724">
        <v>0</v>
      </c>
    </row>
    <row r="206" spans="1:27" ht="24.95" customHeight="1">
      <c r="A206" s="32" t="e">
        <v>#REF!</v>
      </c>
      <c r="B206" s="145" t="s">
        <v>167</v>
      </c>
      <c r="C206" s="145">
        <v>4103</v>
      </c>
      <c r="D206" s="145" t="s">
        <v>172</v>
      </c>
      <c r="E206" s="145">
        <v>21</v>
      </c>
      <c r="F206" s="145" t="s">
        <v>175</v>
      </c>
      <c r="G206" s="145" t="s">
        <v>219</v>
      </c>
      <c r="H206" s="145" t="s">
        <v>54</v>
      </c>
      <c r="I206" s="145" t="s">
        <v>144</v>
      </c>
      <c r="J206" s="146" t="s">
        <v>29</v>
      </c>
      <c r="K206" s="147" t="s">
        <v>178</v>
      </c>
      <c r="L206" s="148">
        <v>2606454177</v>
      </c>
      <c r="M206" s="148"/>
      <c r="N206" s="148"/>
      <c r="O206" s="148">
        <v>130864071</v>
      </c>
      <c r="P206" s="148">
        <v>261728142</v>
      </c>
      <c r="Q206" s="148"/>
      <c r="R206" s="148">
        <v>2475590106</v>
      </c>
      <c r="S206" s="148">
        <v>2475590106</v>
      </c>
      <c r="T206" s="148">
        <v>0</v>
      </c>
      <c r="U206" s="150">
        <v>1</v>
      </c>
      <c r="V206" s="148">
        <v>0</v>
      </c>
      <c r="W206" s="148">
        <v>2475590106</v>
      </c>
      <c r="X206" s="150">
        <v>1</v>
      </c>
      <c r="Y206" s="148">
        <v>0</v>
      </c>
      <c r="Z206" s="148">
        <v>0</v>
      </c>
      <c r="AA206" s="150">
        <v>0</v>
      </c>
    </row>
    <row r="207" spans="1:27" ht="32.25" customHeight="1">
      <c r="A207" s="32" t="e">
        <v>#REF!</v>
      </c>
      <c r="B207" s="139" t="s">
        <v>167</v>
      </c>
      <c r="C207" s="139">
        <v>4103</v>
      </c>
      <c r="D207" s="139" t="s">
        <v>172</v>
      </c>
      <c r="E207" s="139">
        <v>21</v>
      </c>
      <c r="F207" s="139" t="s">
        <v>175</v>
      </c>
      <c r="G207" s="139" t="s">
        <v>234</v>
      </c>
      <c r="H207" s="139"/>
      <c r="I207" s="139" t="s">
        <v>144</v>
      </c>
      <c r="J207" s="140" t="s">
        <v>29</v>
      </c>
      <c r="K207" s="140" t="s">
        <v>235</v>
      </c>
      <c r="L207" s="141">
        <v>1252740115</v>
      </c>
      <c r="M207" s="142">
        <v>0</v>
      </c>
      <c r="N207" s="142">
        <v>0</v>
      </c>
      <c r="O207" s="141">
        <v>139030957</v>
      </c>
      <c r="P207" s="141">
        <v>278061914</v>
      </c>
      <c r="Q207" s="142">
        <v>0</v>
      </c>
      <c r="R207" s="141">
        <v>1113709158</v>
      </c>
      <c r="S207" s="141">
        <v>1113709158</v>
      </c>
      <c r="T207" s="141">
        <v>0</v>
      </c>
      <c r="U207" s="143">
        <v>1</v>
      </c>
      <c r="V207" s="141">
        <v>0</v>
      </c>
      <c r="W207" s="142">
        <v>1113709158</v>
      </c>
      <c r="X207" s="143">
        <v>1</v>
      </c>
      <c r="Y207" s="141">
        <v>0</v>
      </c>
      <c r="Z207" s="141">
        <v>0</v>
      </c>
      <c r="AA207" s="724">
        <v>0</v>
      </c>
    </row>
    <row r="208" spans="1:27" ht="24.95" customHeight="1">
      <c r="A208" s="32" t="e">
        <v>#REF!</v>
      </c>
      <c r="B208" s="145" t="s">
        <v>167</v>
      </c>
      <c r="C208" s="145">
        <v>4103</v>
      </c>
      <c r="D208" s="145" t="s">
        <v>172</v>
      </c>
      <c r="E208" s="145">
        <v>21</v>
      </c>
      <c r="F208" s="145" t="s">
        <v>175</v>
      </c>
      <c r="G208" s="145" t="s">
        <v>234</v>
      </c>
      <c r="H208" s="145" t="s">
        <v>54</v>
      </c>
      <c r="I208" s="145" t="s">
        <v>144</v>
      </c>
      <c r="J208" s="146" t="s">
        <v>29</v>
      </c>
      <c r="K208" s="147" t="s">
        <v>178</v>
      </c>
      <c r="L208" s="148">
        <v>1252740115</v>
      </c>
      <c r="M208" s="148"/>
      <c r="N208" s="148"/>
      <c r="O208" s="148">
        <v>139030957</v>
      </c>
      <c r="P208" s="148">
        <v>278061914</v>
      </c>
      <c r="Q208" s="148"/>
      <c r="R208" s="148">
        <v>1113709158</v>
      </c>
      <c r="S208" s="148">
        <v>1113709158</v>
      </c>
      <c r="T208" s="148">
        <v>0</v>
      </c>
      <c r="U208" s="150">
        <v>1</v>
      </c>
      <c r="V208" s="148">
        <v>0</v>
      </c>
      <c r="W208" s="148">
        <v>1113709158</v>
      </c>
      <c r="X208" s="150">
        <v>1</v>
      </c>
      <c r="Y208" s="148">
        <v>0</v>
      </c>
      <c r="Z208" s="148">
        <v>0</v>
      </c>
      <c r="AA208" s="150">
        <v>0</v>
      </c>
    </row>
    <row r="209" spans="1:27" ht="32.25" customHeight="1">
      <c r="A209" s="32" t="e">
        <v>#REF!</v>
      </c>
      <c r="B209" s="139" t="s">
        <v>167</v>
      </c>
      <c r="C209" s="139">
        <v>4103</v>
      </c>
      <c r="D209" s="139" t="s">
        <v>172</v>
      </c>
      <c r="E209" s="139">
        <v>21</v>
      </c>
      <c r="F209" s="139" t="s">
        <v>175</v>
      </c>
      <c r="G209" s="139" t="s">
        <v>197</v>
      </c>
      <c r="H209" s="139"/>
      <c r="I209" s="139" t="s">
        <v>144</v>
      </c>
      <c r="J209" s="140" t="s">
        <v>29</v>
      </c>
      <c r="K209" s="140" t="s">
        <v>236</v>
      </c>
      <c r="L209" s="141">
        <v>1722076323</v>
      </c>
      <c r="M209" s="142">
        <v>0</v>
      </c>
      <c r="N209" s="142">
        <v>0</v>
      </c>
      <c r="O209" s="141">
        <v>185321568</v>
      </c>
      <c r="P209" s="141">
        <v>370643136</v>
      </c>
      <c r="Q209" s="142">
        <v>0</v>
      </c>
      <c r="R209" s="141">
        <v>1536754755</v>
      </c>
      <c r="S209" s="141">
        <v>1536754755</v>
      </c>
      <c r="T209" s="141">
        <v>0</v>
      </c>
      <c r="U209" s="143">
        <v>1</v>
      </c>
      <c r="V209" s="141">
        <v>0</v>
      </c>
      <c r="W209" s="141">
        <v>1536754755</v>
      </c>
      <c r="X209" s="143">
        <v>1</v>
      </c>
      <c r="Y209" s="141">
        <v>0</v>
      </c>
      <c r="Z209" s="141">
        <v>0</v>
      </c>
      <c r="AA209" s="724">
        <v>0</v>
      </c>
    </row>
    <row r="210" spans="1:27" ht="24.95" customHeight="1">
      <c r="A210" s="32" t="e">
        <v>#REF!</v>
      </c>
      <c r="B210" s="145" t="s">
        <v>167</v>
      </c>
      <c r="C210" s="145">
        <v>4103</v>
      </c>
      <c r="D210" s="145" t="s">
        <v>172</v>
      </c>
      <c r="E210" s="145">
        <v>21</v>
      </c>
      <c r="F210" s="145" t="s">
        <v>175</v>
      </c>
      <c r="G210" s="145" t="s">
        <v>197</v>
      </c>
      <c r="H210" s="145" t="s">
        <v>54</v>
      </c>
      <c r="I210" s="145" t="s">
        <v>144</v>
      </c>
      <c r="J210" s="146" t="s">
        <v>29</v>
      </c>
      <c r="K210" s="147" t="s">
        <v>178</v>
      </c>
      <c r="L210" s="148">
        <v>1722076323</v>
      </c>
      <c r="M210" s="148"/>
      <c r="N210" s="148"/>
      <c r="O210" s="148">
        <v>185321568</v>
      </c>
      <c r="P210" s="148">
        <v>370643136</v>
      </c>
      <c r="Q210" s="148"/>
      <c r="R210" s="148">
        <v>1536754755</v>
      </c>
      <c r="S210" s="148">
        <v>1536754755</v>
      </c>
      <c r="T210" s="148">
        <v>0</v>
      </c>
      <c r="U210" s="150">
        <v>1</v>
      </c>
      <c r="V210" s="148">
        <v>0</v>
      </c>
      <c r="W210" s="148">
        <v>1536754755</v>
      </c>
      <c r="X210" s="150">
        <v>1</v>
      </c>
      <c r="Y210" s="148">
        <v>0</v>
      </c>
      <c r="Z210" s="148">
        <v>0</v>
      </c>
      <c r="AA210" s="150">
        <v>0</v>
      </c>
    </row>
    <row r="211" spans="1:27" ht="32.25" customHeight="1">
      <c r="A211" s="32" t="e">
        <v>#REF!</v>
      </c>
      <c r="B211" s="139" t="s">
        <v>167</v>
      </c>
      <c r="C211" s="139">
        <v>4103</v>
      </c>
      <c r="D211" s="139" t="s">
        <v>172</v>
      </c>
      <c r="E211" s="139">
        <v>21</v>
      </c>
      <c r="F211" s="139" t="s">
        <v>175</v>
      </c>
      <c r="G211" s="139" t="s">
        <v>203</v>
      </c>
      <c r="H211" s="139"/>
      <c r="I211" s="139" t="s">
        <v>144</v>
      </c>
      <c r="J211" s="140" t="s">
        <v>29</v>
      </c>
      <c r="K211" s="140" t="s">
        <v>237</v>
      </c>
      <c r="L211" s="141">
        <v>4822978569</v>
      </c>
      <c r="M211" s="142">
        <v>0</v>
      </c>
      <c r="N211" s="142">
        <v>0</v>
      </c>
      <c r="O211" s="141">
        <v>259693938</v>
      </c>
      <c r="P211" s="141">
        <v>519387876</v>
      </c>
      <c r="Q211" s="142">
        <v>0</v>
      </c>
      <c r="R211" s="141">
        <v>4563284631</v>
      </c>
      <c r="S211" s="141">
        <v>3960721124</v>
      </c>
      <c r="T211" s="141">
        <v>602563507</v>
      </c>
      <c r="U211" s="143">
        <v>0.86795399460586486</v>
      </c>
      <c r="V211" s="141">
        <v>0</v>
      </c>
      <c r="W211" s="141">
        <v>3960721124</v>
      </c>
      <c r="X211" s="143">
        <v>1</v>
      </c>
      <c r="Y211" s="141">
        <v>0</v>
      </c>
      <c r="Z211" s="141">
        <v>0</v>
      </c>
      <c r="AA211" s="724">
        <v>0</v>
      </c>
    </row>
    <row r="212" spans="1:27" ht="24.95" customHeight="1">
      <c r="A212" s="32" t="e">
        <v>#REF!</v>
      </c>
      <c r="B212" s="145" t="s">
        <v>167</v>
      </c>
      <c r="C212" s="145">
        <v>4103</v>
      </c>
      <c r="D212" s="145" t="s">
        <v>172</v>
      </c>
      <c r="E212" s="145">
        <v>21</v>
      </c>
      <c r="F212" s="145" t="s">
        <v>175</v>
      </c>
      <c r="G212" s="145" t="s">
        <v>203</v>
      </c>
      <c r="H212" s="145" t="s">
        <v>54</v>
      </c>
      <c r="I212" s="145" t="s">
        <v>144</v>
      </c>
      <c r="J212" s="146" t="s">
        <v>29</v>
      </c>
      <c r="K212" s="147" t="s">
        <v>178</v>
      </c>
      <c r="L212" s="148">
        <v>4822978569</v>
      </c>
      <c r="M212" s="148"/>
      <c r="N212" s="148"/>
      <c r="O212" s="148">
        <v>259693938</v>
      </c>
      <c r="P212" s="148">
        <v>519387876</v>
      </c>
      <c r="Q212" s="148"/>
      <c r="R212" s="148">
        <v>4563284631</v>
      </c>
      <c r="S212" s="148">
        <v>3960721124</v>
      </c>
      <c r="T212" s="148">
        <v>602563507</v>
      </c>
      <c r="U212" s="150">
        <v>0.86795399460586486</v>
      </c>
      <c r="V212" s="148">
        <v>0</v>
      </c>
      <c r="W212" s="148">
        <v>3960721124</v>
      </c>
      <c r="X212" s="150">
        <v>1</v>
      </c>
      <c r="Y212" s="148">
        <v>0</v>
      </c>
      <c r="Z212" s="148">
        <v>0</v>
      </c>
      <c r="AA212" s="150">
        <v>0</v>
      </c>
    </row>
    <row r="213" spans="1:27" ht="32.25" customHeight="1">
      <c r="A213" s="32" t="e">
        <v>#REF!</v>
      </c>
      <c r="B213" s="139" t="s">
        <v>167</v>
      </c>
      <c r="C213" s="139">
        <v>4103</v>
      </c>
      <c r="D213" s="139" t="s">
        <v>172</v>
      </c>
      <c r="E213" s="139">
        <v>21</v>
      </c>
      <c r="F213" s="139" t="s">
        <v>175</v>
      </c>
      <c r="G213" s="139" t="s">
        <v>223</v>
      </c>
      <c r="H213" s="139"/>
      <c r="I213" s="139" t="s">
        <v>144</v>
      </c>
      <c r="J213" s="140" t="s">
        <v>29</v>
      </c>
      <c r="K213" s="140" t="s">
        <v>238</v>
      </c>
      <c r="L213" s="141">
        <v>14595750816</v>
      </c>
      <c r="M213" s="142">
        <v>0</v>
      </c>
      <c r="N213" s="142">
        <v>0</v>
      </c>
      <c r="O213" s="141">
        <v>16025571884</v>
      </c>
      <c r="P213" s="141">
        <v>15310661350</v>
      </c>
      <c r="Q213" s="142">
        <v>0</v>
      </c>
      <c r="R213" s="141">
        <v>15310661350</v>
      </c>
      <c r="S213" s="141">
        <v>7579026889</v>
      </c>
      <c r="T213" s="141">
        <v>7731634461</v>
      </c>
      <c r="U213" s="143">
        <v>0.49501629718953977</v>
      </c>
      <c r="V213" s="141">
        <v>3002017182</v>
      </c>
      <c r="W213" s="141">
        <v>4577009707</v>
      </c>
      <c r="X213" s="143">
        <v>0.60390466665884923</v>
      </c>
      <c r="Y213" s="141">
        <v>2919488168</v>
      </c>
      <c r="Z213" s="141">
        <v>82529014</v>
      </c>
      <c r="AA213" s="724">
        <v>0.38520620269038341</v>
      </c>
    </row>
    <row r="214" spans="1:27" ht="24.95" customHeight="1">
      <c r="A214" s="32" t="e">
        <v>#REF!</v>
      </c>
      <c r="B214" s="145" t="s">
        <v>167</v>
      </c>
      <c r="C214" s="145">
        <v>4103</v>
      </c>
      <c r="D214" s="145" t="s">
        <v>172</v>
      </c>
      <c r="E214" s="145">
        <v>21</v>
      </c>
      <c r="F214" s="145" t="s">
        <v>175</v>
      </c>
      <c r="G214" s="145" t="s">
        <v>223</v>
      </c>
      <c r="H214" s="145" t="s">
        <v>54</v>
      </c>
      <c r="I214" s="145" t="s">
        <v>144</v>
      </c>
      <c r="J214" s="146" t="s">
        <v>29</v>
      </c>
      <c r="K214" s="147" t="s">
        <v>178</v>
      </c>
      <c r="L214" s="148">
        <v>0</v>
      </c>
      <c r="M214" s="148"/>
      <c r="N214" s="148"/>
      <c r="O214" s="148">
        <v>16025571884</v>
      </c>
      <c r="P214" s="148">
        <v>714910534</v>
      </c>
      <c r="Q214" s="148"/>
      <c r="R214" s="148">
        <v>15310661350</v>
      </c>
      <c r="S214" s="148">
        <v>7579026889</v>
      </c>
      <c r="T214" s="148">
        <v>7731634461</v>
      </c>
      <c r="U214" s="150">
        <v>0.49501629718953977</v>
      </c>
      <c r="V214" s="148">
        <v>3002017182</v>
      </c>
      <c r="W214" s="148">
        <v>4577009707</v>
      </c>
      <c r="X214" s="150">
        <v>0.60390466665884923</v>
      </c>
      <c r="Y214" s="148">
        <v>2919488168</v>
      </c>
      <c r="Z214" s="148">
        <v>82529014</v>
      </c>
      <c r="AA214" s="150">
        <v>0.38520620269038341</v>
      </c>
    </row>
    <row r="215" spans="1:27" ht="24.95" customHeight="1">
      <c r="A215" s="32" t="e">
        <v>#REF!</v>
      </c>
      <c r="B215" s="145" t="s">
        <v>167</v>
      </c>
      <c r="C215" s="145">
        <v>4103</v>
      </c>
      <c r="D215" s="145" t="s">
        <v>172</v>
      </c>
      <c r="E215" s="145">
        <v>21</v>
      </c>
      <c r="F215" s="145" t="s">
        <v>175</v>
      </c>
      <c r="G215" s="145" t="s">
        <v>223</v>
      </c>
      <c r="H215" s="145" t="s">
        <v>65</v>
      </c>
      <c r="I215" s="145" t="s">
        <v>144</v>
      </c>
      <c r="J215" s="146" t="s">
        <v>29</v>
      </c>
      <c r="K215" s="147" t="s">
        <v>127</v>
      </c>
      <c r="L215" s="148">
        <v>14595750816</v>
      </c>
      <c r="M215" s="148"/>
      <c r="N215" s="148"/>
      <c r="O215" s="148"/>
      <c r="P215" s="148">
        <v>14595750816</v>
      </c>
      <c r="Q215" s="148"/>
      <c r="R215" s="148">
        <v>0</v>
      </c>
      <c r="S215" s="148">
        <v>0</v>
      </c>
      <c r="T215" s="148">
        <v>0</v>
      </c>
      <c r="U215" s="150">
        <v>0</v>
      </c>
      <c r="V215" s="148">
        <v>0</v>
      </c>
      <c r="W215" s="148">
        <v>0</v>
      </c>
      <c r="X215" s="150">
        <v>0</v>
      </c>
      <c r="Y215" s="148">
        <v>0</v>
      </c>
      <c r="Z215" s="148">
        <v>0</v>
      </c>
      <c r="AA215" s="150">
        <v>0</v>
      </c>
    </row>
    <row r="216" spans="1:27" ht="49.5" customHeight="1">
      <c r="A216" s="32" t="e">
        <v>#REF!</v>
      </c>
      <c r="B216" s="133" t="s">
        <v>167</v>
      </c>
      <c r="C216" s="133">
        <v>4103</v>
      </c>
      <c r="D216" s="133" t="s">
        <v>172</v>
      </c>
      <c r="E216" s="133">
        <v>22</v>
      </c>
      <c r="F216" s="133"/>
      <c r="G216" s="133"/>
      <c r="H216" s="133"/>
      <c r="I216" s="133"/>
      <c r="J216" s="134"/>
      <c r="K216" s="134" t="s">
        <v>239</v>
      </c>
      <c r="L216" s="135">
        <v>137284000000</v>
      </c>
      <c r="M216" s="136">
        <v>0</v>
      </c>
      <c r="N216" s="136">
        <v>0</v>
      </c>
      <c r="O216" s="135">
        <v>17906457845</v>
      </c>
      <c r="P216" s="135">
        <v>17906457845</v>
      </c>
      <c r="Q216" s="136">
        <v>0</v>
      </c>
      <c r="R216" s="135">
        <v>137284000000</v>
      </c>
      <c r="S216" s="135">
        <v>89266451651</v>
      </c>
      <c r="T216" s="135">
        <v>48017548349</v>
      </c>
      <c r="U216" s="137">
        <v>0.65023201284199184</v>
      </c>
      <c r="V216" s="135">
        <v>84701285258</v>
      </c>
      <c r="W216" s="135">
        <v>4565166393</v>
      </c>
      <c r="X216" s="137">
        <v>5.1140896815840435E-2</v>
      </c>
      <c r="Y216" s="135">
        <v>84561626320</v>
      </c>
      <c r="Z216" s="135">
        <v>139658938</v>
      </c>
      <c r="AA216" s="723">
        <v>0.94729458554716406</v>
      </c>
    </row>
    <row r="217" spans="1:27" ht="32.25" customHeight="1">
      <c r="A217" s="32" t="e">
        <v>#REF!</v>
      </c>
      <c r="B217" s="139" t="s">
        <v>167</v>
      </c>
      <c r="C217" s="139">
        <v>4103</v>
      </c>
      <c r="D217" s="139" t="s">
        <v>172</v>
      </c>
      <c r="E217" s="139">
        <v>22</v>
      </c>
      <c r="F217" s="139" t="s">
        <v>175</v>
      </c>
      <c r="G217" s="139" t="s">
        <v>219</v>
      </c>
      <c r="H217" s="139"/>
      <c r="I217" s="139" t="s">
        <v>144</v>
      </c>
      <c r="J217" s="140" t="s">
        <v>29</v>
      </c>
      <c r="K217" s="140" t="s">
        <v>240</v>
      </c>
      <c r="L217" s="141">
        <v>8350333435</v>
      </c>
      <c r="M217" s="142">
        <v>0</v>
      </c>
      <c r="N217" s="142">
        <v>0</v>
      </c>
      <c r="O217" s="141">
        <v>681063106</v>
      </c>
      <c r="P217" s="141">
        <v>0</v>
      </c>
      <c r="Q217" s="142">
        <v>0</v>
      </c>
      <c r="R217" s="141">
        <v>9031396541</v>
      </c>
      <c r="S217" s="141">
        <v>5812280682</v>
      </c>
      <c r="T217" s="141">
        <v>3219115859</v>
      </c>
      <c r="U217" s="143">
        <v>0.64356388910772333</v>
      </c>
      <c r="V217" s="141">
        <v>4816165702</v>
      </c>
      <c r="W217" s="141">
        <v>996114980</v>
      </c>
      <c r="X217" s="143">
        <v>0.17138108678833414</v>
      </c>
      <c r="Y217" s="141">
        <v>4816165702</v>
      </c>
      <c r="Z217" s="141">
        <v>0</v>
      </c>
      <c r="AA217" s="724">
        <v>0.82861891321166581</v>
      </c>
    </row>
    <row r="218" spans="1:27" ht="24.95" customHeight="1">
      <c r="A218" s="32" t="e">
        <v>#REF!</v>
      </c>
      <c r="B218" s="145" t="s">
        <v>167</v>
      </c>
      <c r="C218" s="145">
        <v>4103</v>
      </c>
      <c r="D218" s="145" t="s">
        <v>172</v>
      </c>
      <c r="E218" s="145">
        <v>22</v>
      </c>
      <c r="F218" s="145" t="s">
        <v>175</v>
      </c>
      <c r="G218" s="145" t="s">
        <v>219</v>
      </c>
      <c r="H218" s="145" t="s">
        <v>54</v>
      </c>
      <c r="I218" s="145" t="s">
        <v>144</v>
      </c>
      <c r="J218" s="146" t="s">
        <v>29</v>
      </c>
      <c r="K218" s="147" t="s">
        <v>178</v>
      </c>
      <c r="L218" s="148">
        <v>8350333435</v>
      </c>
      <c r="M218" s="148"/>
      <c r="N218" s="148"/>
      <c r="O218" s="148">
        <v>681063106</v>
      </c>
      <c r="P218" s="148"/>
      <c r="Q218" s="148"/>
      <c r="R218" s="148">
        <v>9031396541</v>
      </c>
      <c r="S218" s="148">
        <v>5812280682</v>
      </c>
      <c r="T218" s="148">
        <v>3219115859</v>
      </c>
      <c r="U218" s="150">
        <v>0.64356388910772333</v>
      </c>
      <c r="V218" s="148">
        <v>4816165702</v>
      </c>
      <c r="W218" s="148">
        <v>996114980</v>
      </c>
      <c r="X218" s="150">
        <v>0.17138108678833414</v>
      </c>
      <c r="Y218" s="148">
        <v>4816165702</v>
      </c>
      <c r="Z218" s="148">
        <v>0</v>
      </c>
      <c r="AA218" s="150">
        <v>0.82861891321166581</v>
      </c>
    </row>
    <row r="219" spans="1:27" ht="32.25" customHeight="1">
      <c r="A219" s="32" t="e">
        <v>#REF!</v>
      </c>
      <c r="B219" s="139" t="s">
        <v>167</v>
      </c>
      <c r="C219" s="139">
        <v>4103</v>
      </c>
      <c r="D219" s="139" t="s">
        <v>172</v>
      </c>
      <c r="E219" s="139">
        <v>22</v>
      </c>
      <c r="F219" s="139" t="s">
        <v>175</v>
      </c>
      <c r="G219" s="139" t="s">
        <v>234</v>
      </c>
      <c r="H219" s="139"/>
      <c r="I219" s="139" t="s">
        <v>144</v>
      </c>
      <c r="J219" s="140" t="s">
        <v>29</v>
      </c>
      <c r="K219" s="140" t="s">
        <v>241</v>
      </c>
      <c r="L219" s="141">
        <v>8986673675</v>
      </c>
      <c r="M219" s="142">
        <v>0</v>
      </c>
      <c r="N219" s="142">
        <v>0</v>
      </c>
      <c r="O219" s="141">
        <v>417203180</v>
      </c>
      <c r="P219" s="141">
        <v>3115663306</v>
      </c>
      <c r="Q219" s="142">
        <v>0</v>
      </c>
      <c r="R219" s="141">
        <v>6288213549</v>
      </c>
      <c r="S219" s="141">
        <v>709656489</v>
      </c>
      <c r="T219" s="141">
        <v>5578557060</v>
      </c>
      <c r="U219" s="143">
        <v>0.11285502368361122</v>
      </c>
      <c r="V219" s="141">
        <v>240014845</v>
      </c>
      <c r="W219" s="141">
        <v>469641644</v>
      </c>
      <c r="X219" s="143">
        <v>0.66178728903301831</v>
      </c>
      <c r="Y219" s="141">
        <v>240014845</v>
      </c>
      <c r="Z219" s="141">
        <v>0</v>
      </c>
      <c r="AA219" s="724">
        <v>0.33821271096698163</v>
      </c>
    </row>
    <row r="220" spans="1:27" ht="24.95" customHeight="1">
      <c r="A220" s="32" t="e">
        <v>#REF!</v>
      </c>
      <c r="B220" s="145" t="s">
        <v>167</v>
      </c>
      <c r="C220" s="145">
        <v>4103</v>
      </c>
      <c r="D220" s="145" t="s">
        <v>172</v>
      </c>
      <c r="E220" s="145">
        <v>22</v>
      </c>
      <c r="F220" s="145" t="s">
        <v>175</v>
      </c>
      <c r="G220" s="145" t="s">
        <v>234</v>
      </c>
      <c r="H220" s="145" t="s">
        <v>54</v>
      </c>
      <c r="I220" s="145" t="s">
        <v>144</v>
      </c>
      <c r="J220" s="146" t="s">
        <v>29</v>
      </c>
      <c r="K220" s="147" t="s">
        <v>178</v>
      </c>
      <c r="L220" s="148">
        <v>5871010369</v>
      </c>
      <c r="M220" s="148"/>
      <c r="N220" s="148"/>
      <c r="O220" s="148">
        <v>417203180</v>
      </c>
      <c r="P220" s="148"/>
      <c r="Q220" s="148"/>
      <c r="R220" s="148">
        <v>6288213549</v>
      </c>
      <c r="S220" s="148">
        <v>709656489</v>
      </c>
      <c r="T220" s="148">
        <v>5578557060</v>
      </c>
      <c r="U220" s="150">
        <v>0.11285502368361122</v>
      </c>
      <c r="V220" s="148">
        <v>240014845</v>
      </c>
      <c r="W220" s="148">
        <v>469641644</v>
      </c>
      <c r="X220" s="150">
        <v>0.66178728903301831</v>
      </c>
      <c r="Y220" s="148">
        <v>240014845</v>
      </c>
      <c r="Z220" s="148">
        <v>0</v>
      </c>
      <c r="AA220" s="150">
        <v>0.33821271096698163</v>
      </c>
    </row>
    <row r="221" spans="1:27" ht="24.95" customHeight="1">
      <c r="A221" s="32" t="e">
        <v>#REF!</v>
      </c>
      <c r="B221" s="145" t="s">
        <v>167</v>
      </c>
      <c r="C221" s="145">
        <v>4103</v>
      </c>
      <c r="D221" s="145" t="s">
        <v>172</v>
      </c>
      <c r="E221" s="145">
        <v>22</v>
      </c>
      <c r="F221" s="145" t="s">
        <v>175</v>
      </c>
      <c r="G221" s="145" t="s">
        <v>234</v>
      </c>
      <c r="H221" s="145" t="s">
        <v>65</v>
      </c>
      <c r="I221" s="145" t="s">
        <v>144</v>
      </c>
      <c r="J221" s="146" t="s">
        <v>29</v>
      </c>
      <c r="K221" s="147" t="s">
        <v>127</v>
      </c>
      <c r="L221" s="148">
        <v>3115663306</v>
      </c>
      <c r="M221" s="148"/>
      <c r="N221" s="148"/>
      <c r="O221" s="148"/>
      <c r="P221" s="148">
        <v>3115663306</v>
      </c>
      <c r="Q221" s="148"/>
      <c r="R221" s="148">
        <v>0</v>
      </c>
      <c r="S221" s="148">
        <v>0</v>
      </c>
      <c r="T221" s="148">
        <v>0</v>
      </c>
      <c r="U221" s="150">
        <v>0</v>
      </c>
      <c r="V221" s="148">
        <v>0</v>
      </c>
      <c r="W221" s="148">
        <v>0</v>
      </c>
      <c r="X221" s="150">
        <v>0</v>
      </c>
      <c r="Y221" s="148">
        <v>0</v>
      </c>
      <c r="Z221" s="148">
        <v>0</v>
      </c>
      <c r="AA221" s="150">
        <v>0</v>
      </c>
    </row>
    <row r="222" spans="1:27" ht="32.25" customHeight="1">
      <c r="A222" s="32" t="e">
        <v>#REF!</v>
      </c>
      <c r="B222" s="139" t="s">
        <v>167</v>
      </c>
      <c r="C222" s="139">
        <v>4103</v>
      </c>
      <c r="D222" s="139" t="s">
        <v>172</v>
      </c>
      <c r="E222" s="139">
        <v>22</v>
      </c>
      <c r="F222" s="139" t="s">
        <v>175</v>
      </c>
      <c r="G222" s="139">
        <v>4103051</v>
      </c>
      <c r="H222" s="139"/>
      <c r="I222" s="139" t="s">
        <v>144</v>
      </c>
      <c r="J222" s="140" t="s">
        <v>29</v>
      </c>
      <c r="K222" s="140" t="s">
        <v>242</v>
      </c>
      <c r="L222" s="141">
        <v>1038023922</v>
      </c>
      <c r="M222" s="142">
        <v>0</v>
      </c>
      <c r="N222" s="142">
        <v>0</v>
      </c>
      <c r="O222" s="141">
        <v>2230593423</v>
      </c>
      <c r="P222" s="141">
        <v>0</v>
      </c>
      <c r="Q222" s="142">
        <v>0</v>
      </c>
      <c r="R222" s="141">
        <v>3268617345</v>
      </c>
      <c r="S222" s="141">
        <v>0</v>
      </c>
      <c r="T222" s="141">
        <v>3268617345</v>
      </c>
      <c r="U222" s="143">
        <v>0</v>
      </c>
      <c r="V222" s="141">
        <v>0</v>
      </c>
      <c r="W222" s="142">
        <v>0</v>
      </c>
      <c r="X222" s="143">
        <v>0</v>
      </c>
      <c r="Y222" s="141">
        <v>0</v>
      </c>
      <c r="Z222" s="141">
        <v>0</v>
      </c>
      <c r="AA222" s="724">
        <v>0</v>
      </c>
    </row>
    <row r="223" spans="1:27" ht="24.95" customHeight="1">
      <c r="A223" s="32" t="e">
        <v>#REF!</v>
      </c>
      <c r="B223" s="145" t="s">
        <v>167</v>
      </c>
      <c r="C223" s="145">
        <v>4103</v>
      </c>
      <c r="D223" s="145" t="s">
        <v>172</v>
      </c>
      <c r="E223" s="145">
        <v>22</v>
      </c>
      <c r="F223" s="145" t="s">
        <v>175</v>
      </c>
      <c r="G223" s="145">
        <v>4103051</v>
      </c>
      <c r="H223" s="145" t="s">
        <v>54</v>
      </c>
      <c r="I223" s="145" t="s">
        <v>144</v>
      </c>
      <c r="J223" s="146" t="s">
        <v>29</v>
      </c>
      <c r="K223" s="147" t="s">
        <v>178</v>
      </c>
      <c r="L223" s="148">
        <v>1038023922</v>
      </c>
      <c r="M223" s="148"/>
      <c r="N223" s="148"/>
      <c r="O223" s="148">
        <v>2230593423</v>
      </c>
      <c r="P223" s="148"/>
      <c r="Q223" s="148"/>
      <c r="R223" s="148">
        <v>3268617345</v>
      </c>
      <c r="S223" s="148">
        <v>0</v>
      </c>
      <c r="T223" s="148">
        <v>3268617345</v>
      </c>
      <c r="U223" s="150">
        <v>0</v>
      </c>
      <c r="V223" s="148">
        <v>0</v>
      </c>
      <c r="W223" s="148">
        <v>0</v>
      </c>
      <c r="X223" s="150">
        <v>0</v>
      </c>
      <c r="Y223" s="148">
        <v>0</v>
      </c>
      <c r="Z223" s="148">
        <v>0</v>
      </c>
      <c r="AA223" s="150">
        <v>0</v>
      </c>
    </row>
    <row r="224" spans="1:27" ht="32.25" customHeight="1">
      <c r="A224" s="32" t="e">
        <v>#REF!</v>
      </c>
      <c r="B224" s="139" t="s">
        <v>167</v>
      </c>
      <c r="C224" s="139">
        <v>4103</v>
      </c>
      <c r="D224" s="139" t="s">
        <v>172</v>
      </c>
      <c r="E224" s="139">
        <v>22</v>
      </c>
      <c r="F224" s="139" t="s">
        <v>175</v>
      </c>
      <c r="G224" s="139">
        <v>4103055</v>
      </c>
      <c r="H224" s="139"/>
      <c r="I224" s="139" t="s">
        <v>144</v>
      </c>
      <c r="J224" s="140" t="s">
        <v>29</v>
      </c>
      <c r="K224" s="140" t="s">
        <v>243</v>
      </c>
      <c r="L224" s="141">
        <v>4550769145</v>
      </c>
      <c r="M224" s="142">
        <v>0</v>
      </c>
      <c r="N224" s="142">
        <v>0</v>
      </c>
      <c r="O224" s="141">
        <v>12479945236</v>
      </c>
      <c r="P224" s="141">
        <v>0</v>
      </c>
      <c r="Q224" s="142">
        <v>0</v>
      </c>
      <c r="R224" s="141">
        <v>17030714381</v>
      </c>
      <c r="S224" s="141">
        <v>0</v>
      </c>
      <c r="T224" s="141">
        <v>17030714381</v>
      </c>
      <c r="U224" s="143">
        <v>0</v>
      </c>
      <c r="V224" s="141">
        <v>0</v>
      </c>
      <c r="W224" s="142">
        <v>0</v>
      </c>
      <c r="X224" s="143">
        <v>0</v>
      </c>
      <c r="Y224" s="141">
        <v>0</v>
      </c>
      <c r="Z224" s="141">
        <v>0</v>
      </c>
      <c r="AA224" s="724">
        <v>0</v>
      </c>
    </row>
    <row r="225" spans="1:27" ht="24.95" customHeight="1">
      <c r="A225" s="32" t="e">
        <v>#REF!</v>
      </c>
      <c r="B225" s="145" t="s">
        <v>167</v>
      </c>
      <c r="C225" s="145">
        <v>4103</v>
      </c>
      <c r="D225" s="145" t="s">
        <v>172</v>
      </c>
      <c r="E225" s="145">
        <v>22</v>
      </c>
      <c r="F225" s="145" t="s">
        <v>175</v>
      </c>
      <c r="G225" s="145" t="s">
        <v>203</v>
      </c>
      <c r="H225" s="145" t="s">
        <v>54</v>
      </c>
      <c r="I225" s="145" t="s">
        <v>144</v>
      </c>
      <c r="J225" s="146" t="s">
        <v>29</v>
      </c>
      <c r="K225" s="147" t="s">
        <v>178</v>
      </c>
      <c r="L225" s="148">
        <v>396551404</v>
      </c>
      <c r="M225" s="148"/>
      <c r="N225" s="148"/>
      <c r="O225" s="148">
        <v>118562977</v>
      </c>
      <c r="P225" s="148"/>
      <c r="Q225" s="148"/>
      <c r="R225" s="148">
        <v>515114381</v>
      </c>
      <c r="S225" s="148">
        <v>0</v>
      </c>
      <c r="T225" s="148">
        <v>515114381</v>
      </c>
      <c r="U225" s="150">
        <v>0</v>
      </c>
      <c r="V225" s="148">
        <v>0</v>
      </c>
      <c r="W225" s="148">
        <v>0</v>
      </c>
      <c r="X225" s="150">
        <v>0</v>
      </c>
      <c r="Y225" s="148">
        <v>0</v>
      </c>
      <c r="Z225" s="148">
        <v>0</v>
      </c>
      <c r="AA225" s="150">
        <v>0</v>
      </c>
    </row>
    <row r="226" spans="1:27" ht="24.95" customHeight="1">
      <c r="A226" s="32" t="e">
        <v>#REF!</v>
      </c>
      <c r="B226" s="145" t="s">
        <v>167</v>
      </c>
      <c r="C226" s="145">
        <v>4103</v>
      </c>
      <c r="D226" s="145" t="s">
        <v>172</v>
      </c>
      <c r="E226" s="145">
        <v>22</v>
      </c>
      <c r="F226" s="145" t="s">
        <v>175</v>
      </c>
      <c r="G226" s="145" t="s">
        <v>203</v>
      </c>
      <c r="H226" s="145" t="s">
        <v>65</v>
      </c>
      <c r="I226" s="145" t="s">
        <v>144</v>
      </c>
      <c r="J226" s="146" t="s">
        <v>29</v>
      </c>
      <c r="K226" s="147" t="s">
        <v>127</v>
      </c>
      <c r="L226" s="148">
        <v>4154217741</v>
      </c>
      <c r="M226" s="148"/>
      <c r="N226" s="148"/>
      <c r="O226" s="148">
        <v>12361382259</v>
      </c>
      <c r="P226" s="148"/>
      <c r="Q226" s="148"/>
      <c r="R226" s="148">
        <v>16515600000</v>
      </c>
      <c r="S226" s="148">
        <v>0</v>
      </c>
      <c r="T226" s="148">
        <v>16515600000</v>
      </c>
      <c r="U226" s="150">
        <v>0</v>
      </c>
      <c r="V226" s="148">
        <v>0</v>
      </c>
      <c r="W226" s="148">
        <v>0</v>
      </c>
      <c r="X226" s="150">
        <v>0</v>
      </c>
      <c r="Y226" s="148">
        <v>0</v>
      </c>
      <c r="Z226" s="148">
        <v>0</v>
      </c>
      <c r="AA226" s="150">
        <v>0</v>
      </c>
    </row>
    <row r="227" spans="1:27" ht="32.25" customHeight="1">
      <c r="A227" s="32" t="e">
        <v>#REF!</v>
      </c>
      <c r="B227" s="139" t="s">
        <v>167</v>
      </c>
      <c r="C227" s="139">
        <v>4103</v>
      </c>
      <c r="D227" s="139" t="s">
        <v>172</v>
      </c>
      <c r="E227" s="139">
        <v>22</v>
      </c>
      <c r="F227" s="139" t="s">
        <v>175</v>
      </c>
      <c r="G227" s="139">
        <v>4103057</v>
      </c>
      <c r="H227" s="139"/>
      <c r="I227" s="139" t="s">
        <v>144</v>
      </c>
      <c r="J227" s="140" t="s">
        <v>29</v>
      </c>
      <c r="K227" s="140" t="s">
        <v>244</v>
      </c>
      <c r="L227" s="141">
        <v>102633231456</v>
      </c>
      <c r="M227" s="142">
        <v>0</v>
      </c>
      <c r="N227" s="142">
        <v>0</v>
      </c>
      <c r="O227" s="141">
        <v>202411169</v>
      </c>
      <c r="P227" s="141">
        <v>4772206087</v>
      </c>
      <c r="Q227" s="142">
        <v>0</v>
      </c>
      <c r="R227" s="141">
        <v>98063436538</v>
      </c>
      <c r="S227" s="141">
        <v>82744514480</v>
      </c>
      <c r="T227" s="141">
        <v>15318922058</v>
      </c>
      <c r="U227" s="143">
        <v>0.84378558819867733</v>
      </c>
      <c r="V227" s="141">
        <v>79645104711</v>
      </c>
      <c r="W227" s="141">
        <v>3099409769</v>
      </c>
      <c r="X227" s="143">
        <v>3.7457586022202741E-2</v>
      </c>
      <c r="Y227" s="141">
        <v>79505445773</v>
      </c>
      <c r="Z227" s="141">
        <v>139658938</v>
      </c>
      <c r="AA227" s="724">
        <v>0.96085458078574004</v>
      </c>
    </row>
    <row r="228" spans="1:27" ht="24.95" customHeight="1">
      <c r="A228" s="32" t="e">
        <v>#REF!</v>
      </c>
      <c r="B228" s="145" t="s">
        <v>167</v>
      </c>
      <c r="C228" s="145">
        <v>4103</v>
      </c>
      <c r="D228" s="145" t="s">
        <v>172</v>
      </c>
      <c r="E228" s="145">
        <v>22</v>
      </c>
      <c r="F228" s="145" t="s">
        <v>175</v>
      </c>
      <c r="G228" s="145" t="s">
        <v>221</v>
      </c>
      <c r="H228" s="145" t="s">
        <v>54</v>
      </c>
      <c r="I228" s="145" t="s">
        <v>144</v>
      </c>
      <c r="J228" s="146" t="s">
        <v>29</v>
      </c>
      <c r="K228" s="147" t="s">
        <v>178</v>
      </c>
      <c r="L228" s="148">
        <v>6561199369</v>
      </c>
      <c r="M228" s="148"/>
      <c r="N228" s="148"/>
      <c r="O228" s="148">
        <v>202411169</v>
      </c>
      <c r="P228" s="148"/>
      <c r="Q228" s="148"/>
      <c r="R228" s="148">
        <v>6763610538</v>
      </c>
      <c r="S228" s="148">
        <v>5269530480</v>
      </c>
      <c r="T228" s="148">
        <v>1494080058</v>
      </c>
      <c r="U228" s="150">
        <v>0.77910022323050554</v>
      </c>
      <c r="V228" s="148">
        <v>3601240711</v>
      </c>
      <c r="W228" s="148">
        <v>1668289769</v>
      </c>
      <c r="X228" s="150">
        <v>0.3165917296297715</v>
      </c>
      <c r="Y228" s="148">
        <v>3461581773</v>
      </c>
      <c r="Z228" s="148">
        <v>139658938</v>
      </c>
      <c r="AA228" s="150">
        <v>0.6569051618807602</v>
      </c>
    </row>
    <row r="229" spans="1:27" ht="24.95" customHeight="1">
      <c r="A229" s="32" t="e">
        <v>#REF!</v>
      </c>
      <c r="B229" s="145" t="s">
        <v>167</v>
      </c>
      <c r="C229" s="145">
        <v>4103</v>
      </c>
      <c r="D229" s="145" t="s">
        <v>172</v>
      </c>
      <c r="E229" s="145">
        <v>22</v>
      </c>
      <c r="F229" s="145" t="s">
        <v>175</v>
      </c>
      <c r="G229" s="145" t="s">
        <v>221</v>
      </c>
      <c r="H229" s="145" t="s">
        <v>65</v>
      </c>
      <c r="I229" s="145" t="s">
        <v>144</v>
      </c>
      <c r="J229" s="146" t="s">
        <v>29</v>
      </c>
      <c r="K229" s="147" t="s">
        <v>127</v>
      </c>
      <c r="L229" s="148">
        <v>96072032087</v>
      </c>
      <c r="M229" s="148"/>
      <c r="N229" s="148"/>
      <c r="O229" s="148"/>
      <c r="P229" s="148">
        <v>4772206087</v>
      </c>
      <c r="Q229" s="148"/>
      <c r="R229" s="148">
        <v>91299826000</v>
      </c>
      <c r="S229" s="148">
        <v>77474984000</v>
      </c>
      <c r="T229" s="148">
        <v>13824842000</v>
      </c>
      <c r="U229" s="150">
        <v>0.84857756464946599</v>
      </c>
      <c r="V229" s="148">
        <v>76043864000</v>
      </c>
      <c r="W229" s="148">
        <v>1431120000</v>
      </c>
      <c r="X229" s="150">
        <v>1.8472027048111427E-2</v>
      </c>
      <c r="Y229" s="148">
        <v>76043864000</v>
      </c>
      <c r="Z229" s="148">
        <v>0</v>
      </c>
      <c r="AA229" s="150">
        <v>0.98152797295188854</v>
      </c>
    </row>
    <row r="230" spans="1:27" ht="32.25" customHeight="1">
      <c r="A230" s="32" t="e">
        <v>#REF!</v>
      </c>
      <c r="B230" s="139" t="s">
        <v>167</v>
      </c>
      <c r="C230" s="139">
        <v>4103</v>
      </c>
      <c r="D230" s="139" t="s">
        <v>172</v>
      </c>
      <c r="E230" s="139">
        <v>22</v>
      </c>
      <c r="F230" s="139" t="s">
        <v>175</v>
      </c>
      <c r="G230" s="139">
        <v>4103062</v>
      </c>
      <c r="H230" s="139"/>
      <c r="I230" s="139" t="s">
        <v>144</v>
      </c>
      <c r="J230" s="140" t="s">
        <v>29</v>
      </c>
      <c r="K230" s="140" t="s">
        <v>245</v>
      </c>
      <c r="L230" s="141">
        <v>11724968367</v>
      </c>
      <c r="M230" s="142">
        <v>0</v>
      </c>
      <c r="N230" s="142">
        <v>0</v>
      </c>
      <c r="O230" s="141">
        <v>1895241731</v>
      </c>
      <c r="P230" s="141">
        <v>10018588452</v>
      </c>
      <c r="Q230" s="142">
        <v>0</v>
      </c>
      <c r="R230" s="141">
        <v>3601621646</v>
      </c>
      <c r="S230" s="141">
        <v>0</v>
      </c>
      <c r="T230" s="141">
        <v>3601621646</v>
      </c>
      <c r="U230" s="143">
        <v>0</v>
      </c>
      <c r="V230" s="141">
        <v>0</v>
      </c>
      <c r="W230" s="142">
        <v>0</v>
      </c>
      <c r="X230" s="143">
        <v>0</v>
      </c>
      <c r="Y230" s="141">
        <v>0</v>
      </c>
      <c r="Z230" s="141">
        <v>0</v>
      </c>
      <c r="AA230" s="724">
        <v>0</v>
      </c>
    </row>
    <row r="231" spans="1:27" ht="24.95" customHeight="1">
      <c r="A231" s="32" t="e">
        <v>#REF!</v>
      </c>
      <c r="B231" s="145" t="s">
        <v>167</v>
      </c>
      <c r="C231" s="145">
        <v>4103</v>
      </c>
      <c r="D231" s="145" t="s">
        <v>172</v>
      </c>
      <c r="E231" s="145">
        <v>22</v>
      </c>
      <c r="F231" s="145" t="s">
        <v>175</v>
      </c>
      <c r="G231" s="145" t="s">
        <v>246</v>
      </c>
      <c r="H231" s="145" t="s">
        <v>54</v>
      </c>
      <c r="I231" s="145" t="s">
        <v>144</v>
      </c>
      <c r="J231" s="146" t="s">
        <v>29</v>
      </c>
      <c r="K231" s="147" t="s">
        <v>178</v>
      </c>
      <c r="L231" s="148">
        <v>1706379915</v>
      </c>
      <c r="M231" s="148"/>
      <c r="N231" s="148"/>
      <c r="O231" s="148">
        <v>1895241731</v>
      </c>
      <c r="P231" s="148"/>
      <c r="Q231" s="148"/>
      <c r="R231" s="148">
        <v>3601621646</v>
      </c>
      <c r="S231" s="148">
        <v>0</v>
      </c>
      <c r="T231" s="148">
        <v>3601621646</v>
      </c>
      <c r="U231" s="150">
        <v>0</v>
      </c>
      <c r="V231" s="148">
        <v>0</v>
      </c>
      <c r="W231" s="148">
        <v>0</v>
      </c>
      <c r="X231" s="150">
        <v>0</v>
      </c>
      <c r="Y231" s="148">
        <v>0</v>
      </c>
      <c r="Z231" s="148">
        <v>0</v>
      </c>
      <c r="AA231" s="150">
        <v>0</v>
      </c>
    </row>
    <row r="232" spans="1:27" ht="24.95" customHeight="1">
      <c r="A232" s="32" t="e">
        <v>#REF!</v>
      </c>
      <c r="B232" s="145" t="s">
        <v>167</v>
      </c>
      <c r="C232" s="145">
        <v>4103</v>
      </c>
      <c r="D232" s="145" t="s">
        <v>172</v>
      </c>
      <c r="E232" s="145">
        <v>22</v>
      </c>
      <c r="F232" s="145" t="s">
        <v>175</v>
      </c>
      <c r="G232" s="145" t="s">
        <v>246</v>
      </c>
      <c r="H232" s="145" t="s">
        <v>65</v>
      </c>
      <c r="I232" s="145" t="s">
        <v>144</v>
      </c>
      <c r="J232" s="146" t="s">
        <v>29</v>
      </c>
      <c r="K232" s="147" t="s">
        <v>127</v>
      </c>
      <c r="L232" s="148">
        <v>10018588452</v>
      </c>
      <c r="M232" s="148"/>
      <c r="N232" s="148"/>
      <c r="O232" s="148"/>
      <c r="P232" s="148">
        <v>10018588452</v>
      </c>
      <c r="Q232" s="148"/>
      <c r="R232" s="148">
        <v>0</v>
      </c>
      <c r="S232" s="148">
        <v>0</v>
      </c>
      <c r="T232" s="148">
        <v>0</v>
      </c>
      <c r="U232" s="150">
        <v>0</v>
      </c>
      <c r="V232" s="148">
        <v>0</v>
      </c>
      <c r="W232" s="148">
        <v>0</v>
      </c>
      <c r="X232" s="150">
        <v>0</v>
      </c>
      <c r="Y232" s="148">
        <v>0</v>
      </c>
      <c r="Z232" s="148">
        <v>0</v>
      </c>
      <c r="AA232" s="150">
        <v>0</v>
      </c>
    </row>
    <row r="233" spans="1:27" ht="39.75" customHeight="1">
      <c r="A233" s="32"/>
      <c r="B233" s="133" t="s">
        <v>167</v>
      </c>
      <c r="C233" s="133" t="s">
        <v>190</v>
      </c>
      <c r="D233" s="133" t="s">
        <v>172</v>
      </c>
      <c r="E233" s="133">
        <v>23</v>
      </c>
      <c r="F233" s="133"/>
      <c r="G233" s="133"/>
      <c r="H233" s="133"/>
      <c r="I233" s="133"/>
      <c r="J233" s="134"/>
      <c r="K233" s="134" t="s">
        <v>273</v>
      </c>
      <c r="L233" s="135">
        <v>1769368130080</v>
      </c>
      <c r="M233" s="136">
        <v>0</v>
      </c>
      <c r="N233" s="136">
        <v>0</v>
      </c>
      <c r="O233" s="135">
        <v>2000000000</v>
      </c>
      <c r="P233" s="135">
        <v>2000000000</v>
      </c>
      <c r="Q233" s="136">
        <v>0</v>
      </c>
      <c r="R233" s="135">
        <v>1769368130080</v>
      </c>
      <c r="S233" s="135">
        <v>1039342213868.78</v>
      </c>
      <c r="T233" s="135">
        <v>730025916211.21997</v>
      </c>
      <c r="U233" s="137">
        <v>0.58740868912439792</v>
      </c>
      <c r="V233" s="135">
        <v>1002997432293.78</v>
      </c>
      <c r="W233" s="135">
        <v>36344781575</v>
      </c>
      <c r="X233" s="137">
        <v>3.496902280117397E-2</v>
      </c>
      <c r="Y233" s="135">
        <v>1002997432293.78</v>
      </c>
      <c r="Z233" s="135">
        <v>0</v>
      </c>
      <c r="AA233" s="723">
        <v>0.96503097719882602</v>
      </c>
    </row>
    <row r="234" spans="1:27" ht="32.25" customHeight="1">
      <c r="A234" s="32"/>
      <c r="B234" s="139" t="s">
        <v>167</v>
      </c>
      <c r="C234" s="139" t="s">
        <v>190</v>
      </c>
      <c r="D234" s="139" t="s">
        <v>172</v>
      </c>
      <c r="E234" s="139">
        <v>23</v>
      </c>
      <c r="F234" s="139" t="s">
        <v>175</v>
      </c>
      <c r="G234" s="139">
        <v>4103065</v>
      </c>
      <c r="H234" s="139"/>
      <c r="I234" s="139">
        <v>11</v>
      </c>
      <c r="J234" s="140" t="s">
        <v>29</v>
      </c>
      <c r="K234" s="140" t="s">
        <v>248</v>
      </c>
      <c r="L234" s="141">
        <v>1769368130080</v>
      </c>
      <c r="M234" s="142">
        <v>0</v>
      </c>
      <c r="N234" s="142">
        <v>0</v>
      </c>
      <c r="O234" s="141">
        <v>2000000000</v>
      </c>
      <c r="P234" s="141">
        <v>2000000000</v>
      </c>
      <c r="Q234" s="142">
        <v>0</v>
      </c>
      <c r="R234" s="141">
        <v>1769368130080</v>
      </c>
      <c r="S234" s="141">
        <v>1039342213868.78</v>
      </c>
      <c r="T234" s="141">
        <v>730025916211.21997</v>
      </c>
      <c r="U234" s="143">
        <v>0.58740868912439792</v>
      </c>
      <c r="V234" s="141">
        <v>1002997432293.78</v>
      </c>
      <c r="W234" s="141">
        <v>36344781575</v>
      </c>
      <c r="X234" s="143">
        <v>3.496902280117397E-2</v>
      </c>
      <c r="Y234" s="141">
        <v>1002997432293.78</v>
      </c>
      <c r="Z234" s="141">
        <v>0</v>
      </c>
      <c r="AA234" s="724">
        <v>0.96503097719882602</v>
      </c>
    </row>
    <row r="235" spans="1:27" ht="24.95" customHeight="1">
      <c r="A235" s="32"/>
      <c r="B235" s="145" t="s">
        <v>167</v>
      </c>
      <c r="C235" s="145" t="s">
        <v>190</v>
      </c>
      <c r="D235" s="145" t="s">
        <v>172</v>
      </c>
      <c r="E235" s="145">
        <v>23</v>
      </c>
      <c r="F235" s="145" t="s">
        <v>175</v>
      </c>
      <c r="G235" s="145">
        <v>4103065</v>
      </c>
      <c r="H235" s="145" t="s">
        <v>54</v>
      </c>
      <c r="I235" s="145">
        <v>11</v>
      </c>
      <c r="J235" s="146" t="s">
        <v>29</v>
      </c>
      <c r="K235" s="147" t="s">
        <v>178</v>
      </c>
      <c r="L235" s="148">
        <v>19400000000</v>
      </c>
      <c r="M235" s="148"/>
      <c r="N235" s="148"/>
      <c r="O235" s="148">
        <v>2000000000</v>
      </c>
      <c r="P235" s="148"/>
      <c r="Q235" s="148"/>
      <c r="R235" s="148">
        <v>21400000000</v>
      </c>
      <c r="S235" s="148">
        <v>2216960734.5</v>
      </c>
      <c r="T235" s="148">
        <v>19183039265.5</v>
      </c>
      <c r="U235" s="150">
        <v>0.10359629600467289</v>
      </c>
      <c r="V235" s="148">
        <v>804089735.29999995</v>
      </c>
      <c r="W235" s="148">
        <v>1412870999.2</v>
      </c>
      <c r="X235" s="150">
        <v>0.63730086745025305</v>
      </c>
      <c r="Y235" s="148">
        <v>804089735.29999995</v>
      </c>
      <c r="Z235" s="148">
        <v>0</v>
      </c>
      <c r="AA235" s="150">
        <v>0.36269913254974701</v>
      </c>
    </row>
    <row r="236" spans="1:27" ht="24.95" customHeight="1">
      <c r="A236" s="32"/>
      <c r="B236" s="145" t="s">
        <v>167</v>
      </c>
      <c r="C236" s="145" t="s">
        <v>190</v>
      </c>
      <c r="D236" s="145" t="s">
        <v>172</v>
      </c>
      <c r="E236" s="145">
        <v>23</v>
      </c>
      <c r="F236" s="145" t="s">
        <v>175</v>
      </c>
      <c r="G236" s="145">
        <v>4103065</v>
      </c>
      <c r="H236" s="145" t="s">
        <v>54</v>
      </c>
      <c r="I236" s="145">
        <v>16</v>
      </c>
      <c r="J236" s="146" t="s">
        <v>156</v>
      </c>
      <c r="K236" s="147" t="s">
        <v>178</v>
      </c>
      <c r="L236" s="148">
        <v>68256379176</v>
      </c>
      <c r="M236" s="148"/>
      <c r="N236" s="148"/>
      <c r="O236" s="148"/>
      <c r="P236" s="148"/>
      <c r="Q236" s="148"/>
      <c r="R236" s="148">
        <v>68256379176</v>
      </c>
      <c r="S236" s="148">
        <v>68045733134.279999</v>
      </c>
      <c r="T236" s="148">
        <v>210646041.72000122</v>
      </c>
      <c r="U236" s="150">
        <v>0.99691389956128718</v>
      </c>
      <c r="V236" s="148">
        <v>33113822558.48</v>
      </c>
      <c r="W236" s="148">
        <v>34931910575.800003</v>
      </c>
      <c r="X236" s="150">
        <v>0.51335930949360364</v>
      </c>
      <c r="Y236" s="148">
        <v>33113822558.48</v>
      </c>
      <c r="Z236" s="148">
        <v>0</v>
      </c>
      <c r="AA236" s="150">
        <v>0.48664069050639647</v>
      </c>
    </row>
    <row r="237" spans="1:27" ht="24.95" customHeight="1">
      <c r="A237" s="32"/>
      <c r="B237" s="145" t="s">
        <v>167</v>
      </c>
      <c r="C237" s="145" t="s">
        <v>190</v>
      </c>
      <c r="D237" s="145" t="s">
        <v>172</v>
      </c>
      <c r="E237" s="145">
        <v>23</v>
      </c>
      <c r="F237" s="145" t="s">
        <v>175</v>
      </c>
      <c r="G237" s="145">
        <v>4103065</v>
      </c>
      <c r="H237" s="145" t="s">
        <v>65</v>
      </c>
      <c r="I237" s="145">
        <v>11</v>
      </c>
      <c r="J237" s="146" t="s">
        <v>29</v>
      </c>
      <c r="K237" s="147" t="s">
        <v>127</v>
      </c>
      <c r="L237" s="148">
        <v>368600000000</v>
      </c>
      <c r="M237" s="148"/>
      <c r="N237" s="148"/>
      <c r="O237" s="148"/>
      <c r="P237" s="148">
        <v>2000000000</v>
      </c>
      <c r="Q237" s="148"/>
      <c r="R237" s="148">
        <v>366600000000</v>
      </c>
      <c r="S237" s="148">
        <v>226084400000</v>
      </c>
      <c r="T237" s="148">
        <v>140515600000</v>
      </c>
      <c r="U237" s="150">
        <v>0.61670594653573374</v>
      </c>
      <c r="V237" s="148">
        <v>226084400000</v>
      </c>
      <c r="W237" s="148">
        <v>0</v>
      </c>
      <c r="X237" s="150">
        <v>0</v>
      </c>
      <c r="Y237" s="148">
        <v>226084400000</v>
      </c>
      <c r="Z237" s="148">
        <v>0</v>
      </c>
      <c r="AA237" s="150">
        <v>1</v>
      </c>
    </row>
    <row r="238" spans="1:27" ht="24.95" customHeight="1">
      <c r="A238" s="32"/>
      <c r="B238" s="145" t="s">
        <v>167</v>
      </c>
      <c r="C238" s="145" t="s">
        <v>190</v>
      </c>
      <c r="D238" s="145" t="s">
        <v>172</v>
      </c>
      <c r="E238" s="145">
        <v>23</v>
      </c>
      <c r="F238" s="145" t="s">
        <v>175</v>
      </c>
      <c r="G238" s="145">
        <v>4103065</v>
      </c>
      <c r="H238" s="145" t="s">
        <v>65</v>
      </c>
      <c r="I238" s="145">
        <v>16</v>
      </c>
      <c r="J238" s="146" t="s">
        <v>156</v>
      </c>
      <c r="K238" s="147" t="s">
        <v>127</v>
      </c>
      <c r="L238" s="148">
        <v>1313111750904</v>
      </c>
      <c r="M238" s="148"/>
      <c r="N238" s="148"/>
      <c r="O238" s="148"/>
      <c r="P238" s="148"/>
      <c r="Q238" s="148"/>
      <c r="R238" s="148">
        <v>1313111750904</v>
      </c>
      <c r="S238" s="148">
        <v>742995120000</v>
      </c>
      <c r="T238" s="148">
        <v>570116630904</v>
      </c>
      <c r="U238" s="150">
        <v>0.56582778997179162</v>
      </c>
      <c r="V238" s="148">
        <v>742995120000</v>
      </c>
      <c r="W238" s="148">
        <v>0</v>
      </c>
      <c r="X238" s="150">
        <v>0</v>
      </c>
      <c r="Y238" s="148">
        <v>742995120000</v>
      </c>
      <c r="Z238" s="148">
        <v>0</v>
      </c>
      <c r="AA238" s="150">
        <v>1</v>
      </c>
    </row>
    <row r="239" spans="1:27" ht="36.75" customHeight="1">
      <c r="A239" s="32" t="e">
        <v>#REF!</v>
      </c>
      <c r="B239" s="123" t="s">
        <v>167</v>
      </c>
      <c r="C239" s="123">
        <v>4199</v>
      </c>
      <c r="D239" s="123"/>
      <c r="E239" s="123"/>
      <c r="F239" s="123"/>
      <c r="G239" s="123"/>
      <c r="H239" s="123"/>
      <c r="I239" s="124"/>
      <c r="J239" s="124"/>
      <c r="K239" s="124" t="s">
        <v>250</v>
      </c>
      <c r="L239" s="125">
        <v>3226548466</v>
      </c>
      <c r="M239" s="719">
        <v>0</v>
      </c>
      <c r="N239" s="719">
        <v>0</v>
      </c>
      <c r="O239" s="719">
        <v>0</v>
      </c>
      <c r="P239" s="719">
        <v>0</v>
      </c>
      <c r="Q239" s="719">
        <v>0</v>
      </c>
      <c r="R239" s="125">
        <v>3226548466</v>
      </c>
      <c r="S239" s="125">
        <v>2586383534.5500002</v>
      </c>
      <c r="T239" s="125">
        <v>640164931.44999981</v>
      </c>
      <c r="U239" s="126">
        <v>0.80159450936634413</v>
      </c>
      <c r="V239" s="125">
        <v>2586383534.5500002</v>
      </c>
      <c r="W239" s="125">
        <v>0</v>
      </c>
      <c r="X239" s="126">
        <v>0</v>
      </c>
      <c r="Y239" s="125">
        <v>2586383534.5500002</v>
      </c>
      <c r="Z239" s="125">
        <v>0</v>
      </c>
      <c r="AA239" s="720">
        <v>1</v>
      </c>
    </row>
    <row r="240" spans="1:27" ht="24" customHeight="1">
      <c r="A240" s="32" t="e">
        <v>#REF!</v>
      </c>
      <c r="B240" s="128" t="s">
        <v>167</v>
      </c>
      <c r="C240" s="128">
        <v>4199</v>
      </c>
      <c r="D240" s="128">
        <v>1500</v>
      </c>
      <c r="E240" s="128"/>
      <c r="F240" s="128"/>
      <c r="G240" s="128"/>
      <c r="H240" s="128"/>
      <c r="I240" s="129"/>
      <c r="J240" s="129"/>
      <c r="K240" s="129" t="s">
        <v>170</v>
      </c>
      <c r="L240" s="130">
        <v>3226548466</v>
      </c>
      <c r="M240" s="721">
        <v>0</v>
      </c>
      <c r="N240" s="721">
        <v>0</v>
      </c>
      <c r="O240" s="721">
        <v>0</v>
      </c>
      <c r="P240" s="721">
        <v>0</v>
      </c>
      <c r="Q240" s="721">
        <v>0</v>
      </c>
      <c r="R240" s="130">
        <v>3226548466</v>
      </c>
      <c r="S240" s="130">
        <v>2586383534.5500002</v>
      </c>
      <c r="T240" s="130">
        <v>640164931.44999981</v>
      </c>
      <c r="U240" s="131">
        <v>0.80159450936634413</v>
      </c>
      <c r="V240" s="130">
        <v>2586383534.5500002</v>
      </c>
      <c r="W240" s="130">
        <v>0</v>
      </c>
      <c r="X240" s="131">
        <v>0</v>
      </c>
      <c r="Y240" s="130">
        <v>2586383534.5500002</v>
      </c>
      <c r="Z240" s="130">
        <v>0</v>
      </c>
      <c r="AA240" s="722">
        <v>1</v>
      </c>
    </row>
    <row r="241" spans="1:50" ht="37.5" customHeight="1">
      <c r="A241" s="32" t="e">
        <v>#REF!</v>
      </c>
      <c r="B241" s="133" t="s">
        <v>167</v>
      </c>
      <c r="C241" s="133" t="s">
        <v>251</v>
      </c>
      <c r="D241" s="133" t="s">
        <v>172</v>
      </c>
      <c r="E241" s="133" t="s">
        <v>252</v>
      </c>
      <c r="F241" s="133"/>
      <c r="G241" s="133"/>
      <c r="H241" s="133"/>
      <c r="I241" s="133"/>
      <c r="J241" s="134"/>
      <c r="K241" s="134" t="s">
        <v>274</v>
      </c>
      <c r="L241" s="135">
        <v>3226548466</v>
      </c>
      <c r="M241" s="136">
        <v>0</v>
      </c>
      <c r="N241" s="136">
        <v>0</v>
      </c>
      <c r="O241" s="136">
        <v>0</v>
      </c>
      <c r="P241" s="136">
        <v>0</v>
      </c>
      <c r="Q241" s="136">
        <v>0</v>
      </c>
      <c r="R241" s="135">
        <v>3226548466</v>
      </c>
      <c r="S241" s="135">
        <v>2586383534.5500002</v>
      </c>
      <c r="T241" s="135">
        <v>640164931.44999981</v>
      </c>
      <c r="U241" s="137">
        <v>0.80159450936634413</v>
      </c>
      <c r="V241" s="135">
        <v>2586383534.5500002</v>
      </c>
      <c r="W241" s="135">
        <v>0</v>
      </c>
      <c r="X241" s="137">
        <v>0</v>
      </c>
      <c r="Y241" s="135">
        <v>2586383534.5500002</v>
      </c>
      <c r="Z241" s="135">
        <v>0</v>
      </c>
      <c r="AA241" s="723">
        <v>1</v>
      </c>
    </row>
    <row r="242" spans="1:50" ht="32.25" customHeight="1">
      <c r="A242" s="32" t="e">
        <v>#REF!</v>
      </c>
      <c r="B242" s="139" t="s">
        <v>167</v>
      </c>
      <c r="C242" s="139" t="s">
        <v>251</v>
      </c>
      <c r="D242" s="139" t="s">
        <v>172</v>
      </c>
      <c r="E242" s="139" t="s">
        <v>252</v>
      </c>
      <c r="F242" s="139" t="s">
        <v>175</v>
      </c>
      <c r="G242" s="139" t="s">
        <v>254</v>
      </c>
      <c r="H242" s="139"/>
      <c r="I242" s="139">
        <v>11</v>
      </c>
      <c r="J242" s="140" t="s">
        <v>29</v>
      </c>
      <c r="K242" s="140" t="s">
        <v>255</v>
      </c>
      <c r="L242" s="141">
        <v>3226548466</v>
      </c>
      <c r="M242" s="142">
        <v>0</v>
      </c>
      <c r="N242" s="142">
        <v>0</v>
      </c>
      <c r="O242" s="142">
        <v>0</v>
      </c>
      <c r="P242" s="142">
        <v>0</v>
      </c>
      <c r="Q242" s="142">
        <v>0</v>
      </c>
      <c r="R242" s="141">
        <v>3226548466</v>
      </c>
      <c r="S242" s="141">
        <v>2586383534.5500002</v>
      </c>
      <c r="T242" s="141">
        <v>640164931.44999981</v>
      </c>
      <c r="U242" s="143">
        <v>0.80159450936634413</v>
      </c>
      <c r="V242" s="141">
        <v>2586383534.5500002</v>
      </c>
      <c r="W242" s="141">
        <v>0</v>
      </c>
      <c r="X242" s="143">
        <v>0</v>
      </c>
      <c r="Y242" s="141">
        <v>2586383534.5500002</v>
      </c>
      <c r="Z242" s="141">
        <v>0</v>
      </c>
      <c r="AA242" s="724">
        <v>1</v>
      </c>
    </row>
    <row r="243" spans="1:50" ht="24.95" customHeight="1">
      <c r="A243" s="32" t="e">
        <v>#REF!</v>
      </c>
      <c r="B243" s="145" t="s">
        <v>167</v>
      </c>
      <c r="C243" s="145" t="s">
        <v>251</v>
      </c>
      <c r="D243" s="145" t="s">
        <v>172</v>
      </c>
      <c r="E243" s="145" t="s">
        <v>252</v>
      </c>
      <c r="F243" s="145" t="s">
        <v>175</v>
      </c>
      <c r="G243" s="145" t="s">
        <v>254</v>
      </c>
      <c r="H243" s="145" t="s">
        <v>54</v>
      </c>
      <c r="I243" s="145">
        <v>11</v>
      </c>
      <c r="J243" s="146" t="s">
        <v>29</v>
      </c>
      <c r="K243" s="147" t="s">
        <v>178</v>
      </c>
      <c r="L243" s="148">
        <v>3226548466</v>
      </c>
      <c r="M243" s="148"/>
      <c r="N243" s="148"/>
      <c r="O243" s="148"/>
      <c r="P243" s="148"/>
      <c r="Q243" s="148"/>
      <c r="R243" s="148">
        <v>3226548466</v>
      </c>
      <c r="S243" s="148">
        <v>2586383534.5500002</v>
      </c>
      <c r="T243" s="148">
        <v>640164931.44999981</v>
      </c>
      <c r="U243" s="150">
        <v>0.80159450936634413</v>
      </c>
      <c r="V243" s="148">
        <v>2586383534.5500002</v>
      </c>
      <c r="W243" s="148">
        <v>0</v>
      </c>
      <c r="X243" s="150">
        <v>0</v>
      </c>
      <c r="Y243" s="148">
        <v>2586383534.5500002</v>
      </c>
      <c r="Z243" s="148">
        <v>0</v>
      </c>
      <c r="AA243" s="150">
        <v>1</v>
      </c>
    </row>
    <row r="244" spans="1:50" ht="35.1" customHeight="1">
      <c r="A244" s="32"/>
      <c r="B244" s="118"/>
      <c r="C244" s="119"/>
      <c r="D244" s="119"/>
      <c r="E244" s="119"/>
      <c r="F244" s="119"/>
      <c r="G244" s="119"/>
      <c r="H244" s="119"/>
      <c r="I244" s="119"/>
      <c r="J244" s="119"/>
      <c r="K244" s="119" t="s">
        <v>256</v>
      </c>
      <c r="L244" s="120">
        <v>6409808633098</v>
      </c>
      <c r="M244" s="120">
        <v>4794322613752</v>
      </c>
      <c r="N244" s="717">
        <v>0</v>
      </c>
      <c r="O244" s="120">
        <v>90920815577.450012</v>
      </c>
      <c r="P244" s="120">
        <v>90920815577.449997</v>
      </c>
      <c r="Q244" s="120">
        <v>341399361084</v>
      </c>
      <c r="R244" s="120">
        <v>10862731885766</v>
      </c>
      <c r="S244" s="120">
        <v>7531812485709.5996</v>
      </c>
      <c r="T244" s="120">
        <v>2678945636364.8105</v>
      </c>
      <c r="U244" s="121">
        <v>0.69336264255761693</v>
      </c>
      <c r="V244" s="120">
        <v>6815127367910.5098</v>
      </c>
      <c r="W244" s="120">
        <v>716685117799.09009</v>
      </c>
      <c r="X244" s="121">
        <v>9.5154402630028903E-2</v>
      </c>
      <c r="Y244" s="120">
        <v>6812739755605.5098</v>
      </c>
      <c r="Z244" s="120">
        <v>2387612305</v>
      </c>
      <c r="AA244" s="718">
        <v>0.90452859368599337</v>
      </c>
    </row>
    <row r="245" spans="1:50" s="90" customFormat="1" ht="16.5">
      <c r="A245" s="32"/>
      <c r="B245" s="82"/>
      <c r="C245" s="82"/>
      <c r="D245" s="82"/>
      <c r="E245" s="82"/>
      <c r="F245" s="82"/>
      <c r="G245" s="83"/>
      <c r="H245" s="84"/>
      <c r="I245" s="84"/>
      <c r="J245" s="85"/>
      <c r="K245" s="84"/>
      <c r="L245" s="86"/>
      <c r="M245" s="86"/>
      <c r="N245" s="86"/>
      <c r="O245" s="86"/>
      <c r="P245" s="86"/>
      <c r="Q245" s="86"/>
      <c r="R245" s="86"/>
      <c r="S245" s="86"/>
      <c r="T245" s="86"/>
      <c r="U245" s="87"/>
      <c r="V245" s="86"/>
      <c r="W245" s="86"/>
      <c r="X245" s="87"/>
      <c r="Y245" s="86"/>
      <c r="Z245" s="86"/>
      <c r="AA245" s="89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</row>
    <row r="246" spans="1:50" s="8" customFormat="1" ht="16.5">
      <c r="A246" s="32" t="e">
        <v>#REF!</v>
      </c>
      <c r="B246" s="91"/>
      <c r="C246" s="91"/>
      <c r="D246" s="91"/>
      <c r="E246" s="91"/>
      <c r="F246" s="91"/>
      <c r="G246" s="92"/>
      <c r="H246" s="93"/>
      <c r="I246" s="93"/>
      <c r="J246" s="94"/>
      <c r="K246" s="93"/>
      <c r="L246" s="95">
        <v>6409808633098</v>
      </c>
      <c r="M246" s="95">
        <v>4794322613752</v>
      </c>
      <c r="N246" s="95"/>
      <c r="O246" s="95">
        <v>90920815577.450012</v>
      </c>
      <c r="P246" s="95">
        <v>90920815577.450012</v>
      </c>
      <c r="Q246" s="95">
        <v>341399361084</v>
      </c>
      <c r="R246" s="95">
        <v>10862731885766</v>
      </c>
      <c r="S246" s="95">
        <v>7531812485709.5996</v>
      </c>
      <c r="T246" s="95">
        <v>3249997969409.4004</v>
      </c>
      <c r="U246" s="361">
        <v>0.69336264255761693</v>
      </c>
      <c r="V246" s="95">
        <v>6815127367910.5098</v>
      </c>
      <c r="W246" s="95">
        <v>716685117799.08984</v>
      </c>
      <c r="X246" s="361">
        <v>9.5154402630028903E-2</v>
      </c>
      <c r="Y246" s="95">
        <v>6812739755605.5098</v>
      </c>
      <c r="Z246" s="95">
        <v>2387612305</v>
      </c>
      <c r="AA246" s="361">
        <v>0.90452859368599337</v>
      </c>
    </row>
    <row r="247" spans="1:50" s="8" customFormat="1" ht="16.5">
      <c r="A247" s="32"/>
      <c r="B247" s="94"/>
      <c r="C247" s="93"/>
      <c r="D247" s="93"/>
      <c r="E247" s="93"/>
      <c r="F247" s="93"/>
      <c r="G247" s="93"/>
      <c r="H247" s="93"/>
      <c r="I247" s="93"/>
      <c r="J247" s="94"/>
      <c r="K247" s="97"/>
      <c r="L247" s="362">
        <v>0</v>
      </c>
      <c r="M247" s="362">
        <v>0</v>
      </c>
      <c r="N247" s="731"/>
      <c r="O247" s="362">
        <v>0</v>
      </c>
      <c r="P247" s="362">
        <v>0</v>
      </c>
      <c r="Q247" s="362">
        <v>0</v>
      </c>
      <c r="R247" s="362">
        <v>0</v>
      </c>
      <c r="S247" s="362">
        <v>0</v>
      </c>
      <c r="T247" s="362"/>
      <c r="U247" s="363"/>
      <c r="V247" s="362">
        <v>0</v>
      </c>
      <c r="W247" s="362">
        <v>0</v>
      </c>
      <c r="X247" s="363"/>
      <c r="Y247" s="362">
        <v>0</v>
      </c>
      <c r="Z247" s="362">
        <v>0</v>
      </c>
      <c r="AA247" s="363"/>
    </row>
    <row r="248" spans="1:50" s="374" customFormat="1" ht="16.5">
      <c r="A248" s="369"/>
      <c r="B248" s="370"/>
      <c r="C248" s="371"/>
      <c r="D248" s="371"/>
      <c r="E248" s="371"/>
      <c r="F248" s="371"/>
      <c r="G248" s="371"/>
      <c r="H248" s="371"/>
      <c r="I248" s="371"/>
      <c r="J248" s="370"/>
      <c r="K248" s="86"/>
      <c r="L248" s="359"/>
      <c r="M248" s="359"/>
      <c r="N248" s="359"/>
      <c r="O248" s="359"/>
      <c r="P248" s="359"/>
      <c r="Q248" s="359"/>
      <c r="R248" s="359"/>
      <c r="S248" s="359"/>
      <c r="T248" s="359"/>
      <c r="U248" s="372"/>
      <c r="V248" s="359"/>
      <c r="W248" s="359"/>
      <c r="X248" s="372"/>
      <c r="Y248" s="359"/>
      <c r="Z248" s="359"/>
      <c r="AA248" s="37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</row>
    <row r="249" spans="1:50" ht="18">
      <c r="A249" s="30"/>
      <c r="B249" s="312"/>
      <c r="C249" s="317"/>
      <c r="D249" s="312"/>
      <c r="E249" s="312"/>
      <c r="F249" s="312"/>
      <c r="G249" s="312"/>
      <c r="H249" s="312"/>
      <c r="I249" s="312"/>
      <c r="J249" s="317"/>
      <c r="K249" s="312"/>
      <c r="L249" s="335"/>
      <c r="M249" s="364"/>
      <c r="N249" s="332"/>
      <c r="O249" s="332"/>
      <c r="P249" s="633"/>
      <c r="Q249" s="633"/>
      <c r="R249" s="359"/>
      <c r="S249" s="332"/>
      <c r="T249" s="332"/>
      <c r="U249" s="333"/>
      <c r="V249" s="332"/>
      <c r="W249" s="332"/>
      <c r="X249" s="333"/>
      <c r="Y249" s="332"/>
      <c r="Z249" s="332"/>
      <c r="AA249" s="333"/>
    </row>
    <row r="250" spans="1:50" ht="18">
      <c r="A250" s="30"/>
      <c r="B250" s="312"/>
      <c r="C250" s="317"/>
      <c r="D250" s="312"/>
      <c r="E250" s="312"/>
      <c r="F250" s="312"/>
      <c r="G250" s="312"/>
      <c r="H250" s="312"/>
      <c r="I250" s="312"/>
      <c r="J250" s="317"/>
      <c r="K250" s="312"/>
      <c r="L250" s="332"/>
      <c r="M250" s="632"/>
      <c r="N250" s="332"/>
      <c r="O250" s="359"/>
      <c r="P250" s="633"/>
      <c r="Q250" s="633"/>
      <c r="R250" s="332"/>
      <c r="S250" s="332"/>
      <c r="T250" s="332"/>
      <c r="U250" s="333"/>
      <c r="V250" s="332"/>
      <c r="W250" s="332"/>
      <c r="X250" s="333"/>
      <c r="Y250" s="332"/>
      <c r="Z250" s="332"/>
      <c r="AA250" s="333"/>
    </row>
    <row r="251" spans="1:50" ht="18">
      <c r="A251" s="1"/>
      <c r="B251" s="312"/>
      <c r="C251" s="312"/>
      <c r="D251" s="312"/>
      <c r="E251" s="312"/>
      <c r="F251" s="312"/>
      <c r="G251" s="312"/>
      <c r="H251" s="312"/>
      <c r="I251" s="312"/>
      <c r="J251" s="317"/>
      <c r="K251" s="312"/>
      <c r="L251" s="332"/>
      <c r="M251" s="632"/>
      <c r="N251" s="332"/>
      <c r="O251" s="332"/>
      <c r="P251" s="332"/>
      <c r="Q251" s="332"/>
      <c r="R251" s="332"/>
      <c r="S251" s="332"/>
      <c r="T251" s="332"/>
      <c r="U251" s="333"/>
      <c r="V251" s="332"/>
      <c r="W251" s="631"/>
      <c r="X251" s="333"/>
      <c r="Y251" s="332"/>
      <c r="Z251" s="332"/>
      <c r="AA251" s="333"/>
    </row>
    <row r="252" spans="1:50" ht="30">
      <c r="A252" s="1"/>
      <c r="B252" s="318"/>
      <c r="C252" s="318"/>
      <c r="D252" s="318"/>
      <c r="E252" s="318"/>
      <c r="F252" s="318"/>
      <c r="G252" s="318"/>
      <c r="H252" s="312"/>
      <c r="I252" s="312"/>
      <c r="J252" s="317"/>
      <c r="K252" s="336" t="s">
        <v>738</v>
      </c>
      <c r="L252" s="628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20"/>
      <c r="Y252" s="319"/>
      <c r="Z252" s="319"/>
      <c r="AA252" s="319"/>
    </row>
    <row r="253" spans="1:50" ht="30">
      <c r="A253" s="1"/>
      <c r="B253" s="321"/>
      <c r="C253" s="322"/>
      <c r="D253" s="322"/>
      <c r="E253" s="322"/>
      <c r="F253" s="322"/>
      <c r="G253" s="322"/>
      <c r="H253" s="322"/>
      <c r="I253" s="322"/>
      <c r="J253" s="321"/>
      <c r="K253" s="337" t="s">
        <v>739</v>
      </c>
      <c r="L253" s="628"/>
      <c r="N253" s="323"/>
      <c r="O253" s="323"/>
      <c r="P253" s="323"/>
      <c r="Q253" s="323"/>
      <c r="R253" s="360"/>
      <c r="S253" s="323"/>
      <c r="T253" s="323"/>
      <c r="U253" s="323"/>
      <c r="V253" s="323"/>
      <c r="W253" s="323"/>
      <c r="X253" s="324"/>
      <c r="Y253" s="323"/>
      <c r="Z253" s="323"/>
      <c r="AA253" s="323"/>
    </row>
    <row r="254" spans="1:50" ht="30">
      <c r="A254" s="325"/>
      <c r="B254" s="308"/>
      <c r="C254" s="308"/>
      <c r="D254" s="308"/>
      <c r="E254" s="308"/>
      <c r="F254" s="308"/>
      <c r="G254" s="308"/>
      <c r="H254" s="308"/>
      <c r="I254" s="308"/>
      <c r="J254" s="336"/>
      <c r="K254" s="308"/>
      <c r="L254" s="628"/>
      <c r="N254" s="309"/>
      <c r="O254" s="309"/>
      <c r="P254" s="630"/>
      <c r="Q254" s="630"/>
      <c r="R254" s="334"/>
      <c r="S254" s="334"/>
      <c r="T254" s="629"/>
      <c r="U254" s="329"/>
      <c r="V254" s="329"/>
      <c r="W254" s="329"/>
      <c r="X254" s="329"/>
    </row>
    <row r="255" spans="1:50" ht="16.5">
      <c r="L255" s="628"/>
      <c r="M255" s="628"/>
    </row>
    <row r="256" spans="1:50" ht="16.5">
      <c r="L256" s="628"/>
      <c r="M256" s="628"/>
    </row>
    <row r="257" spans="12:12" ht="16.5">
      <c r="L257" s="628"/>
    </row>
    <row r="258" spans="12:12" ht="16.5">
      <c r="L258" s="628"/>
    </row>
    <row r="259" spans="12:12" ht="16.5">
      <c r="L259" s="628"/>
    </row>
  </sheetData>
  <sheetProtection selectLockedCells="1" selectUnlockedCells="1"/>
  <autoFilter ref="A6:AA247" xr:uid="{00000000-0009-0000-0000-000002000000}"/>
  <mergeCells count="14">
    <mergeCell ref="B5:H5"/>
    <mergeCell ref="I5:I6"/>
    <mergeCell ref="J5:J6"/>
    <mergeCell ref="K5:K6"/>
    <mergeCell ref="L5:L6"/>
    <mergeCell ref="R5:R6"/>
    <mergeCell ref="S5:U5"/>
    <mergeCell ref="V5:X5"/>
    <mergeCell ref="Y5:AA5"/>
    <mergeCell ref="L2:AA2"/>
    <mergeCell ref="L3:AA3"/>
    <mergeCell ref="M5:N5"/>
    <mergeCell ref="O5:P5"/>
    <mergeCell ref="Q5:Q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DB91-CEA9-42D3-99E6-2EC4D5E9ACAC}">
  <sheetPr>
    <tabColor theme="7" tint="0.59999389629810485"/>
    <pageSetUpPr fitToPage="1"/>
  </sheetPr>
  <dimension ref="A1:BA259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4.5703125" style="9" customWidth="1" outlineLevel="1"/>
    <col min="3" max="3" width="6" style="9" customWidth="1" outlineLevel="1"/>
    <col min="4" max="4" width="7.85546875" style="9" customWidth="1" outlineLevel="1"/>
    <col min="5" max="6" width="5.85546875" style="9" customWidth="1" outlineLevel="1"/>
    <col min="7" max="7" width="8" style="9" customWidth="1" outlineLevel="1"/>
    <col min="8" max="8" width="5.42578125" style="9" customWidth="1" outlineLevel="1"/>
    <col min="9" max="9" width="3.85546875" style="9" customWidth="1"/>
    <col min="10" max="10" width="6.28515625" style="111" customWidth="1"/>
    <col min="11" max="11" width="88.42578125" style="9" customWidth="1"/>
    <col min="12" max="12" width="20" style="13" bestFit="1" customWidth="1"/>
    <col min="13" max="13" width="19.7109375" style="13" customWidth="1"/>
    <col min="14" max="14" width="18.42578125" style="13" customWidth="1"/>
    <col min="15" max="15" width="21.140625" style="13" customWidth="1"/>
    <col min="16" max="16" width="21" style="13" customWidth="1"/>
    <col min="17" max="17" width="19.140625" style="13" customWidth="1"/>
    <col min="18" max="18" width="23.85546875" style="13" bestFit="1" customWidth="1"/>
    <col min="19" max="19" width="22" style="13" bestFit="1" customWidth="1"/>
    <col min="20" max="20" width="23.140625" style="13" customWidth="1"/>
    <col min="21" max="21" width="23.5703125" style="13" customWidth="1"/>
    <col min="22" max="22" width="19.5703125" style="13" bestFit="1" customWidth="1"/>
    <col min="23" max="23" width="18.28515625" style="13" customWidth="1"/>
    <col min="24" max="24" width="12.5703125" style="13" customWidth="1"/>
    <col min="25" max="25" width="19.5703125" style="13" customWidth="1"/>
    <col min="26" max="26" width="22.140625" style="13" customWidth="1"/>
    <col min="27" max="27" width="12.140625" style="13" customWidth="1"/>
    <col min="28" max="28" width="11.42578125" style="13"/>
    <col min="29" max="29" width="13.85546875" style="13" customWidth="1"/>
    <col min="30" max="16384" width="11.42578125" style="13"/>
  </cols>
  <sheetData>
    <row r="1" spans="1:27" s="8" customFormat="1">
      <c r="A1" s="1"/>
      <c r="B1" s="3"/>
      <c r="C1" s="3"/>
      <c r="D1" s="3"/>
      <c r="E1" s="3"/>
      <c r="F1" s="3"/>
      <c r="G1" s="3"/>
      <c r="H1" s="3"/>
      <c r="I1" s="3"/>
      <c r="J1" s="4"/>
      <c r="K1" s="3"/>
      <c r="L1" s="5">
        <v>6</v>
      </c>
      <c r="M1" s="6"/>
      <c r="N1" s="6"/>
      <c r="O1" s="6"/>
      <c r="P1" s="6"/>
      <c r="Q1" s="6"/>
      <c r="R1" s="6"/>
      <c r="S1" s="5">
        <v>13</v>
      </c>
      <c r="T1" s="6"/>
      <c r="U1" s="7"/>
      <c r="V1" s="5">
        <v>14</v>
      </c>
      <c r="W1" s="326"/>
      <c r="X1" s="7"/>
      <c r="Y1" s="5">
        <v>16</v>
      </c>
      <c r="Z1" s="6"/>
      <c r="AA1" s="7"/>
    </row>
    <row r="2" spans="1:27" ht="30">
      <c r="A2" s="1"/>
      <c r="C2" s="10"/>
      <c r="D2" s="10"/>
      <c r="E2" s="10"/>
      <c r="F2" s="10"/>
      <c r="G2" s="10"/>
      <c r="H2" s="10"/>
      <c r="I2" s="10"/>
      <c r="J2" s="12"/>
      <c r="K2" s="10"/>
      <c r="L2" s="812" t="s">
        <v>0</v>
      </c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</row>
    <row r="3" spans="1:27" ht="25.5">
      <c r="A3" s="1"/>
      <c r="C3" s="14"/>
      <c r="D3" s="14"/>
      <c r="E3" s="14"/>
      <c r="F3" s="14"/>
      <c r="G3" s="14"/>
      <c r="H3" s="14"/>
      <c r="I3" s="14"/>
      <c r="J3" s="16"/>
      <c r="K3" s="14"/>
      <c r="L3" s="813" t="s">
        <v>922</v>
      </c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</row>
    <row r="4" spans="1:27">
      <c r="A4" s="1"/>
      <c r="B4" s="17"/>
      <c r="C4" s="17"/>
      <c r="D4" s="17"/>
      <c r="E4" s="17"/>
      <c r="F4" s="17"/>
      <c r="G4" s="17"/>
      <c r="H4" s="18"/>
      <c r="I4" s="18"/>
      <c r="J4" s="19"/>
      <c r="K4" s="18"/>
      <c r="L4" s="20"/>
      <c r="M4" s="20"/>
      <c r="N4" s="20"/>
      <c r="O4" s="20"/>
      <c r="P4" s="20" t="s">
        <v>276</v>
      </c>
      <c r="Q4" s="20"/>
      <c r="R4" s="20"/>
      <c r="S4" s="20"/>
      <c r="T4" s="20"/>
      <c r="U4" s="21"/>
      <c r="V4" s="20"/>
      <c r="W4" s="20"/>
      <c r="X4" s="21"/>
      <c r="Y4" s="20"/>
      <c r="Z4" s="20"/>
      <c r="AA4" s="21"/>
    </row>
    <row r="5" spans="1:27" s="25" customFormat="1" ht="27" customHeight="1">
      <c r="A5" s="22"/>
      <c r="B5" s="814" t="s">
        <v>2</v>
      </c>
      <c r="C5" s="814"/>
      <c r="D5" s="814"/>
      <c r="E5" s="814"/>
      <c r="F5" s="814"/>
      <c r="G5" s="814"/>
      <c r="H5" s="814"/>
      <c r="I5" s="815" t="s">
        <v>3</v>
      </c>
      <c r="J5" s="822" t="s">
        <v>4</v>
      </c>
      <c r="K5" s="816" t="s">
        <v>5</v>
      </c>
      <c r="L5" s="818" t="s">
        <v>869</v>
      </c>
      <c r="M5" s="820" t="s">
        <v>870</v>
      </c>
      <c r="N5" s="821"/>
      <c r="O5" s="820" t="s">
        <v>871</v>
      </c>
      <c r="P5" s="821"/>
      <c r="Q5" s="818" t="s">
        <v>872</v>
      </c>
      <c r="R5" s="804" t="s">
        <v>6</v>
      </c>
      <c r="S5" s="806" t="s">
        <v>7</v>
      </c>
      <c r="T5" s="807"/>
      <c r="U5" s="808"/>
      <c r="V5" s="809" t="s">
        <v>8</v>
      </c>
      <c r="W5" s="810"/>
      <c r="X5" s="811"/>
      <c r="Y5" s="806" t="s">
        <v>9</v>
      </c>
      <c r="Z5" s="807"/>
      <c r="AA5" s="808"/>
    </row>
    <row r="6" spans="1:27" s="25" customFormat="1" ht="48.75" customHeight="1">
      <c r="A6" s="22"/>
      <c r="B6" s="113" t="s">
        <v>10</v>
      </c>
      <c r="C6" s="113" t="s">
        <v>11</v>
      </c>
      <c r="D6" s="113" t="s">
        <v>12</v>
      </c>
      <c r="E6" s="113" t="s">
        <v>13</v>
      </c>
      <c r="F6" s="113" t="s">
        <v>14</v>
      </c>
      <c r="G6" s="113" t="s">
        <v>15</v>
      </c>
      <c r="H6" s="113" t="s">
        <v>16</v>
      </c>
      <c r="I6" s="815"/>
      <c r="J6" s="822" t="s">
        <v>17</v>
      </c>
      <c r="K6" s="817"/>
      <c r="L6" s="819"/>
      <c r="M6" s="114" t="s">
        <v>873</v>
      </c>
      <c r="N6" s="114" t="s">
        <v>874</v>
      </c>
      <c r="O6" s="114" t="s">
        <v>875</v>
      </c>
      <c r="P6" s="114" t="s">
        <v>876</v>
      </c>
      <c r="Q6" s="819"/>
      <c r="R6" s="805" t="s">
        <v>6</v>
      </c>
      <c r="S6" s="112" t="s">
        <v>18</v>
      </c>
      <c r="T6" s="112" t="s">
        <v>877</v>
      </c>
      <c r="U6" s="115" t="s">
        <v>19</v>
      </c>
      <c r="V6" s="112" t="s">
        <v>18</v>
      </c>
      <c r="W6" s="114" t="s">
        <v>912</v>
      </c>
      <c r="X6" s="116" t="s">
        <v>879</v>
      </c>
      <c r="Y6" s="114" t="s">
        <v>18</v>
      </c>
      <c r="Z6" s="114" t="s">
        <v>913</v>
      </c>
      <c r="AA6" s="116" t="s">
        <v>20</v>
      </c>
    </row>
    <row r="7" spans="1:27" s="640" customFormat="1" ht="16.5">
      <c r="A7" s="30"/>
      <c r="B7" s="711"/>
      <c r="C7" s="712"/>
      <c r="D7" s="712"/>
      <c r="E7" s="712"/>
      <c r="F7" s="712"/>
      <c r="G7" s="711"/>
      <c r="H7" s="711"/>
      <c r="I7" s="711"/>
      <c r="J7" s="732"/>
      <c r="K7" s="713"/>
      <c r="L7" s="714">
        <v>1</v>
      </c>
      <c r="M7" s="714">
        <v>2</v>
      </c>
      <c r="N7" s="714">
        <v>3</v>
      </c>
      <c r="O7" s="714">
        <v>4</v>
      </c>
      <c r="P7" s="714">
        <v>5</v>
      </c>
      <c r="Q7" s="714"/>
      <c r="R7" s="714" t="s">
        <v>895</v>
      </c>
      <c r="S7" s="715" t="s">
        <v>21</v>
      </c>
      <c r="T7" s="714" t="s">
        <v>894</v>
      </c>
      <c r="U7" s="714" t="s">
        <v>893</v>
      </c>
      <c r="V7" s="716">
        <v>10</v>
      </c>
      <c r="W7" s="714" t="s">
        <v>892</v>
      </c>
      <c r="X7" s="714" t="s">
        <v>891</v>
      </c>
      <c r="Y7" s="715" t="s">
        <v>22</v>
      </c>
      <c r="Z7" s="714" t="s">
        <v>890</v>
      </c>
      <c r="AA7" s="714" t="s">
        <v>889</v>
      </c>
    </row>
    <row r="8" spans="1:27" ht="35.1" customHeight="1">
      <c r="A8" s="32" t="e">
        <v>#REF!</v>
      </c>
      <c r="B8" s="118" t="s">
        <v>23</v>
      </c>
      <c r="C8" s="119"/>
      <c r="D8" s="119"/>
      <c r="E8" s="119"/>
      <c r="F8" s="119"/>
      <c r="G8" s="119"/>
      <c r="H8" s="119"/>
      <c r="I8" s="119"/>
      <c r="J8" s="119"/>
      <c r="K8" s="119" t="s">
        <v>24</v>
      </c>
      <c r="L8" s="120">
        <v>179300000000</v>
      </c>
      <c r="M8" s="120">
        <v>4794322613752</v>
      </c>
      <c r="N8" s="717">
        <v>0</v>
      </c>
      <c r="O8" s="120">
        <v>2657428724.1300001</v>
      </c>
      <c r="P8" s="120">
        <v>2657428724.1300001</v>
      </c>
      <c r="Q8" s="120">
        <v>22607000000</v>
      </c>
      <c r="R8" s="120">
        <v>4951015613752</v>
      </c>
      <c r="S8" s="120">
        <v>4761435942462.6602</v>
      </c>
      <c r="T8" s="120">
        <v>53404981497.75</v>
      </c>
      <c r="U8" s="121">
        <v>0.96170893285758152</v>
      </c>
      <c r="V8" s="120">
        <v>4734131269236.2197</v>
      </c>
      <c r="W8" s="120">
        <v>27304673226.439999</v>
      </c>
      <c r="X8" s="121">
        <v>5.7345459555458731E-3</v>
      </c>
      <c r="Y8" s="120">
        <v>4684867341477.2197</v>
      </c>
      <c r="Z8" s="120">
        <v>49263927759</v>
      </c>
      <c r="AA8" s="718">
        <v>0.98391901058615561</v>
      </c>
    </row>
    <row r="9" spans="1:27" ht="24" customHeight="1">
      <c r="A9" s="32" t="e">
        <v>#REF!</v>
      </c>
      <c r="B9" s="123" t="s">
        <v>23</v>
      </c>
      <c r="C9" s="123" t="s">
        <v>25</v>
      </c>
      <c r="D9" s="123"/>
      <c r="E9" s="123"/>
      <c r="F9" s="123"/>
      <c r="G9" s="123"/>
      <c r="H9" s="123"/>
      <c r="I9" s="124"/>
      <c r="J9" s="124"/>
      <c r="K9" s="124" t="s">
        <v>26</v>
      </c>
      <c r="L9" s="125">
        <v>105148000000</v>
      </c>
      <c r="M9" s="719">
        <v>0</v>
      </c>
      <c r="N9" s="719">
        <v>0</v>
      </c>
      <c r="O9" s="125">
        <v>320000000</v>
      </c>
      <c r="P9" s="125">
        <v>320000000</v>
      </c>
      <c r="Q9" s="719">
        <v>0</v>
      </c>
      <c r="R9" s="125">
        <v>105148000000</v>
      </c>
      <c r="S9" s="125">
        <v>64634007342</v>
      </c>
      <c r="T9" s="125">
        <v>40513992658</v>
      </c>
      <c r="U9" s="126">
        <v>0.61469554667706472</v>
      </c>
      <c r="V9" s="125">
        <v>61977234011</v>
      </c>
      <c r="W9" s="125">
        <v>2656773331</v>
      </c>
      <c r="X9" s="126">
        <v>4.110488333087766E-2</v>
      </c>
      <c r="Y9" s="125">
        <v>61977234011</v>
      </c>
      <c r="Z9" s="125">
        <v>0</v>
      </c>
      <c r="AA9" s="720">
        <v>0.9588951166691223</v>
      </c>
    </row>
    <row r="10" spans="1:27" ht="24" customHeight="1">
      <c r="A10" s="32" t="e">
        <v>#REF!</v>
      </c>
      <c r="B10" s="128" t="s">
        <v>23</v>
      </c>
      <c r="C10" s="128" t="s">
        <v>25</v>
      </c>
      <c r="D10" s="128" t="s">
        <v>25</v>
      </c>
      <c r="E10" s="128"/>
      <c r="F10" s="128"/>
      <c r="G10" s="128"/>
      <c r="H10" s="128"/>
      <c r="I10" s="129"/>
      <c r="J10" s="129"/>
      <c r="K10" s="129" t="s">
        <v>27</v>
      </c>
      <c r="L10" s="130">
        <v>105148000000</v>
      </c>
      <c r="M10" s="721">
        <v>0</v>
      </c>
      <c r="N10" s="721">
        <v>0</v>
      </c>
      <c r="O10" s="130">
        <v>320000000</v>
      </c>
      <c r="P10" s="130">
        <v>320000000</v>
      </c>
      <c r="Q10" s="721">
        <v>0</v>
      </c>
      <c r="R10" s="130">
        <v>105148000000</v>
      </c>
      <c r="S10" s="130">
        <v>64634007342</v>
      </c>
      <c r="T10" s="130">
        <v>40513992658</v>
      </c>
      <c r="U10" s="131">
        <v>0.61469554667706472</v>
      </c>
      <c r="V10" s="130">
        <v>61977234011</v>
      </c>
      <c r="W10" s="130">
        <v>2656773331</v>
      </c>
      <c r="X10" s="131">
        <v>4.110488333087766E-2</v>
      </c>
      <c r="Y10" s="130">
        <v>61977234011</v>
      </c>
      <c r="Z10" s="130">
        <v>0</v>
      </c>
      <c r="AA10" s="722">
        <v>0.9588951166691223</v>
      </c>
    </row>
    <row r="11" spans="1:27" ht="24" customHeight="1">
      <c r="A11" s="32" t="e">
        <v>#REF!</v>
      </c>
      <c r="B11" s="133" t="s">
        <v>23</v>
      </c>
      <c r="C11" s="133" t="s">
        <v>25</v>
      </c>
      <c r="D11" s="133" t="s">
        <v>25</v>
      </c>
      <c r="E11" s="133" t="s">
        <v>25</v>
      </c>
      <c r="F11" s="133"/>
      <c r="G11" s="133"/>
      <c r="H11" s="133"/>
      <c r="I11" s="133" t="s">
        <v>28</v>
      </c>
      <c r="J11" s="134" t="s">
        <v>29</v>
      </c>
      <c r="K11" s="134" t="s">
        <v>30</v>
      </c>
      <c r="L11" s="135">
        <v>69237000000</v>
      </c>
      <c r="M11" s="136">
        <v>0</v>
      </c>
      <c r="N11" s="136">
        <v>0</v>
      </c>
      <c r="O11" s="135">
        <v>320000000</v>
      </c>
      <c r="P11" s="135">
        <v>320000000</v>
      </c>
      <c r="Q11" s="136">
        <v>0</v>
      </c>
      <c r="R11" s="135">
        <v>69237000000</v>
      </c>
      <c r="S11" s="135">
        <v>41225244506</v>
      </c>
      <c r="T11" s="135">
        <v>28011755494</v>
      </c>
      <c r="U11" s="137">
        <v>0.59542216598061726</v>
      </c>
      <c r="V11" s="135">
        <v>41217526602</v>
      </c>
      <c r="W11" s="136">
        <v>7717904</v>
      </c>
      <c r="X11" s="137">
        <v>1.8721305579829178E-4</v>
      </c>
      <c r="Y11" s="135">
        <v>41217526602</v>
      </c>
      <c r="Z11" s="135">
        <v>0</v>
      </c>
      <c r="AA11" s="723">
        <v>0.99981278694420173</v>
      </c>
    </row>
    <row r="12" spans="1:27" ht="24.95" customHeight="1">
      <c r="A12" s="32" t="e">
        <v>#REF!</v>
      </c>
      <c r="B12" s="139" t="s">
        <v>23</v>
      </c>
      <c r="C12" s="139" t="s">
        <v>25</v>
      </c>
      <c r="D12" s="139" t="s">
        <v>25</v>
      </c>
      <c r="E12" s="139" t="s">
        <v>25</v>
      </c>
      <c r="F12" s="139" t="s">
        <v>31</v>
      </c>
      <c r="G12" s="139"/>
      <c r="H12" s="139"/>
      <c r="I12" s="139" t="s">
        <v>28</v>
      </c>
      <c r="J12" s="140" t="s">
        <v>29</v>
      </c>
      <c r="K12" s="140" t="s">
        <v>32</v>
      </c>
      <c r="L12" s="141">
        <v>69237000000</v>
      </c>
      <c r="M12" s="142">
        <v>0</v>
      </c>
      <c r="N12" s="142">
        <v>0</v>
      </c>
      <c r="O12" s="141">
        <v>320000000</v>
      </c>
      <c r="P12" s="141">
        <v>320000000</v>
      </c>
      <c r="Q12" s="142">
        <v>0</v>
      </c>
      <c r="R12" s="141">
        <v>69237000000</v>
      </c>
      <c r="S12" s="141">
        <v>41225244506</v>
      </c>
      <c r="T12" s="141">
        <v>28011755494</v>
      </c>
      <c r="U12" s="143">
        <v>0.59542216598061726</v>
      </c>
      <c r="V12" s="141">
        <v>41217526602</v>
      </c>
      <c r="W12" s="142">
        <v>7717904</v>
      </c>
      <c r="X12" s="143">
        <v>1.8721305579829178E-4</v>
      </c>
      <c r="Y12" s="141">
        <v>41217526602</v>
      </c>
      <c r="Z12" s="141">
        <v>0</v>
      </c>
      <c r="AA12" s="724">
        <v>0.99981278694420173</v>
      </c>
    </row>
    <row r="13" spans="1:27" ht="24.95" customHeight="1">
      <c r="A13" s="32" t="e">
        <v>#REF!</v>
      </c>
      <c r="B13" s="145" t="s">
        <v>23</v>
      </c>
      <c r="C13" s="145" t="s">
        <v>25</v>
      </c>
      <c r="D13" s="145" t="s">
        <v>25</v>
      </c>
      <c r="E13" s="145" t="s">
        <v>25</v>
      </c>
      <c r="F13" s="145" t="s">
        <v>31</v>
      </c>
      <c r="G13" s="145" t="s">
        <v>31</v>
      </c>
      <c r="H13" s="145"/>
      <c r="I13" s="145" t="s">
        <v>28</v>
      </c>
      <c r="J13" s="146" t="s">
        <v>29</v>
      </c>
      <c r="K13" s="147" t="s">
        <v>33</v>
      </c>
      <c r="L13" s="148">
        <v>57000000000</v>
      </c>
      <c r="M13" s="148"/>
      <c r="N13" s="148"/>
      <c r="O13" s="148"/>
      <c r="P13" s="149"/>
      <c r="Q13" s="149"/>
      <c r="R13" s="148">
        <v>57000000000</v>
      </c>
      <c r="S13" s="148">
        <v>35342986784</v>
      </c>
      <c r="T13" s="148">
        <v>21657013216</v>
      </c>
      <c r="U13" s="150">
        <v>0.62005239971929826</v>
      </c>
      <c r="V13" s="148">
        <v>35335601348</v>
      </c>
      <c r="W13" s="148">
        <v>7385436</v>
      </c>
      <c r="X13" s="150">
        <v>2.0896468216272641E-4</v>
      </c>
      <c r="Y13" s="148">
        <v>35335601348</v>
      </c>
      <c r="Z13" s="148">
        <v>0</v>
      </c>
      <c r="AA13" s="150">
        <v>0.99979103531783731</v>
      </c>
    </row>
    <row r="14" spans="1:27" ht="24.95" customHeight="1">
      <c r="A14" s="32" t="e">
        <v>#REF!</v>
      </c>
      <c r="B14" s="145" t="s">
        <v>23</v>
      </c>
      <c r="C14" s="145" t="s">
        <v>25</v>
      </c>
      <c r="D14" s="145" t="s">
        <v>25</v>
      </c>
      <c r="E14" s="145" t="s">
        <v>25</v>
      </c>
      <c r="F14" s="145" t="s">
        <v>31</v>
      </c>
      <c r="G14" s="145" t="s">
        <v>34</v>
      </c>
      <c r="H14" s="145"/>
      <c r="I14" s="145" t="s">
        <v>28</v>
      </c>
      <c r="J14" s="146" t="s">
        <v>29</v>
      </c>
      <c r="K14" s="147" t="s">
        <v>35</v>
      </c>
      <c r="L14" s="148">
        <v>276000000</v>
      </c>
      <c r="M14" s="148"/>
      <c r="N14" s="148"/>
      <c r="O14" s="148"/>
      <c r="P14" s="148"/>
      <c r="Q14" s="148"/>
      <c r="R14" s="148">
        <v>276000000</v>
      </c>
      <c r="S14" s="148">
        <v>149536869</v>
      </c>
      <c r="T14" s="148">
        <v>126463131</v>
      </c>
      <c r="U14" s="150">
        <v>0.54180024999999998</v>
      </c>
      <c r="V14" s="148">
        <v>149536869</v>
      </c>
      <c r="W14" s="148">
        <v>0</v>
      </c>
      <c r="X14" s="150">
        <v>0</v>
      </c>
      <c r="Y14" s="148">
        <v>149536869</v>
      </c>
      <c r="Z14" s="148">
        <v>0</v>
      </c>
      <c r="AA14" s="150">
        <v>1</v>
      </c>
    </row>
    <row r="15" spans="1:27" ht="24.95" customHeight="1">
      <c r="A15" s="32" t="e">
        <v>#REF!</v>
      </c>
      <c r="B15" s="145" t="s">
        <v>23</v>
      </c>
      <c r="C15" s="145" t="s">
        <v>25</v>
      </c>
      <c r="D15" s="145" t="s">
        <v>25</v>
      </c>
      <c r="E15" s="145" t="s">
        <v>25</v>
      </c>
      <c r="F15" s="145" t="s">
        <v>31</v>
      </c>
      <c r="G15" s="145" t="s">
        <v>36</v>
      </c>
      <c r="H15" s="145"/>
      <c r="I15" s="145" t="s">
        <v>28</v>
      </c>
      <c r="J15" s="146" t="s">
        <v>29</v>
      </c>
      <c r="K15" s="147" t="s">
        <v>37</v>
      </c>
      <c r="L15" s="148">
        <v>540000000</v>
      </c>
      <c r="M15" s="148"/>
      <c r="N15" s="148"/>
      <c r="O15" s="148"/>
      <c r="P15" s="148"/>
      <c r="Q15" s="148"/>
      <c r="R15" s="148">
        <v>540000000</v>
      </c>
      <c r="S15" s="148">
        <v>348938383</v>
      </c>
      <c r="T15" s="148">
        <v>191061617</v>
      </c>
      <c r="U15" s="150">
        <v>0.64618219074074079</v>
      </c>
      <c r="V15" s="148">
        <v>348938383</v>
      </c>
      <c r="W15" s="148">
        <v>0</v>
      </c>
      <c r="X15" s="150">
        <v>0</v>
      </c>
      <c r="Y15" s="148">
        <v>348938383</v>
      </c>
      <c r="Z15" s="148">
        <v>0</v>
      </c>
      <c r="AA15" s="150">
        <v>1</v>
      </c>
    </row>
    <row r="16" spans="1:27" ht="24.95" customHeight="1">
      <c r="A16" s="32" t="e">
        <v>#REF!</v>
      </c>
      <c r="B16" s="145" t="s">
        <v>23</v>
      </c>
      <c r="C16" s="145" t="s">
        <v>25</v>
      </c>
      <c r="D16" s="145" t="s">
        <v>25</v>
      </c>
      <c r="E16" s="145" t="s">
        <v>25</v>
      </c>
      <c r="F16" s="145" t="s">
        <v>31</v>
      </c>
      <c r="G16" s="145" t="s">
        <v>38</v>
      </c>
      <c r="H16" s="145"/>
      <c r="I16" s="145" t="s">
        <v>28</v>
      </c>
      <c r="J16" s="146" t="s">
        <v>29</v>
      </c>
      <c r="K16" s="147" t="s">
        <v>39</v>
      </c>
      <c r="L16" s="148">
        <v>96000000</v>
      </c>
      <c r="M16" s="148"/>
      <c r="N16" s="148"/>
      <c r="O16" s="148"/>
      <c r="P16" s="148"/>
      <c r="Q16" s="148"/>
      <c r="R16" s="148">
        <v>96000000</v>
      </c>
      <c r="S16" s="148">
        <v>58805185</v>
      </c>
      <c r="T16" s="148">
        <v>37194815</v>
      </c>
      <c r="U16" s="150">
        <v>0.61255401041666668</v>
      </c>
      <c r="V16" s="148">
        <v>58721461</v>
      </c>
      <c r="W16" s="148">
        <v>83724</v>
      </c>
      <c r="X16" s="150">
        <v>1.423752004181264E-3</v>
      </c>
      <c r="Y16" s="148">
        <v>58721461</v>
      </c>
      <c r="Z16" s="148">
        <v>0</v>
      </c>
      <c r="AA16" s="150">
        <v>0.99857624799581879</v>
      </c>
    </row>
    <row r="17" spans="1:53" ht="24.95" customHeight="1">
      <c r="A17" s="32" t="e">
        <v>#REF!</v>
      </c>
      <c r="B17" s="145" t="s">
        <v>23</v>
      </c>
      <c r="C17" s="145" t="s">
        <v>25</v>
      </c>
      <c r="D17" s="145" t="s">
        <v>25</v>
      </c>
      <c r="E17" s="145" t="s">
        <v>25</v>
      </c>
      <c r="F17" s="145" t="s">
        <v>31</v>
      </c>
      <c r="G17" s="145" t="s">
        <v>40</v>
      </c>
      <c r="H17" s="145"/>
      <c r="I17" s="145" t="s">
        <v>28</v>
      </c>
      <c r="J17" s="146" t="s">
        <v>29</v>
      </c>
      <c r="K17" s="147" t="s">
        <v>41</v>
      </c>
      <c r="L17" s="148">
        <v>80000000</v>
      </c>
      <c r="M17" s="148"/>
      <c r="N17" s="148"/>
      <c r="O17" s="148"/>
      <c r="P17" s="148"/>
      <c r="Q17" s="148"/>
      <c r="R17" s="148">
        <v>80000000</v>
      </c>
      <c r="S17" s="148">
        <v>67821850</v>
      </c>
      <c r="T17" s="148">
        <v>12178150</v>
      </c>
      <c r="U17" s="150">
        <v>0.84777312500000002</v>
      </c>
      <c r="V17" s="148">
        <v>67715396</v>
      </c>
      <c r="W17" s="148">
        <v>106454</v>
      </c>
      <c r="X17" s="150">
        <v>1.5696121530155841E-3</v>
      </c>
      <c r="Y17" s="148">
        <v>67715396</v>
      </c>
      <c r="Z17" s="148">
        <v>0</v>
      </c>
      <c r="AA17" s="150">
        <v>0.99843038784698446</v>
      </c>
    </row>
    <row r="18" spans="1:53" ht="24.95" customHeight="1">
      <c r="A18" s="32" t="e">
        <v>#REF!</v>
      </c>
      <c r="B18" s="145" t="s">
        <v>23</v>
      </c>
      <c r="C18" s="145" t="s">
        <v>25</v>
      </c>
      <c r="D18" s="145" t="s">
        <v>25</v>
      </c>
      <c r="E18" s="145" t="s">
        <v>25</v>
      </c>
      <c r="F18" s="145" t="s">
        <v>31</v>
      </c>
      <c r="G18" s="145" t="s">
        <v>42</v>
      </c>
      <c r="H18" s="145"/>
      <c r="I18" s="145" t="s">
        <v>28</v>
      </c>
      <c r="J18" s="146" t="s">
        <v>29</v>
      </c>
      <c r="K18" s="147" t="s">
        <v>43</v>
      </c>
      <c r="L18" s="148">
        <v>2448300000</v>
      </c>
      <c r="M18" s="148"/>
      <c r="N18" s="148"/>
      <c r="O18" s="148">
        <v>320000000</v>
      </c>
      <c r="P18" s="148"/>
      <c r="Q18" s="148"/>
      <c r="R18" s="148">
        <v>2768300000</v>
      </c>
      <c r="S18" s="148">
        <v>2478535156</v>
      </c>
      <c r="T18" s="148">
        <v>289764844</v>
      </c>
      <c r="U18" s="150">
        <v>0.89532751363652785</v>
      </c>
      <c r="V18" s="148">
        <v>2478488015</v>
      </c>
      <c r="W18" s="148">
        <v>47141</v>
      </c>
      <c r="X18" s="150">
        <v>1.9019701974322127E-5</v>
      </c>
      <c r="Y18" s="148">
        <v>2478488015</v>
      </c>
      <c r="Z18" s="148">
        <v>0</v>
      </c>
      <c r="AA18" s="150">
        <v>0.99998098029802562</v>
      </c>
    </row>
    <row r="19" spans="1:53" ht="24.95" customHeight="1">
      <c r="A19" s="32" t="e">
        <v>#REF!</v>
      </c>
      <c r="B19" s="145" t="s">
        <v>23</v>
      </c>
      <c r="C19" s="145" t="s">
        <v>25</v>
      </c>
      <c r="D19" s="145" t="s">
        <v>25</v>
      </c>
      <c r="E19" s="145" t="s">
        <v>25</v>
      </c>
      <c r="F19" s="145" t="s">
        <v>31</v>
      </c>
      <c r="G19" s="145" t="s">
        <v>44</v>
      </c>
      <c r="H19" s="145"/>
      <c r="I19" s="145" t="s">
        <v>28</v>
      </c>
      <c r="J19" s="146" t="s">
        <v>29</v>
      </c>
      <c r="K19" s="147" t="s">
        <v>45</v>
      </c>
      <c r="L19" s="148">
        <v>1757500000</v>
      </c>
      <c r="M19" s="148"/>
      <c r="N19" s="148"/>
      <c r="O19" s="148"/>
      <c r="P19" s="148"/>
      <c r="Q19" s="148"/>
      <c r="R19" s="148">
        <v>1757500000</v>
      </c>
      <c r="S19" s="148">
        <v>1191286131</v>
      </c>
      <c r="T19" s="148">
        <v>566213869</v>
      </c>
      <c r="U19" s="150">
        <v>0.677829946514936</v>
      </c>
      <c r="V19" s="148">
        <v>1191286131</v>
      </c>
      <c r="W19" s="148">
        <v>0</v>
      </c>
      <c r="X19" s="150">
        <v>0</v>
      </c>
      <c r="Y19" s="148">
        <v>1191286131</v>
      </c>
      <c r="Z19" s="148">
        <v>0</v>
      </c>
      <c r="AA19" s="150">
        <v>1</v>
      </c>
    </row>
    <row r="20" spans="1:53" ht="24.95" customHeight="1">
      <c r="A20" s="32" t="e">
        <v>#REF!</v>
      </c>
      <c r="B20" s="145" t="s">
        <v>23</v>
      </c>
      <c r="C20" s="145" t="s">
        <v>25</v>
      </c>
      <c r="D20" s="145" t="s">
        <v>25</v>
      </c>
      <c r="E20" s="145" t="s">
        <v>25</v>
      </c>
      <c r="F20" s="145" t="s">
        <v>31</v>
      </c>
      <c r="G20" s="145" t="s">
        <v>46</v>
      </c>
      <c r="H20" s="145"/>
      <c r="I20" s="145" t="s">
        <v>28</v>
      </c>
      <c r="J20" s="146" t="s">
        <v>29</v>
      </c>
      <c r="K20" s="147" t="s">
        <v>47</v>
      </c>
      <c r="L20" s="148">
        <v>210000000</v>
      </c>
      <c r="M20" s="148"/>
      <c r="N20" s="148"/>
      <c r="O20" s="148"/>
      <c r="P20" s="148"/>
      <c r="Q20" s="148"/>
      <c r="R20" s="148">
        <v>210000000</v>
      </c>
      <c r="S20" s="148">
        <v>51587413</v>
      </c>
      <c r="T20" s="148">
        <v>158412587</v>
      </c>
      <c r="U20" s="150">
        <v>0.24565434761904761</v>
      </c>
      <c r="V20" s="148">
        <v>51587413</v>
      </c>
      <c r="W20" s="148">
        <v>0</v>
      </c>
      <c r="X20" s="150">
        <v>0</v>
      </c>
      <c r="Y20" s="148">
        <v>51587413</v>
      </c>
      <c r="Z20" s="148">
        <v>0</v>
      </c>
      <c r="AA20" s="150">
        <v>1</v>
      </c>
    </row>
    <row r="21" spans="1:53" ht="24.95" customHeight="1">
      <c r="A21" s="32" t="e">
        <v>#REF!</v>
      </c>
      <c r="B21" s="145" t="s">
        <v>23</v>
      </c>
      <c r="C21" s="145" t="s">
        <v>25</v>
      </c>
      <c r="D21" s="145" t="s">
        <v>25</v>
      </c>
      <c r="E21" s="145" t="s">
        <v>25</v>
      </c>
      <c r="F21" s="145" t="s">
        <v>31</v>
      </c>
      <c r="G21" s="145" t="s">
        <v>48</v>
      </c>
      <c r="H21" s="145"/>
      <c r="I21" s="145" t="s">
        <v>28</v>
      </c>
      <c r="J21" s="146" t="s">
        <v>29</v>
      </c>
      <c r="K21" s="147" t="s">
        <v>49</v>
      </c>
      <c r="L21" s="148">
        <v>5100500000</v>
      </c>
      <c r="M21" s="148"/>
      <c r="N21" s="148"/>
      <c r="O21" s="148"/>
      <c r="P21" s="148">
        <v>320000000</v>
      </c>
      <c r="Q21" s="148"/>
      <c r="R21" s="148">
        <v>4780500000</v>
      </c>
      <c r="S21" s="148">
        <v>36543391</v>
      </c>
      <c r="T21" s="148">
        <v>4743956609</v>
      </c>
      <c r="U21" s="150">
        <v>7.644261269741659E-3</v>
      </c>
      <c r="V21" s="148">
        <v>36543391</v>
      </c>
      <c r="W21" s="148">
        <v>0</v>
      </c>
      <c r="X21" s="150">
        <v>0</v>
      </c>
      <c r="Y21" s="148">
        <v>36543391</v>
      </c>
      <c r="Z21" s="148">
        <v>0</v>
      </c>
      <c r="AA21" s="150">
        <v>1</v>
      </c>
    </row>
    <row r="22" spans="1:53" ht="24.95" customHeight="1">
      <c r="A22" s="32" t="e">
        <v>#REF!</v>
      </c>
      <c r="B22" s="145" t="s">
        <v>23</v>
      </c>
      <c r="C22" s="145" t="s">
        <v>25</v>
      </c>
      <c r="D22" s="145" t="s">
        <v>25</v>
      </c>
      <c r="E22" s="145" t="s">
        <v>25</v>
      </c>
      <c r="F22" s="145" t="s">
        <v>31</v>
      </c>
      <c r="G22" s="145" t="s">
        <v>50</v>
      </c>
      <c r="H22" s="145"/>
      <c r="I22" s="145" t="s">
        <v>28</v>
      </c>
      <c r="J22" s="146" t="s">
        <v>29</v>
      </c>
      <c r="K22" s="147" t="s">
        <v>51</v>
      </c>
      <c r="L22" s="148">
        <v>1676700000</v>
      </c>
      <c r="M22" s="148"/>
      <c r="N22" s="148"/>
      <c r="O22" s="148"/>
      <c r="P22" s="148"/>
      <c r="Q22" s="148"/>
      <c r="R22" s="148">
        <v>1676700000</v>
      </c>
      <c r="S22" s="148">
        <v>1480194204</v>
      </c>
      <c r="T22" s="148">
        <v>196505796</v>
      </c>
      <c r="U22" s="150">
        <v>0.88280205403471101</v>
      </c>
      <c r="V22" s="148">
        <v>1480127443</v>
      </c>
      <c r="W22" s="148">
        <v>66761</v>
      </c>
      <c r="X22" s="150">
        <v>4.5102865434541315E-5</v>
      </c>
      <c r="Y22" s="148">
        <v>1480127443</v>
      </c>
      <c r="Z22" s="148">
        <v>0</v>
      </c>
      <c r="AA22" s="150">
        <v>0.99995489713456542</v>
      </c>
    </row>
    <row r="23" spans="1:53" s="64" customFormat="1" ht="24.95" customHeight="1">
      <c r="A23" s="32" t="e">
        <v>#REF!</v>
      </c>
      <c r="B23" s="145" t="s">
        <v>23</v>
      </c>
      <c r="C23" s="145" t="s">
        <v>25</v>
      </c>
      <c r="D23" s="145" t="s">
        <v>25</v>
      </c>
      <c r="E23" s="145" t="s">
        <v>25</v>
      </c>
      <c r="F23" s="145" t="s">
        <v>31</v>
      </c>
      <c r="G23" s="151" t="s">
        <v>52</v>
      </c>
      <c r="H23" s="145"/>
      <c r="I23" s="145" t="s">
        <v>28</v>
      </c>
      <c r="J23" s="146" t="s">
        <v>29</v>
      </c>
      <c r="K23" s="147" t="s">
        <v>53</v>
      </c>
      <c r="L23" s="148">
        <v>52000000</v>
      </c>
      <c r="M23" s="148"/>
      <c r="N23" s="148"/>
      <c r="O23" s="148"/>
      <c r="P23" s="148"/>
      <c r="Q23" s="148"/>
      <c r="R23" s="148">
        <v>52000000</v>
      </c>
      <c r="S23" s="148">
        <v>19009140</v>
      </c>
      <c r="T23" s="148">
        <v>32990860</v>
      </c>
      <c r="U23" s="150">
        <v>0.36556038461538459</v>
      </c>
      <c r="V23" s="148">
        <v>18980752</v>
      </c>
      <c r="W23" s="148">
        <v>28388</v>
      </c>
      <c r="X23" s="150">
        <v>1.493386865476292E-3</v>
      </c>
      <c r="Y23" s="148">
        <v>18980752</v>
      </c>
      <c r="Z23" s="148">
        <v>0</v>
      </c>
      <c r="AA23" s="150">
        <v>0.99850661313452371</v>
      </c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</row>
    <row r="24" spans="1:53" ht="24.95" customHeight="1">
      <c r="A24" s="32" t="e">
        <v>#REF!</v>
      </c>
      <c r="B24" s="133" t="s">
        <v>23</v>
      </c>
      <c r="C24" s="133" t="s">
        <v>25</v>
      </c>
      <c r="D24" s="133" t="s">
        <v>25</v>
      </c>
      <c r="E24" s="133" t="s">
        <v>54</v>
      </c>
      <c r="F24" s="134"/>
      <c r="G24" s="134"/>
      <c r="H24" s="134"/>
      <c r="I24" s="133" t="s">
        <v>28</v>
      </c>
      <c r="J24" s="134" t="s">
        <v>29</v>
      </c>
      <c r="K24" s="134" t="s">
        <v>55</v>
      </c>
      <c r="L24" s="135">
        <v>28758000000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5">
        <v>28758000000</v>
      </c>
      <c r="S24" s="135">
        <v>18621856000</v>
      </c>
      <c r="T24" s="135">
        <v>10136144000</v>
      </c>
      <c r="U24" s="137">
        <v>0.64753654635231939</v>
      </c>
      <c r="V24" s="135">
        <v>15975785823</v>
      </c>
      <c r="W24" s="135">
        <v>2646070177</v>
      </c>
      <c r="X24" s="137">
        <v>0.14209486836328236</v>
      </c>
      <c r="Y24" s="135">
        <v>15975785823</v>
      </c>
      <c r="Z24" s="136">
        <v>0</v>
      </c>
      <c r="AA24" s="723">
        <v>0.85790513163671767</v>
      </c>
    </row>
    <row r="25" spans="1:53" ht="24.95" customHeight="1">
      <c r="A25" s="32" t="e">
        <v>#REF!</v>
      </c>
      <c r="B25" s="145" t="s">
        <v>23</v>
      </c>
      <c r="C25" s="145" t="s">
        <v>25</v>
      </c>
      <c r="D25" s="145" t="s">
        <v>25</v>
      </c>
      <c r="E25" s="145" t="s">
        <v>54</v>
      </c>
      <c r="F25" s="145" t="s">
        <v>31</v>
      </c>
      <c r="G25" s="145"/>
      <c r="H25" s="145"/>
      <c r="I25" s="145" t="s">
        <v>28</v>
      </c>
      <c r="J25" s="146" t="s">
        <v>29</v>
      </c>
      <c r="K25" s="147" t="s">
        <v>56</v>
      </c>
      <c r="L25" s="148">
        <v>7690200000</v>
      </c>
      <c r="M25" s="148"/>
      <c r="N25" s="148"/>
      <c r="O25" s="148"/>
      <c r="P25" s="148"/>
      <c r="Q25" s="148"/>
      <c r="R25" s="148">
        <v>7690200000</v>
      </c>
      <c r="S25" s="148">
        <v>4771459900</v>
      </c>
      <c r="T25" s="148">
        <v>2918740100</v>
      </c>
      <c r="U25" s="150">
        <v>0.62045979298327747</v>
      </c>
      <c r="V25" s="148">
        <v>4771459900</v>
      </c>
      <c r="W25" s="148">
        <v>0</v>
      </c>
      <c r="X25" s="150">
        <v>0</v>
      </c>
      <c r="Y25" s="148">
        <v>4771459900</v>
      </c>
      <c r="Z25" s="148">
        <v>0</v>
      </c>
      <c r="AA25" s="150">
        <v>1</v>
      </c>
    </row>
    <row r="26" spans="1:53" ht="24.95" customHeight="1">
      <c r="A26" s="32" t="e">
        <v>#REF!</v>
      </c>
      <c r="B26" s="145" t="s">
        <v>23</v>
      </c>
      <c r="C26" s="145" t="s">
        <v>25</v>
      </c>
      <c r="D26" s="145" t="s">
        <v>25</v>
      </c>
      <c r="E26" s="145" t="s">
        <v>54</v>
      </c>
      <c r="F26" s="145" t="s">
        <v>34</v>
      </c>
      <c r="G26" s="145"/>
      <c r="H26" s="145"/>
      <c r="I26" s="145" t="s">
        <v>28</v>
      </c>
      <c r="J26" s="146" t="s">
        <v>29</v>
      </c>
      <c r="K26" s="147" t="s">
        <v>57</v>
      </c>
      <c r="L26" s="148">
        <v>5447200000</v>
      </c>
      <c r="M26" s="148"/>
      <c r="N26" s="148"/>
      <c r="O26" s="148"/>
      <c r="P26" s="148"/>
      <c r="Q26" s="148"/>
      <c r="R26" s="148">
        <v>5447200000</v>
      </c>
      <c r="S26" s="148">
        <v>3391316500</v>
      </c>
      <c r="T26" s="148">
        <v>2055883500</v>
      </c>
      <c r="U26" s="150">
        <v>0.62257976575121166</v>
      </c>
      <c r="V26" s="148">
        <v>3391316500</v>
      </c>
      <c r="W26" s="148">
        <v>0</v>
      </c>
      <c r="X26" s="150">
        <v>0</v>
      </c>
      <c r="Y26" s="148">
        <v>3391316500</v>
      </c>
      <c r="Z26" s="148">
        <v>0</v>
      </c>
      <c r="AA26" s="150">
        <v>1</v>
      </c>
    </row>
    <row r="27" spans="1:53" ht="24.95" customHeight="1">
      <c r="A27" s="32" t="e">
        <v>#REF!</v>
      </c>
      <c r="B27" s="145" t="s">
        <v>23</v>
      </c>
      <c r="C27" s="145" t="s">
        <v>25</v>
      </c>
      <c r="D27" s="145" t="s">
        <v>25</v>
      </c>
      <c r="E27" s="145" t="s">
        <v>54</v>
      </c>
      <c r="F27" s="145" t="s">
        <v>36</v>
      </c>
      <c r="G27" s="145"/>
      <c r="H27" s="145"/>
      <c r="I27" s="145" t="s">
        <v>28</v>
      </c>
      <c r="J27" s="146" t="s">
        <v>29</v>
      </c>
      <c r="K27" s="147" t="s">
        <v>58</v>
      </c>
      <c r="L27" s="148">
        <v>8895400000</v>
      </c>
      <c r="M27" s="148"/>
      <c r="N27" s="148"/>
      <c r="O27" s="148"/>
      <c r="P27" s="148"/>
      <c r="Q27" s="148"/>
      <c r="R27" s="148">
        <v>8895400000</v>
      </c>
      <c r="S27" s="148">
        <v>6200000000</v>
      </c>
      <c r="T27" s="148">
        <v>2695400000</v>
      </c>
      <c r="U27" s="150">
        <v>0.69698945522404843</v>
      </c>
      <c r="V27" s="148">
        <v>3554036023</v>
      </c>
      <c r="W27" s="148">
        <v>2645963977</v>
      </c>
      <c r="X27" s="150">
        <v>0.42676838338709677</v>
      </c>
      <c r="Y27" s="148">
        <v>3554036023</v>
      </c>
      <c r="Z27" s="148">
        <v>0</v>
      </c>
      <c r="AA27" s="150">
        <v>0.57323161661290323</v>
      </c>
    </row>
    <row r="28" spans="1:53" ht="24.95" customHeight="1">
      <c r="A28" s="32" t="e">
        <v>#REF!</v>
      </c>
      <c r="B28" s="145" t="s">
        <v>23</v>
      </c>
      <c r="C28" s="145" t="s">
        <v>25</v>
      </c>
      <c r="D28" s="145" t="s">
        <v>25</v>
      </c>
      <c r="E28" s="145" t="s">
        <v>54</v>
      </c>
      <c r="F28" s="145" t="s">
        <v>38</v>
      </c>
      <c r="G28" s="145"/>
      <c r="H28" s="145"/>
      <c r="I28" s="145" t="s">
        <v>28</v>
      </c>
      <c r="J28" s="146" t="s">
        <v>29</v>
      </c>
      <c r="K28" s="147" t="s">
        <v>59</v>
      </c>
      <c r="L28" s="148">
        <v>2732300000</v>
      </c>
      <c r="M28" s="148"/>
      <c r="N28" s="148"/>
      <c r="O28" s="148"/>
      <c r="P28" s="148"/>
      <c r="Q28" s="148"/>
      <c r="R28" s="148">
        <v>2732300000</v>
      </c>
      <c r="S28" s="148">
        <v>1737517300</v>
      </c>
      <c r="T28" s="148">
        <v>994782700</v>
      </c>
      <c r="U28" s="150">
        <v>0.63591746879918021</v>
      </c>
      <c r="V28" s="148">
        <v>1737517300</v>
      </c>
      <c r="W28" s="148">
        <v>0</v>
      </c>
      <c r="X28" s="150">
        <v>0</v>
      </c>
      <c r="Y28" s="148">
        <v>1737517300</v>
      </c>
      <c r="Z28" s="148">
        <v>0</v>
      </c>
      <c r="AA28" s="150">
        <v>1</v>
      </c>
    </row>
    <row r="29" spans="1:53" ht="24.95" customHeight="1">
      <c r="A29" s="32" t="e">
        <v>#REF!</v>
      </c>
      <c r="B29" s="145" t="s">
        <v>23</v>
      </c>
      <c r="C29" s="145" t="s">
        <v>25</v>
      </c>
      <c r="D29" s="145" t="s">
        <v>25</v>
      </c>
      <c r="E29" s="145" t="s">
        <v>54</v>
      </c>
      <c r="F29" s="145" t="s">
        <v>40</v>
      </c>
      <c r="G29" s="145"/>
      <c r="H29" s="145"/>
      <c r="I29" s="145" t="s">
        <v>28</v>
      </c>
      <c r="J29" s="146" t="s">
        <v>29</v>
      </c>
      <c r="K29" s="147" t="s">
        <v>60</v>
      </c>
      <c r="L29" s="148">
        <v>540000000</v>
      </c>
      <c r="M29" s="148"/>
      <c r="N29" s="148"/>
      <c r="O29" s="148"/>
      <c r="P29" s="148"/>
      <c r="Q29" s="148"/>
      <c r="R29" s="148">
        <v>540000000</v>
      </c>
      <c r="S29" s="148">
        <v>348201300</v>
      </c>
      <c r="T29" s="148">
        <v>191798700</v>
      </c>
      <c r="U29" s="150">
        <v>0.64481722222222226</v>
      </c>
      <c r="V29" s="148">
        <v>348201300</v>
      </c>
      <c r="W29" s="148">
        <v>0</v>
      </c>
      <c r="X29" s="150">
        <v>0</v>
      </c>
      <c r="Y29" s="148">
        <v>348201300</v>
      </c>
      <c r="Z29" s="148">
        <v>0</v>
      </c>
      <c r="AA29" s="150">
        <v>1</v>
      </c>
    </row>
    <row r="30" spans="1:53" ht="24.95" customHeight="1">
      <c r="A30" s="32" t="e">
        <v>#REF!</v>
      </c>
      <c r="B30" s="145" t="s">
        <v>23</v>
      </c>
      <c r="C30" s="145" t="s">
        <v>25</v>
      </c>
      <c r="D30" s="145" t="s">
        <v>25</v>
      </c>
      <c r="E30" s="145" t="s">
        <v>54</v>
      </c>
      <c r="F30" s="145" t="s">
        <v>42</v>
      </c>
      <c r="G30" s="145"/>
      <c r="H30" s="145"/>
      <c r="I30" s="145" t="s">
        <v>28</v>
      </c>
      <c r="J30" s="146" t="s">
        <v>29</v>
      </c>
      <c r="K30" s="147" t="s">
        <v>61</v>
      </c>
      <c r="L30" s="148">
        <v>2071700000</v>
      </c>
      <c r="M30" s="148"/>
      <c r="N30" s="148"/>
      <c r="O30" s="148"/>
      <c r="P30" s="148"/>
      <c r="Q30" s="148"/>
      <c r="R30" s="148">
        <v>2071700000</v>
      </c>
      <c r="S30" s="148">
        <v>1303308800</v>
      </c>
      <c r="T30" s="148">
        <v>768391200</v>
      </c>
      <c r="U30" s="150">
        <v>0.62910112468021429</v>
      </c>
      <c r="V30" s="148">
        <v>1303308800</v>
      </c>
      <c r="W30" s="148">
        <v>0</v>
      </c>
      <c r="X30" s="150">
        <v>0</v>
      </c>
      <c r="Y30" s="148">
        <v>1303308800</v>
      </c>
      <c r="Z30" s="148">
        <v>0</v>
      </c>
      <c r="AA30" s="150">
        <v>1</v>
      </c>
    </row>
    <row r="31" spans="1:53" ht="24.95" customHeight="1">
      <c r="A31" s="32" t="e">
        <v>#REF!</v>
      </c>
      <c r="B31" s="145" t="s">
        <v>23</v>
      </c>
      <c r="C31" s="145" t="s">
        <v>25</v>
      </c>
      <c r="D31" s="145" t="s">
        <v>25</v>
      </c>
      <c r="E31" s="145" t="s">
        <v>54</v>
      </c>
      <c r="F31" s="145" t="s">
        <v>44</v>
      </c>
      <c r="G31" s="145"/>
      <c r="H31" s="145"/>
      <c r="I31" s="145" t="s">
        <v>28</v>
      </c>
      <c r="J31" s="146" t="s">
        <v>29</v>
      </c>
      <c r="K31" s="147" t="s">
        <v>62</v>
      </c>
      <c r="L31" s="148">
        <v>345300000</v>
      </c>
      <c r="M31" s="148"/>
      <c r="N31" s="148"/>
      <c r="O31" s="148"/>
      <c r="P31" s="148"/>
      <c r="Q31" s="148"/>
      <c r="R31" s="148">
        <v>345300000</v>
      </c>
      <c r="S31" s="148">
        <v>217696400</v>
      </c>
      <c r="T31" s="148">
        <v>127603600</v>
      </c>
      <c r="U31" s="150">
        <v>0.63045583550535766</v>
      </c>
      <c r="V31" s="148">
        <v>217590200</v>
      </c>
      <c r="W31" s="148">
        <v>106200</v>
      </c>
      <c r="X31" s="150">
        <v>4.8783535235309358E-4</v>
      </c>
      <c r="Y31" s="148">
        <v>217590200</v>
      </c>
      <c r="Z31" s="148">
        <v>0</v>
      </c>
      <c r="AA31" s="150">
        <v>0.99951216464764692</v>
      </c>
    </row>
    <row r="32" spans="1:53" ht="24.95" customHeight="1">
      <c r="A32" s="32" t="e">
        <v>#REF!</v>
      </c>
      <c r="B32" s="145" t="s">
        <v>23</v>
      </c>
      <c r="C32" s="145" t="s">
        <v>25</v>
      </c>
      <c r="D32" s="145" t="s">
        <v>25</v>
      </c>
      <c r="E32" s="145" t="s">
        <v>54</v>
      </c>
      <c r="F32" s="145" t="s">
        <v>46</v>
      </c>
      <c r="G32" s="145"/>
      <c r="H32" s="145"/>
      <c r="I32" s="145" t="s">
        <v>28</v>
      </c>
      <c r="J32" s="146" t="s">
        <v>29</v>
      </c>
      <c r="K32" s="147" t="s">
        <v>63</v>
      </c>
      <c r="L32" s="148">
        <v>345300000</v>
      </c>
      <c r="M32" s="148"/>
      <c r="N32" s="148"/>
      <c r="O32" s="148"/>
      <c r="P32" s="148"/>
      <c r="Q32" s="148"/>
      <c r="R32" s="148">
        <v>345300000</v>
      </c>
      <c r="S32" s="148">
        <v>217590200</v>
      </c>
      <c r="T32" s="148">
        <v>127709800</v>
      </c>
      <c r="U32" s="150">
        <v>0.63014827686070085</v>
      </c>
      <c r="V32" s="148">
        <v>217590200</v>
      </c>
      <c r="W32" s="148">
        <v>0</v>
      </c>
      <c r="X32" s="150">
        <v>0</v>
      </c>
      <c r="Y32" s="148">
        <v>217590200</v>
      </c>
      <c r="Z32" s="148">
        <v>0</v>
      </c>
      <c r="AA32" s="150">
        <v>1</v>
      </c>
    </row>
    <row r="33" spans="1:27" ht="24.75" customHeight="1">
      <c r="A33" s="32" t="e">
        <v>#REF!</v>
      </c>
      <c r="B33" s="145" t="s">
        <v>23</v>
      </c>
      <c r="C33" s="145" t="s">
        <v>25</v>
      </c>
      <c r="D33" s="145" t="s">
        <v>25</v>
      </c>
      <c r="E33" s="145" t="s">
        <v>54</v>
      </c>
      <c r="F33" s="145" t="s">
        <v>48</v>
      </c>
      <c r="G33" s="145"/>
      <c r="H33" s="145"/>
      <c r="I33" s="145" t="s">
        <v>28</v>
      </c>
      <c r="J33" s="146" t="s">
        <v>29</v>
      </c>
      <c r="K33" s="147" t="s">
        <v>64</v>
      </c>
      <c r="L33" s="148">
        <v>690600000</v>
      </c>
      <c r="M33" s="148"/>
      <c r="N33" s="148"/>
      <c r="O33" s="148"/>
      <c r="P33" s="148"/>
      <c r="Q33" s="148"/>
      <c r="R33" s="148">
        <v>690600000</v>
      </c>
      <c r="S33" s="148">
        <v>434765600</v>
      </c>
      <c r="T33" s="148">
        <v>255834400</v>
      </c>
      <c r="U33" s="150">
        <v>0.62954763973356498</v>
      </c>
      <c r="V33" s="148">
        <v>434765600</v>
      </c>
      <c r="W33" s="148">
        <v>0</v>
      </c>
      <c r="X33" s="150">
        <v>0</v>
      </c>
      <c r="Y33" s="148">
        <v>434765600</v>
      </c>
      <c r="Z33" s="148">
        <v>0</v>
      </c>
      <c r="AA33" s="150">
        <v>1</v>
      </c>
    </row>
    <row r="34" spans="1:27" ht="24.95" customHeight="1">
      <c r="A34" s="32" t="e">
        <v>#REF!</v>
      </c>
      <c r="B34" s="133" t="s">
        <v>23</v>
      </c>
      <c r="C34" s="133" t="s">
        <v>25</v>
      </c>
      <c r="D34" s="133" t="s">
        <v>25</v>
      </c>
      <c r="E34" s="133" t="s">
        <v>65</v>
      </c>
      <c r="F34" s="133"/>
      <c r="G34" s="134"/>
      <c r="H34" s="134"/>
      <c r="I34" s="133" t="s">
        <v>28</v>
      </c>
      <c r="J34" s="134" t="s">
        <v>29</v>
      </c>
      <c r="K34" s="134" t="s">
        <v>66</v>
      </c>
      <c r="L34" s="135">
        <v>7153000000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5">
        <v>7153000000</v>
      </c>
      <c r="S34" s="135">
        <v>4786906836</v>
      </c>
      <c r="T34" s="135">
        <v>2366093164</v>
      </c>
      <c r="U34" s="137">
        <v>0.66921666936949531</v>
      </c>
      <c r="V34" s="135">
        <v>4783921586</v>
      </c>
      <c r="W34" s="135">
        <v>2985250</v>
      </c>
      <c r="X34" s="137">
        <v>6.2362818042527703E-4</v>
      </c>
      <c r="Y34" s="135">
        <v>4783921586</v>
      </c>
      <c r="Z34" s="136">
        <v>0</v>
      </c>
      <c r="AA34" s="723">
        <v>0.99937637181957473</v>
      </c>
    </row>
    <row r="35" spans="1:27" ht="24.95" customHeight="1">
      <c r="A35" s="32" t="e">
        <v>#REF!</v>
      </c>
      <c r="B35" s="139" t="s">
        <v>23</v>
      </c>
      <c r="C35" s="139" t="s">
        <v>25</v>
      </c>
      <c r="D35" s="139" t="s">
        <v>25</v>
      </c>
      <c r="E35" s="139" t="s">
        <v>65</v>
      </c>
      <c r="F35" s="139" t="s">
        <v>31</v>
      </c>
      <c r="G35" s="140"/>
      <c r="H35" s="140"/>
      <c r="I35" s="139" t="s">
        <v>28</v>
      </c>
      <c r="J35" s="140" t="s">
        <v>29</v>
      </c>
      <c r="K35" s="140" t="s">
        <v>67</v>
      </c>
      <c r="L35" s="141">
        <v>3551000000</v>
      </c>
      <c r="M35" s="142">
        <v>0</v>
      </c>
      <c r="N35" s="142">
        <v>0</v>
      </c>
      <c r="O35" s="142">
        <v>0</v>
      </c>
      <c r="P35" s="142">
        <v>0</v>
      </c>
      <c r="Q35" s="142">
        <v>0</v>
      </c>
      <c r="R35" s="141">
        <v>3551000000</v>
      </c>
      <c r="S35" s="141">
        <v>2312855462</v>
      </c>
      <c r="T35" s="141">
        <v>1238144538</v>
      </c>
      <c r="U35" s="143">
        <v>0.65132510898338492</v>
      </c>
      <c r="V35" s="141">
        <v>2312748644</v>
      </c>
      <c r="W35" s="142">
        <v>106818</v>
      </c>
      <c r="X35" s="143">
        <v>4.6184468400645782E-5</v>
      </c>
      <c r="Y35" s="141">
        <v>2312748644</v>
      </c>
      <c r="Z35" s="142">
        <v>0</v>
      </c>
      <c r="AA35" s="724">
        <v>0.99995381553159934</v>
      </c>
    </row>
    <row r="36" spans="1:27" ht="24.95" customHeight="1">
      <c r="A36" s="32" t="e">
        <v>#REF!</v>
      </c>
      <c r="B36" s="145" t="s">
        <v>23</v>
      </c>
      <c r="C36" s="145" t="s">
        <v>25</v>
      </c>
      <c r="D36" s="145" t="s">
        <v>25</v>
      </c>
      <c r="E36" s="145" t="s">
        <v>65</v>
      </c>
      <c r="F36" s="145" t="s">
        <v>31</v>
      </c>
      <c r="G36" s="145" t="s">
        <v>31</v>
      </c>
      <c r="H36" s="145"/>
      <c r="I36" s="145" t="s">
        <v>28</v>
      </c>
      <c r="J36" s="146" t="s">
        <v>29</v>
      </c>
      <c r="K36" s="147" t="s">
        <v>68</v>
      </c>
      <c r="L36" s="148">
        <v>2801000000</v>
      </c>
      <c r="M36" s="148"/>
      <c r="N36" s="148"/>
      <c r="O36" s="148"/>
      <c r="P36" s="148"/>
      <c r="Q36" s="148"/>
      <c r="R36" s="148">
        <v>2801000000</v>
      </c>
      <c r="S36" s="148">
        <v>1912053854</v>
      </c>
      <c r="T36" s="148">
        <v>888946146</v>
      </c>
      <c r="U36" s="150">
        <v>0.6826325790789004</v>
      </c>
      <c r="V36" s="148">
        <v>1911955938</v>
      </c>
      <c r="W36" s="148">
        <v>97916</v>
      </c>
      <c r="X36" s="150">
        <v>5.1209854678078538E-5</v>
      </c>
      <c r="Y36" s="148">
        <v>1911955938</v>
      </c>
      <c r="Z36" s="148">
        <v>0</v>
      </c>
      <c r="AA36" s="150">
        <v>0.9999487901453219</v>
      </c>
    </row>
    <row r="37" spans="1:27" ht="24.95" customHeight="1">
      <c r="A37" s="32" t="e">
        <v>#REF!</v>
      </c>
      <c r="B37" s="145" t="s">
        <v>23</v>
      </c>
      <c r="C37" s="145" t="s">
        <v>25</v>
      </c>
      <c r="D37" s="145" t="s">
        <v>25</v>
      </c>
      <c r="E37" s="145" t="s">
        <v>65</v>
      </c>
      <c r="F37" s="145" t="s">
        <v>31</v>
      </c>
      <c r="G37" s="145" t="s">
        <v>34</v>
      </c>
      <c r="H37" s="145"/>
      <c r="I37" s="145" t="s">
        <v>28</v>
      </c>
      <c r="J37" s="146" t="s">
        <v>29</v>
      </c>
      <c r="K37" s="147" t="s">
        <v>69</v>
      </c>
      <c r="L37" s="148">
        <v>400000000</v>
      </c>
      <c r="M37" s="148"/>
      <c r="N37" s="148"/>
      <c r="O37" s="148"/>
      <c r="P37" s="148"/>
      <c r="Q37" s="148"/>
      <c r="R37" s="148">
        <v>400000000</v>
      </c>
      <c r="S37" s="148">
        <v>219998849</v>
      </c>
      <c r="T37" s="148">
        <v>180001151</v>
      </c>
      <c r="U37" s="150">
        <v>0.54999712249999999</v>
      </c>
      <c r="V37" s="148">
        <v>219998849</v>
      </c>
      <c r="W37" s="148">
        <v>0</v>
      </c>
      <c r="X37" s="150">
        <v>0</v>
      </c>
      <c r="Y37" s="148">
        <v>219998849</v>
      </c>
      <c r="Z37" s="148">
        <v>0</v>
      </c>
      <c r="AA37" s="150">
        <v>1</v>
      </c>
    </row>
    <row r="38" spans="1:27" ht="24.95" customHeight="1">
      <c r="A38" s="32" t="e">
        <v>#REF!</v>
      </c>
      <c r="B38" s="145" t="s">
        <v>23</v>
      </c>
      <c r="C38" s="145" t="s">
        <v>25</v>
      </c>
      <c r="D38" s="145" t="s">
        <v>25</v>
      </c>
      <c r="E38" s="145" t="s">
        <v>65</v>
      </c>
      <c r="F38" s="145" t="s">
        <v>31</v>
      </c>
      <c r="G38" s="145" t="s">
        <v>36</v>
      </c>
      <c r="H38" s="145"/>
      <c r="I38" s="145" t="s">
        <v>28</v>
      </c>
      <c r="J38" s="146" t="s">
        <v>29</v>
      </c>
      <c r="K38" s="147" t="s">
        <v>70</v>
      </c>
      <c r="L38" s="148">
        <v>350000000</v>
      </c>
      <c r="M38" s="148"/>
      <c r="N38" s="148"/>
      <c r="O38" s="148"/>
      <c r="P38" s="148"/>
      <c r="Q38" s="148"/>
      <c r="R38" s="148">
        <v>350000000</v>
      </c>
      <c r="S38" s="148">
        <v>180802759</v>
      </c>
      <c r="T38" s="148">
        <v>169197241</v>
      </c>
      <c r="U38" s="150">
        <v>0.51657931142857139</v>
      </c>
      <c r="V38" s="148">
        <v>180793857</v>
      </c>
      <c r="W38" s="148">
        <v>8902</v>
      </c>
      <c r="X38" s="150">
        <v>4.9235974324927202E-5</v>
      </c>
      <c r="Y38" s="148">
        <v>180793857</v>
      </c>
      <c r="Z38" s="148">
        <v>0</v>
      </c>
      <c r="AA38" s="150">
        <v>0.99995076402567507</v>
      </c>
    </row>
    <row r="39" spans="1:27" ht="24.95" customHeight="1">
      <c r="A39" s="32" t="e">
        <v>#REF!</v>
      </c>
      <c r="B39" s="145" t="s">
        <v>23</v>
      </c>
      <c r="C39" s="145" t="s">
        <v>25</v>
      </c>
      <c r="D39" s="145" t="s">
        <v>25</v>
      </c>
      <c r="E39" s="145" t="s">
        <v>65</v>
      </c>
      <c r="F39" s="145" t="s">
        <v>34</v>
      </c>
      <c r="G39" s="145"/>
      <c r="H39" s="145"/>
      <c r="I39" s="145" t="s">
        <v>28</v>
      </c>
      <c r="J39" s="146" t="s">
        <v>29</v>
      </c>
      <c r="K39" s="147" t="s">
        <v>71</v>
      </c>
      <c r="L39" s="148">
        <v>2160000000</v>
      </c>
      <c r="M39" s="148"/>
      <c r="N39" s="148"/>
      <c r="O39" s="148"/>
      <c r="P39" s="148"/>
      <c r="Q39" s="148"/>
      <c r="R39" s="148">
        <v>2160000000</v>
      </c>
      <c r="S39" s="148">
        <v>1636558010</v>
      </c>
      <c r="T39" s="148">
        <v>523441990</v>
      </c>
      <c r="U39" s="150">
        <v>0.75766574537037035</v>
      </c>
      <c r="V39" s="148">
        <v>1636558010</v>
      </c>
      <c r="W39" s="148">
        <v>0</v>
      </c>
      <c r="X39" s="150">
        <v>0</v>
      </c>
      <c r="Y39" s="148">
        <v>1636558010</v>
      </c>
      <c r="Z39" s="148">
        <v>0</v>
      </c>
      <c r="AA39" s="150">
        <v>1</v>
      </c>
    </row>
    <row r="40" spans="1:27" ht="24.95" customHeight="1">
      <c r="A40" s="32" t="e">
        <v>#REF!</v>
      </c>
      <c r="B40" s="145" t="s">
        <v>23</v>
      </c>
      <c r="C40" s="145" t="s">
        <v>25</v>
      </c>
      <c r="D40" s="145" t="s">
        <v>25</v>
      </c>
      <c r="E40" s="145" t="s">
        <v>65</v>
      </c>
      <c r="F40" s="145" t="s">
        <v>40</v>
      </c>
      <c r="G40" s="145"/>
      <c r="H40" s="145"/>
      <c r="I40" s="145" t="s">
        <v>28</v>
      </c>
      <c r="J40" s="146" t="s">
        <v>29</v>
      </c>
      <c r="K40" s="147" t="s">
        <v>72</v>
      </c>
      <c r="L40" s="148">
        <v>12000000</v>
      </c>
      <c r="M40" s="148"/>
      <c r="N40" s="148"/>
      <c r="O40" s="148"/>
      <c r="P40" s="148"/>
      <c r="Q40" s="148"/>
      <c r="R40" s="148">
        <v>12000000</v>
      </c>
      <c r="S40" s="148">
        <v>2741147</v>
      </c>
      <c r="T40" s="148">
        <v>9258853</v>
      </c>
      <c r="U40" s="150">
        <v>0.22842891666666668</v>
      </c>
      <c r="V40" s="148">
        <v>2741147</v>
      </c>
      <c r="W40" s="148">
        <v>0</v>
      </c>
      <c r="X40" s="150">
        <v>0</v>
      </c>
      <c r="Y40" s="148">
        <v>2741147</v>
      </c>
      <c r="Z40" s="148">
        <v>0</v>
      </c>
      <c r="AA40" s="150">
        <v>1</v>
      </c>
    </row>
    <row r="41" spans="1:27" ht="24.95" customHeight="1">
      <c r="A41" s="32" t="e">
        <v>#REF!</v>
      </c>
      <c r="B41" s="145" t="s">
        <v>23</v>
      </c>
      <c r="C41" s="145" t="s">
        <v>25</v>
      </c>
      <c r="D41" s="145" t="s">
        <v>25</v>
      </c>
      <c r="E41" s="145" t="s">
        <v>65</v>
      </c>
      <c r="F41" s="145" t="s">
        <v>74</v>
      </c>
      <c r="G41" s="145"/>
      <c r="H41" s="145"/>
      <c r="I41" s="145" t="s">
        <v>28</v>
      </c>
      <c r="J41" s="146" t="s">
        <v>29</v>
      </c>
      <c r="K41" s="147" t="s">
        <v>75</v>
      </c>
      <c r="L41" s="148">
        <v>30000000</v>
      </c>
      <c r="M41" s="148"/>
      <c r="N41" s="148"/>
      <c r="O41" s="148"/>
      <c r="P41" s="148"/>
      <c r="Q41" s="148"/>
      <c r="R41" s="148">
        <v>30000000</v>
      </c>
      <c r="S41" s="148">
        <v>0</v>
      </c>
      <c r="T41" s="148">
        <v>30000000</v>
      </c>
      <c r="U41" s="150">
        <v>0</v>
      </c>
      <c r="V41" s="148">
        <v>0</v>
      </c>
      <c r="W41" s="148">
        <v>0</v>
      </c>
      <c r="X41" s="150">
        <v>0</v>
      </c>
      <c r="Y41" s="148">
        <v>0</v>
      </c>
      <c r="Z41" s="148">
        <v>0</v>
      </c>
      <c r="AA41" s="150">
        <v>0</v>
      </c>
    </row>
    <row r="42" spans="1:27" ht="24.95" customHeight="1">
      <c r="A42" s="32" t="e">
        <v>#REF!</v>
      </c>
      <c r="B42" s="145" t="s">
        <v>23</v>
      </c>
      <c r="C42" s="145" t="s">
        <v>25</v>
      </c>
      <c r="D42" s="145" t="s">
        <v>25</v>
      </c>
      <c r="E42" s="145" t="s">
        <v>65</v>
      </c>
      <c r="F42" s="145" t="s">
        <v>76</v>
      </c>
      <c r="G42" s="145"/>
      <c r="H42" s="145"/>
      <c r="I42" s="145" t="s">
        <v>28</v>
      </c>
      <c r="J42" s="146" t="s">
        <v>29</v>
      </c>
      <c r="K42" s="147" t="s">
        <v>77</v>
      </c>
      <c r="L42" s="148">
        <v>840000000</v>
      </c>
      <c r="M42" s="148"/>
      <c r="N42" s="148"/>
      <c r="O42" s="148"/>
      <c r="P42" s="148"/>
      <c r="Q42" s="148"/>
      <c r="R42" s="148">
        <v>840000000</v>
      </c>
      <c r="S42" s="148">
        <v>557126346</v>
      </c>
      <c r="T42" s="148">
        <v>282873654</v>
      </c>
      <c r="U42" s="150">
        <v>0.66324565000000002</v>
      </c>
      <c r="V42" s="148">
        <v>554247914</v>
      </c>
      <c r="W42" s="148">
        <v>2878432</v>
      </c>
      <c r="X42" s="150">
        <v>5.1665695235313825E-3</v>
      </c>
      <c r="Y42" s="148">
        <v>554247914</v>
      </c>
      <c r="Z42" s="148">
        <v>0</v>
      </c>
      <c r="AA42" s="150">
        <v>0.99483343047646866</v>
      </c>
    </row>
    <row r="43" spans="1:27" ht="24.95" customHeight="1">
      <c r="A43" s="32" t="e">
        <v>#REF!</v>
      </c>
      <c r="B43" s="145" t="s">
        <v>23</v>
      </c>
      <c r="C43" s="145" t="s">
        <v>25</v>
      </c>
      <c r="D43" s="145" t="s">
        <v>25</v>
      </c>
      <c r="E43" s="145" t="s">
        <v>65</v>
      </c>
      <c r="F43" s="145" t="s">
        <v>78</v>
      </c>
      <c r="G43" s="145"/>
      <c r="H43" s="145"/>
      <c r="I43" s="145" t="s">
        <v>28</v>
      </c>
      <c r="J43" s="146" t="s">
        <v>29</v>
      </c>
      <c r="K43" s="147" t="s">
        <v>79</v>
      </c>
      <c r="L43" s="148">
        <v>560000000</v>
      </c>
      <c r="M43" s="148"/>
      <c r="N43" s="148"/>
      <c r="O43" s="148"/>
      <c r="P43" s="148"/>
      <c r="Q43" s="148"/>
      <c r="R43" s="148">
        <v>560000000</v>
      </c>
      <c r="S43" s="148">
        <v>277625871</v>
      </c>
      <c r="T43" s="148">
        <v>282374129</v>
      </c>
      <c r="U43" s="150">
        <v>0.49576048392857142</v>
      </c>
      <c r="V43" s="148">
        <v>277625871</v>
      </c>
      <c r="W43" s="148">
        <v>0</v>
      </c>
      <c r="X43" s="150">
        <v>0</v>
      </c>
      <c r="Y43" s="148">
        <v>277625871</v>
      </c>
      <c r="Z43" s="148">
        <v>0</v>
      </c>
      <c r="AA43" s="150">
        <v>1</v>
      </c>
    </row>
    <row r="44" spans="1:27" ht="24" customHeight="1">
      <c r="A44" s="32" t="e">
        <v>#REF!</v>
      </c>
      <c r="B44" s="123" t="s">
        <v>23</v>
      </c>
      <c r="C44" s="123" t="s">
        <v>54</v>
      </c>
      <c r="D44" s="123"/>
      <c r="E44" s="123"/>
      <c r="F44" s="123"/>
      <c r="G44" s="123"/>
      <c r="H44" s="123"/>
      <c r="I44" s="124"/>
      <c r="J44" s="124"/>
      <c r="K44" s="124" t="s">
        <v>80</v>
      </c>
      <c r="L44" s="125">
        <v>42289000000</v>
      </c>
      <c r="M44" s="719">
        <v>0</v>
      </c>
      <c r="N44" s="719">
        <v>0</v>
      </c>
      <c r="O44" s="725">
        <v>2237428724.1300001</v>
      </c>
      <c r="P44" s="725">
        <v>2237428724.1300001</v>
      </c>
      <c r="Q44" s="719">
        <v>0</v>
      </c>
      <c r="R44" s="125">
        <v>42289000000</v>
      </c>
      <c r="S44" s="125">
        <v>39115563227.25</v>
      </c>
      <c r="T44" s="125">
        <v>3173436772.75</v>
      </c>
      <c r="U44" s="126">
        <v>0.92495833969235497</v>
      </c>
      <c r="V44" s="125">
        <v>26802855544.970001</v>
      </c>
      <c r="W44" s="125">
        <v>12312707682.280001</v>
      </c>
      <c r="X44" s="126">
        <v>0.31477771675552169</v>
      </c>
      <c r="Y44" s="125">
        <v>26401650560.970001</v>
      </c>
      <c r="Z44" s="125">
        <v>401204984</v>
      </c>
      <c r="AA44" s="720">
        <v>0.67496536883756786</v>
      </c>
    </row>
    <row r="45" spans="1:27" ht="24" customHeight="1">
      <c r="A45" s="32" t="e">
        <v>#REF!</v>
      </c>
      <c r="B45" s="128" t="s">
        <v>23</v>
      </c>
      <c r="C45" s="128" t="s">
        <v>54</v>
      </c>
      <c r="D45" s="128" t="s">
        <v>54</v>
      </c>
      <c r="E45" s="128"/>
      <c r="F45" s="128"/>
      <c r="G45" s="128"/>
      <c r="H45" s="128"/>
      <c r="I45" s="129"/>
      <c r="J45" s="129"/>
      <c r="K45" s="129" t="s">
        <v>86</v>
      </c>
      <c r="L45" s="130">
        <v>42289000000</v>
      </c>
      <c r="M45" s="721">
        <v>0</v>
      </c>
      <c r="N45" s="721">
        <v>0</v>
      </c>
      <c r="O45" s="726">
        <v>2237428724.1300001</v>
      </c>
      <c r="P45" s="726">
        <v>2237428724.1300001</v>
      </c>
      <c r="Q45" s="721">
        <v>0</v>
      </c>
      <c r="R45" s="130">
        <v>42289000000</v>
      </c>
      <c r="S45" s="130">
        <v>39115563227.25</v>
      </c>
      <c r="T45" s="130">
        <v>3173436772.75</v>
      </c>
      <c r="U45" s="131">
        <v>0.92495833969235497</v>
      </c>
      <c r="V45" s="130">
        <v>26802855544.970001</v>
      </c>
      <c r="W45" s="130">
        <v>12312707682.280001</v>
      </c>
      <c r="X45" s="131">
        <v>0.31477771675552169</v>
      </c>
      <c r="Y45" s="130">
        <v>26401650560.970001</v>
      </c>
      <c r="Z45" s="130">
        <v>401204984</v>
      </c>
      <c r="AA45" s="722">
        <v>0.67496536883756786</v>
      </c>
    </row>
    <row r="46" spans="1:27" ht="24.95" customHeight="1">
      <c r="A46" s="32" t="e">
        <v>#REF!</v>
      </c>
      <c r="B46" s="133" t="s">
        <v>23</v>
      </c>
      <c r="C46" s="133" t="s">
        <v>54</v>
      </c>
      <c r="D46" s="133" t="s">
        <v>54</v>
      </c>
      <c r="E46" s="133" t="s">
        <v>25</v>
      </c>
      <c r="F46" s="133"/>
      <c r="G46" s="134"/>
      <c r="H46" s="134"/>
      <c r="I46" s="133" t="s">
        <v>28</v>
      </c>
      <c r="J46" s="134" t="s">
        <v>29</v>
      </c>
      <c r="K46" s="134" t="s">
        <v>87</v>
      </c>
      <c r="L46" s="135">
        <v>655883077</v>
      </c>
      <c r="M46" s="136">
        <v>0</v>
      </c>
      <c r="N46" s="136">
        <v>0</v>
      </c>
      <c r="O46" s="727">
        <v>71293908</v>
      </c>
      <c r="P46" s="727">
        <v>90623150</v>
      </c>
      <c r="Q46" s="136">
        <v>0</v>
      </c>
      <c r="R46" s="135">
        <v>636553835</v>
      </c>
      <c r="S46" s="135">
        <v>291188678.30000001</v>
      </c>
      <c r="T46" s="135">
        <v>345365156.69999999</v>
      </c>
      <c r="U46" s="137">
        <v>0.45744548581660816</v>
      </c>
      <c r="V46" s="135">
        <v>85503632.210000008</v>
      </c>
      <c r="W46" s="135">
        <v>205685046.09</v>
      </c>
      <c r="X46" s="137">
        <v>0.70636347295787016</v>
      </c>
      <c r="Y46" s="135">
        <v>85503632.210000008</v>
      </c>
      <c r="Z46" s="135">
        <v>0</v>
      </c>
      <c r="AA46" s="723">
        <v>0.29363652704212989</v>
      </c>
    </row>
    <row r="47" spans="1:27" ht="24.95" customHeight="1">
      <c r="A47" s="32" t="e">
        <v>#REF!</v>
      </c>
      <c r="B47" s="139" t="s">
        <v>23</v>
      </c>
      <c r="C47" s="139" t="s">
        <v>54</v>
      </c>
      <c r="D47" s="139" t="s">
        <v>54</v>
      </c>
      <c r="E47" s="139" t="s">
        <v>25</v>
      </c>
      <c r="F47" s="139" t="s">
        <v>31</v>
      </c>
      <c r="G47" s="140"/>
      <c r="H47" s="140"/>
      <c r="I47" s="139" t="s">
        <v>28</v>
      </c>
      <c r="J47" s="140" t="s">
        <v>29</v>
      </c>
      <c r="K47" s="140" t="s">
        <v>88</v>
      </c>
      <c r="L47" s="141">
        <v>23000000</v>
      </c>
      <c r="M47" s="142">
        <v>0</v>
      </c>
      <c r="N47" s="142">
        <v>0</v>
      </c>
      <c r="O47" s="728">
        <v>6000000</v>
      </c>
      <c r="P47" s="728">
        <v>0</v>
      </c>
      <c r="Q47" s="142">
        <v>0</v>
      </c>
      <c r="R47" s="141">
        <v>29000000</v>
      </c>
      <c r="S47" s="141">
        <v>22000000</v>
      </c>
      <c r="T47" s="141">
        <v>7000000</v>
      </c>
      <c r="U47" s="143">
        <v>0.75862068965517238</v>
      </c>
      <c r="V47" s="141">
        <v>3207615</v>
      </c>
      <c r="W47" s="141">
        <v>18792385</v>
      </c>
      <c r="X47" s="143">
        <v>0.85419931818181816</v>
      </c>
      <c r="Y47" s="141">
        <v>3207615</v>
      </c>
      <c r="Z47" s="141">
        <v>0</v>
      </c>
      <c r="AA47" s="724">
        <v>0.14580068181818182</v>
      </c>
    </row>
    <row r="48" spans="1:27" ht="24.95" customHeight="1">
      <c r="A48" s="32" t="e">
        <v>#REF!</v>
      </c>
      <c r="B48" s="145" t="s">
        <v>23</v>
      </c>
      <c r="C48" s="145" t="s">
        <v>54</v>
      </c>
      <c r="D48" s="145" t="s">
        <v>54</v>
      </c>
      <c r="E48" s="145" t="s">
        <v>25</v>
      </c>
      <c r="F48" s="145" t="s">
        <v>31</v>
      </c>
      <c r="G48" s="145" t="s">
        <v>40</v>
      </c>
      <c r="H48" s="145"/>
      <c r="I48" s="145">
        <v>10</v>
      </c>
      <c r="J48" s="146" t="s">
        <v>29</v>
      </c>
      <c r="K48" s="147" t="s">
        <v>89</v>
      </c>
      <c r="L48" s="148">
        <v>11000000</v>
      </c>
      <c r="M48" s="148"/>
      <c r="N48" s="148"/>
      <c r="O48" s="148"/>
      <c r="P48" s="148"/>
      <c r="Q48" s="148"/>
      <c r="R48" s="148">
        <v>11000000</v>
      </c>
      <c r="S48" s="148">
        <v>11000000</v>
      </c>
      <c r="T48" s="148">
        <v>0</v>
      </c>
      <c r="U48" s="150">
        <v>1</v>
      </c>
      <c r="V48" s="148">
        <v>3207615</v>
      </c>
      <c r="W48" s="148">
        <v>7792385</v>
      </c>
      <c r="X48" s="150">
        <v>0.70839863636363631</v>
      </c>
      <c r="Y48" s="148">
        <v>3207615</v>
      </c>
      <c r="Z48" s="148">
        <v>0</v>
      </c>
      <c r="AA48" s="150">
        <v>0.29160136363636363</v>
      </c>
    </row>
    <row r="49" spans="1:27" ht="24.95" customHeight="1">
      <c r="A49" s="32" t="e">
        <v>#REF!</v>
      </c>
      <c r="B49" s="145" t="s">
        <v>23</v>
      </c>
      <c r="C49" s="145" t="s">
        <v>54</v>
      </c>
      <c r="D49" s="145" t="s">
        <v>54</v>
      </c>
      <c r="E49" s="145" t="s">
        <v>25</v>
      </c>
      <c r="F49" s="145" t="s">
        <v>31</v>
      </c>
      <c r="G49" s="145" t="s">
        <v>44</v>
      </c>
      <c r="H49" s="145"/>
      <c r="I49" s="145">
        <v>10</v>
      </c>
      <c r="J49" s="146" t="s">
        <v>29</v>
      </c>
      <c r="K49" s="147" t="s">
        <v>90</v>
      </c>
      <c r="L49" s="148">
        <v>12000000</v>
      </c>
      <c r="M49" s="148"/>
      <c r="N49" s="148"/>
      <c r="O49" s="149">
        <v>6000000</v>
      </c>
      <c r="P49" s="148"/>
      <c r="Q49" s="148"/>
      <c r="R49" s="148">
        <v>18000000</v>
      </c>
      <c r="S49" s="148">
        <v>11000000</v>
      </c>
      <c r="T49" s="148">
        <v>7000000</v>
      </c>
      <c r="U49" s="150">
        <v>0.61111111111111116</v>
      </c>
      <c r="V49" s="148">
        <v>0</v>
      </c>
      <c r="W49" s="148">
        <v>11000000</v>
      </c>
      <c r="X49" s="150">
        <v>1</v>
      </c>
      <c r="Y49" s="148">
        <v>0</v>
      </c>
      <c r="Z49" s="148">
        <v>0</v>
      </c>
      <c r="AA49" s="150">
        <v>0</v>
      </c>
    </row>
    <row r="50" spans="1:27" ht="24.95" customHeight="1">
      <c r="A50" s="32" t="e">
        <v>#REF!</v>
      </c>
      <c r="B50" s="139" t="s">
        <v>23</v>
      </c>
      <c r="C50" s="139" t="s">
        <v>54</v>
      </c>
      <c r="D50" s="139" t="s">
        <v>54</v>
      </c>
      <c r="E50" s="139" t="s">
        <v>25</v>
      </c>
      <c r="F50" s="139" t="s">
        <v>34</v>
      </c>
      <c r="G50" s="140"/>
      <c r="H50" s="140"/>
      <c r="I50" s="139" t="s">
        <v>28</v>
      </c>
      <c r="J50" s="140" t="s">
        <v>29</v>
      </c>
      <c r="K50" s="140" t="s">
        <v>91</v>
      </c>
      <c r="L50" s="141">
        <v>141060000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1">
        <v>141060000</v>
      </c>
      <c r="S50" s="141">
        <v>0</v>
      </c>
      <c r="T50" s="141">
        <v>141060000</v>
      </c>
      <c r="U50" s="143">
        <v>0</v>
      </c>
      <c r="V50" s="142">
        <v>0</v>
      </c>
      <c r="W50" s="142">
        <v>0</v>
      </c>
      <c r="X50" s="143">
        <v>0</v>
      </c>
      <c r="Y50" s="142">
        <v>0</v>
      </c>
      <c r="Z50" s="142">
        <v>0</v>
      </c>
      <c r="AA50" s="724">
        <v>0</v>
      </c>
    </row>
    <row r="51" spans="1:27" ht="24.95" customHeight="1">
      <c r="A51" s="32" t="e">
        <v>#REF!</v>
      </c>
      <c r="B51" s="145" t="s">
        <v>23</v>
      </c>
      <c r="C51" s="145" t="s">
        <v>54</v>
      </c>
      <c r="D51" s="145" t="s">
        <v>54</v>
      </c>
      <c r="E51" s="145" t="s">
        <v>25</v>
      </c>
      <c r="F51" s="145" t="s">
        <v>34</v>
      </c>
      <c r="G51" s="145" t="s">
        <v>46</v>
      </c>
      <c r="H51" s="145"/>
      <c r="I51" s="145">
        <v>10</v>
      </c>
      <c r="J51" s="146" t="s">
        <v>29</v>
      </c>
      <c r="K51" s="147" t="s">
        <v>92</v>
      </c>
      <c r="L51" s="148">
        <v>141060000</v>
      </c>
      <c r="M51" s="148"/>
      <c r="N51" s="148"/>
      <c r="O51" s="148"/>
      <c r="P51" s="148"/>
      <c r="Q51" s="148"/>
      <c r="R51" s="148">
        <v>141060000</v>
      </c>
      <c r="S51" s="148">
        <v>0</v>
      </c>
      <c r="T51" s="148">
        <v>141060000</v>
      </c>
      <c r="U51" s="150">
        <v>0</v>
      </c>
      <c r="V51" s="148">
        <v>0</v>
      </c>
      <c r="W51" s="148">
        <v>0</v>
      </c>
      <c r="X51" s="150">
        <v>0</v>
      </c>
      <c r="Y51" s="148">
        <v>0</v>
      </c>
      <c r="Z51" s="148">
        <v>0</v>
      </c>
      <c r="AA51" s="150">
        <v>0</v>
      </c>
    </row>
    <row r="52" spans="1:27" ht="24.95" customHeight="1">
      <c r="A52" s="32" t="e">
        <v>#REF!</v>
      </c>
      <c r="B52" s="139" t="s">
        <v>23</v>
      </c>
      <c r="C52" s="139" t="s">
        <v>54</v>
      </c>
      <c r="D52" s="139" t="s">
        <v>54</v>
      </c>
      <c r="E52" s="139" t="s">
        <v>25</v>
      </c>
      <c r="F52" s="139" t="s">
        <v>36</v>
      </c>
      <c r="G52" s="140"/>
      <c r="H52" s="140"/>
      <c r="I52" s="139" t="s">
        <v>28</v>
      </c>
      <c r="J52" s="140" t="s">
        <v>29</v>
      </c>
      <c r="K52" s="140" t="s">
        <v>93</v>
      </c>
      <c r="L52" s="141">
        <v>418823077</v>
      </c>
      <c r="M52" s="142">
        <v>0</v>
      </c>
      <c r="N52" s="142">
        <v>0</v>
      </c>
      <c r="O52" s="141">
        <v>0</v>
      </c>
      <c r="P52" s="141">
        <v>54623150</v>
      </c>
      <c r="Q52" s="142">
        <v>0</v>
      </c>
      <c r="R52" s="141">
        <v>364199927</v>
      </c>
      <c r="S52" s="141">
        <v>242722248.30000001</v>
      </c>
      <c r="T52" s="141">
        <v>121477678.7</v>
      </c>
      <c r="U52" s="143">
        <v>0.66645331397883567</v>
      </c>
      <c r="V52" s="141">
        <v>82296017.210000008</v>
      </c>
      <c r="W52" s="141">
        <v>160426231.09</v>
      </c>
      <c r="X52" s="143">
        <v>0.66094571970063609</v>
      </c>
      <c r="Y52" s="141">
        <v>82296017.210000008</v>
      </c>
      <c r="Z52" s="142">
        <v>0</v>
      </c>
      <c r="AA52" s="724">
        <v>0.33905428029936391</v>
      </c>
    </row>
    <row r="53" spans="1:27" ht="24.95" customHeight="1">
      <c r="A53" s="32" t="e">
        <v>#REF!</v>
      </c>
      <c r="B53" s="145" t="s">
        <v>23</v>
      </c>
      <c r="C53" s="145" t="s">
        <v>54</v>
      </c>
      <c r="D53" s="145" t="s">
        <v>54</v>
      </c>
      <c r="E53" s="145" t="s">
        <v>25</v>
      </c>
      <c r="F53" s="145" t="s">
        <v>36</v>
      </c>
      <c r="G53" s="145" t="s">
        <v>34</v>
      </c>
      <c r="H53" s="145"/>
      <c r="I53" s="145">
        <v>10</v>
      </c>
      <c r="J53" s="146" t="s">
        <v>29</v>
      </c>
      <c r="K53" s="147" t="s">
        <v>94</v>
      </c>
      <c r="L53" s="148">
        <v>195500000</v>
      </c>
      <c r="M53" s="148"/>
      <c r="N53" s="148"/>
      <c r="O53" s="148"/>
      <c r="P53" s="148"/>
      <c r="Q53" s="148"/>
      <c r="R53" s="148">
        <v>195500000</v>
      </c>
      <c r="S53" s="148">
        <v>123013211.3</v>
      </c>
      <c r="T53" s="148">
        <v>72486788.700000003</v>
      </c>
      <c r="U53" s="150">
        <v>0.62922358721227623</v>
      </c>
      <c r="V53" s="148">
        <v>1622783.01</v>
      </c>
      <c r="W53" s="148">
        <v>121390428.28999999</v>
      </c>
      <c r="X53" s="150">
        <v>0.98680805912754832</v>
      </c>
      <c r="Y53" s="148">
        <v>1622783.01</v>
      </c>
      <c r="Z53" s="148">
        <v>0</v>
      </c>
      <c r="AA53" s="150">
        <v>1.3191940872451641E-2</v>
      </c>
    </row>
    <row r="54" spans="1:27" ht="24.95" customHeight="1">
      <c r="A54" s="32" t="e">
        <v>#REF!</v>
      </c>
      <c r="B54" s="145" t="s">
        <v>23</v>
      </c>
      <c r="C54" s="145" t="s">
        <v>54</v>
      </c>
      <c r="D54" s="145" t="s">
        <v>54</v>
      </c>
      <c r="E54" s="145" t="s">
        <v>25</v>
      </c>
      <c r="F54" s="145" t="s">
        <v>36</v>
      </c>
      <c r="G54" s="145" t="s">
        <v>36</v>
      </c>
      <c r="H54" s="145"/>
      <c r="I54" s="145">
        <v>10</v>
      </c>
      <c r="J54" s="146" t="s">
        <v>29</v>
      </c>
      <c r="K54" s="147" t="s">
        <v>95</v>
      </c>
      <c r="L54" s="148">
        <v>84823077</v>
      </c>
      <c r="M54" s="148"/>
      <c r="N54" s="148"/>
      <c r="O54" s="148"/>
      <c r="P54" s="148">
        <v>20000000</v>
      </c>
      <c r="Q54" s="148"/>
      <c r="R54" s="148">
        <v>64823077</v>
      </c>
      <c r="S54" s="148">
        <v>41220582</v>
      </c>
      <c r="T54" s="148">
        <v>23602495</v>
      </c>
      <c r="U54" s="150">
        <v>0.63589363399087029</v>
      </c>
      <c r="V54" s="148">
        <v>29093691.98</v>
      </c>
      <c r="W54" s="148">
        <v>12126890.02</v>
      </c>
      <c r="X54" s="150">
        <v>0.29419502179760587</v>
      </c>
      <c r="Y54" s="148">
        <v>29093691.98</v>
      </c>
      <c r="Z54" s="148">
        <v>0</v>
      </c>
      <c r="AA54" s="150">
        <v>0.70580497820239418</v>
      </c>
    </row>
    <row r="55" spans="1:27" ht="24.95" customHeight="1">
      <c r="A55" s="32" t="e">
        <v>#REF!</v>
      </c>
      <c r="B55" s="145" t="s">
        <v>23</v>
      </c>
      <c r="C55" s="145" t="s">
        <v>54</v>
      </c>
      <c r="D55" s="145" t="s">
        <v>54</v>
      </c>
      <c r="E55" s="145" t="s">
        <v>25</v>
      </c>
      <c r="F55" s="145" t="s">
        <v>36</v>
      </c>
      <c r="G55" s="145" t="s">
        <v>40</v>
      </c>
      <c r="H55" s="145"/>
      <c r="I55" s="145">
        <v>10</v>
      </c>
      <c r="J55" s="146" t="s">
        <v>29</v>
      </c>
      <c r="K55" s="147" t="s">
        <v>96</v>
      </c>
      <c r="L55" s="148">
        <v>26000000</v>
      </c>
      <c r="M55" s="148"/>
      <c r="N55" s="148"/>
      <c r="O55" s="148"/>
      <c r="P55" s="148"/>
      <c r="Q55" s="148"/>
      <c r="R55" s="148">
        <v>26000000</v>
      </c>
      <c r="S55" s="148">
        <v>6000000</v>
      </c>
      <c r="T55" s="148">
        <v>20000000</v>
      </c>
      <c r="U55" s="150">
        <v>0.23076923076923078</v>
      </c>
      <c r="V55" s="148">
        <v>3102703.02</v>
      </c>
      <c r="W55" s="148">
        <v>2897296.98</v>
      </c>
      <c r="X55" s="150">
        <v>0.48288282999999999</v>
      </c>
      <c r="Y55" s="148">
        <v>3102703.02</v>
      </c>
      <c r="Z55" s="148">
        <v>0</v>
      </c>
      <c r="AA55" s="150">
        <v>0.51711717000000001</v>
      </c>
    </row>
    <row r="56" spans="1:27" ht="24.95" customHeight="1">
      <c r="A56" s="32" t="e">
        <v>#REF!</v>
      </c>
      <c r="B56" s="145" t="s">
        <v>23</v>
      </c>
      <c r="C56" s="145" t="s">
        <v>54</v>
      </c>
      <c r="D56" s="145" t="s">
        <v>54</v>
      </c>
      <c r="E56" s="145" t="s">
        <v>25</v>
      </c>
      <c r="F56" s="145" t="s">
        <v>36</v>
      </c>
      <c r="G56" s="145" t="s">
        <v>42</v>
      </c>
      <c r="H56" s="145"/>
      <c r="I56" s="145">
        <v>10</v>
      </c>
      <c r="J56" s="146" t="s">
        <v>29</v>
      </c>
      <c r="K56" s="147" t="s">
        <v>97</v>
      </c>
      <c r="L56" s="148">
        <v>20000000</v>
      </c>
      <c r="M56" s="148"/>
      <c r="N56" s="148"/>
      <c r="O56" s="148"/>
      <c r="P56" s="148"/>
      <c r="Q56" s="148"/>
      <c r="R56" s="148">
        <v>20000000</v>
      </c>
      <c r="S56" s="148">
        <v>20000000</v>
      </c>
      <c r="T56" s="148">
        <v>0</v>
      </c>
      <c r="U56" s="150">
        <v>1</v>
      </c>
      <c r="V56" s="148">
        <v>9271124.1099999994</v>
      </c>
      <c r="W56" s="148">
        <v>10728875.890000001</v>
      </c>
      <c r="X56" s="150">
        <v>0.53644379450000002</v>
      </c>
      <c r="Y56" s="148">
        <v>9271124.1099999994</v>
      </c>
      <c r="Z56" s="148">
        <v>0</v>
      </c>
      <c r="AA56" s="150">
        <v>0.46355620549999998</v>
      </c>
    </row>
    <row r="57" spans="1:27" ht="24.95" hidden="1" customHeight="1">
      <c r="A57" s="32" t="e">
        <v>#REF!</v>
      </c>
      <c r="B57" s="145" t="s">
        <v>23</v>
      </c>
      <c r="C57" s="145" t="s">
        <v>54</v>
      </c>
      <c r="D57" s="145" t="s">
        <v>54</v>
      </c>
      <c r="E57" s="145" t="s">
        <v>25</v>
      </c>
      <c r="F57" s="145" t="s">
        <v>36</v>
      </c>
      <c r="G57" s="145" t="s">
        <v>44</v>
      </c>
      <c r="H57" s="145"/>
      <c r="I57" s="145">
        <v>10</v>
      </c>
      <c r="J57" s="146" t="s">
        <v>29</v>
      </c>
      <c r="K57" s="147" t="s">
        <v>98</v>
      </c>
      <c r="L57" s="148"/>
      <c r="M57" s="148"/>
      <c r="N57" s="148"/>
      <c r="O57" s="148"/>
      <c r="P57" s="148"/>
      <c r="Q57" s="148"/>
      <c r="R57" s="148">
        <v>0</v>
      </c>
      <c r="S57" s="148">
        <v>0</v>
      </c>
      <c r="T57" s="148">
        <v>0</v>
      </c>
      <c r="U57" s="150">
        <v>0</v>
      </c>
      <c r="V57" s="148">
        <v>0</v>
      </c>
      <c r="W57" s="148">
        <v>0</v>
      </c>
      <c r="X57" s="150">
        <v>0</v>
      </c>
      <c r="Y57" s="148">
        <v>0</v>
      </c>
      <c r="Z57" s="148">
        <v>0</v>
      </c>
      <c r="AA57" s="150">
        <v>0</v>
      </c>
    </row>
    <row r="58" spans="1:27" ht="24.95" customHeight="1">
      <c r="A58" s="32" t="e">
        <v>#REF!</v>
      </c>
      <c r="B58" s="145" t="s">
        <v>23</v>
      </c>
      <c r="C58" s="145" t="s">
        <v>54</v>
      </c>
      <c r="D58" s="145" t="s">
        <v>54</v>
      </c>
      <c r="E58" s="145" t="s">
        <v>25</v>
      </c>
      <c r="F58" s="145" t="s">
        <v>36</v>
      </c>
      <c r="G58" s="145" t="s">
        <v>46</v>
      </c>
      <c r="H58" s="145"/>
      <c r="I58" s="145">
        <v>10</v>
      </c>
      <c r="J58" s="146" t="s">
        <v>29</v>
      </c>
      <c r="K58" s="147" t="s">
        <v>99</v>
      </c>
      <c r="L58" s="148">
        <v>92500000</v>
      </c>
      <c r="M58" s="148"/>
      <c r="N58" s="148"/>
      <c r="O58" s="148"/>
      <c r="P58" s="148">
        <v>34623150</v>
      </c>
      <c r="Q58" s="148"/>
      <c r="R58" s="148">
        <v>57876850</v>
      </c>
      <c r="S58" s="148">
        <v>52488455</v>
      </c>
      <c r="T58" s="148">
        <v>5388395</v>
      </c>
      <c r="U58" s="150">
        <v>0.90689895873738813</v>
      </c>
      <c r="V58" s="148">
        <v>39205715.090000004</v>
      </c>
      <c r="W58" s="148">
        <v>13282739.909999996</v>
      </c>
      <c r="X58" s="150">
        <v>0.25306021886146196</v>
      </c>
      <c r="Y58" s="148">
        <v>39205715.090000004</v>
      </c>
      <c r="Z58" s="148">
        <v>0</v>
      </c>
      <c r="AA58" s="150">
        <v>0.74693978113853809</v>
      </c>
    </row>
    <row r="59" spans="1:27" ht="24.95" customHeight="1">
      <c r="A59" s="32" t="e">
        <v>#REF!</v>
      </c>
      <c r="B59" s="139" t="s">
        <v>23</v>
      </c>
      <c r="C59" s="139" t="s">
        <v>54</v>
      </c>
      <c r="D59" s="139" t="s">
        <v>54</v>
      </c>
      <c r="E59" s="139" t="s">
        <v>25</v>
      </c>
      <c r="F59" s="139" t="s">
        <v>38</v>
      </c>
      <c r="G59" s="140"/>
      <c r="H59" s="140"/>
      <c r="I59" s="139" t="s">
        <v>28</v>
      </c>
      <c r="J59" s="140" t="s">
        <v>29</v>
      </c>
      <c r="K59" s="140" t="s">
        <v>100</v>
      </c>
      <c r="L59" s="141">
        <v>73000000</v>
      </c>
      <c r="M59" s="142">
        <v>0</v>
      </c>
      <c r="N59" s="142">
        <v>0</v>
      </c>
      <c r="O59" s="141">
        <v>65293908</v>
      </c>
      <c r="P59" s="141">
        <v>36000000</v>
      </c>
      <c r="Q59" s="142">
        <v>0</v>
      </c>
      <c r="R59" s="141">
        <v>102293908</v>
      </c>
      <c r="S59" s="141">
        <v>26466430</v>
      </c>
      <c r="T59" s="141">
        <v>75827478</v>
      </c>
      <c r="U59" s="143">
        <v>0.25872928816054225</v>
      </c>
      <c r="V59" s="142">
        <v>0</v>
      </c>
      <c r="W59" s="141">
        <v>26466430</v>
      </c>
      <c r="X59" s="143">
        <v>1</v>
      </c>
      <c r="Y59" s="142">
        <v>0</v>
      </c>
      <c r="Z59" s="142">
        <v>0</v>
      </c>
      <c r="AA59" s="724">
        <v>0</v>
      </c>
    </row>
    <row r="60" spans="1:27" ht="24.95" customHeight="1">
      <c r="A60" s="32" t="e">
        <v>#REF!</v>
      </c>
      <c r="B60" s="145" t="s">
        <v>23</v>
      </c>
      <c r="C60" s="145" t="s">
        <v>54</v>
      </c>
      <c r="D60" s="145" t="s">
        <v>54</v>
      </c>
      <c r="E60" s="145" t="s">
        <v>25</v>
      </c>
      <c r="F60" s="145" t="s">
        <v>38</v>
      </c>
      <c r="G60" s="145" t="s">
        <v>34</v>
      </c>
      <c r="H60" s="145"/>
      <c r="I60" s="145">
        <v>10</v>
      </c>
      <c r="J60" s="146" t="s">
        <v>29</v>
      </c>
      <c r="K60" s="147" t="s">
        <v>101</v>
      </c>
      <c r="L60" s="148"/>
      <c r="M60" s="148"/>
      <c r="N60" s="148"/>
      <c r="O60" s="149">
        <v>23000000</v>
      </c>
      <c r="P60" s="148"/>
      <c r="Q60" s="148"/>
      <c r="R60" s="148">
        <v>23000000</v>
      </c>
      <c r="S60" s="148">
        <v>3000000</v>
      </c>
      <c r="T60" s="148">
        <v>20000000</v>
      </c>
      <c r="U60" s="150">
        <v>0.13043478260869565</v>
      </c>
      <c r="V60" s="148">
        <v>0</v>
      </c>
      <c r="W60" s="148">
        <v>3000000</v>
      </c>
      <c r="X60" s="150">
        <v>1</v>
      </c>
      <c r="Y60" s="148">
        <v>0</v>
      </c>
      <c r="Z60" s="148">
        <v>0</v>
      </c>
      <c r="AA60" s="150">
        <v>0</v>
      </c>
    </row>
    <row r="61" spans="1:27" ht="24.95" customHeight="1">
      <c r="A61" s="32" t="e">
        <v>#REF!</v>
      </c>
      <c r="B61" s="145" t="s">
        <v>23</v>
      </c>
      <c r="C61" s="145" t="s">
        <v>54</v>
      </c>
      <c r="D61" s="145" t="s">
        <v>54</v>
      </c>
      <c r="E61" s="145" t="s">
        <v>25</v>
      </c>
      <c r="F61" s="145" t="s">
        <v>38</v>
      </c>
      <c r="G61" s="145" t="s">
        <v>40</v>
      </c>
      <c r="H61" s="145"/>
      <c r="I61" s="145">
        <v>10</v>
      </c>
      <c r="J61" s="146" t="s">
        <v>29</v>
      </c>
      <c r="K61" s="147" t="s">
        <v>102</v>
      </c>
      <c r="L61" s="148">
        <v>10000000</v>
      </c>
      <c r="M61" s="148"/>
      <c r="N61" s="148"/>
      <c r="O61" s="148"/>
      <c r="P61" s="148">
        <v>9000000</v>
      </c>
      <c r="Q61" s="148"/>
      <c r="R61" s="148">
        <v>1000000</v>
      </c>
      <c r="S61" s="148">
        <v>0</v>
      </c>
      <c r="T61" s="148">
        <v>1000000</v>
      </c>
      <c r="U61" s="150">
        <v>0</v>
      </c>
      <c r="V61" s="148">
        <v>0</v>
      </c>
      <c r="W61" s="148">
        <v>0</v>
      </c>
      <c r="X61" s="150">
        <v>0</v>
      </c>
      <c r="Y61" s="148">
        <v>0</v>
      </c>
      <c r="Z61" s="148">
        <v>0</v>
      </c>
      <c r="AA61" s="150">
        <v>0</v>
      </c>
    </row>
    <row r="62" spans="1:27" ht="24.95" customHeight="1">
      <c r="A62" s="32" t="e">
        <v>#REF!</v>
      </c>
      <c r="B62" s="145" t="s">
        <v>23</v>
      </c>
      <c r="C62" s="145" t="s">
        <v>54</v>
      </c>
      <c r="D62" s="145" t="s">
        <v>54</v>
      </c>
      <c r="E62" s="145" t="s">
        <v>25</v>
      </c>
      <c r="F62" s="145" t="s">
        <v>38</v>
      </c>
      <c r="G62" s="145" t="s">
        <v>42</v>
      </c>
      <c r="H62" s="145"/>
      <c r="I62" s="145">
        <v>10</v>
      </c>
      <c r="J62" s="146" t="s">
        <v>29</v>
      </c>
      <c r="K62" s="147" t="s">
        <v>84</v>
      </c>
      <c r="L62" s="148">
        <v>28000000</v>
      </c>
      <c r="M62" s="148"/>
      <c r="N62" s="148"/>
      <c r="O62" s="148"/>
      <c r="P62" s="148">
        <v>20000000</v>
      </c>
      <c r="Q62" s="148"/>
      <c r="R62" s="148">
        <v>8000000</v>
      </c>
      <c r="S62" s="148">
        <v>8000000</v>
      </c>
      <c r="T62" s="148">
        <v>0</v>
      </c>
      <c r="U62" s="150">
        <v>1</v>
      </c>
      <c r="V62" s="148">
        <v>0</v>
      </c>
      <c r="W62" s="148">
        <v>8000000</v>
      </c>
      <c r="X62" s="150">
        <v>1</v>
      </c>
      <c r="Y62" s="148">
        <v>0</v>
      </c>
      <c r="Z62" s="148">
        <v>0</v>
      </c>
      <c r="AA62" s="150">
        <v>0</v>
      </c>
    </row>
    <row r="63" spans="1:27" ht="24.95" customHeight="1">
      <c r="A63" s="32" t="e">
        <v>#REF!</v>
      </c>
      <c r="B63" s="145" t="s">
        <v>23</v>
      </c>
      <c r="C63" s="145" t="s">
        <v>54</v>
      </c>
      <c r="D63" s="145" t="s">
        <v>54</v>
      </c>
      <c r="E63" s="145" t="s">
        <v>25</v>
      </c>
      <c r="F63" s="145" t="s">
        <v>38</v>
      </c>
      <c r="G63" s="145" t="s">
        <v>44</v>
      </c>
      <c r="H63" s="145"/>
      <c r="I63" s="145">
        <v>10</v>
      </c>
      <c r="J63" s="146" t="s">
        <v>29</v>
      </c>
      <c r="K63" s="147" t="s">
        <v>85</v>
      </c>
      <c r="L63" s="148">
        <v>35000000</v>
      </c>
      <c r="M63" s="148"/>
      <c r="N63" s="148"/>
      <c r="O63" s="149">
        <v>42293908</v>
      </c>
      <c r="P63" s="148">
        <v>7000000</v>
      </c>
      <c r="Q63" s="148"/>
      <c r="R63" s="148">
        <v>70293908</v>
      </c>
      <c r="S63" s="148">
        <v>15466430</v>
      </c>
      <c r="T63" s="148">
        <v>54827478</v>
      </c>
      <c r="U63" s="150">
        <v>0.22002518340565161</v>
      </c>
      <c r="V63" s="148">
        <v>0</v>
      </c>
      <c r="W63" s="148">
        <v>15466430</v>
      </c>
      <c r="X63" s="150">
        <v>1</v>
      </c>
      <c r="Y63" s="148">
        <v>0</v>
      </c>
      <c r="Z63" s="148">
        <v>0</v>
      </c>
      <c r="AA63" s="150">
        <v>0</v>
      </c>
    </row>
    <row r="64" spans="1:27" ht="24.95" hidden="1" customHeight="1">
      <c r="A64" s="32" t="e">
        <v>#REF!</v>
      </c>
      <c r="B64" s="145" t="s">
        <v>23</v>
      </c>
      <c r="C64" s="145" t="s">
        <v>54</v>
      </c>
      <c r="D64" s="145" t="s">
        <v>54</v>
      </c>
      <c r="E64" s="145" t="s">
        <v>25</v>
      </c>
      <c r="F64" s="145" t="s">
        <v>38</v>
      </c>
      <c r="G64" s="145" t="s">
        <v>46</v>
      </c>
      <c r="H64" s="145"/>
      <c r="I64" s="145">
        <v>10</v>
      </c>
      <c r="J64" s="146" t="s">
        <v>29</v>
      </c>
      <c r="K64" s="147" t="s">
        <v>258</v>
      </c>
      <c r="L64" s="148"/>
      <c r="M64" s="148"/>
      <c r="N64" s="148"/>
      <c r="O64" s="148"/>
      <c r="P64" s="148"/>
      <c r="Q64" s="148"/>
      <c r="R64" s="148">
        <v>0</v>
      </c>
      <c r="S64" s="148">
        <v>0</v>
      </c>
      <c r="T64" s="148">
        <v>0</v>
      </c>
      <c r="U64" s="150">
        <v>0</v>
      </c>
      <c r="V64" s="148">
        <v>0</v>
      </c>
      <c r="W64" s="148">
        <v>0</v>
      </c>
      <c r="X64" s="150">
        <v>0</v>
      </c>
      <c r="Y64" s="148">
        <v>0</v>
      </c>
      <c r="Z64" s="148">
        <v>0</v>
      </c>
      <c r="AA64" s="150">
        <v>0</v>
      </c>
    </row>
    <row r="65" spans="1:27" ht="24.95" customHeight="1">
      <c r="A65" s="32" t="e">
        <v>#REF!</v>
      </c>
      <c r="B65" s="133" t="s">
        <v>23</v>
      </c>
      <c r="C65" s="133" t="s">
        <v>54</v>
      </c>
      <c r="D65" s="133" t="s">
        <v>54</v>
      </c>
      <c r="E65" s="133" t="s">
        <v>54</v>
      </c>
      <c r="F65" s="133"/>
      <c r="G65" s="134"/>
      <c r="H65" s="134"/>
      <c r="I65" s="133" t="s">
        <v>28</v>
      </c>
      <c r="J65" s="134" t="s">
        <v>29</v>
      </c>
      <c r="K65" s="134" t="s">
        <v>103</v>
      </c>
      <c r="L65" s="135">
        <v>41633116923</v>
      </c>
      <c r="M65" s="136">
        <v>0</v>
      </c>
      <c r="N65" s="136">
        <v>0</v>
      </c>
      <c r="O65" s="727">
        <v>2166134816.1300001</v>
      </c>
      <c r="P65" s="727">
        <v>2146805574.1300001</v>
      </c>
      <c r="Q65" s="136">
        <v>0</v>
      </c>
      <c r="R65" s="135">
        <v>41652446165</v>
      </c>
      <c r="S65" s="135">
        <v>38824374548.949997</v>
      </c>
      <c r="T65" s="135">
        <v>2828071616.0500002</v>
      </c>
      <c r="U65" s="137">
        <v>0.93210310854620604</v>
      </c>
      <c r="V65" s="135">
        <v>26717351912.760002</v>
      </c>
      <c r="W65" s="135">
        <v>12107022636.190001</v>
      </c>
      <c r="X65" s="137">
        <v>0.31184076438695479</v>
      </c>
      <c r="Y65" s="135">
        <v>26316146928.760002</v>
      </c>
      <c r="Z65" s="135">
        <v>401204984</v>
      </c>
      <c r="AA65" s="723">
        <v>0.6778253927975183</v>
      </c>
    </row>
    <row r="66" spans="1:27" ht="31.5" customHeight="1">
      <c r="A66" s="32" t="e">
        <v>#REF!</v>
      </c>
      <c r="B66" s="139" t="s">
        <v>23</v>
      </c>
      <c r="C66" s="139" t="s">
        <v>54</v>
      </c>
      <c r="D66" s="139" t="s">
        <v>54</v>
      </c>
      <c r="E66" s="139" t="s">
        <v>54</v>
      </c>
      <c r="F66" s="139" t="s">
        <v>42</v>
      </c>
      <c r="G66" s="140"/>
      <c r="H66" s="140"/>
      <c r="I66" s="139" t="s">
        <v>28</v>
      </c>
      <c r="J66" s="140" t="s">
        <v>29</v>
      </c>
      <c r="K66" s="140" t="s">
        <v>104</v>
      </c>
      <c r="L66" s="141">
        <v>4648096573</v>
      </c>
      <c r="M66" s="142">
        <v>0</v>
      </c>
      <c r="N66" s="142">
        <v>0</v>
      </c>
      <c r="O66" s="141">
        <v>202205305</v>
      </c>
      <c r="P66" s="141">
        <v>499757553</v>
      </c>
      <c r="Q66" s="142">
        <v>0</v>
      </c>
      <c r="R66" s="141">
        <v>4350544325</v>
      </c>
      <c r="S66" s="141">
        <v>3716468057</v>
      </c>
      <c r="T66" s="141">
        <v>634076268</v>
      </c>
      <c r="U66" s="143">
        <v>0.85425357825770454</v>
      </c>
      <c r="V66" s="141">
        <v>2971841994.2200003</v>
      </c>
      <c r="W66" s="141">
        <v>744626062.77999997</v>
      </c>
      <c r="X66" s="143">
        <v>0.2003585262565328</v>
      </c>
      <c r="Y66" s="141">
        <v>2969995979.2200003</v>
      </c>
      <c r="Z66" s="141">
        <v>1846015</v>
      </c>
      <c r="AA66" s="724">
        <v>0.79914476155014624</v>
      </c>
    </row>
    <row r="67" spans="1:27" ht="24.95" customHeight="1">
      <c r="A67" s="32" t="e">
        <v>#REF!</v>
      </c>
      <c r="B67" s="145" t="s">
        <v>23</v>
      </c>
      <c r="C67" s="145" t="s">
        <v>54</v>
      </c>
      <c r="D67" s="145" t="s">
        <v>54</v>
      </c>
      <c r="E67" s="145" t="s">
        <v>54</v>
      </c>
      <c r="F67" s="145" t="s">
        <v>42</v>
      </c>
      <c r="G67" s="145" t="s">
        <v>36</v>
      </c>
      <c r="H67" s="145"/>
      <c r="I67" s="145">
        <v>10</v>
      </c>
      <c r="J67" s="146" t="s">
        <v>29</v>
      </c>
      <c r="K67" s="147" t="s">
        <v>105</v>
      </c>
      <c r="L67" s="148">
        <v>12000000</v>
      </c>
      <c r="M67" s="148"/>
      <c r="N67" s="148"/>
      <c r="O67" s="148">
        <v>104342700</v>
      </c>
      <c r="P67" s="148"/>
      <c r="Q67" s="148"/>
      <c r="R67" s="148">
        <v>116342700</v>
      </c>
      <c r="S67" s="148">
        <v>2103500</v>
      </c>
      <c r="T67" s="148">
        <v>114239200</v>
      </c>
      <c r="U67" s="150">
        <v>1.808020614959082E-2</v>
      </c>
      <c r="V67" s="148">
        <v>2103500</v>
      </c>
      <c r="W67" s="148">
        <v>0</v>
      </c>
      <c r="X67" s="150">
        <v>0</v>
      </c>
      <c r="Y67" s="148">
        <v>2103500</v>
      </c>
      <c r="Z67" s="148">
        <v>0</v>
      </c>
      <c r="AA67" s="150">
        <v>1</v>
      </c>
    </row>
    <row r="68" spans="1:27" ht="24.95" customHeight="1">
      <c r="A68" s="32" t="e">
        <v>#REF!</v>
      </c>
      <c r="B68" s="145" t="s">
        <v>23</v>
      </c>
      <c r="C68" s="145" t="s">
        <v>54</v>
      </c>
      <c r="D68" s="145" t="s">
        <v>54</v>
      </c>
      <c r="E68" s="145" t="s">
        <v>54</v>
      </c>
      <c r="F68" s="145" t="s">
        <v>42</v>
      </c>
      <c r="G68" s="145" t="s">
        <v>38</v>
      </c>
      <c r="H68" s="145"/>
      <c r="I68" s="145">
        <v>10</v>
      </c>
      <c r="J68" s="146" t="s">
        <v>29</v>
      </c>
      <c r="K68" s="147" t="s">
        <v>106</v>
      </c>
      <c r="L68" s="148">
        <v>1885720708</v>
      </c>
      <c r="M68" s="148"/>
      <c r="N68" s="148"/>
      <c r="O68" s="148">
        <v>97862605</v>
      </c>
      <c r="P68" s="148">
        <v>234800000</v>
      </c>
      <c r="Q68" s="148"/>
      <c r="R68" s="148">
        <v>1748783313</v>
      </c>
      <c r="S68" s="148">
        <v>1617497339</v>
      </c>
      <c r="T68" s="148">
        <v>131285974</v>
      </c>
      <c r="U68" s="150">
        <v>0.92492724911997148</v>
      </c>
      <c r="V68" s="148">
        <v>960718519</v>
      </c>
      <c r="W68" s="148">
        <v>656778820</v>
      </c>
      <c r="X68" s="150">
        <v>0.40604630633027583</v>
      </c>
      <c r="Y68" s="148">
        <v>960718519</v>
      </c>
      <c r="Z68" s="148">
        <v>0</v>
      </c>
      <c r="AA68" s="150">
        <v>0.59395369366972417</v>
      </c>
    </row>
    <row r="69" spans="1:27" ht="24.95" customHeight="1">
      <c r="A69" s="32" t="e">
        <v>#REF!</v>
      </c>
      <c r="B69" s="145" t="s">
        <v>23</v>
      </c>
      <c r="C69" s="145" t="s">
        <v>54</v>
      </c>
      <c r="D69" s="145" t="s">
        <v>54</v>
      </c>
      <c r="E69" s="145" t="s">
        <v>54</v>
      </c>
      <c r="F69" s="145" t="s">
        <v>42</v>
      </c>
      <c r="G69" s="145" t="s">
        <v>40</v>
      </c>
      <c r="H69" s="145"/>
      <c r="I69" s="145">
        <v>10</v>
      </c>
      <c r="J69" s="146" t="s">
        <v>29</v>
      </c>
      <c r="K69" s="147" t="s">
        <v>107</v>
      </c>
      <c r="L69" s="148">
        <v>62000000</v>
      </c>
      <c r="M69" s="148"/>
      <c r="N69" s="148"/>
      <c r="O69" s="148"/>
      <c r="P69" s="148"/>
      <c r="Q69" s="148"/>
      <c r="R69" s="148">
        <v>62000000</v>
      </c>
      <c r="S69" s="148">
        <v>53170000</v>
      </c>
      <c r="T69" s="148">
        <v>8830000</v>
      </c>
      <c r="U69" s="150">
        <v>0.85758064516129029</v>
      </c>
      <c r="V69" s="148">
        <v>30528895</v>
      </c>
      <c r="W69" s="148">
        <v>22641105</v>
      </c>
      <c r="X69" s="150">
        <v>0.42582480722211774</v>
      </c>
      <c r="Y69" s="148">
        <v>30528895</v>
      </c>
      <c r="Z69" s="148">
        <v>0</v>
      </c>
      <c r="AA69" s="150">
        <v>0.57417519277788232</v>
      </c>
    </row>
    <row r="70" spans="1:27" ht="24.95" hidden="1" customHeight="1">
      <c r="A70" s="32" t="e">
        <v>#REF!</v>
      </c>
      <c r="B70" s="145" t="s">
        <v>23</v>
      </c>
      <c r="C70" s="145" t="s">
        <v>54</v>
      </c>
      <c r="D70" s="145" t="s">
        <v>54</v>
      </c>
      <c r="E70" s="145" t="s">
        <v>54</v>
      </c>
      <c r="F70" s="145" t="s">
        <v>42</v>
      </c>
      <c r="G70" s="145" t="s">
        <v>42</v>
      </c>
      <c r="H70" s="145"/>
      <c r="I70" s="145">
        <v>10</v>
      </c>
      <c r="J70" s="146" t="s">
        <v>29</v>
      </c>
      <c r="K70" s="147" t="s">
        <v>259</v>
      </c>
      <c r="L70" s="148"/>
      <c r="M70" s="148"/>
      <c r="N70" s="148"/>
      <c r="O70" s="148"/>
      <c r="P70" s="148"/>
      <c r="Q70" s="148"/>
      <c r="R70" s="148">
        <v>0</v>
      </c>
      <c r="S70" s="148">
        <v>0</v>
      </c>
      <c r="T70" s="148">
        <v>0</v>
      </c>
      <c r="U70" s="150">
        <v>0</v>
      </c>
      <c r="V70" s="148">
        <v>0</v>
      </c>
      <c r="W70" s="148">
        <v>0</v>
      </c>
      <c r="X70" s="150">
        <v>0</v>
      </c>
      <c r="Y70" s="148">
        <v>0</v>
      </c>
      <c r="Z70" s="148">
        <v>0</v>
      </c>
      <c r="AA70" s="150">
        <v>0</v>
      </c>
    </row>
    <row r="71" spans="1:27" ht="24.95" customHeight="1">
      <c r="A71" s="32" t="e">
        <v>#REF!</v>
      </c>
      <c r="B71" s="145" t="s">
        <v>23</v>
      </c>
      <c r="C71" s="145" t="s">
        <v>54</v>
      </c>
      <c r="D71" s="145" t="s">
        <v>54</v>
      </c>
      <c r="E71" s="145" t="s">
        <v>54</v>
      </c>
      <c r="F71" s="145" t="s">
        <v>42</v>
      </c>
      <c r="G71" s="145" t="s">
        <v>46</v>
      </c>
      <c r="H71" s="145"/>
      <c r="I71" s="145">
        <v>10</v>
      </c>
      <c r="J71" s="146" t="s">
        <v>29</v>
      </c>
      <c r="K71" s="147" t="s">
        <v>108</v>
      </c>
      <c r="L71" s="148">
        <v>1588375865</v>
      </c>
      <c r="M71" s="148"/>
      <c r="N71" s="148"/>
      <c r="O71" s="148"/>
      <c r="P71" s="148">
        <v>119957553</v>
      </c>
      <c r="Q71" s="148"/>
      <c r="R71" s="148">
        <v>1468418312</v>
      </c>
      <c r="S71" s="148">
        <v>1462496612</v>
      </c>
      <c r="T71" s="148">
        <v>5921700</v>
      </c>
      <c r="U71" s="150">
        <v>0.99596729354870639</v>
      </c>
      <c r="V71" s="148">
        <v>1397390243</v>
      </c>
      <c r="W71" s="148">
        <v>65106369</v>
      </c>
      <c r="X71" s="150">
        <v>4.4517278512505712E-2</v>
      </c>
      <c r="Y71" s="148">
        <v>1397390243</v>
      </c>
      <c r="Z71" s="148">
        <v>0</v>
      </c>
      <c r="AA71" s="150">
        <v>0.95548272148749425</v>
      </c>
    </row>
    <row r="72" spans="1:27" ht="24.95" customHeight="1">
      <c r="A72" s="32" t="e">
        <v>#REF!</v>
      </c>
      <c r="B72" s="145" t="s">
        <v>23</v>
      </c>
      <c r="C72" s="145" t="s">
        <v>54</v>
      </c>
      <c r="D72" s="145" t="s">
        <v>54</v>
      </c>
      <c r="E72" s="145" t="s">
        <v>54</v>
      </c>
      <c r="F72" s="145" t="s">
        <v>42</v>
      </c>
      <c r="G72" s="145" t="s">
        <v>48</v>
      </c>
      <c r="H72" s="145"/>
      <c r="I72" s="145">
        <v>10</v>
      </c>
      <c r="J72" s="146" t="s">
        <v>29</v>
      </c>
      <c r="K72" s="147" t="s">
        <v>109</v>
      </c>
      <c r="L72" s="148">
        <v>1100000000</v>
      </c>
      <c r="M72" s="148"/>
      <c r="N72" s="148"/>
      <c r="O72" s="148"/>
      <c r="P72" s="148">
        <v>145000000</v>
      </c>
      <c r="Q72" s="148"/>
      <c r="R72" s="148">
        <v>955000000</v>
      </c>
      <c r="S72" s="148">
        <v>581200606</v>
      </c>
      <c r="T72" s="148">
        <v>373799394</v>
      </c>
      <c r="U72" s="150">
        <v>0.60858702198952874</v>
      </c>
      <c r="V72" s="148">
        <v>581100837.22000003</v>
      </c>
      <c r="W72" s="148">
        <v>99768.77999997139</v>
      </c>
      <c r="X72" s="150">
        <v>1.7165980036843147E-4</v>
      </c>
      <c r="Y72" s="148">
        <v>579254822.22000003</v>
      </c>
      <c r="Z72" s="148">
        <v>1846015</v>
      </c>
      <c r="AA72" s="150">
        <v>0.99665213050380064</v>
      </c>
    </row>
    <row r="73" spans="1:27" ht="24.95" customHeight="1">
      <c r="A73" s="32" t="e">
        <v>#REF!</v>
      </c>
      <c r="B73" s="139" t="s">
        <v>23</v>
      </c>
      <c r="C73" s="139" t="s">
        <v>54</v>
      </c>
      <c r="D73" s="139" t="s">
        <v>54</v>
      </c>
      <c r="E73" s="139" t="s">
        <v>54</v>
      </c>
      <c r="F73" s="139" t="s">
        <v>44</v>
      </c>
      <c r="G73" s="140"/>
      <c r="H73" s="140"/>
      <c r="I73" s="139" t="s">
        <v>28</v>
      </c>
      <c r="J73" s="140" t="s">
        <v>29</v>
      </c>
      <c r="K73" s="140" t="s">
        <v>110</v>
      </c>
      <c r="L73" s="141">
        <v>15081981155</v>
      </c>
      <c r="M73" s="142">
        <v>0</v>
      </c>
      <c r="N73" s="142">
        <v>0</v>
      </c>
      <c r="O73" s="141">
        <v>43983435</v>
      </c>
      <c r="P73" s="141">
        <v>190486021</v>
      </c>
      <c r="Q73" s="142">
        <v>0</v>
      </c>
      <c r="R73" s="141">
        <v>14935478569</v>
      </c>
      <c r="S73" s="141">
        <v>14800448728</v>
      </c>
      <c r="T73" s="141">
        <v>135029841</v>
      </c>
      <c r="U73" s="143">
        <v>0.99095912190719704</v>
      </c>
      <c r="V73" s="141">
        <v>9981750737</v>
      </c>
      <c r="W73" s="141">
        <v>4818697991</v>
      </c>
      <c r="X73" s="143">
        <v>0.32557783075075425</v>
      </c>
      <c r="Y73" s="141">
        <v>9981543437</v>
      </c>
      <c r="Z73" s="141">
        <v>207300</v>
      </c>
      <c r="AA73" s="724">
        <v>0.67440816291715344</v>
      </c>
    </row>
    <row r="74" spans="1:27" ht="24.95" customHeight="1">
      <c r="A74" s="32" t="e">
        <v>#REF!</v>
      </c>
      <c r="B74" s="145" t="s">
        <v>23</v>
      </c>
      <c r="C74" s="145" t="s">
        <v>54</v>
      </c>
      <c r="D74" s="145" t="s">
        <v>54</v>
      </c>
      <c r="E74" s="145" t="s">
        <v>54</v>
      </c>
      <c r="F74" s="145" t="s">
        <v>44</v>
      </c>
      <c r="G74" s="145" t="s">
        <v>31</v>
      </c>
      <c r="H74" s="145"/>
      <c r="I74" s="145">
        <v>10</v>
      </c>
      <c r="J74" s="146" t="s">
        <v>29</v>
      </c>
      <c r="K74" s="147" t="s">
        <v>111</v>
      </c>
      <c r="L74" s="148">
        <v>520000000</v>
      </c>
      <c r="M74" s="148"/>
      <c r="N74" s="148"/>
      <c r="O74" s="148">
        <v>43983435</v>
      </c>
      <c r="P74" s="148">
        <v>190486021</v>
      </c>
      <c r="Q74" s="148"/>
      <c r="R74" s="148">
        <v>373497414</v>
      </c>
      <c r="S74" s="148">
        <v>340687714</v>
      </c>
      <c r="T74" s="148">
        <v>32809700</v>
      </c>
      <c r="U74" s="150">
        <v>0.91215548282216485</v>
      </c>
      <c r="V74" s="148">
        <v>305382978</v>
      </c>
      <c r="W74" s="148">
        <v>35304736</v>
      </c>
      <c r="X74" s="150">
        <v>0.10362785198646758</v>
      </c>
      <c r="Y74" s="148">
        <v>305175678</v>
      </c>
      <c r="Z74" s="148">
        <v>207300</v>
      </c>
      <c r="AA74" s="150">
        <v>0.89576367288666003</v>
      </c>
    </row>
    <row r="75" spans="1:27" ht="24.95" customHeight="1">
      <c r="A75" s="32" t="e">
        <v>#REF!</v>
      </c>
      <c r="B75" s="145" t="s">
        <v>23</v>
      </c>
      <c r="C75" s="145" t="s">
        <v>54</v>
      </c>
      <c r="D75" s="145" t="s">
        <v>54</v>
      </c>
      <c r="E75" s="145" t="s">
        <v>54</v>
      </c>
      <c r="F75" s="145" t="s">
        <v>44</v>
      </c>
      <c r="G75" s="145" t="s">
        <v>34</v>
      </c>
      <c r="H75" s="145"/>
      <c r="I75" s="145">
        <v>10</v>
      </c>
      <c r="J75" s="146" t="s">
        <v>29</v>
      </c>
      <c r="K75" s="147" t="s">
        <v>112</v>
      </c>
      <c r="L75" s="148">
        <v>14561981155</v>
      </c>
      <c r="M75" s="148"/>
      <c r="N75" s="148"/>
      <c r="O75" s="148"/>
      <c r="P75" s="148"/>
      <c r="Q75" s="148"/>
      <c r="R75" s="148">
        <v>14561981155</v>
      </c>
      <c r="S75" s="148">
        <v>14459761014</v>
      </c>
      <c r="T75" s="148">
        <v>102220141</v>
      </c>
      <c r="U75" s="150">
        <v>0.99298034107365252</v>
      </c>
      <c r="V75" s="148">
        <v>9676367759</v>
      </c>
      <c r="W75" s="148">
        <v>4783393255</v>
      </c>
      <c r="X75" s="150">
        <v>0.3308072139206657</v>
      </c>
      <c r="Y75" s="148">
        <v>9676367759</v>
      </c>
      <c r="Z75" s="148">
        <v>0</v>
      </c>
      <c r="AA75" s="150">
        <v>0.6691927860793343</v>
      </c>
    </row>
    <row r="76" spans="1:27" ht="24.95" customHeight="1">
      <c r="A76" s="32" t="e">
        <v>#REF!</v>
      </c>
      <c r="B76" s="139" t="s">
        <v>23</v>
      </c>
      <c r="C76" s="139" t="s">
        <v>54</v>
      </c>
      <c r="D76" s="139" t="s">
        <v>54</v>
      </c>
      <c r="E76" s="139" t="s">
        <v>54</v>
      </c>
      <c r="F76" s="139" t="s">
        <v>46</v>
      </c>
      <c r="G76" s="140"/>
      <c r="H76" s="140"/>
      <c r="I76" s="139" t="s">
        <v>28</v>
      </c>
      <c r="J76" s="140" t="s">
        <v>29</v>
      </c>
      <c r="K76" s="140" t="s">
        <v>113</v>
      </c>
      <c r="L76" s="141">
        <v>18842006651</v>
      </c>
      <c r="M76" s="142">
        <v>0</v>
      </c>
      <c r="N76" s="142">
        <v>0</v>
      </c>
      <c r="O76" s="141">
        <v>1914830094.1300001</v>
      </c>
      <c r="P76" s="141">
        <v>1355635595.1300001</v>
      </c>
      <c r="Q76" s="142">
        <v>0</v>
      </c>
      <c r="R76" s="141">
        <v>19401201150</v>
      </c>
      <c r="S76" s="141">
        <v>18005271352.950001</v>
      </c>
      <c r="T76" s="141">
        <v>1395929797.05</v>
      </c>
      <c r="U76" s="143">
        <v>0.92804931064538754</v>
      </c>
      <c r="V76" s="141">
        <v>12273779463.57</v>
      </c>
      <c r="W76" s="141">
        <v>5731491889.3799992</v>
      </c>
      <c r="X76" s="143">
        <v>0.31832299425139993</v>
      </c>
      <c r="Y76" s="141">
        <v>11874747793.57</v>
      </c>
      <c r="Z76" s="141">
        <v>399031670</v>
      </c>
      <c r="AA76" s="724">
        <v>0.65951506982561692</v>
      </c>
    </row>
    <row r="77" spans="1:27" ht="24.95" customHeight="1">
      <c r="A77" s="32" t="e">
        <v>#REF!</v>
      </c>
      <c r="B77" s="145" t="s">
        <v>23</v>
      </c>
      <c r="C77" s="145" t="s">
        <v>54</v>
      </c>
      <c r="D77" s="145" t="s">
        <v>54</v>
      </c>
      <c r="E77" s="145" t="s">
        <v>54</v>
      </c>
      <c r="F77" s="145" t="s">
        <v>46</v>
      </c>
      <c r="G77" s="145" t="s">
        <v>34</v>
      </c>
      <c r="H77" s="145"/>
      <c r="I77" s="145">
        <v>10</v>
      </c>
      <c r="J77" s="146" t="s">
        <v>29</v>
      </c>
      <c r="K77" s="147" t="s">
        <v>114</v>
      </c>
      <c r="L77" s="148">
        <v>49955000</v>
      </c>
      <c r="M77" s="148"/>
      <c r="N77" s="148"/>
      <c r="O77" s="148"/>
      <c r="P77" s="148">
        <v>22729050</v>
      </c>
      <c r="Q77" s="148"/>
      <c r="R77" s="148">
        <v>27225950</v>
      </c>
      <c r="S77" s="148">
        <v>24625950</v>
      </c>
      <c r="T77" s="148">
        <v>2600000</v>
      </c>
      <c r="U77" s="150">
        <v>0.90450287317797906</v>
      </c>
      <c r="V77" s="148">
        <v>11141515.800000001</v>
      </c>
      <c r="W77" s="148">
        <v>13484434.199999999</v>
      </c>
      <c r="X77" s="150">
        <v>0.54757011201598316</v>
      </c>
      <c r="Y77" s="148">
        <v>11141515.800000001</v>
      </c>
      <c r="Z77" s="148">
        <v>0</v>
      </c>
      <c r="AA77" s="150">
        <v>0.4524298879840169</v>
      </c>
    </row>
    <row r="78" spans="1:27" ht="24.95" customHeight="1">
      <c r="A78" s="32" t="e">
        <v>#REF!</v>
      </c>
      <c r="B78" s="145" t="s">
        <v>23</v>
      </c>
      <c r="C78" s="145" t="s">
        <v>54</v>
      </c>
      <c r="D78" s="145" t="s">
        <v>54</v>
      </c>
      <c r="E78" s="145" t="s">
        <v>54</v>
      </c>
      <c r="F78" s="145" t="s">
        <v>46</v>
      </c>
      <c r="G78" s="145" t="s">
        <v>36</v>
      </c>
      <c r="H78" s="145"/>
      <c r="I78" s="145">
        <v>10</v>
      </c>
      <c r="J78" s="146" t="s">
        <v>29</v>
      </c>
      <c r="K78" s="147" t="s">
        <v>115</v>
      </c>
      <c r="L78" s="148">
        <v>10819632797</v>
      </c>
      <c r="M78" s="148"/>
      <c r="N78" s="148"/>
      <c r="O78" s="148">
        <v>33729050</v>
      </c>
      <c r="P78" s="148">
        <v>978866129</v>
      </c>
      <c r="Q78" s="148"/>
      <c r="R78" s="148">
        <v>9874495718</v>
      </c>
      <c r="S78" s="148">
        <v>9827497121</v>
      </c>
      <c r="T78" s="148">
        <v>46998597</v>
      </c>
      <c r="U78" s="150">
        <v>0.99524040534907243</v>
      </c>
      <c r="V78" s="148">
        <v>6389954008</v>
      </c>
      <c r="W78" s="148">
        <v>3437543113</v>
      </c>
      <c r="X78" s="150">
        <v>0.34978825948007114</v>
      </c>
      <c r="Y78" s="148">
        <v>5990922338</v>
      </c>
      <c r="Z78" s="148">
        <v>399031670</v>
      </c>
      <c r="AA78" s="150">
        <v>0.60960814989182022</v>
      </c>
    </row>
    <row r="79" spans="1:27" ht="24.95" customHeight="1">
      <c r="A79" s="32" t="e">
        <v>#REF!</v>
      </c>
      <c r="B79" s="145" t="s">
        <v>23</v>
      </c>
      <c r="C79" s="145" t="s">
        <v>54</v>
      </c>
      <c r="D79" s="145" t="s">
        <v>54</v>
      </c>
      <c r="E79" s="145" t="s">
        <v>54</v>
      </c>
      <c r="F79" s="145" t="s">
        <v>46</v>
      </c>
      <c r="G79" s="145" t="s">
        <v>38</v>
      </c>
      <c r="H79" s="145"/>
      <c r="I79" s="145">
        <v>10</v>
      </c>
      <c r="J79" s="146" t="s">
        <v>29</v>
      </c>
      <c r="K79" s="147" t="s">
        <v>116</v>
      </c>
      <c r="L79" s="148">
        <v>2518099374</v>
      </c>
      <c r="M79" s="148"/>
      <c r="N79" s="148"/>
      <c r="O79" s="148"/>
      <c r="P79" s="148">
        <v>234597306.13</v>
      </c>
      <c r="Q79" s="148"/>
      <c r="R79" s="148">
        <v>2283502067.8699999</v>
      </c>
      <c r="S79" s="148">
        <v>1660049045.75</v>
      </c>
      <c r="T79" s="148">
        <v>623453022.11999989</v>
      </c>
      <c r="U79" s="150">
        <v>0.72697505691267317</v>
      </c>
      <c r="V79" s="148">
        <v>1393703462.97</v>
      </c>
      <c r="W79" s="148">
        <v>266345582.77999997</v>
      </c>
      <c r="X79" s="150">
        <v>0.16044440582155611</v>
      </c>
      <c r="Y79" s="148">
        <v>1393703462.97</v>
      </c>
      <c r="Z79" s="148">
        <v>0</v>
      </c>
      <c r="AA79" s="150">
        <v>0.83955559417844383</v>
      </c>
    </row>
    <row r="80" spans="1:27" ht="24.95" customHeight="1">
      <c r="A80" s="32" t="e">
        <v>#REF!</v>
      </c>
      <c r="B80" s="145" t="s">
        <v>23</v>
      </c>
      <c r="C80" s="145" t="s">
        <v>54</v>
      </c>
      <c r="D80" s="145" t="s">
        <v>54</v>
      </c>
      <c r="E80" s="145" t="s">
        <v>54</v>
      </c>
      <c r="F80" s="145" t="s">
        <v>46</v>
      </c>
      <c r="G80" s="145" t="s">
        <v>40</v>
      </c>
      <c r="H80" s="145"/>
      <c r="I80" s="145">
        <v>10</v>
      </c>
      <c r="J80" s="146" t="s">
        <v>29</v>
      </c>
      <c r="K80" s="147" t="s">
        <v>117</v>
      </c>
      <c r="L80" s="148">
        <v>4954700583</v>
      </c>
      <c r="M80" s="148"/>
      <c r="N80" s="148"/>
      <c r="O80" s="148">
        <v>1534940774</v>
      </c>
      <c r="P80" s="148">
        <v>37149202</v>
      </c>
      <c r="Q80" s="148"/>
      <c r="R80" s="148">
        <v>6452492155</v>
      </c>
      <c r="S80" s="148">
        <v>5913664496.25</v>
      </c>
      <c r="T80" s="148">
        <v>538827658.75</v>
      </c>
      <c r="U80" s="150">
        <v>0.91649309355107611</v>
      </c>
      <c r="V80" s="148">
        <v>4169649790.75</v>
      </c>
      <c r="W80" s="148">
        <v>1744014705.5</v>
      </c>
      <c r="X80" s="150">
        <v>0.29491269019504279</v>
      </c>
      <c r="Y80" s="148">
        <v>4169649790.75</v>
      </c>
      <c r="Z80" s="148">
        <v>0</v>
      </c>
      <c r="AA80" s="150">
        <v>0.70508730980495726</v>
      </c>
    </row>
    <row r="81" spans="1:27" ht="24.95" customHeight="1">
      <c r="A81" s="32" t="e">
        <v>#REF!</v>
      </c>
      <c r="B81" s="145" t="s">
        <v>23</v>
      </c>
      <c r="C81" s="145" t="s">
        <v>54</v>
      </c>
      <c r="D81" s="145" t="s">
        <v>54</v>
      </c>
      <c r="E81" s="145" t="s">
        <v>54</v>
      </c>
      <c r="F81" s="145" t="s">
        <v>46</v>
      </c>
      <c r="G81" s="145" t="s">
        <v>44</v>
      </c>
      <c r="H81" s="145"/>
      <c r="I81" s="145">
        <v>10</v>
      </c>
      <c r="J81" s="146" t="s">
        <v>29</v>
      </c>
      <c r="K81" s="147" t="s">
        <v>118</v>
      </c>
      <c r="L81" s="148">
        <v>396618897</v>
      </c>
      <c r="M81" s="148"/>
      <c r="N81" s="148"/>
      <c r="O81" s="148">
        <v>346160270.13</v>
      </c>
      <c r="P81" s="149">
        <v>62293908</v>
      </c>
      <c r="Q81" s="148"/>
      <c r="R81" s="148">
        <v>680485259.13</v>
      </c>
      <c r="S81" s="148">
        <v>497745287.94999999</v>
      </c>
      <c r="T81" s="148">
        <v>182739971.18000001</v>
      </c>
      <c r="U81" s="150">
        <v>0.73145638538352331</v>
      </c>
      <c r="V81" s="148">
        <v>277729634.05000001</v>
      </c>
      <c r="W81" s="148">
        <v>220015653.89999998</v>
      </c>
      <c r="X81" s="150">
        <v>0.44202458411238882</v>
      </c>
      <c r="Y81" s="148">
        <v>277729634.05000001</v>
      </c>
      <c r="Z81" s="148">
        <v>0</v>
      </c>
      <c r="AA81" s="150">
        <v>0.55797541588761113</v>
      </c>
    </row>
    <row r="82" spans="1:27" ht="24.95" customHeight="1">
      <c r="A82" s="32" t="e">
        <v>#REF!</v>
      </c>
      <c r="B82" s="145" t="s">
        <v>23</v>
      </c>
      <c r="C82" s="145" t="s">
        <v>54</v>
      </c>
      <c r="D82" s="145" t="s">
        <v>54</v>
      </c>
      <c r="E82" s="145" t="s">
        <v>54</v>
      </c>
      <c r="F82" s="145" t="s">
        <v>46</v>
      </c>
      <c r="G82" s="145" t="s">
        <v>48</v>
      </c>
      <c r="H82" s="145"/>
      <c r="I82" s="145">
        <v>10</v>
      </c>
      <c r="J82" s="146" t="s">
        <v>29</v>
      </c>
      <c r="K82" s="147" t="s">
        <v>119</v>
      </c>
      <c r="L82" s="148">
        <v>103000000</v>
      </c>
      <c r="M82" s="148"/>
      <c r="N82" s="148"/>
      <c r="O82" s="148"/>
      <c r="P82" s="148">
        <v>20000000</v>
      </c>
      <c r="Q82" s="148"/>
      <c r="R82" s="148">
        <v>83000000</v>
      </c>
      <c r="S82" s="148">
        <v>81689452</v>
      </c>
      <c r="T82" s="148">
        <v>1310548</v>
      </c>
      <c r="U82" s="150">
        <v>0.98421026506024101</v>
      </c>
      <c r="V82" s="148">
        <v>31601052</v>
      </c>
      <c r="W82" s="148">
        <v>50088400</v>
      </c>
      <c r="X82" s="150">
        <v>0.61315627383569671</v>
      </c>
      <c r="Y82" s="148">
        <v>31601052</v>
      </c>
      <c r="Z82" s="148">
        <v>0</v>
      </c>
      <c r="AA82" s="150">
        <v>0.38684372616430329</v>
      </c>
    </row>
    <row r="83" spans="1:27" ht="24.95" customHeight="1">
      <c r="A83" s="32" t="e">
        <v>#REF!</v>
      </c>
      <c r="B83" s="139" t="s">
        <v>23</v>
      </c>
      <c r="C83" s="139" t="s">
        <v>54</v>
      </c>
      <c r="D83" s="139" t="s">
        <v>54</v>
      </c>
      <c r="E83" s="139" t="s">
        <v>54</v>
      </c>
      <c r="F83" s="139" t="s">
        <v>48</v>
      </c>
      <c r="G83" s="140"/>
      <c r="H83" s="140"/>
      <c r="I83" s="139" t="s">
        <v>28</v>
      </c>
      <c r="J83" s="140" t="s">
        <v>29</v>
      </c>
      <c r="K83" s="140" t="s">
        <v>120</v>
      </c>
      <c r="L83" s="141">
        <v>2327016750</v>
      </c>
      <c r="M83" s="142">
        <v>0</v>
      </c>
      <c r="N83" s="142">
        <v>0</v>
      </c>
      <c r="O83" s="141">
        <v>5115982</v>
      </c>
      <c r="P83" s="141">
        <v>35000000</v>
      </c>
      <c r="Q83" s="142">
        <v>0</v>
      </c>
      <c r="R83" s="141">
        <v>2297132732</v>
      </c>
      <c r="S83" s="141">
        <v>1677660402</v>
      </c>
      <c r="T83" s="141">
        <v>619472330</v>
      </c>
      <c r="U83" s="143">
        <v>0.73032802094084648</v>
      </c>
      <c r="V83" s="141">
        <v>1065153052.97</v>
      </c>
      <c r="W83" s="141">
        <v>612507349.02999997</v>
      </c>
      <c r="X83" s="143">
        <v>0.36509614717007549</v>
      </c>
      <c r="Y83" s="141">
        <v>1065033053.97</v>
      </c>
      <c r="Z83" s="141">
        <v>119999</v>
      </c>
      <c r="AA83" s="724">
        <v>0.63483232524313937</v>
      </c>
    </row>
    <row r="84" spans="1:27" ht="24.95" customHeight="1">
      <c r="A84" s="32" t="e">
        <v>#REF!</v>
      </c>
      <c r="B84" s="145" t="s">
        <v>23</v>
      </c>
      <c r="C84" s="145" t="s">
        <v>54</v>
      </c>
      <c r="D84" s="145" t="s">
        <v>54</v>
      </c>
      <c r="E84" s="145" t="s">
        <v>54</v>
      </c>
      <c r="F84" s="145" t="s">
        <v>48</v>
      </c>
      <c r="G84" s="145" t="s">
        <v>34</v>
      </c>
      <c r="H84" s="145"/>
      <c r="I84" s="145">
        <v>10</v>
      </c>
      <c r="J84" s="146" t="s">
        <v>29</v>
      </c>
      <c r="K84" s="147" t="s">
        <v>121</v>
      </c>
      <c r="L84" s="148">
        <v>992069874</v>
      </c>
      <c r="M84" s="148"/>
      <c r="N84" s="148"/>
      <c r="O84" s="148"/>
      <c r="P84" s="148"/>
      <c r="Q84" s="148"/>
      <c r="R84" s="148">
        <v>992069874</v>
      </c>
      <c r="S84" s="148">
        <v>673463026</v>
      </c>
      <c r="T84" s="148">
        <v>318606848</v>
      </c>
      <c r="U84" s="150">
        <v>0.67884636319477631</v>
      </c>
      <c r="V84" s="148">
        <v>415631594</v>
      </c>
      <c r="W84" s="148">
        <v>257831432</v>
      </c>
      <c r="X84" s="150">
        <v>0.3828442275908997</v>
      </c>
      <c r="Y84" s="148">
        <v>415631594</v>
      </c>
      <c r="Z84" s="148">
        <v>0</v>
      </c>
      <c r="AA84" s="150">
        <v>0.61715577240910036</v>
      </c>
    </row>
    <row r="85" spans="1:27" ht="24.95" customHeight="1">
      <c r="A85" s="32" t="e">
        <v>#REF!</v>
      </c>
      <c r="B85" s="145" t="s">
        <v>23</v>
      </c>
      <c r="C85" s="145" t="s">
        <v>54</v>
      </c>
      <c r="D85" s="145" t="s">
        <v>54</v>
      </c>
      <c r="E85" s="145" t="s">
        <v>54</v>
      </c>
      <c r="F85" s="145" t="s">
        <v>48</v>
      </c>
      <c r="G85" s="145" t="s">
        <v>36</v>
      </c>
      <c r="H85" s="145"/>
      <c r="I85" s="145">
        <v>10</v>
      </c>
      <c r="J85" s="146" t="s">
        <v>29</v>
      </c>
      <c r="K85" s="147" t="s">
        <v>122</v>
      </c>
      <c r="L85" s="148">
        <v>364946876</v>
      </c>
      <c r="M85" s="148"/>
      <c r="N85" s="148"/>
      <c r="O85" s="148"/>
      <c r="P85" s="148"/>
      <c r="Q85" s="148"/>
      <c r="R85" s="148">
        <v>364946876</v>
      </c>
      <c r="S85" s="148">
        <v>159832826</v>
      </c>
      <c r="T85" s="148">
        <v>205114050</v>
      </c>
      <c r="U85" s="150">
        <v>0.43796189667890184</v>
      </c>
      <c r="V85" s="148">
        <v>82479652</v>
      </c>
      <c r="W85" s="148">
        <v>77353174</v>
      </c>
      <c r="X85" s="150">
        <v>0.4839630001912123</v>
      </c>
      <c r="Y85" s="148">
        <v>82479652</v>
      </c>
      <c r="Z85" s="148">
        <v>0</v>
      </c>
      <c r="AA85" s="150">
        <v>0.5160369998087877</v>
      </c>
    </row>
    <row r="86" spans="1:27" ht="24.95" customHeight="1">
      <c r="A86" s="32" t="e">
        <v>#REF!</v>
      </c>
      <c r="B86" s="145" t="s">
        <v>23</v>
      </c>
      <c r="C86" s="145" t="s">
        <v>54</v>
      </c>
      <c r="D86" s="145" t="s">
        <v>54</v>
      </c>
      <c r="E86" s="145" t="s">
        <v>54</v>
      </c>
      <c r="F86" s="145" t="s">
        <v>48</v>
      </c>
      <c r="G86" s="145" t="s">
        <v>38</v>
      </c>
      <c r="H86" s="145"/>
      <c r="I86" s="145">
        <v>10</v>
      </c>
      <c r="J86" s="146" t="s">
        <v>29</v>
      </c>
      <c r="K86" s="147" t="s">
        <v>123</v>
      </c>
      <c r="L86" s="148">
        <v>115000000</v>
      </c>
      <c r="M86" s="148"/>
      <c r="N86" s="148"/>
      <c r="O86" s="148"/>
      <c r="P86" s="148">
        <v>35000000</v>
      </c>
      <c r="Q86" s="148"/>
      <c r="R86" s="148">
        <v>80000000</v>
      </c>
      <c r="S86" s="148">
        <v>48848578</v>
      </c>
      <c r="T86" s="148">
        <v>31151422</v>
      </c>
      <c r="U86" s="150">
        <v>0.61060722499999998</v>
      </c>
      <c r="V86" s="148">
        <v>48848214.079999998</v>
      </c>
      <c r="W86" s="148">
        <v>363.92000000178814</v>
      </c>
      <c r="X86" s="150">
        <v>7.4499609794534479E-6</v>
      </c>
      <c r="Y86" s="148">
        <v>48728215.079999998</v>
      </c>
      <c r="Z86" s="148">
        <v>119999</v>
      </c>
      <c r="AA86" s="150">
        <v>0.99753599951261629</v>
      </c>
    </row>
    <row r="87" spans="1:27" ht="24.95" customHeight="1">
      <c r="A87" s="32" t="e">
        <v>#REF!</v>
      </c>
      <c r="B87" s="145" t="s">
        <v>23</v>
      </c>
      <c r="C87" s="145" t="s">
        <v>54</v>
      </c>
      <c r="D87" s="145" t="s">
        <v>54</v>
      </c>
      <c r="E87" s="145" t="s">
        <v>54</v>
      </c>
      <c r="F87" s="145" t="s">
        <v>48</v>
      </c>
      <c r="G87" s="145" t="s">
        <v>42</v>
      </c>
      <c r="H87" s="145"/>
      <c r="I87" s="145">
        <v>10</v>
      </c>
      <c r="J87" s="146" t="s">
        <v>29</v>
      </c>
      <c r="K87" s="147" t="s">
        <v>124</v>
      </c>
      <c r="L87" s="148">
        <v>830000000</v>
      </c>
      <c r="M87" s="148"/>
      <c r="N87" s="148"/>
      <c r="O87" s="148"/>
      <c r="P87" s="148"/>
      <c r="Q87" s="148"/>
      <c r="R87" s="148">
        <v>830000000</v>
      </c>
      <c r="S87" s="148">
        <v>795515972</v>
      </c>
      <c r="T87" s="148">
        <v>34484028</v>
      </c>
      <c r="U87" s="150">
        <v>0.95845297831325305</v>
      </c>
      <c r="V87" s="148">
        <v>518193592.88999999</v>
      </c>
      <c r="W87" s="148">
        <v>277322379.11000001</v>
      </c>
      <c r="X87" s="150">
        <v>0.34860692791973258</v>
      </c>
      <c r="Y87" s="148">
        <v>518193592.88999999</v>
      </c>
      <c r="Z87" s="148">
        <v>0</v>
      </c>
      <c r="AA87" s="150">
        <v>0.65139307208026742</v>
      </c>
    </row>
    <row r="88" spans="1:27" ht="24.95" customHeight="1">
      <c r="A88" s="32" t="e">
        <v>#REF!</v>
      </c>
      <c r="B88" s="145" t="s">
        <v>23</v>
      </c>
      <c r="C88" s="145" t="s">
        <v>54</v>
      </c>
      <c r="D88" s="145" t="s">
        <v>54</v>
      </c>
      <c r="E88" s="145" t="s">
        <v>54</v>
      </c>
      <c r="F88" s="145" t="s">
        <v>48</v>
      </c>
      <c r="G88" s="145" t="s">
        <v>44</v>
      </c>
      <c r="H88" s="145"/>
      <c r="I88" s="145">
        <v>10</v>
      </c>
      <c r="J88" s="146" t="s">
        <v>29</v>
      </c>
      <c r="K88" s="147" t="s">
        <v>125</v>
      </c>
      <c r="L88" s="148">
        <v>25000000</v>
      </c>
      <c r="M88" s="148"/>
      <c r="N88" s="148"/>
      <c r="O88" s="149">
        <v>5115982</v>
      </c>
      <c r="P88" s="148"/>
      <c r="Q88" s="148"/>
      <c r="R88" s="148">
        <v>30115982</v>
      </c>
      <c r="S88" s="148">
        <v>0</v>
      </c>
      <c r="T88" s="148">
        <v>30115982</v>
      </c>
      <c r="U88" s="150">
        <v>0</v>
      </c>
      <c r="V88" s="148">
        <v>0</v>
      </c>
      <c r="W88" s="148">
        <v>0</v>
      </c>
      <c r="X88" s="150">
        <v>0</v>
      </c>
      <c r="Y88" s="148">
        <v>0</v>
      </c>
      <c r="Z88" s="148">
        <v>0</v>
      </c>
      <c r="AA88" s="150">
        <v>0</v>
      </c>
    </row>
    <row r="89" spans="1:27" ht="24.95" customHeight="1">
      <c r="A89" s="32" t="e">
        <v>#REF!</v>
      </c>
      <c r="B89" s="145" t="s">
        <v>23</v>
      </c>
      <c r="C89" s="145" t="s">
        <v>54</v>
      </c>
      <c r="D89" s="145" t="s">
        <v>54</v>
      </c>
      <c r="E89" s="145" t="s">
        <v>54</v>
      </c>
      <c r="F89" s="145" t="s">
        <v>50</v>
      </c>
      <c r="G89" s="145"/>
      <c r="H89" s="145"/>
      <c r="I89" s="145" t="s">
        <v>28</v>
      </c>
      <c r="J89" s="146" t="s">
        <v>29</v>
      </c>
      <c r="K89" s="152" t="s">
        <v>126</v>
      </c>
      <c r="L89" s="153">
        <v>734015794</v>
      </c>
      <c r="M89" s="153"/>
      <c r="N89" s="153"/>
      <c r="O89" s="153"/>
      <c r="P89" s="153">
        <v>65926405</v>
      </c>
      <c r="Q89" s="153"/>
      <c r="R89" s="153">
        <v>668089389</v>
      </c>
      <c r="S89" s="153">
        <v>624526009</v>
      </c>
      <c r="T89" s="153">
        <v>43563380</v>
      </c>
      <c r="U89" s="154">
        <v>0.93479408486758653</v>
      </c>
      <c r="V89" s="153">
        <v>424826665</v>
      </c>
      <c r="W89" s="153">
        <v>199699344</v>
      </c>
      <c r="X89" s="154">
        <v>0.31976145288130026</v>
      </c>
      <c r="Y89" s="153">
        <v>424826665</v>
      </c>
      <c r="Z89" s="148">
        <v>0</v>
      </c>
      <c r="AA89" s="150">
        <v>0.68023854711869969</v>
      </c>
    </row>
    <row r="90" spans="1:27" ht="36" customHeight="1">
      <c r="A90" s="32" t="e">
        <v>#REF!</v>
      </c>
      <c r="B90" s="123" t="s">
        <v>23</v>
      </c>
      <c r="C90" s="123" t="s">
        <v>65</v>
      </c>
      <c r="D90" s="123"/>
      <c r="E90" s="123"/>
      <c r="F90" s="123"/>
      <c r="G90" s="123"/>
      <c r="H90" s="123"/>
      <c r="I90" s="124"/>
      <c r="J90" s="124"/>
      <c r="K90" s="124" t="s">
        <v>127</v>
      </c>
      <c r="L90" s="125">
        <v>25816000000</v>
      </c>
      <c r="M90" s="125">
        <v>4794322613752</v>
      </c>
      <c r="N90" s="719">
        <v>0</v>
      </c>
      <c r="O90" s="125">
        <v>100000000</v>
      </c>
      <c r="P90" s="125">
        <v>100000000</v>
      </c>
      <c r="Q90" s="125">
        <v>22607000000</v>
      </c>
      <c r="R90" s="125">
        <v>4797531613752</v>
      </c>
      <c r="S90" s="125">
        <v>4657607001592.4102</v>
      </c>
      <c r="T90" s="125">
        <v>3749922368</v>
      </c>
      <c r="U90" s="126">
        <v>0.97083404062236933</v>
      </c>
      <c r="V90" s="125">
        <v>4645271909875.4102</v>
      </c>
      <c r="W90" s="125">
        <v>12335091717</v>
      </c>
      <c r="X90" s="126">
        <v>2.6483753809161442E-3</v>
      </c>
      <c r="Y90" s="125">
        <v>4596409280535.4102</v>
      </c>
      <c r="Z90" s="125">
        <v>48862629340</v>
      </c>
      <c r="AA90" s="720">
        <v>0.98686069455064007</v>
      </c>
    </row>
    <row r="91" spans="1:27" ht="24" customHeight="1">
      <c r="A91" s="32" t="e">
        <v>#REF!</v>
      </c>
      <c r="B91" s="128" t="s">
        <v>23</v>
      </c>
      <c r="C91" s="128" t="s">
        <v>65</v>
      </c>
      <c r="D91" s="128" t="s">
        <v>65</v>
      </c>
      <c r="E91" s="128"/>
      <c r="F91" s="128"/>
      <c r="G91" s="128"/>
      <c r="H91" s="128"/>
      <c r="I91" s="129"/>
      <c r="J91" s="129"/>
      <c r="K91" s="129" t="s">
        <v>128</v>
      </c>
      <c r="L91" s="130">
        <v>22607000000</v>
      </c>
      <c r="M91" s="130">
        <v>4794322613752</v>
      </c>
      <c r="N91" s="721">
        <v>0</v>
      </c>
      <c r="O91" s="130">
        <v>0</v>
      </c>
      <c r="P91" s="130">
        <v>0</v>
      </c>
      <c r="Q91" s="130">
        <v>22607000000</v>
      </c>
      <c r="R91" s="130">
        <v>4794322613752</v>
      </c>
      <c r="S91" s="130">
        <v>4655519653748.4102</v>
      </c>
      <c r="T91" s="130">
        <v>2628270212</v>
      </c>
      <c r="U91" s="131">
        <v>0.97104847312413889</v>
      </c>
      <c r="V91" s="130">
        <v>4643432463448.4102</v>
      </c>
      <c r="W91" s="130">
        <v>12087190300</v>
      </c>
      <c r="X91" s="131">
        <v>2.5963138809365674E-3</v>
      </c>
      <c r="Y91" s="130">
        <v>4594569834108.4102</v>
      </c>
      <c r="Z91" s="130">
        <v>48862629340</v>
      </c>
      <c r="AA91" s="722">
        <v>0.98690805233935031</v>
      </c>
    </row>
    <row r="92" spans="1:27" ht="24" customHeight="1">
      <c r="A92" s="32" t="e">
        <v>#REF!</v>
      </c>
      <c r="B92" s="133" t="s">
        <v>23</v>
      </c>
      <c r="C92" s="133" t="s">
        <v>65</v>
      </c>
      <c r="D92" s="133" t="s">
        <v>65</v>
      </c>
      <c r="E92" s="133" t="s">
        <v>25</v>
      </c>
      <c r="F92" s="133"/>
      <c r="G92" s="133"/>
      <c r="H92" s="133"/>
      <c r="I92" s="133"/>
      <c r="J92" s="134"/>
      <c r="K92" s="134" t="s">
        <v>129</v>
      </c>
      <c r="L92" s="135">
        <v>22607000000</v>
      </c>
      <c r="M92" s="135">
        <v>4794322613752</v>
      </c>
      <c r="N92" s="136">
        <v>0</v>
      </c>
      <c r="O92" s="136">
        <v>0</v>
      </c>
      <c r="P92" s="136">
        <v>0</v>
      </c>
      <c r="Q92" s="135">
        <v>22607000000</v>
      </c>
      <c r="R92" s="135">
        <v>4794322613752</v>
      </c>
      <c r="S92" s="135">
        <v>4655519653748.4102</v>
      </c>
      <c r="T92" s="135">
        <v>2628270212</v>
      </c>
      <c r="U92" s="137">
        <v>0.97104847312413889</v>
      </c>
      <c r="V92" s="135">
        <v>4643432463448.4102</v>
      </c>
      <c r="W92" s="135">
        <v>12087190300</v>
      </c>
      <c r="X92" s="137">
        <v>2.5963138809365674E-3</v>
      </c>
      <c r="Y92" s="135">
        <v>4594569834108.4102</v>
      </c>
      <c r="Z92" s="135">
        <v>48862629340</v>
      </c>
      <c r="AA92" s="723">
        <v>0.98690805233935031</v>
      </c>
    </row>
    <row r="93" spans="1:27" ht="24.95" customHeight="1">
      <c r="A93" s="32" t="e">
        <v>#REF!</v>
      </c>
      <c r="B93" s="145" t="s">
        <v>23</v>
      </c>
      <c r="C93" s="145" t="s">
        <v>65</v>
      </c>
      <c r="D93" s="145" t="s">
        <v>65</v>
      </c>
      <c r="E93" s="145" t="s">
        <v>25</v>
      </c>
      <c r="F93" s="145" t="s">
        <v>130</v>
      </c>
      <c r="G93" s="145"/>
      <c r="H93" s="145"/>
      <c r="I93" s="145">
        <v>54</v>
      </c>
      <c r="J93" s="146" t="s">
        <v>29</v>
      </c>
      <c r="K93" s="147" t="s">
        <v>131</v>
      </c>
      <c r="L93" s="148"/>
      <c r="M93" s="148">
        <v>14432339552</v>
      </c>
      <c r="N93" s="148"/>
      <c r="O93" s="148"/>
      <c r="P93" s="148"/>
      <c r="Q93" s="148"/>
      <c r="R93" s="148">
        <v>14432339552</v>
      </c>
      <c r="S93" s="149">
        <v>11804069340</v>
      </c>
      <c r="T93" s="148">
        <v>2628270212</v>
      </c>
      <c r="U93" s="150">
        <v>0.8178902178312607</v>
      </c>
      <c r="V93" s="148">
        <v>11804069340</v>
      </c>
      <c r="W93" s="148">
        <v>0</v>
      </c>
      <c r="X93" s="150">
        <v>0</v>
      </c>
      <c r="Y93" s="148"/>
      <c r="Z93" s="148">
        <v>11804069340</v>
      </c>
      <c r="AA93" s="150">
        <v>0</v>
      </c>
    </row>
    <row r="94" spans="1:27" ht="24.95" customHeight="1">
      <c r="A94" s="32" t="e">
        <v>#REF!</v>
      </c>
      <c r="B94" s="145" t="s">
        <v>23</v>
      </c>
      <c r="C94" s="145" t="s">
        <v>65</v>
      </c>
      <c r="D94" s="145" t="s">
        <v>65</v>
      </c>
      <c r="E94" s="145" t="s">
        <v>25</v>
      </c>
      <c r="F94" s="145" t="s">
        <v>130</v>
      </c>
      <c r="G94" s="145"/>
      <c r="H94" s="145"/>
      <c r="I94" s="145">
        <v>54</v>
      </c>
      <c r="J94" s="146" t="s">
        <v>29</v>
      </c>
      <c r="K94" s="147" t="s">
        <v>132</v>
      </c>
      <c r="L94" s="148"/>
      <c r="M94" s="149">
        <v>3962175234200</v>
      </c>
      <c r="N94" s="148"/>
      <c r="O94" s="148"/>
      <c r="P94" s="148"/>
      <c r="Q94" s="148"/>
      <c r="R94" s="148">
        <v>3962175234200</v>
      </c>
      <c r="S94" s="149">
        <v>3826000544408.4102</v>
      </c>
      <c r="T94" s="148"/>
      <c r="U94" s="150">
        <v>0.96563133083661179</v>
      </c>
      <c r="V94" s="148">
        <v>3817331834108.4102</v>
      </c>
      <c r="W94" s="148">
        <v>8668710300</v>
      </c>
      <c r="X94" s="150">
        <v>2.265736818221072E-3</v>
      </c>
      <c r="Y94" s="148">
        <v>3780273274108.4102</v>
      </c>
      <c r="Z94" s="148">
        <v>37058560000</v>
      </c>
      <c r="AA94" s="150">
        <v>0.98804828442410209</v>
      </c>
    </row>
    <row r="95" spans="1:27" ht="24.95" customHeight="1">
      <c r="A95" s="32" t="e">
        <v>#REF!</v>
      </c>
      <c r="B95" s="145" t="s">
        <v>23</v>
      </c>
      <c r="C95" s="145" t="s">
        <v>65</v>
      </c>
      <c r="D95" s="145" t="s">
        <v>65</v>
      </c>
      <c r="E95" s="145" t="s">
        <v>25</v>
      </c>
      <c r="F95" s="145" t="s">
        <v>130</v>
      </c>
      <c r="G95" s="145"/>
      <c r="H95" s="145"/>
      <c r="I95" s="145">
        <v>54</v>
      </c>
      <c r="J95" s="146" t="s">
        <v>29</v>
      </c>
      <c r="K95" s="147" t="s">
        <v>133</v>
      </c>
      <c r="L95" s="148"/>
      <c r="M95" s="149">
        <v>817715040000</v>
      </c>
      <c r="N95" s="148"/>
      <c r="O95" s="148"/>
      <c r="P95" s="148"/>
      <c r="Q95" s="148"/>
      <c r="R95" s="148">
        <v>817715040000</v>
      </c>
      <c r="S95" s="149">
        <v>817715040000</v>
      </c>
      <c r="T95" s="148"/>
      <c r="U95" s="150">
        <v>1</v>
      </c>
      <c r="V95" s="148">
        <v>814296560000</v>
      </c>
      <c r="W95" s="148">
        <v>3418480000</v>
      </c>
      <c r="X95" s="150">
        <v>4.1805272408833279E-3</v>
      </c>
      <c r="Y95" s="148">
        <v>814296560000</v>
      </c>
      <c r="Z95" s="148">
        <v>0</v>
      </c>
      <c r="AA95" s="150">
        <v>0.99581947275911664</v>
      </c>
    </row>
    <row r="96" spans="1:27" ht="24.95" customHeight="1">
      <c r="A96" s="32" t="e">
        <v>#REF!</v>
      </c>
      <c r="B96" s="145" t="s">
        <v>23</v>
      </c>
      <c r="C96" s="145" t="s">
        <v>65</v>
      </c>
      <c r="D96" s="145" t="s">
        <v>65</v>
      </c>
      <c r="E96" s="145" t="s">
        <v>25</v>
      </c>
      <c r="F96" s="145" t="s">
        <v>134</v>
      </c>
      <c r="G96" s="145"/>
      <c r="H96" s="145"/>
      <c r="I96" s="145" t="s">
        <v>28</v>
      </c>
      <c r="J96" s="146" t="s">
        <v>29</v>
      </c>
      <c r="K96" s="147" t="s">
        <v>135</v>
      </c>
      <c r="L96" s="148">
        <v>11607000000</v>
      </c>
      <c r="M96" s="148"/>
      <c r="N96" s="148"/>
      <c r="O96" s="148"/>
      <c r="P96" s="148"/>
      <c r="Q96" s="148">
        <v>11607000000</v>
      </c>
      <c r="R96" s="148">
        <v>0</v>
      </c>
      <c r="S96" s="148"/>
      <c r="T96" s="148">
        <v>0</v>
      </c>
      <c r="U96" s="150">
        <v>0</v>
      </c>
      <c r="V96" s="148"/>
      <c r="W96" s="148">
        <v>0</v>
      </c>
      <c r="X96" s="150">
        <v>0</v>
      </c>
      <c r="Y96" s="148"/>
      <c r="Z96" s="148">
        <v>0</v>
      </c>
      <c r="AA96" s="150">
        <v>0</v>
      </c>
    </row>
    <row r="97" spans="1:29" ht="24.95" customHeight="1">
      <c r="A97" s="32" t="e">
        <v>#REF!</v>
      </c>
      <c r="B97" s="145" t="s">
        <v>23</v>
      </c>
      <c r="C97" s="145" t="s">
        <v>65</v>
      </c>
      <c r="D97" s="145" t="s">
        <v>65</v>
      </c>
      <c r="E97" s="145" t="s">
        <v>25</v>
      </c>
      <c r="F97" s="145" t="s">
        <v>134</v>
      </c>
      <c r="G97" s="145"/>
      <c r="H97" s="145"/>
      <c r="I97" s="145">
        <v>11</v>
      </c>
      <c r="J97" s="146" t="s">
        <v>29</v>
      </c>
      <c r="K97" s="147" t="s">
        <v>135</v>
      </c>
      <c r="L97" s="148">
        <v>11000000000</v>
      </c>
      <c r="M97" s="148"/>
      <c r="N97" s="148"/>
      <c r="O97" s="148"/>
      <c r="P97" s="148"/>
      <c r="Q97" s="148">
        <v>11000000000</v>
      </c>
      <c r="R97" s="148">
        <v>0</v>
      </c>
      <c r="S97" s="148"/>
      <c r="T97" s="148">
        <v>0</v>
      </c>
      <c r="U97" s="150">
        <v>0</v>
      </c>
      <c r="V97" s="148"/>
      <c r="W97" s="148">
        <v>0</v>
      </c>
      <c r="X97" s="150">
        <v>0</v>
      </c>
      <c r="Y97" s="148"/>
      <c r="Z97" s="148">
        <v>0</v>
      </c>
      <c r="AA97" s="150">
        <v>0</v>
      </c>
    </row>
    <row r="98" spans="1:29" ht="24" customHeight="1">
      <c r="A98" s="32" t="e">
        <v>#REF!</v>
      </c>
      <c r="B98" s="128" t="s">
        <v>23</v>
      </c>
      <c r="C98" s="128" t="s">
        <v>65</v>
      </c>
      <c r="D98" s="128" t="s">
        <v>136</v>
      </c>
      <c r="E98" s="128"/>
      <c r="F98" s="128"/>
      <c r="G98" s="128"/>
      <c r="H98" s="128"/>
      <c r="I98" s="129"/>
      <c r="J98" s="129"/>
      <c r="K98" s="129" t="s">
        <v>137</v>
      </c>
      <c r="L98" s="130">
        <v>534000000</v>
      </c>
      <c r="M98" s="721">
        <v>0</v>
      </c>
      <c r="N98" s="721">
        <v>0</v>
      </c>
      <c r="O98" s="130">
        <v>100000000</v>
      </c>
      <c r="P98" s="130">
        <v>100000000</v>
      </c>
      <c r="Q98" s="721">
        <v>0</v>
      </c>
      <c r="R98" s="130">
        <v>534000000</v>
      </c>
      <c r="S98" s="130">
        <v>345285827</v>
      </c>
      <c r="T98" s="130">
        <v>188714173</v>
      </c>
      <c r="U98" s="131">
        <v>0.64660267228464419</v>
      </c>
      <c r="V98" s="130">
        <v>97384410</v>
      </c>
      <c r="W98" s="130">
        <v>247901417</v>
      </c>
      <c r="X98" s="131">
        <v>0.7179600134586468</v>
      </c>
      <c r="Y98" s="130">
        <v>97384410</v>
      </c>
      <c r="Z98" s="721">
        <v>0</v>
      </c>
      <c r="AA98" s="722">
        <v>0.28203998654135315</v>
      </c>
    </row>
    <row r="99" spans="1:29" ht="24" customHeight="1">
      <c r="A99" s="32" t="e">
        <v>#REF!</v>
      </c>
      <c r="B99" s="133" t="s">
        <v>23</v>
      </c>
      <c r="C99" s="133" t="s">
        <v>65</v>
      </c>
      <c r="D99" s="133" t="s">
        <v>136</v>
      </c>
      <c r="E99" s="133" t="s">
        <v>54</v>
      </c>
      <c r="F99" s="133"/>
      <c r="G99" s="133"/>
      <c r="H99" s="133"/>
      <c r="I99" s="133" t="s">
        <v>28</v>
      </c>
      <c r="J99" s="134" t="s">
        <v>29</v>
      </c>
      <c r="K99" s="134" t="s">
        <v>138</v>
      </c>
      <c r="L99" s="135">
        <v>534000000</v>
      </c>
      <c r="M99" s="136">
        <v>0</v>
      </c>
      <c r="N99" s="136">
        <v>0</v>
      </c>
      <c r="O99" s="135">
        <v>100000000</v>
      </c>
      <c r="P99" s="135">
        <v>100000000</v>
      </c>
      <c r="Q99" s="136">
        <v>0</v>
      </c>
      <c r="R99" s="135">
        <v>534000000</v>
      </c>
      <c r="S99" s="135">
        <v>345285827</v>
      </c>
      <c r="T99" s="135">
        <v>188714173</v>
      </c>
      <c r="U99" s="137">
        <v>0.64660267228464419</v>
      </c>
      <c r="V99" s="135">
        <v>97384410</v>
      </c>
      <c r="W99" s="135">
        <v>247901417</v>
      </c>
      <c r="X99" s="137">
        <v>0.7179600134586468</v>
      </c>
      <c r="Y99" s="135">
        <v>97384410</v>
      </c>
      <c r="Z99" s="136">
        <v>0</v>
      </c>
      <c r="AA99" s="723">
        <v>0.28203998654135315</v>
      </c>
    </row>
    <row r="100" spans="1:29" ht="24.95" customHeight="1">
      <c r="A100" s="32" t="e">
        <v>#REF!</v>
      </c>
      <c r="B100" s="139" t="s">
        <v>23</v>
      </c>
      <c r="C100" s="139" t="s">
        <v>65</v>
      </c>
      <c r="D100" s="139" t="s">
        <v>136</v>
      </c>
      <c r="E100" s="139" t="s">
        <v>54</v>
      </c>
      <c r="F100" s="139" t="s">
        <v>52</v>
      </c>
      <c r="G100" s="139"/>
      <c r="H100" s="139"/>
      <c r="I100" s="139" t="s">
        <v>28</v>
      </c>
      <c r="J100" s="140" t="s">
        <v>29</v>
      </c>
      <c r="K100" s="140" t="s">
        <v>139</v>
      </c>
      <c r="L100" s="141">
        <v>534000000</v>
      </c>
      <c r="M100" s="142">
        <v>0</v>
      </c>
      <c r="N100" s="142">
        <v>0</v>
      </c>
      <c r="O100" s="141">
        <v>100000000</v>
      </c>
      <c r="P100" s="141">
        <v>100000000</v>
      </c>
      <c r="Q100" s="142">
        <v>0</v>
      </c>
      <c r="R100" s="141">
        <v>534000000</v>
      </c>
      <c r="S100" s="141">
        <v>345285827</v>
      </c>
      <c r="T100" s="141">
        <v>188714173</v>
      </c>
      <c r="U100" s="143">
        <v>0.64660267228464419</v>
      </c>
      <c r="V100" s="141">
        <v>97384410</v>
      </c>
      <c r="W100" s="141">
        <v>247901417</v>
      </c>
      <c r="X100" s="143">
        <v>0.7179600134586468</v>
      </c>
      <c r="Y100" s="141">
        <v>97384410</v>
      </c>
      <c r="Z100" s="142">
        <v>0</v>
      </c>
      <c r="AA100" s="724">
        <v>0.28203998654135315</v>
      </c>
    </row>
    <row r="101" spans="1:29" ht="24.95" customHeight="1">
      <c r="A101" s="32" t="e">
        <v>#REF!</v>
      </c>
      <c r="B101" s="145" t="s">
        <v>23</v>
      </c>
      <c r="C101" s="145" t="s">
        <v>65</v>
      </c>
      <c r="D101" s="145" t="s">
        <v>136</v>
      </c>
      <c r="E101" s="145" t="s">
        <v>54</v>
      </c>
      <c r="F101" s="145" t="s">
        <v>52</v>
      </c>
      <c r="G101" s="145" t="s">
        <v>31</v>
      </c>
      <c r="H101" s="145"/>
      <c r="I101" s="145" t="s">
        <v>28</v>
      </c>
      <c r="J101" s="146" t="s">
        <v>29</v>
      </c>
      <c r="K101" s="147" t="s">
        <v>140</v>
      </c>
      <c r="L101" s="148">
        <v>367000000</v>
      </c>
      <c r="M101" s="148"/>
      <c r="N101" s="148"/>
      <c r="O101" s="148"/>
      <c r="P101" s="149">
        <v>100000000</v>
      </c>
      <c r="Q101" s="148"/>
      <c r="R101" s="148">
        <v>267000000</v>
      </c>
      <c r="S101" s="148">
        <v>154069794</v>
      </c>
      <c r="T101" s="148">
        <v>112930206</v>
      </c>
      <c r="U101" s="150">
        <v>0.5770404269662921</v>
      </c>
      <c r="V101" s="148">
        <v>82892560</v>
      </c>
      <c r="W101" s="148">
        <v>71177234</v>
      </c>
      <c r="X101" s="150">
        <v>0.46198045802540633</v>
      </c>
      <c r="Y101" s="148">
        <v>82892560</v>
      </c>
      <c r="Z101" s="148">
        <v>0</v>
      </c>
      <c r="AA101" s="150">
        <v>0.53801954197459367</v>
      </c>
    </row>
    <row r="102" spans="1:29" ht="24.95" customHeight="1">
      <c r="A102" s="32" t="e">
        <v>#REF!</v>
      </c>
      <c r="B102" s="145" t="s">
        <v>23</v>
      </c>
      <c r="C102" s="145" t="s">
        <v>65</v>
      </c>
      <c r="D102" s="145" t="s">
        <v>136</v>
      </c>
      <c r="E102" s="145" t="s">
        <v>54</v>
      </c>
      <c r="F102" s="145" t="s">
        <v>52</v>
      </c>
      <c r="G102" s="145" t="s">
        <v>34</v>
      </c>
      <c r="H102" s="145"/>
      <c r="I102" s="145" t="s">
        <v>28</v>
      </c>
      <c r="J102" s="146" t="s">
        <v>29</v>
      </c>
      <c r="K102" s="147" t="s">
        <v>141</v>
      </c>
      <c r="L102" s="148">
        <v>167000000</v>
      </c>
      <c r="M102" s="148"/>
      <c r="N102" s="148"/>
      <c r="O102" s="149">
        <v>100000000</v>
      </c>
      <c r="P102" s="148"/>
      <c r="Q102" s="148"/>
      <c r="R102" s="148">
        <v>267000000</v>
      </c>
      <c r="S102" s="148">
        <v>191216033</v>
      </c>
      <c r="T102" s="148">
        <v>75783967</v>
      </c>
      <c r="U102" s="150">
        <v>0.71616491760299628</v>
      </c>
      <c r="V102" s="148">
        <v>14491850</v>
      </c>
      <c r="W102" s="148">
        <v>176724183</v>
      </c>
      <c r="X102" s="150">
        <v>0.92421216059847866</v>
      </c>
      <c r="Y102" s="148">
        <v>14491850</v>
      </c>
      <c r="Z102" s="148">
        <v>0</v>
      </c>
      <c r="AA102" s="150">
        <v>7.5787839401521312E-2</v>
      </c>
    </row>
    <row r="103" spans="1:29" ht="24.95" hidden="1" customHeight="1">
      <c r="A103" s="32" t="e">
        <v>#REF!</v>
      </c>
      <c r="B103" s="145" t="s">
        <v>23</v>
      </c>
      <c r="C103" s="145" t="s">
        <v>65</v>
      </c>
      <c r="D103" s="145" t="s">
        <v>136</v>
      </c>
      <c r="E103" s="145" t="s">
        <v>54</v>
      </c>
      <c r="F103" s="145" t="s">
        <v>142</v>
      </c>
      <c r="G103" s="145"/>
      <c r="H103" s="145"/>
      <c r="I103" s="145" t="s">
        <v>28</v>
      </c>
      <c r="J103" s="146" t="s">
        <v>29</v>
      </c>
      <c r="K103" s="147" t="s">
        <v>260</v>
      </c>
      <c r="L103" s="148">
        <v>0</v>
      </c>
      <c r="M103" s="148"/>
      <c r="N103" s="148"/>
      <c r="O103" s="148"/>
      <c r="P103" s="148"/>
      <c r="Q103" s="148"/>
      <c r="R103" s="148">
        <v>0</v>
      </c>
      <c r="S103" s="148">
        <v>0</v>
      </c>
      <c r="T103" s="148">
        <v>0</v>
      </c>
      <c r="U103" s="150">
        <v>0</v>
      </c>
      <c r="V103" s="148">
        <v>0</v>
      </c>
      <c r="W103" s="148">
        <v>0</v>
      </c>
      <c r="X103" s="150">
        <v>0</v>
      </c>
      <c r="Y103" s="148">
        <v>0</v>
      </c>
      <c r="Z103" s="148">
        <v>0</v>
      </c>
      <c r="AA103" s="150">
        <v>0</v>
      </c>
    </row>
    <row r="104" spans="1:29" ht="24" customHeight="1">
      <c r="A104" s="32" t="e">
        <v>#REF!</v>
      </c>
      <c r="B104" s="128" t="s">
        <v>23</v>
      </c>
      <c r="C104" s="128" t="s">
        <v>65</v>
      </c>
      <c r="D104" s="128" t="s">
        <v>28</v>
      </c>
      <c r="E104" s="128"/>
      <c r="F104" s="128"/>
      <c r="G104" s="128"/>
      <c r="H104" s="128"/>
      <c r="I104" s="129"/>
      <c r="J104" s="129"/>
      <c r="K104" s="129" t="s">
        <v>143</v>
      </c>
      <c r="L104" s="130">
        <v>2675000000</v>
      </c>
      <c r="M104" s="721">
        <v>0</v>
      </c>
      <c r="N104" s="721">
        <v>0</v>
      </c>
      <c r="O104" s="721">
        <v>0</v>
      </c>
      <c r="P104" s="721">
        <v>0</v>
      </c>
      <c r="Q104" s="721">
        <v>0</v>
      </c>
      <c r="R104" s="130">
        <v>2675000000</v>
      </c>
      <c r="S104" s="130">
        <v>1742062017</v>
      </c>
      <c r="T104" s="130">
        <v>932937983</v>
      </c>
      <c r="U104" s="131">
        <v>0.65123813719626167</v>
      </c>
      <c r="V104" s="130">
        <v>1742062017</v>
      </c>
      <c r="W104" s="130">
        <v>0</v>
      </c>
      <c r="X104" s="131">
        <v>0</v>
      </c>
      <c r="Y104" s="130">
        <v>1742062017</v>
      </c>
      <c r="Z104" s="130">
        <v>0</v>
      </c>
      <c r="AA104" s="722">
        <v>1</v>
      </c>
    </row>
    <row r="105" spans="1:29" ht="24" customHeight="1">
      <c r="A105" s="32" t="e">
        <v>#REF!</v>
      </c>
      <c r="B105" s="133" t="s">
        <v>23</v>
      </c>
      <c r="C105" s="133" t="s">
        <v>65</v>
      </c>
      <c r="D105" s="133" t="s">
        <v>28</v>
      </c>
      <c r="E105" s="133" t="s">
        <v>25</v>
      </c>
      <c r="F105" s="133"/>
      <c r="G105" s="133"/>
      <c r="H105" s="133"/>
      <c r="I105" s="133" t="s">
        <v>144</v>
      </c>
      <c r="J105" s="134" t="s">
        <v>29</v>
      </c>
      <c r="K105" s="134" t="s">
        <v>145</v>
      </c>
      <c r="L105" s="135">
        <v>2675000000</v>
      </c>
      <c r="M105" s="136">
        <v>0</v>
      </c>
      <c r="N105" s="136">
        <v>0</v>
      </c>
      <c r="O105" s="136">
        <v>0</v>
      </c>
      <c r="P105" s="136">
        <v>0</v>
      </c>
      <c r="Q105" s="136">
        <v>0</v>
      </c>
      <c r="R105" s="135">
        <v>2675000000</v>
      </c>
      <c r="S105" s="135">
        <v>1742062017</v>
      </c>
      <c r="T105" s="135">
        <v>932937983</v>
      </c>
      <c r="U105" s="137">
        <v>0.65123813719626167</v>
      </c>
      <c r="V105" s="135">
        <v>1742062017</v>
      </c>
      <c r="W105" s="136">
        <v>0</v>
      </c>
      <c r="X105" s="137">
        <v>0</v>
      </c>
      <c r="Y105" s="135">
        <v>1742062017</v>
      </c>
      <c r="Z105" s="135">
        <v>0</v>
      </c>
      <c r="AA105" s="723">
        <v>1</v>
      </c>
    </row>
    <row r="106" spans="1:29" ht="24.95" customHeight="1">
      <c r="A106" s="32" t="e">
        <v>#REF!</v>
      </c>
      <c r="B106" s="145" t="s">
        <v>23</v>
      </c>
      <c r="C106" s="145" t="s">
        <v>65</v>
      </c>
      <c r="D106" s="145" t="s">
        <v>28</v>
      </c>
      <c r="E106" s="145" t="s">
        <v>25</v>
      </c>
      <c r="F106" s="145" t="s">
        <v>31</v>
      </c>
      <c r="G106" s="145"/>
      <c r="H106" s="145"/>
      <c r="I106" s="145">
        <v>10</v>
      </c>
      <c r="J106" s="146" t="s">
        <v>29</v>
      </c>
      <c r="K106" s="147" t="s">
        <v>146</v>
      </c>
      <c r="L106" s="148">
        <v>2675000000</v>
      </c>
      <c r="M106" s="148"/>
      <c r="N106" s="148"/>
      <c r="O106" s="148"/>
      <c r="P106" s="148"/>
      <c r="Q106" s="148"/>
      <c r="R106" s="148">
        <v>2675000000</v>
      </c>
      <c r="S106" s="149">
        <v>1742062017</v>
      </c>
      <c r="T106" s="148">
        <v>932937983</v>
      </c>
      <c r="U106" s="150">
        <v>0.65123813719626167</v>
      </c>
      <c r="V106" s="148">
        <v>1742062017</v>
      </c>
      <c r="W106" s="148">
        <v>0</v>
      </c>
      <c r="X106" s="150">
        <v>0</v>
      </c>
      <c r="Y106" s="148">
        <v>1742062017</v>
      </c>
      <c r="Z106" s="148">
        <v>0</v>
      </c>
      <c r="AA106" s="150">
        <v>1</v>
      </c>
    </row>
    <row r="107" spans="1:29" ht="24" customHeight="1">
      <c r="A107" s="32" t="e">
        <v>#REF!</v>
      </c>
      <c r="B107" s="123" t="s">
        <v>23</v>
      </c>
      <c r="C107" s="123" t="s">
        <v>148</v>
      </c>
      <c r="D107" s="123"/>
      <c r="E107" s="123"/>
      <c r="F107" s="123"/>
      <c r="G107" s="123"/>
      <c r="H107" s="123"/>
      <c r="I107" s="124"/>
      <c r="J107" s="124"/>
      <c r="K107" s="124" t="s">
        <v>149</v>
      </c>
      <c r="L107" s="125">
        <v>6047000000</v>
      </c>
      <c r="M107" s="719">
        <v>0</v>
      </c>
      <c r="N107" s="719">
        <v>0</v>
      </c>
      <c r="O107" s="719">
        <v>0</v>
      </c>
      <c r="P107" s="719">
        <v>0</v>
      </c>
      <c r="Q107" s="719">
        <v>0</v>
      </c>
      <c r="R107" s="125">
        <v>6047000000</v>
      </c>
      <c r="S107" s="125">
        <v>79370301</v>
      </c>
      <c r="T107" s="125">
        <v>5967629699</v>
      </c>
      <c r="U107" s="126">
        <v>1.3125566561931536E-2</v>
      </c>
      <c r="V107" s="125">
        <v>79269804.840000004</v>
      </c>
      <c r="W107" s="125">
        <v>100496.16000000015</v>
      </c>
      <c r="X107" s="126">
        <v>1.266168311494751E-3</v>
      </c>
      <c r="Y107" s="125">
        <v>79176369.840000004</v>
      </c>
      <c r="Z107" s="125">
        <v>93435</v>
      </c>
      <c r="AA107" s="720">
        <v>0.99755662813978752</v>
      </c>
    </row>
    <row r="108" spans="1:29" ht="24" customHeight="1">
      <c r="A108" s="32" t="e">
        <v>#REF!</v>
      </c>
      <c r="B108" s="128" t="s">
        <v>23</v>
      </c>
      <c r="C108" s="128" t="s">
        <v>148</v>
      </c>
      <c r="D108" s="128" t="s">
        <v>25</v>
      </c>
      <c r="E108" s="128"/>
      <c r="F108" s="128"/>
      <c r="G108" s="128"/>
      <c r="H108" s="128"/>
      <c r="I108" s="129"/>
      <c r="J108" s="129"/>
      <c r="K108" s="129" t="s">
        <v>150</v>
      </c>
      <c r="L108" s="130">
        <v>134000000</v>
      </c>
      <c r="M108" s="721">
        <v>0</v>
      </c>
      <c r="N108" s="721">
        <v>0</v>
      </c>
      <c r="O108" s="721">
        <v>0</v>
      </c>
      <c r="P108" s="721">
        <v>0</v>
      </c>
      <c r="Q108" s="721">
        <v>0</v>
      </c>
      <c r="R108" s="130">
        <v>134000000</v>
      </c>
      <c r="S108" s="130">
        <v>79370301</v>
      </c>
      <c r="T108" s="130">
        <v>54629699</v>
      </c>
      <c r="U108" s="131">
        <v>0.59231567910447758</v>
      </c>
      <c r="V108" s="130">
        <v>79269804.840000004</v>
      </c>
      <c r="W108" s="130">
        <v>100496.16000000015</v>
      </c>
      <c r="X108" s="131">
        <v>1.266168311494751E-3</v>
      </c>
      <c r="Y108" s="130">
        <v>79176369.840000004</v>
      </c>
      <c r="Z108" s="130">
        <v>93435</v>
      </c>
      <c r="AA108" s="722">
        <v>0.99755662813978752</v>
      </c>
    </row>
    <row r="109" spans="1:29" ht="24" customHeight="1">
      <c r="A109" s="32" t="e">
        <v>#REF!</v>
      </c>
      <c r="B109" s="133" t="s">
        <v>23</v>
      </c>
      <c r="C109" s="133" t="s">
        <v>148</v>
      </c>
      <c r="D109" s="133" t="s">
        <v>25</v>
      </c>
      <c r="E109" s="133" t="s">
        <v>54</v>
      </c>
      <c r="F109" s="133"/>
      <c r="G109" s="133"/>
      <c r="H109" s="133"/>
      <c r="I109" s="133" t="s">
        <v>28</v>
      </c>
      <c r="J109" s="134" t="s">
        <v>29</v>
      </c>
      <c r="K109" s="134" t="s">
        <v>151</v>
      </c>
      <c r="L109" s="135">
        <v>134000000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5">
        <v>134000000</v>
      </c>
      <c r="S109" s="135">
        <v>79370301</v>
      </c>
      <c r="T109" s="135">
        <v>54629699</v>
      </c>
      <c r="U109" s="137">
        <v>0.59231567910447758</v>
      </c>
      <c r="V109" s="135">
        <v>79269804.840000004</v>
      </c>
      <c r="W109" s="136">
        <v>100496.16000000015</v>
      </c>
      <c r="X109" s="137">
        <v>1.266168311494751E-3</v>
      </c>
      <c r="Y109" s="135">
        <v>79176369.840000004</v>
      </c>
      <c r="Z109" s="135">
        <v>93435</v>
      </c>
      <c r="AA109" s="723">
        <v>0.99755662813978752</v>
      </c>
    </row>
    <row r="110" spans="1:29" ht="24.95" customHeight="1">
      <c r="A110" s="32" t="e">
        <v>#REF!</v>
      </c>
      <c r="B110" s="145" t="s">
        <v>23</v>
      </c>
      <c r="C110" s="145" t="s">
        <v>148</v>
      </c>
      <c r="D110" s="145" t="s">
        <v>25</v>
      </c>
      <c r="E110" s="145" t="s">
        <v>54</v>
      </c>
      <c r="F110" s="145" t="s">
        <v>31</v>
      </c>
      <c r="G110" s="145"/>
      <c r="H110" s="145"/>
      <c r="I110" s="145" t="s">
        <v>28</v>
      </c>
      <c r="J110" s="146" t="s">
        <v>29</v>
      </c>
      <c r="K110" s="147" t="s">
        <v>152</v>
      </c>
      <c r="L110" s="148">
        <v>60000000</v>
      </c>
      <c r="M110" s="148"/>
      <c r="N110" s="148"/>
      <c r="O110" s="148"/>
      <c r="P110" s="148"/>
      <c r="Q110" s="148"/>
      <c r="R110" s="148">
        <v>60000000</v>
      </c>
      <c r="S110" s="148">
        <v>50544836</v>
      </c>
      <c r="T110" s="148">
        <v>9455164</v>
      </c>
      <c r="U110" s="150">
        <v>0.84241393333333336</v>
      </c>
      <c r="V110" s="148">
        <v>50544836</v>
      </c>
      <c r="W110" s="148">
        <v>0</v>
      </c>
      <c r="X110" s="150">
        <v>0</v>
      </c>
      <c r="Y110" s="148">
        <v>50544836</v>
      </c>
      <c r="Z110" s="148">
        <v>0</v>
      </c>
      <c r="AA110" s="150">
        <v>1</v>
      </c>
    </row>
    <row r="111" spans="1:29" ht="24.95" customHeight="1">
      <c r="A111" s="32" t="e">
        <v>#REF!</v>
      </c>
      <c r="B111" s="145" t="s">
        <v>23</v>
      </c>
      <c r="C111" s="145" t="s">
        <v>148</v>
      </c>
      <c r="D111" s="145" t="s">
        <v>25</v>
      </c>
      <c r="E111" s="145" t="s">
        <v>54</v>
      </c>
      <c r="F111" s="145" t="s">
        <v>38</v>
      </c>
      <c r="G111" s="145"/>
      <c r="H111" s="145"/>
      <c r="I111" s="145" t="s">
        <v>28</v>
      </c>
      <c r="J111" s="146" t="s">
        <v>29</v>
      </c>
      <c r="K111" s="147" t="s">
        <v>153</v>
      </c>
      <c r="L111" s="148">
        <v>59000000</v>
      </c>
      <c r="M111" s="148"/>
      <c r="N111" s="148"/>
      <c r="O111" s="148"/>
      <c r="P111" s="148"/>
      <c r="Q111" s="148"/>
      <c r="R111" s="148">
        <v>59000000</v>
      </c>
      <c r="S111" s="148">
        <v>21880435</v>
      </c>
      <c r="T111" s="148">
        <v>37119565</v>
      </c>
      <c r="U111" s="150">
        <v>0.37085483050847456</v>
      </c>
      <c r="V111" s="148">
        <v>21779938.84</v>
      </c>
      <c r="W111" s="148">
        <v>100496.16000000015</v>
      </c>
      <c r="X111" s="150">
        <v>4.5929690154697632E-3</v>
      </c>
      <c r="Y111" s="148">
        <v>21686503.84</v>
      </c>
      <c r="Z111" s="148">
        <v>93435</v>
      </c>
      <c r="AA111" s="150">
        <v>0.99113677767375286</v>
      </c>
    </row>
    <row r="112" spans="1:29" ht="24.95" customHeight="1">
      <c r="A112" s="32" t="e">
        <v>#REF!</v>
      </c>
      <c r="B112" s="145" t="s">
        <v>23</v>
      </c>
      <c r="C112" s="145" t="s">
        <v>148</v>
      </c>
      <c r="D112" s="145" t="s">
        <v>25</v>
      </c>
      <c r="E112" s="145" t="s">
        <v>54</v>
      </c>
      <c r="F112" s="145" t="s">
        <v>42</v>
      </c>
      <c r="G112" s="145"/>
      <c r="H112" s="145"/>
      <c r="I112" s="145" t="s">
        <v>28</v>
      </c>
      <c r="J112" s="146" t="s">
        <v>29</v>
      </c>
      <c r="K112" s="147" t="s">
        <v>154</v>
      </c>
      <c r="L112" s="148">
        <v>15000000</v>
      </c>
      <c r="M112" s="148"/>
      <c r="N112" s="148"/>
      <c r="O112" s="148"/>
      <c r="P112" s="148"/>
      <c r="Q112" s="148"/>
      <c r="R112" s="148">
        <v>15000000</v>
      </c>
      <c r="S112" s="148">
        <v>6945030</v>
      </c>
      <c r="T112" s="148">
        <v>8054970</v>
      </c>
      <c r="U112" s="150">
        <v>0.46300200000000002</v>
      </c>
      <c r="V112" s="148">
        <v>6945030</v>
      </c>
      <c r="W112" s="148">
        <v>0</v>
      </c>
      <c r="X112" s="150">
        <v>0</v>
      </c>
      <c r="Y112" s="148">
        <v>6945030</v>
      </c>
      <c r="Z112" s="148">
        <v>0</v>
      </c>
      <c r="AA112" s="150">
        <v>1</v>
      </c>
    </row>
    <row r="113" spans="1:27" ht="24" customHeight="1">
      <c r="A113" s="32" t="e">
        <v>#REF!</v>
      </c>
      <c r="B113" s="128" t="s">
        <v>23</v>
      </c>
      <c r="C113" s="128" t="s">
        <v>148</v>
      </c>
      <c r="D113" s="128" t="s">
        <v>136</v>
      </c>
      <c r="E113" s="128"/>
      <c r="F113" s="128"/>
      <c r="G113" s="128"/>
      <c r="H113" s="128"/>
      <c r="I113" s="129"/>
      <c r="J113" s="129"/>
      <c r="K113" s="129" t="s">
        <v>155</v>
      </c>
      <c r="L113" s="130">
        <v>5913000000</v>
      </c>
      <c r="M113" s="721">
        <v>0</v>
      </c>
      <c r="N113" s="721">
        <v>0</v>
      </c>
      <c r="O113" s="721">
        <v>0</v>
      </c>
      <c r="P113" s="721">
        <v>0</v>
      </c>
      <c r="Q113" s="721">
        <v>0</v>
      </c>
      <c r="R113" s="130">
        <v>5913000000</v>
      </c>
      <c r="S113" s="130">
        <v>0</v>
      </c>
      <c r="T113" s="130">
        <v>5913000000</v>
      </c>
      <c r="U113" s="131">
        <v>0</v>
      </c>
      <c r="V113" s="130">
        <v>0</v>
      </c>
      <c r="W113" s="130">
        <v>0</v>
      </c>
      <c r="X113" s="131">
        <v>0</v>
      </c>
      <c r="Y113" s="130">
        <v>0</v>
      </c>
      <c r="Z113" s="130">
        <v>0</v>
      </c>
      <c r="AA113" s="722">
        <v>0</v>
      </c>
    </row>
    <row r="114" spans="1:27" ht="24.95" hidden="1" customHeight="1">
      <c r="A114" s="32"/>
      <c r="B114" s="145" t="s">
        <v>23</v>
      </c>
      <c r="C114" s="145" t="s">
        <v>148</v>
      </c>
      <c r="D114" s="145" t="s">
        <v>136</v>
      </c>
      <c r="E114" s="145" t="s">
        <v>25</v>
      </c>
      <c r="F114" s="145"/>
      <c r="G114" s="145"/>
      <c r="H114" s="145"/>
      <c r="I114" s="145">
        <v>10</v>
      </c>
      <c r="J114" s="146" t="s">
        <v>156</v>
      </c>
      <c r="K114" s="147" t="s">
        <v>157</v>
      </c>
      <c r="L114" s="148">
        <v>0</v>
      </c>
      <c r="M114" s="148"/>
      <c r="N114" s="148"/>
      <c r="O114" s="148"/>
      <c r="P114" s="148"/>
      <c r="Q114" s="148"/>
      <c r="R114" s="148">
        <v>0</v>
      </c>
      <c r="S114" s="148">
        <v>0</v>
      </c>
      <c r="T114" s="148">
        <v>0</v>
      </c>
      <c r="U114" s="150">
        <v>0</v>
      </c>
      <c r="V114" s="148">
        <v>0</v>
      </c>
      <c r="W114" s="148">
        <v>0</v>
      </c>
      <c r="X114" s="150">
        <v>0</v>
      </c>
      <c r="Y114" s="148">
        <v>0</v>
      </c>
      <c r="Z114" s="148">
        <v>0</v>
      </c>
      <c r="AA114" s="150">
        <v>0</v>
      </c>
    </row>
    <row r="115" spans="1:27" ht="24.95" customHeight="1">
      <c r="A115" s="32" t="e">
        <v>#REF!</v>
      </c>
      <c r="B115" s="145" t="s">
        <v>23</v>
      </c>
      <c r="C115" s="145" t="s">
        <v>148</v>
      </c>
      <c r="D115" s="145" t="s">
        <v>136</v>
      </c>
      <c r="E115" s="145" t="s">
        <v>25</v>
      </c>
      <c r="F115" s="145"/>
      <c r="G115" s="145"/>
      <c r="H115" s="145"/>
      <c r="I115" s="145" t="s">
        <v>144</v>
      </c>
      <c r="J115" s="146" t="s">
        <v>156</v>
      </c>
      <c r="K115" s="147" t="s">
        <v>157</v>
      </c>
      <c r="L115" s="148">
        <v>5913000000</v>
      </c>
      <c r="M115" s="148"/>
      <c r="N115" s="148"/>
      <c r="O115" s="148"/>
      <c r="P115" s="148"/>
      <c r="Q115" s="148"/>
      <c r="R115" s="148">
        <v>5913000000</v>
      </c>
      <c r="S115" s="149">
        <v>0</v>
      </c>
      <c r="T115" s="148">
        <v>5913000000</v>
      </c>
      <c r="U115" s="150">
        <v>0</v>
      </c>
      <c r="V115" s="148">
        <v>0</v>
      </c>
      <c r="W115" s="148">
        <v>0</v>
      </c>
      <c r="X115" s="150">
        <v>0</v>
      </c>
      <c r="Y115" s="148">
        <v>0</v>
      </c>
      <c r="Z115" s="148">
        <v>0</v>
      </c>
      <c r="AA115" s="150">
        <v>0</v>
      </c>
    </row>
    <row r="116" spans="1:27" ht="35.1" customHeight="1">
      <c r="A116" s="32" t="e">
        <v>#REF!</v>
      </c>
      <c r="B116" s="118" t="s">
        <v>167</v>
      </c>
      <c r="C116" s="119"/>
      <c r="D116" s="119"/>
      <c r="E116" s="119"/>
      <c r="F116" s="119"/>
      <c r="G116" s="119"/>
      <c r="H116" s="119"/>
      <c r="I116" s="119"/>
      <c r="J116" s="119"/>
      <c r="K116" s="119" t="s">
        <v>168</v>
      </c>
      <c r="L116" s="120">
        <v>6230508633098</v>
      </c>
      <c r="M116" s="717">
        <v>0</v>
      </c>
      <c r="N116" s="717">
        <v>0</v>
      </c>
      <c r="O116" s="120">
        <v>89721767950.320007</v>
      </c>
      <c r="P116" s="120">
        <v>89721767950.319992</v>
      </c>
      <c r="Q116" s="120">
        <v>315018861084</v>
      </c>
      <c r="R116" s="120">
        <v>5915489772014</v>
      </c>
      <c r="S116" s="120">
        <v>3973793355866.8203</v>
      </c>
      <c r="T116" s="120">
        <v>1941696416147.1804</v>
      </c>
      <c r="U116" s="121">
        <v>0.67176066716685312</v>
      </c>
      <c r="V116" s="120">
        <v>3380097083368.9995</v>
      </c>
      <c r="W116" s="120">
        <v>593696272497.82007</v>
      </c>
      <c r="X116" s="121">
        <v>0.14940290531748462</v>
      </c>
      <c r="Y116" s="120">
        <v>3047738245707.9995</v>
      </c>
      <c r="Z116" s="120">
        <v>332358837661</v>
      </c>
      <c r="AA116" s="718">
        <v>0.76695941957031721</v>
      </c>
    </row>
    <row r="117" spans="1:27" ht="27.75" customHeight="1">
      <c r="A117" s="32" t="e">
        <v>#REF!</v>
      </c>
      <c r="B117" s="123" t="s">
        <v>167</v>
      </c>
      <c r="C117" s="123">
        <v>4101</v>
      </c>
      <c r="D117" s="123"/>
      <c r="E117" s="123"/>
      <c r="F117" s="123"/>
      <c r="G117" s="123"/>
      <c r="H117" s="123"/>
      <c r="I117" s="124"/>
      <c r="J117" s="124"/>
      <c r="K117" s="124" t="s">
        <v>169</v>
      </c>
      <c r="L117" s="125">
        <v>10248574078</v>
      </c>
      <c r="M117" s="719">
        <v>0</v>
      </c>
      <c r="N117" s="719">
        <v>0</v>
      </c>
      <c r="O117" s="719">
        <v>0</v>
      </c>
      <c r="P117" s="719">
        <v>0</v>
      </c>
      <c r="Q117" s="719">
        <v>0</v>
      </c>
      <c r="R117" s="125">
        <v>10248574078</v>
      </c>
      <c r="S117" s="125">
        <v>10248574078</v>
      </c>
      <c r="T117" s="125">
        <v>0</v>
      </c>
      <c r="U117" s="126">
        <v>1</v>
      </c>
      <c r="V117" s="125">
        <v>10248574078</v>
      </c>
      <c r="W117" s="125">
        <v>0</v>
      </c>
      <c r="X117" s="126">
        <v>0</v>
      </c>
      <c r="Y117" s="125">
        <v>10248574078</v>
      </c>
      <c r="Z117" s="125">
        <v>0</v>
      </c>
      <c r="AA117" s="720">
        <v>1</v>
      </c>
    </row>
    <row r="118" spans="1:27" ht="24" customHeight="1">
      <c r="A118" s="32" t="e">
        <v>#REF!</v>
      </c>
      <c r="B118" s="128" t="s">
        <v>167</v>
      </c>
      <c r="C118" s="128">
        <v>4101</v>
      </c>
      <c r="D118" s="128">
        <v>1500</v>
      </c>
      <c r="E118" s="128"/>
      <c r="F118" s="128"/>
      <c r="G118" s="128"/>
      <c r="H118" s="128"/>
      <c r="I118" s="129"/>
      <c r="J118" s="129"/>
      <c r="K118" s="129" t="s">
        <v>170</v>
      </c>
      <c r="L118" s="130">
        <v>10248574078</v>
      </c>
      <c r="M118" s="721">
        <v>0</v>
      </c>
      <c r="N118" s="721">
        <v>0</v>
      </c>
      <c r="O118" s="721">
        <v>0</v>
      </c>
      <c r="P118" s="721">
        <v>0</v>
      </c>
      <c r="Q118" s="721">
        <v>0</v>
      </c>
      <c r="R118" s="130">
        <v>10248574078</v>
      </c>
      <c r="S118" s="130">
        <v>10248574078</v>
      </c>
      <c r="T118" s="721">
        <v>0</v>
      </c>
      <c r="U118" s="131">
        <v>1</v>
      </c>
      <c r="V118" s="130">
        <v>10248574078</v>
      </c>
      <c r="W118" s="721">
        <v>0</v>
      </c>
      <c r="X118" s="131">
        <v>0</v>
      </c>
      <c r="Y118" s="130">
        <v>10248574078</v>
      </c>
      <c r="Z118" s="721">
        <v>0</v>
      </c>
      <c r="AA118" s="722">
        <v>1</v>
      </c>
    </row>
    <row r="119" spans="1:27" ht="39.75" hidden="1" customHeight="1">
      <c r="A119" s="32" t="e">
        <v>#REF!</v>
      </c>
      <c r="B119" s="133" t="s">
        <v>167</v>
      </c>
      <c r="C119" s="133" t="s">
        <v>171</v>
      </c>
      <c r="D119" s="133" t="s">
        <v>172</v>
      </c>
      <c r="E119" s="133" t="s">
        <v>261</v>
      </c>
      <c r="F119" s="133"/>
      <c r="G119" s="133"/>
      <c r="H119" s="133"/>
      <c r="I119" s="133"/>
      <c r="J119" s="134"/>
      <c r="K119" s="134" t="s">
        <v>262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136">
        <v>0</v>
      </c>
      <c r="S119" s="136">
        <v>0</v>
      </c>
      <c r="T119" s="136">
        <v>0</v>
      </c>
      <c r="U119" s="137">
        <v>0</v>
      </c>
      <c r="V119" s="136">
        <v>0</v>
      </c>
      <c r="W119" s="136">
        <v>0</v>
      </c>
      <c r="X119" s="137">
        <v>0</v>
      </c>
      <c r="Y119" s="136">
        <v>0</v>
      </c>
      <c r="Z119" s="136">
        <v>0</v>
      </c>
      <c r="AA119" s="723">
        <v>0</v>
      </c>
    </row>
    <row r="120" spans="1:27" ht="24.95" hidden="1" customHeight="1">
      <c r="A120" s="32" t="e">
        <v>#REF!</v>
      </c>
      <c r="B120" s="139" t="s">
        <v>167</v>
      </c>
      <c r="C120" s="139" t="s">
        <v>171</v>
      </c>
      <c r="D120" s="139" t="s">
        <v>172</v>
      </c>
      <c r="E120" s="139" t="s">
        <v>261</v>
      </c>
      <c r="F120" s="139" t="s">
        <v>175</v>
      </c>
      <c r="G120" s="139" t="s">
        <v>176</v>
      </c>
      <c r="H120" s="139"/>
      <c r="I120" s="139">
        <v>11</v>
      </c>
      <c r="J120" s="140" t="s">
        <v>29</v>
      </c>
      <c r="K120" s="140" t="s">
        <v>177</v>
      </c>
      <c r="L120" s="142">
        <v>0</v>
      </c>
      <c r="M120" s="142">
        <v>0</v>
      </c>
      <c r="N120" s="142">
        <v>0</v>
      </c>
      <c r="O120" s="142">
        <v>0</v>
      </c>
      <c r="P120" s="142">
        <v>0</v>
      </c>
      <c r="Q120" s="142">
        <v>0</v>
      </c>
      <c r="R120" s="142">
        <v>0</v>
      </c>
      <c r="S120" s="142">
        <v>0</v>
      </c>
      <c r="T120" s="142">
        <v>0</v>
      </c>
      <c r="U120" s="143">
        <v>0</v>
      </c>
      <c r="V120" s="142">
        <v>0</v>
      </c>
      <c r="W120" s="142">
        <v>0</v>
      </c>
      <c r="X120" s="143">
        <v>0</v>
      </c>
      <c r="Y120" s="142">
        <v>0</v>
      </c>
      <c r="Z120" s="142">
        <v>0</v>
      </c>
      <c r="AA120" s="724">
        <v>0</v>
      </c>
    </row>
    <row r="121" spans="1:27" ht="24.95" hidden="1" customHeight="1">
      <c r="A121" s="32" t="e">
        <v>#REF!</v>
      </c>
      <c r="B121" s="145" t="s">
        <v>167</v>
      </c>
      <c r="C121" s="145" t="s">
        <v>171</v>
      </c>
      <c r="D121" s="145" t="s">
        <v>172</v>
      </c>
      <c r="E121" s="145" t="s">
        <v>261</v>
      </c>
      <c r="F121" s="145" t="s">
        <v>175</v>
      </c>
      <c r="G121" s="145" t="s">
        <v>176</v>
      </c>
      <c r="H121" s="145" t="s">
        <v>54</v>
      </c>
      <c r="I121" s="145">
        <v>11</v>
      </c>
      <c r="J121" s="146" t="s">
        <v>29</v>
      </c>
      <c r="K121" s="147" t="s">
        <v>178</v>
      </c>
      <c r="L121" s="148"/>
      <c r="M121" s="148"/>
      <c r="N121" s="148"/>
      <c r="O121" s="148"/>
      <c r="P121" s="148"/>
      <c r="Q121" s="148"/>
      <c r="R121" s="148">
        <v>0</v>
      </c>
      <c r="S121" s="148"/>
      <c r="T121" s="148">
        <v>0</v>
      </c>
      <c r="U121" s="150">
        <v>0</v>
      </c>
      <c r="V121" s="148"/>
      <c r="W121" s="148">
        <v>0</v>
      </c>
      <c r="X121" s="150">
        <v>0</v>
      </c>
      <c r="Y121" s="148"/>
      <c r="Z121" s="148">
        <v>0</v>
      </c>
      <c r="AA121" s="150">
        <v>0</v>
      </c>
    </row>
    <row r="122" spans="1:27" ht="24.95" hidden="1" customHeight="1">
      <c r="A122" s="32" t="e">
        <v>#REF!</v>
      </c>
      <c r="B122" s="139" t="s">
        <v>167</v>
      </c>
      <c r="C122" s="139" t="s">
        <v>171</v>
      </c>
      <c r="D122" s="139" t="s">
        <v>172</v>
      </c>
      <c r="E122" s="139" t="s">
        <v>261</v>
      </c>
      <c r="F122" s="139" t="s">
        <v>175</v>
      </c>
      <c r="G122" s="139" t="s">
        <v>179</v>
      </c>
      <c r="H122" s="139"/>
      <c r="I122" s="139">
        <v>11</v>
      </c>
      <c r="J122" s="140" t="s">
        <v>29</v>
      </c>
      <c r="K122" s="140" t="s">
        <v>180</v>
      </c>
      <c r="L122" s="141">
        <v>0</v>
      </c>
      <c r="M122" s="142">
        <v>0</v>
      </c>
      <c r="N122" s="142">
        <v>0</v>
      </c>
      <c r="O122" s="142">
        <v>0</v>
      </c>
      <c r="P122" s="142">
        <v>0</v>
      </c>
      <c r="Q122" s="142">
        <v>0</v>
      </c>
      <c r="R122" s="141">
        <v>0</v>
      </c>
      <c r="S122" s="141">
        <v>0</v>
      </c>
      <c r="T122" s="141">
        <v>0</v>
      </c>
      <c r="U122" s="143">
        <v>0</v>
      </c>
      <c r="V122" s="141">
        <v>0</v>
      </c>
      <c r="W122" s="142">
        <v>0</v>
      </c>
      <c r="X122" s="143">
        <v>0</v>
      </c>
      <c r="Y122" s="141">
        <v>0</v>
      </c>
      <c r="Z122" s="141">
        <v>0</v>
      </c>
      <c r="AA122" s="724">
        <v>0</v>
      </c>
    </row>
    <row r="123" spans="1:27" ht="24.95" hidden="1" customHeight="1">
      <c r="A123" s="32" t="e">
        <v>#REF!</v>
      </c>
      <c r="B123" s="145" t="s">
        <v>167</v>
      </c>
      <c r="C123" s="145" t="s">
        <v>171</v>
      </c>
      <c r="D123" s="145" t="s">
        <v>172</v>
      </c>
      <c r="E123" s="145">
        <v>5</v>
      </c>
      <c r="F123" s="145" t="s">
        <v>175</v>
      </c>
      <c r="G123" s="145" t="s">
        <v>179</v>
      </c>
      <c r="H123" s="145" t="s">
        <v>54</v>
      </c>
      <c r="I123" s="145">
        <v>11</v>
      </c>
      <c r="J123" s="146" t="s">
        <v>29</v>
      </c>
      <c r="K123" s="147" t="s">
        <v>178</v>
      </c>
      <c r="L123" s="148"/>
      <c r="M123" s="148"/>
      <c r="N123" s="148"/>
      <c r="O123" s="148"/>
      <c r="P123" s="148"/>
      <c r="Q123" s="148"/>
      <c r="R123" s="148">
        <v>0</v>
      </c>
      <c r="S123" s="148"/>
      <c r="T123" s="148">
        <v>0</v>
      </c>
      <c r="U123" s="150">
        <v>0</v>
      </c>
      <c r="V123" s="148"/>
      <c r="W123" s="148">
        <v>0</v>
      </c>
      <c r="X123" s="150">
        <v>0</v>
      </c>
      <c r="Y123" s="148"/>
      <c r="Z123" s="148">
        <v>0</v>
      </c>
      <c r="AA123" s="150">
        <v>0</v>
      </c>
    </row>
    <row r="124" spans="1:27" ht="24.95" hidden="1" customHeight="1">
      <c r="A124" s="32" t="e">
        <v>#REF!</v>
      </c>
      <c r="B124" s="139" t="s">
        <v>167</v>
      </c>
      <c r="C124" s="139" t="s">
        <v>171</v>
      </c>
      <c r="D124" s="139" t="s">
        <v>172</v>
      </c>
      <c r="E124" s="139" t="s">
        <v>261</v>
      </c>
      <c r="F124" s="139" t="s">
        <v>175</v>
      </c>
      <c r="G124" s="139" t="s">
        <v>181</v>
      </c>
      <c r="H124" s="139"/>
      <c r="I124" s="139">
        <v>11</v>
      </c>
      <c r="J124" s="140" t="s">
        <v>29</v>
      </c>
      <c r="K124" s="140" t="s">
        <v>182</v>
      </c>
      <c r="L124" s="141">
        <v>0</v>
      </c>
      <c r="M124" s="142">
        <v>0</v>
      </c>
      <c r="N124" s="142">
        <v>0</v>
      </c>
      <c r="O124" s="142">
        <v>0</v>
      </c>
      <c r="P124" s="142">
        <v>0</v>
      </c>
      <c r="Q124" s="142">
        <v>0</v>
      </c>
      <c r="R124" s="141">
        <v>0</v>
      </c>
      <c r="S124" s="141">
        <v>0</v>
      </c>
      <c r="T124" s="141">
        <v>0</v>
      </c>
      <c r="U124" s="143">
        <v>0</v>
      </c>
      <c r="V124" s="141">
        <v>0</v>
      </c>
      <c r="W124" s="142">
        <v>0</v>
      </c>
      <c r="X124" s="143">
        <v>0</v>
      </c>
      <c r="Y124" s="141">
        <v>0</v>
      </c>
      <c r="Z124" s="141">
        <v>0</v>
      </c>
      <c r="AA124" s="724">
        <v>0</v>
      </c>
    </row>
    <row r="125" spans="1:27" ht="24.95" hidden="1" customHeight="1">
      <c r="A125" s="32" t="e">
        <v>#REF!</v>
      </c>
      <c r="B125" s="145" t="s">
        <v>167</v>
      </c>
      <c r="C125" s="145" t="s">
        <v>171</v>
      </c>
      <c r="D125" s="145" t="s">
        <v>172</v>
      </c>
      <c r="E125" s="145" t="s">
        <v>261</v>
      </c>
      <c r="F125" s="145" t="s">
        <v>175</v>
      </c>
      <c r="G125" s="145" t="s">
        <v>181</v>
      </c>
      <c r="H125" s="145" t="s">
        <v>54</v>
      </c>
      <c r="I125" s="145">
        <v>11</v>
      </c>
      <c r="J125" s="146" t="s">
        <v>29</v>
      </c>
      <c r="K125" s="147" t="s">
        <v>178</v>
      </c>
      <c r="L125" s="148"/>
      <c r="M125" s="148"/>
      <c r="N125" s="148"/>
      <c r="O125" s="148"/>
      <c r="P125" s="148"/>
      <c r="Q125" s="148"/>
      <c r="R125" s="148">
        <v>0</v>
      </c>
      <c r="S125" s="148"/>
      <c r="T125" s="148">
        <v>0</v>
      </c>
      <c r="U125" s="150">
        <v>0</v>
      </c>
      <c r="V125" s="148"/>
      <c r="W125" s="148">
        <v>0</v>
      </c>
      <c r="X125" s="150">
        <v>0</v>
      </c>
      <c r="Y125" s="148"/>
      <c r="Z125" s="148">
        <v>0</v>
      </c>
      <c r="AA125" s="150">
        <v>0</v>
      </c>
    </row>
    <row r="126" spans="1:27" ht="24.95" hidden="1" customHeight="1">
      <c r="A126" s="32" t="e">
        <v>#REF!</v>
      </c>
      <c r="B126" s="139" t="s">
        <v>167</v>
      </c>
      <c r="C126" s="139" t="s">
        <v>171</v>
      </c>
      <c r="D126" s="139" t="s">
        <v>172</v>
      </c>
      <c r="E126" s="139" t="s">
        <v>261</v>
      </c>
      <c r="F126" s="139" t="s">
        <v>175</v>
      </c>
      <c r="G126" s="139" t="s">
        <v>183</v>
      </c>
      <c r="H126" s="139"/>
      <c r="I126" s="139">
        <v>11</v>
      </c>
      <c r="J126" s="140" t="s">
        <v>29</v>
      </c>
      <c r="K126" s="140" t="s">
        <v>184</v>
      </c>
      <c r="L126" s="141">
        <v>0</v>
      </c>
      <c r="M126" s="142">
        <v>0</v>
      </c>
      <c r="N126" s="142">
        <v>0</v>
      </c>
      <c r="O126" s="142">
        <v>0</v>
      </c>
      <c r="P126" s="142">
        <v>0</v>
      </c>
      <c r="Q126" s="142">
        <v>0</v>
      </c>
      <c r="R126" s="141">
        <v>0</v>
      </c>
      <c r="S126" s="141">
        <v>0</v>
      </c>
      <c r="T126" s="141">
        <v>0</v>
      </c>
      <c r="U126" s="143">
        <v>0</v>
      </c>
      <c r="V126" s="141">
        <v>0</v>
      </c>
      <c r="W126" s="142">
        <v>0</v>
      </c>
      <c r="X126" s="143">
        <v>0</v>
      </c>
      <c r="Y126" s="141">
        <v>0</v>
      </c>
      <c r="Z126" s="141">
        <v>0</v>
      </c>
      <c r="AA126" s="724">
        <v>0</v>
      </c>
    </row>
    <row r="127" spans="1:27" ht="24.95" hidden="1" customHeight="1">
      <c r="A127" s="32" t="e">
        <v>#REF!</v>
      </c>
      <c r="B127" s="145" t="s">
        <v>167</v>
      </c>
      <c r="C127" s="145" t="s">
        <v>171</v>
      </c>
      <c r="D127" s="145" t="s">
        <v>172</v>
      </c>
      <c r="E127" s="145" t="s">
        <v>261</v>
      </c>
      <c r="F127" s="145" t="s">
        <v>175</v>
      </c>
      <c r="G127" s="145" t="s">
        <v>183</v>
      </c>
      <c r="H127" s="145" t="s">
        <v>54</v>
      </c>
      <c r="I127" s="145">
        <v>11</v>
      </c>
      <c r="J127" s="146" t="s">
        <v>29</v>
      </c>
      <c r="K127" s="147" t="s">
        <v>178</v>
      </c>
      <c r="L127" s="148"/>
      <c r="M127" s="148"/>
      <c r="N127" s="148"/>
      <c r="O127" s="148"/>
      <c r="P127" s="148"/>
      <c r="Q127" s="148"/>
      <c r="R127" s="148">
        <v>0</v>
      </c>
      <c r="S127" s="148"/>
      <c r="T127" s="148">
        <v>0</v>
      </c>
      <c r="U127" s="150">
        <v>0</v>
      </c>
      <c r="V127" s="148"/>
      <c r="W127" s="148">
        <v>0</v>
      </c>
      <c r="X127" s="150">
        <v>0</v>
      </c>
      <c r="Y127" s="148"/>
      <c r="Z127" s="148">
        <v>0</v>
      </c>
      <c r="AA127" s="150">
        <v>0</v>
      </c>
    </row>
    <row r="128" spans="1:27" ht="24.95" hidden="1" customHeight="1">
      <c r="A128" s="32" t="e">
        <v>#REF!</v>
      </c>
      <c r="B128" s="139" t="s">
        <v>167</v>
      </c>
      <c r="C128" s="139" t="s">
        <v>171</v>
      </c>
      <c r="D128" s="139" t="s">
        <v>172</v>
      </c>
      <c r="E128" s="139" t="s">
        <v>261</v>
      </c>
      <c r="F128" s="139" t="s">
        <v>175</v>
      </c>
      <c r="G128" s="139" t="s">
        <v>185</v>
      </c>
      <c r="H128" s="139"/>
      <c r="I128" s="139">
        <v>11</v>
      </c>
      <c r="J128" s="140" t="s">
        <v>29</v>
      </c>
      <c r="K128" s="140" t="s">
        <v>186</v>
      </c>
      <c r="L128" s="141">
        <v>0</v>
      </c>
      <c r="M128" s="142">
        <v>0</v>
      </c>
      <c r="N128" s="142">
        <v>0</v>
      </c>
      <c r="O128" s="142">
        <v>0</v>
      </c>
      <c r="P128" s="142">
        <v>0</v>
      </c>
      <c r="Q128" s="142">
        <v>0</v>
      </c>
      <c r="R128" s="141">
        <v>0</v>
      </c>
      <c r="S128" s="141">
        <v>0</v>
      </c>
      <c r="T128" s="141">
        <v>0</v>
      </c>
      <c r="U128" s="143">
        <v>0</v>
      </c>
      <c r="V128" s="141">
        <v>0</v>
      </c>
      <c r="W128" s="142">
        <v>0</v>
      </c>
      <c r="X128" s="143">
        <v>0</v>
      </c>
      <c r="Y128" s="141">
        <v>0</v>
      </c>
      <c r="Z128" s="141">
        <v>0</v>
      </c>
      <c r="AA128" s="724">
        <v>0</v>
      </c>
    </row>
    <row r="129" spans="1:27" ht="24.95" hidden="1" customHeight="1">
      <c r="A129" s="32" t="e">
        <v>#REF!</v>
      </c>
      <c r="B129" s="145" t="s">
        <v>167</v>
      </c>
      <c r="C129" s="145" t="s">
        <v>171</v>
      </c>
      <c r="D129" s="145" t="s">
        <v>172</v>
      </c>
      <c r="E129" s="145">
        <v>5</v>
      </c>
      <c r="F129" s="145" t="s">
        <v>175</v>
      </c>
      <c r="G129" s="145" t="s">
        <v>185</v>
      </c>
      <c r="H129" s="145" t="s">
        <v>54</v>
      </c>
      <c r="I129" s="145">
        <v>11</v>
      </c>
      <c r="J129" s="146" t="s">
        <v>29</v>
      </c>
      <c r="K129" s="147" t="s">
        <v>178</v>
      </c>
      <c r="L129" s="148"/>
      <c r="M129" s="148"/>
      <c r="N129" s="148"/>
      <c r="O129" s="148"/>
      <c r="P129" s="148"/>
      <c r="Q129" s="148"/>
      <c r="R129" s="148">
        <v>0</v>
      </c>
      <c r="S129" s="148"/>
      <c r="T129" s="148">
        <v>0</v>
      </c>
      <c r="U129" s="150">
        <v>0</v>
      </c>
      <c r="V129" s="148"/>
      <c r="W129" s="148">
        <v>0</v>
      </c>
      <c r="X129" s="150">
        <v>0</v>
      </c>
      <c r="Y129" s="148"/>
      <c r="Z129" s="148">
        <v>0</v>
      </c>
      <c r="AA129" s="150">
        <v>0</v>
      </c>
    </row>
    <row r="130" spans="1:27" ht="24.95" hidden="1" customHeight="1">
      <c r="A130" s="32" t="e">
        <v>#REF!</v>
      </c>
      <c r="B130" s="139" t="s">
        <v>167</v>
      </c>
      <c r="C130" s="139" t="s">
        <v>171</v>
      </c>
      <c r="D130" s="139" t="s">
        <v>172</v>
      </c>
      <c r="E130" s="139" t="s">
        <v>261</v>
      </c>
      <c r="F130" s="139" t="s">
        <v>175</v>
      </c>
      <c r="G130" s="139" t="s">
        <v>187</v>
      </c>
      <c r="H130" s="139"/>
      <c r="I130" s="139">
        <v>11</v>
      </c>
      <c r="J130" s="140" t="s">
        <v>29</v>
      </c>
      <c r="K130" s="140" t="s">
        <v>188</v>
      </c>
      <c r="L130" s="141">
        <v>0</v>
      </c>
      <c r="M130" s="142">
        <v>0</v>
      </c>
      <c r="N130" s="142">
        <v>0</v>
      </c>
      <c r="O130" s="142">
        <v>0</v>
      </c>
      <c r="P130" s="142">
        <v>0</v>
      </c>
      <c r="Q130" s="142">
        <v>0</v>
      </c>
      <c r="R130" s="141">
        <v>0</v>
      </c>
      <c r="S130" s="141">
        <v>0</v>
      </c>
      <c r="T130" s="141">
        <v>0</v>
      </c>
      <c r="U130" s="143">
        <v>0</v>
      </c>
      <c r="V130" s="141">
        <v>0</v>
      </c>
      <c r="W130" s="142">
        <v>0</v>
      </c>
      <c r="X130" s="143">
        <v>0</v>
      </c>
      <c r="Y130" s="141">
        <v>0</v>
      </c>
      <c r="Z130" s="141">
        <v>0</v>
      </c>
      <c r="AA130" s="724">
        <v>0</v>
      </c>
    </row>
    <row r="131" spans="1:27" ht="24.95" hidden="1" customHeight="1">
      <c r="A131" s="32" t="e">
        <v>#REF!</v>
      </c>
      <c r="B131" s="145" t="s">
        <v>167</v>
      </c>
      <c r="C131" s="145" t="s">
        <v>171</v>
      </c>
      <c r="D131" s="145" t="s">
        <v>172</v>
      </c>
      <c r="E131" s="145" t="s">
        <v>261</v>
      </c>
      <c r="F131" s="145" t="s">
        <v>175</v>
      </c>
      <c r="G131" s="145" t="s">
        <v>187</v>
      </c>
      <c r="H131" s="145" t="s">
        <v>54</v>
      </c>
      <c r="I131" s="145">
        <v>11</v>
      </c>
      <c r="J131" s="146" t="s">
        <v>29</v>
      </c>
      <c r="K131" s="147" t="s">
        <v>178</v>
      </c>
      <c r="L131" s="148"/>
      <c r="M131" s="148"/>
      <c r="N131" s="148"/>
      <c r="O131" s="148"/>
      <c r="P131" s="148"/>
      <c r="Q131" s="148"/>
      <c r="R131" s="148">
        <v>0</v>
      </c>
      <c r="S131" s="148"/>
      <c r="T131" s="148">
        <v>0</v>
      </c>
      <c r="U131" s="150">
        <v>0</v>
      </c>
      <c r="V131" s="148"/>
      <c r="W131" s="148">
        <v>0</v>
      </c>
      <c r="X131" s="150">
        <v>0</v>
      </c>
      <c r="Y131" s="148"/>
      <c r="Z131" s="148">
        <v>0</v>
      </c>
      <c r="AA131" s="150">
        <v>0</v>
      </c>
    </row>
    <row r="132" spans="1:27" ht="54.75" customHeight="1">
      <c r="A132" s="32" t="e">
        <v>#REF!</v>
      </c>
      <c r="B132" s="133" t="s">
        <v>167</v>
      </c>
      <c r="C132" s="133" t="s">
        <v>171</v>
      </c>
      <c r="D132" s="133" t="s">
        <v>172</v>
      </c>
      <c r="E132" s="133" t="s">
        <v>173</v>
      </c>
      <c r="F132" s="133"/>
      <c r="G132" s="133"/>
      <c r="H132" s="133"/>
      <c r="I132" s="133"/>
      <c r="J132" s="134"/>
      <c r="K132" s="134" t="s">
        <v>174</v>
      </c>
      <c r="L132" s="135">
        <v>10248574078</v>
      </c>
      <c r="M132" s="136">
        <v>0</v>
      </c>
      <c r="N132" s="136">
        <v>0</v>
      </c>
      <c r="O132" s="136">
        <v>0</v>
      </c>
      <c r="P132" s="136">
        <v>0</v>
      </c>
      <c r="Q132" s="136">
        <v>0</v>
      </c>
      <c r="R132" s="135">
        <v>10248574078</v>
      </c>
      <c r="S132" s="135">
        <v>10248574078</v>
      </c>
      <c r="T132" s="135">
        <v>0</v>
      </c>
      <c r="U132" s="137">
        <v>1</v>
      </c>
      <c r="V132" s="135">
        <v>10248574078</v>
      </c>
      <c r="W132" s="136">
        <v>0</v>
      </c>
      <c r="X132" s="137">
        <v>0</v>
      </c>
      <c r="Y132" s="135">
        <v>10248574078</v>
      </c>
      <c r="Z132" s="135">
        <v>0</v>
      </c>
      <c r="AA132" s="723">
        <v>1</v>
      </c>
    </row>
    <row r="133" spans="1:27" ht="31.5" customHeight="1">
      <c r="A133" s="32" t="e">
        <v>#REF!</v>
      </c>
      <c r="B133" s="139" t="s">
        <v>167</v>
      </c>
      <c r="C133" s="139" t="s">
        <v>171</v>
      </c>
      <c r="D133" s="139" t="s">
        <v>172</v>
      </c>
      <c r="E133" s="139" t="s">
        <v>173</v>
      </c>
      <c r="F133" s="139" t="s">
        <v>175</v>
      </c>
      <c r="G133" s="139" t="s">
        <v>176</v>
      </c>
      <c r="H133" s="139"/>
      <c r="I133" s="139" t="s">
        <v>144</v>
      </c>
      <c r="J133" s="140" t="s">
        <v>29</v>
      </c>
      <c r="K133" s="140" t="s">
        <v>177</v>
      </c>
      <c r="L133" s="141">
        <v>1189683575</v>
      </c>
      <c r="M133" s="142">
        <v>0</v>
      </c>
      <c r="N133" s="142">
        <v>0</v>
      </c>
      <c r="O133" s="142">
        <v>0</v>
      </c>
      <c r="P133" s="142">
        <v>0</v>
      </c>
      <c r="Q133" s="142">
        <v>0</v>
      </c>
      <c r="R133" s="141">
        <v>1189683575</v>
      </c>
      <c r="S133" s="141">
        <v>1189683575</v>
      </c>
      <c r="T133" s="141">
        <v>0</v>
      </c>
      <c r="U133" s="143">
        <v>1</v>
      </c>
      <c r="V133" s="141">
        <v>1189683575</v>
      </c>
      <c r="W133" s="142">
        <v>0</v>
      </c>
      <c r="X133" s="143">
        <v>0</v>
      </c>
      <c r="Y133" s="141">
        <v>1189683575</v>
      </c>
      <c r="Z133" s="141">
        <v>0</v>
      </c>
      <c r="AA133" s="724">
        <v>1</v>
      </c>
    </row>
    <row r="134" spans="1:27" ht="24.95" customHeight="1">
      <c r="A134" s="32" t="e">
        <v>#REF!</v>
      </c>
      <c r="B134" s="145" t="s">
        <v>167</v>
      </c>
      <c r="C134" s="145" t="s">
        <v>171</v>
      </c>
      <c r="D134" s="145" t="s">
        <v>172</v>
      </c>
      <c r="E134" s="145" t="s">
        <v>173</v>
      </c>
      <c r="F134" s="145" t="s">
        <v>175</v>
      </c>
      <c r="G134" s="145" t="s">
        <v>176</v>
      </c>
      <c r="H134" s="145" t="s">
        <v>54</v>
      </c>
      <c r="I134" s="145" t="s">
        <v>144</v>
      </c>
      <c r="J134" s="146" t="s">
        <v>29</v>
      </c>
      <c r="K134" s="147" t="s">
        <v>178</v>
      </c>
      <c r="L134" s="148">
        <v>1189683575</v>
      </c>
      <c r="M134" s="148"/>
      <c r="N134" s="148"/>
      <c r="O134" s="148"/>
      <c r="P134" s="148"/>
      <c r="Q134" s="148"/>
      <c r="R134" s="148">
        <v>1189683575</v>
      </c>
      <c r="S134" s="148">
        <v>1189683575</v>
      </c>
      <c r="T134" s="148">
        <v>0</v>
      </c>
      <c r="U134" s="150">
        <v>1</v>
      </c>
      <c r="V134" s="148">
        <v>1189683575</v>
      </c>
      <c r="W134" s="148">
        <v>0</v>
      </c>
      <c r="X134" s="150">
        <v>0</v>
      </c>
      <c r="Y134" s="148">
        <v>1189683575</v>
      </c>
      <c r="Z134" s="148">
        <v>0</v>
      </c>
      <c r="AA134" s="150">
        <v>1</v>
      </c>
    </row>
    <row r="135" spans="1:27" ht="31.5" customHeight="1">
      <c r="A135" s="32" t="e">
        <v>#REF!</v>
      </c>
      <c r="B135" s="139" t="s">
        <v>167</v>
      </c>
      <c r="C135" s="139" t="s">
        <v>171</v>
      </c>
      <c r="D135" s="139" t="s">
        <v>172</v>
      </c>
      <c r="E135" s="139" t="s">
        <v>173</v>
      </c>
      <c r="F135" s="139" t="s">
        <v>175</v>
      </c>
      <c r="G135" s="139" t="s">
        <v>179</v>
      </c>
      <c r="H135" s="139"/>
      <c r="I135" s="139" t="s">
        <v>144</v>
      </c>
      <c r="J135" s="140" t="s">
        <v>29</v>
      </c>
      <c r="K135" s="140" t="s">
        <v>180</v>
      </c>
      <c r="L135" s="141">
        <v>115014864</v>
      </c>
      <c r="M135" s="142">
        <v>0</v>
      </c>
      <c r="N135" s="142">
        <v>0</v>
      </c>
      <c r="O135" s="142">
        <v>0</v>
      </c>
      <c r="P135" s="142">
        <v>0</v>
      </c>
      <c r="Q135" s="142">
        <v>0</v>
      </c>
      <c r="R135" s="141">
        <v>115014864</v>
      </c>
      <c r="S135" s="141">
        <v>115014864</v>
      </c>
      <c r="T135" s="141">
        <v>0</v>
      </c>
      <c r="U135" s="143">
        <v>1</v>
      </c>
      <c r="V135" s="141">
        <v>115014864</v>
      </c>
      <c r="W135" s="142">
        <v>0</v>
      </c>
      <c r="X135" s="143">
        <v>0</v>
      </c>
      <c r="Y135" s="141">
        <v>115014864</v>
      </c>
      <c r="Z135" s="141">
        <v>0</v>
      </c>
      <c r="AA135" s="724">
        <v>1</v>
      </c>
    </row>
    <row r="136" spans="1:27" ht="24.95" customHeight="1">
      <c r="A136" s="32" t="e">
        <v>#REF!</v>
      </c>
      <c r="B136" s="145" t="s">
        <v>167</v>
      </c>
      <c r="C136" s="145" t="s">
        <v>171</v>
      </c>
      <c r="D136" s="145" t="s">
        <v>172</v>
      </c>
      <c r="E136" s="145" t="s">
        <v>173</v>
      </c>
      <c r="F136" s="145" t="s">
        <v>175</v>
      </c>
      <c r="G136" s="145" t="s">
        <v>179</v>
      </c>
      <c r="H136" s="145" t="s">
        <v>54</v>
      </c>
      <c r="I136" s="145" t="s">
        <v>144</v>
      </c>
      <c r="J136" s="146" t="s">
        <v>29</v>
      </c>
      <c r="K136" s="147" t="s">
        <v>178</v>
      </c>
      <c r="L136" s="148">
        <v>115014864</v>
      </c>
      <c r="M136" s="148"/>
      <c r="N136" s="148"/>
      <c r="O136" s="148"/>
      <c r="P136" s="148"/>
      <c r="Q136" s="148"/>
      <c r="R136" s="148">
        <v>115014864</v>
      </c>
      <c r="S136" s="148">
        <v>115014864</v>
      </c>
      <c r="T136" s="148">
        <v>0</v>
      </c>
      <c r="U136" s="150">
        <v>1</v>
      </c>
      <c r="V136" s="148">
        <v>115014864</v>
      </c>
      <c r="W136" s="148">
        <v>0</v>
      </c>
      <c r="X136" s="150">
        <v>0</v>
      </c>
      <c r="Y136" s="148">
        <v>115014864</v>
      </c>
      <c r="Z136" s="148">
        <v>0</v>
      </c>
      <c r="AA136" s="150">
        <v>1</v>
      </c>
    </row>
    <row r="137" spans="1:27" ht="31.5" hidden="1" customHeight="1">
      <c r="A137" s="32" t="e">
        <v>#REF!</v>
      </c>
      <c r="B137" s="139" t="s">
        <v>167</v>
      </c>
      <c r="C137" s="139" t="s">
        <v>171</v>
      </c>
      <c r="D137" s="139" t="s">
        <v>172</v>
      </c>
      <c r="E137" s="139" t="s">
        <v>173</v>
      </c>
      <c r="F137" s="139" t="s">
        <v>175</v>
      </c>
      <c r="G137" s="139" t="s">
        <v>181</v>
      </c>
      <c r="H137" s="139"/>
      <c r="I137" s="139" t="s">
        <v>144</v>
      </c>
      <c r="J137" s="140" t="s">
        <v>29</v>
      </c>
      <c r="K137" s="140" t="s">
        <v>182</v>
      </c>
      <c r="L137" s="141">
        <v>0</v>
      </c>
      <c r="M137" s="142">
        <v>0</v>
      </c>
      <c r="N137" s="142">
        <v>0</v>
      </c>
      <c r="O137" s="142">
        <v>0</v>
      </c>
      <c r="P137" s="142">
        <v>0</v>
      </c>
      <c r="Q137" s="142">
        <v>0</v>
      </c>
      <c r="R137" s="141">
        <v>0</v>
      </c>
      <c r="S137" s="141">
        <v>0</v>
      </c>
      <c r="T137" s="141">
        <v>0</v>
      </c>
      <c r="U137" s="143">
        <v>0</v>
      </c>
      <c r="V137" s="141">
        <v>0</v>
      </c>
      <c r="W137" s="142">
        <v>0</v>
      </c>
      <c r="X137" s="143">
        <v>0</v>
      </c>
      <c r="Y137" s="141">
        <v>0</v>
      </c>
      <c r="Z137" s="141">
        <v>0</v>
      </c>
      <c r="AA137" s="724">
        <v>0</v>
      </c>
    </row>
    <row r="138" spans="1:27" ht="24.95" hidden="1" customHeight="1">
      <c r="A138" s="32" t="e">
        <v>#REF!</v>
      </c>
      <c r="B138" s="145" t="s">
        <v>167</v>
      </c>
      <c r="C138" s="145" t="s">
        <v>171</v>
      </c>
      <c r="D138" s="145" t="s">
        <v>172</v>
      </c>
      <c r="E138" s="145" t="s">
        <v>173</v>
      </c>
      <c r="F138" s="145" t="s">
        <v>175</v>
      </c>
      <c r="G138" s="145" t="s">
        <v>181</v>
      </c>
      <c r="H138" s="145" t="s">
        <v>54</v>
      </c>
      <c r="I138" s="145" t="s">
        <v>144</v>
      </c>
      <c r="J138" s="146" t="s">
        <v>29</v>
      </c>
      <c r="K138" s="147" t="s">
        <v>178</v>
      </c>
      <c r="L138" s="148"/>
      <c r="M138" s="148"/>
      <c r="N138" s="148"/>
      <c r="O138" s="148"/>
      <c r="P138" s="148"/>
      <c r="Q138" s="148"/>
      <c r="R138" s="148">
        <v>0</v>
      </c>
      <c r="S138" s="148"/>
      <c r="T138" s="148">
        <v>0</v>
      </c>
      <c r="U138" s="150">
        <v>0</v>
      </c>
      <c r="V138" s="148"/>
      <c r="W138" s="148">
        <v>0</v>
      </c>
      <c r="X138" s="150">
        <v>0</v>
      </c>
      <c r="Y138" s="148"/>
      <c r="Z138" s="148">
        <v>0</v>
      </c>
      <c r="AA138" s="150">
        <v>0</v>
      </c>
    </row>
    <row r="139" spans="1:27" ht="31.5" hidden="1" customHeight="1">
      <c r="A139" s="32" t="e">
        <v>#REF!</v>
      </c>
      <c r="B139" s="139" t="s">
        <v>167</v>
      </c>
      <c r="C139" s="139" t="s">
        <v>171</v>
      </c>
      <c r="D139" s="139" t="s">
        <v>172</v>
      </c>
      <c r="E139" s="139" t="s">
        <v>173</v>
      </c>
      <c r="F139" s="139" t="s">
        <v>175</v>
      </c>
      <c r="G139" s="139" t="s">
        <v>183</v>
      </c>
      <c r="H139" s="139"/>
      <c r="I139" s="139" t="s">
        <v>144</v>
      </c>
      <c r="J139" s="140" t="s">
        <v>29</v>
      </c>
      <c r="K139" s="140" t="s">
        <v>184</v>
      </c>
      <c r="L139" s="141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1">
        <v>0</v>
      </c>
      <c r="S139" s="141">
        <v>0</v>
      </c>
      <c r="T139" s="141">
        <v>0</v>
      </c>
      <c r="U139" s="143">
        <v>0</v>
      </c>
      <c r="V139" s="141">
        <v>0</v>
      </c>
      <c r="W139" s="142">
        <v>0</v>
      </c>
      <c r="X139" s="143">
        <v>0</v>
      </c>
      <c r="Y139" s="141">
        <v>0</v>
      </c>
      <c r="Z139" s="141">
        <v>0</v>
      </c>
      <c r="AA139" s="724">
        <v>0</v>
      </c>
    </row>
    <row r="140" spans="1:27" ht="24.95" hidden="1" customHeight="1">
      <c r="A140" s="32" t="e">
        <v>#REF!</v>
      </c>
      <c r="B140" s="145" t="s">
        <v>167</v>
      </c>
      <c r="C140" s="145" t="s">
        <v>171</v>
      </c>
      <c r="D140" s="145" t="s">
        <v>172</v>
      </c>
      <c r="E140" s="145" t="s">
        <v>173</v>
      </c>
      <c r="F140" s="145" t="s">
        <v>175</v>
      </c>
      <c r="G140" s="145" t="s">
        <v>183</v>
      </c>
      <c r="H140" s="145" t="s">
        <v>54</v>
      </c>
      <c r="I140" s="145" t="s">
        <v>144</v>
      </c>
      <c r="J140" s="146" t="s">
        <v>29</v>
      </c>
      <c r="K140" s="147" t="s">
        <v>178</v>
      </c>
      <c r="L140" s="148">
        <v>0</v>
      </c>
      <c r="M140" s="148"/>
      <c r="N140" s="148"/>
      <c r="O140" s="148"/>
      <c r="P140" s="148"/>
      <c r="Q140" s="148"/>
      <c r="R140" s="148">
        <v>0</v>
      </c>
      <c r="S140" s="148">
        <v>0</v>
      </c>
      <c r="T140" s="148">
        <v>0</v>
      </c>
      <c r="U140" s="150">
        <v>0</v>
      </c>
      <c r="V140" s="148">
        <v>0</v>
      </c>
      <c r="W140" s="148">
        <v>0</v>
      </c>
      <c r="X140" s="150">
        <v>0</v>
      </c>
      <c r="Y140" s="148">
        <v>0</v>
      </c>
      <c r="Z140" s="148">
        <v>0</v>
      </c>
      <c r="AA140" s="150">
        <v>0</v>
      </c>
    </row>
    <row r="141" spans="1:27" ht="31.5" customHeight="1">
      <c r="A141" s="32" t="e">
        <v>#REF!</v>
      </c>
      <c r="B141" s="139" t="s">
        <v>167</v>
      </c>
      <c r="C141" s="139" t="s">
        <v>171</v>
      </c>
      <c r="D141" s="139" t="s">
        <v>172</v>
      </c>
      <c r="E141" s="139" t="s">
        <v>173</v>
      </c>
      <c r="F141" s="139" t="s">
        <v>175</v>
      </c>
      <c r="G141" s="139" t="s">
        <v>185</v>
      </c>
      <c r="H141" s="139"/>
      <c r="I141" s="139" t="s">
        <v>144</v>
      </c>
      <c r="J141" s="140" t="s">
        <v>29</v>
      </c>
      <c r="K141" s="140" t="s">
        <v>186</v>
      </c>
      <c r="L141" s="141">
        <v>8943875639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1">
        <v>8943875639</v>
      </c>
      <c r="S141" s="141">
        <v>8943875639</v>
      </c>
      <c r="T141" s="141">
        <v>0</v>
      </c>
      <c r="U141" s="143">
        <v>1</v>
      </c>
      <c r="V141" s="141">
        <v>8943875639</v>
      </c>
      <c r="W141" s="142">
        <v>0</v>
      </c>
      <c r="X141" s="143">
        <v>0</v>
      </c>
      <c r="Y141" s="141">
        <v>8943875639</v>
      </c>
      <c r="Z141" s="141">
        <v>0</v>
      </c>
      <c r="AA141" s="724">
        <v>1</v>
      </c>
    </row>
    <row r="142" spans="1:27" ht="24.95" customHeight="1">
      <c r="A142" s="32" t="e">
        <v>#REF!</v>
      </c>
      <c r="B142" s="145" t="s">
        <v>167</v>
      </c>
      <c r="C142" s="145" t="s">
        <v>171</v>
      </c>
      <c r="D142" s="145" t="s">
        <v>172</v>
      </c>
      <c r="E142" s="145" t="s">
        <v>173</v>
      </c>
      <c r="F142" s="145" t="s">
        <v>175</v>
      </c>
      <c r="G142" s="145" t="s">
        <v>185</v>
      </c>
      <c r="H142" s="145" t="s">
        <v>54</v>
      </c>
      <c r="I142" s="145" t="s">
        <v>144</v>
      </c>
      <c r="J142" s="146" t="s">
        <v>29</v>
      </c>
      <c r="K142" s="147" t="s">
        <v>178</v>
      </c>
      <c r="L142" s="148">
        <v>8943875639</v>
      </c>
      <c r="M142" s="148"/>
      <c r="N142" s="148"/>
      <c r="O142" s="148"/>
      <c r="P142" s="148"/>
      <c r="Q142" s="148"/>
      <c r="R142" s="148">
        <v>8943875639</v>
      </c>
      <c r="S142" s="148">
        <v>8943875639</v>
      </c>
      <c r="T142" s="148">
        <v>0</v>
      </c>
      <c r="U142" s="150">
        <v>1</v>
      </c>
      <c r="V142" s="148">
        <v>8943875639</v>
      </c>
      <c r="W142" s="148">
        <v>0</v>
      </c>
      <c r="X142" s="150">
        <v>0</v>
      </c>
      <c r="Y142" s="148">
        <v>8943875639</v>
      </c>
      <c r="Z142" s="148">
        <v>0</v>
      </c>
      <c r="AA142" s="150">
        <v>1</v>
      </c>
    </row>
    <row r="143" spans="1:27" ht="31.5" hidden="1" customHeight="1">
      <c r="A143" s="32" t="e">
        <v>#REF!</v>
      </c>
      <c r="B143" s="139" t="s">
        <v>167</v>
      </c>
      <c r="C143" s="139" t="s">
        <v>171</v>
      </c>
      <c r="D143" s="139" t="s">
        <v>172</v>
      </c>
      <c r="E143" s="139" t="s">
        <v>173</v>
      </c>
      <c r="F143" s="139" t="s">
        <v>175</v>
      </c>
      <c r="G143" s="139" t="s">
        <v>187</v>
      </c>
      <c r="H143" s="139"/>
      <c r="I143" s="139" t="s">
        <v>144</v>
      </c>
      <c r="J143" s="140" t="s">
        <v>29</v>
      </c>
      <c r="K143" s="140" t="s">
        <v>188</v>
      </c>
      <c r="L143" s="141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41">
        <v>0</v>
      </c>
      <c r="S143" s="141">
        <v>0</v>
      </c>
      <c r="T143" s="141">
        <v>0</v>
      </c>
      <c r="U143" s="143">
        <v>0</v>
      </c>
      <c r="V143" s="141">
        <v>0</v>
      </c>
      <c r="W143" s="142">
        <v>0</v>
      </c>
      <c r="X143" s="143">
        <v>0</v>
      </c>
      <c r="Y143" s="141">
        <v>0</v>
      </c>
      <c r="Z143" s="141">
        <v>0</v>
      </c>
      <c r="AA143" s="724">
        <v>0</v>
      </c>
    </row>
    <row r="144" spans="1:27" ht="24.95" hidden="1" customHeight="1">
      <c r="A144" s="32" t="e">
        <v>#REF!</v>
      </c>
      <c r="B144" s="145" t="s">
        <v>167</v>
      </c>
      <c r="C144" s="145" t="s">
        <v>171</v>
      </c>
      <c r="D144" s="145" t="s">
        <v>172</v>
      </c>
      <c r="E144" s="145" t="s">
        <v>173</v>
      </c>
      <c r="F144" s="145" t="s">
        <v>175</v>
      </c>
      <c r="G144" s="145" t="s">
        <v>187</v>
      </c>
      <c r="H144" s="145" t="s">
        <v>54</v>
      </c>
      <c r="I144" s="145" t="s">
        <v>144</v>
      </c>
      <c r="J144" s="146" t="s">
        <v>29</v>
      </c>
      <c r="K144" s="147" t="s">
        <v>178</v>
      </c>
      <c r="L144" s="148">
        <v>0</v>
      </c>
      <c r="M144" s="148"/>
      <c r="N144" s="148"/>
      <c r="O144" s="148"/>
      <c r="P144" s="148"/>
      <c r="Q144" s="148"/>
      <c r="R144" s="148">
        <v>0</v>
      </c>
      <c r="S144" s="148">
        <v>0</v>
      </c>
      <c r="T144" s="148">
        <v>0</v>
      </c>
      <c r="U144" s="150">
        <v>0</v>
      </c>
      <c r="V144" s="148">
        <v>0</v>
      </c>
      <c r="W144" s="148">
        <v>0</v>
      </c>
      <c r="X144" s="150">
        <v>0</v>
      </c>
      <c r="Y144" s="148">
        <v>0</v>
      </c>
      <c r="Z144" s="148">
        <v>0</v>
      </c>
      <c r="AA144" s="150">
        <v>0</v>
      </c>
    </row>
    <row r="145" spans="1:27" ht="24.95" hidden="1" customHeight="1">
      <c r="A145" s="32" t="e">
        <v>#REF!</v>
      </c>
      <c r="B145" s="145" t="s">
        <v>167</v>
      </c>
      <c r="C145" s="145" t="s">
        <v>171</v>
      </c>
      <c r="D145" s="145" t="s">
        <v>172</v>
      </c>
      <c r="E145" s="145" t="s">
        <v>173</v>
      </c>
      <c r="F145" s="145" t="s">
        <v>175</v>
      </c>
      <c r="G145" s="145" t="s">
        <v>187</v>
      </c>
      <c r="H145" s="145" t="s">
        <v>65</v>
      </c>
      <c r="I145" s="145" t="s">
        <v>144</v>
      </c>
      <c r="J145" s="146" t="s">
        <v>29</v>
      </c>
      <c r="K145" s="147" t="s">
        <v>127</v>
      </c>
      <c r="L145" s="148">
        <v>0</v>
      </c>
      <c r="M145" s="148"/>
      <c r="N145" s="148"/>
      <c r="O145" s="148"/>
      <c r="P145" s="148"/>
      <c r="Q145" s="148"/>
      <c r="R145" s="148">
        <v>0</v>
      </c>
      <c r="S145" s="148">
        <v>0</v>
      </c>
      <c r="T145" s="148">
        <v>0</v>
      </c>
      <c r="U145" s="150">
        <v>0</v>
      </c>
      <c r="V145" s="148">
        <v>0</v>
      </c>
      <c r="W145" s="148">
        <v>0</v>
      </c>
      <c r="X145" s="150">
        <v>0</v>
      </c>
      <c r="Y145" s="148">
        <v>0</v>
      </c>
      <c r="Z145" s="148">
        <v>0</v>
      </c>
      <c r="AA145" s="150">
        <v>0</v>
      </c>
    </row>
    <row r="146" spans="1:27" ht="35.25" customHeight="1">
      <c r="A146" s="32" t="e">
        <v>#REF!</v>
      </c>
      <c r="B146" s="123" t="s">
        <v>167</v>
      </c>
      <c r="C146" s="123">
        <v>4103</v>
      </c>
      <c r="D146" s="123"/>
      <c r="E146" s="123"/>
      <c r="F146" s="123"/>
      <c r="G146" s="123"/>
      <c r="H146" s="123"/>
      <c r="I146" s="124"/>
      <c r="J146" s="124"/>
      <c r="K146" s="124" t="s">
        <v>189</v>
      </c>
      <c r="L146" s="125">
        <v>6217033510554</v>
      </c>
      <c r="M146" s="719">
        <v>0</v>
      </c>
      <c r="N146" s="719">
        <v>0</v>
      </c>
      <c r="O146" s="125">
        <v>89721767950.320007</v>
      </c>
      <c r="P146" s="125">
        <v>89721767950.319992</v>
      </c>
      <c r="Q146" s="125">
        <v>315018861084</v>
      </c>
      <c r="R146" s="125">
        <v>5902014649470</v>
      </c>
      <c r="S146" s="125">
        <v>3960958398254.2705</v>
      </c>
      <c r="T146" s="125">
        <v>1941056251215.7305</v>
      </c>
      <c r="U146" s="126">
        <v>0.67111971648697344</v>
      </c>
      <c r="V146" s="125">
        <v>3367262125756.4497</v>
      </c>
      <c r="W146" s="125">
        <v>593696272497.82007</v>
      </c>
      <c r="X146" s="126">
        <v>0.14988702551369443</v>
      </c>
      <c r="Y146" s="125">
        <v>3034903288095.4497</v>
      </c>
      <c r="Z146" s="125">
        <v>332358837661</v>
      </c>
      <c r="AA146" s="720">
        <v>0.7662042826385238</v>
      </c>
    </row>
    <row r="147" spans="1:27" ht="24" customHeight="1">
      <c r="A147" s="32" t="e">
        <v>#REF!</v>
      </c>
      <c r="B147" s="128" t="s">
        <v>167</v>
      </c>
      <c r="C147" s="128">
        <v>4103</v>
      </c>
      <c r="D147" s="128">
        <v>1500</v>
      </c>
      <c r="E147" s="128"/>
      <c r="F147" s="128"/>
      <c r="G147" s="128"/>
      <c r="H147" s="128"/>
      <c r="I147" s="129"/>
      <c r="J147" s="129"/>
      <c r="K147" s="129" t="s">
        <v>170</v>
      </c>
      <c r="L147" s="130">
        <v>6217033510554</v>
      </c>
      <c r="M147" s="721">
        <v>0</v>
      </c>
      <c r="N147" s="721">
        <v>0</v>
      </c>
      <c r="O147" s="130">
        <v>89721767950.320007</v>
      </c>
      <c r="P147" s="130">
        <v>89721767950.319992</v>
      </c>
      <c r="Q147" s="130">
        <v>315018861084</v>
      </c>
      <c r="R147" s="130">
        <v>5902014649470</v>
      </c>
      <c r="S147" s="130">
        <v>3960958398254.2705</v>
      </c>
      <c r="T147" s="130">
        <v>1941056251215.7305</v>
      </c>
      <c r="U147" s="131">
        <v>0.67111971648697344</v>
      </c>
      <c r="V147" s="130">
        <v>3367262125756.4497</v>
      </c>
      <c r="W147" s="130">
        <v>593696272497.82007</v>
      </c>
      <c r="X147" s="131">
        <v>0.14988702551369443</v>
      </c>
      <c r="Y147" s="130">
        <v>3034903288095.4497</v>
      </c>
      <c r="Z147" s="130">
        <v>332358837661</v>
      </c>
      <c r="AA147" s="722">
        <v>0.7662042826385238</v>
      </c>
    </row>
    <row r="148" spans="1:27" ht="42.75" customHeight="1">
      <c r="A148" s="32" t="e">
        <v>#REF!</v>
      </c>
      <c r="B148" s="133" t="s">
        <v>167</v>
      </c>
      <c r="C148" s="133" t="s">
        <v>190</v>
      </c>
      <c r="D148" s="133" t="s">
        <v>172</v>
      </c>
      <c r="E148" s="133" t="s">
        <v>191</v>
      </c>
      <c r="F148" s="133"/>
      <c r="G148" s="133"/>
      <c r="H148" s="133"/>
      <c r="I148" s="133"/>
      <c r="J148" s="134"/>
      <c r="K148" s="134" t="s">
        <v>263</v>
      </c>
      <c r="L148" s="135">
        <v>2404147573733</v>
      </c>
      <c r="M148" s="136">
        <v>0</v>
      </c>
      <c r="N148" s="136">
        <v>0</v>
      </c>
      <c r="O148" s="135">
        <v>15028347665.059999</v>
      </c>
      <c r="P148" s="135">
        <v>15028347665.059999</v>
      </c>
      <c r="Q148" s="135">
        <v>0</v>
      </c>
      <c r="R148" s="135">
        <v>2404147573733.0005</v>
      </c>
      <c r="S148" s="135">
        <v>1484243170375.03</v>
      </c>
      <c r="T148" s="135">
        <v>919904403357.97034</v>
      </c>
      <c r="U148" s="137">
        <v>0.61736774671880723</v>
      </c>
      <c r="V148" s="135">
        <v>1424770136189.3401</v>
      </c>
      <c r="W148" s="135">
        <v>59473034185.690002</v>
      </c>
      <c r="X148" s="137">
        <v>4.0069602725989098E-2</v>
      </c>
      <c r="Y148" s="135">
        <v>1093166231518.34</v>
      </c>
      <c r="Z148" s="135">
        <v>331603904671</v>
      </c>
      <c r="AA148" s="723">
        <v>0.73651424061606097</v>
      </c>
    </row>
    <row r="149" spans="1:27" ht="30.75" customHeight="1">
      <c r="A149" s="32" t="e">
        <v>#REF!</v>
      </c>
      <c r="B149" s="139" t="s">
        <v>167</v>
      </c>
      <c r="C149" s="139" t="s">
        <v>190</v>
      </c>
      <c r="D149" s="139" t="s">
        <v>172</v>
      </c>
      <c r="E149" s="139" t="s">
        <v>191</v>
      </c>
      <c r="F149" s="139" t="s">
        <v>175</v>
      </c>
      <c r="G149" s="139" t="s">
        <v>193</v>
      </c>
      <c r="H149" s="139"/>
      <c r="I149" s="139"/>
      <c r="J149" s="140"/>
      <c r="K149" s="140" t="s">
        <v>194</v>
      </c>
      <c r="L149" s="141">
        <v>2398883573733</v>
      </c>
      <c r="M149" s="142">
        <v>0</v>
      </c>
      <c r="N149" s="142">
        <v>0</v>
      </c>
      <c r="O149" s="141">
        <v>15028347665.059999</v>
      </c>
      <c r="P149" s="141">
        <v>14899379616.059999</v>
      </c>
      <c r="Q149" s="141">
        <v>0</v>
      </c>
      <c r="R149" s="141">
        <v>2399012541782.0005</v>
      </c>
      <c r="S149" s="141">
        <v>1479108138424.03</v>
      </c>
      <c r="T149" s="141">
        <v>919904403357.97034</v>
      </c>
      <c r="U149" s="143">
        <v>0.61654873105637864</v>
      </c>
      <c r="V149" s="141">
        <v>1423743129799.3401</v>
      </c>
      <c r="W149" s="141">
        <v>55365008624.690002</v>
      </c>
      <c r="X149" s="143">
        <v>3.7431346083783082E-2</v>
      </c>
      <c r="Y149" s="141">
        <v>1092139225128.34</v>
      </c>
      <c r="Z149" s="141">
        <v>331603904671</v>
      </c>
      <c r="AA149" s="724">
        <v>0.7383768615403602</v>
      </c>
    </row>
    <row r="150" spans="1:27" ht="24.95" hidden="1" customHeight="1">
      <c r="A150" s="32" t="e">
        <v>#REF!</v>
      </c>
      <c r="B150" s="145" t="s">
        <v>167</v>
      </c>
      <c r="C150" s="145" t="s">
        <v>190</v>
      </c>
      <c r="D150" s="145" t="s">
        <v>172</v>
      </c>
      <c r="E150" s="145" t="s">
        <v>191</v>
      </c>
      <c r="F150" s="145" t="s">
        <v>175</v>
      </c>
      <c r="G150" s="145" t="s">
        <v>193</v>
      </c>
      <c r="H150" s="145" t="s">
        <v>54</v>
      </c>
      <c r="I150" s="145">
        <v>10</v>
      </c>
      <c r="J150" s="146" t="s">
        <v>29</v>
      </c>
      <c r="K150" s="147" t="s">
        <v>178</v>
      </c>
      <c r="L150" s="148">
        <v>0</v>
      </c>
      <c r="M150" s="148"/>
      <c r="N150" s="148"/>
      <c r="O150" s="148"/>
      <c r="P150" s="148"/>
      <c r="Q150" s="148"/>
      <c r="R150" s="148">
        <v>0</v>
      </c>
      <c r="S150" s="148">
        <v>0</v>
      </c>
      <c r="T150" s="148">
        <v>0</v>
      </c>
      <c r="U150" s="150">
        <v>0</v>
      </c>
      <c r="V150" s="148">
        <v>0</v>
      </c>
      <c r="W150" s="148">
        <v>0</v>
      </c>
      <c r="X150" s="150">
        <v>0</v>
      </c>
      <c r="Y150" s="148">
        <v>0</v>
      </c>
      <c r="Z150" s="148">
        <v>0</v>
      </c>
      <c r="AA150" s="150">
        <v>0</v>
      </c>
    </row>
    <row r="151" spans="1:27" ht="24.95" customHeight="1">
      <c r="A151" s="32" t="e">
        <v>#REF!</v>
      </c>
      <c r="B151" s="145" t="s">
        <v>167</v>
      </c>
      <c r="C151" s="145" t="s">
        <v>190</v>
      </c>
      <c r="D151" s="145" t="s">
        <v>172</v>
      </c>
      <c r="E151" s="145" t="s">
        <v>191</v>
      </c>
      <c r="F151" s="145" t="s">
        <v>175</v>
      </c>
      <c r="G151" s="145" t="s">
        <v>193</v>
      </c>
      <c r="H151" s="145" t="s">
        <v>54</v>
      </c>
      <c r="I151" s="145">
        <v>11</v>
      </c>
      <c r="J151" s="146" t="s">
        <v>29</v>
      </c>
      <c r="K151" s="147" t="s">
        <v>178</v>
      </c>
      <c r="L151" s="148">
        <v>137428156966</v>
      </c>
      <c r="M151" s="148"/>
      <c r="N151" s="148"/>
      <c r="O151" s="148">
        <v>4797897104.0900002</v>
      </c>
      <c r="P151" s="148">
        <v>10101482511.969999</v>
      </c>
      <c r="Q151" s="148"/>
      <c r="R151" s="148">
        <v>132124571558.12</v>
      </c>
      <c r="S151" s="148">
        <v>92769540776.029999</v>
      </c>
      <c r="T151" s="148">
        <v>39355030782.089996</v>
      </c>
      <c r="U151" s="150">
        <v>0.70213692791595395</v>
      </c>
      <c r="V151" s="148">
        <v>39147932151.339996</v>
      </c>
      <c r="W151" s="148">
        <v>53621608624.690002</v>
      </c>
      <c r="X151" s="150">
        <v>0.5780087750369125</v>
      </c>
      <c r="Y151" s="148">
        <v>38957041180.339996</v>
      </c>
      <c r="Z151" s="148">
        <v>190890971</v>
      </c>
      <c r="AA151" s="150">
        <v>0.41993353480527096</v>
      </c>
    </row>
    <row r="152" spans="1:27" ht="24.95" hidden="1" customHeight="1">
      <c r="A152" s="32" t="e">
        <v>#REF!</v>
      </c>
      <c r="B152" s="145" t="s">
        <v>167</v>
      </c>
      <c r="C152" s="145" t="s">
        <v>190</v>
      </c>
      <c r="D152" s="145" t="s">
        <v>172</v>
      </c>
      <c r="E152" s="145" t="s">
        <v>191</v>
      </c>
      <c r="F152" s="145" t="s">
        <v>175</v>
      </c>
      <c r="G152" s="145" t="s">
        <v>193</v>
      </c>
      <c r="H152" s="145" t="s">
        <v>65</v>
      </c>
      <c r="I152" s="145">
        <v>10</v>
      </c>
      <c r="J152" s="146" t="s">
        <v>29</v>
      </c>
      <c r="K152" s="147" t="s">
        <v>127</v>
      </c>
      <c r="L152" s="148">
        <v>0</v>
      </c>
      <c r="M152" s="148"/>
      <c r="N152" s="148"/>
      <c r="O152" s="148"/>
      <c r="P152" s="148"/>
      <c r="Q152" s="148"/>
      <c r="R152" s="148">
        <v>0</v>
      </c>
      <c r="S152" s="148">
        <v>0</v>
      </c>
      <c r="T152" s="148">
        <v>0</v>
      </c>
      <c r="U152" s="150">
        <v>0</v>
      </c>
      <c r="V152" s="148">
        <v>0</v>
      </c>
      <c r="W152" s="148">
        <v>0</v>
      </c>
      <c r="X152" s="150">
        <v>0</v>
      </c>
      <c r="Y152" s="148">
        <v>0</v>
      </c>
      <c r="Z152" s="148">
        <v>0</v>
      </c>
      <c r="AA152" s="150">
        <v>0</v>
      </c>
    </row>
    <row r="153" spans="1:27" ht="24.95" customHeight="1">
      <c r="A153" s="32" t="e">
        <v>#REF!</v>
      </c>
      <c r="B153" s="145" t="s">
        <v>167</v>
      </c>
      <c r="C153" s="145" t="s">
        <v>190</v>
      </c>
      <c r="D153" s="145" t="s">
        <v>172</v>
      </c>
      <c r="E153" s="145" t="s">
        <v>191</v>
      </c>
      <c r="F153" s="145" t="s">
        <v>175</v>
      </c>
      <c r="G153" s="145" t="s">
        <v>193</v>
      </c>
      <c r="H153" s="145" t="s">
        <v>65</v>
      </c>
      <c r="I153" s="145" t="s">
        <v>144</v>
      </c>
      <c r="J153" s="146" t="s">
        <v>29</v>
      </c>
      <c r="K153" s="147" t="s">
        <v>127</v>
      </c>
      <c r="L153" s="148">
        <v>2261455416767</v>
      </c>
      <c r="M153" s="148"/>
      <c r="N153" s="148"/>
      <c r="O153" s="148">
        <v>10230450560.969999</v>
      </c>
      <c r="P153" s="148">
        <v>4797897104.0900002</v>
      </c>
      <c r="Q153" s="148"/>
      <c r="R153" s="148">
        <v>2266887970223.8804</v>
      </c>
      <c r="S153" s="148">
        <v>1386338597648</v>
      </c>
      <c r="T153" s="148">
        <v>880549372575.88037</v>
      </c>
      <c r="U153" s="150">
        <v>0.61156026052363044</v>
      </c>
      <c r="V153" s="148">
        <v>1384595197648</v>
      </c>
      <c r="W153" s="148">
        <v>1743400000</v>
      </c>
      <c r="X153" s="150">
        <v>1.2575571386079665E-3</v>
      </c>
      <c r="Y153" s="148">
        <v>1053182183948</v>
      </c>
      <c r="Z153" s="148">
        <v>331413013700</v>
      </c>
      <c r="AA153" s="150">
        <v>0.75968611545172426</v>
      </c>
    </row>
    <row r="154" spans="1:27" ht="32.25" customHeight="1">
      <c r="A154" s="32" t="e">
        <v>#REF!</v>
      </c>
      <c r="B154" s="139" t="s">
        <v>167</v>
      </c>
      <c r="C154" s="139" t="s">
        <v>190</v>
      </c>
      <c r="D154" s="139" t="s">
        <v>172</v>
      </c>
      <c r="E154" s="139" t="s">
        <v>191</v>
      </c>
      <c r="F154" s="139" t="s">
        <v>175</v>
      </c>
      <c r="G154" s="139">
        <v>4103009</v>
      </c>
      <c r="H154" s="139"/>
      <c r="I154" s="139">
        <v>10</v>
      </c>
      <c r="J154" s="140" t="s">
        <v>29</v>
      </c>
      <c r="K154" s="140" t="s">
        <v>195</v>
      </c>
      <c r="L154" s="141">
        <v>5264000000</v>
      </c>
      <c r="M154" s="142">
        <v>0</v>
      </c>
      <c r="N154" s="142">
        <v>0</v>
      </c>
      <c r="O154" s="142">
        <v>0</v>
      </c>
      <c r="P154" s="141">
        <v>128968049</v>
      </c>
      <c r="Q154" s="142">
        <v>0</v>
      </c>
      <c r="R154" s="141">
        <v>5135031951</v>
      </c>
      <c r="S154" s="141">
        <v>5135031951</v>
      </c>
      <c r="T154" s="141">
        <v>0</v>
      </c>
      <c r="U154" s="143">
        <v>1</v>
      </c>
      <c r="V154" s="141">
        <v>1027006390</v>
      </c>
      <c r="W154" s="141">
        <v>4108025561</v>
      </c>
      <c r="X154" s="143">
        <v>0.80000000003894811</v>
      </c>
      <c r="Y154" s="141">
        <v>1027006390</v>
      </c>
      <c r="Z154" s="141">
        <v>0</v>
      </c>
      <c r="AA154" s="724">
        <v>0.19999999996105186</v>
      </c>
    </row>
    <row r="155" spans="1:27" ht="24.95" hidden="1" customHeight="1">
      <c r="A155" s="32" t="e">
        <v>#REF!</v>
      </c>
      <c r="B155" s="145" t="s">
        <v>167</v>
      </c>
      <c r="C155" s="145" t="s">
        <v>190</v>
      </c>
      <c r="D155" s="145" t="s">
        <v>172</v>
      </c>
      <c r="E155" s="145" t="s">
        <v>191</v>
      </c>
      <c r="F155" s="145" t="s">
        <v>175</v>
      </c>
      <c r="G155" s="145">
        <v>4103009</v>
      </c>
      <c r="H155" s="145" t="s">
        <v>54</v>
      </c>
      <c r="I155" s="145">
        <v>10</v>
      </c>
      <c r="J155" s="146" t="s">
        <v>29</v>
      </c>
      <c r="K155" s="147" t="s">
        <v>178</v>
      </c>
      <c r="L155" s="148">
        <v>0</v>
      </c>
      <c r="M155" s="148"/>
      <c r="N155" s="148"/>
      <c r="O155" s="148"/>
      <c r="P155" s="148"/>
      <c r="Q155" s="148"/>
      <c r="R155" s="148">
        <v>0</v>
      </c>
      <c r="S155" s="148">
        <v>0</v>
      </c>
      <c r="T155" s="148">
        <v>0</v>
      </c>
      <c r="U155" s="150">
        <v>0</v>
      </c>
      <c r="V155" s="148">
        <v>0</v>
      </c>
      <c r="W155" s="148">
        <v>0</v>
      </c>
      <c r="X155" s="150">
        <v>0</v>
      </c>
      <c r="Y155" s="148">
        <v>0</v>
      </c>
      <c r="Z155" s="148">
        <v>0</v>
      </c>
      <c r="AA155" s="150">
        <v>0</v>
      </c>
    </row>
    <row r="156" spans="1:27" ht="24.95" customHeight="1">
      <c r="A156" s="32" t="e">
        <v>#REF!</v>
      </c>
      <c r="B156" s="145" t="s">
        <v>167</v>
      </c>
      <c r="C156" s="145" t="s">
        <v>190</v>
      </c>
      <c r="D156" s="145" t="s">
        <v>172</v>
      </c>
      <c r="E156" s="145" t="s">
        <v>191</v>
      </c>
      <c r="F156" s="145" t="s">
        <v>175</v>
      </c>
      <c r="G156" s="145">
        <v>4103009</v>
      </c>
      <c r="H156" s="145" t="s">
        <v>54</v>
      </c>
      <c r="I156" s="145">
        <v>11</v>
      </c>
      <c r="J156" s="146" t="s">
        <v>29</v>
      </c>
      <c r="K156" s="147" t="s">
        <v>178</v>
      </c>
      <c r="L156" s="148">
        <v>5264000000</v>
      </c>
      <c r="M156" s="148"/>
      <c r="N156" s="148"/>
      <c r="O156" s="148"/>
      <c r="P156" s="148">
        <v>128968049</v>
      </c>
      <c r="Q156" s="148"/>
      <c r="R156" s="148">
        <v>5135031951</v>
      </c>
      <c r="S156" s="148">
        <v>5135031951</v>
      </c>
      <c r="T156" s="148">
        <v>0</v>
      </c>
      <c r="U156" s="150">
        <v>1</v>
      </c>
      <c r="V156" s="148">
        <v>1027006390</v>
      </c>
      <c r="W156" s="148">
        <v>4108025561</v>
      </c>
      <c r="X156" s="150">
        <v>0.80000000003894811</v>
      </c>
      <c r="Y156" s="148">
        <v>1027006390</v>
      </c>
      <c r="Z156" s="148">
        <v>0</v>
      </c>
      <c r="AA156" s="150">
        <v>0.19999999996105186</v>
      </c>
    </row>
    <row r="157" spans="1:27" ht="42" customHeight="1">
      <c r="A157" s="32" t="e">
        <v>#REF!</v>
      </c>
      <c r="B157" s="133" t="s">
        <v>167</v>
      </c>
      <c r="C157" s="133" t="s">
        <v>190</v>
      </c>
      <c r="D157" s="133" t="s">
        <v>172</v>
      </c>
      <c r="E157" s="133" t="s">
        <v>22</v>
      </c>
      <c r="F157" s="133"/>
      <c r="G157" s="133"/>
      <c r="H157" s="133"/>
      <c r="I157" s="133"/>
      <c r="J157" s="134"/>
      <c r="K157" s="134" t="s">
        <v>264</v>
      </c>
      <c r="L157" s="135">
        <v>26000000000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5">
        <v>26000000000</v>
      </c>
      <c r="S157" s="135">
        <v>20682083615</v>
      </c>
      <c r="T157" s="135">
        <v>5317916385</v>
      </c>
      <c r="U157" s="137">
        <v>0.79546475442307696</v>
      </c>
      <c r="V157" s="135">
        <v>971260042</v>
      </c>
      <c r="W157" s="135">
        <v>19710823573</v>
      </c>
      <c r="X157" s="137">
        <v>0.95303857870028241</v>
      </c>
      <c r="Y157" s="135">
        <v>876277895</v>
      </c>
      <c r="Z157" s="135">
        <v>94982147</v>
      </c>
      <c r="AA157" s="723">
        <v>4.2368936868839753E-2</v>
      </c>
    </row>
    <row r="158" spans="1:27" ht="32.25" customHeight="1">
      <c r="A158" s="32" t="e">
        <v>#REF!</v>
      </c>
      <c r="B158" s="139" t="s">
        <v>167</v>
      </c>
      <c r="C158" s="139" t="s">
        <v>190</v>
      </c>
      <c r="D158" s="139" t="s">
        <v>172</v>
      </c>
      <c r="E158" s="139" t="s">
        <v>22</v>
      </c>
      <c r="F158" s="139" t="s">
        <v>175</v>
      </c>
      <c r="G158" s="139" t="s">
        <v>197</v>
      </c>
      <c r="H158" s="139"/>
      <c r="I158" s="139">
        <v>11</v>
      </c>
      <c r="J158" s="140" t="s">
        <v>29</v>
      </c>
      <c r="K158" s="140" t="s">
        <v>198</v>
      </c>
      <c r="L158" s="141">
        <v>2722234333</v>
      </c>
      <c r="M158" s="142">
        <v>0</v>
      </c>
      <c r="N158" s="142">
        <v>0</v>
      </c>
      <c r="O158" s="142">
        <v>0</v>
      </c>
      <c r="P158" s="142">
        <v>0</v>
      </c>
      <c r="Q158" s="142">
        <v>0</v>
      </c>
      <c r="R158" s="141">
        <v>2722234333</v>
      </c>
      <c r="S158" s="141">
        <v>2119790394</v>
      </c>
      <c r="T158" s="141">
        <v>602443939</v>
      </c>
      <c r="U158" s="143">
        <v>0.77869504777860721</v>
      </c>
      <c r="V158" s="141">
        <v>0</v>
      </c>
      <c r="W158" s="142">
        <v>2119790394</v>
      </c>
      <c r="X158" s="143">
        <v>1</v>
      </c>
      <c r="Y158" s="141">
        <v>0</v>
      </c>
      <c r="Z158" s="141">
        <v>0</v>
      </c>
      <c r="AA158" s="724">
        <v>0</v>
      </c>
    </row>
    <row r="159" spans="1:27" ht="24.95" customHeight="1">
      <c r="A159" s="32" t="e">
        <v>#REF!</v>
      </c>
      <c r="B159" s="145" t="s">
        <v>167</v>
      </c>
      <c r="C159" s="145" t="s">
        <v>190</v>
      </c>
      <c r="D159" s="145" t="s">
        <v>172</v>
      </c>
      <c r="E159" s="145" t="s">
        <v>22</v>
      </c>
      <c r="F159" s="145" t="s">
        <v>175</v>
      </c>
      <c r="G159" s="145" t="s">
        <v>197</v>
      </c>
      <c r="H159" s="145" t="s">
        <v>54</v>
      </c>
      <c r="I159" s="145">
        <v>11</v>
      </c>
      <c r="J159" s="146" t="s">
        <v>29</v>
      </c>
      <c r="K159" s="147" t="s">
        <v>178</v>
      </c>
      <c r="L159" s="148">
        <v>2722234333</v>
      </c>
      <c r="M159" s="148"/>
      <c r="N159" s="148"/>
      <c r="O159" s="148"/>
      <c r="P159" s="148"/>
      <c r="Q159" s="148"/>
      <c r="R159" s="148">
        <v>2722234333</v>
      </c>
      <c r="S159" s="148">
        <v>2119790394</v>
      </c>
      <c r="T159" s="148">
        <v>602443939</v>
      </c>
      <c r="U159" s="150">
        <v>0.77869504777860721</v>
      </c>
      <c r="V159" s="148">
        <v>0</v>
      </c>
      <c r="W159" s="148">
        <v>2119790394</v>
      </c>
      <c r="X159" s="150">
        <v>1</v>
      </c>
      <c r="Y159" s="148">
        <v>0</v>
      </c>
      <c r="Z159" s="148">
        <v>0</v>
      </c>
      <c r="AA159" s="150">
        <v>0</v>
      </c>
    </row>
    <row r="160" spans="1:27" ht="32.25" customHeight="1">
      <c r="A160" s="32" t="e">
        <v>#REF!</v>
      </c>
      <c r="B160" s="139" t="s">
        <v>167</v>
      </c>
      <c r="C160" s="139" t="s">
        <v>190</v>
      </c>
      <c r="D160" s="139" t="s">
        <v>172</v>
      </c>
      <c r="E160" s="139" t="s">
        <v>22</v>
      </c>
      <c r="F160" s="139" t="s">
        <v>175</v>
      </c>
      <c r="G160" s="139" t="s">
        <v>199</v>
      </c>
      <c r="H160" s="139"/>
      <c r="I160" s="139">
        <v>11</v>
      </c>
      <c r="J160" s="140" t="s">
        <v>29</v>
      </c>
      <c r="K160" s="140" t="s">
        <v>200</v>
      </c>
      <c r="L160" s="141">
        <v>2304259288</v>
      </c>
      <c r="M160" s="142">
        <v>0</v>
      </c>
      <c r="N160" s="142">
        <v>0</v>
      </c>
      <c r="O160" s="142">
        <v>0</v>
      </c>
      <c r="P160" s="142">
        <v>0</v>
      </c>
      <c r="Q160" s="142">
        <v>0</v>
      </c>
      <c r="R160" s="141">
        <v>2304259288</v>
      </c>
      <c r="S160" s="141">
        <v>1742312334</v>
      </c>
      <c r="T160" s="141">
        <v>561946954</v>
      </c>
      <c r="U160" s="143">
        <v>0.756126857369534</v>
      </c>
      <c r="V160" s="141">
        <v>0</v>
      </c>
      <c r="W160" s="142">
        <v>1742312334</v>
      </c>
      <c r="X160" s="143">
        <v>1</v>
      </c>
      <c r="Y160" s="141">
        <v>0</v>
      </c>
      <c r="Z160" s="141">
        <v>0</v>
      </c>
      <c r="AA160" s="724">
        <v>0</v>
      </c>
    </row>
    <row r="161" spans="1:27" ht="24.95" customHeight="1">
      <c r="A161" s="32" t="e">
        <v>#REF!</v>
      </c>
      <c r="B161" s="145" t="s">
        <v>167</v>
      </c>
      <c r="C161" s="145" t="s">
        <v>190</v>
      </c>
      <c r="D161" s="145" t="s">
        <v>172</v>
      </c>
      <c r="E161" s="145" t="s">
        <v>22</v>
      </c>
      <c r="F161" s="145" t="s">
        <v>175</v>
      </c>
      <c r="G161" s="145" t="s">
        <v>199</v>
      </c>
      <c r="H161" s="145" t="s">
        <v>54</v>
      </c>
      <c r="I161" s="145">
        <v>11</v>
      </c>
      <c r="J161" s="146" t="s">
        <v>29</v>
      </c>
      <c r="K161" s="147" t="s">
        <v>178</v>
      </c>
      <c r="L161" s="148">
        <v>2304259288</v>
      </c>
      <c r="M161" s="148"/>
      <c r="N161" s="148"/>
      <c r="O161" s="148"/>
      <c r="P161" s="148"/>
      <c r="Q161" s="148"/>
      <c r="R161" s="148">
        <v>2304259288</v>
      </c>
      <c r="S161" s="148">
        <v>1742312334</v>
      </c>
      <c r="T161" s="148">
        <v>561946954</v>
      </c>
      <c r="U161" s="150">
        <v>0.756126857369534</v>
      </c>
      <c r="V161" s="148">
        <v>0</v>
      </c>
      <c r="W161" s="148">
        <v>1742312334</v>
      </c>
      <c r="X161" s="150">
        <v>1</v>
      </c>
      <c r="Y161" s="148">
        <v>0</v>
      </c>
      <c r="Z161" s="148">
        <v>0</v>
      </c>
      <c r="AA161" s="150">
        <v>0</v>
      </c>
    </row>
    <row r="162" spans="1:27" ht="32.25" customHeight="1">
      <c r="A162" s="32" t="e">
        <v>#REF!</v>
      </c>
      <c r="B162" s="139" t="s">
        <v>167</v>
      </c>
      <c r="C162" s="139" t="s">
        <v>190</v>
      </c>
      <c r="D162" s="139" t="s">
        <v>172</v>
      </c>
      <c r="E162" s="139" t="s">
        <v>22</v>
      </c>
      <c r="F162" s="139" t="s">
        <v>175</v>
      </c>
      <c r="G162" s="139" t="s">
        <v>201</v>
      </c>
      <c r="H162" s="139"/>
      <c r="I162" s="139">
        <v>11</v>
      </c>
      <c r="J162" s="140" t="s">
        <v>29</v>
      </c>
      <c r="K162" s="140" t="s">
        <v>202</v>
      </c>
      <c r="L162" s="141">
        <v>2444410079</v>
      </c>
      <c r="M162" s="142">
        <v>0</v>
      </c>
      <c r="N162" s="142">
        <v>0</v>
      </c>
      <c r="O162" s="142">
        <v>0</v>
      </c>
      <c r="P162" s="142">
        <v>0</v>
      </c>
      <c r="Q162" s="142">
        <v>0</v>
      </c>
      <c r="R162" s="141">
        <v>2444410079</v>
      </c>
      <c r="S162" s="141">
        <v>1854086578</v>
      </c>
      <c r="T162" s="141">
        <v>590323501</v>
      </c>
      <c r="U162" s="143">
        <v>0.7585006271772945</v>
      </c>
      <c r="V162" s="141">
        <v>971260042</v>
      </c>
      <c r="W162" s="141">
        <v>882826536</v>
      </c>
      <c r="X162" s="143">
        <v>0.47615173232757202</v>
      </c>
      <c r="Y162" s="141">
        <v>876277895</v>
      </c>
      <c r="Z162" s="141">
        <v>94982147</v>
      </c>
      <c r="AA162" s="724">
        <v>0.47261972844075029</v>
      </c>
    </row>
    <row r="163" spans="1:27" ht="24.95" customHeight="1">
      <c r="A163" s="32" t="e">
        <v>#REF!</v>
      </c>
      <c r="B163" s="145" t="s">
        <v>167</v>
      </c>
      <c r="C163" s="145" t="s">
        <v>190</v>
      </c>
      <c r="D163" s="145" t="s">
        <v>172</v>
      </c>
      <c r="E163" s="145" t="s">
        <v>22</v>
      </c>
      <c r="F163" s="145" t="s">
        <v>175</v>
      </c>
      <c r="G163" s="145" t="s">
        <v>201</v>
      </c>
      <c r="H163" s="145" t="s">
        <v>54</v>
      </c>
      <c r="I163" s="145">
        <v>11</v>
      </c>
      <c r="J163" s="146" t="s">
        <v>29</v>
      </c>
      <c r="K163" s="147" t="s">
        <v>178</v>
      </c>
      <c r="L163" s="148">
        <v>2444410079</v>
      </c>
      <c r="M163" s="148"/>
      <c r="N163" s="148"/>
      <c r="O163" s="148"/>
      <c r="P163" s="148"/>
      <c r="Q163" s="148"/>
      <c r="R163" s="148">
        <v>2444410079</v>
      </c>
      <c r="S163" s="148">
        <v>1854086578</v>
      </c>
      <c r="T163" s="148">
        <v>590323501</v>
      </c>
      <c r="U163" s="150">
        <v>0.7585006271772945</v>
      </c>
      <c r="V163" s="148">
        <v>971260042</v>
      </c>
      <c r="W163" s="148">
        <v>882826536</v>
      </c>
      <c r="X163" s="150">
        <v>0.47615173232757202</v>
      </c>
      <c r="Y163" s="148">
        <v>876277895</v>
      </c>
      <c r="Z163" s="148">
        <v>94982147</v>
      </c>
      <c r="AA163" s="150">
        <v>0.47261972844075029</v>
      </c>
    </row>
    <row r="164" spans="1:27" ht="32.25" customHeight="1">
      <c r="A164" s="32" t="e">
        <v>#REF!</v>
      </c>
      <c r="B164" s="139" t="s">
        <v>167</v>
      </c>
      <c r="C164" s="139" t="s">
        <v>190</v>
      </c>
      <c r="D164" s="139" t="s">
        <v>172</v>
      </c>
      <c r="E164" s="139" t="s">
        <v>22</v>
      </c>
      <c r="F164" s="139" t="s">
        <v>175</v>
      </c>
      <c r="G164" s="139" t="s">
        <v>203</v>
      </c>
      <c r="H164" s="139"/>
      <c r="I164" s="139">
        <v>11</v>
      </c>
      <c r="J164" s="140" t="s">
        <v>29</v>
      </c>
      <c r="K164" s="140" t="s">
        <v>204</v>
      </c>
      <c r="L164" s="141">
        <v>18529096300</v>
      </c>
      <c r="M164" s="142">
        <v>0</v>
      </c>
      <c r="N164" s="142">
        <v>0</v>
      </c>
      <c r="O164" s="142">
        <v>0</v>
      </c>
      <c r="P164" s="142">
        <v>0</v>
      </c>
      <c r="Q164" s="142">
        <v>0</v>
      </c>
      <c r="R164" s="141">
        <v>18529096300</v>
      </c>
      <c r="S164" s="141">
        <v>14965894309</v>
      </c>
      <c r="T164" s="141">
        <v>3563201991</v>
      </c>
      <c r="U164" s="143">
        <v>0.80769693603459769</v>
      </c>
      <c r="V164" s="141">
        <v>0</v>
      </c>
      <c r="W164" s="142">
        <v>14965894309</v>
      </c>
      <c r="X164" s="143">
        <v>1</v>
      </c>
      <c r="Y164" s="141">
        <v>0</v>
      </c>
      <c r="Z164" s="141">
        <v>0</v>
      </c>
      <c r="AA164" s="724">
        <v>0</v>
      </c>
    </row>
    <row r="165" spans="1:27" ht="24.95" customHeight="1">
      <c r="A165" s="32" t="e">
        <v>#REF!</v>
      </c>
      <c r="B165" s="145" t="s">
        <v>167</v>
      </c>
      <c r="C165" s="145" t="s">
        <v>190</v>
      </c>
      <c r="D165" s="145" t="s">
        <v>172</v>
      </c>
      <c r="E165" s="145" t="s">
        <v>22</v>
      </c>
      <c r="F165" s="145" t="s">
        <v>175</v>
      </c>
      <c r="G165" s="145" t="s">
        <v>203</v>
      </c>
      <c r="H165" s="145" t="s">
        <v>54</v>
      </c>
      <c r="I165" s="145">
        <v>11</v>
      </c>
      <c r="J165" s="146" t="s">
        <v>29</v>
      </c>
      <c r="K165" s="147" t="s">
        <v>178</v>
      </c>
      <c r="L165" s="148">
        <v>18529096300</v>
      </c>
      <c r="M165" s="148"/>
      <c r="N165" s="148"/>
      <c r="O165" s="148"/>
      <c r="P165" s="148"/>
      <c r="Q165" s="148"/>
      <c r="R165" s="148">
        <v>18529096300</v>
      </c>
      <c r="S165" s="148">
        <v>14965894309</v>
      </c>
      <c r="T165" s="148">
        <v>3563201991</v>
      </c>
      <c r="U165" s="150">
        <v>0.80769693603459769</v>
      </c>
      <c r="V165" s="148">
        <v>0</v>
      </c>
      <c r="W165" s="148">
        <v>14965894309</v>
      </c>
      <c r="X165" s="150">
        <v>1</v>
      </c>
      <c r="Y165" s="148">
        <v>0</v>
      </c>
      <c r="Z165" s="148">
        <v>0</v>
      </c>
      <c r="AA165" s="150">
        <v>0</v>
      </c>
    </row>
    <row r="166" spans="1:27" ht="42" customHeight="1">
      <c r="A166" s="32" t="e">
        <v>#REF!</v>
      </c>
      <c r="B166" s="133" t="s">
        <v>167</v>
      </c>
      <c r="C166" s="133" t="s">
        <v>190</v>
      </c>
      <c r="D166" s="133" t="s">
        <v>172</v>
      </c>
      <c r="E166" s="133" t="s">
        <v>205</v>
      </c>
      <c r="F166" s="133"/>
      <c r="G166" s="133"/>
      <c r="H166" s="133"/>
      <c r="I166" s="133"/>
      <c r="J166" s="134"/>
      <c r="K166" s="134" t="s">
        <v>265</v>
      </c>
      <c r="L166" s="135">
        <v>881000000000</v>
      </c>
      <c r="M166" s="136">
        <v>0</v>
      </c>
      <c r="N166" s="136">
        <v>0</v>
      </c>
      <c r="O166" s="135">
        <v>30401295364.259998</v>
      </c>
      <c r="P166" s="135">
        <v>35608934280.259995</v>
      </c>
      <c r="Q166" s="135">
        <v>315018861084</v>
      </c>
      <c r="R166" s="135">
        <v>560773500000</v>
      </c>
      <c r="S166" s="135">
        <v>441860075774.22998</v>
      </c>
      <c r="T166" s="135">
        <v>118913424225.76999</v>
      </c>
      <c r="U166" s="137">
        <v>0.78794749711644718</v>
      </c>
      <c r="V166" s="135">
        <v>85632717678.959991</v>
      </c>
      <c r="W166" s="135">
        <v>356227358095.26996</v>
      </c>
      <c r="X166" s="137">
        <v>0.80619946817119914</v>
      </c>
      <c r="Y166" s="135">
        <v>85410253015.959991</v>
      </c>
      <c r="Z166" s="135">
        <v>222464663</v>
      </c>
      <c r="AA166" s="723">
        <v>0.19329705872680081</v>
      </c>
    </row>
    <row r="167" spans="1:27" ht="45" hidden="1" customHeight="1">
      <c r="A167" s="32"/>
      <c r="B167" s="133"/>
      <c r="C167" s="133"/>
      <c r="D167" s="133"/>
      <c r="E167" s="133"/>
      <c r="F167" s="133"/>
      <c r="G167" s="133"/>
      <c r="H167" s="133"/>
      <c r="I167" s="133"/>
      <c r="J167" s="134"/>
      <c r="K167" s="135"/>
      <c r="L167" s="729">
        <v>526000000000</v>
      </c>
      <c r="M167" s="136"/>
      <c r="N167" s="136"/>
      <c r="O167" s="136"/>
      <c r="P167" s="136"/>
      <c r="Q167" s="729">
        <v>522226500000</v>
      </c>
      <c r="R167" s="135">
        <v>3773500000</v>
      </c>
      <c r="S167" s="135"/>
      <c r="T167" s="135">
        <v>3773500000</v>
      </c>
      <c r="U167" s="137"/>
      <c r="V167" s="135"/>
      <c r="W167" s="135">
        <v>0</v>
      </c>
      <c r="X167" s="137"/>
      <c r="Y167" s="135"/>
      <c r="Z167" s="135">
        <v>0</v>
      </c>
      <c r="AA167" s="723"/>
    </row>
    <row r="168" spans="1:27" ht="32.25" customHeight="1">
      <c r="A168" s="32" t="e">
        <v>#REF!</v>
      </c>
      <c r="B168" s="139" t="s">
        <v>167</v>
      </c>
      <c r="C168" s="139" t="s">
        <v>190</v>
      </c>
      <c r="D168" s="139" t="s">
        <v>172</v>
      </c>
      <c r="E168" s="139" t="s">
        <v>205</v>
      </c>
      <c r="F168" s="139" t="s">
        <v>175</v>
      </c>
      <c r="G168" s="139" t="s">
        <v>207</v>
      </c>
      <c r="H168" s="139"/>
      <c r="I168" s="139"/>
      <c r="J168" s="140"/>
      <c r="K168" s="140" t="s">
        <v>208</v>
      </c>
      <c r="L168" s="141">
        <v>331786185933</v>
      </c>
      <c r="M168" s="142">
        <v>0</v>
      </c>
      <c r="N168" s="142">
        <v>0</v>
      </c>
      <c r="O168" s="141">
        <v>28784016061.259998</v>
      </c>
      <c r="P168" s="141">
        <v>35608934280.259995</v>
      </c>
      <c r="Q168" s="730">
        <v>-207207638916</v>
      </c>
      <c r="R168" s="141">
        <v>532168906630</v>
      </c>
      <c r="S168" s="141">
        <v>423546401636.72998</v>
      </c>
      <c r="T168" s="141">
        <v>108622504993.26999</v>
      </c>
      <c r="U168" s="143">
        <v>0.79588716356780354</v>
      </c>
      <c r="V168" s="141">
        <v>75307195712.459991</v>
      </c>
      <c r="W168" s="141">
        <v>348239205924.26996</v>
      </c>
      <c r="X168" s="143">
        <v>0.82219847596049234</v>
      </c>
      <c r="Y168" s="141">
        <v>75307195712.459991</v>
      </c>
      <c r="Z168" s="141">
        <v>0</v>
      </c>
      <c r="AA168" s="724">
        <v>0.17780152403950761</v>
      </c>
    </row>
    <row r="169" spans="1:27" ht="24.95" customHeight="1">
      <c r="A169" s="32" t="e">
        <v>#REF!</v>
      </c>
      <c r="B169" s="145" t="s">
        <v>167</v>
      </c>
      <c r="C169" s="145" t="s">
        <v>190</v>
      </c>
      <c r="D169" s="145" t="s">
        <v>172</v>
      </c>
      <c r="E169" s="145" t="s">
        <v>205</v>
      </c>
      <c r="F169" s="145" t="s">
        <v>175</v>
      </c>
      <c r="G169" s="145" t="s">
        <v>207</v>
      </c>
      <c r="H169" s="145" t="s">
        <v>54</v>
      </c>
      <c r="I169" s="145">
        <v>11</v>
      </c>
      <c r="J169" s="146" t="s">
        <v>29</v>
      </c>
      <c r="K169" s="147" t="s">
        <v>178</v>
      </c>
      <c r="L169" s="148">
        <v>27122315285.709999</v>
      </c>
      <c r="M169" s="148"/>
      <c r="N169" s="148"/>
      <c r="O169" s="148">
        <v>27683969470.259998</v>
      </c>
      <c r="P169" s="148">
        <v>1100046591</v>
      </c>
      <c r="Q169" s="148"/>
      <c r="R169" s="148">
        <v>53706238164.970001</v>
      </c>
      <c r="S169" s="148">
        <v>42673084121.82</v>
      </c>
      <c r="T169" s="148">
        <v>11033154043.150002</v>
      </c>
      <c r="U169" s="150">
        <v>0.79456475783577785</v>
      </c>
      <c r="V169" s="148">
        <v>12159161509.219999</v>
      </c>
      <c r="W169" s="148">
        <v>30513922612.599998</v>
      </c>
      <c r="X169" s="150">
        <v>0.71506250932065474</v>
      </c>
      <c r="Y169" s="148">
        <v>12159161509.219999</v>
      </c>
      <c r="Z169" s="148">
        <v>0</v>
      </c>
      <c r="AA169" s="150">
        <v>0.28493749067934521</v>
      </c>
    </row>
    <row r="170" spans="1:27" ht="24.95" hidden="1" customHeight="1">
      <c r="A170" s="32" t="e">
        <v>#REF!</v>
      </c>
      <c r="B170" s="145" t="s">
        <v>167</v>
      </c>
      <c r="C170" s="145" t="s">
        <v>190</v>
      </c>
      <c r="D170" s="145" t="s">
        <v>172</v>
      </c>
      <c r="E170" s="145" t="s">
        <v>205</v>
      </c>
      <c r="F170" s="145" t="s">
        <v>175</v>
      </c>
      <c r="G170" s="145" t="s">
        <v>207</v>
      </c>
      <c r="H170" s="145" t="s">
        <v>65</v>
      </c>
      <c r="I170" s="145" t="s">
        <v>28</v>
      </c>
      <c r="J170" s="146" t="s">
        <v>29</v>
      </c>
      <c r="K170" s="147" t="s">
        <v>127</v>
      </c>
      <c r="L170" s="148"/>
      <c r="M170" s="148"/>
      <c r="N170" s="148"/>
      <c r="O170" s="148"/>
      <c r="P170" s="148"/>
      <c r="Q170" s="148"/>
      <c r="R170" s="148">
        <v>0</v>
      </c>
      <c r="S170" s="148"/>
      <c r="T170" s="148">
        <v>0</v>
      </c>
      <c r="U170" s="150">
        <v>0</v>
      </c>
      <c r="V170" s="148"/>
      <c r="W170" s="148">
        <v>0</v>
      </c>
      <c r="X170" s="150">
        <v>0</v>
      </c>
      <c r="Y170" s="148"/>
      <c r="Z170" s="148">
        <v>0</v>
      </c>
      <c r="AA170" s="150">
        <v>0</v>
      </c>
    </row>
    <row r="171" spans="1:27" ht="24.95" customHeight="1">
      <c r="A171" s="32" t="e">
        <v>#REF!</v>
      </c>
      <c r="B171" s="145" t="s">
        <v>167</v>
      </c>
      <c r="C171" s="145" t="s">
        <v>190</v>
      </c>
      <c r="D171" s="145" t="s">
        <v>172</v>
      </c>
      <c r="E171" s="145" t="s">
        <v>205</v>
      </c>
      <c r="F171" s="145" t="s">
        <v>175</v>
      </c>
      <c r="G171" s="145" t="s">
        <v>207</v>
      </c>
      <c r="H171" s="145" t="s">
        <v>65</v>
      </c>
      <c r="I171" s="145">
        <v>11</v>
      </c>
      <c r="J171" s="146" t="s">
        <v>29</v>
      </c>
      <c r="K171" s="147" t="s">
        <v>127</v>
      </c>
      <c r="L171" s="148">
        <v>304663870647.28998</v>
      </c>
      <c r="M171" s="148"/>
      <c r="N171" s="148"/>
      <c r="O171" s="148">
        <v>1100046591</v>
      </c>
      <c r="P171" s="148">
        <v>34508887689.259995</v>
      </c>
      <c r="Q171" s="148">
        <v>-207207638916</v>
      </c>
      <c r="R171" s="149">
        <v>478462668465.02997</v>
      </c>
      <c r="S171" s="148">
        <v>380873317514.90997</v>
      </c>
      <c r="T171" s="148">
        <v>97589350950.119995</v>
      </c>
      <c r="U171" s="150">
        <v>0.79603560030461884</v>
      </c>
      <c r="V171" s="148">
        <v>63148034203.239998</v>
      </c>
      <c r="W171" s="148">
        <v>317725283311.66998</v>
      </c>
      <c r="X171" s="150">
        <v>0.83420200024705604</v>
      </c>
      <c r="Y171" s="148">
        <v>63148034203.239998</v>
      </c>
      <c r="Z171" s="148">
        <v>0</v>
      </c>
      <c r="AA171" s="150">
        <v>0.16579799975294399</v>
      </c>
    </row>
    <row r="172" spans="1:27" ht="32.25" customHeight="1">
      <c r="A172" s="32" t="e">
        <v>#REF!</v>
      </c>
      <c r="B172" s="139" t="s">
        <v>167</v>
      </c>
      <c r="C172" s="139" t="s">
        <v>190</v>
      </c>
      <c r="D172" s="139" t="s">
        <v>172</v>
      </c>
      <c r="E172" s="139" t="s">
        <v>205</v>
      </c>
      <c r="F172" s="139" t="s">
        <v>175</v>
      </c>
      <c r="G172" s="139" t="s">
        <v>209</v>
      </c>
      <c r="H172" s="139"/>
      <c r="I172" s="139">
        <v>11</v>
      </c>
      <c r="J172" s="140" t="s">
        <v>29</v>
      </c>
      <c r="K172" s="140" t="s">
        <v>210</v>
      </c>
      <c r="L172" s="141">
        <v>23213814067</v>
      </c>
      <c r="M172" s="142">
        <v>0</v>
      </c>
      <c r="N172" s="142">
        <v>0</v>
      </c>
      <c r="O172" s="141">
        <v>1617279303</v>
      </c>
      <c r="P172" s="142">
        <v>0</v>
      </c>
      <c r="Q172" s="142">
        <v>0</v>
      </c>
      <c r="R172" s="141">
        <v>24831093370</v>
      </c>
      <c r="S172" s="141">
        <v>18313674137.5</v>
      </c>
      <c r="T172" s="141">
        <v>6517419232.5</v>
      </c>
      <c r="U172" s="143">
        <v>0.73752991318642047</v>
      </c>
      <c r="V172" s="141">
        <v>10325521966.5</v>
      </c>
      <c r="W172" s="141">
        <v>7988152171</v>
      </c>
      <c r="X172" s="143">
        <v>0.43618512107535307</v>
      </c>
      <c r="Y172" s="141">
        <v>10103057303.5</v>
      </c>
      <c r="Z172" s="141">
        <v>222464663</v>
      </c>
      <c r="AA172" s="724">
        <v>0.55166741679718279</v>
      </c>
    </row>
    <row r="173" spans="1:27" ht="24.95" customHeight="1">
      <c r="A173" s="32" t="e">
        <v>#REF!</v>
      </c>
      <c r="B173" s="145" t="s">
        <v>167</v>
      </c>
      <c r="C173" s="145" t="s">
        <v>190</v>
      </c>
      <c r="D173" s="145" t="s">
        <v>172</v>
      </c>
      <c r="E173" s="145" t="s">
        <v>205</v>
      </c>
      <c r="F173" s="145" t="s">
        <v>175</v>
      </c>
      <c r="G173" s="145" t="s">
        <v>209</v>
      </c>
      <c r="H173" s="145" t="s">
        <v>54</v>
      </c>
      <c r="I173" s="145">
        <v>11</v>
      </c>
      <c r="J173" s="146" t="s">
        <v>29</v>
      </c>
      <c r="K173" s="147" t="s">
        <v>178</v>
      </c>
      <c r="L173" s="148">
        <v>23213814067</v>
      </c>
      <c r="M173" s="148"/>
      <c r="N173" s="148"/>
      <c r="O173" s="148">
        <v>1617279303</v>
      </c>
      <c r="P173" s="148"/>
      <c r="Q173" s="148"/>
      <c r="R173" s="148">
        <v>24831093370</v>
      </c>
      <c r="S173" s="148">
        <v>18313674137.5</v>
      </c>
      <c r="T173" s="148">
        <v>6517419232.5</v>
      </c>
      <c r="U173" s="150">
        <v>0.73752991318642047</v>
      </c>
      <c r="V173" s="148">
        <v>10325521966.5</v>
      </c>
      <c r="W173" s="148">
        <v>7988152171</v>
      </c>
      <c r="X173" s="150">
        <v>0.43618512107535307</v>
      </c>
      <c r="Y173" s="148">
        <v>10103057303.5</v>
      </c>
      <c r="Z173" s="148">
        <v>222464663</v>
      </c>
      <c r="AA173" s="150">
        <v>0.55166741679718279</v>
      </c>
    </row>
    <row r="174" spans="1:27" ht="38.25" customHeight="1">
      <c r="A174" s="32" t="e">
        <v>#REF!</v>
      </c>
      <c r="B174" s="133" t="s">
        <v>167</v>
      </c>
      <c r="C174" s="133" t="s">
        <v>190</v>
      </c>
      <c r="D174" s="133" t="s">
        <v>172</v>
      </c>
      <c r="E174" s="133" t="s">
        <v>211</v>
      </c>
      <c r="F174" s="133"/>
      <c r="G174" s="133"/>
      <c r="H174" s="133"/>
      <c r="I174" s="133"/>
      <c r="J174" s="134"/>
      <c r="K174" s="134" t="s">
        <v>266</v>
      </c>
      <c r="L174" s="135">
        <v>1500000000</v>
      </c>
      <c r="M174" s="136">
        <v>0</v>
      </c>
      <c r="N174" s="136">
        <v>0</v>
      </c>
      <c r="O174" s="135">
        <v>595000000</v>
      </c>
      <c r="P174" s="135">
        <v>595000000</v>
      </c>
      <c r="Q174" s="136">
        <v>0</v>
      </c>
      <c r="R174" s="135">
        <v>1500000000</v>
      </c>
      <c r="S174" s="135">
        <v>500000000</v>
      </c>
      <c r="T174" s="135">
        <v>1000000000</v>
      </c>
      <c r="U174" s="137">
        <v>0.33333333333333331</v>
      </c>
      <c r="V174" s="135">
        <v>225000000</v>
      </c>
      <c r="W174" s="135">
        <v>275000000</v>
      </c>
      <c r="X174" s="137">
        <v>0.55000000000000004</v>
      </c>
      <c r="Y174" s="135">
        <v>225000000</v>
      </c>
      <c r="Z174" s="135">
        <v>0</v>
      </c>
      <c r="AA174" s="723">
        <v>0.45</v>
      </c>
    </row>
    <row r="175" spans="1:27" ht="32.25" customHeight="1">
      <c r="A175" s="32" t="e">
        <v>#REF!</v>
      </c>
      <c r="B175" s="139" t="s">
        <v>167</v>
      </c>
      <c r="C175" s="139" t="s">
        <v>190</v>
      </c>
      <c r="D175" s="139" t="s">
        <v>172</v>
      </c>
      <c r="E175" s="139" t="s">
        <v>211</v>
      </c>
      <c r="F175" s="139" t="s">
        <v>175</v>
      </c>
      <c r="G175" s="139" t="s">
        <v>213</v>
      </c>
      <c r="H175" s="139"/>
      <c r="I175" s="139" t="s">
        <v>144</v>
      </c>
      <c r="J175" s="140" t="s">
        <v>29</v>
      </c>
      <c r="K175" s="140" t="s">
        <v>214</v>
      </c>
      <c r="L175" s="141">
        <v>1095000000</v>
      </c>
      <c r="M175" s="142">
        <v>0</v>
      </c>
      <c r="N175" s="142">
        <v>0</v>
      </c>
      <c r="O175" s="142">
        <v>0</v>
      </c>
      <c r="P175" s="141">
        <v>595000000</v>
      </c>
      <c r="Q175" s="142">
        <v>0</v>
      </c>
      <c r="R175" s="141">
        <v>500000000</v>
      </c>
      <c r="S175" s="141">
        <v>95000000</v>
      </c>
      <c r="T175" s="141">
        <v>405000000</v>
      </c>
      <c r="U175" s="143">
        <v>0.19</v>
      </c>
      <c r="V175" s="141">
        <v>95000000</v>
      </c>
      <c r="W175" s="142">
        <v>0</v>
      </c>
      <c r="X175" s="143">
        <v>0</v>
      </c>
      <c r="Y175" s="141">
        <v>95000000</v>
      </c>
      <c r="Z175" s="141">
        <v>0</v>
      </c>
      <c r="AA175" s="724">
        <v>1</v>
      </c>
    </row>
    <row r="176" spans="1:27" ht="24.95" customHeight="1">
      <c r="A176" s="32" t="e">
        <v>#REF!</v>
      </c>
      <c r="B176" s="145" t="s">
        <v>167</v>
      </c>
      <c r="C176" s="145" t="s">
        <v>190</v>
      </c>
      <c r="D176" s="145" t="s">
        <v>172</v>
      </c>
      <c r="E176" s="145" t="s">
        <v>211</v>
      </c>
      <c r="F176" s="145" t="s">
        <v>175</v>
      </c>
      <c r="G176" s="145" t="s">
        <v>213</v>
      </c>
      <c r="H176" s="145" t="s">
        <v>54</v>
      </c>
      <c r="I176" s="145" t="s">
        <v>144</v>
      </c>
      <c r="J176" s="146" t="s">
        <v>29</v>
      </c>
      <c r="K176" s="147" t="s">
        <v>178</v>
      </c>
      <c r="L176" s="148">
        <v>1095000000</v>
      </c>
      <c r="M176" s="148"/>
      <c r="N176" s="148"/>
      <c r="O176" s="148"/>
      <c r="P176" s="149">
        <v>595000000</v>
      </c>
      <c r="Q176" s="148"/>
      <c r="R176" s="148">
        <v>500000000</v>
      </c>
      <c r="S176" s="148">
        <v>95000000</v>
      </c>
      <c r="T176" s="148">
        <v>405000000</v>
      </c>
      <c r="U176" s="150">
        <v>0.19</v>
      </c>
      <c r="V176" s="148">
        <v>95000000</v>
      </c>
      <c r="W176" s="148">
        <v>0</v>
      </c>
      <c r="X176" s="150">
        <v>0</v>
      </c>
      <c r="Y176" s="148">
        <v>95000000</v>
      </c>
      <c r="Z176" s="148">
        <v>0</v>
      </c>
      <c r="AA176" s="150">
        <v>1</v>
      </c>
    </row>
    <row r="177" spans="1:27" ht="32.25" customHeight="1">
      <c r="A177" s="32" t="e">
        <v>#REF!</v>
      </c>
      <c r="B177" s="139" t="s">
        <v>167</v>
      </c>
      <c r="C177" s="139" t="s">
        <v>190</v>
      </c>
      <c r="D177" s="139" t="s">
        <v>172</v>
      </c>
      <c r="E177" s="139" t="s">
        <v>211</v>
      </c>
      <c r="F177" s="139" t="s">
        <v>175</v>
      </c>
      <c r="G177" s="139" t="s">
        <v>215</v>
      </c>
      <c r="H177" s="139"/>
      <c r="I177" s="139" t="s">
        <v>144</v>
      </c>
      <c r="J177" s="140" t="s">
        <v>29</v>
      </c>
      <c r="K177" s="140" t="s">
        <v>216</v>
      </c>
      <c r="L177" s="141">
        <v>405000000</v>
      </c>
      <c r="M177" s="142">
        <v>0</v>
      </c>
      <c r="N177" s="142">
        <v>0</v>
      </c>
      <c r="O177" s="141">
        <v>595000000</v>
      </c>
      <c r="P177" s="142">
        <v>0</v>
      </c>
      <c r="Q177" s="142">
        <v>0</v>
      </c>
      <c r="R177" s="141">
        <v>1000000000</v>
      </c>
      <c r="S177" s="141">
        <v>405000000</v>
      </c>
      <c r="T177" s="141">
        <v>595000000</v>
      </c>
      <c r="U177" s="143">
        <v>0.40500000000000003</v>
      </c>
      <c r="V177" s="141">
        <v>130000000</v>
      </c>
      <c r="W177" s="141">
        <v>275000000</v>
      </c>
      <c r="X177" s="143">
        <v>0.67901234567901236</v>
      </c>
      <c r="Y177" s="141">
        <v>130000000</v>
      </c>
      <c r="Z177" s="141">
        <v>0</v>
      </c>
      <c r="AA177" s="724">
        <v>0.32098765432098764</v>
      </c>
    </row>
    <row r="178" spans="1:27" ht="24.95" customHeight="1">
      <c r="A178" s="32" t="e">
        <v>#REF!</v>
      </c>
      <c r="B178" s="145" t="s">
        <v>167</v>
      </c>
      <c r="C178" s="145" t="s">
        <v>190</v>
      </c>
      <c r="D178" s="145" t="s">
        <v>172</v>
      </c>
      <c r="E178" s="145" t="s">
        <v>211</v>
      </c>
      <c r="F178" s="145" t="s">
        <v>175</v>
      </c>
      <c r="G178" s="145" t="s">
        <v>215</v>
      </c>
      <c r="H178" s="145" t="s">
        <v>54</v>
      </c>
      <c r="I178" s="145" t="s">
        <v>144</v>
      </c>
      <c r="J178" s="146" t="s">
        <v>29</v>
      </c>
      <c r="K178" s="147" t="s">
        <v>178</v>
      </c>
      <c r="L178" s="148">
        <v>405000000</v>
      </c>
      <c r="M178" s="148"/>
      <c r="N178" s="148"/>
      <c r="O178" s="149">
        <v>595000000</v>
      </c>
      <c r="P178" s="148"/>
      <c r="Q178" s="148"/>
      <c r="R178" s="148">
        <v>1000000000</v>
      </c>
      <c r="S178" s="148">
        <v>405000000</v>
      </c>
      <c r="T178" s="148">
        <v>595000000</v>
      </c>
      <c r="U178" s="150">
        <v>0.40500000000000003</v>
      </c>
      <c r="V178" s="148">
        <v>130000000</v>
      </c>
      <c r="W178" s="148">
        <v>275000000</v>
      </c>
      <c r="X178" s="150">
        <v>0.67901234567901236</v>
      </c>
      <c r="Y178" s="148">
        <v>130000000</v>
      </c>
      <c r="Z178" s="148">
        <v>0</v>
      </c>
      <c r="AA178" s="150">
        <v>0.32098765432098764</v>
      </c>
    </row>
    <row r="179" spans="1:27" ht="49.5" customHeight="1">
      <c r="A179" s="32" t="e">
        <v>#REF!</v>
      </c>
      <c r="B179" s="133" t="s">
        <v>167</v>
      </c>
      <c r="C179" s="133" t="s">
        <v>190</v>
      </c>
      <c r="D179" s="133" t="s">
        <v>172</v>
      </c>
      <c r="E179" s="133" t="s">
        <v>217</v>
      </c>
      <c r="F179" s="133"/>
      <c r="G179" s="133"/>
      <c r="H179" s="133"/>
      <c r="I179" s="133"/>
      <c r="J179" s="134"/>
      <c r="K179" s="134" t="s">
        <v>267</v>
      </c>
      <c r="L179" s="136">
        <v>0</v>
      </c>
      <c r="M179" s="136">
        <v>0</v>
      </c>
      <c r="N179" s="136">
        <v>0</v>
      </c>
      <c r="O179" s="135">
        <v>5207638916</v>
      </c>
      <c r="P179" s="136">
        <v>0</v>
      </c>
      <c r="Q179" s="136">
        <v>0</v>
      </c>
      <c r="R179" s="135">
        <v>5207638916</v>
      </c>
      <c r="S179" s="135">
        <v>5053763000</v>
      </c>
      <c r="T179" s="135">
        <v>153875916</v>
      </c>
      <c r="U179" s="137">
        <v>0.97045188453307885</v>
      </c>
      <c r="V179" s="135">
        <v>1768817050</v>
      </c>
      <c r="W179" s="135">
        <v>3284945950</v>
      </c>
      <c r="X179" s="137">
        <v>0.65</v>
      </c>
      <c r="Y179" s="135">
        <v>1768817050</v>
      </c>
      <c r="Z179" s="135">
        <v>0</v>
      </c>
      <c r="AA179" s="723">
        <v>0.35</v>
      </c>
    </row>
    <row r="180" spans="1:27" ht="32.25" customHeight="1">
      <c r="A180" s="32" t="e">
        <v>#REF!</v>
      </c>
      <c r="B180" s="139" t="s">
        <v>167</v>
      </c>
      <c r="C180" s="139" t="s">
        <v>190</v>
      </c>
      <c r="D180" s="139" t="s">
        <v>172</v>
      </c>
      <c r="E180" s="139" t="s">
        <v>217</v>
      </c>
      <c r="F180" s="139" t="s">
        <v>175</v>
      </c>
      <c r="G180" s="139" t="s">
        <v>219</v>
      </c>
      <c r="H180" s="139"/>
      <c r="I180" s="139">
        <v>11</v>
      </c>
      <c r="J180" s="140" t="s">
        <v>29</v>
      </c>
      <c r="K180" s="140" t="s">
        <v>220</v>
      </c>
      <c r="L180" s="142">
        <v>0</v>
      </c>
      <c r="M180" s="142">
        <v>0</v>
      </c>
      <c r="N180" s="142">
        <v>0</v>
      </c>
      <c r="O180" s="141">
        <v>610647150</v>
      </c>
      <c r="P180" s="142">
        <v>0</v>
      </c>
      <c r="Q180" s="142">
        <v>0</v>
      </c>
      <c r="R180" s="141">
        <v>610647150</v>
      </c>
      <c r="S180" s="141">
        <v>610647150</v>
      </c>
      <c r="T180" s="141">
        <v>0</v>
      </c>
      <c r="U180" s="143">
        <v>1</v>
      </c>
      <c r="V180" s="141">
        <v>610647150</v>
      </c>
      <c r="W180" s="142">
        <v>0</v>
      </c>
      <c r="X180" s="143">
        <v>0</v>
      </c>
      <c r="Y180" s="141">
        <v>610647150</v>
      </c>
      <c r="Z180" s="141">
        <v>0</v>
      </c>
      <c r="AA180" s="724">
        <v>1</v>
      </c>
    </row>
    <row r="181" spans="1:27" ht="24.95" customHeight="1">
      <c r="A181" s="32" t="e">
        <v>#REF!</v>
      </c>
      <c r="B181" s="145" t="s">
        <v>167</v>
      </c>
      <c r="C181" s="145" t="s">
        <v>190</v>
      </c>
      <c r="D181" s="145" t="s">
        <v>172</v>
      </c>
      <c r="E181" s="145" t="s">
        <v>217</v>
      </c>
      <c r="F181" s="145" t="s">
        <v>175</v>
      </c>
      <c r="G181" s="145" t="s">
        <v>219</v>
      </c>
      <c r="H181" s="145" t="s">
        <v>54</v>
      </c>
      <c r="I181" s="145">
        <v>11</v>
      </c>
      <c r="J181" s="146" t="s">
        <v>29</v>
      </c>
      <c r="K181" s="147" t="s">
        <v>178</v>
      </c>
      <c r="L181" s="148"/>
      <c r="M181" s="148"/>
      <c r="N181" s="148"/>
      <c r="O181" s="148">
        <v>610647150</v>
      </c>
      <c r="P181" s="148"/>
      <c r="Q181" s="148"/>
      <c r="R181" s="148">
        <v>610647150</v>
      </c>
      <c r="S181" s="148">
        <v>610647150</v>
      </c>
      <c r="T181" s="148">
        <v>0</v>
      </c>
      <c r="U181" s="150">
        <v>1</v>
      </c>
      <c r="V181" s="148">
        <v>610647150</v>
      </c>
      <c r="W181" s="148">
        <v>0</v>
      </c>
      <c r="X181" s="150">
        <v>0</v>
      </c>
      <c r="Y181" s="148">
        <v>610647150</v>
      </c>
      <c r="Z181" s="148">
        <v>0</v>
      </c>
      <c r="AA181" s="150">
        <v>1</v>
      </c>
    </row>
    <row r="182" spans="1:27" ht="32.25" customHeight="1">
      <c r="A182" s="32" t="e">
        <v>#REF!</v>
      </c>
      <c r="B182" s="139" t="s">
        <v>167</v>
      </c>
      <c r="C182" s="139" t="s">
        <v>190</v>
      </c>
      <c r="D182" s="139" t="s">
        <v>172</v>
      </c>
      <c r="E182" s="139" t="s">
        <v>217</v>
      </c>
      <c r="F182" s="139" t="s">
        <v>175</v>
      </c>
      <c r="G182" s="139" t="s">
        <v>221</v>
      </c>
      <c r="H182" s="139"/>
      <c r="I182" s="139">
        <v>11</v>
      </c>
      <c r="J182" s="140" t="s">
        <v>29</v>
      </c>
      <c r="K182" s="140" t="s">
        <v>222</v>
      </c>
      <c r="L182" s="142">
        <v>0</v>
      </c>
      <c r="M182" s="141">
        <v>0</v>
      </c>
      <c r="N182" s="141">
        <v>0</v>
      </c>
      <c r="O182" s="141">
        <v>2557468350</v>
      </c>
      <c r="P182" s="142">
        <v>0</v>
      </c>
      <c r="Q182" s="142">
        <v>0</v>
      </c>
      <c r="R182" s="141">
        <v>2557468350</v>
      </c>
      <c r="S182" s="141">
        <v>2403592434</v>
      </c>
      <c r="T182" s="141">
        <v>153875916</v>
      </c>
      <c r="U182" s="143">
        <v>0.93983271933746515</v>
      </c>
      <c r="V182" s="141">
        <v>1062687325</v>
      </c>
      <c r="W182" s="141">
        <v>1340905109</v>
      </c>
      <c r="X182" s="143">
        <v>0.55787540767404498</v>
      </c>
      <c r="Y182" s="141">
        <v>1062687325</v>
      </c>
      <c r="Z182" s="141">
        <v>0</v>
      </c>
      <c r="AA182" s="724">
        <v>0.44212459232595502</v>
      </c>
    </row>
    <row r="183" spans="1:27" ht="24.95" customHeight="1">
      <c r="A183" s="32" t="e">
        <v>#REF!</v>
      </c>
      <c r="B183" s="145" t="s">
        <v>167</v>
      </c>
      <c r="C183" s="145" t="s">
        <v>190</v>
      </c>
      <c r="D183" s="145" t="s">
        <v>172</v>
      </c>
      <c r="E183" s="145" t="s">
        <v>217</v>
      </c>
      <c r="F183" s="145" t="s">
        <v>175</v>
      </c>
      <c r="G183" s="145" t="s">
        <v>221</v>
      </c>
      <c r="H183" s="145" t="s">
        <v>54</v>
      </c>
      <c r="I183" s="145">
        <v>11</v>
      </c>
      <c r="J183" s="146" t="s">
        <v>29</v>
      </c>
      <c r="K183" s="147" t="s">
        <v>178</v>
      </c>
      <c r="L183" s="148"/>
      <c r="M183" s="148"/>
      <c r="N183" s="148"/>
      <c r="O183" s="148">
        <v>388286850</v>
      </c>
      <c r="P183" s="148"/>
      <c r="Q183" s="148"/>
      <c r="R183" s="148">
        <v>388286850</v>
      </c>
      <c r="S183" s="148">
        <v>388286850</v>
      </c>
      <c r="T183" s="148">
        <v>0</v>
      </c>
      <c r="U183" s="150">
        <v>1</v>
      </c>
      <c r="V183" s="148">
        <v>388286850</v>
      </c>
      <c r="W183" s="148">
        <v>0</v>
      </c>
      <c r="X183" s="150">
        <v>0</v>
      </c>
      <c r="Y183" s="148">
        <v>388286850</v>
      </c>
      <c r="Z183" s="148">
        <v>0</v>
      </c>
      <c r="AA183" s="150">
        <v>1</v>
      </c>
    </row>
    <row r="184" spans="1:27" ht="24.95" customHeight="1">
      <c r="A184" s="32" t="e">
        <v>#REF!</v>
      </c>
      <c r="B184" s="145" t="s">
        <v>167</v>
      </c>
      <c r="C184" s="145" t="s">
        <v>190</v>
      </c>
      <c r="D184" s="145" t="s">
        <v>172</v>
      </c>
      <c r="E184" s="145" t="s">
        <v>217</v>
      </c>
      <c r="F184" s="145" t="s">
        <v>175</v>
      </c>
      <c r="G184" s="145" t="s">
        <v>221</v>
      </c>
      <c r="H184" s="145" t="s">
        <v>65</v>
      </c>
      <c r="I184" s="145">
        <v>11</v>
      </c>
      <c r="J184" s="146" t="s">
        <v>29</v>
      </c>
      <c r="K184" s="147" t="s">
        <v>127</v>
      </c>
      <c r="L184" s="148"/>
      <c r="M184" s="148"/>
      <c r="N184" s="148"/>
      <c r="O184" s="148">
        <v>2169181500</v>
      </c>
      <c r="P184" s="148"/>
      <c r="Q184" s="148"/>
      <c r="R184" s="148">
        <v>2169181500</v>
      </c>
      <c r="S184" s="148">
        <v>2015305584</v>
      </c>
      <c r="T184" s="148">
        <v>153875916</v>
      </c>
      <c r="U184" s="150">
        <v>0.92906268285987137</v>
      </c>
      <c r="V184" s="148">
        <v>674400475</v>
      </c>
      <c r="W184" s="148">
        <v>1340905109</v>
      </c>
      <c r="X184" s="150">
        <v>0.66536068755317856</v>
      </c>
      <c r="Y184" s="148">
        <v>674400475</v>
      </c>
      <c r="Z184" s="148">
        <v>0</v>
      </c>
      <c r="AA184" s="150">
        <v>0.33463931244682149</v>
      </c>
    </row>
    <row r="185" spans="1:27" ht="32.25" customHeight="1">
      <c r="A185" s="32" t="e">
        <v>#REF!</v>
      </c>
      <c r="B185" s="139" t="s">
        <v>167</v>
      </c>
      <c r="C185" s="139" t="s">
        <v>190</v>
      </c>
      <c r="D185" s="139" t="s">
        <v>172</v>
      </c>
      <c r="E185" s="139" t="s">
        <v>217</v>
      </c>
      <c r="F185" s="139" t="s">
        <v>175</v>
      </c>
      <c r="G185" s="139" t="s">
        <v>223</v>
      </c>
      <c r="H185" s="139"/>
      <c r="I185" s="139">
        <v>11</v>
      </c>
      <c r="J185" s="140" t="s">
        <v>29</v>
      </c>
      <c r="K185" s="140" t="s">
        <v>224</v>
      </c>
      <c r="L185" s="142">
        <v>0</v>
      </c>
      <c r="M185" s="141">
        <v>0</v>
      </c>
      <c r="N185" s="141">
        <v>0</v>
      </c>
      <c r="O185" s="141">
        <v>1818499224</v>
      </c>
      <c r="P185" s="142">
        <v>0</v>
      </c>
      <c r="Q185" s="142">
        <v>0</v>
      </c>
      <c r="R185" s="141">
        <v>1818499224</v>
      </c>
      <c r="S185" s="141">
        <v>1818499224</v>
      </c>
      <c r="T185" s="141">
        <v>0</v>
      </c>
      <c r="U185" s="143">
        <v>1</v>
      </c>
      <c r="V185" s="141">
        <v>95482575</v>
      </c>
      <c r="W185" s="141">
        <v>1723016649</v>
      </c>
      <c r="X185" s="143">
        <v>0.94749374993409397</v>
      </c>
      <c r="Y185" s="141">
        <v>95482575</v>
      </c>
      <c r="Z185" s="141">
        <v>0</v>
      </c>
      <c r="AA185" s="724">
        <v>5.2506250065905993E-2</v>
      </c>
    </row>
    <row r="186" spans="1:27" ht="24.95" customHeight="1">
      <c r="A186" s="32" t="e">
        <v>#REF!</v>
      </c>
      <c r="B186" s="145" t="s">
        <v>167</v>
      </c>
      <c r="C186" s="145" t="s">
        <v>190</v>
      </c>
      <c r="D186" s="145" t="s">
        <v>172</v>
      </c>
      <c r="E186" s="145" t="s">
        <v>217</v>
      </c>
      <c r="F186" s="145" t="s">
        <v>175</v>
      </c>
      <c r="G186" s="145" t="s">
        <v>223</v>
      </c>
      <c r="H186" s="145" t="s">
        <v>54</v>
      </c>
      <c r="I186" s="145">
        <v>11</v>
      </c>
      <c r="J186" s="146" t="s">
        <v>29</v>
      </c>
      <c r="K186" s="147" t="s">
        <v>178</v>
      </c>
      <c r="L186" s="148"/>
      <c r="M186" s="148"/>
      <c r="N186" s="148"/>
      <c r="O186" s="148">
        <v>259599224</v>
      </c>
      <c r="P186" s="148"/>
      <c r="Q186" s="148"/>
      <c r="R186" s="148">
        <v>259599224</v>
      </c>
      <c r="S186" s="148">
        <v>259599224</v>
      </c>
      <c r="T186" s="148">
        <v>0</v>
      </c>
      <c r="U186" s="150">
        <v>1</v>
      </c>
      <c r="V186" s="148">
        <v>95482575</v>
      </c>
      <c r="W186" s="148">
        <v>164116649</v>
      </c>
      <c r="X186" s="150">
        <v>0.63219237126841332</v>
      </c>
      <c r="Y186" s="148">
        <v>95482575</v>
      </c>
      <c r="Z186" s="148">
        <v>0</v>
      </c>
      <c r="AA186" s="150">
        <v>0.36780762873158668</v>
      </c>
    </row>
    <row r="187" spans="1:27" ht="24.95" customHeight="1">
      <c r="A187" s="32" t="e">
        <v>#REF!</v>
      </c>
      <c r="B187" s="145" t="s">
        <v>167</v>
      </c>
      <c r="C187" s="145" t="s">
        <v>190</v>
      </c>
      <c r="D187" s="145" t="s">
        <v>172</v>
      </c>
      <c r="E187" s="145" t="s">
        <v>217</v>
      </c>
      <c r="F187" s="145" t="s">
        <v>175</v>
      </c>
      <c r="G187" s="145" t="s">
        <v>223</v>
      </c>
      <c r="H187" s="145" t="s">
        <v>65</v>
      </c>
      <c r="I187" s="145">
        <v>11</v>
      </c>
      <c r="J187" s="146" t="s">
        <v>29</v>
      </c>
      <c r="K187" s="147" t="s">
        <v>127</v>
      </c>
      <c r="L187" s="148"/>
      <c r="M187" s="148"/>
      <c r="N187" s="148"/>
      <c r="O187" s="148">
        <v>1558900000</v>
      </c>
      <c r="P187" s="148"/>
      <c r="Q187" s="148"/>
      <c r="R187" s="148">
        <v>1558900000</v>
      </c>
      <c r="S187" s="148">
        <v>1558900000</v>
      </c>
      <c r="T187" s="148">
        <v>0</v>
      </c>
      <c r="U187" s="150">
        <v>1</v>
      </c>
      <c r="V187" s="148"/>
      <c r="W187" s="148">
        <v>1558900000</v>
      </c>
      <c r="X187" s="150">
        <v>1</v>
      </c>
      <c r="Y187" s="148"/>
      <c r="Z187" s="148">
        <v>0</v>
      </c>
      <c r="AA187" s="150">
        <v>0</v>
      </c>
    </row>
    <row r="188" spans="1:27" ht="32.25" customHeight="1">
      <c r="A188" s="32" t="e">
        <v>#REF!</v>
      </c>
      <c r="B188" s="139" t="s">
        <v>167</v>
      </c>
      <c r="C188" s="139" t="s">
        <v>190</v>
      </c>
      <c r="D188" s="139" t="s">
        <v>172</v>
      </c>
      <c r="E188" s="139" t="s">
        <v>217</v>
      </c>
      <c r="F188" s="139" t="s">
        <v>175</v>
      </c>
      <c r="G188" s="139" t="s">
        <v>225</v>
      </c>
      <c r="H188" s="139"/>
      <c r="I188" s="139">
        <v>11</v>
      </c>
      <c r="J188" s="140" t="s">
        <v>29</v>
      </c>
      <c r="K188" s="140" t="s">
        <v>226</v>
      </c>
      <c r="L188" s="142">
        <v>0</v>
      </c>
      <c r="M188" s="142">
        <v>0</v>
      </c>
      <c r="N188" s="142">
        <v>0</v>
      </c>
      <c r="O188" s="141">
        <v>221024192</v>
      </c>
      <c r="P188" s="142">
        <v>0</v>
      </c>
      <c r="Q188" s="142">
        <v>0</v>
      </c>
      <c r="R188" s="141">
        <v>221024192</v>
      </c>
      <c r="S188" s="141">
        <v>221024192</v>
      </c>
      <c r="T188" s="141">
        <v>0</v>
      </c>
      <c r="U188" s="143">
        <v>1</v>
      </c>
      <c r="V188" s="141">
        <v>0</v>
      </c>
      <c r="W188" s="142">
        <v>221024192</v>
      </c>
      <c r="X188" s="143">
        <v>1</v>
      </c>
      <c r="Y188" s="141">
        <v>0</v>
      </c>
      <c r="Z188" s="141">
        <v>0</v>
      </c>
      <c r="AA188" s="724">
        <v>0</v>
      </c>
    </row>
    <row r="189" spans="1:27" ht="24.95" customHeight="1">
      <c r="A189" s="32" t="e">
        <v>#REF!</v>
      </c>
      <c r="B189" s="145" t="s">
        <v>167</v>
      </c>
      <c r="C189" s="145" t="s">
        <v>190</v>
      </c>
      <c r="D189" s="145" t="s">
        <v>172</v>
      </c>
      <c r="E189" s="145" t="s">
        <v>217</v>
      </c>
      <c r="F189" s="145" t="s">
        <v>175</v>
      </c>
      <c r="G189" s="145" t="s">
        <v>225</v>
      </c>
      <c r="H189" s="145" t="s">
        <v>54</v>
      </c>
      <c r="I189" s="145">
        <v>11</v>
      </c>
      <c r="J189" s="146" t="s">
        <v>29</v>
      </c>
      <c r="K189" s="147" t="s">
        <v>178</v>
      </c>
      <c r="L189" s="148"/>
      <c r="M189" s="148"/>
      <c r="N189" s="148"/>
      <c r="O189" s="148">
        <v>221024192</v>
      </c>
      <c r="P189" s="148"/>
      <c r="Q189" s="148"/>
      <c r="R189" s="148">
        <v>221024192</v>
      </c>
      <c r="S189" s="148">
        <v>221024192</v>
      </c>
      <c r="T189" s="148">
        <v>0</v>
      </c>
      <c r="U189" s="150">
        <v>1</v>
      </c>
      <c r="V189" s="148"/>
      <c r="W189" s="148">
        <v>221024192</v>
      </c>
      <c r="X189" s="150">
        <v>1</v>
      </c>
      <c r="Y189" s="148"/>
      <c r="Z189" s="148">
        <v>0</v>
      </c>
      <c r="AA189" s="150">
        <v>0</v>
      </c>
    </row>
    <row r="190" spans="1:27" ht="49.5" hidden="1" customHeight="1">
      <c r="A190" s="32" t="e">
        <v>#REF!</v>
      </c>
      <c r="B190" s="133" t="s">
        <v>167</v>
      </c>
      <c r="C190" s="133" t="s">
        <v>190</v>
      </c>
      <c r="D190" s="133" t="s">
        <v>172</v>
      </c>
      <c r="E190" s="133">
        <v>18</v>
      </c>
      <c r="F190" s="133"/>
      <c r="G190" s="133"/>
      <c r="H190" s="133"/>
      <c r="I190" s="133"/>
      <c r="J190" s="134"/>
      <c r="K190" s="134" t="s">
        <v>268</v>
      </c>
      <c r="L190" s="135">
        <v>0</v>
      </c>
      <c r="M190" s="136">
        <v>0</v>
      </c>
      <c r="N190" s="136">
        <v>0</v>
      </c>
      <c r="O190" s="136">
        <v>0</v>
      </c>
      <c r="P190" s="136">
        <v>0</v>
      </c>
      <c r="Q190" s="136">
        <v>0</v>
      </c>
      <c r="R190" s="135">
        <v>0</v>
      </c>
      <c r="S190" s="135">
        <v>0</v>
      </c>
      <c r="T190" s="135">
        <v>0</v>
      </c>
      <c r="U190" s="137">
        <v>0</v>
      </c>
      <c r="V190" s="135">
        <v>0</v>
      </c>
      <c r="W190" s="136">
        <v>0</v>
      </c>
      <c r="X190" s="137">
        <v>0</v>
      </c>
      <c r="Y190" s="135">
        <v>0</v>
      </c>
      <c r="Z190" s="135">
        <v>0</v>
      </c>
      <c r="AA190" s="723">
        <v>0</v>
      </c>
    </row>
    <row r="191" spans="1:27" ht="32.25" hidden="1" customHeight="1">
      <c r="A191" s="32" t="e">
        <v>#REF!</v>
      </c>
      <c r="B191" s="139" t="s">
        <v>167</v>
      </c>
      <c r="C191" s="139" t="s">
        <v>190</v>
      </c>
      <c r="D191" s="139" t="s">
        <v>172</v>
      </c>
      <c r="E191" s="139">
        <v>18</v>
      </c>
      <c r="F191" s="139" t="s">
        <v>175</v>
      </c>
      <c r="G191" s="139">
        <v>4103050</v>
      </c>
      <c r="H191" s="139"/>
      <c r="I191" s="139">
        <v>11</v>
      </c>
      <c r="J191" s="140" t="s">
        <v>29</v>
      </c>
      <c r="K191" s="140" t="s">
        <v>269</v>
      </c>
      <c r="L191" s="141">
        <v>0</v>
      </c>
      <c r="M191" s="142">
        <v>0</v>
      </c>
      <c r="N191" s="142">
        <v>0</v>
      </c>
      <c r="O191" s="142">
        <v>0</v>
      </c>
      <c r="P191" s="142">
        <v>0</v>
      </c>
      <c r="Q191" s="142">
        <v>0</v>
      </c>
      <c r="R191" s="141">
        <v>0</v>
      </c>
      <c r="S191" s="141">
        <v>0</v>
      </c>
      <c r="T191" s="141">
        <v>0</v>
      </c>
      <c r="U191" s="143">
        <v>0</v>
      </c>
      <c r="V191" s="141">
        <v>0</v>
      </c>
      <c r="W191" s="142">
        <v>0</v>
      </c>
      <c r="X191" s="143">
        <v>0</v>
      </c>
      <c r="Y191" s="141">
        <v>0</v>
      </c>
      <c r="Z191" s="141">
        <v>0</v>
      </c>
      <c r="AA191" s="724">
        <v>0</v>
      </c>
    </row>
    <row r="192" spans="1:27" ht="24.95" hidden="1" customHeight="1">
      <c r="A192" s="32" t="e">
        <v>#REF!</v>
      </c>
      <c r="B192" s="145" t="s">
        <v>167</v>
      </c>
      <c r="C192" s="145" t="s">
        <v>190</v>
      </c>
      <c r="D192" s="145" t="s">
        <v>172</v>
      </c>
      <c r="E192" s="145">
        <v>18</v>
      </c>
      <c r="F192" s="145" t="s">
        <v>175</v>
      </c>
      <c r="G192" s="145">
        <v>4103050</v>
      </c>
      <c r="H192" s="145" t="s">
        <v>54</v>
      </c>
      <c r="I192" s="145">
        <v>11</v>
      </c>
      <c r="J192" s="146" t="s">
        <v>29</v>
      </c>
      <c r="K192" s="147" t="s">
        <v>178</v>
      </c>
      <c r="L192" s="148"/>
      <c r="M192" s="148"/>
      <c r="N192" s="148"/>
      <c r="O192" s="148"/>
      <c r="P192" s="148"/>
      <c r="Q192" s="148"/>
      <c r="R192" s="148">
        <v>0</v>
      </c>
      <c r="S192" s="148"/>
      <c r="T192" s="148">
        <v>0</v>
      </c>
      <c r="U192" s="150">
        <v>0</v>
      </c>
      <c r="V192" s="148"/>
      <c r="W192" s="148">
        <v>0</v>
      </c>
      <c r="X192" s="150">
        <v>0</v>
      </c>
      <c r="Y192" s="148"/>
      <c r="Z192" s="148">
        <v>0</v>
      </c>
      <c r="AA192" s="150">
        <v>0</v>
      </c>
    </row>
    <row r="193" spans="1:27" ht="41.25" customHeight="1">
      <c r="A193" s="32" t="e">
        <v>#REF!</v>
      </c>
      <c r="B193" s="133" t="s">
        <v>167</v>
      </c>
      <c r="C193" s="133" t="s">
        <v>190</v>
      </c>
      <c r="D193" s="133" t="s">
        <v>172</v>
      </c>
      <c r="E193" s="133">
        <v>19</v>
      </c>
      <c r="F193" s="133"/>
      <c r="G193" s="133"/>
      <c r="H193" s="133"/>
      <c r="I193" s="133"/>
      <c r="J193" s="134"/>
      <c r="K193" s="134" t="s">
        <v>270</v>
      </c>
      <c r="L193" s="135">
        <v>12733806741</v>
      </c>
      <c r="M193" s="136">
        <v>0</v>
      </c>
      <c r="N193" s="136">
        <v>0</v>
      </c>
      <c r="O193" s="135">
        <v>1842545742</v>
      </c>
      <c r="P193" s="135">
        <v>82545742</v>
      </c>
      <c r="Q193" s="136">
        <v>0</v>
      </c>
      <c r="R193" s="135">
        <v>14493806741</v>
      </c>
      <c r="S193" s="135">
        <v>13617673485.950001</v>
      </c>
      <c r="T193" s="135">
        <v>876133255.04999924</v>
      </c>
      <c r="U193" s="137">
        <v>0.93955119792155095</v>
      </c>
      <c r="V193" s="135">
        <v>3176615969.8800001</v>
      </c>
      <c r="W193" s="135">
        <v>10441057516.07</v>
      </c>
      <c r="X193" s="137">
        <v>0.76672843763235576</v>
      </c>
      <c r="Y193" s="135">
        <v>2996278561.8800001</v>
      </c>
      <c r="Z193" s="135">
        <v>180337408</v>
      </c>
      <c r="AA193" s="723">
        <v>0.22002866825757003</v>
      </c>
    </row>
    <row r="194" spans="1:27" ht="32.25" customHeight="1">
      <c r="A194" s="32" t="e">
        <v>#REF!</v>
      </c>
      <c r="B194" s="139" t="s">
        <v>167</v>
      </c>
      <c r="C194" s="139" t="s">
        <v>190</v>
      </c>
      <c r="D194" s="139" t="s">
        <v>172</v>
      </c>
      <c r="E194" s="139">
        <v>19</v>
      </c>
      <c r="F194" s="139" t="s">
        <v>175</v>
      </c>
      <c r="G194" s="139">
        <v>4103049</v>
      </c>
      <c r="H194" s="139"/>
      <c r="I194" s="139">
        <v>11</v>
      </c>
      <c r="J194" s="140" t="s">
        <v>29</v>
      </c>
      <c r="K194" s="140" t="s">
        <v>228</v>
      </c>
      <c r="L194" s="141">
        <v>380000000</v>
      </c>
      <c r="M194" s="142">
        <v>0</v>
      </c>
      <c r="N194" s="142">
        <v>0</v>
      </c>
      <c r="O194" s="142">
        <v>0</v>
      </c>
      <c r="P194" s="141">
        <v>82545742</v>
      </c>
      <c r="Q194" s="142">
        <v>0</v>
      </c>
      <c r="R194" s="141">
        <v>297454258</v>
      </c>
      <c r="S194" s="141">
        <v>273852928</v>
      </c>
      <c r="T194" s="141">
        <v>23601330</v>
      </c>
      <c r="U194" s="143">
        <v>0.92065559875091785</v>
      </c>
      <c r="V194" s="141">
        <v>146551365</v>
      </c>
      <c r="W194" s="141">
        <v>127301563</v>
      </c>
      <c r="X194" s="143">
        <v>0.46485375902206894</v>
      </c>
      <c r="Y194" s="141">
        <v>146551365</v>
      </c>
      <c r="Z194" s="141">
        <v>0</v>
      </c>
      <c r="AA194" s="724">
        <v>0.53514624097793106</v>
      </c>
    </row>
    <row r="195" spans="1:27" ht="24.95" customHeight="1">
      <c r="A195" s="32" t="e">
        <v>#REF!</v>
      </c>
      <c r="B195" s="145" t="s">
        <v>167</v>
      </c>
      <c r="C195" s="145" t="s">
        <v>190</v>
      </c>
      <c r="D195" s="145" t="s">
        <v>172</v>
      </c>
      <c r="E195" s="145">
        <v>19</v>
      </c>
      <c r="F195" s="145" t="s">
        <v>175</v>
      </c>
      <c r="G195" s="145">
        <v>4103049</v>
      </c>
      <c r="H195" s="145" t="s">
        <v>54</v>
      </c>
      <c r="I195" s="145">
        <v>11</v>
      </c>
      <c r="J195" s="146" t="s">
        <v>29</v>
      </c>
      <c r="K195" s="147" t="s">
        <v>178</v>
      </c>
      <c r="L195" s="148">
        <v>380000000</v>
      </c>
      <c r="M195" s="148"/>
      <c r="N195" s="148"/>
      <c r="O195" s="148"/>
      <c r="P195" s="148">
        <v>82545742</v>
      </c>
      <c r="Q195" s="148"/>
      <c r="R195" s="148">
        <v>297454258</v>
      </c>
      <c r="S195" s="148">
        <v>273852928</v>
      </c>
      <c r="T195" s="148">
        <v>23601330</v>
      </c>
      <c r="U195" s="150">
        <v>0.92065559875091785</v>
      </c>
      <c r="V195" s="148">
        <v>146551365</v>
      </c>
      <c r="W195" s="148">
        <v>127301563</v>
      </c>
      <c r="X195" s="150">
        <v>0.46485375902206894</v>
      </c>
      <c r="Y195" s="148">
        <v>146551365</v>
      </c>
      <c r="Z195" s="148">
        <v>0</v>
      </c>
      <c r="AA195" s="150">
        <v>0.53514624097793106</v>
      </c>
    </row>
    <row r="196" spans="1:27" ht="32.25" customHeight="1">
      <c r="A196" s="32" t="e">
        <v>#REF!</v>
      </c>
      <c r="B196" s="139" t="s">
        <v>167</v>
      </c>
      <c r="C196" s="139" t="s">
        <v>190</v>
      </c>
      <c r="D196" s="139" t="s">
        <v>172</v>
      </c>
      <c r="E196" s="139">
        <v>19</v>
      </c>
      <c r="F196" s="139" t="s">
        <v>175</v>
      </c>
      <c r="G196" s="139">
        <v>4103052</v>
      </c>
      <c r="H196" s="139"/>
      <c r="I196" s="139">
        <v>11</v>
      </c>
      <c r="J196" s="140" t="s">
        <v>29</v>
      </c>
      <c r="K196" s="140" t="s">
        <v>229</v>
      </c>
      <c r="L196" s="141">
        <v>12353806741</v>
      </c>
      <c r="M196" s="142">
        <v>0</v>
      </c>
      <c r="N196" s="142">
        <v>0</v>
      </c>
      <c r="O196" s="141">
        <v>1842545742</v>
      </c>
      <c r="P196" s="142">
        <v>0</v>
      </c>
      <c r="Q196" s="142">
        <v>0</v>
      </c>
      <c r="R196" s="141">
        <v>14196352483</v>
      </c>
      <c r="S196" s="141">
        <v>13343820557.950001</v>
      </c>
      <c r="T196" s="141">
        <v>852531925.04999924</v>
      </c>
      <c r="U196" s="143">
        <v>0.93994711486130689</v>
      </c>
      <c r="V196" s="141">
        <v>3030064604.8800001</v>
      </c>
      <c r="W196" s="141">
        <v>10313755953.07</v>
      </c>
      <c r="X196" s="143">
        <v>0.77292375959936421</v>
      </c>
      <c r="Y196" s="141">
        <v>2849727196.8800001</v>
      </c>
      <c r="Z196" s="141">
        <v>180337408</v>
      </c>
      <c r="AA196" s="724">
        <v>0.21356156465864534</v>
      </c>
    </row>
    <row r="197" spans="1:27" ht="24.95" customHeight="1">
      <c r="A197" s="32" t="e">
        <v>#REF!</v>
      </c>
      <c r="B197" s="145" t="s">
        <v>167</v>
      </c>
      <c r="C197" s="145" t="s">
        <v>190</v>
      </c>
      <c r="D197" s="145" t="s">
        <v>172</v>
      </c>
      <c r="E197" s="145">
        <v>19</v>
      </c>
      <c r="F197" s="145" t="s">
        <v>175</v>
      </c>
      <c r="G197" s="145">
        <v>4103052</v>
      </c>
      <c r="H197" s="145" t="s">
        <v>54</v>
      </c>
      <c r="I197" s="145">
        <v>11</v>
      </c>
      <c r="J197" s="146" t="s">
        <v>29</v>
      </c>
      <c r="K197" s="147" t="s">
        <v>178</v>
      </c>
      <c r="L197" s="148">
        <v>12353806741</v>
      </c>
      <c r="M197" s="148"/>
      <c r="N197" s="148"/>
      <c r="O197" s="148">
        <v>1842545742</v>
      </c>
      <c r="P197" s="148"/>
      <c r="Q197" s="148"/>
      <c r="R197" s="148">
        <v>14196352483</v>
      </c>
      <c r="S197" s="148">
        <v>13343820557.950001</v>
      </c>
      <c r="T197" s="148">
        <v>852531925.04999924</v>
      </c>
      <c r="U197" s="150">
        <v>0.93994711486130689</v>
      </c>
      <c r="V197" s="148">
        <v>3030064604.8800001</v>
      </c>
      <c r="W197" s="148">
        <v>10313755953.07</v>
      </c>
      <c r="X197" s="150">
        <v>0.77292375959936421</v>
      </c>
      <c r="Y197" s="148">
        <v>2849727196.8800001</v>
      </c>
      <c r="Z197" s="148">
        <v>180337408</v>
      </c>
      <c r="AA197" s="150">
        <v>0.21356156465864534</v>
      </c>
    </row>
    <row r="198" spans="1:27" ht="32.25" hidden="1" customHeight="1">
      <c r="A198" s="32" t="e">
        <v>#REF!</v>
      </c>
      <c r="B198" s="139" t="s">
        <v>167</v>
      </c>
      <c r="C198" s="139" t="s">
        <v>190</v>
      </c>
      <c r="D198" s="139" t="s">
        <v>172</v>
      </c>
      <c r="E198" s="139">
        <v>19</v>
      </c>
      <c r="F198" s="139" t="s">
        <v>175</v>
      </c>
      <c r="G198" s="139">
        <v>4103060</v>
      </c>
      <c r="H198" s="139"/>
      <c r="I198" s="139">
        <v>11</v>
      </c>
      <c r="J198" s="140" t="s">
        <v>29</v>
      </c>
      <c r="K198" s="140" t="s">
        <v>216</v>
      </c>
      <c r="L198" s="141">
        <v>0</v>
      </c>
      <c r="M198" s="142">
        <v>0</v>
      </c>
      <c r="N198" s="142">
        <v>0</v>
      </c>
      <c r="O198" s="142">
        <v>0</v>
      </c>
      <c r="P198" s="142">
        <v>0</v>
      </c>
      <c r="Q198" s="142">
        <v>0</v>
      </c>
      <c r="R198" s="141">
        <v>0</v>
      </c>
      <c r="S198" s="141">
        <v>0</v>
      </c>
      <c r="T198" s="141">
        <v>0</v>
      </c>
      <c r="U198" s="143">
        <v>0</v>
      </c>
      <c r="V198" s="141">
        <v>0</v>
      </c>
      <c r="W198" s="142">
        <v>0</v>
      </c>
      <c r="X198" s="143">
        <v>0</v>
      </c>
      <c r="Y198" s="141">
        <v>0</v>
      </c>
      <c r="Z198" s="141">
        <v>0</v>
      </c>
      <c r="AA198" s="724">
        <v>0</v>
      </c>
    </row>
    <row r="199" spans="1:27" ht="24.95" hidden="1" customHeight="1">
      <c r="A199" s="32" t="e">
        <v>#REF!</v>
      </c>
      <c r="B199" s="145" t="s">
        <v>167</v>
      </c>
      <c r="C199" s="145" t="s">
        <v>190</v>
      </c>
      <c r="D199" s="145" t="s">
        <v>172</v>
      </c>
      <c r="E199" s="145">
        <v>19</v>
      </c>
      <c r="F199" s="145" t="s">
        <v>175</v>
      </c>
      <c r="G199" s="145">
        <v>4103060</v>
      </c>
      <c r="H199" s="145" t="s">
        <v>54</v>
      </c>
      <c r="I199" s="145">
        <v>11</v>
      </c>
      <c r="J199" s="146" t="s">
        <v>29</v>
      </c>
      <c r="K199" s="147" t="s">
        <v>178</v>
      </c>
      <c r="L199" s="148"/>
      <c r="M199" s="148"/>
      <c r="N199" s="148"/>
      <c r="O199" s="148"/>
      <c r="P199" s="148"/>
      <c r="Q199" s="148"/>
      <c r="R199" s="148">
        <v>0</v>
      </c>
      <c r="S199" s="148">
        <v>0</v>
      </c>
      <c r="T199" s="148">
        <v>0</v>
      </c>
      <c r="U199" s="150">
        <v>0</v>
      </c>
      <c r="V199" s="148">
        <v>0</v>
      </c>
      <c r="W199" s="148">
        <v>0</v>
      </c>
      <c r="X199" s="150">
        <v>0</v>
      </c>
      <c r="Y199" s="148">
        <v>0</v>
      </c>
      <c r="Z199" s="148">
        <v>0</v>
      </c>
      <c r="AA199" s="150">
        <v>0</v>
      </c>
    </row>
    <row r="200" spans="1:27" ht="49.5" customHeight="1">
      <c r="A200" s="32" t="e">
        <v>#REF!</v>
      </c>
      <c r="B200" s="133" t="s">
        <v>167</v>
      </c>
      <c r="C200" s="133" t="s">
        <v>190</v>
      </c>
      <c r="D200" s="133" t="s">
        <v>172</v>
      </c>
      <c r="E200" s="133">
        <v>20</v>
      </c>
      <c r="F200" s="133"/>
      <c r="G200" s="133"/>
      <c r="H200" s="133"/>
      <c r="I200" s="133"/>
      <c r="J200" s="134"/>
      <c r="K200" s="134" t="s">
        <v>271</v>
      </c>
      <c r="L200" s="135">
        <v>960000000000</v>
      </c>
      <c r="M200" s="136">
        <v>0</v>
      </c>
      <c r="N200" s="136">
        <v>0</v>
      </c>
      <c r="O200" s="136">
        <v>0</v>
      </c>
      <c r="P200" s="135">
        <v>1760000000</v>
      </c>
      <c r="Q200" s="136">
        <v>0</v>
      </c>
      <c r="R200" s="135">
        <v>958240000000</v>
      </c>
      <c r="S200" s="135">
        <v>701437372215.28003</v>
      </c>
      <c r="T200" s="135">
        <v>256802627784.72</v>
      </c>
      <c r="U200" s="137">
        <v>0.73200594028143262</v>
      </c>
      <c r="V200" s="135">
        <v>615411134841.68005</v>
      </c>
      <c r="W200" s="135">
        <v>86026237373.600006</v>
      </c>
      <c r="X200" s="137">
        <v>0.12264279147532713</v>
      </c>
      <c r="Y200" s="135">
        <v>615340690461.68005</v>
      </c>
      <c r="Z200" s="135">
        <v>70444380</v>
      </c>
      <c r="AA200" s="723">
        <v>0.87725677991509154</v>
      </c>
    </row>
    <row r="201" spans="1:27" ht="32.25" customHeight="1">
      <c r="A201" s="32" t="e">
        <v>#REF!</v>
      </c>
      <c r="B201" s="139" t="s">
        <v>167</v>
      </c>
      <c r="C201" s="139" t="s">
        <v>190</v>
      </c>
      <c r="D201" s="139" t="s">
        <v>172</v>
      </c>
      <c r="E201" s="139">
        <v>20</v>
      </c>
      <c r="F201" s="139" t="s">
        <v>175</v>
      </c>
      <c r="G201" s="139">
        <v>4103061</v>
      </c>
      <c r="H201" s="139"/>
      <c r="I201" s="139">
        <v>11</v>
      </c>
      <c r="J201" s="140" t="s">
        <v>29</v>
      </c>
      <c r="K201" s="140" t="s">
        <v>231</v>
      </c>
      <c r="L201" s="141">
        <v>960000000000</v>
      </c>
      <c r="M201" s="142">
        <v>0</v>
      </c>
      <c r="N201" s="142">
        <v>0</v>
      </c>
      <c r="O201" s="142">
        <v>0</v>
      </c>
      <c r="P201" s="141">
        <v>1760000000</v>
      </c>
      <c r="Q201" s="142">
        <v>0</v>
      </c>
      <c r="R201" s="141">
        <v>958240000000</v>
      </c>
      <c r="S201" s="141">
        <v>701437372215.28003</v>
      </c>
      <c r="T201" s="141">
        <v>256802627784.72</v>
      </c>
      <c r="U201" s="143">
        <v>0.73200594028143262</v>
      </c>
      <c r="V201" s="141">
        <v>615411134841.68005</v>
      </c>
      <c r="W201" s="141">
        <v>86026237373.600006</v>
      </c>
      <c r="X201" s="143">
        <v>0.12264279147532713</v>
      </c>
      <c r="Y201" s="141">
        <v>615340690461.68005</v>
      </c>
      <c r="Z201" s="141">
        <v>70444380</v>
      </c>
      <c r="AA201" s="724">
        <v>0.87725677991509154</v>
      </c>
    </row>
    <row r="202" spans="1:27" ht="24.95" customHeight="1">
      <c r="A202" s="32" t="e">
        <v>#REF!</v>
      </c>
      <c r="B202" s="145" t="s">
        <v>167</v>
      </c>
      <c r="C202" s="145" t="s">
        <v>190</v>
      </c>
      <c r="D202" s="145" t="s">
        <v>172</v>
      </c>
      <c r="E202" s="145">
        <v>20</v>
      </c>
      <c r="F202" s="145" t="s">
        <v>175</v>
      </c>
      <c r="G202" s="145">
        <v>4103061</v>
      </c>
      <c r="H202" s="145" t="s">
        <v>54</v>
      </c>
      <c r="I202" s="145">
        <v>11</v>
      </c>
      <c r="J202" s="146" t="s">
        <v>29</v>
      </c>
      <c r="K202" s="147" t="s">
        <v>178</v>
      </c>
      <c r="L202" s="148">
        <v>52278387000</v>
      </c>
      <c r="M202" s="148"/>
      <c r="N202" s="148"/>
      <c r="O202" s="148"/>
      <c r="P202" s="148">
        <v>1760000000</v>
      </c>
      <c r="Q202" s="148"/>
      <c r="R202" s="148">
        <v>50518387000</v>
      </c>
      <c r="S202" s="148">
        <v>35646212215.279999</v>
      </c>
      <c r="T202" s="148">
        <v>14872174784.720001</v>
      </c>
      <c r="U202" s="150">
        <v>0.70560867700071261</v>
      </c>
      <c r="V202" s="148">
        <v>12986038841.68</v>
      </c>
      <c r="W202" s="148">
        <v>22660173373.599998</v>
      </c>
      <c r="X202" s="150">
        <v>0.63569652889757966</v>
      </c>
      <c r="Y202" s="148">
        <v>12915594461.68</v>
      </c>
      <c r="Z202" s="148">
        <v>70444380</v>
      </c>
      <c r="AA202" s="150">
        <v>0.36232726169272034</v>
      </c>
    </row>
    <row r="203" spans="1:27" ht="24.95" customHeight="1">
      <c r="A203" s="32" t="e">
        <v>#REF!</v>
      </c>
      <c r="B203" s="145" t="s">
        <v>167</v>
      </c>
      <c r="C203" s="145" t="s">
        <v>190</v>
      </c>
      <c r="D203" s="145" t="s">
        <v>172</v>
      </c>
      <c r="E203" s="145">
        <v>20</v>
      </c>
      <c r="F203" s="145" t="s">
        <v>175</v>
      </c>
      <c r="G203" s="145">
        <v>4103061</v>
      </c>
      <c r="H203" s="145" t="s">
        <v>65</v>
      </c>
      <c r="I203" s="145">
        <v>11</v>
      </c>
      <c r="J203" s="146" t="s">
        <v>29</v>
      </c>
      <c r="K203" s="147" t="s">
        <v>127</v>
      </c>
      <c r="L203" s="148">
        <v>907721613000</v>
      </c>
      <c r="M203" s="148"/>
      <c r="N203" s="148"/>
      <c r="O203" s="148"/>
      <c r="P203" s="148"/>
      <c r="Q203" s="148"/>
      <c r="R203" s="148">
        <v>907721613000</v>
      </c>
      <c r="S203" s="148">
        <v>665791160000</v>
      </c>
      <c r="T203" s="148">
        <v>241930453000</v>
      </c>
      <c r="U203" s="150">
        <v>0.73347505497811694</v>
      </c>
      <c r="V203" s="148">
        <v>602425096000</v>
      </c>
      <c r="W203" s="148">
        <v>63366064000</v>
      </c>
      <c r="X203" s="150">
        <v>9.5174084317971419E-2</v>
      </c>
      <c r="Y203" s="148">
        <v>602425096000</v>
      </c>
      <c r="Z203" s="148">
        <v>0</v>
      </c>
      <c r="AA203" s="150">
        <v>0.90482591568202853</v>
      </c>
    </row>
    <row r="204" spans="1:27" ht="42" customHeight="1">
      <c r="A204" s="32" t="e">
        <v>#REF!</v>
      </c>
      <c r="B204" s="133" t="s">
        <v>167</v>
      </c>
      <c r="C204" s="133">
        <v>4103</v>
      </c>
      <c r="D204" s="133" t="s">
        <v>172</v>
      </c>
      <c r="E204" s="133">
        <v>21</v>
      </c>
      <c r="F204" s="133"/>
      <c r="G204" s="133"/>
      <c r="H204" s="133"/>
      <c r="I204" s="133"/>
      <c r="J204" s="134"/>
      <c r="K204" s="134" t="s">
        <v>272</v>
      </c>
      <c r="L204" s="135">
        <v>25000000000</v>
      </c>
      <c r="M204" s="135">
        <v>0</v>
      </c>
      <c r="N204" s="135">
        <v>0</v>
      </c>
      <c r="O204" s="135">
        <v>16740482418</v>
      </c>
      <c r="P204" s="135">
        <v>16740482418</v>
      </c>
      <c r="Q204" s="135">
        <v>0</v>
      </c>
      <c r="R204" s="135">
        <v>25000000000</v>
      </c>
      <c r="S204" s="135">
        <v>16777431202</v>
      </c>
      <c r="T204" s="135">
        <v>8222568798</v>
      </c>
      <c r="U204" s="137">
        <v>0.67109724808000004</v>
      </c>
      <c r="V204" s="135">
        <v>3129402142</v>
      </c>
      <c r="W204" s="135">
        <v>13648029060</v>
      </c>
      <c r="X204" s="137">
        <v>0.81347548952386994</v>
      </c>
      <c r="Y204" s="135">
        <v>3037006758</v>
      </c>
      <c r="Z204" s="135">
        <v>92395384</v>
      </c>
      <c r="AA204" s="723">
        <v>0.18101738707400958</v>
      </c>
    </row>
    <row r="205" spans="1:27" ht="32.25" customHeight="1">
      <c r="A205" s="32" t="e">
        <v>#REF!</v>
      </c>
      <c r="B205" s="139" t="s">
        <v>167</v>
      </c>
      <c r="C205" s="139">
        <v>4103</v>
      </c>
      <c r="D205" s="139" t="s">
        <v>172</v>
      </c>
      <c r="E205" s="139">
        <v>21</v>
      </c>
      <c r="F205" s="139" t="s">
        <v>175</v>
      </c>
      <c r="G205" s="139" t="s">
        <v>219</v>
      </c>
      <c r="H205" s="139"/>
      <c r="I205" s="139" t="s">
        <v>144</v>
      </c>
      <c r="J205" s="140" t="s">
        <v>29</v>
      </c>
      <c r="K205" s="140" t="s">
        <v>233</v>
      </c>
      <c r="L205" s="141">
        <v>2606454177</v>
      </c>
      <c r="M205" s="142">
        <v>0</v>
      </c>
      <c r="N205" s="142">
        <v>0</v>
      </c>
      <c r="O205" s="141">
        <v>130864071</v>
      </c>
      <c r="P205" s="141">
        <v>261728142</v>
      </c>
      <c r="Q205" s="142">
        <v>0</v>
      </c>
      <c r="R205" s="141">
        <v>2475590106</v>
      </c>
      <c r="S205" s="141">
        <v>2475590106</v>
      </c>
      <c r="T205" s="141">
        <v>0</v>
      </c>
      <c r="U205" s="143">
        <v>1</v>
      </c>
      <c r="V205" s="141">
        <v>0</v>
      </c>
      <c r="W205" s="141">
        <v>2475590106</v>
      </c>
      <c r="X205" s="143">
        <v>1</v>
      </c>
      <c r="Y205" s="141">
        <v>0</v>
      </c>
      <c r="Z205" s="141">
        <v>0</v>
      </c>
      <c r="AA205" s="724">
        <v>0</v>
      </c>
    </row>
    <row r="206" spans="1:27" ht="24.95" customHeight="1">
      <c r="A206" s="32" t="e">
        <v>#REF!</v>
      </c>
      <c r="B206" s="145" t="s">
        <v>167</v>
      </c>
      <c r="C206" s="145">
        <v>4103</v>
      </c>
      <c r="D206" s="145" t="s">
        <v>172</v>
      </c>
      <c r="E206" s="145">
        <v>21</v>
      </c>
      <c r="F206" s="145" t="s">
        <v>175</v>
      </c>
      <c r="G206" s="145" t="s">
        <v>219</v>
      </c>
      <c r="H206" s="145" t="s">
        <v>54</v>
      </c>
      <c r="I206" s="145" t="s">
        <v>144</v>
      </c>
      <c r="J206" s="146" t="s">
        <v>29</v>
      </c>
      <c r="K206" s="147" t="s">
        <v>178</v>
      </c>
      <c r="L206" s="148">
        <v>2606454177</v>
      </c>
      <c r="M206" s="148"/>
      <c r="N206" s="148"/>
      <c r="O206" s="148">
        <v>130864071</v>
      </c>
      <c r="P206" s="148">
        <v>261728142</v>
      </c>
      <c r="Q206" s="148"/>
      <c r="R206" s="148">
        <v>2475590106</v>
      </c>
      <c r="S206" s="148">
        <v>2475590106</v>
      </c>
      <c r="T206" s="148">
        <v>0</v>
      </c>
      <c r="U206" s="150">
        <v>1</v>
      </c>
      <c r="V206" s="148">
        <v>0</v>
      </c>
      <c r="W206" s="148">
        <v>2475590106</v>
      </c>
      <c r="X206" s="150">
        <v>1</v>
      </c>
      <c r="Y206" s="148">
        <v>0</v>
      </c>
      <c r="Z206" s="148">
        <v>0</v>
      </c>
      <c r="AA206" s="150">
        <v>0</v>
      </c>
    </row>
    <row r="207" spans="1:27" ht="32.25" customHeight="1">
      <c r="A207" s="32" t="e">
        <v>#REF!</v>
      </c>
      <c r="B207" s="139" t="s">
        <v>167</v>
      </c>
      <c r="C207" s="139">
        <v>4103</v>
      </c>
      <c r="D207" s="139" t="s">
        <v>172</v>
      </c>
      <c r="E207" s="139">
        <v>21</v>
      </c>
      <c r="F207" s="139" t="s">
        <v>175</v>
      </c>
      <c r="G207" s="139" t="s">
        <v>234</v>
      </c>
      <c r="H207" s="139"/>
      <c r="I207" s="139" t="s">
        <v>144</v>
      </c>
      <c r="J207" s="140" t="s">
        <v>29</v>
      </c>
      <c r="K207" s="140" t="s">
        <v>235</v>
      </c>
      <c r="L207" s="141">
        <v>1252740115</v>
      </c>
      <c r="M207" s="142">
        <v>0</v>
      </c>
      <c r="N207" s="142">
        <v>0</v>
      </c>
      <c r="O207" s="141">
        <v>139030957</v>
      </c>
      <c r="P207" s="141">
        <v>278061914</v>
      </c>
      <c r="Q207" s="142">
        <v>0</v>
      </c>
      <c r="R207" s="141">
        <v>1113709158</v>
      </c>
      <c r="S207" s="141">
        <v>1113709158</v>
      </c>
      <c r="T207" s="141">
        <v>0</v>
      </c>
      <c r="U207" s="143">
        <v>1</v>
      </c>
      <c r="V207" s="141">
        <v>0</v>
      </c>
      <c r="W207" s="142">
        <v>1113709158</v>
      </c>
      <c r="X207" s="143">
        <v>1</v>
      </c>
      <c r="Y207" s="141">
        <v>0</v>
      </c>
      <c r="Z207" s="141">
        <v>0</v>
      </c>
      <c r="AA207" s="724">
        <v>0</v>
      </c>
    </row>
    <row r="208" spans="1:27" ht="24.95" customHeight="1">
      <c r="A208" s="32" t="e">
        <v>#REF!</v>
      </c>
      <c r="B208" s="145" t="s">
        <v>167</v>
      </c>
      <c r="C208" s="145">
        <v>4103</v>
      </c>
      <c r="D208" s="145" t="s">
        <v>172</v>
      </c>
      <c r="E208" s="145">
        <v>21</v>
      </c>
      <c r="F208" s="145" t="s">
        <v>175</v>
      </c>
      <c r="G208" s="145" t="s">
        <v>234</v>
      </c>
      <c r="H208" s="145" t="s">
        <v>54</v>
      </c>
      <c r="I208" s="145" t="s">
        <v>144</v>
      </c>
      <c r="J208" s="146" t="s">
        <v>29</v>
      </c>
      <c r="K208" s="147" t="s">
        <v>178</v>
      </c>
      <c r="L208" s="148">
        <v>1252740115</v>
      </c>
      <c r="M208" s="148"/>
      <c r="N208" s="148"/>
      <c r="O208" s="148">
        <v>139030957</v>
      </c>
      <c r="P208" s="148">
        <v>278061914</v>
      </c>
      <c r="Q208" s="148"/>
      <c r="R208" s="148">
        <v>1113709158</v>
      </c>
      <c r="S208" s="148">
        <v>1113709158</v>
      </c>
      <c r="T208" s="148">
        <v>0</v>
      </c>
      <c r="U208" s="150">
        <v>1</v>
      </c>
      <c r="V208" s="148">
        <v>0</v>
      </c>
      <c r="W208" s="148">
        <v>1113709158</v>
      </c>
      <c r="X208" s="150">
        <v>1</v>
      </c>
      <c r="Y208" s="148">
        <v>0</v>
      </c>
      <c r="Z208" s="148">
        <v>0</v>
      </c>
      <c r="AA208" s="150">
        <v>0</v>
      </c>
    </row>
    <row r="209" spans="1:27" ht="32.25" customHeight="1">
      <c r="A209" s="32" t="e">
        <v>#REF!</v>
      </c>
      <c r="B209" s="139" t="s">
        <v>167</v>
      </c>
      <c r="C209" s="139">
        <v>4103</v>
      </c>
      <c r="D209" s="139" t="s">
        <v>172</v>
      </c>
      <c r="E209" s="139">
        <v>21</v>
      </c>
      <c r="F209" s="139" t="s">
        <v>175</v>
      </c>
      <c r="G209" s="139" t="s">
        <v>197</v>
      </c>
      <c r="H209" s="139"/>
      <c r="I209" s="139" t="s">
        <v>144</v>
      </c>
      <c r="J209" s="140" t="s">
        <v>29</v>
      </c>
      <c r="K209" s="140" t="s">
        <v>236</v>
      </c>
      <c r="L209" s="141">
        <v>1722076323</v>
      </c>
      <c r="M209" s="142">
        <v>0</v>
      </c>
      <c r="N209" s="142">
        <v>0</v>
      </c>
      <c r="O209" s="141">
        <v>185321568</v>
      </c>
      <c r="P209" s="141">
        <v>370643136</v>
      </c>
      <c r="Q209" s="142">
        <v>0</v>
      </c>
      <c r="R209" s="141">
        <v>1536754755</v>
      </c>
      <c r="S209" s="141">
        <v>1536754755</v>
      </c>
      <c r="T209" s="141">
        <v>0</v>
      </c>
      <c r="U209" s="143">
        <v>1</v>
      </c>
      <c r="V209" s="141">
        <v>0</v>
      </c>
      <c r="W209" s="141">
        <v>1536754755</v>
      </c>
      <c r="X209" s="143">
        <v>1</v>
      </c>
      <c r="Y209" s="141">
        <v>0</v>
      </c>
      <c r="Z209" s="141">
        <v>0</v>
      </c>
      <c r="AA209" s="724">
        <v>0</v>
      </c>
    </row>
    <row r="210" spans="1:27" ht="24.95" customHeight="1">
      <c r="A210" s="32" t="e">
        <v>#REF!</v>
      </c>
      <c r="B210" s="145" t="s">
        <v>167</v>
      </c>
      <c r="C210" s="145">
        <v>4103</v>
      </c>
      <c r="D210" s="145" t="s">
        <v>172</v>
      </c>
      <c r="E210" s="145">
        <v>21</v>
      </c>
      <c r="F210" s="145" t="s">
        <v>175</v>
      </c>
      <c r="G210" s="145" t="s">
        <v>197</v>
      </c>
      <c r="H210" s="145" t="s">
        <v>54</v>
      </c>
      <c r="I210" s="145" t="s">
        <v>144</v>
      </c>
      <c r="J210" s="146" t="s">
        <v>29</v>
      </c>
      <c r="K210" s="147" t="s">
        <v>178</v>
      </c>
      <c r="L210" s="148">
        <v>1722076323</v>
      </c>
      <c r="M210" s="148"/>
      <c r="N210" s="148"/>
      <c r="O210" s="148">
        <v>185321568</v>
      </c>
      <c r="P210" s="148">
        <v>370643136</v>
      </c>
      <c r="Q210" s="148"/>
      <c r="R210" s="148">
        <v>1536754755</v>
      </c>
      <c r="S210" s="148">
        <v>1536754755</v>
      </c>
      <c r="T210" s="148">
        <v>0</v>
      </c>
      <c r="U210" s="150">
        <v>1</v>
      </c>
      <c r="V210" s="148">
        <v>0</v>
      </c>
      <c r="W210" s="148">
        <v>1536754755</v>
      </c>
      <c r="X210" s="150">
        <v>1</v>
      </c>
      <c r="Y210" s="148">
        <v>0</v>
      </c>
      <c r="Z210" s="148">
        <v>0</v>
      </c>
      <c r="AA210" s="150">
        <v>0</v>
      </c>
    </row>
    <row r="211" spans="1:27" ht="32.25" customHeight="1">
      <c r="A211" s="32" t="e">
        <v>#REF!</v>
      </c>
      <c r="B211" s="139" t="s">
        <v>167</v>
      </c>
      <c r="C211" s="139">
        <v>4103</v>
      </c>
      <c r="D211" s="139" t="s">
        <v>172</v>
      </c>
      <c r="E211" s="139">
        <v>21</v>
      </c>
      <c r="F211" s="139" t="s">
        <v>175</v>
      </c>
      <c r="G211" s="139" t="s">
        <v>203</v>
      </c>
      <c r="H211" s="139"/>
      <c r="I211" s="139" t="s">
        <v>144</v>
      </c>
      <c r="J211" s="140" t="s">
        <v>29</v>
      </c>
      <c r="K211" s="140" t="s">
        <v>237</v>
      </c>
      <c r="L211" s="141">
        <v>4822978569</v>
      </c>
      <c r="M211" s="142">
        <v>0</v>
      </c>
      <c r="N211" s="142">
        <v>0</v>
      </c>
      <c r="O211" s="141">
        <v>259693938</v>
      </c>
      <c r="P211" s="141">
        <v>519387876</v>
      </c>
      <c r="Q211" s="142">
        <v>0</v>
      </c>
      <c r="R211" s="141">
        <v>4563284631</v>
      </c>
      <c r="S211" s="141">
        <v>3960721124</v>
      </c>
      <c r="T211" s="141">
        <v>602563507</v>
      </c>
      <c r="U211" s="143">
        <v>0.86795399460586486</v>
      </c>
      <c r="V211" s="141">
        <v>0</v>
      </c>
      <c r="W211" s="141">
        <v>3960721124</v>
      </c>
      <c r="X211" s="143">
        <v>1</v>
      </c>
      <c r="Y211" s="141">
        <v>0</v>
      </c>
      <c r="Z211" s="141">
        <v>0</v>
      </c>
      <c r="AA211" s="724">
        <v>0</v>
      </c>
    </row>
    <row r="212" spans="1:27" ht="24.95" customHeight="1">
      <c r="A212" s="32" t="e">
        <v>#REF!</v>
      </c>
      <c r="B212" s="145" t="s">
        <v>167</v>
      </c>
      <c r="C212" s="145">
        <v>4103</v>
      </c>
      <c r="D212" s="145" t="s">
        <v>172</v>
      </c>
      <c r="E212" s="145">
        <v>21</v>
      </c>
      <c r="F212" s="145" t="s">
        <v>175</v>
      </c>
      <c r="G212" s="145" t="s">
        <v>203</v>
      </c>
      <c r="H212" s="145" t="s">
        <v>54</v>
      </c>
      <c r="I212" s="145" t="s">
        <v>144</v>
      </c>
      <c r="J212" s="146" t="s">
        <v>29</v>
      </c>
      <c r="K212" s="147" t="s">
        <v>178</v>
      </c>
      <c r="L212" s="148">
        <v>4822978569</v>
      </c>
      <c r="M212" s="148"/>
      <c r="N212" s="148"/>
      <c r="O212" s="148">
        <v>259693938</v>
      </c>
      <c r="P212" s="148">
        <v>519387876</v>
      </c>
      <c r="Q212" s="148"/>
      <c r="R212" s="148">
        <v>4563284631</v>
      </c>
      <c r="S212" s="148">
        <v>3960721124</v>
      </c>
      <c r="T212" s="148">
        <v>602563507</v>
      </c>
      <c r="U212" s="150">
        <v>0.86795399460586486</v>
      </c>
      <c r="V212" s="148">
        <v>0</v>
      </c>
      <c r="W212" s="148">
        <v>3960721124</v>
      </c>
      <c r="X212" s="150">
        <v>1</v>
      </c>
      <c r="Y212" s="148">
        <v>0</v>
      </c>
      <c r="Z212" s="148">
        <v>0</v>
      </c>
      <c r="AA212" s="150">
        <v>0</v>
      </c>
    </row>
    <row r="213" spans="1:27" ht="32.25" customHeight="1">
      <c r="A213" s="32" t="e">
        <v>#REF!</v>
      </c>
      <c r="B213" s="139" t="s">
        <v>167</v>
      </c>
      <c r="C213" s="139">
        <v>4103</v>
      </c>
      <c r="D213" s="139" t="s">
        <v>172</v>
      </c>
      <c r="E213" s="139">
        <v>21</v>
      </c>
      <c r="F213" s="139" t="s">
        <v>175</v>
      </c>
      <c r="G213" s="139" t="s">
        <v>223</v>
      </c>
      <c r="H213" s="139"/>
      <c r="I213" s="139" t="s">
        <v>144</v>
      </c>
      <c r="J213" s="140" t="s">
        <v>29</v>
      </c>
      <c r="K213" s="140" t="s">
        <v>238</v>
      </c>
      <c r="L213" s="141">
        <v>14595750816</v>
      </c>
      <c r="M213" s="142">
        <v>0</v>
      </c>
      <c r="N213" s="142">
        <v>0</v>
      </c>
      <c r="O213" s="141">
        <v>16025571884</v>
      </c>
      <c r="P213" s="141">
        <v>15310661350</v>
      </c>
      <c r="Q213" s="142">
        <v>0</v>
      </c>
      <c r="R213" s="141">
        <v>15310661350</v>
      </c>
      <c r="S213" s="141">
        <v>7690656059</v>
      </c>
      <c r="T213" s="141">
        <v>7620005291</v>
      </c>
      <c r="U213" s="143">
        <v>0.50230724089524714</v>
      </c>
      <c r="V213" s="141">
        <v>3129402142</v>
      </c>
      <c r="W213" s="141">
        <v>4561253917</v>
      </c>
      <c r="X213" s="143">
        <v>0.59309035302159774</v>
      </c>
      <c r="Y213" s="141">
        <v>3037006758</v>
      </c>
      <c r="Z213" s="141">
        <v>92395384</v>
      </c>
      <c r="AA213" s="724">
        <v>0.39489566750887772</v>
      </c>
    </row>
    <row r="214" spans="1:27" ht="24.95" customHeight="1">
      <c r="A214" s="32" t="e">
        <v>#REF!</v>
      </c>
      <c r="B214" s="145" t="s">
        <v>167</v>
      </c>
      <c r="C214" s="145">
        <v>4103</v>
      </c>
      <c r="D214" s="145" t="s">
        <v>172</v>
      </c>
      <c r="E214" s="145">
        <v>21</v>
      </c>
      <c r="F214" s="145" t="s">
        <v>175</v>
      </c>
      <c r="G214" s="145" t="s">
        <v>223</v>
      </c>
      <c r="H214" s="145" t="s">
        <v>54</v>
      </c>
      <c r="I214" s="145" t="s">
        <v>144</v>
      </c>
      <c r="J214" s="146" t="s">
        <v>29</v>
      </c>
      <c r="K214" s="147" t="s">
        <v>178</v>
      </c>
      <c r="L214" s="148">
        <v>0</v>
      </c>
      <c r="M214" s="148"/>
      <c r="N214" s="148"/>
      <c r="O214" s="148">
        <v>16025571884</v>
      </c>
      <c r="P214" s="148">
        <v>714910534</v>
      </c>
      <c r="Q214" s="148"/>
      <c r="R214" s="148">
        <v>15310661350</v>
      </c>
      <c r="S214" s="148">
        <v>7690656059</v>
      </c>
      <c r="T214" s="148">
        <v>7620005291</v>
      </c>
      <c r="U214" s="150">
        <v>0.50230724089524714</v>
      </c>
      <c r="V214" s="148">
        <v>3129402142</v>
      </c>
      <c r="W214" s="148">
        <v>4561253917</v>
      </c>
      <c r="X214" s="150">
        <v>0.59309035302159774</v>
      </c>
      <c r="Y214" s="148">
        <v>3037006758</v>
      </c>
      <c r="Z214" s="148">
        <v>92395384</v>
      </c>
      <c r="AA214" s="150">
        <v>0.39489566750887772</v>
      </c>
    </row>
    <row r="215" spans="1:27" ht="24.95" customHeight="1">
      <c r="A215" s="32" t="e">
        <v>#REF!</v>
      </c>
      <c r="B215" s="145" t="s">
        <v>167</v>
      </c>
      <c r="C215" s="145">
        <v>4103</v>
      </c>
      <c r="D215" s="145" t="s">
        <v>172</v>
      </c>
      <c r="E215" s="145">
        <v>21</v>
      </c>
      <c r="F215" s="145" t="s">
        <v>175</v>
      </c>
      <c r="G215" s="145" t="s">
        <v>223</v>
      </c>
      <c r="H215" s="145" t="s">
        <v>65</v>
      </c>
      <c r="I215" s="145" t="s">
        <v>144</v>
      </c>
      <c r="J215" s="146" t="s">
        <v>29</v>
      </c>
      <c r="K215" s="147" t="s">
        <v>127</v>
      </c>
      <c r="L215" s="148">
        <v>14595750816</v>
      </c>
      <c r="M215" s="148"/>
      <c r="N215" s="148"/>
      <c r="O215" s="148"/>
      <c r="P215" s="148">
        <v>14595750816</v>
      </c>
      <c r="Q215" s="148"/>
      <c r="R215" s="148">
        <v>0</v>
      </c>
      <c r="S215" s="148">
        <v>0</v>
      </c>
      <c r="T215" s="148">
        <v>0</v>
      </c>
      <c r="U215" s="150">
        <v>0</v>
      </c>
      <c r="V215" s="148">
        <v>0</v>
      </c>
      <c r="W215" s="148">
        <v>0</v>
      </c>
      <c r="X215" s="150">
        <v>0</v>
      </c>
      <c r="Y215" s="148">
        <v>0</v>
      </c>
      <c r="Z215" s="148">
        <v>0</v>
      </c>
      <c r="AA215" s="150">
        <v>0</v>
      </c>
    </row>
    <row r="216" spans="1:27" ht="49.5" customHeight="1">
      <c r="A216" s="32" t="e">
        <v>#REF!</v>
      </c>
      <c r="B216" s="133" t="s">
        <v>167</v>
      </c>
      <c r="C216" s="133">
        <v>4103</v>
      </c>
      <c r="D216" s="133" t="s">
        <v>172</v>
      </c>
      <c r="E216" s="133">
        <v>22</v>
      </c>
      <c r="F216" s="133"/>
      <c r="G216" s="133"/>
      <c r="H216" s="133"/>
      <c r="I216" s="133"/>
      <c r="J216" s="134"/>
      <c r="K216" s="134" t="s">
        <v>239</v>
      </c>
      <c r="L216" s="135">
        <v>137284000000</v>
      </c>
      <c r="M216" s="136">
        <v>0</v>
      </c>
      <c r="N216" s="136">
        <v>0</v>
      </c>
      <c r="O216" s="135">
        <v>17906457845</v>
      </c>
      <c r="P216" s="135">
        <v>17906457845</v>
      </c>
      <c r="Q216" s="136">
        <v>0</v>
      </c>
      <c r="R216" s="135">
        <v>137284000000</v>
      </c>
      <c r="S216" s="135">
        <v>89339142382</v>
      </c>
      <c r="T216" s="135">
        <v>47944857618</v>
      </c>
      <c r="U216" s="137">
        <v>0.65076150448704873</v>
      </c>
      <c r="V216" s="135">
        <v>86335304206</v>
      </c>
      <c r="W216" s="135">
        <v>3003838176</v>
      </c>
      <c r="X216" s="137">
        <v>3.3622867826020364E-2</v>
      </c>
      <c r="Y216" s="135">
        <v>86240995198</v>
      </c>
      <c r="Z216" s="135">
        <v>94309008</v>
      </c>
      <c r="AA216" s="723">
        <v>0.96532150296727925</v>
      </c>
    </row>
    <row r="217" spans="1:27" ht="32.25" customHeight="1">
      <c r="A217" s="32" t="e">
        <v>#REF!</v>
      </c>
      <c r="B217" s="139" t="s">
        <v>167</v>
      </c>
      <c r="C217" s="139">
        <v>4103</v>
      </c>
      <c r="D217" s="139" t="s">
        <v>172</v>
      </c>
      <c r="E217" s="139">
        <v>22</v>
      </c>
      <c r="F217" s="139" t="s">
        <v>175</v>
      </c>
      <c r="G217" s="139" t="s">
        <v>219</v>
      </c>
      <c r="H217" s="139"/>
      <c r="I217" s="139" t="s">
        <v>144</v>
      </c>
      <c r="J217" s="140" t="s">
        <v>29</v>
      </c>
      <c r="K217" s="140" t="s">
        <v>240</v>
      </c>
      <c r="L217" s="141">
        <v>8350333435</v>
      </c>
      <c r="M217" s="142">
        <v>0</v>
      </c>
      <c r="N217" s="142">
        <v>0</v>
      </c>
      <c r="O217" s="141">
        <v>681063106</v>
      </c>
      <c r="P217" s="141">
        <v>0</v>
      </c>
      <c r="Q217" s="142">
        <v>0</v>
      </c>
      <c r="R217" s="141">
        <v>9031396541</v>
      </c>
      <c r="S217" s="141">
        <v>5812280682</v>
      </c>
      <c r="T217" s="141">
        <v>3219115859</v>
      </c>
      <c r="U217" s="143">
        <v>0.64356388910772333</v>
      </c>
      <c r="V217" s="141">
        <v>5787069331</v>
      </c>
      <c r="W217" s="141">
        <v>25211351</v>
      </c>
      <c r="X217" s="143">
        <v>4.337600398080706E-3</v>
      </c>
      <c r="Y217" s="141">
        <v>5787069331</v>
      </c>
      <c r="Z217" s="141">
        <v>0</v>
      </c>
      <c r="AA217" s="724">
        <v>0.99566239960191927</v>
      </c>
    </row>
    <row r="218" spans="1:27" ht="24.95" customHeight="1">
      <c r="A218" s="32" t="e">
        <v>#REF!</v>
      </c>
      <c r="B218" s="145" t="s">
        <v>167</v>
      </c>
      <c r="C218" s="145">
        <v>4103</v>
      </c>
      <c r="D218" s="145" t="s">
        <v>172</v>
      </c>
      <c r="E218" s="145">
        <v>22</v>
      </c>
      <c r="F218" s="145" t="s">
        <v>175</v>
      </c>
      <c r="G218" s="145" t="s">
        <v>219</v>
      </c>
      <c r="H218" s="145" t="s">
        <v>54</v>
      </c>
      <c r="I218" s="145" t="s">
        <v>144</v>
      </c>
      <c r="J218" s="146" t="s">
        <v>29</v>
      </c>
      <c r="K218" s="147" t="s">
        <v>178</v>
      </c>
      <c r="L218" s="148">
        <v>8350333435</v>
      </c>
      <c r="M218" s="148"/>
      <c r="N218" s="148"/>
      <c r="O218" s="148">
        <v>681063106</v>
      </c>
      <c r="P218" s="148"/>
      <c r="Q218" s="148"/>
      <c r="R218" s="148">
        <v>9031396541</v>
      </c>
      <c r="S218" s="148">
        <v>5812280682</v>
      </c>
      <c r="T218" s="148">
        <v>3219115859</v>
      </c>
      <c r="U218" s="150">
        <v>0.64356388910772333</v>
      </c>
      <c r="V218" s="148">
        <v>5787069331</v>
      </c>
      <c r="W218" s="148">
        <v>25211351</v>
      </c>
      <c r="X218" s="150">
        <v>4.337600398080706E-3</v>
      </c>
      <c r="Y218" s="148">
        <v>5787069331</v>
      </c>
      <c r="Z218" s="148">
        <v>0</v>
      </c>
      <c r="AA218" s="150">
        <v>0.99566239960191927</v>
      </c>
    </row>
    <row r="219" spans="1:27" ht="32.25" customHeight="1">
      <c r="A219" s="32" t="e">
        <v>#REF!</v>
      </c>
      <c r="B219" s="139" t="s">
        <v>167</v>
      </c>
      <c r="C219" s="139">
        <v>4103</v>
      </c>
      <c r="D219" s="139" t="s">
        <v>172</v>
      </c>
      <c r="E219" s="139">
        <v>22</v>
      </c>
      <c r="F219" s="139" t="s">
        <v>175</v>
      </c>
      <c r="G219" s="139" t="s">
        <v>234</v>
      </c>
      <c r="H219" s="139"/>
      <c r="I219" s="139" t="s">
        <v>144</v>
      </c>
      <c r="J219" s="140" t="s">
        <v>29</v>
      </c>
      <c r="K219" s="140" t="s">
        <v>241</v>
      </c>
      <c r="L219" s="141">
        <v>8986673675</v>
      </c>
      <c r="M219" s="142">
        <v>0</v>
      </c>
      <c r="N219" s="142">
        <v>0</v>
      </c>
      <c r="O219" s="141">
        <v>417203180</v>
      </c>
      <c r="P219" s="141">
        <v>3115663306</v>
      </c>
      <c r="Q219" s="142">
        <v>0</v>
      </c>
      <c r="R219" s="141">
        <v>6288213549</v>
      </c>
      <c r="S219" s="141">
        <v>774656489</v>
      </c>
      <c r="T219" s="141">
        <v>5513557060</v>
      </c>
      <c r="U219" s="143">
        <v>0.12319182275913512</v>
      </c>
      <c r="V219" s="141">
        <v>289656489</v>
      </c>
      <c r="W219" s="141">
        <v>485000000</v>
      </c>
      <c r="X219" s="143">
        <v>0.62608395706603315</v>
      </c>
      <c r="Y219" s="141">
        <v>289656489</v>
      </c>
      <c r="Z219" s="141">
        <v>0</v>
      </c>
      <c r="AA219" s="724">
        <v>0.37391604293396685</v>
      </c>
    </row>
    <row r="220" spans="1:27" ht="24.95" customHeight="1">
      <c r="A220" s="32" t="e">
        <v>#REF!</v>
      </c>
      <c r="B220" s="145" t="s">
        <v>167</v>
      </c>
      <c r="C220" s="145">
        <v>4103</v>
      </c>
      <c r="D220" s="145" t="s">
        <v>172</v>
      </c>
      <c r="E220" s="145">
        <v>22</v>
      </c>
      <c r="F220" s="145" t="s">
        <v>175</v>
      </c>
      <c r="G220" s="145" t="s">
        <v>234</v>
      </c>
      <c r="H220" s="145" t="s">
        <v>54</v>
      </c>
      <c r="I220" s="145" t="s">
        <v>144</v>
      </c>
      <c r="J220" s="146" t="s">
        <v>29</v>
      </c>
      <c r="K220" s="147" t="s">
        <v>178</v>
      </c>
      <c r="L220" s="148">
        <v>5871010369</v>
      </c>
      <c r="M220" s="148"/>
      <c r="N220" s="148"/>
      <c r="O220" s="148">
        <v>417203180</v>
      </c>
      <c r="P220" s="148"/>
      <c r="Q220" s="148"/>
      <c r="R220" s="148">
        <v>6288213549</v>
      </c>
      <c r="S220" s="148">
        <v>774656489</v>
      </c>
      <c r="T220" s="148">
        <v>5513557060</v>
      </c>
      <c r="U220" s="150">
        <v>0.12319182275913512</v>
      </c>
      <c r="V220" s="148">
        <v>289656489</v>
      </c>
      <c r="W220" s="148">
        <v>485000000</v>
      </c>
      <c r="X220" s="150">
        <v>0.62608395706603315</v>
      </c>
      <c r="Y220" s="148">
        <v>289656489</v>
      </c>
      <c r="Z220" s="148">
        <v>0</v>
      </c>
      <c r="AA220" s="150">
        <v>0.37391604293396685</v>
      </c>
    </row>
    <row r="221" spans="1:27" ht="24.95" customHeight="1">
      <c r="A221" s="32" t="e">
        <v>#REF!</v>
      </c>
      <c r="B221" s="145" t="s">
        <v>167</v>
      </c>
      <c r="C221" s="145">
        <v>4103</v>
      </c>
      <c r="D221" s="145" t="s">
        <v>172</v>
      </c>
      <c r="E221" s="145">
        <v>22</v>
      </c>
      <c r="F221" s="145" t="s">
        <v>175</v>
      </c>
      <c r="G221" s="145" t="s">
        <v>234</v>
      </c>
      <c r="H221" s="145" t="s">
        <v>65</v>
      </c>
      <c r="I221" s="145" t="s">
        <v>144</v>
      </c>
      <c r="J221" s="146" t="s">
        <v>29</v>
      </c>
      <c r="K221" s="147" t="s">
        <v>127</v>
      </c>
      <c r="L221" s="148">
        <v>3115663306</v>
      </c>
      <c r="M221" s="148"/>
      <c r="N221" s="148"/>
      <c r="O221" s="148"/>
      <c r="P221" s="148">
        <v>3115663306</v>
      </c>
      <c r="Q221" s="148"/>
      <c r="R221" s="148">
        <v>0</v>
      </c>
      <c r="S221" s="148">
        <v>0</v>
      </c>
      <c r="T221" s="148">
        <v>0</v>
      </c>
      <c r="U221" s="150">
        <v>0</v>
      </c>
      <c r="V221" s="148">
        <v>0</v>
      </c>
      <c r="W221" s="148">
        <v>0</v>
      </c>
      <c r="X221" s="150">
        <v>0</v>
      </c>
      <c r="Y221" s="148">
        <v>0</v>
      </c>
      <c r="Z221" s="148">
        <v>0</v>
      </c>
      <c r="AA221" s="150">
        <v>0</v>
      </c>
    </row>
    <row r="222" spans="1:27" ht="32.25" customHeight="1">
      <c r="A222" s="32" t="e">
        <v>#REF!</v>
      </c>
      <c r="B222" s="139" t="s">
        <v>167</v>
      </c>
      <c r="C222" s="139">
        <v>4103</v>
      </c>
      <c r="D222" s="139" t="s">
        <v>172</v>
      </c>
      <c r="E222" s="139">
        <v>22</v>
      </c>
      <c r="F222" s="139" t="s">
        <v>175</v>
      </c>
      <c r="G222" s="139">
        <v>4103051</v>
      </c>
      <c r="H222" s="139"/>
      <c r="I222" s="139" t="s">
        <v>144</v>
      </c>
      <c r="J222" s="140" t="s">
        <v>29</v>
      </c>
      <c r="K222" s="140" t="s">
        <v>242</v>
      </c>
      <c r="L222" s="141">
        <v>1038023922</v>
      </c>
      <c r="M222" s="142">
        <v>0</v>
      </c>
      <c r="N222" s="142">
        <v>0</v>
      </c>
      <c r="O222" s="141">
        <v>2230593423</v>
      </c>
      <c r="P222" s="141">
        <v>0</v>
      </c>
      <c r="Q222" s="142">
        <v>0</v>
      </c>
      <c r="R222" s="141">
        <v>3268617345</v>
      </c>
      <c r="S222" s="141">
        <v>0</v>
      </c>
      <c r="T222" s="141">
        <v>3268617345</v>
      </c>
      <c r="U222" s="143">
        <v>0</v>
      </c>
      <c r="V222" s="141">
        <v>0</v>
      </c>
      <c r="W222" s="142">
        <v>0</v>
      </c>
      <c r="X222" s="143">
        <v>0</v>
      </c>
      <c r="Y222" s="141">
        <v>0</v>
      </c>
      <c r="Z222" s="141">
        <v>0</v>
      </c>
      <c r="AA222" s="724">
        <v>0</v>
      </c>
    </row>
    <row r="223" spans="1:27" ht="24.95" customHeight="1">
      <c r="A223" s="32" t="e">
        <v>#REF!</v>
      </c>
      <c r="B223" s="145" t="s">
        <v>167</v>
      </c>
      <c r="C223" s="145">
        <v>4103</v>
      </c>
      <c r="D223" s="145" t="s">
        <v>172</v>
      </c>
      <c r="E223" s="145">
        <v>22</v>
      </c>
      <c r="F223" s="145" t="s">
        <v>175</v>
      </c>
      <c r="G223" s="145">
        <v>4103051</v>
      </c>
      <c r="H223" s="145" t="s">
        <v>54</v>
      </c>
      <c r="I223" s="145" t="s">
        <v>144</v>
      </c>
      <c r="J223" s="146" t="s">
        <v>29</v>
      </c>
      <c r="K223" s="147" t="s">
        <v>178</v>
      </c>
      <c r="L223" s="148">
        <v>1038023922</v>
      </c>
      <c r="M223" s="148"/>
      <c r="N223" s="148"/>
      <c r="O223" s="148">
        <v>2230593423</v>
      </c>
      <c r="P223" s="148"/>
      <c r="Q223" s="148"/>
      <c r="R223" s="148">
        <v>3268617345</v>
      </c>
      <c r="S223" s="148">
        <v>0</v>
      </c>
      <c r="T223" s="148">
        <v>3268617345</v>
      </c>
      <c r="U223" s="150">
        <v>0</v>
      </c>
      <c r="V223" s="148">
        <v>0</v>
      </c>
      <c r="W223" s="148">
        <v>0</v>
      </c>
      <c r="X223" s="150">
        <v>0</v>
      </c>
      <c r="Y223" s="148">
        <v>0</v>
      </c>
      <c r="Z223" s="148">
        <v>0</v>
      </c>
      <c r="AA223" s="150">
        <v>0</v>
      </c>
    </row>
    <row r="224" spans="1:27" ht="32.25" customHeight="1">
      <c r="A224" s="32" t="e">
        <v>#REF!</v>
      </c>
      <c r="B224" s="139" t="s">
        <v>167</v>
      </c>
      <c r="C224" s="139">
        <v>4103</v>
      </c>
      <c r="D224" s="139" t="s">
        <v>172</v>
      </c>
      <c r="E224" s="139">
        <v>22</v>
      </c>
      <c r="F224" s="139" t="s">
        <v>175</v>
      </c>
      <c r="G224" s="139">
        <v>4103055</v>
      </c>
      <c r="H224" s="139"/>
      <c r="I224" s="139" t="s">
        <v>144</v>
      </c>
      <c r="J224" s="140" t="s">
        <v>29</v>
      </c>
      <c r="K224" s="140" t="s">
        <v>243</v>
      </c>
      <c r="L224" s="141">
        <v>4550769145</v>
      </c>
      <c r="M224" s="142">
        <v>0</v>
      </c>
      <c r="N224" s="142">
        <v>0</v>
      </c>
      <c r="O224" s="141">
        <v>12479945236</v>
      </c>
      <c r="P224" s="141">
        <v>0</v>
      </c>
      <c r="Q224" s="142">
        <v>0</v>
      </c>
      <c r="R224" s="141">
        <v>17030714381</v>
      </c>
      <c r="S224" s="141">
        <v>0</v>
      </c>
      <c r="T224" s="141">
        <v>17030714381</v>
      </c>
      <c r="U224" s="143">
        <v>0</v>
      </c>
      <c r="V224" s="141">
        <v>0</v>
      </c>
      <c r="W224" s="142">
        <v>0</v>
      </c>
      <c r="X224" s="143">
        <v>0</v>
      </c>
      <c r="Y224" s="141">
        <v>0</v>
      </c>
      <c r="Z224" s="141">
        <v>0</v>
      </c>
      <c r="AA224" s="724">
        <v>0</v>
      </c>
    </row>
    <row r="225" spans="1:27" ht="24.95" customHeight="1">
      <c r="A225" s="32" t="e">
        <v>#REF!</v>
      </c>
      <c r="B225" s="145" t="s">
        <v>167</v>
      </c>
      <c r="C225" s="145">
        <v>4103</v>
      </c>
      <c r="D225" s="145" t="s">
        <v>172</v>
      </c>
      <c r="E225" s="145">
        <v>22</v>
      </c>
      <c r="F225" s="145" t="s">
        <v>175</v>
      </c>
      <c r="G225" s="145" t="s">
        <v>203</v>
      </c>
      <c r="H225" s="145" t="s">
        <v>54</v>
      </c>
      <c r="I225" s="145" t="s">
        <v>144</v>
      </c>
      <c r="J225" s="146" t="s">
        <v>29</v>
      </c>
      <c r="K225" s="147" t="s">
        <v>178</v>
      </c>
      <c r="L225" s="148">
        <v>396551404</v>
      </c>
      <c r="M225" s="148"/>
      <c r="N225" s="148"/>
      <c r="O225" s="148">
        <v>118562977</v>
      </c>
      <c r="P225" s="148"/>
      <c r="Q225" s="148"/>
      <c r="R225" s="148">
        <v>515114381</v>
      </c>
      <c r="S225" s="148">
        <v>0</v>
      </c>
      <c r="T225" s="148">
        <v>515114381</v>
      </c>
      <c r="U225" s="150">
        <v>0</v>
      </c>
      <c r="V225" s="148">
        <v>0</v>
      </c>
      <c r="W225" s="148">
        <v>0</v>
      </c>
      <c r="X225" s="150">
        <v>0</v>
      </c>
      <c r="Y225" s="148">
        <v>0</v>
      </c>
      <c r="Z225" s="148">
        <v>0</v>
      </c>
      <c r="AA225" s="150">
        <v>0</v>
      </c>
    </row>
    <row r="226" spans="1:27" ht="24.95" customHeight="1">
      <c r="A226" s="32" t="e">
        <v>#REF!</v>
      </c>
      <c r="B226" s="145" t="s">
        <v>167</v>
      </c>
      <c r="C226" s="145">
        <v>4103</v>
      </c>
      <c r="D226" s="145" t="s">
        <v>172</v>
      </c>
      <c r="E226" s="145">
        <v>22</v>
      </c>
      <c r="F226" s="145" t="s">
        <v>175</v>
      </c>
      <c r="G226" s="145" t="s">
        <v>203</v>
      </c>
      <c r="H226" s="145" t="s">
        <v>65</v>
      </c>
      <c r="I226" s="145" t="s">
        <v>144</v>
      </c>
      <c r="J226" s="146" t="s">
        <v>29</v>
      </c>
      <c r="K226" s="147" t="s">
        <v>127</v>
      </c>
      <c r="L226" s="148">
        <v>4154217741</v>
      </c>
      <c r="M226" s="148"/>
      <c r="N226" s="148"/>
      <c r="O226" s="148">
        <v>12361382259</v>
      </c>
      <c r="P226" s="148"/>
      <c r="Q226" s="148"/>
      <c r="R226" s="148">
        <v>16515600000</v>
      </c>
      <c r="S226" s="148">
        <v>0</v>
      </c>
      <c r="T226" s="148">
        <v>16515600000</v>
      </c>
      <c r="U226" s="150">
        <v>0</v>
      </c>
      <c r="V226" s="148">
        <v>0</v>
      </c>
      <c r="W226" s="148">
        <v>0</v>
      </c>
      <c r="X226" s="150">
        <v>0</v>
      </c>
      <c r="Y226" s="148">
        <v>0</v>
      </c>
      <c r="Z226" s="148">
        <v>0</v>
      </c>
      <c r="AA226" s="150">
        <v>0</v>
      </c>
    </row>
    <row r="227" spans="1:27" ht="32.25" customHeight="1">
      <c r="A227" s="32" t="e">
        <v>#REF!</v>
      </c>
      <c r="B227" s="139" t="s">
        <v>167</v>
      </c>
      <c r="C227" s="139">
        <v>4103</v>
      </c>
      <c r="D227" s="139" t="s">
        <v>172</v>
      </c>
      <c r="E227" s="139">
        <v>22</v>
      </c>
      <c r="F227" s="139" t="s">
        <v>175</v>
      </c>
      <c r="G227" s="139">
        <v>4103057</v>
      </c>
      <c r="H227" s="139"/>
      <c r="I227" s="139" t="s">
        <v>144</v>
      </c>
      <c r="J227" s="140" t="s">
        <v>29</v>
      </c>
      <c r="K227" s="140" t="s">
        <v>244</v>
      </c>
      <c r="L227" s="141">
        <v>102633231456</v>
      </c>
      <c r="M227" s="142">
        <v>0</v>
      </c>
      <c r="N227" s="142">
        <v>0</v>
      </c>
      <c r="O227" s="141">
        <v>202411169</v>
      </c>
      <c r="P227" s="141">
        <v>4772206087</v>
      </c>
      <c r="Q227" s="142">
        <v>0</v>
      </c>
      <c r="R227" s="141">
        <v>98063436538</v>
      </c>
      <c r="S227" s="141">
        <v>82752205211</v>
      </c>
      <c r="T227" s="141">
        <v>15311231327</v>
      </c>
      <c r="U227" s="143">
        <v>0.84386401427950331</v>
      </c>
      <c r="V227" s="141">
        <v>80258578386</v>
      </c>
      <c r="W227" s="141">
        <v>2493626825</v>
      </c>
      <c r="X227" s="143">
        <v>3.0133660107809788E-2</v>
      </c>
      <c r="Y227" s="141">
        <v>80164269378</v>
      </c>
      <c r="Z227" s="141">
        <v>94309008</v>
      </c>
      <c r="AA227" s="724">
        <v>0.96872668436567544</v>
      </c>
    </row>
    <row r="228" spans="1:27" ht="24.95" customHeight="1">
      <c r="A228" s="32" t="e">
        <v>#REF!</v>
      </c>
      <c r="B228" s="145" t="s">
        <v>167</v>
      </c>
      <c r="C228" s="145">
        <v>4103</v>
      </c>
      <c r="D228" s="145" t="s">
        <v>172</v>
      </c>
      <c r="E228" s="145">
        <v>22</v>
      </c>
      <c r="F228" s="145" t="s">
        <v>175</v>
      </c>
      <c r="G228" s="145" t="s">
        <v>221</v>
      </c>
      <c r="H228" s="145" t="s">
        <v>54</v>
      </c>
      <c r="I228" s="145" t="s">
        <v>144</v>
      </c>
      <c r="J228" s="146" t="s">
        <v>29</v>
      </c>
      <c r="K228" s="147" t="s">
        <v>178</v>
      </c>
      <c r="L228" s="148">
        <v>6561199369</v>
      </c>
      <c r="M228" s="148"/>
      <c r="N228" s="148"/>
      <c r="O228" s="148">
        <v>202411169</v>
      </c>
      <c r="P228" s="148"/>
      <c r="Q228" s="148"/>
      <c r="R228" s="148">
        <v>6763610538</v>
      </c>
      <c r="S228" s="148">
        <v>5277221211</v>
      </c>
      <c r="T228" s="148">
        <v>1486389327</v>
      </c>
      <c r="U228" s="150">
        <v>0.78023729801575392</v>
      </c>
      <c r="V228" s="148">
        <v>4251703386</v>
      </c>
      <c r="W228" s="148">
        <v>1025517825</v>
      </c>
      <c r="X228" s="150">
        <v>0.19432913345803651</v>
      </c>
      <c r="Y228" s="148">
        <v>4157394378</v>
      </c>
      <c r="Z228" s="148">
        <v>94309008</v>
      </c>
      <c r="AA228" s="150">
        <v>0.78779990676422684</v>
      </c>
    </row>
    <row r="229" spans="1:27" ht="24.95" customHeight="1">
      <c r="A229" s="32" t="e">
        <v>#REF!</v>
      </c>
      <c r="B229" s="145" t="s">
        <v>167</v>
      </c>
      <c r="C229" s="145">
        <v>4103</v>
      </c>
      <c r="D229" s="145" t="s">
        <v>172</v>
      </c>
      <c r="E229" s="145">
        <v>22</v>
      </c>
      <c r="F229" s="145" t="s">
        <v>175</v>
      </c>
      <c r="G229" s="145" t="s">
        <v>221</v>
      </c>
      <c r="H229" s="145" t="s">
        <v>65</v>
      </c>
      <c r="I229" s="145" t="s">
        <v>144</v>
      </c>
      <c r="J229" s="146" t="s">
        <v>29</v>
      </c>
      <c r="K229" s="147" t="s">
        <v>127</v>
      </c>
      <c r="L229" s="148">
        <v>96072032087</v>
      </c>
      <c r="M229" s="148"/>
      <c r="N229" s="148"/>
      <c r="O229" s="148"/>
      <c r="P229" s="148">
        <v>4772206087</v>
      </c>
      <c r="Q229" s="148"/>
      <c r="R229" s="148">
        <v>91299826000</v>
      </c>
      <c r="S229" s="148">
        <v>77474984000</v>
      </c>
      <c r="T229" s="148">
        <v>13824842000</v>
      </c>
      <c r="U229" s="150">
        <v>0.84857756464946599</v>
      </c>
      <c r="V229" s="148">
        <v>76006875000</v>
      </c>
      <c r="W229" s="148">
        <v>1468109000</v>
      </c>
      <c r="X229" s="150">
        <v>1.8949458576203126E-2</v>
      </c>
      <c r="Y229" s="148">
        <v>76006875000</v>
      </c>
      <c r="Z229" s="148">
        <v>0</v>
      </c>
      <c r="AA229" s="150">
        <v>0.98105054142379688</v>
      </c>
    </row>
    <row r="230" spans="1:27" ht="32.25" customHeight="1">
      <c r="A230" s="32" t="e">
        <v>#REF!</v>
      </c>
      <c r="B230" s="139" t="s">
        <v>167</v>
      </c>
      <c r="C230" s="139">
        <v>4103</v>
      </c>
      <c r="D230" s="139" t="s">
        <v>172</v>
      </c>
      <c r="E230" s="139">
        <v>22</v>
      </c>
      <c r="F230" s="139" t="s">
        <v>175</v>
      </c>
      <c r="G230" s="139">
        <v>4103062</v>
      </c>
      <c r="H230" s="139"/>
      <c r="I230" s="139" t="s">
        <v>144</v>
      </c>
      <c r="J230" s="140" t="s">
        <v>29</v>
      </c>
      <c r="K230" s="140" t="s">
        <v>245</v>
      </c>
      <c r="L230" s="141">
        <v>11724968367</v>
      </c>
      <c r="M230" s="142">
        <v>0</v>
      </c>
      <c r="N230" s="142">
        <v>0</v>
      </c>
      <c r="O230" s="141">
        <v>1895241731</v>
      </c>
      <c r="P230" s="141">
        <v>10018588452</v>
      </c>
      <c r="Q230" s="142">
        <v>0</v>
      </c>
      <c r="R230" s="141">
        <v>3601621646</v>
      </c>
      <c r="S230" s="141">
        <v>0</v>
      </c>
      <c r="T230" s="141">
        <v>3601621646</v>
      </c>
      <c r="U230" s="143">
        <v>0</v>
      </c>
      <c r="V230" s="141">
        <v>0</v>
      </c>
      <c r="W230" s="142">
        <v>0</v>
      </c>
      <c r="X230" s="143">
        <v>0</v>
      </c>
      <c r="Y230" s="141">
        <v>0</v>
      </c>
      <c r="Z230" s="141">
        <v>0</v>
      </c>
      <c r="AA230" s="724">
        <v>0</v>
      </c>
    </row>
    <row r="231" spans="1:27" ht="24.95" customHeight="1">
      <c r="A231" s="32" t="e">
        <v>#REF!</v>
      </c>
      <c r="B231" s="145" t="s">
        <v>167</v>
      </c>
      <c r="C231" s="145">
        <v>4103</v>
      </c>
      <c r="D231" s="145" t="s">
        <v>172</v>
      </c>
      <c r="E231" s="145">
        <v>22</v>
      </c>
      <c r="F231" s="145" t="s">
        <v>175</v>
      </c>
      <c r="G231" s="145" t="s">
        <v>246</v>
      </c>
      <c r="H231" s="145" t="s">
        <v>54</v>
      </c>
      <c r="I231" s="145" t="s">
        <v>144</v>
      </c>
      <c r="J231" s="146" t="s">
        <v>29</v>
      </c>
      <c r="K231" s="147" t="s">
        <v>178</v>
      </c>
      <c r="L231" s="148">
        <v>1706379915</v>
      </c>
      <c r="M231" s="148"/>
      <c r="N231" s="148"/>
      <c r="O231" s="148">
        <v>1895241731</v>
      </c>
      <c r="P231" s="148"/>
      <c r="Q231" s="148"/>
      <c r="R231" s="148">
        <v>3601621646</v>
      </c>
      <c r="S231" s="148">
        <v>0</v>
      </c>
      <c r="T231" s="148">
        <v>3601621646</v>
      </c>
      <c r="U231" s="150">
        <v>0</v>
      </c>
      <c r="V231" s="148">
        <v>0</v>
      </c>
      <c r="W231" s="148">
        <v>0</v>
      </c>
      <c r="X231" s="150">
        <v>0</v>
      </c>
      <c r="Y231" s="148">
        <v>0</v>
      </c>
      <c r="Z231" s="148">
        <v>0</v>
      </c>
      <c r="AA231" s="150">
        <v>0</v>
      </c>
    </row>
    <row r="232" spans="1:27" ht="24.95" customHeight="1">
      <c r="A232" s="32" t="e">
        <v>#REF!</v>
      </c>
      <c r="B232" s="145" t="s">
        <v>167</v>
      </c>
      <c r="C232" s="145">
        <v>4103</v>
      </c>
      <c r="D232" s="145" t="s">
        <v>172</v>
      </c>
      <c r="E232" s="145">
        <v>22</v>
      </c>
      <c r="F232" s="145" t="s">
        <v>175</v>
      </c>
      <c r="G232" s="145" t="s">
        <v>246</v>
      </c>
      <c r="H232" s="145" t="s">
        <v>65</v>
      </c>
      <c r="I232" s="145" t="s">
        <v>144</v>
      </c>
      <c r="J232" s="146" t="s">
        <v>29</v>
      </c>
      <c r="K232" s="147" t="s">
        <v>127</v>
      </c>
      <c r="L232" s="148">
        <v>10018588452</v>
      </c>
      <c r="M232" s="148"/>
      <c r="N232" s="148"/>
      <c r="O232" s="148"/>
      <c r="P232" s="148">
        <v>10018588452</v>
      </c>
      <c r="Q232" s="148"/>
      <c r="R232" s="148">
        <v>0</v>
      </c>
      <c r="S232" s="148">
        <v>0</v>
      </c>
      <c r="T232" s="148">
        <v>0</v>
      </c>
      <c r="U232" s="150">
        <v>0</v>
      </c>
      <c r="V232" s="148">
        <v>0</v>
      </c>
      <c r="W232" s="148">
        <v>0</v>
      </c>
      <c r="X232" s="150">
        <v>0</v>
      </c>
      <c r="Y232" s="148">
        <v>0</v>
      </c>
      <c r="Z232" s="148">
        <v>0</v>
      </c>
      <c r="AA232" s="150">
        <v>0</v>
      </c>
    </row>
    <row r="233" spans="1:27" ht="39.75" customHeight="1">
      <c r="A233" s="32"/>
      <c r="B233" s="133" t="s">
        <v>167</v>
      </c>
      <c r="C233" s="133" t="s">
        <v>190</v>
      </c>
      <c r="D233" s="133" t="s">
        <v>172</v>
      </c>
      <c r="E233" s="133">
        <v>23</v>
      </c>
      <c r="F233" s="133"/>
      <c r="G233" s="133"/>
      <c r="H233" s="133"/>
      <c r="I233" s="133"/>
      <c r="J233" s="134"/>
      <c r="K233" s="134" t="s">
        <v>273</v>
      </c>
      <c r="L233" s="135">
        <v>1769368130080</v>
      </c>
      <c r="M233" s="136">
        <v>0</v>
      </c>
      <c r="N233" s="136">
        <v>0</v>
      </c>
      <c r="O233" s="135">
        <v>2000000000</v>
      </c>
      <c r="P233" s="135">
        <v>2000000000</v>
      </c>
      <c r="Q233" s="136">
        <v>0</v>
      </c>
      <c r="R233" s="135">
        <v>1769368130080</v>
      </c>
      <c r="S233" s="135">
        <v>1187447686204.78</v>
      </c>
      <c r="T233" s="135">
        <v>581920443875.21997</v>
      </c>
      <c r="U233" s="137">
        <v>0.67111397906273518</v>
      </c>
      <c r="V233" s="135">
        <v>1145841737636.5898</v>
      </c>
      <c r="W233" s="135">
        <v>41605948568.190002</v>
      </c>
      <c r="X233" s="137">
        <v>3.5038131828078606E-2</v>
      </c>
      <c r="Y233" s="135">
        <v>1145841737636.5898</v>
      </c>
      <c r="Z233" s="135">
        <v>0</v>
      </c>
      <c r="AA233" s="723">
        <v>0.9649618681719212</v>
      </c>
    </row>
    <row r="234" spans="1:27" ht="32.25" customHeight="1">
      <c r="A234" s="32"/>
      <c r="B234" s="139" t="s">
        <v>167</v>
      </c>
      <c r="C234" s="139" t="s">
        <v>190</v>
      </c>
      <c r="D234" s="139" t="s">
        <v>172</v>
      </c>
      <c r="E234" s="139">
        <v>23</v>
      </c>
      <c r="F234" s="139" t="s">
        <v>175</v>
      </c>
      <c r="G234" s="139">
        <v>4103065</v>
      </c>
      <c r="H234" s="139"/>
      <c r="I234" s="139">
        <v>11</v>
      </c>
      <c r="J234" s="140" t="s">
        <v>29</v>
      </c>
      <c r="K234" s="140" t="s">
        <v>248</v>
      </c>
      <c r="L234" s="141">
        <v>1769368130080</v>
      </c>
      <c r="M234" s="142">
        <v>0</v>
      </c>
      <c r="N234" s="142">
        <v>0</v>
      </c>
      <c r="O234" s="141">
        <v>2000000000</v>
      </c>
      <c r="P234" s="141">
        <v>2000000000</v>
      </c>
      <c r="Q234" s="142">
        <v>0</v>
      </c>
      <c r="R234" s="141">
        <v>1769368130080</v>
      </c>
      <c r="S234" s="141">
        <v>1187447686204.78</v>
      </c>
      <c r="T234" s="141">
        <v>581920443875.21997</v>
      </c>
      <c r="U234" s="143">
        <v>0.67111397906273518</v>
      </c>
      <c r="V234" s="141">
        <v>1145841737636.5898</v>
      </c>
      <c r="W234" s="141">
        <v>41605948568.190002</v>
      </c>
      <c r="X234" s="143">
        <v>3.5038131828078606E-2</v>
      </c>
      <c r="Y234" s="141">
        <v>1145841737636.5898</v>
      </c>
      <c r="Z234" s="141">
        <v>0</v>
      </c>
      <c r="AA234" s="724">
        <v>0.9649618681719212</v>
      </c>
    </row>
    <row r="235" spans="1:27" ht="24.95" customHeight="1">
      <c r="A235" s="32"/>
      <c r="B235" s="145" t="s">
        <v>167</v>
      </c>
      <c r="C235" s="145" t="s">
        <v>190</v>
      </c>
      <c r="D235" s="145" t="s">
        <v>172</v>
      </c>
      <c r="E235" s="145">
        <v>23</v>
      </c>
      <c r="F235" s="145" t="s">
        <v>175</v>
      </c>
      <c r="G235" s="145">
        <v>4103065</v>
      </c>
      <c r="H235" s="145" t="s">
        <v>54</v>
      </c>
      <c r="I235" s="145">
        <v>11</v>
      </c>
      <c r="J235" s="146" t="s">
        <v>29</v>
      </c>
      <c r="K235" s="147" t="s">
        <v>178</v>
      </c>
      <c r="L235" s="148">
        <v>19400000000</v>
      </c>
      <c r="M235" s="148"/>
      <c r="N235" s="148"/>
      <c r="O235" s="148">
        <v>2000000000</v>
      </c>
      <c r="P235" s="148"/>
      <c r="Q235" s="148"/>
      <c r="R235" s="148">
        <v>21400000000</v>
      </c>
      <c r="S235" s="148">
        <v>8224913070.5</v>
      </c>
      <c r="T235" s="148">
        <v>13175086929.5</v>
      </c>
      <c r="U235" s="150">
        <v>0.38434173226635515</v>
      </c>
      <c r="V235" s="148">
        <v>1550875078.1099999</v>
      </c>
      <c r="W235" s="148">
        <v>6674037992.3900003</v>
      </c>
      <c r="X235" s="150">
        <v>0.81144176664037126</v>
      </c>
      <c r="Y235" s="148">
        <v>1550875078.1099999</v>
      </c>
      <c r="Z235" s="148">
        <v>0</v>
      </c>
      <c r="AA235" s="150">
        <v>0.18855823335962879</v>
      </c>
    </row>
    <row r="236" spans="1:27" ht="24.95" customHeight="1">
      <c r="A236" s="32"/>
      <c r="B236" s="145" t="s">
        <v>167</v>
      </c>
      <c r="C236" s="145" t="s">
        <v>190</v>
      </c>
      <c r="D236" s="145" t="s">
        <v>172</v>
      </c>
      <c r="E236" s="145">
        <v>23</v>
      </c>
      <c r="F236" s="145" t="s">
        <v>175</v>
      </c>
      <c r="G236" s="145">
        <v>4103065</v>
      </c>
      <c r="H236" s="145" t="s">
        <v>54</v>
      </c>
      <c r="I236" s="145">
        <v>16</v>
      </c>
      <c r="J236" s="146" t="s">
        <v>156</v>
      </c>
      <c r="K236" s="147" t="s">
        <v>178</v>
      </c>
      <c r="L236" s="148">
        <v>68256379176</v>
      </c>
      <c r="M236" s="148"/>
      <c r="N236" s="148"/>
      <c r="O236" s="148"/>
      <c r="P236" s="148"/>
      <c r="Q236" s="148"/>
      <c r="R236" s="148">
        <v>68256379176</v>
      </c>
      <c r="S236" s="148">
        <v>68045733134.279999</v>
      </c>
      <c r="T236" s="148">
        <v>210646041.72000122</v>
      </c>
      <c r="U236" s="150">
        <v>0.99691389956128718</v>
      </c>
      <c r="V236" s="148">
        <v>33113822558.48</v>
      </c>
      <c r="W236" s="148">
        <v>34931910575.800003</v>
      </c>
      <c r="X236" s="150">
        <v>0.51335930949360364</v>
      </c>
      <c r="Y236" s="148">
        <v>33113822558.48</v>
      </c>
      <c r="Z236" s="148">
        <v>0</v>
      </c>
      <c r="AA236" s="150">
        <v>0.48664069050639647</v>
      </c>
    </row>
    <row r="237" spans="1:27" ht="24.95" customHeight="1">
      <c r="A237" s="32"/>
      <c r="B237" s="145" t="s">
        <v>167</v>
      </c>
      <c r="C237" s="145" t="s">
        <v>190</v>
      </c>
      <c r="D237" s="145" t="s">
        <v>172</v>
      </c>
      <c r="E237" s="145">
        <v>23</v>
      </c>
      <c r="F237" s="145" t="s">
        <v>175</v>
      </c>
      <c r="G237" s="145">
        <v>4103065</v>
      </c>
      <c r="H237" s="145" t="s">
        <v>65</v>
      </c>
      <c r="I237" s="145">
        <v>11</v>
      </c>
      <c r="J237" s="146" t="s">
        <v>29</v>
      </c>
      <c r="K237" s="147" t="s">
        <v>127</v>
      </c>
      <c r="L237" s="148">
        <v>368600000000</v>
      </c>
      <c r="M237" s="148"/>
      <c r="N237" s="148"/>
      <c r="O237" s="148"/>
      <c r="P237" s="148">
        <v>2000000000</v>
      </c>
      <c r="Q237" s="148"/>
      <c r="R237" s="148">
        <v>366600000000</v>
      </c>
      <c r="S237" s="148">
        <v>259084400000</v>
      </c>
      <c r="T237" s="148">
        <v>107515600000</v>
      </c>
      <c r="U237" s="150">
        <v>0.70672231314784506</v>
      </c>
      <c r="V237" s="148">
        <v>259084400000</v>
      </c>
      <c r="W237" s="148">
        <v>0</v>
      </c>
      <c r="X237" s="150">
        <v>0</v>
      </c>
      <c r="Y237" s="148">
        <v>259084400000</v>
      </c>
      <c r="Z237" s="148">
        <v>0</v>
      </c>
      <c r="AA237" s="150">
        <v>1</v>
      </c>
    </row>
    <row r="238" spans="1:27" ht="24.95" customHeight="1">
      <c r="A238" s="32"/>
      <c r="B238" s="145" t="s">
        <v>167</v>
      </c>
      <c r="C238" s="145" t="s">
        <v>190</v>
      </c>
      <c r="D238" s="145" t="s">
        <v>172</v>
      </c>
      <c r="E238" s="145">
        <v>23</v>
      </c>
      <c r="F238" s="145" t="s">
        <v>175</v>
      </c>
      <c r="G238" s="145">
        <v>4103065</v>
      </c>
      <c r="H238" s="145" t="s">
        <v>65</v>
      </c>
      <c r="I238" s="145">
        <v>16</v>
      </c>
      <c r="J238" s="146" t="s">
        <v>156</v>
      </c>
      <c r="K238" s="147" t="s">
        <v>127</v>
      </c>
      <c r="L238" s="148">
        <v>1313111750904</v>
      </c>
      <c r="M238" s="148"/>
      <c r="N238" s="148"/>
      <c r="O238" s="148"/>
      <c r="P238" s="148"/>
      <c r="Q238" s="148"/>
      <c r="R238" s="148">
        <v>1313111750904</v>
      </c>
      <c r="S238" s="148">
        <v>852092640000</v>
      </c>
      <c r="T238" s="148">
        <v>461019110904</v>
      </c>
      <c r="U238" s="150">
        <v>0.64891098523289015</v>
      </c>
      <c r="V238" s="148">
        <v>852092640000</v>
      </c>
      <c r="W238" s="148">
        <v>0</v>
      </c>
      <c r="X238" s="150">
        <v>0</v>
      </c>
      <c r="Y238" s="148">
        <v>852092640000</v>
      </c>
      <c r="Z238" s="148">
        <v>0</v>
      </c>
      <c r="AA238" s="150">
        <v>1</v>
      </c>
    </row>
    <row r="239" spans="1:27" ht="36.75" customHeight="1">
      <c r="A239" s="32" t="e">
        <v>#REF!</v>
      </c>
      <c r="B239" s="123" t="s">
        <v>167</v>
      </c>
      <c r="C239" s="123">
        <v>4199</v>
      </c>
      <c r="D239" s="123"/>
      <c r="E239" s="123"/>
      <c r="F239" s="123"/>
      <c r="G239" s="123"/>
      <c r="H239" s="123"/>
      <c r="I239" s="124"/>
      <c r="J239" s="124"/>
      <c r="K239" s="124" t="s">
        <v>250</v>
      </c>
      <c r="L239" s="125">
        <v>3226548466</v>
      </c>
      <c r="M239" s="719">
        <v>0</v>
      </c>
      <c r="N239" s="719">
        <v>0</v>
      </c>
      <c r="O239" s="719">
        <v>0</v>
      </c>
      <c r="P239" s="719">
        <v>0</v>
      </c>
      <c r="Q239" s="719">
        <v>0</v>
      </c>
      <c r="R239" s="125">
        <v>3226548466</v>
      </c>
      <c r="S239" s="125">
        <v>2586383534.5500002</v>
      </c>
      <c r="T239" s="125">
        <v>640164931.44999981</v>
      </c>
      <c r="U239" s="126">
        <v>0.80159450936634413</v>
      </c>
      <c r="V239" s="125">
        <v>2586383534.5500002</v>
      </c>
      <c r="W239" s="125">
        <v>0</v>
      </c>
      <c r="X239" s="126">
        <v>0</v>
      </c>
      <c r="Y239" s="125">
        <v>2586383534.5500002</v>
      </c>
      <c r="Z239" s="125">
        <v>0</v>
      </c>
      <c r="AA239" s="720">
        <v>1</v>
      </c>
    </row>
    <row r="240" spans="1:27" ht="24" customHeight="1">
      <c r="A240" s="32" t="e">
        <v>#REF!</v>
      </c>
      <c r="B240" s="128" t="s">
        <v>167</v>
      </c>
      <c r="C240" s="128">
        <v>4199</v>
      </c>
      <c r="D240" s="128">
        <v>1500</v>
      </c>
      <c r="E240" s="128"/>
      <c r="F240" s="128"/>
      <c r="G240" s="128"/>
      <c r="H240" s="128"/>
      <c r="I240" s="129"/>
      <c r="J240" s="129"/>
      <c r="K240" s="129" t="s">
        <v>170</v>
      </c>
      <c r="L240" s="130">
        <v>3226548466</v>
      </c>
      <c r="M240" s="721">
        <v>0</v>
      </c>
      <c r="N240" s="721">
        <v>0</v>
      </c>
      <c r="O240" s="721">
        <v>0</v>
      </c>
      <c r="P240" s="721">
        <v>0</v>
      </c>
      <c r="Q240" s="721">
        <v>0</v>
      </c>
      <c r="R240" s="130">
        <v>3226548466</v>
      </c>
      <c r="S240" s="130">
        <v>2586383534.5500002</v>
      </c>
      <c r="T240" s="130">
        <v>640164931.44999981</v>
      </c>
      <c r="U240" s="131">
        <v>0.80159450936634413</v>
      </c>
      <c r="V240" s="130">
        <v>2586383534.5500002</v>
      </c>
      <c r="W240" s="130">
        <v>0</v>
      </c>
      <c r="X240" s="131">
        <v>0</v>
      </c>
      <c r="Y240" s="130">
        <v>2586383534.5500002</v>
      </c>
      <c r="Z240" s="130">
        <v>0</v>
      </c>
      <c r="AA240" s="722">
        <v>1</v>
      </c>
    </row>
    <row r="241" spans="1:50" ht="37.5" customHeight="1">
      <c r="A241" s="32" t="e">
        <v>#REF!</v>
      </c>
      <c r="B241" s="133" t="s">
        <v>167</v>
      </c>
      <c r="C241" s="133" t="s">
        <v>251</v>
      </c>
      <c r="D241" s="133" t="s">
        <v>172</v>
      </c>
      <c r="E241" s="133" t="s">
        <v>252</v>
      </c>
      <c r="F241" s="133"/>
      <c r="G241" s="133"/>
      <c r="H241" s="133"/>
      <c r="I241" s="133"/>
      <c r="J241" s="134"/>
      <c r="K241" s="134" t="s">
        <v>274</v>
      </c>
      <c r="L241" s="135">
        <v>3226548466</v>
      </c>
      <c r="M241" s="136">
        <v>0</v>
      </c>
      <c r="N241" s="136">
        <v>0</v>
      </c>
      <c r="O241" s="136">
        <v>0</v>
      </c>
      <c r="P241" s="136">
        <v>0</v>
      </c>
      <c r="Q241" s="136">
        <v>0</v>
      </c>
      <c r="R241" s="135">
        <v>3226548466</v>
      </c>
      <c r="S241" s="135">
        <v>2586383534.5500002</v>
      </c>
      <c r="T241" s="135">
        <v>640164931.44999981</v>
      </c>
      <c r="U241" s="137">
        <v>0.80159450936634413</v>
      </c>
      <c r="V241" s="135">
        <v>2586383534.5500002</v>
      </c>
      <c r="W241" s="135">
        <v>0</v>
      </c>
      <c r="X241" s="137">
        <v>0</v>
      </c>
      <c r="Y241" s="135">
        <v>2586383534.5500002</v>
      </c>
      <c r="Z241" s="135">
        <v>0</v>
      </c>
      <c r="AA241" s="723">
        <v>1</v>
      </c>
    </row>
    <row r="242" spans="1:50" ht="32.25" customHeight="1">
      <c r="A242" s="32" t="e">
        <v>#REF!</v>
      </c>
      <c r="B242" s="139" t="s">
        <v>167</v>
      </c>
      <c r="C242" s="139" t="s">
        <v>251</v>
      </c>
      <c r="D242" s="139" t="s">
        <v>172</v>
      </c>
      <c r="E242" s="139" t="s">
        <v>252</v>
      </c>
      <c r="F242" s="139" t="s">
        <v>175</v>
      </c>
      <c r="G242" s="139" t="s">
        <v>254</v>
      </c>
      <c r="H242" s="139"/>
      <c r="I242" s="139">
        <v>11</v>
      </c>
      <c r="J242" s="140" t="s">
        <v>29</v>
      </c>
      <c r="K242" s="140" t="s">
        <v>255</v>
      </c>
      <c r="L242" s="141">
        <v>3226548466</v>
      </c>
      <c r="M242" s="142">
        <v>0</v>
      </c>
      <c r="N242" s="142">
        <v>0</v>
      </c>
      <c r="O242" s="142">
        <v>0</v>
      </c>
      <c r="P242" s="142">
        <v>0</v>
      </c>
      <c r="Q242" s="142">
        <v>0</v>
      </c>
      <c r="R242" s="141">
        <v>3226548466</v>
      </c>
      <c r="S242" s="141">
        <v>2586383534.5500002</v>
      </c>
      <c r="T242" s="141">
        <v>640164931.44999981</v>
      </c>
      <c r="U242" s="143">
        <v>0.80159450936634413</v>
      </c>
      <c r="V242" s="141">
        <v>2586383534.5500002</v>
      </c>
      <c r="W242" s="141">
        <v>0</v>
      </c>
      <c r="X242" s="143">
        <v>0</v>
      </c>
      <c r="Y242" s="141">
        <v>2586383534.5500002</v>
      </c>
      <c r="Z242" s="141">
        <v>0</v>
      </c>
      <c r="AA242" s="724">
        <v>1</v>
      </c>
    </row>
    <row r="243" spans="1:50" ht="24.95" customHeight="1">
      <c r="A243" s="32" t="e">
        <v>#REF!</v>
      </c>
      <c r="B243" s="145" t="s">
        <v>167</v>
      </c>
      <c r="C243" s="145" t="s">
        <v>251</v>
      </c>
      <c r="D243" s="145" t="s">
        <v>172</v>
      </c>
      <c r="E243" s="145" t="s">
        <v>252</v>
      </c>
      <c r="F243" s="145" t="s">
        <v>175</v>
      </c>
      <c r="G243" s="145" t="s">
        <v>254</v>
      </c>
      <c r="H243" s="145" t="s">
        <v>54</v>
      </c>
      <c r="I243" s="145">
        <v>11</v>
      </c>
      <c r="J243" s="146" t="s">
        <v>29</v>
      </c>
      <c r="K243" s="147" t="s">
        <v>178</v>
      </c>
      <c r="L243" s="148">
        <v>3226548466</v>
      </c>
      <c r="M243" s="148"/>
      <c r="N243" s="148"/>
      <c r="O243" s="148"/>
      <c r="P243" s="148"/>
      <c r="Q243" s="148"/>
      <c r="R243" s="148">
        <v>3226548466</v>
      </c>
      <c r="S243" s="148">
        <v>2586383534.5500002</v>
      </c>
      <c r="T243" s="148">
        <v>640164931.44999981</v>
      </c>
      <c r="U243" s="150">
        <v>0.80159450936634413</v>
      </c>
      <c r="V243" s="148">
        <v>2586383534.5500002</v>
      </c>
      <c r="W243" s="148">
        <v>0</v>
      </c>
      <c r="X243" s="150">
        <v>0</v>
      </c>
      <c r="Y243" s="148">
        <v>2586383534.5500002</v>
      </c>
      <c r="Z243" s="148">
        <v>0</v>
      </c>
      <c r="AA243" s="150">
        <v>1</v>
      </c>
    </row>
    <row r="244" spans="1:50" ht="35.1" customHeight="1">
      <c r="A244" s="32"/>
      <c r="B244" s="118"/>
      <c r="C244" s="119"/>
      <c r="D244" s="119"/>
      <c r="E244" s="119"/>
      <c r="F244" s="119"/>
      <c r="G244" s="119"/>
      <c r="H244" s="119"/>
      <c r="I244" s="119"/>
      <c r="J244" s="119"/>
      <c r="K244" s="119" t="s">
        <v>256</v>
      </c>
      <c r="L244" s="120">
        <v>6409808633098</v>
      </c>
      <c r="M244" s="120">
        <v>4794322613752</v>
      </c>
      <c r="N244" s="717">
        <v>0</v>
      </c>
      <c r="O244" s="120">
        <v>92379196674.450012</v>
      </c>
      <c r="P244" s="120">
        <v>92379196674.449997</v>
      </c>
      <c r="Q244" s="120">
        <v>337625861084</v>
      </c>
      <c r="R244" s="120">
        <v>10866505385766</v>
      </c>
      <c r="S244" s="120">
        <v>8735229298329.4805</v>
      </c>
      <c r="T244" s="120">
        <v>1995101397644.9304</v>
      </c>
      <c r="U244" s="121">
        <v>0.80386738774102384</v>
      </c>
      <c r="V244" s="120">
        <v>8114228352605.2188</v>
      </c>
      <c r="W244" s="120">
        <v>621000945724.26001</v>
      </c>
      <c r="X244" s="121">
        <v>7.1091544882859556E-2</v>
      </c>
      <c r="Y244" s="120">
        <v>7732605587185.2188</v>
      </c>
      <c r="Z244" s="120">
        <v>381622765420</v>
      </c>
      <c r="AA244" s="718">
        <v>0.88522067630943557</v>
      </c>
    </row>
    <row r="245" spans="1:50" s="90" customFormat="1" ht="16.5">
      <c r="A245" s="32"/>
      <c r="B245" s="82"/>
      <c r="C245" s="82"/>
      <c r="D245" s="82"/>
      <c r="E245" s="82"/>
      <c r="F245" s="82"/>
      <c r="G245" s="83"/>
      <c r="H245" s="84"/>
      <c r="I245" s="84"/>
      <c r="J245" s="85"/>
      <c r="K245" s="84"/>
      <c r="L245" s="86"/>
      <c r="M245" s="86"/>
      <c r="N245" s="86"/>
      <c r="O245" s="86"/>
      <c r="P245" s="86"/>
      <c r="Q245" s="86"/>
      <c r="R245" s="86"/>
      <c r="S245" s="86"/>
      <c r="T245" s="86"/>
      <c r="U245" s="87"/>
      <c r="V245" s="86"/>
      <c r="W245" s="86"/>
      <c r="X245" s="87"/>
      <c r="Y245" s="86"/>
      <c r="Z245" s="86"/>
      <c r="AA245" s="89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</row>
    <row r="246" spans="1:50" s="8" customFormat="1" ht="16.5">
      <c r="A246" s="32" t="e">
        <v>#REF!</v>
      </c>
      <c r="B246" s="91"/>
      <c r="C246" s="91"/>
      <c r="D246" s="91"/>
      <c r="E246" s="91"/>
      <c r="F246" s="91"/>
      <c r="G246" s="92"/>
      <c r="H246" s="93"/>
      <c r="I246" s="93"/>
      <c r="J246" s="94"/>
      <c r="K246" s="93"/>
      <c r="L246" s="95">
        <v>6409808633098</v>
      </c>
      <c r="M246" s="95">
        <v>4794322613752</v>
      </c>
      <c r="N246" s="95"/>
      <c r="O246" s="95">
        <v>92379196674.450012</v>
      </c>
      <c r="P246" s="95">
        <v>92379196674.450012</v>
      </c>
      <c r="Q246" s="95">
        <v>337625861084</v>
      </c>
      <c r="R246" s="95">
        <v>10866505385766</v>
      </c>
      <c r="S246" s="95">
        <v>8735229298329.4805</v>
      </c>
      <c r="T246" s="95">
        <v>1995101397644.9304</v>
      </c>
      <c r="U246" s="361">
        <v>0.80386738774102384</v>
      </c>
      <c r="V246" s="95">
        <v>8114228352605.2197</v>
      </c>
      <c r="W246" s="95">
        <v>621000945724.26074</v>
      </c>
      <c r="X246" s="361">
        <v>7.1091544882859556E-2</v>
      </c>
      <c r="Y246" s="95">
        <v>7732605587185.2197</v>
      </c>
      <c r="Z246" s="95">
        <v>381622765420</v>
      </c>
      <c r="AA246" s="361">
        <v>0.88522067630943557</v>
      </c>
    </row>
    <row r="247" spans="1:50" s="8" customFormat="1" ht="16.5">
      <c r="A247" s="32"/>
      <c r="B247" s="94"/>
      <c r="C247" s="93"/>
      <c r="D247" s="93"/>
      <c r="E247" s="93"/>
      <c r="F247" s="93"/>
      <c r="G247" s="93"/>
      <c r="H247" s="93"/>
      <c r="I247" s="93"/>
      <c r="J247" s="94"/>
      <c r="K247" s="97"/>
      <c r="L247" s="362">
        <v>0</v>
      </c>
      <c r="M247" s="362">
        <v>0</v>
      </c>
      <c r="N247" s="731"/>
      <c r="O247" s="362">
        <v>0</v>
      </c>
      <c r="P247" s="362">
        <v>0</v>
      </c>
      <c r="Q247" s="362">
        <v>0</v>
      </c>
      <c r="R247" s="362">
        <v>0</v>
      </c>
      <c r="S247" s="362">
        <v>0</v>
      </c>
      <c r="T247" s="362"/>
      <c r="U247" s="363"/>
      <c r="V247" s="362">
        <v>0</v>
      </c>
      <c r="W247" s="362">
        <v>0</v>
      </c>
      <c r="X247" s="363"/>
      <c r="Y247" s="362">
        <v>0</v>
      </c>
      <c r="Z247" s="362">
        <v>0</v>
      </c>
      <c r="AA247" s="363"/>
    </row>
    <row r="248" spans="1:50" s="374" customFormat="1" ht="16.5">
      <c r="A248" s="369"/>
      <c r="B248" s="370"/>
      <c r="C248" s="371"/>
      <c r="D248" s="371"/>
      <c r="E248" s="371"/>
      <c r="F248" s="371"/>
      <c r="G248" s="371"/>
      <c r="H248" s="371"/>
      <c r="I248" s="371"/>
      <c r="J248" s="370"/>
      <c r="K248" s="86"/>
      <c r="L248" s="359"/>
      <c r="M248" s="359"/>
      <c r="N248" s="359"/>
      <c r="O248" s="359"/>
      <c r="P248" s="359"/>
      <c r="Q248" s="359"/>
      <c r="R248" s="359"/>
      <c r="S248" s="359"/>
      <c r="T248" s="359"/>
      <c r="U248" s="372"/>
      <c r="V248" s="359"/>
      <c r="W248" s="359"/>
      <c r="X248" s="372"/>
      <c r="Y248" s="359"/>
      <c r="Z248" s="359"/>
      <c r="AA248" s="37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</row>
    <row r="249" spans="1:50" ht="18">
      <c r="A249" s="30"/>
      <c r="B249" s="312"/>
      <c r="C249" s="317"/>
      <c r="D249" s="312"/>
      <c r="E249" s="312"/>
      <c r="F249" s="312"/>
      <c r="G249" s="312"/>
      <c r="H249" s="312"/>
      <c r="I249" s="312"/>
      <c r="J249" s="317"/>
      <c r="K249" s="312"/>
      <c r="L249" s="335"/>
      <c r="M249" s="364"/>
      <c r="N249" s="332"/>
      <c r="O249" s="332"/>
      <c r="P249" s="633"/>
      <c r="Q249" s="633"/>
      <c r="R249" s="359"/>
      <c r="S249" s="332"/>
      <c r="T249" s="332"/>
      <c r="U249" s="333"/>
      <c r="V249" s="332"/>
      <c r="W249" s="332"/>
      <c r="X249" s="333"/>
      <c r="Y249" s="332"/>
      <c r="Z249" s="332"/>
      <c r="AA249" s="333"/>
    </row>
    <row r="250" spans="1:50" ht="18">
      <c r="A250" s="30"/>
      <c r="B250" s="312"/>
      <c r="C250" s="317"/>
      <c r="D250" s="312"/>
      <c r="E250" s="312"/>
      <c r="F250" s="312"/>
      <c r="G250" s="312"/>
      <c r="H250" s="312"/>
      <c r="I250" s="312"/>
      <c r="J250" s="317"/>
      <c r="K250" s="312"/>
      <c r="L250" s="332"/>
      <c r="M250" s="632"/>
      <c r="N250" s="332"/>
      <c r="O250" s="359"/>
      <c r="P250" s="633"/>
      <c r="Q250" s="733"/>
      <c r="R250" s="734"/>
      <c r="S250" s="734"/>
      <c r="T250" s="734"/>
      <c r="U250" s="734"/>
      <c r="V250" s="332"/>
      <c r="W250" s="332"/>
      <c r="X250" s="333"/>
      <c r="Y250" s="332"/>
      <c r="Z250" s="332"/>
      <c r="AA250" s="333"/>
    </row>
    <row r="251" spans="1:50" ht="18">
      <c r="A251" s="1"/>
      <c r="B251" s="312"/>
      <c r="C251" s="312"/>
      <c r="D251" s="312"/>
      <c r="E251" s="312"/>
      <c r="F251" s="312"/>
      <c r="G251" s="312"/>
      <c r="H251" s="312"/>
      <c r="I251" s="312"/>
      <c r="J251" s="317"/>
      <c r="K251" s="312"/>
      <c r="L251" s="332"/>
      <c r="M251" s="632"/>
      <c r="N251" s="332"/>
      <c r="O251" s="332"/>
      <c r="P251" s="332"/>
      <c r="Q251" s="332"/>
      <c r="R251" s="332"/>
      <c r="S251" s="332"/>
      <c r="T251" s="332"/>
      <c r="U251" s="333"/>
      <c r="V251" s="332"/>
      <c r="W251" s="631"/>
      <c r="X251" s="333"/>
      <c r="Y251" s="332"/>
      <c r="Z251" s="332"/>
      <c r="AA251" s="333"/>
    </row>
    <row r="252" spans="1:50" ht="30">
      <c r="A252" s="1"/>
      <c r="B252" s="318"/>
      <c r="C252" s="318"/>
      <c r="D252" s="318"/>
      <c r="E252" s="318"/>
      <c r="F252" s="318"/>
      <c r="G252" s="318"/>
      <c r="H252" s="312"/>
      <c r="I252" s="312"/>
      <c r="J252" s="317"/>
      <c r="K252" s="336" t="s">
        <v>738</v>
      </c>
      <c r="L252" s="628"/>
      <c r="N252" s="319"/>
      <c r="O252" s="319"/>
      <c r="P252" s="319"/>
      <c r="Q252" s="733"/>
      <c r="R252" s="319"/>
      <c r="S252" s="319"/>
      <c r="T252" s="319"/>
      <c r="U252" s="319"/>
      <c r="V252" s="319"/>
      <c r="W252" s="319"/>
      <c r="X252" s="320"/>
      <c r="Y252" s="319"/>
      <c r="Z252" s="319"/>
      <c r="AA252" s="319"/>
    </row>
    <row r="253" spans="1:50" ht="30">
      <c r="A253" s="1"/>
      <c r="B253" s="321"/>
      <c r="C253" s="322"/>
      <c r="D253" s="322"/>
      <c r="E253" s="322"/>
      <c r="F253" s="322"/>
      <c r="G253" s="322"/>
      <c r="H253" s="322"/>
      <c r="I253" s="322"/>
      <c r="J253" s="321"/>
      <c r="K253" s="337" t="s">
        <v>739</v>
      </c>
      <c r="L253" s="628"/>
      <c r="N253" s="323"/>
      <c r="O253" s="323"/>
      <c r="P253" s="323"/>
      <c r="Q253" s="323"/>
      <c r="R253" s="360"/>
      <c r="S253" s="323"/>
      <c r="T253" s="323"/>
      <c r="U253" s="323"/>
      <c r="V253" s="323"/>
      <c r="W253" s="323"/>
      <c r="X253" s="324"/>
      <c r="Y253" s="323"/>
      <c r="Z253" s="323"/>
      <c r="AA253" s="323"/>
    </row>
    <row r="254" spans="1:50" ht="30">
      <c r="A254" s="325"/>
      <c r="B254" s="308"/>
      <c r="C254" s="308"/>
      <c r="D254" s="308"/>
      <c r="E254" s="308"/>
      <c r="F254" s="308"/>
      <c r="G254" s="308"/>
      <c r="H254" s="308"/>
      <c r="I254" s="308"/>
      <c r="J254" s="336"/>
      <c r="K254" s="308"/>
      <c r="L254" s="628"/>
      <c r="N254" s="309"/>
      <c r="O254" s="309"/>
      <c r="P254" s="630"/>
      <c r="Q254" s="630"/>
      <c r="R254" s="334"/>
      <c r="S254" s="334"/>
      <c r="T254" s="629"/>
      <c r="U254" s="329"/>
      <c r="V254" s="329"/>
      <c r="W254" s="329"/>
      <c r="X254" s="329"/>
    </row>
    <row r="255" spans="1:50" ht="16.5">
      <c r="L255" s="628"/>
      <c r="M255" s="628"/>
    </row>
    <row r="256" spans="1:50" ht="16.5">
      <c r="L256" s="628"/>
      <c r="M256" s="628"/>
    </row>
    <row r="257" spans="12:12" ht="16.5">
      <c r="L257" s="628"/>
    </row>
    <row r="258" spans="12:12" ht="16.5">
      <c r="L258" s="628"/>
    </row>
    <row r="259" spans="12:12" ht="16.5">
      <c r="L259" s="628"/>
    </row>
  </sheetData>
  <sheetProtection selectLockedCells="1" selectUnlockedCells="1"/>
  <autoFilter ref="A6:AA247" xr:uid="{00000000-0009-0000-0000-000002000000}"/>
  <mergeCells count="14">
    <mergeCell ref="B5:H5"/>
    <mergeCell ref="I5:I6"/>
    <mergeCell ref="J5:J6"/>
    <mergeCell ref="K5:K6"/>
    <mergeCell ref="L5:L6"/>
    <mergeCell ref="R5:R6"/>
    <mergeCell ref="S5:U5"/>
    <mergeCell ref="V5:X5"/>
    <mergeCell ref="Y5:AA5"/>
    <mergeCell ref="L2:AA2"/>
    <mergeCell ref="L3:AA3"/>
    <mergeCell ref="M5:N5"/>
    <mergeCell ref="O5:P5"/>
    <mergeCell ref="Q5:Q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C0E0-A665-4B7B-AFB4-1000DC674FD1}">
  <sheetPr>
    <tabColor theme="7" tint="0.59999389629810485"/>
    <pageSetUpPr fitToPage="1"/>
  </sheetPr>
  <dimension ref="A1:AR253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4.5703125" style="9" customWidth="1" outlineLevel="1"/>
    <col min="3" max="3" width="6" style="9" customWidth="1" outlineLevel="1"/>
    <col min="4" max="4" width="7.85546875" style="9" customWidth="1" outlineLevel="1"/>
    <col min="5" max="6" width="5.85546875" style="9" customWidth="1" outlineLevel="1"/>
    <col min="7" max="7" width="8" style="9" customWidth="1" outlineLevel="1"/>
    <col min="8" max="8" width="5.42578125" style="9" customWidth="1" outlineLevel="1"/>
    <col min="9" max="9" width="3.85546875" style="9" customWidth="1"/>
    <col min="10" max="10" width="6.28515625" style="111" customWidth="1"/>
    <col min="11" max="11" width="73.140625" style="9" customWidth="1"/>
    <col min="12" max="12" width="23.7109375" style="13" bestFit="1" customWidth="1"/>
    <col min="13" max="13" width="19.5703125" style="13" bestFit="1" customWidth="1"/>
    <col min="14" max="14" width="12.85546875" style="13" customWidth="1"/>
    <col min="15" max="15" width="19.5703125" style="13" bestFit="1" customWidth="1"/>
    <col min="16" max="16" width="12.5703125" style="13" customWidth="1"/>
    <col min="17" max="17" width="19.5703125" style="13" customWidth="1"/>
    <col min="18" max="18" width="12.140625" style="13" customWidth="1"/>
    <col min="19" max="19" width="11.42578125" style="13"/>
    <col min="20" max="20" width="13.85546875" style="13" customWidth="1"/>
    <col min="21" max="16384" width="11.42578125" style="13"/>
  </cols>
  <sheetData>
    <row r="1" spans="1:18" s="8" customFormat="1">
      <c r="A1" s="1"/>
      <c r="B1" s="3"/>
      <c r="C1" s="3"/>
      <c r="D1" s="3"/>
      <c r="E1" s="3"/>
      <c r="F1" s="3"/>
      <c r="G1" s="3"/>
      <c r="H1" s="3"/>
      <c r="I1" s="3"/>
      <c r="J1" s="4"/>
      <c r="K1" s="3"/>
      <c r="L1" s="6"/>
      <c r="M1" s="5">
        <v>13</v>
      </c>
      <c r="N1" s="7"/>
      <c r="O1" s="5">
        <v>14</v>
      </c>
      <c r="P1" s="7"/>
      <c r="Q1" s="5">
        <v>16</v>
      </c>
      <c r="R1" s="7"/>
    </row>
    <row r="2" spans="1:18" ht="30">
      <c r="A2" s="1"/>
      <c r="C2" s="10"/>
      <c r="D2" s="10"/>
      <c r="E2" s="10"/>
      <c r="F2" s="10"/>
      <c r="G2" s="10"/>
      <c r="H2" s="10"/>
      <c r="I2" s="10"/>
      <c r="J2" s="12"/>
      <c r="K2" s="10"/>
      <c r="L2" s="305" t="s">
        <v>0</v>
      </c>
      <c r="M2" s="305"/>
      <c r="N2" s="305"/>
      <c r="O2" s="305"/>
      <c r="P2" s="305"/>
      <c r="Q2" s="305"/>
      <c r="R2" s="305"/>
    </row>
    <row r="3" spans="1:18" ht="25.5">
      <c r="A3" s="1"/>
      <c r="C3" s="14"/>
      <c r="D3" s="14"/>
      <c r="E3" s="14"/>
      <c r="F3" s="14"/>
      <c r="G3" s="14"/>
      <c r="H3" s="14"/>
      <c r="I3" s="14"/>
      <c r="J3" s="16"/>
      <c r="K3" s="14"/>
      <c r="L3" s="304" t="s">
        <v>814</v>
      </c>
      <c r="M3" s="304"/>
      <c r="N3" s="304"/>
      <c r="O3" s="304"/>
      <c r="P3" s="304"/>
      <c r="Q3" s="304"/>
      <c r="R3" s="304"/>
    </row>
    <row r="4" spans="1:18" ht="24.75" customHeight="1">
      <c r="A4" s="1"/>
      <c r="B4" s="17"/>
      <c r="C4" s="17"/>
      <c r="D4" s="17"/>
      <c r="E4" s="17"/>
      <c r="F4" s="17"/>
      <c r="G4" s="17"/>
      <c r="H4" s="18"/>
      <c r="I4" s="18"/>
      <c r="J4" s="19"/>
      <c r="K4" s="18"/>
      <c r="L4" s="20"/>
      <c r="M4" s="20"/>
      <c r="N4" s="21"/>
      <c r="O4" s="20"/>
      <c r="P4" s="21"/>
      <c r="Q4" s="20"/>
      <c r="R4" s="21"/>
    </row>
    <row r="5" spans="1:18" s="25" customFormat="1" ht="27" customHeight="1">
      <c r="A5" s="22"/>
      <c r="B5" s="814" t="s">
        <v>2</v>
      </c>
      <c r="C5" s="814"/>
      <c r="D5" s="814"/>
      <c r="E5" s="814"/>
      <c r="F5" s="814"/>
      <c r="G5" s="814"/>
      <c r="H5" s="814"/>
      <c r="I5" s="815" t="s">
        <v>3</v>
      </c>
      <c r="J5" s="822" t="s">
        <v>4</v>
      </c>
      <c r="K5" s="816" t="s">
        <v>5</v>
      </c>
      <c r="L5" s="804" t="s">
        <v>6</v>
      </c>
      <c r="M5" s="806" t="s">
        <v>7</v>
      </c>
      <c r="N5" s="808"/>
      <c r="O5" s="809" t="s">
        <v>8</v>
      </c>
      <c r="P5" s="811"/>
      <c r="Q5" s="806" t="s">
        <v>9</v>
      </c>
      <c r="R5" s="808"/>
    </row>
    <row r="6" spans="1:18" s="25" customFormat="1" ht="48.75" customHeight="1">
      <c r="A6" s="22"/>
      <c r="B6" s="113" t="s">
        <v>10</v>
      </c>
      <c r="C6" s="113" t="s">
        <v>11</v>
      </c>
      <c r="D6" s="113" t="s">
        <v>12</v>
      </c>
      <c r="E6" s="113" t="s">
        <v>13</v>
      </c>
      <c r="F6" s="113" t="s">
        <v>14</v>
      </c>
      <c r="G6" s="113" t="s">
        <v>15</v>
      </c>
      <c r="H6" s="113" t="s">
        <v>16</v>
      </c>
      <c r="I6" s="815"/>
      <c r="J6" s="822" t="s">
        <v>17</v>
      </c>
      <c r="K6" s="817"/>
      <c r="L6" s="805" t="s">
        <v>6</v>
      </c>
      <c r="M6" s="112" t="s">
        <v>18</v>
      </c>
      <c r="N6" s="115" t="s">
        <v>19</v>
      </c>
      <c r="O6" s="112" t="s">
        <v>18</v>
      </c>
      <c r="P6" s="116" t="s">
        <v>813</v>
      </c>
      <c r="Q6" s="114" t="s">
        <v>18</v>
      </c>
      <c r="R6" s="116" t="s">
        <v>20</v>
      </c>
    </row>
    <row r="7" spans="1:18" ht="35.1" customHeight="1">
      <c r="A7" s="32" t="e">
        <v>#REF!</v>
      </c>
      <c r="B7" s="118" t="s">
        <v>23</v>
      </c>
      <c r="C7" s="119"/>
      <c r="D7" s="119"/>
      <c r="E7" s="119"/>
      <c r="F7" s="119"/>
      <c r="G7" s="119"/>
      <c r="H7" s="119"/>
      <c r="I7" s="119"/>
      <c r="J7" s="119"/>
      <c r="K7" s="119" t="s">
        <v>24</v>
      </c>
      <c r="L7" s="120">
        <v>4951015613752</v>
      </c>
      <c r="M7" s="120">
        <v>4770263894454.5801</v>
      </c>
      <c r="N7" s="121">
        <f>+M7/$L7</f>
        <v>0.96349199166422306</v>
      </c>
      <c r="O7" s="120">
        <v>4609676816089.1602</v>
      </c>
      <c r="P7" s="121">
        <f>+O7/$L7</f>
        <v>0.93105681252251904</v>
      </c>
      <c r="Q7" s="120">
        <v>4609290334148.1602</v>
      </c>
      <c r="R7" s="121">
        <f>+Q7/$L7</f>
        <v>0.93097875137887676</v>
      </c>
    </row>
    <row r="8" spans="1:18" ht="24" customHeight="1">
      <c r="A8" s="32" t="e">
        <v>#REF!</v>
      </c>
      <c r="B8" s="123" t="s">
        <v>23</v>
      </c>
      <c r="C8" s="123" t="s">
        <v>25</v>
      </c>
      <c r="D8" s="123"/>
      <c r="E8" s="123"/>
      <c r="F8" s="123"/>
      <c r="G8" s="123"/>
      <c r="H8" s="123"/>
      <c r="I8" s="124"/>
      <c r="J8" s="124"/>
      <c r="K8" s="124" t="s">
        <v>26</v>
      </c>
      <c r="L8" s="125">
        <v>105148000000</v>
      </c>
      <c r="M8" s="125">
        <v>73089043399</v>
      </c>
      <c r="N8" s="126">
        <f t="shared" ref="N8:P71" si="0">+M8/$L8</f>
        <v>0.69510635864685966</v>
      </c>
      <c r="O8" s="125">
        <v>70887277501</v>
      </c>
      <c r="P8" s="126">
        <f t="shared" si="0"/>
        <v>0.67416667460151403</v>
      </c>
      <c r="Q8" s="125">
        <v>70887277501</v>
      </c>
      <c r="R8" s="126">
        <f t="shared" ref="R8" si="1">+Q8/$L8</f>
        <v>0.67416667460151403</v>
      </c>
    </row>
    <row r="9" spans="1:18" ht="24" customHeight="1">
      <c r="A9" s="32" t="e">
        <v>#REF!</v>
      </c>
      <c r="B9" s="128" t="s">
        <v>23</v>
      </c>
      <c r="C9" s="128" t="s">
        <v>25</v>
      </c>
      <c r="D9" s="128" t="s">
        <v>25</v>
      </c>
      <c r="E9" s="128"/>
      <c r="F9" s="128"/>
      <c r="G9" s="128"/>
      <c r="H9" s="128"/>
      <c r="I9" s="129"/>
      <c r="J9" s="129"/>
      <c r="K9" s="129" t="s">
        <v>27</v>
      </c>
      <c r="L9" s="130">
        <v>105148000000</v>
      </c>
      <c r="M9" s="130">
        <v>73089043399</v>
      </c>
      <c r="N9" s="131">
        <f t="shared" si="0"/>
        <v>0.69510635864685966</v>
      </c>
      <c r="O9" s="130">
        <v>70887277501</v>
      </c>
      <c r="P9" s="131">
        <f t="shared" si="0"/>
        <v>0.67416667460151403</v>
      </c>
      <c r="Q9" s="130">
        <v>70887277501</v>
      </c>
      <c r="R9" s="131">
        <f t="shared" ref="R9" si="2">+Q9/$L9</f>
        <v>0.67416667460151403</v>
      </c>
    </row>
    <row r="10" spans="1:18" ht="24" customHeight="1">
      <c r="A10" s="32" t="e">
        <v>#REF!</v>
      </c>
      <c r="B10" s="133" t="s">
        <v>23</v>
      </c>
      <c r="C10" s="133" t="s">
        <v>25</v>
      </c>
      <c r="D10" s="133" t="s">
        <v>25</v>
      </c>
      <c r="E10" s="133" t="s">
        <v>25</v>
      </c>
      <c r="F10" s="133"/>
      <c r="G10" s="133"/>
      <c r="H10" s="133"/>
      <c r="I10" s="133" t="s">
        <v>28</v>
      </c>
      <c r="J10" s="134" t="s">
        <v>29</v>
      </c>
      <c r="K10" s="134" t="s">
        <v>30</v>
      </c>
      <c r="L10" s="135">
        <v>69237000000</v>
      </c>
      <c r="M10" s="135">
        <v>47352534302</v>
      </c>
      <c r="N10" s="137">
        <f t="shared" si="0"/>
        <v>0.68391949827404419</v>
      </c>
      <c r="O10" s="135">
        <v>47344816398</v>
      </c>
      <c r="P10" s="137">
        <f t="shared" si="0"/>
        <v>0.683808027470861</v>
      </c>
      <c r="Q10" s="135">
        <v>47344816398</v>
      </c>
      <c r="R10" s="137">
        <f t="shared" ref="R10" si="3">+Q10/$L10</f>
        <v>0.683808027470861</v>
      </c>
    </row>
    <row r="11" spans="1:18" ht="24.95" customHeight="1">
      <c r="A11" s="32" t="e">
        <v>#REF!</v>
      </c>
      <c r="B11" s="139" t="s">
        <v>23</v>
      </c>
      <c r="C11" s="139" t="s">
        <v>25</v>
      </c>
      <c r="D11" s="139" t="s">
        <v>25</v>
      </c>
      <c r="E11" s="139" t="s">
        <v>25</v>
      </c>
      <c r="F11" s="139" t="s">
        <v>31</v>
      </c>
      <c r="G11" s="139"/>
      <c r="H11" s="139"/>
      <c r="I11" s="139" t="s">
        <v>28</v>
      </c>
      <c r="J11" s="140" t="s">
        <v>29</v>
      </c>
      <c r="K11" s="140" t="s">
        <v>32</v>
      </c>
      <c r="L11" s="141">
        <v>69237000000</v>
      </c>
      <c r="M11" s="141">
        <v>47352534302</v>
      </c>
      <c r="N11" s="143">
        <f t="shared" si="0"/>
        <v>0.68391949827404419</v>
      </c>
      <c r="O11" s="141">
        <v>47344816398</v>
      </c>
      <c r="P11" s="143">
        <f t="shared" si="0"/>
        <v>0.683808027470861</v>
      </c>
      <c r="Q11" s="141">
        <v>47344816398</v>
      </c>
      <c r="R11" s="143">
        <f t="shared" ref="R11" si="4">+Q11/$L11</f>
        <v>0.683808027470861</v>
      </c>
    </row>
    <row r="12" spans="1:18" ht="24.95" customHeight="1">
      <c r="A12" s="32" t="e">
        <v>#REF!</v>
      </c>
      <c r="B12" s="145" t="s">
        <v>23</v>
      </c>
      <c r="C12" s="145" t="s">
        <v>25</v>
      </c>
      <c r="D12" s="145" t="s">
        <v>25</v>
      </c>
      <c r="E12" s="145" t="s">
        <v>25</v>
      </c>
      <c r="F12" s="145" t="s">
        <v>31</v>
      </c>
      <c r="G12" s="145" t="s">
        <v>31</v>
      </c>
      <c r="H12" s="145"/>
      <c r="I12" s="145" t="s">
        <v>28</v>
      </c>
      <c r="J12" s="146" t="s">
        <v>29</v>
      </c>
      <c r="K12" s="147" t="s">
        <v>33</v>
      </c>
      <c r="L12" s="148">
        <v>57000000000</v>
      </c>
      <c r="M12" s="148">
        <v>40905778139</v>
      </c>
      <c r="N12" s="150">
        <f t="shared" si="0"/>
        <v>0.71764523050877194</v>
      </c>
      <c r="O12" s="148">
        <v>40898392703</v>
      </c>
      <c r="P12" s="150">
        <f t="shared" si="0"/>
        <v>0.71751566145614032</v>
      </c>
      <c r="Q12" s="148">
        <v>40898392703</v>
      </c>
      <c r="R12" s="150">
        <f t="shared" ref="R12" si="5">+Q12/$L12</f>
        <v>0.71751566145614032</v>
      </c>
    </row>
    <row r="13" spans="1:18" ht="24.95" customHeight="1">
      <c r="A13" s="32" t="e">
        <v>#REF!</v>
      </c>
      <c r="B13" s="145" t="s">
        <v>23</v>
      </c>
      <c r="C13" s="145" t="s">
        <v>25</v>
      </c>
      <c r="D13" s="145" t="s">
        <v>25</v>
      </c>
      <c r="E13" s="145" t="s">
        <v>25</v>
      </c>
      <c r="F13" s="145" t="s">
        <v>31</v>
      </c>
      <c r="G13" s="145" t="s">
        <v>34</v>
      </c>
      <c r="H13" s="145"/>
      <c r="I13" s="145" t="s">
        <v>28</v>
      </c>
      <c r="J13" s="146" t="s">
        <v>29</v>
      </c>
      <c r="K13" s="147" t="s">
        <v>35</v>
      </c>
      <c r="L13" s="148">
        <v>251000000</v>
      </c>
      <c r="M13" s="148">
        <v>170308577</v>
      </c>
      <c r="N13" s="150">
        <f t="shared" si="0"/>
        <v>0.67852022709163351</v>
      </c>
      <c r="O13" s="148">
        <v>170308577</v>
      </c>
      <c r="P13" s="150">
        <f t="shared" si="0"/>
        <v>0.67852022709163351</v>
      </c>
      <c r="Q13" s="148">
        <v>170308577</v>
      </c>
      <c r="R13" s="150">
        <f t="shared" ref="R13" si="6">+Q13/$L13</f>
        <v>0.67852022709163351</v>
      </c>
    </row>
    <row r="14" spans="1:18" ht="24.95" customHeight="1">
      <c r="A14" s="32" t="e">
        <v>#REF!</v>
      </c>
      <c r="B14" s="145" t="s">
        <v>23</v>
      </c>
      <c r="C14" s="145" t="s">
        <v>25</v>
      </c>
      <c r="D14" s="145" t="s">
        <v>25</v>
      </c>
      <c r="E14" s="145" t="s">
        <v>25</v>
      </c>
      <c r="F14" s="145" t="s">
        <v>31</v>
      </c>
      <c r="G14" s="145" t="s">
        <v>36</v>
      </c>
      <c r="H14" s="145"/>
      <c r="I14" s="145" t="s">
        <v>28</v>
      </c>
      <c r="J14" s="146" t="s">
        <v>29</v>
      </c>
      <c r="K14" s="147" t="s">
        <v>37</v>
      </c>
      <c r="L14" s="148">
        <v>570000000</v>
      </c>
      <c r="M14" s="148">
        <v>398802106</v>
      </c>
      <c r="N14" s="150">
        <f t="shared" si="0"/>
        <v>0.69965281754385966</v>
      </c>
      <c r="O14" s="148">
        <v>398802106</v>
      </c>
      <c r="P14" s="150">
        <f t="shared" si="0"/>
        <v>0.69965281754385966</v>
      </c>
      <c r="Q14" s="148">
        <v>398802106</v>
      </c>
      <c r="R14" s="150">
        <f t="shared" ref="R14" si="7">+Q14/$L14</f>
        <v>0.69965281754385966</v>
      </c>
    </row>
    <row r="15" spans="1:18" ht="24.95" customHeight="1">
      <c r="A15" s="32" t="e">
        <v>#REF!</v>
      </c>
      <c r="B15" s="145" t="s">
        <v>23</v>
      </c>
      <c r="C15" s="145" t="s">
        <v>25</v>
      </c>
      <c r="D15" s="145" t="s">
        <v>25</v>
      </c>
      <c r="E15" s="145" t="s">
        <v>25</v>
      </c>
      <c r="F15" s="145" t="s">
        <v>31</v>
      </c>
      <c r="G15" s="145" t="s">
        <v>38</v>
      </c>
      <c r="H15" s="145"/>
      <c r="I15" s="145" t="s">
        <v>28</v>
      </c>
      <c r="J15" s="146" t="s">
        <v>29</v>
      </c>
      <c r="K15" s="147" t="s">
        <v>39</v>
      </c>
      <c r="L15" s="148">
        <v>96000000</v>
      </c>
      <c r="M15" s="148">
        <v>68225394</v>
      </c>
      <c r="N15" s="150">
        <f t="shared" si="0"/>
        <v>0.71068118749999998</v>
      </c>
      <c r="O15" s="148">
        <v>68141670</v>
      </c>
      <c r="P15" s="150">
        <f t="shared" si="0"/>
        <v>0.70980906249999998</v>
      </c>
      <c r="Q15" s="148">
        <v>68141670</v>
      </c>
      <c r="R15" s="150">
        <f t="shared" ref="R15" si="8">+Q15/$L15</f>
        <v>0.70980906249999998</v>
      </c>
    </row>
    <row r="16" spans="1:18" ht="24.95" customHeight="1">
      <c r="A16" s="32" t="e">
        <v>#REF!</v>
      </c>
      <c r="B16" s="145" t="s">
        <v>23</v>
      </c>
      <c r="C16" s="145" t="s">
        <v>25</v>
      </c>
      <c r="D16" s="145" t="s">
        <v>25</v>
      </c>
      <c r="E16" s="145" t="s">
        <v>25</v>
      </c>
      <c r="F16" s="145" t="s">
        <v>31</v>
      </c>
      <c r="G16" s="145" t="s">
        <v>40</v>
      </c>
      <c r="H16" s="145"/>
      <c r="I16" s="145" t="s">
        <v>28</v>
      </c>
      <c r="J16" s="146" t="s">
        <v>29</v>
      </c>
      <c r="K16" s="147" t="s">
        <v>41</v>
      </c>
      <c r="L16" s="148">
        <v>100000000</v>
      </c>
      <c r="M16" s="148">
        <v>76377203</v>
      </c>
      <c r="N16" s="150">
        <f t="shared" si="0"/>
        <v>0.76377203000000005</v>
      </c>
      <c r="O16" s="148">
        <v>76270749</v>
      </c>
      <c r="P16" s="150">
        <f t="shared" si="0"/>
        <v>0.76270749000000004</v>
      </c>
      <c r="Q16" s="148">
        <v>76270749</v>
      </c>
      <c r="R16" s="150">
        <f t="shared" ref="R16" si="9">+Q16/$L16</f>
        <v>0.76270749000000004</v>
      </c>
    </row>
    <row r="17" spans="1:44" ht="24.95" customHeight="1">
      <c r="A17" s="32" t="e">
        <v>#REF!</v>
      </c>
      <c r="B17" s="145" t="s">
        <v>23</v>
      </c>
      <c r="C17" s="145" t="s">
        <v>25</v>
      </c>
      <c r="D17" s="145" t="s">
        <v>25</v>
      </c>
      <c r="E17" s="145" t="s">
        <v>25</v>
      </c>
      <c r="F17" s="145" t="s">
        <v>31</v>
      </c>
      <c r="G17" s="145" t="s">
        <v>42</v>
      </c>
      <c r="H17" s="145"/>
      <c r="I17" s="145" t="s">
        <v>28</v>
      </c>
      <c r="J17" s="146" t="s">
        <v>29</v>
      </c>
      <c r="K17" s="147" t="s">
        <v>43</v>
      </c>
      <c r="L17" s="148">
        <v>2548300000</v>
      </c>
      <c r="M17" s="148">
        <v>2542481515</v>
      </c>
      <c r="N17" s="150">
        <f t="shared" si="0"/>
        <v>0.99771671898913006</v>
      </c>
      <c r="O17" s="148">
        <v>2542434374</v>
      </c>
      <c r="P17" s="150">
        <f t="shared" si="0"/>
        <v>0.99769821998979713</v>
      </c>
      <c r="Q17" s="148">
        <v>2542434374</v>
      </c>
      <c r="R17" s="150">
        <f t="shared" ref="R17" si="10">+Q17/$L17</f>
        <v>0.99769821998979713</v>
      </c>
    </row>
    <row r="18" spans="1:44" ht="24.95" customHeight="1">
      <c r="A18" s="32" t="e">
        <v>#REF!</v>
      </c>
      <c r="B18" s="145" t="s">
        <v>23</v>
      </c>
      <c r="C18" s="145" t="s">
        <v>25</v>
      </c>
      <c r="D18" s="145" t="s">
        <v>25</v>
      </c>
      <c r="E18" s="145" t="s">
        <v>25</v>
      </c>
      <c r="F18" s="145" t="s">
        <v>31</v>
      </c>
      <c r="G18" s="145" t="s">
        <v>44</v>
      </c>
      <c r="H18" s="145"/>
      <c r="I18" s="145" t="s">
        <v>28</v>
      </c>
      <c r="J18" s="146" t="s">
        <v>29</v>
      </c>
      <c r="K18" s="147" t="s">
        <v>45</v>
      </c>
      <c r="L18" s="148">
        <v>1757500000</v>
      </c>
      <c r="M18" s="148">
        <v>1337192550</v>
      </c>
      <c r="N18" s="150">
        <f t="shared" si="0"/>
        <v>0.76084924608819349</v>
      </c>
      <c r="O18" s="148">
        <v>1337192550</v>
      </c>
      <c r="P18" s="150">
        <f t="shared" si="0"/>
        <v>0.76084924608819349</v>
      </c>
      <c r="Q18" s="148">
        <v>1337192550</v>
      </c>
      <c r="R18" s="150">
        <f t="shared" ref="R18" si="11">+Q18/$L18</f>
        <v>0.76084924608819349</v>
      </c>
    </row>
    <row r="19" spans="1:44" ht="24.95" customHeight="1">
      <c r="A19" s="32" t="e">
        <v>#REF!</v>
      </c>
      <c r="B19" s="145" t="s">
        <v>23</v>
      </c>
      <c r="C19" s="145" t="s">
        <v>25</v>
      </c>
      <c r="D19" s="145" t="s">
        <v>25</v>
      </c>
      <c r="E19" s="145" t="s">
        <v>25</v>
      </c>
      <c r="F19" s="145" t="s">
        <v>31</v>
      </c>
      <c r="G19" s="145" t="s">
        <v>46</v>
      </c>
      <c r="H19" s="145"/>
      <c r="I19" s="145" t="s">
        <v>28</v>
      </c>
      <c r="J19" s="146" t="s">
        <v>29</v>
      </c>
      <c r="K19" s="147" t="s">
        <v>47</v>
      </c>
      <c r="L19" s="148">
        <v>150000000</v>
      </c>
      <c r="M19" s="148">
        <v>63778935</v>
      </c>
      <c r="N19" s="150">
        <f t="shared" si="0"/>
        <v>0.42519289999999998</v>
      </c>
      <c r="O19" s="148">
        <v>63778935</v>
      </c>
      <c r="P19" s="150">
        <f t="shared" si="0"/>
        <v>0.42519289999999998</v>
      </c>
      <c r="Q19" s="148">
        <v>63778935</v>
      </c>
      <c r="R19" s="150">
        <f t="shared" ref="R19" si="12">+Q19/$L19</f>
        <v>0.42519289999999998</v>
      </c>
    </row>
    <row r="20" spans="1:44" ht="24.95" customHeight="1">
      <c r="A20" s="32" t="e">
        <v>#REF!</v>
      </c>
      <c r="B20" s="145" t="s">
        <v>23</v>
      </c>
      <c r="C20" s="145" t="s">
        <v>25</v>
      </c>
      <c r="D20" s="145" t="s">
        <v>25</v>
      </c>
      <c r="E20" s="145" t="s">
        <v>25</v>
      </c>
      <c r="F20" s="145" t="s">
        <v>31</v>
      </c>
      <c r="G20" s="145" t="s">
        <v>48</v>
      </c>
      <c r="H20" s="145"/>
      <c r="I20" s="145" t="s">
        <v>28</v>
      </c>
      <c r="J20" s="146" t="s">
        <v>29</v>
      </c>
      <c r="K20" s="147" t="s">
        <v>49</v>
      </c>
      <c r="L20" s="148">
        <v>4355500000</v>
      </c>
      <c r="M20" s="148">
        <v>47068489</v>
      </c>
      <c r="N20" s="150">
        <f t="shared" si="0"/>
        <v>1.0806678682126047E-2</v>
      </c>
      <c r="O20" s="148">
        <v>47068489</v>
      </c>
      <c r="P20" s="150">
        <f t="shared" si="0"/>
        <v>1.0806678682126047E-2</v>
      </c>
      <c r="Q20" s="148">
        <v>47068489</v>
      </c>
      <c r="R20" s="150">
        <f t="shared" ref="R20" si="13">+Q20/$L20</f>
        <v>1.0806678682126047E-2</v>
      </c>
    </row>
    <row r="21" spans="1:44" ht="24.95" customHeight="1">
      <c r="A21" s="32" t="e">
        <v>#REF!</v>
      </c>
      <c r="B21" s="145" t="s">
        <v>23</v>
      </c>
      <c r="C21" s="145" t="s">
        <v>25</v>
      </c>
      <c r="D21" s="145" t="s">
        <v>25</v>
      </c>
      <c r="E21" s="145" t="s">
        <v>25</v>
      </c>
      <c r="F21" s="145" t="s">
        <v>31</v>
      </c>
      <c r="G21" s="145" t="s">
        <v>50</v>
      </c>
      <c r="H21" s="145"/>
      <c r="I21" s="145" t="s">
        <v>28</v>
      </c>
      <c r="J21" s="146" t="s">
        <v>29</v>
      </c>
      <c r="K21" s="147" t="s">
        <v>51</v>
      </c>
      <c r="L21" s="148">
        <v>2376700000</v>
      </c>
      <c r="M21" s="148">
        <v>1720708966</v>
      </c>
      <c r="N21" s="150">
        <f t="shared" si="0"/>
        <v>0.72399081331257631</v>
      </c>
      <c r="O21" s="148">
        <v>1720642205</v>
      </c>
      <c r="P21" s="150">
        <f t="shared" si="0"/>
        <v>0.7239627235242142</v>
      </c>
      <c r="Q21" s="148">
        <v>1720642205</v>
      </c>
      <c r="R21" s="150">
        <f t="shared" ref="R21" si="14">+Q21/$L21</f>
        <v>0.7239627235242142</v>
      </c>
    </row>
    <row r="22" spans="1:44" s="64" customFormat="1" ht="24.95" customHeight="1">
      <c r="A22" s="32" t="e">
        <v>#REF!</v>
      </c>
      <c r="B22" s="145" t="s">
        <v>23</v>
      </c>
      <c r="C22" s="145" t="s">
        <v>25</v>
      </c>
      <c r="D22" s="145" t="s">
        <v>25</v>
      </c>
      <c r="E22" s="145" t="s">
        <v>25</v>
      </c>
      <c r="F22" s="145" t="s">
        <v>31</v>
      </c>
      <c r="G22" s="151" t="s">
        <v>52</v>
      </c>
      <c r="H22" s="145"/>
      <c r="I22" s="145" t="s">
        <v>28</v>
      </c>
      <c r="J22" s="146" t="s">
        <v>29</v>
      </c>
      <c r="K22" s="147" t="s">
        <v>53</v>
      </c>
      <c r="L22" s="148">
        <v>32000000</v>
      </c>
      <c r="M22" s="148">
        <v>21812428</v>
      </c>
      <c r="N22" s="150">
        <f t="shared" si="0"/>
        <v>0.68163837500000002</v>
      </c>
      <c r="O22" s="148">
        <v>21784040</v>
      </c>
      <c r="P22" s="150">
        <f t="shared" si="0"/>
        <v>0.68075125000000003</v>
      </c>
      <c r="Q22" s="148">
        <v>21784040</v>
      </c>
      <c r="R22" s="150">
        <f t="shared" ref="R22" si="15">+Q22/$L22</f>
        <v>0.68075125000000003</v>
      </c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pans="1:44" ht="24.95" customHeight="1">
      <c r="A23" s="32" t="e">
        <v>#REF!</v>
      </c>
      <c r="B23" s="133" t="s">
        <v>23</v>
      </c>
      <c r="C23" s="133" t="s">
        <v>25</v>
      </c>
      <c r="D23" s="133" t="s">
        <v>25</v>
      </c>
      <c r="E23" s="133" t="s">
        <v>54</v>
      </c>
      <c r="F23" s="134"/>
      <c r="G23" s="134"/>
      <c r="H23" s="134"/>
      <c r="I23" s="133" t="s">
        <v>28</v>
      </c>
      <c r="J23" s="134" t="s">
        <v>29</v>
      </c>
      <c r="K23" s="134" t="s">
        <v>55</v>
      </c>
      <c r="L23" s="135">
        <v>28758000000</v>
      </c>
      <c r="M23" s="135">
        <v>20193436700</v>
      </c>
      <c r="N23" s="137">
        <f t="shared" si="0"/>
        <v>0.70218501634327835</v>
      </c>
      <c r="O23" s="135">
        <v>18002373956</v>
      </c>
      <c r="P23" s="137">
        <f t="shared" si="0"/>
        <v>0.62599533889700254</v>
      </c>
      <c r="Q23" s="135">
        <v>18002373956</v>
      </c>
      <c r="R23" s="137">
        <f t="shared" ref="R23" si="16">+Q23/$L23</f>
        <v>0.62599533889700254</v>
      </c>
    </row>
    <row r="24" spans="1:44" ht="24.95" customHeight="1">
      <c r="A24" s="32" t="e">
        <v>#REF!</v>
      </c>
      <c r="B24" s="145" t="s">
        <v>23</v>
      </c>
      <c r="C24" s="145" t="s">
        <v>25</v>
      </c>
      <c r="D24" s="145" t="s">
        <v>25</v>
      </c>
      <c r="E24" s="145" t="s">
        <v>54</v>
      </c>
      <c r="F24" s="145" t="s">
        <v>31</v>
      </c>
      <c r="G24" s="145"/>
      <c r="H24" s="145"/>
      <c r="I24" s="145" t="s">
        <v>28</v>
      </c>
      <c r="J24" s="146" t="s">
        <v>29</v>
      </c>
      <c r="K24" s="147" t="s">
        <v>56</v>
      </c>
      <c r="L24" s="148">
        <v>7690200000</v>
      </c>
      <c r="M24" s="148">
        <v>5380206200</v>
      </c>
      <c r="N24" s="150">
        <f t="shared" si="0"/>
        <v>0.69961850146940263</v>
      </c>
      <c r="O24" s="148">
        <v>5380206200</v>
      </c>
      <c r="P24" s="150">
        <f t="shared" si="0"/>
        <v>0.69961850146940263</v>
      </c>
      <c r="Q24" s="148">
        <v>5380206200</v>
      </c>
      <c r="R24" s="150">
        <f t="shared" ref="R24" si="17">+Q24/$L24</f>
        <v>0.69961850146940263</v>
      </c>
    </row>
    <row r="25" spans="1:44" ht="24.95" customHeight="1">
      <c r="A25" s="32" t="e">
        <v>#REF!</v>
      </c>
      <c r="B25" s="145" t="s">
        <v>23</v>
      </c>
      <c r="C25" s="145" t="s">
        <v>25</v>
      </c>
      <c r="D25" s="145" t="s">
        <v>25</v>
      </c>
      <c r="E25" s="145" t="s">
        <v>54</v>
      </c>
      <c r="F25" s="145" t="s">
        <v>34</v>
      </c>
      <c r="G25" s="145"/>
      <c r="H25" s="145"/>
      <c r="I25" s="145" t="s">
        <v>28</v>
      </c>
      <c r="J25" s="146" t="s">
        <v>29</v>
      </c>
      <c r="K25" s="147" t="s">
        <v>57</v>
      </c>
      <c r="L25" s="148">
        <v>5447200000</v>
      </c>
      <c r="M25" s="148">
        <v>3824532800</v>
      </c>
      <c r="N25" s="150">
        <f t="shared" si="0"/>
        <v>0.70210985460420028</v>
      </c>
      <c r="O25" s="148">
        <v>3824532800</v>
      </c>
      <c r="P25" s="150">
        <f t="shared" si="0"/>
        <v>0.70210985460420028</v>
      </c>
      <c r="Q25" s="148">
        <v>3824532800</v>
      </c>
      <c r="R25" s="150">
        <f t="shared" ref="R25" si="18">+Q25/$L25</f>
        <v>0.70210985460420028</v>
      </c>
    </row>
    <row r="26" spans="1:44" ht="24.95" customHeight="1">
      <c r="A26" s="32" t="e">
        <v>#REF!</v>
      </c>
      <c r="B26" s="145" t="s">
        <v>23</v>
      </c>
      <c r="C26" s="145" t="s">
        <v>25</v>
      </c>
      <c r="D26" s="145" t="s">
        <v>25</v>
      </c>
      <c r="E26" s="145" t="s">
        <v>54</v>
      </c>
      <c r="F26" s="145" t="s">
        <v>36</v>
      </c>
      <c r="G26" s="145"/>
      <c r="H26" s="145"/>
      <c r="I26" s="145" t="s">
        <v>28</v>
      </c>
      <c r="J26" s="146" t="s">
        <v>29</v>
      </c>
      <c r="K26" s="147" t="s">
        <v>58</v>
      </c>
      <c r="L26" s="148">
        <v>8895400000</v>
      </c>
      <c r="M26" s="148">
        <v>6200000000</v>
      </c>
      <c r="N26" s="150">
        <f t="shared" si="0"/>
        <v>0.69698945522404843</v>
      </c>
      <c r="O26" s="148">
        <v>4009043456</v>
      </c>
      <c r="P26" s="150">
        <f t="shared" si="0"/>
        <v>0.45068726038177037</v>
      </c>
      <c r="Q26" s="148">
        <v>4009043456</v>
      </c>
      <c r="R26" s="150">
        <f t="shared" ref="R26" si="19">+Q26/$L26</f>
        <v>0.45068726038177037</v>
      </c>
    </row>
    <row r="27" spans="1:44" ht="24.95" customHeight="1">
      <c r="A27" s="32" t="e">
        <v>#REF!</v>
      </c>
      <c r="B27" s="145" t="s">
        <v>23</v>
      </c>
      <c r="C27" s="145" t="s">
        <v>25</v>
      </c>
      <c r="D27" s="145" t="s">
        <v>25</v>
      </c>
      <c r="E27" s="145" t="s">
        <v>54</v>
      </c>
      <c r="F27" s="145" t="s">
        <v>38</v>
      </c>
      <c r="G27" s="145"/>
      <c r="H27" s="145"/>
      <c r="I27" s="145" t="s">
        <v>28</v>
      </c>
      <c r="J27" s="146" t="s">
        <v>29</v>
      </c>
      <c r="K27" s="147" t="s">
        <v>59</v>
      </c>
      <c r="L27" s="148">
        <v>2732300000</v>
      </c>
      <c r="M27" s="148">
        <v>1952401400</v>
      </c>
      <c r="N27" s="150">
        <f t="shared" si="0"/>
        <v>0.7145633349192988</v>
      </c>
      <c r="O27" s="148">
        <v>1952401400</v>
      </c>
      <c r="P27" s="150">
        <f t="shared" si="0"/>
        <v>0.7145633349192988</v>
      </c>
      <c r="Q27" s="148">
        <v>1952401400</v>
      </c>
      <c r="R27" s="150">
        <f t="shared" ref="R27" si="20">+Q27/$L27</f>
        <v>0.7145633349192988</v>
      </c>
    </row>
    <row r="28" spans="1:44" ht="24.95" customHeight="1">
      <c r="A28" s="32" t="e">
        <v>#REF!</v>
      </c>
      <c r="B28" s="145" t="s">
        <v>23</v>
      </c>
      <c r="C28" s="145" t="s">
        <v>25</v>
      </c>
      <c r="D28" s="145" t="s">
        <v>25</v>
      </c>
      <c r="E28" s="145" t="s">
        <v>54</v>
      </c>
      <c r="F28" s="145" t="s">
        <v>40</v>
      </c>
      <c r="G28" s="145"/>
      <c r="H28" s="145"/>
      <c r="I28" s="145" t="s">
        <v>28</v>
      </c>
      <c r="J28" s="146" t="s">
        <v>29</v>
      </c>
      <c r="K28" s="147" t="s">
        <v>60</v>
      </c>
      <c r="L28" s="148">
        <v>540000000</v>
      </c>
      <c r="M28" s="148">
        <v>394195600</v>
      </c>
      <c r="N28" s="150">
        <f t="shared" si="0"/>
        <v>0.72999185185185189</v>
      </c>
      <c r="O28" s="148">
        <v>394195600</v>
      </c>
      <c r="P28" s="150">
        <f t="shared" si="0"/>
        <v>0.72999185185185189</v>
      </c>
      <c r="Q28" s="148">
        <v>394195600</v>
      </c>
      <c r="R28" s="150">
        <f t="shared" ref="R28" si="21">+Q28/$L28</f>
        <v>0.72999185185185189</v>
      </c>
    </row>
    <row r="29" spans="1:44" ht="24.95" customHeight="1">
      <c r="A29" s="32" t="e">
        <v>#REF!</v>
      </c>
      <c r="B29" s="145" t="s">
        <v>23</v>
      </c>
      <c r="C29" s="145" t="s">
        <v>25</v>
      </c>
      <c r="D29" s="145" t="s">
        <v>25</v>
      </c>
      <c r="E29" s="145" t="s">
        <v>54</v>
      </c>
      <c r="F29" s="145" t="s">
        <v>42</v>
      </c>
      <c r="G29" s="145"/>
      <c r="H29" s="145"/>
      <c r="I29" s="145" t="s">
        <v>28</v>
      </c>
      <c r="J29" s="146" t="s">
        <v>29</v>
      </c>
      <c r="K29" s="147" t="s">
        <v>61</v>
      </c>
      <c r="L29" s="148">
        <v>2071700000</v>
      </c>
      <c r="M29" s="148">
        <v>1464486600</v>
      </c>
      <c r="N29" s="150">
        <f t="shared" si="0"/>
        <v>0.70690090264034366</v>
      </c>
      <c r="O29" s="148">
        <v>1464486600</v>
      </c>
      <c r="P29" s="150">
        <f t="shared" si="0"/>
        <v>0.70690090264034366</v>
      </c>
      <c r="Q29" s="148">
        <v>1464486600</v>
      </c>
      <c r="R29" s="150">
        <f t="shared" ref="R29" si="22">+Q29/$L29</f>
        <v>0.70690090264034366</v>
      </c>
    </row>
    <row r="30" spans="1:44" ht="24.95" customHeight="1">
      <c r="A30" s="32" t="e">
        <v>#REF!</v>
      </c>
      <c r="B30" s="145" t="s">
        <v>23</v>
      </c>
      <c r="C30" s="145" t="s">
        <v>25</v>
      </c>
      <c r="D30" s="145" t="s">
        <v>25</v>
      </c>
      <c r="E30" s="145" t="s">
        <v>54</v>
      </c>
      <c r="F30" s="145" t="s">
        <v>44</v>
      </c>
      <c r="G30" s="145"/>
      <c r="H30" s="145"/>
      <c r="I30" s="145" t="s">
        <v>28</v>
      </c>
      <c r="J30" s="146" t="s">
        <v>29</v>
      </c>
      <c r="K30" s="147" t="s">
        <v>62</v>
      </c>
      <c r="L30" s="148">
        <v>345300000</v>
      </c>
      <c r="M30" s="148">
        <v>244597500</v>
      </c>
      <c r="N30" s="150">
        <f t="shared" si="0"/>
        <v>0.70836229365768899</v>
      </c>
      <c r="O30" s="148">
        <v>244491300</v>
      </c>
      <c r="P30" s="150">
        <f t="shared" si="0"/>
        <v>0.70805473501303218</v>
      </c>
      <c r="Q30" s="148">
        <v>244491300</v>
      </c>
      <c r="R30" s="150">
        <f t="shared" ref="R30" si="23">+Q30/$L30</f>
        <v>0.70805473501303218</v>
      </c>
    </row>
    <row r="31" spans="1:44" ht="24.95" customHeight="1">
      <c r="A31" s="32" t="e">
        <v>#REF!</v>
      </c>
      <c r="B31" s="145" t="s">
        <v>23</v>
      </c>
      <c r="C31" s="145" t="s">
        <v>25</v>
      </c>
      <c r="D31" s="145" t="s">
        <v>25</v>
      </c>
      <c r="E31" s="145" t="s">
        <v>54</v>
      </c>
      <c r="F31" s="145" t="s">
        <v>46</v>
      </c>
      <c r="G31" s="145"/>
      <c r="H31" s="145"/>
      <c r="I31" s="145" t="s">
        <v>28</v>
      </c>
      <c r="J31" s="146" t="s">
        <v>29</v>
      </c>
      <c r="K31" s="147" t="s">
        <v>63</v>
      </c>
      <c r="L31" s="148">
        <v>345300000</v>
      </c>
      <c r="M31" s="148">
        <v>244491300</v>
      </c>
      <c r="N31" s="150">
        <f t="shared" si="0"/>
        <v>0.70805473501303218</v>
      </c>
      <c r="O31" s="148">
        <v>244491300</v>
      </c>
      <c r="P31" s="150">
        <f t="shared" si="0"/>
        <v>0.70805473501303218</v>
      </c>
      <c r="Q31" s="148">
        <v>244491300</v>
      </c>
      <c r="R31" s="150">
        <f t="shared" ref="R31" si="24">+Q31/$L31</f>
        <v>0.70805473501303218</v>
      </c>
    </row>
    <row r="32" spans="1:44" ht="24.75" customHeight="1">
      <c r="A32" s="32" t="e">
        <v>#REF!</v>
      </c>
      <c r="B32" s="145" t="s">
        <v>23</v>
      </c>
      <c r="C32" s="145" t="s">
        <v>25</v>
      </c>
      <c r="D32" s="145" t="s">
        <v>25</v>
      </c>
      <c r="E32" s="145" t="s">
        <v>54</v>
      </c>
      <c r="F32" s="145" t="s">
        <v>48</v>
      </c>
      <c r="G32" s="145"/>
      <c r="H32" s="145"/>
      <c r="I32" s="145" t="s">
        <v>28</v>
      </c>
      <c r="J32" s="146" t="s">
        <v>29</v>
      </c>
      <c r="K32" s="147" t="s">
        <v>64</v>
      </c>
      <c r="L32" s="148">
        <v>690600000</v>
      </c>
      <c r="M32" s="148">
        <v>488525300</v>
      </c>
      <c r="N32" s="150">
        <f t="shared" si="0"/>
        <v>0.70739255719664063</v>
      </c>
      <c r="O32" s="148">
        <v>488525300</v>
      </c>
      <c r="P32" s="150">
        <f t="shared" si="0"/>
        <v>0.70739255719664063</v>
      </c>
      <c r="Q32" s="148">
        <v>488525300</v>
      </c>
      <c r="R32" s="150">
        <f t="shared" ref="R32" si="25">+Q32/$L32</f>
        <v>0.70739255719664063</v>
      </c>
    </row>
    <row r="33" spans="1:18" ht="24.95" customHeight="1">
      <c r="A33" s="32" t="e">
        <v>#REF!</v>
      </c>
      <c r="B33" s="133" t="s">
        <v>23</v>
      </c>
      <c r="C33" s="133" t="s">
        <v>25</v>
      </c>
      <c r="D33" s="133" t="s">
        <v>25</v>
      </c>
      <c r="E33" s="133" t="s">
        <v>65</v>
      </c>
      <c r="F33" s="133"/>
      <c r="G33" s="134"/>
      <c r="H33" s="134"/>
      <c r="I33" s="133" t="s">
        <v>28</v>
      </c>
      <c r="J33" s="134" t="s">
        <v>29</v>
      </c>
      <c r="K33" s="134" t="s">
        <v>66</v>
      </c>
      <c r="L33" s="135">
        <v>7153000000</v>
      </c>
      <c r="M33" s="135">
        <v>5543072397</v>
      </c>
      <c r="N33" s="137">
        <f t="shared" si="0"/>
        <v>0.77492973535579479</v>
      </c>
      <c r="O33" s="135">
        <v>5540087147</v>
      </c>
      <c r="P33" s="137">
        <f t="shared" si="0"/>
        <v>0.77451239298196561</v>
      </c>
      <c r="Q33" s="135">
        <v>5540087147</v>
      </c>
      <c r="R33" s="137">
        <f t="shared" ref="R33" si="26">+Q33/$L33</f>
        <v>0.77451239298196561</v>
      </c>
    </row>
    <row r="34" spans="1:18" ht="24.95" customHeight="1">
      <c r="A34" s="32" t="e">
        <v>#REF!</v>
      </c>
      <c r="B34" s="139" t="s">
        <v>23</v>
      </c>
      <c r="C34" s="139" t="s">
        <v>25</v>
      </c>
      <c r="D34" s="139" t="s">
        <v>25</v>
      </c>
      <c r="E34" s="139" t="s">
        <v>65</v>
      </c>
      <c r="F34" s="139" t="s">
        <v>31</v>
      </c>
      <c r="G34" s="140"/>
      <c r="H34" s="140"/>
      <c r="I34" s="139" t="s">
        <v>28</v>
      </c>
      <c r="J34" s="140" t="s">
        <v>29</v>
      </c>
      <c r="K34" s="140" t="s">
        <v>67</v>
      </c>
      <c r="L34" s="141">
        <v>3551000000</v>
      </c>
      <c r="M34" s="141">
        <v>2707251667</v>
      </c>
      <c r="N34" s="143">
        <f t="shared" si="0"/>
        <v>0.76239134525485774</v>
      </c>
      <c r="O34" s="141">
        <v>2707144849</v>
      </c>
      <c r="P34" s="143">
        <f t="shared" si="0"/>
        <v>0.76236126415094341</v>
      </c>
      <c r="Q34" s="141">
        <v>2707144849</v>
      </c>
      <c r="R34" s="143">
        <f t="shared" ref="R34" si="27">+Q34/$L34</f>
        <v>0.76236126415094341</v>
      </c>
    </row>
    <row r="35" spans="1:18" ht="24.95" customHeight="1">
      <c r="A35" s="32" t="e">
        <v>#REF!</v>
      </c>
      <c r="B35" s="145" t="s">
        <v>23</v>
      </c>
      <c r="C35" s="145" t="s">
        <v>25</v>
      </c>
      <c r="D35" s="145" t="s">
        <v>25</v>
      </c>
      <c r="E35" s="145" t="s">
        <v>65</v>
      </c>
      <c r="F35" s="145" t="s">
        <v>31</v>
      </c>
      <c r="G35" s="145" t="s">
        <v>31</v>
      </c>
      <c r="H35" s="145"/>
      <c r="I35" s="145" t="s">
        <v>28</v>
      </c>
      <c r="J35" s="146" t="s">
        <v>29</v>
      </c>
      <c r="K35" s="147" t="s">
        <v>68</v>
      </c>
      <c r="L35" s="148">
        <v>2801000000</v>
      </c>
      <c r="M35" s="148">
        <v>2238107556</v>
      </c>
      <c r="N35" s="150">
        <f t="shared" si="0"/>
        <v>0.79903875615851483</v>
      </c>
      <c r="O35" s="148">
        <v>2238009640</v>
      </c>
      <c r="P35" s="150">
        <f t="shared" si="0"/>
        <v>0.7990037986433417</v>
      </c>
      <c r="Q35" s="148">
        <v>2238009640</v>
      </c>
      <c r="R35" s="150">
        <f t="shared" ref="R35" si="28">+Q35/$L35</f>
        <v>0.7990037986433417</v>
      </c>
    </row>
    <row r="36" spans="1:18" ht="24.95" customHeight="1">
      <c r="A36" s="32" t="e">
        <v>#REF!</v>
      </c>
      <c r="B36" s="145" t="s">
        <v>23</v>
      </c>
      <c r="C36" s="145" t="s">
        <v>25</v>
      </c>
      <c r="D36" s="145" t="s">
        <v>25</v>
      </c>
      <c r="E36" s="145" t="s">
        <v>65</v>
      </c>
      <c r="F36" s="145" t="s">
        <v>31</v>
      </c>
      <c r="G36" s="145" t="s">
        <v>34</v>
      </c>
      <c r="H36" s="145"/>
      <c r="I36" s="145" t="s">
        <v>28</v>
      </c>
      <c r="J36" s="146" t="s">
        <v>29</v>
      </c>
      <c r="K36" s="147" t="s">
        <v>69</v>
      </c>
      <c r="L36" s="148">
        <v>400000000</v>
      </c>
      <c r="M36" s="148">
        <v>259100200</v>
      </c>
      <c r="N36" s="150">
        <f t="shared" si="0"/>
        <v>0.64775050000000001</v>
      </c>
      <c r="O36" s="148">
        <v>259100200</v>
      </c>
      <c r="P36" s="150">
        <f t="shared" si="0"/>
        <v>0.64775050000000001</v>
      </c>
      <c r="Q36" s="148">
        <v>259100200</v>
      </c>
      <c r="R36" s="150">
        <f t="shared" ref="R36" si="29">+Q36/$L36</f>
        <v>0.64775050000000001</v>
      </c>
    </row>
    <row r="37" spans="1:18" ht="24.95" customHeight="1">
      <c r="A37" s="32" t="e">
        <v>#REF!</v>
      </c>
      <c r="B37" s="145" t="s">
        <v>23</v>
      </c>
      <c r="C37" s="145" t="s">
        <v>25</v>
      </c>
      <c r="D37" s="145" t="s">
        <v>25</v>
      </c>
      <c r="E37" s="145" t="s">
        <v>65</v>
      </c>
      <c r="F37" s="145" t="s">
        <v>31</v>
      </c>
      <c r="G37" s="145" t="s">
        <v>36</v>
      </c>
      <c r="H37" s="145"/>
      <c r="I37" s="145" t="s">
        <v>28</v>
      </c>
      <c r="J37" s="146" t="s">
        <v>29</v>
      </c>
      <c r="K37" s="147" t="s">
        <v>70</v>
      </c>
      <c r="L37" s="148">
        <v>350000000</v>
      </c>
      <c r="M37" s="148">
        <v>210043911</v>
      </c>
      <c r="N37" s="150">
        <f t="shared" si="0"/>
        <v>0.60012546</v>
      </c>
      <c r="O37" s="148">
        <v>210035009</v>
      </c>
      <c r="P37" s="150">
        <f t="shared" si="0"/>
        <v>0.60010002571428567</v>
      </c>
      <c r="Q37" s="148">
        <v>210035009</v>
      </c>
      <c r="R37" s="150">
        <f t="shared" ref="R37" si="30">+Q37/$L37</f>
        <v>0.60010002571428567</v>
      </c>
    </row>
    <row r="38" spans="1:18" ht="24.95" customHeight="1">
      <c r="A38" s="32" t="e">
        <v>#REF!</v>
      </c>
      <c r="B38" s="145" t="s">
        <v>23</v>
      </c>
      <c r="C38" s="145" t="s">
        <v>25</v>
      </c>
      <c r="D38" s="145" t="s">
        <v>25</v>
      </c>
      <c r="E38" s="145" t="s">
        <v>65</v>
      </c>
      <c r="F38" s="145" t="s">
        <v>34</v>
      </c>
      <c r="G38" s="145"/>
      <c r="H38" s="145"/>
      <c r="I38" s="145" t="s">
        <v>28</v>
      </c>
      <c r="J38" s="146" t="s">
        <v>29</v>
      </c>
      <c r="K38" s="147" t="s">
        <v>71</v>
      </c>
      <c r="L38" s="148">
        <v>2160000000</v>
      </c>
      <c r="M38" s="148">
        <v>1904189863</v>
      </c>
      <c r="N38" s="150">
        <f t="shared" si="0"/>
        <v>0.88156938101851856</v>
      </c>
      <c r="O38" s="148">
        <v>1904189863</v>
      </c>
      <c r="P38" s="150">
        <f t="shared" si="0"/>
        <v>0.88156938101851856</v>
      </c>
      <c r="Q38" s="148">
        <v>1904189863</v>
      </c>
      <c r="R38" s="150">
        <f t="shared" ref="R38" si="31">+Q38/$L38</f>
        <v>0.88156938101851856</v>
      </c>
    </row>
    <row r="39" spans="1:18" ht="24.95" customHeight="1">
      <c r="A39" s="32" t="e">
        <v>#REF!</v>
      </c>
      <c r="B39" s="145" t="s">
        <v>23</v>
      </c>
      <c r="C39" s="145" t="s">
        <v>25</v>
      </c>
      <c r="D39" s="145" t="s">
        <v>25</v>
      </c>
      <c r="E39" s="145" t="s">
        <v>65</v>
      </c>
      <c r="F39" s="145" t="s">
        <v>40</v>
      </c>
      <c r="G39" s="145"/>
      <c r="H39" s="145"/>
      <c r="I39" s="145" t="s">
        <v>28</v>
      </c>
      <c r="J39" s="146" t="s">
        <v>29</v>
      </c>
      <c r="K39" s="147" t="s">
        <v>72</v>
      </c>
      <c r="L39" s="148">
        <v>12000000</v>
      </c>
      <c r="M39" s="148">
        <v>2943794</v>
      </c>
      <c r="N39" s="150">
        <f t="shared" si="0"/>
        <v>0.24531616666666667</v>
      </c>
      <c r="O39" s="148">
        <v>2943794</v>
      </c>
      <c r="P39" s="150">
        <f t="shared" si="0"/>
        <v>0.24531616666666667</v>
      </c>
      <c r="Q39" s="148">
        <v>2943794</v>
      </c>
      <c r="R39" s="150">
        <f t="shared" ref="R39" si="32">+Q39/$L39</f>
        <v>0.24531616666666667</v>
      </c>
    </row>
    <row r="40" spans="1:18" ht="24.95" customHeight="1">
      <c r="A40" s="32" t="e">
        <v>#REF!</v>
      </c>
      <c r="B40" s="145" t="s">
        <v>23</v>
      </c>
      <c r="C40" s="145" t="s">
        <v>25</v>
      </c>
      <c r="D40" s="145" t="s">
        <v>25</v>
      </c>
      <c r="E40" s="145" t="s">
        <v>65</v>
      </c>
      <c r="F40" s="145" t="s">
        <v>74</v>
      </c>
      <c r="G40" s="145"/>
      <c r="H40" s="145"/>
      <c r="I40" s="145" t="s">
        <v>28</v>
      </c>
      <c r="J40" s="146" t="s">
        <v>29</v>
      </c>
      <c r="K40" s="147" t="s">
        <v>75</v>
      </c>
      <c r="L40" s="148">
        <v>30000000</v>
      </c>
      <c r="M40" s="148">
        <v>0</v>
      </c>
      <c r="N40" s="150">
        <f t="shared" si="0"/>
        <v>0</v>
      </c>
      <c r="O40" s="148">
        <v>0</v>
      </c>
      <c r="P40" s="150">
        <f t="shared" si="0"/>
        <v>0</v>
      </c>
      <c r="Q40" s="148">
        <v>0</v>
      </c>
      <c r="R40" s="150">
        <f t="shared" ref="R40" si="33">+Q40/$L40</f>
        <v>0</v>
      </c>
    </row>
    <row r="41" spans="1:18" ht="24.95" customHeight="1">
      <c r="A41" s="32" t="e">
        <v>#REF!</v>
      </c>
      <c r="B41" s="145" t="s">
        <v>23</v>
      </c>
      <c r="C41" s="145" t="s">
        <v>25</v>
      </c>
      <c r="D41" s="145" t="s">
        <v>25</v>
      </c>
      <c r="E41" s="145" t="s">
        <v>65</v>
      </c>
      <c r="F41" s="145" t="s">
        <v>76</v>
      </c>
      <c r="G41" s="145"/>
      <c r="H41" s="145"/>
      <c r="I41" s="145" t="s">
        <v>28</v>
      </c>
      <c r="J41" s="146" t="s">
        <v>29</v>
      </c>
      <c r="K41" s="147" t="s">
        <v>77</v>
      </c>
      <c r="L41" s="148">
        <v>840000000</v>
      </c>
      <c r="M41" s="148">
        <v>644265212</v>
      </c>
      <c r="N41" s="150">
        <f t="shared" si="0"/>
        <v>0.76698239523809519</v>
      </c>
      <c r="O41" s="148">
        <v>641386780</v>
      </c>
      <c r="P41" s="150">
        <f t="shared" si="0"/>
        <v>0.76355569047619043</v>
      </c>
      <c r="Q41" s="148">
        <v>641386780</v>
      </c>
      <c r="R41" s="150">
        <f t="shared" ref="R41" si="34">+Q41/$L41</f>
        <v>0.76355569047619043</v>
      </c>
    </row>
    <row r="42" spans="1:18" ht="24.95" customHeight="1">
      <c r="A42" s="32" t="e">
        <v>#REF!</v>
      </c>
      <c r="B42" s="145" t="s">
        <v>23</v>
      </c>
      <c r="C42" s="145" t="s">
        <v>25</v>
      </c>
      <c r="D42" s="145" t="s">
        <v>25</v>
      </c>
      <c r="E42" s="145" t="s">
        <v>65</v>
      </c>
      <c r="F42" s="145" t="s">
        <v>78</v>
      </c>
      <c r="G42" s="145"/>
      <c r="H42" s="145"/>
      <c r="I42" s="145" t="s">
        <v>28</v>
      </c>
      <c r="J42" s="146" t="s">
        <v>29</v>
      </c>
      <c r="K42" s="147" t="s">
        <v>79</v>
      </c>
      <c r="L42" s="148">
        <v>560000000</v>
      </c>
      <c r="M42" s="148">
        <v>284421861</v>
      </c>
      <c r="N42" s="150">
        <f t="shared" si="0"/>
        <v>0.5078961803571429</v>
      </c>
      <c r="O42" s="148">
        <v>284421861</v>
      </c>
      <c r="P42" s="150">
        <f t="shared" si="0"/>
        <v>0.5078961803571429</v>
      </c>
      <c r="Q42" s="148">
        <v>284421861</v>
      </c>
      <c r="R42" s="150">
        <f t="shared" ref="R42" si="35">+Q42/$L42</f>
        <v>0.5078961803571429</v>
      </c>
    </row>
    <row r="43" spans="1:18" ht="24" customHeight="1">
      <c r="A43" s="32" t="e">
        <v>#REF!</v>
      </c>
      <c r="B43" s="123" t="s">
        <v>23</v>
      </c>
      <c r="C43" s="123" t="s">
        <v>54</v>
      </c>
      <c r="D43" s="123"/>
      <c r="E43" s="123"/>
      <c r="F43" s="123"/>
      <c r="G43" s="123"/>
      <c r="H43" s="123"/>
      <c r="I43" s="124"/>
      <c r="J43" s="124"/>
      <c r="K43" s="124" t="s">
        <v>80</v>
      </c>
      <c r="L43" s="125">
        <v>42289000000</v>
      </c>
      <c r="M43" s="125">
        <v>39481991592.169998</v>
      </c>
      <c r="N43" s="126">
        <f t="shared" si="0"/>
        <v>0.9336232020660219</v>
      </c>
      <c r="O43" s="125">
        <v>29730363738.620003</v>
      </c>
      <c r="P43" s="126">
        <f t="shared" si="0"/>
        <v>0.70302829905223585</v>
      </c>
      <c r="Q43" s="125">
        <v>29344199182.620003</v>
      </c>
      <c r="R43" s="126">
        <f t="shared" ref="R43" si="36">+Q43/$L43</f>
        <v>0.69389673869375024</v>
      </c>
    </row>
    <row r="44" spans="1:18" ht="24" customHeight="1">
      <c r="A44" s="32" t="e">
        <v>#REF!</v>
      </c>
      <c r="B44" s="128" t="s">
        <v>23</v>
      </c>
      <c r="C44" s="128" t="s">
        <v>54</v>
      </c>
      <c r="D44" s="128" t="s">
        <v>54</v>
      </c>
      <c r="E44" s="128"/>
      <c r="F44" s="128"/>
      <c r="G44" s="128"/>
      <c r="H44" s="128"/>
      <c r="I44" s="129"/>
      <c r="J44" s="129"/>
      <c r="K44" s="129" t="s">
        <v>86</v>
      </c>
      <c r="L44" s="130">
        <v>42289000000</v>
      </c>
      <c r="M44" s="130">
        <v>39481991592.169998</v>
      </c>
      <c r="N44" s="131">
        <f t="shared" si="0"/>
        <v>0.9336232020660219</v>
      </c>
      <c r="O44" s="130">
        <v>29730363738.620003</v>
      </c>
      <c r="P44" s="131">
        <f t="shared" si="0"/>
        <v>0.70302829905223585</v>
      </c>
      <c r="Q44" s="130">
        <v>29344199182.620003</v>
      </c>
      <c r="R44" s="131">
        <f t="shared" ref="R44" si="37">+Q44/$L44</f>
        <v>0.69389673869375024</v>
      </c>
    </row>
    <row r="45" spans="1:18" ht="24.95" customHeight="1">
      <c r="A45" s="32" t="e">
        <v>#REF!</v>
      </c>
      <c r="B45" s="133" t="s">
        <v>23</v>
      </c>
      <c r="C45" s="133" t="s">
        <v>54</v>
      </c>
      <c r="D45" s="133" t="s">
        <v>54</v>
      </c>
      <c r="E45" s="133" t="s">
        <v>25</v>
      </c>
      <c r="F45" s="133"/>
      <c r="G45" s="134"/>
      <c r="H45" s="134"/>
      <c r="I45" s="133" t="s">
        <v>28</v>
      </c>
      <c r="J45" s="134" t="s">
        <v>29</v>
      </c>
      <c r="K45" s="134" t="s">
        <v>87</v>
      </c>
      <c r="L45" s="135">
        <v>473235437</v>
      </c>
      <c r="M45" s="135">
        <v>391019563.05000001</v>
      </c>
      <c r="N45" s="137">
        <f t="shared" si="0"/>
        <v>0.82626855995570769</v>
      </c>
      <c r="O45" s="135">
        <v>211394877.06000003</v>
      </c>
      <c r="P45" s="137">
        <f t="shared" si="0"/>
        <v>0.44670128340367721</v>
      </c>
      <c r="Q45" s="135">
        <v>211394877.06000003</v>
      </c>
      <c r="R45" s="137">
        <f t="shared" ref="R45" si="38">+Q45/$L45</f>
        <v>0.44670128340367721</v>
      </c>
    </row>
    <row r="46" spans="1:18" ht="24.95" customHeight="1">
      <c r="A46" s="32" t="e">
        <v>#REF!</v>
      </c>
      <c r="B46" s="139" t="s">
        <v>23</v>
      </c>
      <c r="C46" s="139" t="s">
        <v>54</v>
      </c>
      <c r="D46" s="139" t="s">
        <v>54</v>
      </c>
      <c r="E46" s="139" t="s">
        <v>25</v>
      </c>
      <c r="F46" s="139" t="s">
        <v>31</v>
      </c>
      <c r="G46" s="140"/>
      <c r="H46" s="140"/>
      <c r="I46" s="139" t="s">
        <v>28</v>
      </c>
      <c r="J46" s="140" t="s">
        <v>29</v>
      </c>
      <c r="K46" s="140" t="s">
        <v>88</v>
      </c>
      <c r="L46" s="141">
        <v>22000000</v>
      </c>
      <c r="M46" s="141">
        <v>22000000</v>
      </c>
      <c r="N46" s="143">
        <f t="shared" si="0"/>
        <v>1</v>
      </c>
      <c r="O46" s="141">
        <v>3933094</v>
      </c>
      <c r="P46" s="143">
        <f t="shared" si="0"/>
        <v>0.17877699999999999</v>
      </c>
      <c r="Q46" s="141">
        <v>3933094</v>
      </c>
      <c r="R46" s="143">
        <f t="shared" ref="R46" si="39">+Q46/$L46</f>
        <v>0.17877699999999999</v>
      </c>
    </row>
    <row r="47" spans="1:18" ht="24.95" customHeight="1">
      <c r="A47" s="32" t="e">
        <v>#REF!</v>
      </c>
      <c r="B47" s="145" t="s">
        <v>23</v>
      </c>
      <c r="C47" s="145" t="s">
        <v>54</v>
      </c>
      <c r="D47" s="145" t="s">
        <v>54</v>
      </c>
      <c r="E47" s="145" t="s">
        <v>25</v>
      </c>
      <c r="F47" s="145" t="s">
        <v>31</v>
      </c>
      <c r="G47" s="145" t="s">
        <v>40</v>
      </c>
      <c r="H47" s="145"/>
      <c r="I47" s="145">
        <v>10</v>
      </c>
      <c r="J47" s="146" t="s">
        <v>29</v>
      </c>
      <c r="K47" s="147" t="s">
        <v>89</v>
      </c>
      <c r="L47" s="148">
        <v>11000000</v>
      </c>
      <c r="M47" s="148">
        <v>11000000</v>
      </c>
      <c r="N47" s="150">
        <f t="shared" si="0"/>
        <v>1</v>
      </c>
      <c r="O47" s="148">
        <v>3933094</v>
      </c>
      <c r="P47" s="150">
        <f t="shared" si="0"/>
        <v>0.35755399999999998</v>
      </c>
      <c r="Q47" s="148">
        <v>3933094</v>
      </c>
      <c r="R47" s="150">
        <f t="shared" ref="R47" si="40">+Q47/$L47</f>
        <v>0.35755399999999998</v>
      </c>
    </row>
    <row r="48" spans="1:18" ht="24.95" customHeight="1">
      <c r="A48" s="32" t="e">
        <v>#REF!</v>
      </c>
      <c r="B48" s="145" t="s">
        <v>23</v>
      </c>
      <c r="C48" s="145" t="s">
        <v>54</v>
      </c>
      <c r="D48" s="145" t="s">
        <v>54</v>
      </c>
      <c r="E48" s="145" t="s">
        <v>25</v>
      </c>
      <c r="F48" s="145" t="s">
        <v>31</v>
      </c>
      <c r="G48" s="145" t="s">
        <v>44</v>
      </c>
      <c r="H48" s="145"/>
      <c r="I48" s="145">
        <v>10</v>
      </c>
      <c r="J48" s="146" t="s">
        <v>29</v>
      </c>
      <c r="K48" s="147" t="s">
        <v>90</v>
      </c>
      <c r="L48" s="148">
        <v>11000000</v>
      </c>
      <c r="M48" s="148">
        <v>11000000</v>
      </c>
      <c r="N48" s="150">
        <f t="shared" si="0"/>
        <v>1</v>
      </c>
      <c r="O48" s="148">
        <v>0</v>
      </c>
      <c r="P48" s="150">
        <f t="shared" si="0"/>
        <v>0</v>
      </c>
      <c r="Q48" s="148">
        <v>0</v>
      </c>
      <c r="R48" s="150">
        <f t="shared" ref="R48" si="41">+Q48/$L48</f>
        <v>0</v>
      </c>
    </row>
    <row r="49" spans="1:18" ht="24.95" customHeight="1">
      <c r="A49" s="32" t="e">
        <v>#REF!</v>
      </c>
      <c r="B49" s="139" t="s">
        <v>23</v>
      </c>
      <c r="C49" s="139" t="s">
        <v>54</v>
      </c>
      <c r="D49" s="139" t="s">
        <v>54</v>
      </c>
      <c r="E49" s="139" t="s">
        <v>25</v>
      </c>
      <c r="F49" s="139" t="s">
        <v>34</v>
      </c>
      <c r="G49" s="140"/>
      <c r="H49" s="140"/>
      <c r="I49" s="139" t="s">
        <v>28</v>
      </c>
      <c r="J49" s="140" t="s">
        <v>29</v>
      </c>
      <c r="K49" s="140" t="s">
        <v>91</v>
      </c>
      <c r="L49" s="141">
        <v>63540885</v>
      </c>
      <c r="M49" s="141">
        <v>63540884.75</v>
      </c>
      <c r="N49" s="143">
        <f t="shared" si="0"/>
        <v>0.99999999606552537</v>
      </c>
      <c r="O49" s="142">
        <v>0</v>
      </c>
      <c r="P49" s="143">
        <f t="shared" si="0"/>
        <v>0</v>
      </c>
      <c r="Q49" s="142">
        <v>0</v>
      </c>
      <c r="R49" s="143">
        <f t="shared" ref="R49" si="42">+Q49/$L49</f>
        <v>0</v>
      </c>
    </row>
    <row r="50" spans="1:18" ht="24.95" customHeight="1">
      <c r="A50" s="32" t="e">
        <v>#REF!</v>
      </c>
      <c r="B50" s="145" t="s">
        <v>23</v>
      </c>
      <c r="C50" s="145" t="s">
        <v>54</v>
      </c>
      <c r="D50" s="145" t="s">
        <v>54</v>
      </c>
      <c r="E50" s="145" t="s">
        <v>25</v>
      </c>
      <c r="F50" s="145" t="s">
        <v>34</v>
      </c>
      <c r="G50" s="145" t="s">
        <v>46</v>
      </c>
      <c r="H50" s="145"/>
      <c r="I50" s="145">
        <v>10</v>
      </c>
      <c r="J50" s="146" t="s">
        <v>29</v>
      </c>
      <c r="K50" s="147" t="s">
        <v>92</v>
      </c>
      <c r="L50" s="148">
        <v>63540885</v>
      </c>
      <c r="M50" s="148">
        <v>63540884.75</v>
      </c>
      <c r="N50" s="150">
        <f t="shared" si="0"/>
        <v>0.99999999606552537</v>
      </c>
      <c r="O50" s="148">
        <v>0</v>
      </c>
      <c r="P50" s="150">
        <f t="shared" si="0"/>
        <v>0</v>
      </c>
      <c r="Q50" s="148">
        <v>0</v>
      </c>
      <c r="R50" s="150">
        <f t="shared" ref="R50" si="43">+Q50/$L50</f>
        <v>0</v>
      </c>
    </row>
    <row r="51" spans="1:18" ht="24.95" customHeight="1">
      <c r="A51" s="32" t="e">
        <v>#REF!</v>
      </c>
      <c r="B51" s="139" t="s">
        <v>23</v>
      </c>
      <c r="C51" s="139" t="s">
        <v>54</v>
      </c>
      <c r="D51" s="139" t="s">
        <v>54</v>
      </c>
      <c r="E51" s="139" t="s">
        <v>25</v>
      </c>
      <c r="F51" s="139" t="s">
        <v>36</v>
      </c>
      <c r="G51" s="140"/>
      <c r="H51" s="140"/>
      <c r="I51" s="139" t="s">
        <v>28</v>
      </c>
      <c r="J51" s="140" t="s">
        <v>29</v>
      </c>
      <c r="K51" s="140" t="s">
        <v>93</v>
      </c>
      <c r="L51" s="141">
        <v>286400644</v>
      </c>
      <c r="M51" s="141">
        <v>259012248.30000001</v>
      </c>
      <c r="N51" s="143">
        <f t="shared" si="0"/>
        <v>0.90437034177898012</v>
      </c>
      <c r="O51" s="141">
        <v>203723886.06000003</v>
      </c>
      <c r="P51" s="143">
        <f t="shared" si="0"/>
        <v>0.71132481831989192</v>
      </c>
      <c r="Q51" s="141">
        <v>203723886.06000003</v>
      </c>
      <c r="R51" s="143">
        <f t="shared" ref="R51" si="44">+Q51/$L51</f>
        <v>0.71132481831989192</v>
      </c>
    </row>
    <row r="52" spans="1:18" ht="24.95" customHeight="1">
      <c r="A52" s="32" t="e">
        <v>#REF!</v>
      </c>
      <c r="B52" s="145" t="s">
        <v>23</v>
      </c>
      <c r="C52" s="145" t="s">
        <v>54</v>
      </c>
      <c r="D52" s="145" t="s">
        <v>54</v>
      </c>
      <c r="E52" s="145" t="s">
        <v>25</v>
      </c>
      <c r="F52" s="145" t="s">
        <v>36</v>
      </c>
      <c r="G52" s="145" t="s">
        <v>34</v>
      </c>
      <c r="H52" s="145"/>
      <c r="I52" s="145">
        <v>10</v>
      </c>
      <c r="J52" s="146" t="s">
        <v>29</v>
      </c>
      <c r="K52" s="147" t="s">
        <v>94</v>
      </c>
      <c r="L52" s="148">
        <v>125013212</v>
      </c>
      <c r="M52" s="148">
        <v>123013211.3</v>
      </c>
      <c r="N52" s="150">
        <f t="shared" si="0"/>
        <v>0.98400168535786436</v>
      </c>
      <c r="O52" s="148">
        <v>115894710.01000001</v>
      </c>
      <c r="P52" s="150">
        <f t="shared" si="0"/>
        <v>0.92705969357862761</v>
      </c>
      <c r="Q52" s="148">
        <v>115894710.01000001</v>
      </c>
      <c r="R52" s="150">
        <f t="shared" ref="R52" si="45">+Q52/$L52</f>
        <v>0.92705969357862761</v>
      </c>
    </row>
    <row r="53" spans="1:18" ht="24.95" customHeight="1">
      <c r="A53" s="32" t="e">
        <v>#REF!</v>
      </c>
      <c r="B53" s="145" t="s">
        <v>23</v>
      </c>
      <c r="C53" s="145" t="s">
        <v>54</v>
      </c>
      <c r="D53" s="145" t="s">
        <v>54</v>
      </c>
      <c r="E53" s="145" t="s">
        <v>25</v>
      </c>
      <c r="F53" s="145" t="s">
        <v>36</v>
      </c>
      <c r="G53" s="145" t="s">
        <v>36</v>
      </c>
      <c r="H53" s="145"/>
      <c r="I53" s="145">
        <v>10</v>
      </c>
      <c r="J53" s="146" t="s">
        <v>29</v>
      </c>
      <c r="K53" s="147" t="s">
        <v>95</v>
      </c>
      <c r="L53" s="148">
        <v>57510582</v>
      </c>
      <c r="M53" s="148">
        <v>57510582</v>
      </c>
      <c r="N53" s="150">
        <f t="shared" si="0"/>
        <v>1</v>
      </c>
      <c r="O53" s="148">
        <v>34984396.829999998</v>
      </c>
      <c r="P53" s="150">
        <f t="shared" si="0"/>
        <v>0.60831234206602181</v>
      </c>
      <c r="Q53" s="148">
        <v>34984396.829999998</v>
      </c>
      <c r="R53" s="150">
        <f t="shared" ref="R53" si="46">+Q53/$L53</f>
        <v>0.60831234206602181</v>
      </c>
    </row>
    <row r="54" spans="1:18" ht="24.95" customHeight="1">
      <c r="A54" s="32" t="e">
        <v>#REF!</v>
      </c>
      <c r="B54" s="145" t="s">
        <v>23</v>
      </c>
      <c r="C54" s="145" t="s">
        <v>54</v>
      </c>
      <c r="D54" s="145" t="s">
        <v>54</v>
      </c>
      <c r="E54" s="145" t="s">
        <v>25</v>
      </c>
      <c r="F54" s="145" t="s">
        <v>36</v>
      </c>
      <c r="G54" s="145" t="s">
        <v>40</v>
      </c>
      <c r="H54" s="145"/>
      <c r="I54" s="145">
        <v>10</v>
      </c>
      <c r="J54" s="146" t="s">
        <v>29</v>
      </c>
      <c r="K54" s="147" t="s">
        <v>96</v>
      </c>
      <c r="L54" s="148">
        <v>26000000</v>
      </c>
      <c r="M54" s="148">
        <v>6000000</v>
      </c>
      <c r="N54" s="150">
        <f t="shared" si="0"/>
        <v>0.23076923076923078</v>
      </c>
      <c r="O54" s="148">
        <v>3157438.02</v>
      </c>
      <c r="P54" s="150">
        <f t="shared" si="0"/>
        <v>0.12143992384615385</v>
      </c>
      <c r="Q54" s="148">
        <v>3157438.02</v>
      </c>
      <c r="R54" s="150">
        <f t="shared" ref="R54" si="47">+Q54/$L54</f>
        <v>0.12143992384615385</v>
      </c>
    </row>
    <row r="55" spans="1:18" ht="24.95" customHeight="1">
      <c r="A55" s="32" t="e">
        <v>#REF!</v>
      </c>
      <c r="B55" s="145" t="s">
        <v>23</v>
      </c>
      <c r="C55" s="145" t="s">
        <v>54</v>
      </c>
      <c r="D55" s="145" t="s">
        <v>54</v>
      </c>
      <c r="E55" s="145" t="s">
        <v>25</v>
      </c>
      <c r="F55" s="145" t="s">
        <v>36</v>
      </c>
      <c r="G55" s="145" t="s">
        <v>42</v>
      </c>
      <c r="H55" s="145"/>
      <c r="I55" s="145">
        <v>10</v>
      </c>
      <c r="J55" s="146" t="s">
        <v>29</v>
      </c>
      <c r="K55" s="147" t="s">
        <v>97</v>
      </c>
      <c r="L55" s="148">
        <v>20000000</v>
      </c>
      <c r="M55" s="148">
        <v>20000000</v>
      </c>
      <c r="N55" s="150">
        <f t="shared" si="0"/>
        <v>1</v>
      </c>
      <c r="O55" s="148">
        <v>10155911.109999999</v>
      </c>
      <c r="P55" s="150">
        <f t="shared" si="0"/>
        <v>0.5077955555</v>
      </c>
      <c r="Q55" s="148">
        <v>10155911.109999999</v>
      </c>
      <c r="R55" s="150">
        <f t="shared" ref="R55" si="48">+Q55/$L55</f>
        <v>0.5077955555</v>
      </c>
    </row>
    <row r="56" spans="1:18" ht="24.95" hidden="1" customHeight="1">
      <c r="A56" s="32" t="e">
        <v>#REF!</v>
      </c>
      <c r="B56" s="145" t="s">
        <v>23</v>
      </c>
      <c r="C56" s="145" t="s">
        <v>54</v>
      </c>
      <c r="D56" s="145" t="s">
        <v>54</v>
      </c>
      <c r="E56" s="145" t="s">
        <v>25</v>
      </c>
      <c r="F56" s="145" t="s">
        <v>36</v>
      </c>
      <c r="G56" s="145" t="s">
        <v>44</v>
      </c>
      <c r="H56" s="145"/>
      <c r="I56" s="145">
        <v>10</v>
      </c>
      <c r="J56" s="146" t="s">
        <v>29</v>
      </c>
      <c r="K56" s="147" t="s">
        <v>98</v>
      </c>
      <c r="L56" s="148">
        <v>0</v>
      </c>
      <c r="M56" s="148">
        <v>0</v>
      </c>
      <c r="N56" s="150" t="e">
        <f t="shared" si="0"/>
        <v>#DIV/0!</v>
      </c>
      <c r="O56" s="148">
        <v>0</v>
      </c>
      <c r="P56" s="150" t="e">
        <f t="shared" si="0"/>
        <v>#DIV/0!</v>
      </c>
      <c r="Q56" s="148">
        <v>0</v>
      </c>
      <c r="R56" s="150" t="e">
        <f t="shared" ref="R56" si="49">+Q56/$L56</f>
        <v>#DIV/0!</v>
      </c>
    </row>
    <row r="57" spans="1:18" ht="24.95" customHeight="1">
      <c r="A57" s="32" t="e">
        <v>#REF!</v>
      </c>
      <c r="B57" s="145" t="s">
        <v>23</v>
      </c>
      <c r="C57" s="145" t="s">
        <v>54</v>
      </c>
      <c r="D57" s="145" t="s">
        <v>54</v>
      </c>
      <c r="E57" s="145" t="s">
        <v>25</v>
      </c>
      <c r="F57" s="145" t="s">
        <v>36</v>
      </c>
      <c r="G57" s="145" t="s">
        <v>46</v>
      </c>
      <c r="H57" s="145"/>
      <c r="I57" s="145">
        <v>10</v>
      </c>
      <c r="J57" s="146" t="s">
        <v>29</v>
      </c>
      <c r="K57" s="147" t="s">
        <v>99</v>
      </c>
      <c r="L57" s="148">
        <v>57876850</v>
      </c>
      <c r="M57" s="148">
        <v>52488455</v>
      </c>
      <c r="N57" s="150">
        <f t="shared" si="0"/>
        <v>0.90689895873738813</v>
      </c>
      <c r="O57" s="148">
        <v>39531430.090000004</v>
      </c>
      <c r="P57" s="150">
        <f t="shared" si="0"/>
        <v>0.68302663482895154</v>
      </c>
      <c r="Q57" s="148">
        <v>39531430.090000004</v>
      </c>
      <c r="R57" s="150">
        <f t="shared" ref="R57" si="50">+Q57/$L57</f>
        <v>0.68302663482895154</v>
      </c>
    </row>
    <row r="58" spans="1:18" ht="24.95" customHeight="1">
      <c r="A58" s="32" t="e">
        <v>#REF!</v>
      </c>
      <c r="B58" s="139" t="s">
        <v>23</v>
      </c>
      <c r="C58" s="139" t="s">
        <v>54</v>
      </c>
      <c r="D58" s="139" t="s">
        <v>54</v>
      </c>
      <c r="E58" s="139" t="s">
        <v>25</v>
      </c>
      <c r="F58" s="139" t="s">
        <v>38</v>
      </c>
      <c r="G58" s="140"/>
      <c r="H58" s="140"/>
      <c r="I58" s="139" t="s">
        <v>28</v>
      </c>
      <c r="J58" s="140" t="s">
        <v>29</v>
      </c>
      <c r="K58" s="140" t="s">
        <v>100</v>
      </c>
      <c r="L58" s="141">
        <v>101293908</v>
      </c>
      <c r="M58" s="141">
        <v>46466430</v>
      </c>
      <c r="N58" s="143">
        <f t="shared" si="0"/>
        <v>0.45872877172435683</v>
      </c>
      <c r="O58" s="141">
        <v>3737897</v>
      </c>
      <c r="P58" s="143">
        <f t="shared" si="0"/>
        <v>3.6901498558037663E-2</v>
      </c>
      <c r="Q58" s="141">
        <v>3737897</v>
      </c>
      <c r="R58" s="143">
        <f t="shared" ref="R58" si="51">+Q58/$L58</f>
        <v>3.6901498558037663E-2</v>
      </c>
    </row>
    <row r="59" spans="1:18" ht="24.95" customHeight="1">
      <c r="A59" s="32" t="e">
        <v>#REF!</v>
      </c>
      <c r="B59" s="145" t="s">
        <v>23</v>
      </c>
      <c r="C59" s="145" t="s">
        <v>54</v>
      </c>
      <c r="D59" s="145" t="s">
        <v>54</v>
      </c>
      <c r="E59" s="145" t="s">
        <v>25</v>
      </c>
      <c r="F59" s="145" t="s">
        <v>38</v>
      </c>
      <c r="G59" s="145" t="s">
        <v>34</v>
      </c>
      <c r="H59" s="145"/>
      <c r="I59" s="145">
        <v>10</v>
      </c>
      <c r="J59" s="146" t="s">
        <v>29</v>
      </c>
      <c r="K59" s="147" t="s">
        <v>101</v>
      </c>
      <c r="L59" s="148">
        <v>23000000</v>
      </c>
      <c r="M59" s="148">
        <v>23000000</v>
      </c>
      <c r="N59" s="150">
        <f t="shared" si="0"/>
        <v>1</v>
      </c>
      <c r="O59" s="148">
        <v>3737897</v>
      </c>
      <c r="P59" s="150">
        <f t="shared" si="0"/>
        <v>0.16251726086956522</v>
      </c>
      <c r="Q59" s="148">
        <v>3737897</v>
      </c>
      <c r="R59" s="150">
        <f t="shared" ref="R59" si="52">+Q59/$L59</f>
        <v>0.16251726086956522</v>
      </c>
    </row>
    <row r="60" spans="1:18" ht="24.95" customHeight="1">
      <c r="A60" s="32" t="e">
        <v>#REF!</v>
      </c>
      <c r="B60" s="145" t="s">
        <v>23</v>
      </c>
      <c r="C60" s="145" t="s">
        <v>54</v>
      </c>
      <c r="D60" s="145" t="s">
        <v>54</v>
      </c>
      <c r="E60" s="145" t="s">
        <v>25</v>
      </c>
      <c r="F60" s="145" t="s">
        <v>38</v>
      </c>
      <c r="G60" s="145" t="s">
        <v>40</v>
      </c>
      <c r="H60" s="145"/>
      <c r="I60" s="145">
        <v>10</v>
      </c>
      <c r="J60" s="146" t="s">
        <v>29</v>
      </c>
      <c r="K60" s="147" t="s">
        <v>102</v>
      </c>
      <c r="L60" s="148">
        <v>1000000</v>
      </c>
      <c r="M60" s="148">
        <v>0</v>
      </c>
      <c r="N60" s="150">
        <f t="shared" si="0"/>
        <v>0</v>
      </c>
      <c r="O60" s="148">
        <v>0</v>
      </c>
      <c r="P60" s="150">
        <f t="shared" si="0"/>
        <v>0</v>
      </c>
      <c r="Q60" s="148">
        <v>0</v>
      </c>
      <c r="R60" s="150">
        <f t="shared" ref="R60" si="53">+Q60/$L60</f>
        <v>0</v>
      </c>
    </row>
    <row r="61" spans="1:18" ht="24.95" customHeight="1">
      <c r="A61" s="32" t="e">
        <v>#REF!</v>
      </c>
      <c r="B61" s="145" t="s">
        <v>23</v>
      </c>
      <c r="C61" s="145" t="s">
        <v>54</v>
      </c>
      <c r="D61" s="145" t="s">
        <v>54</v>
      </c>
      <c r="E61" s="145" t="s">
        <v>25</v>
      </c>
      <c r="F61" s="145" t="s">
        <v>38</v>
      </c>
      <c r="G61" s="145" t="s">
        <v>42</v>
      </c>
      <c r="H61" s="145"/>
      <c r="I61" s="145">
        <v>10</v>
      </c>
      <c r="J61" s="146" t="s">
        <v>29</v>
      </c>
      <c r="K61" s="147" t="s">
        <v>84</v>
      </c>
      <c r="L61" s="148">
        <v>8000000</v>
      </c>
      <c r="M61" s="148">
        <v>8000000</v>
      </c>
      <c r="N61" s="150">
        <f t="shared" si="0"/>
        <v>1</v>
      </c>
      <c r="O61" s="148">
        <v>0</v>
      </c>
      <c r="P61" s="150">
        <f t="shared" si="0"/>
        <v>0</v>
      </c>
      <c r="Q61" s="148">
        <v>0</v>
      </c>
      <c r="R61" s="150">
        <f t="shared" ref="R61" si="54">+Q61/$L61</f>
        <v>0</v>
      </c>
    </row>
    <row r="62" spans="1:18" ht="24.95" customHeight="1">
      <c r="A62" s="32" t="e">
        <v>#REF!</v>
      </c>
      <c r="B62" s="145" t="s">
        <v>23</v>
      </c>
      <c r="C62" s="145" t="s">
        <v>54</v>
      </c>
      <c r="D62" s="145" t="s">
        <v>54</v>
      </c>
      <c r="E62" s="145" t="s">
        <v>25</v>
      </c>
      <c r="F62" s="145" t="s">
        <v>38</v>
      </c>
      <c r="G62" s="145" t="s">
        <v>44</v>
      </c>
      <c r="H62" s="145"/>
      <c r="I62" s="145">
        <v>10</v>
      </c>
      <c r="J62" s="146" t="s">
        <v>29</v>
      </c>
      <c r="K62" s="147" t="s">
        <v>85</v>
      </c>
      <c r="L62" s="148">
        <v>69293908</v>
      </c>
      <c r="M62" s="148">
        <v>15466430</v>
      </c>
      <c r="N62" s="150">
        <f t="shared" si="0"/>
        <v>0.22320042910554272</v>
      </c>
      <c r="O62" s="148">
        <v>0</v>
      </c>
      <c r="P62" s="150">
        <f t="shared" si="0"/>
        <v>0</v>
      </c>
      <c r="Q62" s="148">
        <v>0</v>
      </c>
      <c r="R62" s="150">
        <f t="shared" ref="R62" si="55">+Q62/$L62</f>
        <v>0</v>
      </c>
    </row>
    <row r="63" spans="1:18" ht="24.95" hidden="1" customHeight="1">
      <c r="A63" s="32" t="e">
        <v>#REF!</v>
      </c>
      <c r="B63" s="145" t="s">
        <v>23</v>
      </c>
      <c r="C63" s="145" t="s">
        <v>54</v>
      </c>
      <c r="D63" s="145" t="s">
        <v>54</v>
      </c>
      <c r="E63" s="145" t="s">
        <v>25</v>
      </c>
      <c r="F63" s="145" t="s">
        <v>38</v>
      </c>
      <c r="G63" s="145" t="s">
        <v>46</v>
      </c>
      <c r="H63" s="145"/>
      <c r="I63" s="145">
        <v>10</v>
      </c>
      <c r="J63" s="146" t="s">
        <v>29</v>
      </c>
      <c r="K63" s="147" t="s">
        <v>258</v>
      </c>
      <c r="L63" s="148">
        <v>0</v>
      </c>
      <c r="M63" s="148">
        <v>0</v>
      </c>
      <c r="N63" s="150" t="e">
        <f t="shared" si="0"/>
        <v>#DIV/0!</v>
      </c>
      <c r="O63" s="148">
        <v>0</v>
      </c>
      <c r="P63" s="150" t="e">
        <f t="shared" si="0"/>
        <v>#DIV/0!</v>
      </c>
      <c r="Q63" s="148">
        <v>0</v>
      </c>
      <c r="R63" s="150" t="e">
        <f t="shared" ref="R63" si="56">+Q63/$L63</f>
        <v>#DIV/0!</v>
      </c>
    </row>
    <row r="64" spans="1:18" ht="24.95" customHeight="1">
      <c r="A64" s="32" t="e">
        <v>#REF!</v>
      </c>
      <c r="B64" s="133" t="s">
        <v>23</v>
      </c>
      <c r="C64" s="133" t="s">
        <v>54</v>
      </c>
      <c r="D64" s="133" t="s">
        <v>54</v>
      </c>
      <c r="E64" s="133" t="s">
        <v>54</v>
      </c>
      <c r="F64" s="133"/>
      <c r="G64" s="134"/>
      <c r="H64" s="134"/>
      <c r="I64" s="133" t="s">
        <v>28</v>
      </c>
      <c r="J64" s="134" t="s">
        <v>29</v>
      </c>
      <c r="K64" s="134" t="s">
        <v>103</v>
      </c>
      <c r="L64" s="135">
        <v>41815764563</v>
      </c>
      <c r="M64" s="135">
        <v>39090972029.119995</v>
      </c>
      <c r="N64" s="137">
        <f t="shared" si="0"/>
        <v>0.93483815105724521</v>
      </c>
      <c r="O64" s="135">
        <v>29518968861.560001</v>
      </c>
      <c r="P64" s="137">
        <f t="shared" si="0"/>
        <v>0.70592919130024423</v>
      </c>
      <c r="Q64" s="135">
        <v>29132804305.560001</v>
      </c>
      <c r="R64" s="137">
        <f t="shared" ref="R64" si="57">+Q64/$L64</f>
        <v>0.69669428766914598</v>
      </c>
    </row>
    <row r="65" spans="1:18" ht="31.5" customHeight="1">
      <c r="A65" s="32" t="e">
        <v>#REF!</v>
      </c>
      <c r="B65" s="139" t="s">
        <v>23</v>
      </c>
      <c r="C65" s="139" t="s">
        <v>54</v>
      </c>
      <c r="D65" s="139" t="s">
        <v>54</v>
      </c>
      <c r="E65" s="139" t="s">
        <v>54</v>
      </c>
      <c r="F65" s="139" t="s">
        <v>42</v>
      </c>
      <c r="G65" s="140"/>
      <c r="H65" s="140"/>
      <c r="I65" s="139" t="s">
        <v>28</v>
      </c>
      <c r="J65" s="140" t="s">
        <v>29</v>
      </c>
      <c r="K65" s="140" t="s">
        <v>104</v>
      </c>
      <c r="L65" s="141">
        <v>4272217562</v>
      </c>
      <c r="M65" s="141">
        <v>3810619769</v>
      </c>
      <c r="N65" s="143">
        <f t="shared" si="0"/>
        <v>0.89195358468965535</v>
      </c>
      <c r="O65" s="141">
        <v>3157422044.1900001</v>
      </c>
      <c r="P65" s="143">
        <f t="shared" si="0"/>
        <v>0.73905928206331362</v>
      </c>
      <c r="Q65" s="141">
        <v>3154811977.1900001</v>
      </c>
      <c r="R65" s="143">
        <f t="shared" ref="R65" si="58">+Q65/$L65</f>
        <v>0.73844834243720103</v>
      </c>
    </row>
    <row r="66" spans="1:18" ht="24.95" customHeight="1">
      <c r="A66" s="32" t="e">
        <v>#REF!</v>
      </c>
      <c r="B66" s="145" t="s">
        <v>23</v>
      </c>
      <c r="C66" s="145" t="s">
        <v>54</v>
      </c>
      <c r="D66" s="145" t="s">
        <v>54</v>
      </c>
      <c r="E66" s="145" t="s">
        <v>54</v>
      </c>
      <c r="F66" s="145" t="s">
        <v>42</v>
      </c>
      <c r="G66" s="145" t="s">
        <v>36</v>
      </c>
      <c r="H66" s="145"/>
      <c r="I66" s="145">
        <v>10</v>
      </c>
      <c r="J66" s="146" t="s">
        <v>29</v>
      </c>
      <c r="K66" s="147" t="s">
        <v>105</v>
      </c>
      <c r="L66" s="148">
        <v>78083930</v>
      </c>
      <c r="M66" s="148">
        <v>34094200</v>
      </c>
      <c r="N66" s="150">
        <f t="shared" si="0"/>
        <v>0.43663529742931739</v>
      </c>
      <c r="O66" s="148">
        <v>2103500</v>
      </c>
      <c r="P66" s="150">
        <f t="shared" si="0"/>
        <v>2.6938961704412161E-2</v>
      </c>
      <c r="Q66" s="148">
        <v>2103500</v>
      </c>
      <c r="R66" s="150">
        <f t="shared" ref="R66" si="59">+Q66/$L66</f>
        <v>2.6938961704412161E-2</v>
      </c>
    </row>
    <row r="67" spans="1:18" ht="24.95" customHeight="1">
      <c r="A67" s="32" t="e">
        <v>#REF!</v>
      </c>
      <c r="B67" s="145" t="s">
        <v>23</v>
      </c>
      <c r="C67" s="145" t="s">
        <v>54</v>
      </c>
      <c r="D67" s="145" t="s">
        <v>54</v>
      </c>
      <c r="E67" s="145" t="s">
        <v>54</v>
      </c>
      <c r="F67" s="145" t="s">
        <v>42</v>
      </c>
      <c r="G67" s="145" t="s">
        <v>38</v>
      </c>
      <c r="H67" s="145"/>
      <c r="I67" s="145">
        <v>10</v>
      </c>
      <c r="J67" s="146" t="s">
        <v>29</v>
      </c>
      <c r="K67" s="147" t="s">
        <v>106</v>
      </c>
      <c r="L67" s="148">
        <v>1739407338</v>
      </c>
      <c r="M67" s="148">
        <v>1640150048</v>
      </c>
      <c r="N67" s="150">
        <f t="shared" si="0"/>
        <v>0.94293614392007352</v>
      </c>
      <c r="O67" s="148">
        <v>1022346807</v>
      </c>
      <c r="P67" s="150">
        <f t="shared" si="0"/>
        <v>0.58775583192348246</v>
      </c>
      <c r="Q67" s="148">
        <v>1022346807</v>
      </c>
      <c r="R67" s="150">
        <f t="shared" ref="R67" si="60">+Q67/$L67</f>
        <v>0.58775583192348246</v>
      </c>
    </row>
    <row r="68" spans="1:18" ht="24.95" customHeight="1">
      <c r="A68" s="32" t="e">
        <v>#REF!</v>
      </c>
      <c r="B68" s="145" t="s">
        <v>23</v>
      </c>
      <c r="C68" s="145" t="s">
        <v>54</v>
      </c>
      <c r="D68" s="145" t="s">
        <v>54</v>
      </c>
      <c r="E68" s="145" t="s">
        <v>54</v>
      </c>
      <c r="F68" s="145" t="s">
        <v>42</v>
      </c>
      <c r="G68" s="145" t="s">
        <v>40</v>
      </c>
      <c r="H68" s="145"/>
      <c r="I68" s="145">
        <v>10</v>
      </c>
      <c r="J68" s="146" t="s">
        <v>29</v>
      </c>
      <c r="K68" s="147" t="s">
        <v>107</v>
      </c>
      <c r="L68" s="148">
        <v>62000000</v>
      </c>
      <c r="M68" s="148">
        <v>53170000</v>
      </c>
      <c r="N68" s="150">
        <f t="shared" si="0"/>
        <v>0.85758064516129029</v>
      </c>
      <c r="O68" s="148">
        <v>49867904</v>
      </c>
      <c r="P68" s="150">
        <f t="shared" si="0"/>
        <v>0.80432103225806451</v>
      </c>
      <c r="Q68" s="148">
        <v>49867904</v>
      </c>
      <c r="R68" s="150">
        <f t="shared" ref="R68" si="61">+Q68/$L68</f>
        <v>0.80432103225806451</v>
      </c>
    </row>
    <row r="69" spans="1:18" ht="24.95" hidden="1" customHeight="1">
      <c r="A69" s="32" t="e">
        <v>#REF!</v>
      </c>
      <c r="B69" s="145" t="s">
        <v>23</v>
      </c>
      <c r="C69" s="145" t="s">
        <v>54</v>
      </c>
      <c r="D69" s="145" t="s">
        <v>54</v>
      </c>
      <c r="E69" s="145" t="s">
        <v>54</v>
      </c>
      <c r="F69" s="145" t="s">
        <v>42</v>
      </c>
      <c r="G69" s="145" t="s">
        <v>42</v>
      </c>
      <c r="H69" s="145"/>
      <c r="I69" s="145">
        <v>10</v>
      </c>
      <c r="J69" s="146" t="s">
        <v>29</v>
      </c>
      <c r="K69" s="147" t="s">
        <v>259</v>
      </c>
      <c r="L69" s="148">
        <v>0</v>
      </c>
      <c r="M69" s="148">
        <v>0</v>
      </c>
      <c r="N69" s="150" t="e">
        <f t="shared" si="0"/>
        <v>#DIV/0!</v>
      </c>
      <c r="O69" s="148">
        <v>0</v>
      </c>
      <c r="P69" s="150" t="e">
        <f t="shared" si="0"/>
        <v>#DIV/0!</v>
      </c>
      <c r="Q69" s="148">
        <v>0</v>
      </c>
      <c r="R69" s="150" t="e">
        <f t="shared" ref="R69" si="62">+Q69/$L69</f>
        <v>#DIV/0!</v>
      </c>
    </row>
    <row r="70" spans="1:18" ht="24.95" customHeight="1">
      <c r="A70" s="32" t="e">
        <v>#REF!</v>
      </c>
      <c r="B70" s="145" t="s">
        <v>23</v>
      </c>
      <c r="C70" s="145" t="s">
        <v>54</v>
      </c>
      <c r="D70" s="145" t="s">
        <v>54</v>
      </c>
      <c r="E70" s="145" t="s">
        <v>54</v>
      </c>
      <c r="F70" s="145" t="s">
        <v>42</v>
      </c>
      <c r="G70" s="145" t="s">
        <v>46</v>
      </c>
      <c r="H70" s="145"/>
      <c r="I70" s="145">
        <v>10</v>
      </c>
      <c r="J70" s="146" t="s">
        <v>29</v>
      </c>
      <c r="K70" s="147" t="s">
        <v>108</v>
      </c>
      <c r="L70" s="148">
        <v>1468418312</v>
      </c>
      <c r="M70" s="148">
        <v>1462496612</v>
      </c>
      <c r="N70" s="150">
        <f t="shared" si="0"/>
        <v>0.99596729354870639</v>
      </c>
      <c r="O70" s="148">
        <v>1462496612</v>
      </c>
      <c r="P70" s="150">
        <f t="shared" si="0"/>
        <v>0.99596729354870639</v>
      </c>
      <c r="Q70" s="148">
        <v>1462496612</v>
      </c>
      <c r="R70" s="150">
        <f t="shared" ref="R70" si="63">+Q70/$L70</f>
        <v>0.99596729354870639</v>
      </c>
    </row>
    <row r="71" spans="1:18" ht="24.95" customHeight="1">
      <c r="A71" s="32" t="e">
        <v>#REF!</v>
      </c>
      <c r="B71" s="145" t="s">
        <v>23</v>
      </c>
      <c r="C71" s="145" t="s">
        <v>54</v>
      </c>
      <c r="D71" s="145" t="s">
        <v>54</v>
      </c>
      <c r="E71" s="145" t="s">
        <v>54</v>
      </c>
      <c r="F71" s="145" t="s">
        <v>42</v>
      </c>
      <c r="G71" s="145" t="s">
        <v>48</v>
      </c>
      <c r="H71" s="145"/>
      <c r="I71" s="145">
        <v>10</v>
      </c>
      <c r="J71" s="146" t="s">
        <v>29</v>
      </c>
      <c r="K71" s="147" t="s">
        <v>109</v>
      </c>
      <c r="L71" s="148">
        <v>924307982</v>
      </c>
      <c r="M71" s="148">
        <v>620708909</v>
      </c>
      <c r="N71" s="150">
        <f t="shared" si="0"/>
        <v>0.67153905525831536</v>
      </c>
      <c r="O71" s="148">
        <v>620607221.19000006</v>
      </c>
      <c r="P71" s="150">
        <f t="shared" si="0"/>
        <v>0.67142904018543903</v>
      </c>
      <c r="Q71" s="148">
        <v>617997154.19000006</v>
      </c>
      <c r="R71" s="150">
        <f t="shared" ref="R71" si="64">+Q71/$L71</f>
        <v>0.66860523356380586</v>
      </c>
    </row>
    <row r="72" spans="1:18" ht="24.95" customHeight="1">
      <c r="A72" s="32" t="e">
        <v>#REF!</v>
      </c>
      <c r="B72" s="139" t="s">
        <v>23</v>
      </c>
      <c r="C72" s="139" t="s">
        <v>54</v>
      </c>
      <c r="D72" s="139" t="s">
        <v>54</v>
      </c>
      <c r="E72" s="139" t="s">
        <v>54</v>
      </c>
      <c r="F72" s="139" t="s">
        <v>44</v>
      </c>
      <c r="G72" s="140"/>
      <c r="H72" s="140"/>
      <c r="I72" s="139" t="s">
        <v>28</v>
      </c>
      <c r="J72" s="140" t="s">
        <v>29</v>
      </c>
      <c r="K72" s="140" t="s">
        <v>110</v>
      </c>
      <c r="L72" s="141">
        <v>15484607069</v>
      </c>
      <c r="M72" s="141">
        <v>14800448728</v>
      </c>
      <c r="N72" s="143">
        <f t="shared" ref="N72:P135" si="65">+M72/$L72</f>
        <v>0.95581687427059892</v>
      </c>
      <c r="O72" s="141">
        <v>11221010000.040001</v>
      </c>
      <c r="P72" s="143">
        <f t="shared" si="65"/>
        <v>0.72465577912560208</v>
      </c>
      <c r="Q72" s="141">
        <v>11216521867.040001</v>
      </c>
      <c r="R72" s="143">
        <f t="shared" ref="R72" si="66">+Q72/$L72</f>
        <v>0.72436593431520424</v>
      </c>
    </row>
    <row r="73" spans="1:18" ht="24.95" customHeight="1">
      <c r="A73" s="32" t="e">
        <v>#REF!</v>
      </c>
      <c r="B73" s="145" t="s">
        <v>23</v>
      </c>
      <c r="C73" s="145" t="s">
        <v>54</v>
      </c>
      <c r="D73" s="145" t="s">
        <v>54</v>
      </c>
      <c r="E73" s="145" t="s">
        <v>54</v>
      </c>
      <c r="F73" s="145" t="s">
        <v>44</v>
      </c>
      <c r="G73" s="145" t="s">
        <v>31</v>
      </c>
      <c r="H73" s="145"/>
      <c r="I73" s="145">
        <v>10</v>
      </c>
      <c r="J73" s="146" t="s">
        <v>29</v>
      </c>
      <c r="K73" s="147" t="s">
        <v>111</v>
      </c>
      <c r="L73" s="148">
        <v>923775914</v>
      </c>
      <c r="M73" s="148">
        <v>340687714</v>
      </c>
      <c r="N73" s="150">
        <f t="shared" si="65"/>
        <v>0.36879908735096117</v>
      </c>
      <c r="O73" s="148">
        <v>337518735.04000002</v>
      </c>
      <c r="P73" s="150">
        <f t="shared" si="65"/>
        <v>0.36536862449522584</v>
      </c>
      <c r="Q73" s="148">
        <v>337518735.04000002</v>
      </c>
      <c r="R73" s="150">
        <f t="shared" ref="R73" si="67">+Q73/$L73</f>
        <v>0.36536862449522584</v>
      </c>
    </row>
    <row r="74" spans="1:18" ht="24.95" customHeight="1">
      <c r="A74" s="32" t="e">
        <v>#REF!</v>
      </c>
      <c r="B74" s="145" t="s">
        <v>23</v>
      </c>
      <c r="C74" s="145" t="s">
        <v>54</v>
      </c>
      <c r="D74" s="145" t="s">
        <v>54</v>
      </c>
      <c r="E74" s="145" t="s">
        <v>54</v>
      </c>
      <c r="F74" s="145" t="s">
        <v>44</v>
      </c>
      <c r="G74" s="145" t="s">
        <v>34</v>
      </c>
      <c r="H74" s="145"/>
      <c r="I74" s="145">
        <v>10</v>
      </c>
      <c r="J74" s="146" t="s">
        <v>29</v>
      </c>
      <c r="K74" s="147" t="s">
        <v>112</v>
      </c>
      <c r="L74" s="148">
        <v>14560831155</v>
      </c>
      <c r="M74" s="148">
        <v>14459761014</v>
      </c>
      <c r="N74" s="150">
        <f t="shared" si="65"/>
        <v>0.9930587656759351</v>
      </c>
      <c r="O74" s="148">
        <v>10883491265</v>
      </c>
      <c r="P74" s="150">
        <f t="shared" si="65"/>
        <v>0.74744986389480594</v>
      </c>
      <c r="Q74" s="148">
        <v>10879003132</v>
      </c>
      <c r="R74" s="150">
        <f t="shared" ref="R74" si="68">+Q74/$L74</f>
        <v>0.74714163059739158</v>
      </c>
    </row>
    <row r="75" spans="1:18" ht="24.95" customHeight="1">
      <c r="A75" s="32" t="e">
        <v>#REF!</v>
      </c>
      <c r="B75" s="139" t="s">
        <v>23</v>
      </c>
      <c r="C75" s="139" t="s">
        <v>54</v>
      </c>
      <c r="D75" s="139" t="s">
        <v>54</v>
      </c>
      <c r="E75" s="139" t="s">
        <v>54</v>
      </c>
      <c r="F75" s="139" t="s">
        <v>46</v>
      </c>
      <c r="G75" s="140"/>
      <c r="H75" s="140"/>
      <c r="I75" s="139" t="s">
        <v>28</v>
      </c>
      <c r="J75" s="140" t="s">
        <v>29</v>
      </c>
      <c r="K75" s="140" t="s">
        <v>113</v>
      </c>
      <c r="L75" s="141">
        <v>19187184997</v>
      </c>
      <c r="M75" s="141">
        <v>18112686549.119999</v>
      </c>
      <c r="N75" s="143">
        <f t="shared" si="65"/>
        <v>0.94399916152119223</v>
      </c>
      <c r="O75" s="141">
        <v>13468379210.17</v>
      </c>
      <c r="P75" s="143">
        <f t="shared" si="65"/>
        <v>0.70194659676632298</v>
      </c>
      <c r="Q75" s="141">
        <v>13089669359.17</v>
      </c>
      <c r="R75" s="143">
        <f t="shared" ref="R75" si="69">+Q75/$L75</f>
        <v>0.68220895150678051</v>
      </c>
    </row>
    <row r="76" spans="1:18" ht="24.95" customHeight="1">
      <c r="A76" s="32" t="e">
        <v>#REF!</v>
      </c>
      <c r="B76" s="145" t="s">
        <v>23</v>
      </c>
      <c r="C76" s="145" t="s">
        <v>54</v>
      </c>
      <c r="D76" s="145" t="s">
        <v>54</v>
      </c>
      <c r="E76" s="145" t="s">
        <v>54</v>
      </c>
      <c r="F76" s="145" t="s">
        <v>46</v>
      </c>
      <c r="G76" s="145" t="s">
        <v>34</v>
      </c>
      <c r="H76" s="145"/>
      <c r="I76" s="145">
        <v>10</v>
      </c>
      <c r="J76" s="146" t="s">
        <v>29</v>
      </c>
      <c r="K76" s="147" t="s">
        <v>114</v>
      </c>
      <c r="L76" s="148">
        <v>24625950</v>
      </c>
      <c r="M76" s="148">
        <v>24625950</v>
      </c>
      <c r="N76" s="150">
        <f t="shared" si="65"/>
        <v>1</v>
      </c>
      <c r="O76" s="148">
        <v>13693599.800000001</v>
      </c>
      <c r="P76" s="150">
        <f t="shared" si="65"/>
        <v>0.55606381885774969</v>
      </c>
      <c r="Q76" s="148">
        <v>13693599.800000001</v>
      </c>
      <c r="R76" s="150">
        <f t="shared" ref="R76" si="70">+Q76/$L76</f>
        <v>0.55606381885774969</v>
      </c>
    </row>
    <row r="77" spans="1:18" ht="24.95" customHeight="1">
      <c r="A77" s="32" t="e">
        <v>#REF!</v>
      </c>
      <c r="B77" s="145" t="s">
        <v>23</v>
      </c>
      <c r="C77" s="145" t="s">
        <v>54</v>
      </c>
      <c r="D77" s="145" t="s">
        <v>54</v>
      </c>
      <c r="E77" s="145" t="s">
        <v>54</v>
      </c>
      <c r="F77" s="145" t="s">
        <v>46</v>
      </c>
      <c r="G77" s="145" t="s">
        <v>36</v>
      </c>
      <c r="H77" s="145"/>
      <c r="I77" s="145">
        <v>10</v>
      </c>
      <c r="J77" s="146" t="s">
        <v>29</v>
      </c>
      <c r="K77" s="147" t="s">
        <v>115</v>
      </c>
      <c r="L77" s="148">
        <v>9874026894</v>
      </c>
      <c r="M77" s="148">
        <v>9866767121</v>
      </c>
      <c r="N77" s="150">
        <f t="shared" si="65"/>
        <v>0.99926476066169001</v>
      </c>
      <c r="O77" s="148">
        <v>7018731226</v>
      </c>
      <c r="P77" s="150">
        <f t="shared" si="65"/>
        <v>0.71082763915348113</v>
      </c>
      <c r="Q77" s="148">
        <v>6640140875</v>
      </c>
      <c r="R77" s="150">
        <f t="shared" ref="R77" si="71">+Q77/$L77</f>
        <v>0.67248559744504177</v>
      </c>
    </row>
    <row r="78" spans="1:18" ht="24.95" customHeight="1">
      <c r="A78" s="32" t="e">
        <v>#REF!</v>
      </c>
      <c r="B78" s="145" t="s">
        <v>23</v>
      </c>
      <c r="C78" s="145" t="s">
        <v>54</v>
      </c>
      <c r="D78" s="145" t="s">
        <v>54</v>
      </c>
      <c r="E78" s="145" t="s">
        <v>54</v>
      </c>
      <c r="F78" s="145" t="s">
        <v>46</v>
      </c>
      <c r="G78" s="145" t="s">
        <v>38</v>
      </c>
      <c r="H78" s="145"/>
      <c r="I78" s="145">
        <v>10</v>
      </c>
      <c r="J78" s="146" t="s">
        <v>29</v>
      </c>
      <c r="K78" s="147" t="s">
        <v>116</v>
      </c>
      <c r="L78" s="148">
        <v>2217226775.8699999</v>
      </c>
      <c r="M78" s="148">
        <v>1796045600.75</v>
      </c>
      <c r="N78" s="150">
        <f t="shared" si="65"/>
        <v>0.81004145371880787</v>
      </c>
      <c r="O78" s="148">
        <v>1530117952.97</v>
      </c>
      <c r="P78" s="150">
        <f t="shared" si="65"/>
        <v>0.69010439961406711</v>
      </c>
      <c r="Q78" s="148">
        <v>1529998452.97</v>
      </c>
      <c r="R78" s="150">
        <f t="shared" ref="R78" si="72">+Q78/$L78</f>
        <v>0.69005050345815722</v>
      </c>
    </row>
    <row r="79" spans="1:18" ht="24.95" customHeight="1">
      <c r="A79" s="32" t="e">
        <v>#REF!</v>
      </c>
      <c r="B79" s="145" t="s">
        <v>23</v>
      </c>
      <c r="C79" s="145" t="s">
        <v>54</v>
      </c>
      <c r="D79" s="145" t="s">
        <v>54</v>
      </c>
      <c r="E79" s="145" t="s">
        <v>54</v>
      </c>
      <c r="F79" s="145" t="s">
        <v>46</v>
      </c>
      <c r="G79" s="145" t="s">
        <v>40</v>
      </c>
      <c r="H79" s="145"/>
      <c r="I79" s="145">
        <v>10</v>
      </c>
      <c r="J79" s="146" t="s">
        <v>29</v>
      </c>
      <c r="K79" s="147" t="s">
        <v>117</v>
      </c>
      <c r="L79" s="148">
        <v>6365268158</v>
      </c>
      <c r="M79" s="148">
        <v>5865606285.4200001</v>
      </c>
      <c r="N79" s="150">
        <f t="shared" si="65"/>
        <v>0.9215018346160303</v>
      </c>
      <c r="O79" s="148">
        <v>4541483021.5699997</v>
      </c>
      <c r="P79" s="150">
        <f t="shared" si="65"/>
        <v>0.71347866403117211</v>
      </c>
      <c r="Q79" s="148">
        <v>4541483021.5699997</v>
      </c>
      <c r="R79" s="150">
        <f t="shared" ref="R79" si="73">+Q79/$L79</f>
        <v>0.71347866403117211</v>
      </c>
    </row>
    <row r="80" spans="1:18" ht="24.95" customHeight="1">
      <c r="A80" s="32" t="e">
        <v>#REF!</v>
      </c>
      <c r="B80" s="145" t="s">
        <v>23</v>
      </c>
      <c r="C80" s="145" t="s">
        <v>54</v>
      </c>
      <c r="D80" s="145" t="s">
        <v>54</v>
      </c>
      <c r="E80" s="145" t="s">
        <v>54</v>
      </c>
      <c r="F80" s="145" t="s">
        <v>46</v>
      </c>
      <c r="G80" s="145" t="s">
        <v>44</v>
      </c>
      <c r="H80" s="145"/>
      <c r="I80" s="145">
        <v>10</v>
      </c>
      <c r="J80" s="146" t="s">
        <v>29</v>
      </c>
      <c r="K80" s="147" t="s">
        <v>118</v>
      </c>
      <c r="L80" s="148">
        <v>623037219.13</v>
      </c>
      <c r="M80" s="148">
        <v>477745287.94999999</v>
      </c>
      <c r="N80" s="150">
        <f t="shared" si="65"/>
        <v>0.76680055906951505</v>
      </c>
      <c r="O80" s="148">
        <v>326913105.82999998</v>
      </c>
      <c r="P80" s="150">
        <f t="shared" si="65"/>
        <v>0.52470879073082766</v>
      </c>
      <c r="Q80" s="148">
        <v>326913105.82999998</v>
      </c>
      <c r="R80" s="150">
        <f t="shared" ref="R80" si="74">+Q80/$L80</f>
        <v>0.52470879073082766</v>
      </c>
    </row>
    <row r="81" spans="1:18" ht="24.95" customHeight="1">
      <c r="A81" s="32" t="e">
        <v>#REF!</v>
      </c>
      <c r="B81" s="145" t="s">
        <v>23</v>
      </c>
      <c r="C81" s="145" t="s">
        <v>54</v>
      </c>
      <c r="D81" s="145" t="s">
        <v>54</v>
      </c>
      <c r="E81" s="145" t="s">
        <v>54</v>
      </c>
      <c r="F81" s="145" t="s">
        <v>46</v>
      </c>
      <c r="G81" s="145" t="s">
        <v>48</v>
      </c>
      <c r="H81" s="145"/>
      <c r="I81" s="145">
        <v>10</v>
      </c>
      <c r="J81" s="146" t="s">
        <v>29</v>
      </c>
      <c r="K81" s="147" t="s">
        <v>119</v>
      </c>
      <c r="L81" s="148">
        <v>83000000</v>
      </c>
      <c r="M81" s="148">
        <v>81896304</v>
      </c>
      <c r="N81" s="150">
        <f t="shared" si="65"/>
        <v>0.98670245783132526</v>
      </c>
      <c r="O81" s="148">
        <v>37440304</v>
      </c>
      <c r="P81" s="150">
        <f t="shared" si="65"/>
        <v>0.45108799999999999</v>
      </c>
      <c r="Q81" s="148">
        <v>37440304</v>
      </c>
      <c r="R81" s="150">
        <f t="shared" ref="R81" si="75">+Q81/$L81</f>
        <v>0.45108799999999999</v>
      </c>
    </row>
    <row r="82" spans="1:18" ht="24.95" customHeight="1">
      <c r="A82" s="32" t="e">
        <v>#REF!</v>
      </c>
      <c r="B82" s="139" t="s">
        <v>23</v>
      </c>
      <c r="C82" s="139" t="s">
        <v>54</v>
      </c>
      <c r="D82" s="139" t="s">
        <v>54</v>
      </c>
      <c r="E82" s="139" t="s">
        <v>54</v>
      </c>
      <c r="F82" s="139" t="s">
        <v>48</v>
      </c>
      <c r="G82" s="140"/>
      <c r="H82" s="140"/>
      <c r="I82" s="139" t="s">
        <v>28</v>
      </c>
      <c r="J82" s="140" t="s">
        <v>29</v>
      </c>
      <c r="K82" s="140" t="s">
        <v>120</v>
      </c>
      <c r="L82" s="141">
        <v>2130308515</v>
      </c>
      <c r="M82" s="141">
        <v>1696733228</v>
      </c>
      <c r="N82" s="143">
        <f t="shared" si="65"/>
        <v>0.79647300663397103</v>
      </c>
      <c r="O82" s="141">
        <v>1151352343.1599998</v>
      </c>
      <c r="P82" s="143">
        <f t="shared" si="65"/>
        <v>0.54046272408576457</v>
      </c>
      <c r="Q82" s="141">
        <v>1150995838.1599998</v>
      </c>
      <c r="R82" s="143">
        <f t="shared" ref="R82" si="76">+Q82/$L82</f>
        <v>0.54029537508561287</v>
      </c>
    </row>
    <row r="83" spans="1:18" ht="24.95" customHeight="1">
      <c r="A83" s="32" t="e">
        <v>#REF!</v>
      </c>
      <c r="B83" s="145" t="s">
        <v>23</v>
      </c>
      <c r="C83" s="145" t="s">
        <v>54</v>
      </c>
      <c r="D83" s="145" t="s">
        <v>54</v>
      </c>
      <c r="E83" s="145" t="s">
        <v>54</v>
      </c>
      <c r="F83" s="145" t="s">
        <v>48</v>
      </c>
      <c r="G83" s="145" t="s">
        <v>34</v>
      </c>
      <c r="H83" s="145"/>
      <c r="I83" s="145">
        <v>10</v>
      </c>
      <c r="J83" s="146" t="s">
        <v>29</v>
      </c>
      <c r="K83" s="147" t="s">
        <v>121</v>
      </c>
      <c r="L83" s="148">
        <v>974411226</v>
      </c>
      <c r="M83" s="148">
        <v>673463026</v>
      </c>
      <c r="N83" s="150">
        <f t="shared" si="65"/>
        <v>0.69114867319888618</v>
      </c>
      <c r="O83" s="148">
        <v>459690999</v>
      </c>
      <c r="P83" s="150">
        <f t="shared" si="65"/>
        <v>0.47176283147624576</v>
      </c>
      <c r="Q83" s="148">
        <v>459690999</v>
      </c>
      <c r="R83" s="150">
        <f t="shared" ref="R83" si="77">+Q83/$L83</f>
        <v>0.47176283147624576</v>
      </c>
    </row>
    <row r="84" spans="1:18" ht="24.95" customHeight="1">
      <c r="A84" s="32" t="e">
        <v>#REF!</v>
      </c>
      <c r="B84" s="145" t="s">
        <v>23</v>
      </c>
      <c r="C84" s="145" t="s">
        <v>54</v>
      </c>
      <c r="D84" s="145" t="s">
        <v>54</v>
      </c>
      <c r="E84" s="145" t="s">
        <v>54</v>
      </c>
      <c r="F84" s="145" t="s">
        <v>48</v>
      </c>
      <c r="G84" s="145" t="s">
        <v>36</v>
      </c>
      <c r="H84" s="145"/>
      <c r="I84" s="145">
        <v>10</v>
      </c>
      <c r="J84" s="146" t="s">
        <v>29</v>
      </c>
      <c r="K84" s="147" t="s">
        <v>122</v>
      </c>
      <c r="L84" s="148">
        <v>234946876</v>
      </c>
      <c r="M84" s="148">
        <v>159832826</v>
      </c>
      <c r="N84" s="150">
        <f t="shared" si="65"/>
        <v>0.68029347195916745</v>
      </c>
      <c r="O84" s="148">
        <v>109652715</v>
      </c>
      <c r="P84" s="150">
        <f t="shared" si="65"/>
        <v>0.46671280276993338</v>
      </c>
      <c r="Q84" s="148">
        <v>109652715</v>
      </c>
      <c r="R84" s="150">
        <f t="shared" ref="R84" si="78">+Q84/$L84</f>
        <v>0.46671280276993338</v>
      </c>
    </row>
    <row r="85" spans="1:18" ht="24.95" customHeight="1">
      <c r="A85" s="32" t="e">
        <v>#REF!</v>
      </c>
      <c r="B85" s="145" t="s">
        <v>23</v>
      </c>
      <c r="C85" s="145" t="s">
        <v>54</v>
      </c>
      <c r="D85" s="145" t="s">
        <v>54</v>
      </c>
      <c r="E85" s="145" t="s">
        <v>54</v>
      </c>
      <c r="F85" s="145" t="s">
        <v>48</v>
      </c>
      <c r="G85" s="145" t="s">
        <v>38</v>
      </c>
      <c r="H85" s="145"/>
      <c r="I85" s="145">
        <v>10</v>
      </c>
      <c r="J85" s="146" t="s">
        <v>29</v>
      </c>
      <c r="K85" s="147" t="s">
        <v>123</v>
      </c>
      <c r="L85" s="148">
        <v>80000000</v>
      </c>
      <c r="M85" s="148">
        <v>52486963</v>
      </c>
      <c r="N85" s="150">
        <f t="shared" si="65"/>
        <v>0.65608703749999997</v>
      </c>
      <c r="O85" s="148">
        <v>52486236.270000003</v>
      </c>
      <c r="P85" s="150">
        <f t="shared" si="65"/>
        <v>0.65607795337500008</v>
      </c>
      <c r="Q85" s="148">
        <v>52129731.270000003</v>
      </c>
      <c r="R85" s="150">
        <f t="shared" ref="R85" si="79">+Q85/$L85</f>
        <v>0.65162164087500007</v>
      </c>
    </row>
    <row r="86" spans="1:18" ht="24.95" customHeight="1">
      <c r="A86" s="32" t="e">
        <v>#REF!</v>
      </c>
      <c r="B86" s="145" t="s">
        <v>23</v>
      </c>
      <c r="C86" s="145" t="s">
        <v>54</v>
      </c>
      <c r="D86" s="145" t="s">
        <v>54</v>
      </c>
      <c r="E86" s="145" t="s">
        <v>54</v>
      </c>
      <c r="F86" s="145" t="s">
        <v>48</v>
      </c>
      <c r="G86" s="145" t="s">
        <v>42</v>
      </c>
      <c r="H86" s="145"/>
      <c r="I86" s="145">
        <v>10</v>
      </c>
      <c r="J86" s="146" t="s">
        <v>29</v>
      </c>
      <c r="K86" s="147" t="s">
        <v>124</v>
      </c>
      <c r="L86" s="148">
        <v>825515972</v>
      </c>
      <c r="M86" s="148">
        <v>795515972</v>
      </c>
      <c r="N86" s="150">
        <f t="shared" si="65"/>
        <v>0.96365909198907662</v>
      </c>
      <c r="O86" s="148">
        <v>529522392.88999999</v>
      </c>
      <c r="P86" s="150">
        <f t="shared" si="65"/>
        <v>0.64144415232465057</v>
      </c>
      <c r="Q86" s="148">
        <v>529522392.88999999</v>
      </c>
      <c r="R86" s="150">
        <f t="shared" ref="R86" si="80">+Q86/$L86</f>
        <v>0.64144415232465057</v>
      </c>
    </row>
    <row r="87" spans="1:18" ht="24.95" customHeight="1">
      <c r="A87" s="32" t="e">
        <v>#REF!</v>
      </c>
      <c r="B87" s="145" t="s">
        <v>23</v>
      </c>
      <c r="C87" s="145" t="s">
        <v>54</v>
      </c>
      <c r="D87" s="145" t="s">
        <v>54</v>
      </c>
      <c r="E87" s="145" t="s">
        <v>54</v>
      </c>
      <c r="F87" s="145" t="s">
        <v>48</v>
      </c>
      <c r="G87" s="145" t="s">
        <v>44</v>
      </c>
      <c r="H87" s="145"/>
      <c r="I87" s="145">
        <v>10</v>
      </c>
      <c r="J87" s="146" t="s">
        <v>29</v>
      </c>
      <c r="K87" s="147" t="s">
        <v>125</v>
      </c>
      <c r="L87" s="148">
        <v>15434441</v>
      </c>
      <c r="M87" s="148">
        <v>15434441</v>
      </c>
      <c r="N87" s="150">
        <f t="shared" si="65"/>
        <v>1</v>
      </c>
      <c r="O87" s="148">
        <v>0</v>
      </c>
      <c r="P87" s="150">
        <f t="shared" si="65"/>
        <v>0</v>
      </c>
      <c r="Q87" s="148">
        <v>0</v>
      </c>
      <c r="R87" s="150">
        <f t="shared" ref="R87" si="81">+Q87/$L87</f>
        <v>0</v>
      </c>
    </row>
    <row r="88" spans="1:18" ht="24.95" customHeight="1">
      <c r="A88" s="32" t="e">
        <v>#REF!</v>
      </c>
      <c r="B88" s="145" t="s">
        <v>23</v>
      </c>
      <c r="C88" s="145" t="s">
        <v>54</v>
      </c>
      <c r="D88" s="145" t="s">
        <v>54</v>
      </c>
      <c r="E88" s="145" t="s">
        <v>54</v>
      </c>
      <c r="F88" s="145" t="s">
        <v>50</v>
      </c>
      <c r="G88" s="145"/>
      <c r="H88" s="145"/>
      <c r="I88" s="145" t="s">
        <v>28</v>
      </c>
      <c r="J88" s="146" t="s">
        <v>29</v>
      </c>
      <c r="K88" s="152" t="s">
        <v>126</v>
      </c>
      <c r="L88" s="153">
        <v>741446420</v>
      </c>
      <c r="M88" s="153">
        <v>670483755</v>
      </c>
      <c r="N88" s="154">
        <f t="shared" si="65"/>
        <v>0.90429158050287706</v>
      </c>
      <c r="O88" s="153">
        <v>520805264</v>
      </c>
      <c r="P88" s="154">
        <f t="shared" si="65"/>
        <v>0.70241793601215308</v>
      </c>
      <c r="Q88" s="153">
        <v>520805264</v>
      </c>
      <c r="R88" s="154">
        <f t="shared" ref="R88" si="82">+Q88/$L88</f>
        <v>0.70241793601215308</v>
      </c>
    </row>
    <row r="89" spans="1:18" ht="36" customHeight="1">
      <c r="A89" s="32" t="e">
        <v>#REF!</v>
      </c>
      <c r="B89" s="123" t="s">
        <v>23</v>
      </c>
      <c r="C89" s="123" t="s">
        <v>65</v>
      </c>
      <c r="D89" s="123"/>
      <c r="E89" s="123"/>
      <c r="F89" s="123"/>
      <c r="G89" s="123"/>
      <c r="H89" s="123"/>
      <c r="I89" s="124"/>
      <c r="J89" s="124"/>
      <c r="K89" s="124" t="s">
        <v>127</v>
      </c>
      <c r="L89" s="125">
        <v>4797531613752</v>
      </c>
      <c r="M89" s="125">
        <v>4657610528981.4102</v>
      </c>
      <c r="N89" s="126">
        <f t="shared" si="65"/>
        <v>0.97083477587317824</v>
      </c>
      <c r="O89" s="125">
        <v>4508976844506.4102</v>
      </c>
      <c r="P89" s="126">
        <f t="shared" si="65"/>
        <v>0.93985349290488152</v>
      </c>
      <c r="Q89" s="125">
        <v>4508976844506.4102</v>
      </c>
      <c r="R89" s="126">
        <f t="shared" ref="R89" si="83">+Q89/$L89</f>
        <v>0.93985349290488152</v>
      </c>
    </row>
    <row r="90" spans="1:18" ht="24" customHeight="1">
      <c r="A90" s="32" t="e">
        <v>#REF!</v>
      </c>
      <c r="B90" s="128" t="s">
        <v>23</v>
      </c>
      <c r="C90" s="128" t="s">
        <v>65</v>
      </c>
      <c r="D90" s="128" t="s">
        <v>65</v>
      </c>
      <c r="E90" s="128"/>
      <c r="F90" s="128"/>
      <c r="G90" s="128"/>
      <c r="H90" s="128"/>
      <c r="I90" s="129"/>
      <c r="J90" s="129"/>
      <c r="K90" s="129" t="s">
        <v>128</v>
      </c>
      <c r="L90" s="130">
        <v>4794322613752</v>
      </c>
      <c r="M90" s="130">
        <v>4655360801633.4102</v>
      </c>
      <c r="N90" s="131">
        <f t="shared" si="65"/>
        <v>0.97101533974372256</v>
      </c>
      <c r="O90" s="130">
        <v>4506987609048.4102</v>
      </c>
      <c r="P90" s="131">
        <f t="shared" si="65"/>
        <v>0.94006765337831033</v>
      </c>
      <c r="Q90" s="130">
        <v>4506987609048.4102</v>
      </c>
      <c r="R90" s="131">
        <f t="shared" ref="R90" si="84">+Q90/$L90</f>
        <v>0.94006765337831033</v>
      </c>
    </row>
    <row r="91" spans="1:18" ht="24" customHeight="1">
      <c r="A91" s="32" t="e">
        <v>#REF!</v>
      </c>
      <c r="B91" s="133" t="s">
        <v>23</v>
      </c>
      <c r="C91" s="133" t="s">
        <v>65</v>
      </c>
      <c r="D91" s="133" t="s">
        <v>65</v>
      </c>
      <c r="E91" s="133" t="s">
        <v>25</v>
      </c>
      <c r="F91" s="133"/>
      <c r="G91" s="133"/>
      <c r="H91" s="133"/>
      <c r="I91" s="133"/>
      <c r="J91" s="134"/>
      <c r="K91" s="134" t="s">
        <v>129</v>
      </c>
      <c r="L91" s="135">
        <v>4794322613752</v>
      </c>
      <c r="M91" s="135">
        <v>4655360801633.4102</v>
      </c>
      <c r="N91" s="137">
        <f t="shared" si="65"/>
        <v>0.97101533974372256</v>
      </c>
      <c r="O91" s="135">
        <v>4506987609048.4102</v>
      </c>
      <c r="P91" s="137">
        <f t="shared" si="65"/>
        <v>0.94006765337831033</v>
      </c>
      <c r="Q91" s="135">
        <v>4506987609048.4102</v>
      </c>
      <c r="R91" s="137">
        <f t="shared" ref="R91" si="85">+Q91/$L91</f>
        <v>0.94006765337831033</v>
      </c>
    </row>
    <row r="92" spans="1:18" ht="24.95" customHeight="1">
      <c r="A92" s="32" t="e">
        <v>#REF!</v>
      </c>
      <c r="B92" s="145" t="s">
        <v>23</v>
      </c>
      <c r="C92" s="145" t="s">
        <v>65</v>
      </c>
      <c r="D92" s="145" t="s">
        <v>65</v>
      </c>
      <c r="E92" s="145" t="s">
        <v>25</v>
      </c>
      <c r="F92" s="145" t="s">
        <v>130</v>
      </c>
      <c r="G92" s="145"/>
      <c r="H92" s="145"/>
      <c r="I92" s="145">
        <v>54</v>
      </c>
      <c r="J92" s="146" t="s">
        <v>29</v>
      </c>
      <c r="K92" s="147" t="s">
        <v>131</v>
      </c>
      <c r="L92" s="148">
        <v>14432339552</v>
      </c>
      <c r="M92" s="149">
        <v>12218664025</v>
      </c>
      <c r="N92" s="150">
        <f t="shared" si="65"/>
        <v>0.84661700072783874</v>
      </c>
      <c r="O92" s="148">
        <v>12013397340</v>
      </c>
      <c r="P92" s="150">
        <f t="shared" si="65"/>
        <v>0.83239431117286955</v>
      </c>
      <c r="Q92" s="148">
        <v>12013397340</v>
      </c>
      <c r="R92" s="150">
        <f t="shared" ref="R92" si="86">+Q92/$L92</f>
        <v>0.83239431117286955</v>
      </c>
    </row>
    <row r="93" spans="1:18" ht="24.95" customHeight="1">
      <c r="A93" s="32" t="e">
        <v>#REF!</v>
      </c>
      <c r="B93" s="145" t="s">
        <v>23</v>
      </c>
      <c r="C93" s="145" t="s">
        <v>65</v>
      </c>
      <c r="D93" s="145" t="s">
        <v>65</v>
      </c>
      <c r="E93" s="145" t="s">
        <v>25</v>
      </c>
      <c r="F93" s="145" t="s">
        <v>130</v>
      </c>
      <c r="G93" s="145"/>
      <c r="H93" s="145"/>
      <c r="I93" s="145">
        <v>54</v>
      </c>
      <c r="J93" s="146" t="s">
        <v>29</v>
      </c>
      <c r="K93" s="147" t="s">
        <v>132</v>
      </c>
      <c r="L93" s="148">
        <v>3962175234200</v>
      </c>
      <c r="M93" s="149">
        <v>3825427097608.4102</v>
      </c>
      <c r="N93" s="150">
        <f t="shared" si="65"/>
        <v>0.96548660053921098</v>
      </c>
      <c r="O93" s="148">
        <v>3680677651708.4102</v>
      </c>
      <c r="P93" s="150">
        <f t="shared" si="65"/>
        <v>0.92895377769720811</v>
      </c>
      <c r="Q93" s="148">
        <v>3680677651708.4102</v>
      </c>
      <c r="R93" s="150">
        <f t="shared" ref="R93" si="87">+Q93/$L93</f>
        <v>0.92895377769720811</v>
      </c>
    </row>
    <row r="94" spans="1:18" ht="24.95" customHeight="1">
      <c r="A94" s="32" t="e">
        <v>#REF!</v>
      </c>
      <c r="B94" s="145" t="s">
        <v>23</v>
      </c>
      <c r="C94" s="145" t="s">
        <v>65</v>
      </c>
      <c r="D94" s="145" t="s">
        <v>65</v>
      </c>
      <c r="E94" s="145" t="s">
        <v>25</v>
      </c>
      <c r="F94" s="145" t="s">
        <v>130</v>
      </c>
      <c r="G94" s="145"/>
      <c r="H94" s="145"/>
      <c r="I94" s="145">
        <v>54</v>
      </c>
      <c r="J94" s="146" t="s">
        <v>29</v>
      </c>
      <c r="K94" s="147" t="s">
        <v>133</v>
      </c>
      <c r="L94" s="148">
        <v>817715040000</v>
      </c>
      <c r="M94" s="149">
        <v>817715040000</v>
      </c>
      <c r="N94" s="150">
        <f t="shared" si="65"/>
        <v>1</v>
      </c>
      <c r="O94" s="148">
        <v>814296560000</v>
      </c>
      <c r="P94" s="150">
        <f t="shared" si="65"/>
        <v>0.99581947275911664</v>
      </c>
      <c r="Q94" s="148">
        <v>814296560000</v>
      </c>
      <c r="R94" s="150">
        <f t="shared" ref="R94" si="88">+Q94/$L94</f>
        <v>0.99581947275911664</v>
      </c>
    </row>
    <row r="95" spans="1:18" ht="24.95" customHeight="1">
      <c r="A95" s="32" t="e">
        <v>#REF!</v>
      </c>
      <c r="B95" s="145" t="s">
        <v>23</v>
      </c>
      <c r="C95" s="145" t="s">
        <v>65</v>
      </c>
      <c r="D95" s="145" t="s">
        <v>65</v>
      </c>
      <c r="E95" s="145" t="s">
        <v>25</v>
      </c>
      <c r="F95" s="145" t="s">
        <v>134</v>
      </c>
      <c r="G95" s="145"/>
      <c r="H95" s="145"/>
      <c r="I95" s="145" t="s">
        <v>28</v>
      </c>
      <c r="J95" s="146" t="s">
        <v>29</v>
      </c>
      <c r="K95" s="147" t="s">
        <v>135</v>
      </c>
      <c r="L95" s="148">
        <v>0</v>
      </c>
      <c r="M95" s="148"/>
      <c r="N95" s="150" t="e">
        <f t="shared" si="65"/>
        <v>#DIV/0!</v>
      </c>
      <c r="O95" s="148"/>
      <c r="P95" s="150" t="e">
        <f t="shared" si="65"/>
        <v>#DIV/0!</v>
      </c>
      <c r="Q95" s="148"/>
      <c r="R95" s="150" t="e">
        <f t="shared" ref="R95" si="89">+Q95/$L95</f>
        <v>#DIV/0!</v>
      </c>
    </row>
    <row r="96" spans="1:18" ht="24.95" customHeight="1">
      <c r="A96" s="32" t="e">
        <v>#REF!</v>
      </c>
      <c r="B96" s="145" t="s">
        <v>23</v>
      </c>
      <c r="C96" s="145" t="s">
        <v>65</v>
      </c>
      <c r="D96" s="145" t="s">
        <v>65</v>
      </c>
      <c r="E96" s="145" t="s">
        <v>25</v>
      </c>
      <c r="F96" s="145" t="s">
        <v>134</v>
      </c>
      <c r="G96" s="145"/>
      <c r="H96" s="145"/>
      <c r="I96" s="145">
        <v>11</v>
      </c>
      <c r="J96" s="146" t="s">
        <v>29</v>
      </c>
      <c r="K96" s="147" t="s">
        <v>135</v>
      </c>
      <c r="L96" s="148">
        <v>0</v>
      </c>
      <c r="M96" s="148"/>
      <c r="N96" s="150" t="e">
        <f t="shared" si="65"/>
        <v>#DIV/0!</v>
      </c>
      <c r="O96" s="148"/>
      <c r="P96" s="150" t="e">
        <f t="shared" si="65"/>
        <v>#DIV/0!</v>
      </c>
      <c r="Q96" s="148"/>
      <c r="R96" s="150" t="e">
        <f t="shared" ref="R96" si="90">+Q96/$L96</f>
        <v>#DIV/0!</v>
      </c>
    </row>
    <row r="97" spans="1:20" ht="24" customHeight="1">
      <c r="A97" s="32" t="e">
        <v>#REF!</v>
      </c>
      <c r="B97" s="128" t="s">
        <v>23</v>
      </c>
      <c r="C97" s="128" t="s">
        <v>65</v>
      </c>
      <c r="D97" s="128" t="s">
        <v>136</v>
      </c>
      <c r="E97" s="128"/>
      <c r="F97" s="128"/>
      <c r="G97" s="128"/>
      <c r="H97" s="128"/>
      <c r="I97" s="129"/>
      <c r="J97" s="129"/>
      <c r="K97" s="129" t="s">
        <v>137</v>
      </c>
      <c r="L97" s="130">
        <v>534000000</v>
      </c>
      <c r="M97" s="130">
        <v>385908147</v>
      </c>
      <c r="N97" s="131">
        <f t="shared" si="65"/>
        <v>0.72267443258426967</v>
      </c>
      <c r="O97" s="130">
        <v>125416257</v>
      </c>
      <c r="P97" s="131">
        <f t="shared" si="65"/>
        <v>0.23486190449438202</v>
      </c>
      <c r="Q97" s="130">
        <v>125416257</v>
      </c>
      <c r="R97" s="131">
        <f t="shared" ref="R97" si="91">+Q97/$L97</f>
        <v>0.23486190449438202</v>
      </c>
    </row>
    <row r="98" spans="1:20" ht="24" customHeight="1">
      <c r="A98" s="32" t="e">
        <v>#REF!</v>
      </c>
      <c r="B98" s="133" t="s">
        <v>23</v>
      </c>
      <c r="C98" s="133" t="s">
        <v>65</v>
      </c>
      <c r="D98" s="133" t="s">
        <v>136</v>
      </c>
      <c r="E98" s="133" t="s">
        <v>54</v>
      </c>
      <c r="F98" s="133"/>
      <c r="G98" s="133"/>
      <c r="H98" s="133"/>
      <c r="I98" s="133" t="s">
        <v>28</v>
      </c>
      <c r="J98" s="134" t="s">
        <v>29</v>
      </c>
      <c r="K98" s="134" t="s">
        <v>138</v>
      </c>
      <c r="L98" s="135">
        <v>534000000</v>
      </c>
      <c r="M98" s="135">
        <v>385908147</v>
      </c>
      <c r="N98" s="137">
        <f t="shared" si="65"/>
        <v>0.72267443258426967</v>
      </c>
      <c r="O98" s="135">
        <v>125416257</v>
      </c>
      <c r="P98" s="137">
        <f t="shared" si="65"/>
        <v>0.23486190449438202</v>
      </c>
      <c r="Q98" s="135">
        <v>125416257</v>
      </c>
      <c r="R98" s="137">
        <f t="shared" ref="R98" si="92">+Q98/$L98</f>
        <v>0.23486190449438202</v>
      </c>
    </row>
    <row r="99" spans="1:20" ht="24.95" customHeight="1">
      <c r="A99" s="32" t="e">
        <v>#REF!</v>
      </c>
      <c r="B99" s="139" t="s">
        <v>23</v>
      </c>
      <c r="C99" s="139" t="s">
        <v>65</v>
      </c>
      <c r="D99" s="139" t="s">
        <v>136</v>
      </c>
      <c r="E99" s="139" t="s">
        <v>54</v>
      </c>
      <c r="F99" s="139" t="s">
        <v>52</v>
      </c>
      <c r="G99" s="139"/>
      <c r="H99" s="139"/>
      <c r="I99" s="139" t="s">
        <v>28</v>
      </c>
      <c r="J99" s="140" t="s">
        <v>29</v>
      </c>
      <c r="K99" s="140" t="s">
        <v>139</v>
      </c>
      <c r="L99" s="141">
        <v>534000000</v>
      </c>
      <c r="M99" s="141">
        <v>385908147</v>
      </c>
      <c r="N99" s="143">
        <f t="shared" si="65"/>
        <v>0.72267443258426967</v>
      </c>
      <c r="O99" s="141">
        <v>125416257</v>
      </c>
      <c r="P99" s="143">
        <f t="shared" si="65"/>
        <v>0.23486190449438202</v>
      </c>
      <c r="Q99" s="141">
        <v>125416257</v>
      </c>
      <c r="R99" s="143">
        <f t="shared" ref="R99" si="93">+Q99/$L99</f>
        <v>0.23486190449438202</v>
      </c>
    </row>
    <row r="100" spans="1:20" ht="24.95" customHeight="1">
      <c r="A100" s="32" t="e">
        <v>#REF!</v>
      </c>
      <c r="B100" s="145" t="s">
        <v>23</v>
      </c>
      <c r="C100" s="145" t="s">
        <v>65</v>
      </c>
      <c r="D100" s="145" t="s">
        <v>136</v>
      </c>
      <c r="E100" s="145" t="s">
        <v>54</v>
      </c>
      <c r="F100" s="145" t="s">
        <v>52</v>
      </c>
      <c r="G100" s="145" t="s">
        <v>31</v>
      </c>
      <c r="H100" s="145"/>
      <c r="I100" s="145" t="s">
        <v>28</v>
      </c>
      <c r="J100" s="146" t="s">
        <v>29</v>
      </c>
      <c r="K100" s="147" t="s">
        <v>140</v>
      </c>
      <c r="L100" s="148">
        <v>267000000</v>
      </c>
      <c r="M100" s="148">
        <v>182253753</v>
      </c>
      <c r="N100" s="150">
        <f t="shared" si="65"/>
        <v>0.68259832584269664</v>
      </c>
      <c r="O100" s="148">
        <v>104770847</v>
      </c>
      <c r="P100" s="150">
        <f t="shared" si="65"/>
        <v>0.39240017602996252</v>
      </c>
      <c r="Q100" s="148">
        <v>104770847</v>
      </c>
      <c r="R100" s="150">
        <f t="shared" ref="R100" si="94">+Q100/$L100</f>
        <v>0.39240017602996252</v>
      </c>
    </row>
    <row r="101" spans="1:20" ht="24.95" customHeight="1">
      <c r="A101" s="32" t="e">
        <v>#REF!</v>
      </c>
      <c r="B101" s="145" t="s">
        <v>23</v>
      </c>
      <c r="C101" s="145" t="s">
        <v>65</v>
      </c>
      <c r="D101" s="145" t="s">
        <v>136</v>
      </c>
      <c r="E101" s="145" t="s">
        <v>54</v>
      </c>
      <c r="F101" s="145" t="s">
        <v>52</v>
      </c>
      <c r="G101" s="145" t="s">
        <v>34</v>
      </c>
      <c r="H101" s="145"/>
      <c r="I101" s="145" t="s">
        <v>28</v>
      </c>
      <c r="J101" s="146" t="s">
        <v>29</v>
      </c>
      <c r="K101" s="147" t="s">
        <v>141</v>
      </c>
      <c r="L101" s="148">
        <v>267000000</v>
      </c>
      <c r="M101" s="148">
        <v>203654394</v>
      </c>
      <c r="N101" s="150">
        <f t="shared" si="65"/>
        <v>0.76275053932584269</v>
      </c>
      <c r="O101" s="148">
        <v>20645410</v>
      </c>
      <c r="P101" s="150">
        <f t="shared" si="65"/>
        <v>7.73236329588015E-2</v>
      </c>
      <c r="Q101" s="148">
        <v>20645410</v>
      </c>
      <c r="R101" s="150">
        <f t="shared" ref="R101" si="95">+Q101/$L101</f>
        <v>7.73236329588015E-2</v>
      </c>
    </row>
    <row r="102" spans="1:20" ht="24.95" hidden="1" customHeight="1">
      <c r="A102" s="32" t="e">
        <v>#REF!</v>
      </c>
      <c r="B102" s="145" t="s">
        <v>23</v>
      </c>
      <c r="C102" s="145" t="s">
        <v>65</v>
      </c>
      <c r="D102" s="145" t="s">
        <v>136</v>
      </c>
      <c r="E102" s="145" t="s">
        <v>54</v>
      </c>
      <c r="F102" s="145" t="s">
        <v>142</v>
      </c>
      <c r="G102" s="145"/>
      <c r="H102" s="145"/>
      <c r="I102" s="145" t="s">
        <v>28</v>
      </c>
      <c r="J102" s="146" t="s">
        <v>29</v>
      </c>
      <c r="K102" s="147" t="s">
        <v>260</v>
      </c>
      <c r="L102" s="148">
        <v>0</v>
      </c>
      <c r="M102" s="148">
        <v>0</v>
      </c>
      <c r="N102" s="150" t="e">
        <f t="shared" si="65"/>
        <v>#DIV/0!</v>
      </c>
      <c r="O102" s="148">
        <v>0</v>
      </c>
      <c r="P102" s="150" t="e">
        <f t="shared" si="65"/>
        <v>#DIV/0!</v>
      </c>
      <c r="Q102" s="148">
        <v>0</v>
      </c>
      <c r="R102" s="150" t="e">
        <f t="shared" ref="R102" si="96">+Q102/$L102</f>
        <v>#DIV/0!</v>
      </c>
    </row>
    <row r="103" spans="1:20" ht="24" customHeight="1">
      <c r="A103" s="32" t="e">
        <v>#REF!</v>
      </c>
      <c r="B103" s="128" t="s">
        <v>23</v>
      </c>
      <c r="C103" s="128" t="s">
        <v>65</v>
      </c>
      <c r="D103" s="128" t="s">
        <v>28</v>
      </c>
      <c r="E103" s="128"/>
      <c r="F103" s="128"/>
      <c r="G103" s="128"/>
      <c r="H103" s="128"/>
      <c r="I103" s="129"/>
      <c r="J103" s="129"/>
      <c r="K103" s="129" t="s">
        <v>143</v>
      </c>
      <c r="L103" s="130">
        <v>2675000000</v>
      </c>
      <c r="M103" s="130">
        <v>1863819201</v>
      </c>
      <c r="N103" s="131">
        <f t="shared" si="65"/>
        <v>0.69675484149532707</v>
      </c>
      <c r="O103" s="130">
        <v>1863819201</v>
      </c>
      <c r="P103" s="131">
        <f t="shared" si="65"/>
        <v>0.69675484149532707</v>
      </c>
      <c r="Q103" s="130">
        <v>1863819201</v>
      </c>
      <c r="R103" s="131">
        <f t="shared" ref="R103" si="97">+Q103/$L103</f>
        <v>0.69675484149532707</v>
      </c>
    </row>
    <row r="104" spans="1:20" ht="24" customHeight="1">
      <c r="A104" s="32" t="e">
        <v>#REF!</v>
      </c>
      <c r="B104" s="133" t="s">
        <v>23</v>
      </c>
      <c r="C104" s="133" t="s">
        <v>65</v>
      </c>
      <c r="D104" s="133" t="s">
        <v>28</v>
      </c>
      <c r="E104" s="133" t="s">
        <v>25</v>
      </c>
      <c r="F104" s="133"/>
      <c r="G104" s="133"/>
      <c r="H104" s="133"/>
      <c r="I104" s="133" t="s">
        <v>144</v>
      </c>
      <c r="J104" s="134" t="s">
        <v>29</v>
      </c>
      <c r="K104" s="134" t="s">
        <v>145</v>
      </c>
      <c r="L104" s="135">
        <v>2675000000</v>
      </c>
      <c r="M104" s="135">
        <v>1863819201</v>
      </c>
      <c r="N104" s="137">
        <f t="shared" si="65"/>
        <v>0.69675484149532707</v>
      </c>
      <c r="O104" s="135">
        <v>1863819201</v>
      </c>
      <c r="P104" s="137">
        <f t="shared" si="65"/>
        <v>0.69675484149532707</v>
      </c>
      <c r="Q104" s="135">
        <v>1863819201</v>
      </c>
      <c r="R104" s="137">
        <f t="shared" ref="R104" si="98">+Q104/$L104</f>
        <v>0.69675484149532707</v>
      </c>
    </row>
    <row r="105" spans="1:20" ht="24.95" customHeight="1">
      <c r="A105" s="32" t="e">
        <v>#REF!</v>
      </c>
      <c r="B105" s="145" t="s">
        <v>23</v>
      </c>
      <c r="C105" s="145" t="s">
        <v>65</v>
      </c>
      <c r="D105" s="145" t="s">
        <v>28</v>
      </c>
      <c r="E105" s="145" t="s">
        <v>25</v>
      </c>
      <c r="F105" s="145" t="s">
        <v>31</v>
      </c>
      <c r="G105" s="145"/>
      <c r="H105" s="145"/>
      <c r="I105" s="145">
        <v>10</v>
      </c>
      <c r="J105" s="146" t="s">
        <v>29</v>
      </c>
      <c r="K105" s="147" t="s">
        <v>146</v>
      </c>
      <c r="L105" s="148">
        <v>2675000000</v>
      </c>
      <c r="M105" s="149">
        <v>1863819201</v>
      </c>
      <c r="N105" s="150">
        <f t="shared" si="65"/>
        <v>0.69675484149532707</v>
      </c>
      <c r="O105" s="148">
        <v>1863819201</v>
      </c>
      <c r="P105" s="150">
        <f t="shared" si="65"/>
        <v>0.69675484149532707</v>
      </c>
      <c r="Q105" s="148">
        <v>1863819201</v>
      </c>
      <c r="R105" s="150">
        <f t="shared" ref="R105" si="99">+Q105/$L105</f>
        <v>0.69675484149532707</v>
      </c>
    </row>
    <row r="106" spans="1:20" ht="24" customHeight="1">
      <c r="A106" s="32" t="e">
        <v>#REF!</v>
      </c>
      <c r="B106" s="123" t="s">
        <v>23</v>
      </c>
      <c r="C106" s="123" t="s">
        <v>148</v>
      </c>
      <c r="D106" s="123"/>
      <c r="E106" s="123"/>
      <c r="F106" s="123"/>
      <c r="G106" s="123"/>
      <c r="H106" s="123"/>
      <c r="I106" s="124"/>
      <c r="J106" s="124"/>
      <c r="K106" s="124" t="s">
        <v>149</v>
      </c>
      <c r="L106" s="125">
        <v>6047000000</v>
      </c>
      <c r="M106" s="125">
        <v>82330482</v>
      </c>
      <c r="N106" s="126">
        <f t="shared" si="65"/>
        <v>1.361509541921614E-2</v>
      </c>
      <c r="O106" s="125">
        <v>82330343.129999995</v>
      </c>
      <c r="P106" s="126">
        <f t="shared" si="65"/>
        <v>1.3615072454109475E-2</v>
      </c>
      <c r="Q106" s="125">
        <v>82012958.129999995</v>
      </c>
      <c r="R106" s="126">
        <f t="shared" ref="R106" si="100">+Q106/$L106</f>
        <v>1.3562586097238299E-2</v>
      </c>
    </row>
    <row r="107" spans="1:20" ht="24" customHeight="1">
      <c r="A107" s="32" t="e">
        <v>#REF!</v>
      </c>
      <c r="B107" s="128" t="s">
        <v>23</v>
      </c>
      <c r="C107" s="128" t="s">
        <v>148</v>
      </c>
      <c r="D107" s="128" t="s">
        <v>25</v>
      </c>
      <c r="E107" s="128"/>
      <c r="F107" s="128"/>
      <c r="G107" s="128"/>
      <c r="H107" s="128"/>
      <c r="I107" s="129"/>
      <c r="J107" s="129"/>
      <c r="K107" s="129" t="s">
        <v>150</v>
      </c>
      <c r="L107" s="130">
        <v>134000000</v>
      </c>
      <c r="M107" s="130">
        <v>82330482</v>
      </c>
      <c r="N107" s="131">
        <f t="shared" si="65"/>
        <v>0.61440658208955223</v>
      </c>
      <c r="O107" s="130">
        <v>82330343.129999995</v>
      </c>
      <c r="P107" s="131">
        <f t="shared" si="65"/>
        <v>0.6144055457462686</v>
      </c>
      <c r="Q107" s="130">
        <v>82012958.129999995</v>
      </c>
      <c r="R107" s="131">
        <f t="shared" ref="R107" si="101">+Q107/$L107</f>
        <v>0.61203700097014924</v>
      </c>
    </row>
    <row r="108" spans="1:20" ht="24" customHeight="1">
      <c r="A108" s="32" t="e">
        <v>#REF!</v>
      </c>
      <c r="B108" s="133" t="s">
        <v>23</v>
      </c>
      <c r="C108" s="133" t="s">
        <v>148</v>
      </c>
      <c r="D108" s="133" t="s">
        <v>25</v>
      </c>
      <c r="E108" s="133" t="s">
        <v>54</v>
      </c>
      <c r="F108" s="133"/>
      <c r="G108" s="133"/>
      <c r="H108" s="133"/>
      <c r="I108" s="133" t="s">
        <v>28</v>
      </c>
      <c r="J108" s="134" t="s">
        <v>29</v>
      </c>
      <c r="K108" s="134" t="s">
        <v>151</v>
      </c>
      <c r="L108" s="135">
        <v>134000000</v>
      </c>
      <c r="M108" s="135">
        <v>82330482</v>
      </c>
      <c r="N108" s="137">
        <f t="shared" si="65"/>
        <v>0.61440658208955223</v>
      </c>
      <c r="O108" s="135">
        <v>82330343.129999995</v>
      </c>
      <c r="P108" s="137">
        <f t="shared" si="65"/>
        <v>0.6144055457462686</v>
      </c>
      <c r="Q108" s="135">
        <v>82012958.129999995</v>
      </c>
      <c r="R108" s="137">
        <f t="shared" ref="R108" si="102">+Q108/$L108</f>
        <v>0.61203700097014924</v>
      </c>
    </row>
    <row r="109" spans="1:20" ht="24.95" customHeight="1">
      <c r="A109" s="32" t="e">
        <v>#REF!</v>
      </c>
      <c r="B109" s="145" t="s">
        <v>23</v>
      </c>
      <c r="C109" s="145" t="s">
        <v>148</v>
      </c>
      <c r="D109" s="145" t="s">
        <v>25</v>
      </c>
      <c r="E109" s="145" t="s">
        <v>54</v>
      </c>
      <c r="F109" s="145" t="s">
        <v>31</v>
      </c>
      <c r="G109" s="145"/>
      <c r="H109" s="145"/>
      <c r="I109" s="145" t="s">
        <v>28</v>
      </c>
      <c r="J109" s="146" t="s">
        <v>29</v>
      </c>
      <c r="K109" s="147" t="s">
        <v>152</v>
      </c>
      <c r="L109" s="148">
        <v>60000000</v>
      </c>
      <c r="M109" s="148">
        <v>50544836</v>
      </c>
      <c r="N109" s="150">
        <f t="shared" si="65"/>
        <v>0.84241393333333336</v>
      </c>
      <c r="O109" s="148">
        <v>50544836</v>
      </c>
      <c r="P109" s="150">
        <f t="shared" si="65"/>
        <v>0.84241393333333336</v>
      </c>
      <c r="Q109" s="148">
        <v>50544836</v>
      </c>
      <c r="R109" s="150">
        <f t="shared" ref="R109" si="103">+Q109/$L109</f>
        <v>0.84241393333333336</v>
      </c>
    </row>
    <row r="110" spans="1:20" ht="24.95" customHeight="1">
      <c r="A110" s="32" t="e">
        <v>#REF!</v>
      </c>
      <c r="B110" s="145" t="s">
        <v>23</v>
      </c>
      <c r="C110" s="145" t="s">
        <v>148</v>
      </c>
      <c r="D110" s="145" t="s">
        <v>25</v>
      </c>
      <c r="E110" s="145" t="s">
        <v>54</v>
      </c>
      <c r="F110" s="145" t="s">
        <v>38</v>
      </c>
      <c r="G110" s="145"/>
      <c r="H110" s="145"/>
      <c r="I110" s="145" t="s">
        <v>28</v>
      </c>
      <c r="J110" s="146" t="s">
        <v>29</v>
      </c>
      <c r="K110" s="147" t="s">
        <v>153</v>
      </c>
      <c r="L110" s="148">
        <v>59000000</v>
      </c>
      <c r="M110" s="148">
        <v>24840616</v>
      </c>
      <c r="N110" s="150">
        <f t="shared" si="65"/>
        <v>0.42102738983050847</v>
      </c>
      <c r="O110" s="148">
        <v>24840477.129999999</v>
      </c>
      <c r="P110" s="150">
        <f t="shared" si="65"/>
        <v>0.42102503610169489</v>
      </c>
      <c r="Q110" s="148">
        <v>24523092.129999999</v>
      </c>
      <c r="R110" s="150">
        <f t="shared" ref="R110" si="104">+Q110/$L110</f>
        <v>0.41564562932203386</v>
      </c>
    </row>
    <row r="111" spans="1:20" ht="24.95" customHeight="1">
      <c r="A111" s="32" t="e">
        <v>#REF!</v>
      </c>
      <c r="B111" s="145" t="s">
        <v>23</v>
      </c>
      <c r="C111" s="145" t="s">
        <v>148</v>
      </c>
      <c r="D111" s="145" t="s">
        <v>25</v>
      </c>
      <c r="E111" s="145" t="s">
        <v>54</v>
      </c>
      <c r="F111" s="145" t="s">
        <v>42</v>
      </c>
      <c r="G111" s="145"/>
      <c r="H111" s="145"/>
      <c r="I111" s="145" t="s">
        <v>28</v>
      </c>
      <c r="J111" s="146" t="s">
        <v>29</v>
      </c>
      <c r="K111" s="147" t="s">
        <v>154</v>
      </c>
      <c r="L111" s="148">
        <v>15000000</v>
      </c>
      <c r="M111" s="148">
        <v>6945030</v>
      </c>
      <c r="N111" s="150">
        <f t="shared" si="65"/>
        <v>0.46300200000000002</v>
      </c>
      <c r="O111" s="148">
        <v>6945030</v>
      </c>
      <c r="P111" s="150">
        <f t="shared" si="65"/>
        <v>0.46300200000000002</v>
      </c>
      <c r="Q111" s="148">
        <v>6945030</v>
      </c>
      <c r="R111" s="150">
        <f t="shared" ref="R111" si="105">+Q111/$L111</f>
        <v>0.46300200000000002</v>
      </c>
    </row>
    <row r="112" spans="1:20" ht="24" customHeight="1">
      <c r="A112" s="32" t="e">
        <v>#REF!</v>
      </c>
      <c r="B112" s="128" t="s">
        <v>23</v>
      </c>
      <c r="C112" s="128" t="s">
        <v>148</v>
      </c>
      <c r="D112" s="128" t="s">
        <v>136</v>
      </c>
      <c r="E112" s="128"/>
      <c r="F112" s="128"/>
      <c r="G112" s="128"/>
      <c r="H112" s="128"/>
      <c r="I112" s="129"/>
      <c r="J112" s="129"/>
      <c r="K112" s="129" t="s">
        <v>155</v>
      </c>
      <c r="L112" s="130">
        <v>5913000000</v>
      </c>
      <c r="M112" s="130">
        <v>0</v>
      </c>
      <c r="N112" s="131">
        <f t="shared" si="65"/>
        <v>0</v>
      </c>
      <c r="O112" s="130">
        <v>0</v>
      </c>
      <c r="P112" s="131">
        <f t="shared" si="65"/>
        <v>0</v>
      </c>
      <c r="Q112" s="130">
        <v>0</v>
      </c>
      <c r="R112" s="131">
        <f t="shared" ref="R112" si="106">+Q112/$L112</f>
        <v>0</v>
      </c>
    </row>
    <row r="113" spans="1:18" ht="24.95" hidden="1" customHeight="1">
      <c r="A113" s="32"/>
      <c r="B113" s="145" t="s">
        <v>23</v>
      </c>
      <c r="C113" s="145" t="s">
        <v>148</v>
      </c>
      <c r="D113" s="145" t="s">
        <v>136</v>
      </c>
      <c r="E113" s="145" t="s">
        <v>25</v>
      </c>
      <c r="F113" s="145"/>
      <c r="G113" s="145"/>
      <c r="H113" s="145"/>
      <c r="I113" s="145">
        <v>10</v>
      </c>
      <c r="J113" s="146" t="s">
        <v>156</v>
      </c>
      <c r="K113" s="147" t="s">
        <v>157</v>
      </c>
      <c r="L113" s="148">
        <v>0</v>
      </c>
      <c r="M113" s="148">
        <v>0</v>
      </c>
      <c r="N113" s="150" t="e">
        <f t="shared" si="65"/>
        <v>#DIV/0!</v>
      </c>
      <c r="O113" s="148">
        <v>0</v>
      </c>
      <c r="P113" s="150" t="e">
        <f t="shared" si="65"/>
        <v>#DIV/0!</v>
      </c>
      <c r="Q113" s="148">
        <v>0</v>
      </c>
      <c r="R113" s="150" t="e">
        <f t="shared" ref="R113" si="107">+Q113/$L113</f>
        <v>#DIV/0!</v>
      </c>
    </row>
    <row r="114" spans="1:18" ht="24.95" customHeight="1">
      <c r="A114" s="32" t="e">
        <v>#REF!</v>
      </c>
      <c r="B114" s="145" t="s">
        <v>23</v>
      </c>
      <c r="C114" s="145" t="s">
        <v>148</v>
      </c>
      <c r="D114" s="145" t="s">
        <v>136</v>
      </c>
      <c r="E114" s="145" t="s">
        <v>25</v>
      </c>
      <c r="F114" s="145"/>
      <c r="G114" s="145"/>
      <c r="H114" s="145"/>
      <c r="I114" s="145" t="s">
        <v>144</v>
      </c>
      <c r="J114" s="146" t="s">
        <v>156</v>
      </c>
      <c r="K114" s="147" t="s">
        <v>157</v>
      </c>
      <c r="L114" s="148">
        <v>5913000000</v>
      </c>
      <c r="M114" s="149">
        <v>0</v>
      </c>
      <c r="N114" s="150">
        <f t="shared" si="65"/>
        <v>0</v>
      </c>
      <c r="O114" s="148">
        <v>0</v>
      </c>
      <c r="P114" s="150">
        <f t="shared" si="65"/>
        <v>0</v>
      </c>
      <c r="Q114" s="148">
        <v>0</v>
      </c>
      <c r="R114" s="150">
        <f t="shared" ref="R114" si="108">+Q114/$L114</f>
        <v>0</v>
      </c>
    </row>
    <row r="115" spans="1:18" ht="35.1" customHeight="1">
      <c r="A115" s="32" t="e">
        <v>#REF!</v>
      </c>
      <c r="B115" s="118" t="s">
        <v>167</v>
      </c>
      <c r="C115" s="119"/>
      <c r="D115" s="119"/>
      <c r="E115" s="119"/>
      <c r="F115" s="119"/>
      <c r="G115" s="119"/>
      <c r="H115" s="119"/>
      <c r="I115" s="119"/>
      <c r="J115" s="119"/>
      <c r="K115" s="119" t="s">
        <v>168</v>
      </c>
      <c r="L115" s="120">
        <v>6185385261081</v>
      </c>
      <c r="M115" s="120">
        <v>4414611024072.2998</v>
      </c>
      <c r="N115" s="121">
        <f t="shared" si="65"/>
        <v>0.71371641987273282</v>
      </c>
      <c r="O115" s="120">
        <v>3816532232647.71</v>
      </c>
      <c r="P115" s="121">
        <f t="shared" si="65"/>
        <v>0.61702417417095645</v>
      </c>
      <c r="Q115" s="120">
        <v>3663188638970.71</v>
      </c>
      <c r="R115" s="121">
        <f t="shared" ref="R115" si="109">+Q115/$L115</f>
        <v>0.592232898089602</v>
      </c>
    </row>
    <row r="116" spans="1:18" ht="27.75" customHeight="1">
      <c r="A116" s="32" t="e">
        <v>#REF!</v>
      </c>
      <c r="B116" s="123" t="s">
        <v>167</v>
      </c>
      <c r="C116" s="123">
        <v>4101</v>
      </c>
      <c r="D116" s="123"/>
      <c r="E116" s="123"/>
      <c r="F116" s="123"/>
      <c r="G116" s="123"/>
      <c r="H116" s="123"/>
      <c r="I116" s="124"/>
      <c r="J116" s="124"/>
      <c r="K116" s="124" t="s">
        <v>169</v>
      </c>
      <c r="L116" s="125">
        <v>10248574078</v>
      </c>
      <c r="M116" s="125">
        <v>10248574078</v>
      </c>
      <c r="N116" s="126">
        <f t="shared" si="65"/>
        <v>1</v>
      </c>
      <c r="O116" s="125">
        <v>10248574078</v>
      </c>
      <c r="P116" s="126">
        <f t="shared" si="65"/>
        <v>1</v>
      </c>
      <c r="Q116" s="125">
        <v>10248574078</v>
      </c>
      <c r="R116" s="126">
        <f t="shared" ref="R116" si="110">+Q116/$L116</f>
        <v>1</v>
      </c>
    </row>
    <row r="117" spans="1:18" ht="24" customHeight="1">
      <c r="A117" s="32" t="e">
        <v>#REF!</v>
      </c>
      <c r="B117" s="128" t="s">
        <v>167</v>
      </c>
      <c r="C117" s="128">
        <v>4101</v>
      </c>
      <c r="D117" s="128">
        <v>1500</v>
      </c>
      <c r="E117" s="128"/>
      <c r="F117" s="128"/>
      <c r="G117" s="128"/>
      <c r="H117" s="128"/>
      <c r="I117" s="129"/>
      <c r="J117" s="129"/>
      <c r="K117" s="129" t="s">
        <v>170</v>
      </c>
      <c r="L117" s="130">
        <v>10248574078</v>
      </c>
      <c r="M117" s="130">
        <v>10248574078</v>
      </c>
      <c r="N117" s="131">
        <f t="shared" si="65"/>
        <v>1</v>
      </c>
      <c r="O117" s="130">
        <v>10248574078</v>
      </c>
      <c r="P117" s="131">
        <f t="shared" si="65"/>
        <v>1</v>
      </c>
      <c r="Q117" s="130">
        <v>10248574078</v>
      </c>
      <c r="R117" s="131">
        <f t="shared" ref="R117" si="111">+Q117/$L117</f>
        <v>1</v>
      </c>
    </row>
    <row r="118" spans="1:18" ht="39.75" hidden="1" customHeight="1">
      <c r="A118" s="32" t="e">
        <v>#REF!</v>
      </c>
      <c r="B118" s="133" t="s">
        <v>167</v>
      </c>
      <c r="C118" s="133" t="s">
        <v>171</v>
      </c>
      <c r="D118" s="133" t="s">
        <v>172</v>
      </c>
      <c r="E118" s="133" t="s">
        <v>261</v>
      </c>
      <c r="F118" s="133"/>
      <c r="G118" s="133"/>
      <c r="H118" s="133"/>
      <c r="I118" s="133"/>
      <c r="J118" s="134"/>
      <c r="K118" s="134" t="s">
        <v>262</v>
      </c>
      <c r="L118" s="136">
        <v>0</v>
      </c>
      <c r="M118" s="136">
        <v>0</v>
      </c>
      <c r="N118" s="137" t="e">
        <f t="shared" si="65"/>
        <v>#DIV/0!</v>
      </c>
      <c r="O118" s="136">
        <v>0</v>
      </c>
      <c r="P118" s="137" t="e">
        <f t="shared" si="65"/>
        <v>#DIV/0!</v>
      </c>
      <c r="Q118" s="136">
        <v>0</v>
      </c>
      <c r="R118" s="137" t="e">
        <f t="shared" ref="R118" si="112">+Q118/$L118</f>
        <v>#DIV/0!</v>
      </c>
    </row>
    <row r="119" spans="1:18" ht="24.95" hidden="1" customHeight="1">
      <c r="A119" s="32" t="e">
        <v>#REF!</v>
      </c>
      <c r="B119" s="139" t="s">
        <v>167</v>
      </c>
      <c r="C119" s="139" t="s">
        <v>171</v>
      </c>
      <c r="D119" s="139" t="s">
        <v>172</v>
      </c>
      <c r="E119" s="139" t="s">
        <v>261</v>
      </c>
      <c r="F119" s="139" t="s">
        <v>175</v>
      </c>
      <c r="G119" s="139" t="s">
        <v>176</v>
      </c>
      <c r="H119" s="139"/>
      <c r="I119" s="139">
        <v>11</v>
      </c>
      <c r="J119" s="140" t="s">
        <v>29</v>
      </c>
      <c r="K119" s="140" t="s">
        <v>177</v>
      </c>
      <c r="L119" s="142">
        <v>0</v>
      </c>
      <c r="M119" s="142">
        <v>0</v>
      </c>
      <c r="N119" s="143" t="e">
        <f t="shared" si="65"/>
        <v>#DIV/0!</v>
      </c>
      <c r="O119" s="142">
        <v>0</v>
      </c>
      <c r="P119" s="143" t="e">
        <f t="shared" si="65"/>
        <v>#DIV/0!</v>
      </c>
      <c r="Q119" s="142">
        <v>0</v>
      </c>
      <c r="R119" s="143" t="e">
        <f t="shared" ref="R119" si="113">+Q119/$L119</f>
        <v>#DIV/0!</v>
      </c>
    </row>
    <row r="120" spans="1:18" ht="24.95" hidden="1" customHeight="1">
      <c r="A120" s="32" t="e">
        <v>#REF!</v>
      </c>
      <c r="B120" s="145" t="s">
        <v>167</v>
      </c>
      <c r="C120" s="145" t="s">
        <v>171</v>
      </c>
      <c r="D120" s="145" t="s">
        <v>172</v>
      </c>
      <c r="E120" s="145" t="s">
        <v>261</v>
      </c>
      <c r="F120" s="145" t="s">
        <v>175</v>
      </c>
      <c r="G120" s="145" t="s">
        <v>176</v>
      </c>
      <c r="H120" s="145" t="s">
        <v>54</v>
      </c>
      <c r="I120" s="145">
        <v>11</v>
      </c>
      <c r="J120" s="146" t="s">
        <v>29</v>
      </c>
      <c r="K120" s="147" t="s">
        <v>178</v>
      </c>
      <c r="L120" s="148">
        <v>0</v>
      </c>
      <c r="M120" s="148"/>
      <c r="N120" s="150" t="e">
        <f t="shared" si="65"/>
        <v>#DIV/0!</v>
      </c>
      <c r="O120" s="148"/>
      <c r="P120" s="150" t="e">
        <f t="shared" si="65"/>
        <v>#DIV/0!</v>
      </c>
      <c r="Q120" s="148"/>
      <c r="R120" s="150" t="e">
        <f t="shared" ref="R120" si="114">+Q120/$L120</f>
        <v>#DIV/0!</v>
      </c>
    </row>
    <row r="121" spans="1:18" ht="24.95" hidden="1" customHeight="1">
      <c r="A121" s="32" t="e">
        <v>#REF!</v>
      </c>
      <c r="B121" s="139" t="s">
        <v>167</v>
      </c>
      <c r="C121" s="139" t="s">
        <v>171</v>
      </c>
      <c r="D121" s="139" t="s">
        <v>172</v>
      </c>
      <c r="E121" s="139" t="s">
        <v>261</v>
      </c>
      <c r="F121" s="139" t="s">
        <v>175</v>
      </c>
      <c r="G121" s="139" t="s">
        <v>179</v>
      </c>
      <c r="H121" s="139"/>
      <c r="I121" s="139">
        <v>11</v>
      </c>
      <c r="J121" s="140" t="s">
        <v>29</v>
      </c>
      <c r="K121" s="140" t="s">
        <v>180</v>
      </c>
      <c r="L121" s="141">
        <v>0</v>
      </c>
      <c r="M121" s="141">
        <v>0</v>
      </c>
      <c r="N121" s="143" t="e">
        <f t="shared" si="65"/>
        <v>#DIV/0!</v>
      </c>
      <c r="O121" s="141">
        <v>0</v>
      </c>
      <c r="P121" s="143" t="e">
        <f t="shared" si="65"/>
        <v>#DIV/0!</v>
      </c>
      <c r="Q121" s="141">
        <v>0</v>
      </c>
      <c r="R121" s="143" t="e">
        <f t="shared" ref="R121" si="115">+Q121/$L121</f>
        <v>#DIV/0!</v>
      </c>
    </row>
    <row r="122" spans="1:18" ht="24.95" hidden="1" customHeight="1">
      <c r="A122" s="32" t="e">
        <v>#REF!</v>
      </c>
      <c r="B122" s="145" t="s">
        <v>167</v>
      </c>
      <c r="C122" s="145" t="s">
        <v>171</v>
      </c>
      <c r="D122" s="145" t="s">
        <v>172</v>
      </c>
      <c r="E122" s="145">
        <v>5</v>
      </c>
      <c r="F122" s="145" t="s">
        <v>175</v>
      </c>
      <c r="G122" s="145" t="s">
        <v>179</v>
      </c>
      <c r="H122" s="145" t="s">
        <v>54</v>
      </c>
      <c r="I122" s="145">
        <v>11</v>
      </c>
      <c r="J122" s="146" t="s">
        <v>29</v>
      </c>
      <c r="K122" s="147" t="s">
        <v>178</v>
      </c>
      <c r="L122" s="148">
        <v>0</v>
      </c>
      <c r="M122" s="148"/>
      <c r="N122" s="150" t="e">
        <f t="shared" si="65"/>
        <v>#DIV/0!</v>
      </c>
      <c r="O122" s="148"/>
      <c r="P122" s="150" t="e">
        <f t="shared" si="65"/>
        <v>#DIV/0!</v>
      </c>
      <c r="Q122" s="148"/>
      <c r="R122" s="150" t="e">
        <f t="shared" ref="R122" si="116">+Q122/$L122</f>
        <v>#DIV/0!</v>
      </c>
    </row>
    <row r="123" spans="1:18" ht="24.95" hidden="1" customHeight="1">
      <c r="A123" s="32" t="e">
        <v>#REF!</v>
      </c>
      <c r="B123" s="139" t="s">
        <v>167</v>
      </c>
      <c r="C123" s="139" t="s">
        <v>171</v>
      </c>
      <c r="D123" s="139" t="s">
        <v>172</v>
      </c>
      <c r="E123" s="139" t="s">
        <v>261</v>
      </c>
      <c r="F123" s="139" t="s">
        <v>175</v>
      </c>
      <c r="G123" s="139" t="s">
        <v>181</v>
      </c>
      <c r="H123" s="139"/>
      <c r="I123" s="139">
        <v>11</v>
      </c>
      <c r="J123" s="140" t="s">
        <v>29</v>
      </c>
      <c r="K123" s="140" t="s">
        <v>182</v>
      </c>
      <c r="L123" s="141">
        <v>0</v>
      </c>
      <c r="M123" s="141">
        <v>0</v>
      </c>
      <c r="N123" s="143" t="e">
        <f t="shared" si="65"/>
        <v>#DIV/0!</v>
      </c>
      <c r="O123" s="141">
        <v>0</v>
      </c>
      <c r="P123" s="143" t="e">
        <f t="shared" si="65"/>
        <v>#DIV/0!</v>
      </c>
      <c r="Q123" s="141">
        <v>0</v>
      </c>
      <c r="R123" s="143" t="e">
        <f t="shared" ref="R123" si="117">+Q123/$L123</f>
        <v>#DIV/0!</v>
      </c>
    </row>
    <row r="124" spans="1:18" ht="24.95" hidden="1" customHeight="1">
      <c r="A124" s="32" t="e">
        <v>#REF!</v>
      </c>
      <c r="B124" s="145" t="s">
        <v>167</v>
      </c>
      <c r="C124" s="145" t="s">
        <v>171</v>
      </c>
      <c r="D124" s="145" t="s">
        <v>172</v>
      </c>
      <c r="E124" s="145" t="s">
        <v>261</v>
      </c>
      <c r="F124" s="145" t="s">
        <v>175</v>
      </c>
      <c r="G124" s="145" t="s">
        <v>181</v>
      </c>
      <c r="H124" s="145" t="s">
        <v>54</v>
      </c>
      <c r="I124" s="145">
        <v>11</v>
      </c>
      <c r="J124" s="146" t="s">
        <v>29</v>
      </c>
      <c r="K124" s="147" t="s">
        <v>178</v>
      </c>
      <c r="L124" s="148">
        <v>0</v>
      </c>
      <c r="M124" s="148"/>
      <c r="N124" s="150" t="e">
        <f t="shared" si="65"/>
        <v>#DIV/0!</v>
      </c>
      <c r="O124" s="148"/>
      <c r="P124" s="150" t="e">
        <f t="shared" si="65"/>
        <v>#DIV/0!</v>
      </c>
      <c r="Q124" s="148"/>
      <c r="R124" s="150" t="e">
        <f t="shared" ref="R124" si="118">+Q124/$L124</f>
        <v>#DIV/0!</v>
      </c>
    </row>
    <row r="125" spans="1:18" ht="24.95" hidden="1" customHeight="1">
      <c r="A125" s="32" t="e">
        <v>#REF!</v>
      </c>
      <c r="B125" s="139" t="s">
        <v>167</v>
      </c>
      <c r="C125" s="139" t="s">
        <v>171</v>
      </c>
      <c r="D125" s="139" t="s">
        <v>172</v>
      </c>
      <c r="E125" s="139" t="s">
        <v>261</v>
      </c>
      <c r="F125" s="139" t="s">
        <v>175</v>
      </c>
      <c r="G125" s="139" t="s">
        <v>183</v>
      </c>
      <c r="H125" s="139"/>
      <c r="I125" s="139">
        <v>11</v>
      </c>
      <c r="J125" s="140" t="s">
        <v>29</v>
      </c>
      <c r="K125" s="140" t="s">
        <v>184</v>
      </c>
      <c r="L125" s="141">
        <v>0</v>
      </c>
      <c r="M125" s="141">
        <v>0</v>
      </c>
      <c r="N125" s="143" t="e">
        <f t="shared" si="65"/>
        <v>#DIV/0!</v>
      </c>
      <c r="O125" s="141">
        <v>0</v>
      </c>
      <c r="P125" s="143" t="e">
        <f t="shared" si="65"/>
        <v>#DIV/0!</v>
      </c>
      <c r="Q125" s="141">
        <v>0</v>
      </c>
      <c r="R125" s="143" t="e">
        <f t="shared" ref="R125" si="119">+Q125/$L125</f>
        <v>#DIV/0!</v>
      </c>
    </row>
    <row r="126" spans="1:18" ht="24.95" hidden="1" customHeight="1">
      <c r="A126" s="32" t="e">
        <v>#REF!</v>
      </c>
      <c r="B126" s="145" t="s">
        <v>167</v>
      </c>
      <c r="C126" s="145" t="s">
        <v>171</v>
      </c>
      <c r="D126" s="145" t="s">
        <v>172</v>
      </c>
      <c r="E126" s="145" t="s">
        <v>261</v>
      </c>
      <c r="F126" s="145" t="s">
        <v>175</v>
      </c>
      <c r="G126" s="145" t="s">
        <v>183</v>
      </c>
      <c r="H126" s="145" t="s">
        <v>54</v>
      </c>
      <c r="I126" s="145">
        <v>11</v>
      </c>
      <c r="J126" s="146" t="s">
        <v>29</v>
      </c>
      <c r="K126" s="147" t="s">
        <v>178</v>
      </c>
      <c r="L126" s="148">
        <v>0</v>
      </c>
      <c r="M126" s="148"/>
      <c r="N126" s="150" t="e">
        <f t="shared" si="65"/>
        <v>#DIV/0!</v>
      </c>
      <c r="O126" s="148"/>
      <c r="P126" s="150" t="e">
        <f t="shared" si="65"/>
        <v>#DIV/0!</v>
      </c>
      <c r="Q126" s="148"/>
      <c r="R126" s="150" t="e">
        <f t="shared" ref="R126" si="120">+Q126/$L126</f>
        <v>#DIV/0!</v>
      </c>
    </row>
    <row r="127" spans="1:18" ht="24.95" hidden="1" customHeight="1">
      <c r="A127" s="32" t="e">
        <v>#REF!</v>
      </c>
      <c r="B127" s="139" t="s">
        <v>167</v>
      </c>
      <c r="C127" s="139" t="s">
        <v>171</v>
      </c>
      <c r="D127" s="139" t="s">
        <v>172</v>
      </c>
      <c r="E127" s="139" t="s">
        <v>261</v>
      </c>
      <c r="F127" s="139" t="s">
        <v>175</v>
      </c>
      <c r="G127" s="139" t="s">
        <v>185</v>
      </c>
      <c r="H127" s="139"/>
      <c r="I127" s="139">
        <v>11</v>
      </c>
      <c r="J127" s="140" t="s">
        <v>29</v>
      </c>
      <c r="K127" s="140" t="s">
        <v>186</v>
      </c>
      <c r="L127" s="141">
        <v>0</v>
      </c>
      <c r="M127" s="141">
        <v>0</v>
      </c>
      <c r="N127" s="143" t="e">
        <f t="shared" si="65"/>
        <v>#DIV/0!</v>
      </c>
      <c r="O127" s="141">
        <v>0</v>
      </c>
      <c r="P127" s="143" t="e">
        <f t="shared" si="65"/>
        <v>#DIV/0!</v>
      </c>
      <c r="Q127" s="141">
        <v>0</v>
      </c>
      <c r="R127" s="143" t="e">
        <f t="shared" ref="R127" si="121">+Q127/$L127</f>
        <v>#DIV/0!</v>
      </c>
    </row>
    <row r="128" spans="1:18" ht="24.95" hidden="1" customHeight="1">
      <c r="A128" s="32" t="e">
        <v>#REF!</v>
      </c>
      <c r="B128" s="145" t="s">
        <v>167</v>
      </c>
      <c r="C128" s="145" t="s">
        <v>171</v>
      </c>
      <c r="D128" s="145" t="s">
        <v>172</v>
      </c>
      <c r="E128" s="145">
        <v>5</v>
      </c>
      <c r="F128" s="145" t="s">
        <v>175</v>
      </c>
      <c r="G128" s="145" t="s">
        <v>185</v>
      </c>
      <c r="H128" s="145" t="s">
        <v>54</v>
      </c>
      <c r="I128" s="145">
        <v>11</v>
      </c>
      <c r="J128" s="146" t="s">
        <v>29</v>
      </c>
      <c r="K128" s="147" t="s">
        <v>178</v>
      </c>
      <c r="L128" s="148">
        <v>0</v>
      </c>
      <c r="M128" s="148"/>
      <c r="N128" s="150" t="e">
        <f t="shared" si="65"/>
        <v>#DIV/0!</v>
      </c>
      <c r="O128" s="148"/>
      <c r="P128" s="150" t="e">
        <f t="shared" si="65"/>
        <v>#DIV/0!</v>
      </c>
      <c r="Q128" s="148"/>
      <c r="R128" s="150" t="e">
        <f t="shared" ref="R128" si="122">+Q128/$L128</f>
        <v>#DIV/0!</v>
      </c>
    </row>
    <row r="129" spans="1:18" ht="24.95" hidden="1" customHeight="1">
      <c r="A129" s="32" t="e">
        <v>#REF!</v>
      </c>
      <c r="B129" s="139" t="s">
        <v>167</v>
      </c>
      <c r="C129" s="139" t="s">
        <v>171</v>
      </c>
      <c r="D129" s="139" t="s">
        <v>172</v>
      </c>
      <c r="E129" s="139" t="s">
        <v>261</v>
      </c>
      <c r="F129" s="139" t="s">
        <v>175</v>
      </c>
      <c r="G129" s="139" t="s">
        <v>187</v>
      </c>
      <c r="H129" s="139"/>
      <c r="I129" s="139">
        <v>11</v>
      </c>
      <c r="J129" s="140" t="s">
        <v>29</v>
      </c>
      <c r="K129" s="140" t="s">
        <v>188</v>
      </c>
      <c r="L129" s="141">
        <v>0</v>
      </c>
      <c r="M129" s="141">
        <v>0</v>
      </c>
      <c r="N129" s="143" t="e">
        <f t="shared" si="65"/>
        <v>#DIV/0!</v>
      </c>
      <c r="O129" s="141">
        <v>0</v>
      </c>
      <c r="P129" s="143" t="e">
        <f t="shared" si="65"/>
        <v>#DIV/0!</v>
      </c>
      <c r="Q129" s="141">
        <v>0</v>
      </c>
      <c r="R129" s="143" t="e">
        <f t="shared" ref="R129" si="123">+Q129/$L129</f>
        <v>#DIV/0!</v>
      </c>
    </row>
    <row r="130" spans="1:18" ht="24.95" hidden="1" customHeight="1">
      <c r="A130" s="32" t="e">
        <v>#REF!</v>
      </c>
      <c r="B130" s="145" t="s">
        <v>167</v>
      </c>
      <c r="C130" s="145" t="s">
        <v>171</v>
      </c>
      <c r="D130" s="145" t="s">
        <v>172</v>
      </c>
      <c r="E130" s="145" t="s">
        <v>261</v>
      </c>
      <c r="F130" s="145" t="s">
        <v>175</v>
      </c>
      <c r="G130" s="145" t="s">
        <v>187</v>
      </c>
      <c r="H130" s="145" t="s">
        <v>54</v>
      </c>
      <c r="I130" s="145">
        <v>11</v>
      </c>
      <c r="J130" s="146" t="s">
        <v>29</v>
      </c>
      <c r="K130" s="147" t="s">
        <v>178</v>
      </c>
      <c r="L130" s="148">
        <v>0</v>
      </c>
      <c r="M130" s="148"/>
      <c r="N130" s="150" t="e">
        <f t="shared" si="65"/>
        <v>#DIV/0!</v>
      </c>
      <c r="O130" s="148"/>
      <c r="P130" s="150" t="e">
        <f t="shared" si="65"/>
        <v>#DIV/0!</v>
      </c>
      <c r="Q130" s="148"/>
      <c r="R130" s="150" t="e">
        <f t="shared" ref="R130" si="124">+Q130/$L130</f>
        <v>#DIV/0!</v>
      </c>
    </row>
    <row r="131" spans="1:18" ht="54.75" customHeight="1">
      <c r="A131" s="32" t="e">
        <v>#REF!</v>
      </c>
      <c r="B131" s="133" t="s">
        <v>167</v>
      </c>
      <c r="C131" s="133" t="s">
        <v>171</v>
      </c>
      <c r="D131" s="133" t="s">
        <v>172</v>
      </c>
      <c r="E131" s="133" t="s">
        <v>173</v>
      </c>
      <c r="F131" s="133"/>
      <c r="G131" s="133"/>
      <c r="H131" s="133"/>
      <c r="I131" s="133"/>
      <c r="J131" s="134"/>
      <c r="K131" s="134" t="s">
        <v>174</v>
      </c>
      <c r="L131" s="135">
        <v>10248574078</v>
      </c>
      <c r="M131" s="135">
        <v>10248574078</v>
      </c>
      <c r="N131" s="137">
        <f t="shared" si="65"/>
        <v>1</v>
      </c>
      <c r="O131" s="135">
        <v>10248574078</v>
      </c>
      <c r="P131" s="137">
        <f t="shared" si="65"/>
        <v>1</v>
      </c>
      <c r="Q131" s="135">
        <v>10248574078</v>
      </c>
      <c r="R131" s="137">
        <f t="shared" ref="R131" si="125">+Q131/$L131</f>
        <v>1</v>
      </c>
    </row>
    <row r="132" spans="1:18" ht="31.5" customHeight="1">
      <c r="A132" s="32" t="e">
        <v>#REF!</v>
      </c>
      <c r="B132" s="139" t="s">
        <v>167</v>
      </c>
      <c r="C132" s="139" t="s">
        <v>171</v>
      </c>
      <c r="D132" s="139" t="s">
        <v>172</v>
      </c>
      <c r="E132" s="139" t="s">
        <v>173</v>
      </c>
      <c r="F132" s="139" t="s">
        <v>175</v>
      </c>
      <c r="G132" s="139" t="s">
        <v>176</v>
      </c>
      <c r="H132" s="139"/>
      <c r="I132" s="139" t="s">
        <v>144</v>
      </c>
      <c r="J132" s="140" t="s">
        <v>29</v>
      </c>
      <c r="K132" s="140" t="s">
        <v>177</v>
      </c>
      <c r="L132" s="141">
        <v>1189683575</v>
      </c>
      <c r="M132" s="141">
        <v>1189683575</v>
      </c>
      <c r="N132" s="143">
        <f t="shared" si="65"/>
        <v>1</v>
      </c>
      <c r="O132" s="141">
        <v>1189683575</v>
      </c>
      <c r="P132" s="143">
        <f t="shared" si="65"/>
        <v>1</v>
      </c>
      <c r="Q132" s="141">
        <v>1189683575</v>
      </c>
      <c r="R132" s="143">
        <f t="shared" ref="R132" si="126">+Q132/$L132</f>
        <v>1</v>
      </c>
    </row>
    <row r="133" spans="1:18" ht="24.95" customHeight="1">
      <c r="A133" s="32" t="e">
        <v>#REF!</v>
      </c>
      <c r="B133" s="145" t="s">
        <v>167</v>
      </c>
      <c r="C133" s="145" t="s">
        <v>171</v>
      </c>
      <c r="D133" s="145" t="s">
        <v>172</v>
      </c>
      <c r="E133" s="145" t="s">
        <v>173</v>
      </c>
      <c r="F133" s="145" t="s">
        <v>175</v>
      </c>
      <c r="G133" s="145" t="s">
        <v>176</v>
      </c>
      <c r="H133" s="145" t="s">
        <v>54</v>
      </c>
      <c r="I133" s="145" t="s">
        <v>144</v>
      </c>
      <c r="J133" s="146" t="s">
        <v>29</v>
      </c>
      <c r="K133" s="147" t="s">
        <v>178</v>
      </c>
      <c r="L133" s="148">
        <v>1189683575</v>
      </c>
      <c r="M133" s="148">
        <v>1189683575</v>
      </c>
      <c r="N133" s="150">
        <f t="shared" si="65"/>
        <v>1</v>
      </c>
      <c r="O133" s="148">
        <v>1189683575</v>
      </c>
      <c r="P133" s="150">
        <f t="shared" si="65"/>
        <v>1</v>
      </c>
      <c r="Q133" s="148">
        <v>1189683575</v>
      </c>
      <c r="R133" s="150">
        <f t="shared" ref="R133" si="127">+Q133/$L133</f>
        <v>1</v>
      </c>
    </row>
    <row r="134" spans="1:18" ht="31.5" customHeight="1">
      <c r="A134" s="32" t="e">
        <v>#REF!</v>
      </c>
      <c r="B134" s="139" t="s">
        <v>167</v>
      </c>
      <c r="C134" s="139" t="s">
        <v>171</v>
      </c>
      <c r="D134" s="139" t="s">
        <v>172</v>
      </c>
      <c r="E134" s="139" t="s">
        <v>173</v>
      </c>
      <c r="F134" s="139" t="s">
        <v>175</v>
      </c>
      <c r="G134" s="139" t="s">
        <v>179</v>
      </c>
      <c r="H134" s="139"/>
      <c r="I134" s="139" t="s">
        <v>144</v>
      </c>
      <c r="J134" s="140" t="s">
        <v>29</v>
      </c>
      <c r="K134" s="140" t="s">
        <v>180</v>
      </c>
      <c r="L134" s="141">
        <v>115014864</v>
      </c>
      <c r="M134" s="141">
        <v>115014864</v>
      </c>
      <c r="N134" s="143">
        <f t="shared" si="65"/>
        <v>1</v>
      </c>
      <c r="O134" s="141">
        <v>115014864</v>
      </c>
      <c r="P134" s="143">
        <f t="shared" si="65"/>
        <v>1</v>
      </c>
      <c r="Q134" s="141">
        <v>115014864</v>
      </c>
      <c r="R134" s="143">
        <f t="shared" ref="R134" si="128">+Q134/$L134</f>
        <v>1</v>
      </c>
    </row>
    <row r="135" spans="1:18" ht="24.95" customHeight="1">
      <c r="A135" s="32" t="e">
        <v>#REF!</v>
      </c>
      <c r="B135" s="145" t="s">
        <v>167</v>
      </c>
      <c r="C135" s="145" t="s">
        <v>171</v>
      </c>
      <c r="D135" s="145" t="s">
        <v>172</v>
      </c>
      <c r="E135" s="145" t="s">
        <v>173</v>
      </c>
      <c r="F135" s="145" t="s">
        <v>175</v>
      </c>
      <c r="G135" s="145" t="s">
        <v>179</v>
      </c>
      <c r="H135" s="145" t="s">
        <v>54</v>
      </c>
      <c r="I135" s="145" t="s">
        <v>144</v>
      </c>
      <c r="J135" s="146" t="s">
        <v>29</v>
      </c>
      <c r="K135" s="147" t="s">
        <v>178</v>
      </c>
      <c r="L135" s="148">
        <v>115014864</v>
      </c>
      <c r="M135" s="148">
        <v>115014864</v>
      </c>
      <c r="N135" s="150">
        <f t="shared" si="65"/>
        <v>1</v>
      </c>
      <c r="O135" s="148">
        <v>115014864</v>
      </c>
      <c r="P135" s="150">
        <f t="shared" si="65"/>
        <v>1</v>
      </c>
      <c r="Q135" s="148">
        <v>115014864</v>
      </c>
      <c r="R135" s="150">
        <f t="shared" ref="R135" si="129">+Q135/$L135</f>
        <v>1</v>
      </c>
    </row>
    <row r="136" spans="1:18" ht="31.5" hidden="1" customHeight="1">
      <c r="A136" s="32" t="e">
        <v>#REF!</v>
      </c>
      <c r="B136" s="139" t="s">
        <v>167</v>
      </c>
      <c r="C136" s="139" t="s">
        <v>171</v>
      </c>
      <c r="D136" s="139" t="s">
        <v>172</v>
      </c>
      <c r="E136" s="139" t="s">
        <v>173</v>
      </c>
      <c r="F136" s="139" t="s">
        <v>175</v>
      </c>
      <c r="G136" s="139" t="s">
        <v>181</v>
      </c>
      <c r="H136" s="139"/>
      <c r="I136" s="139" t="s">
        <v>144</v>
      </c>
      <c r="J136" s="140" t="s">
        <v>29</v>
      </c>
      <c r="K136" s="140" t="s">
        <v>182</v>
      </c>
      <c r="L136" s="141">
        <v>0</v>
      </c>
      <c r="M136" s="141">
        <v>0</v>
      </c>
      <c r="N136" s="143" t="e">
        <f t="shared" ref="N136:P199" si="130">+M136/$L136</f>
        <v>#DIV/0!</v>
      </c>
      <c r="O136" s="141">
        <v>0</v>
      </c>
      <c r="P136" s="143" t="e">
        <f t="shared" si="130"/>
        <v>#DIV/0!</v>
      </c>
      <c r="Q136" s="141">
        <v>0</v>
      </c>
      <c r="R136" s="143" t="e">
        <f t="shared" ref="R136" si="131">+Q136/$L136</f>
        <v>#DIV/0!</v>
      </c>
    </row>
    <row r="137" spans="1:18" ht="24.95" hidden="1" customHeight="1">
      <c r="A137" s="32" t="e">
        <v>#REF!</v>
      </c>
      <c r="B137" s="145" t="s">
        <v>167</v>
      </c>
      <c r="C137" s="145" t="s">
        <v>171</v>
      </c>
      <c r="D137" s="145" t="s">
        <v>172</v>
      </c>
      <c r="E137" s="145" t="s">
        <v>173</v>
      </c>
      <c r="F137" s="145" t="s">
        <v>175</v>
      </c>
      <c r="G137" s="145" t="s">
        <v>181</v>
      </c>
      <c r="H137" s="145" t="s">
        <v>54</v>
      </c>
      <c r="I137" s="145" t="s">
        <v>144</v>
      </c>
      <c r="J137" s="146" t="s">
        <v>29</v>
      </c>
      <c r="K137" s="147" t="s">
        <v>178</v>
      </c>
      <c r="L137" s="148">
        <v>0</v>
      </c>
      <c r="M137" s="148"/>
      <c r="N137" s="150" t="e">
        <f t="shared" si="130"/>
        <v>#DIV/0!</v>
      </c>
      <c r="O137" s="148"/>
      <c r="P137" s="150" t="e">
        <f t="shared" si="130"/>
        <v>#DIV/0!</v>
      </c>
      <c r="Q137" s="148"/>
      <c r="R137" s="150" t="e">
        <f t="shared" ref="R137" si="132">+Q137/$L137</f>
        <v>#DIV/0!</v>
      </c>
    </row>
    <row r="138" spans="1:18" ht="31.5" hidden="1" customHeight="1">
      <c r="A138" s="32" t="e">
        <v>#REF!</v>
      </c>
      <c r="B138" s="139" t="s">
        <v>167</v>
      </c>
      <c r="C138" s="139" t="s">
        <v>171</v>
      </c>
      <c r="D138" s="139" t="s">
        <v>172</v>
      </c>
      <c r="E138" s="139" t="s">
        <v>173</v>
      </c>
      <c r="F138" s="139" t="s">
        <v>175</v>
      </c>
      <c r="G138" s="139" t="s">
        <v>183</v>
      </c>
      <c r="H138" s="139"/>
      <c r="I138" s="139" t="s">
        <v>144</v>
      </c>
      <c r="J138" s="140" t="s">
        <v>29</v>
      </c>
      <c r="K138" s="140" t="s">
        <v>184</v>
      </c>
      <c r="L138" s="141">
        <v>0</v>
      </c>
      <c r="M138" s="141">
        <v>0</v>
      </c>
      <c r="N138" s="143" t="e">
        <f t="shared" si="130"/>
        <v>#DIV/0!</v>
      </c>
      <c r="O138" s="141">
        <v>0</v>
      </c>
      <c r="P138" s="143" t="e">
        <f t="shared" si="130"/>
        <v>#DIV/0!</v>
      </c>
      <c r="Q138" s="141">
        <v>0</v>
      </c>
      <c r="R138" s="143" t="e">
        <f t="shared" ref="R138" si="133">+Q138/$L138</f>
        <v>#DIV/0!</v>
      </c>
    </row>
    <row r="139" spans="1:18" ht="24.95" hidden="1" customHeight="1">
      <c r="A139" s="32" t="e">
        <v>#REF!</v>
      </c>
      <c r="B139" s="145" t="s">
        <v>167</v>
      </c>
      <c r="C139" s="145" t="s">
        <v>171</v>
      </c>
      <c r="D139" s="145" t="s">
        <v>172</v>
      </c>
      <c r="E139" s="145" t="s">
        <v>173</v>
      </c>
      <c r="F139" s="145" t="s">
        <v>175</v>
      </c>
      <c r="G139" s="145" t="s">
        <v>183</v>
      </c>
      <c r="H139" s="145" t="s">
        <v>54</v>
      </c>
      <c r="I139" s="145" t="s">
        <v>144</v>
      </c>
      <c r="J139" s="146" t="s">
        <v>29</v>
      </c>
      <c r="K139" s="147" t="s">
        <v>178</v>
      </c>
      <c r="L139" s="148">
        <v>0</v>
      </c>
      <c r="M139" s="148">
        <v>0</v>
      </c>
      <c r="N139" s="150" t="e">
        <f t="shared" si="130"/>
        <v>#DIV/0!</v>
      </c>
      <c r="O139" s="148">
        <v>0</v>
      </c>
      <c r="P139" s="150" t="e">
        <f t="shared" si="130"/>
        <v>#DIV/0!</v>
      </c>
      <c r="Q139" s="148">
        <v>0</v>
      </c>
      <c r="R139" s="150" t="e">
        <f t="shared" ref="R139" si="134">+Q139/$L139</f>
        <v>#DIV/0!</v>
      </c>
    </row>
    <row r="140" spans="1:18" ht="31.5" customHeight="1">
      <c r="A140" s="32" t="e">
        <v>#REF!</v>
      </c>
      <c r="B140" s="139" t="s">
        <v>167</v>
      </c>
      <c r="C140" s="139" t="s">
        <v>171</v>
      </c>
      <c r="D140" s="139" t="s">
        <v>172</v>
      </c>
      <c r="E140" s="139" t="s">
        <v>173</v>
      </c>
      <c r="F140" s="139" t="s">
        <v>175</v>
      </c>
      <c r="G140" s="139" t="s">
        <v>185</v>
      </c>
      <c r="H140" s="139"/>
      <c r="I140" s="139" t="s">
        <v>144</v>
      </c>
      <c r="J140" s="140" t="s">
        <v>29</v>
      </c>
      <c r="K140" s="140" t="s">
        <v>186</v>
      </c>
      <c r="L140" s="141">
        <v>8943875639</v>
      </c>
      <c r="M140" s="141">
        <v>8943875639</v>
      </c>
      <c r="N140" s="143">
        <f t="shared" si="130"/>
        <v>1</v>
      </c>
      <c r="O140" s="141">
        <v>8943875639</v>
      </c>
      <c r="P140" s="143">
        <f t="shared" si="130"/>
        <v>1</v>
      </c>
      <c r="Q140" s="141">
        <v>8943875639</v>
      </c>
      <c r="R140" s="143">
        <f t="shared" ref="R140" si="135">+Q140/$L140</f>
        <v>1</v>
      </c>
    </row>
    <row r="141" spans="1:18" ht="24.95" customHeight="1">
      <c r="A141" s="32" t="e">
        <v>#REF!</v>
      </c>
      <c r="B141" s="145" t="s">
        <v>167</v>
      </c>
      <c r="C141" s="145" t="s">
        <v>171</v>
      </c>
      <c r="D141" s="145" t="s">
        <v>172</v>
      </c>
      <c r="E141" s="145" t="s">
        <v>173</v>
      </c>
      <c r="F141" s="145" t="s">
        <v>175</v>
      </c>
      <c r="G141" s="145" t="s">
        <v>185</v>
      </c>
      <c r="H141" s="145" t="s">
        <v>54</v>
      </c>
      <c r="I141" s="145" t="s">
        <v>144</v>
      </c>
      <c r="J141" s="146" t="s">
        <v>29</v>
      </c>
      <c r="K141" s="147" t="s">
        <v>178</v>
      </c>
      <c r="L141" s="148">
        <v>8943875639</v>
      </c>
      <c r="M141" s="148">
        <v>8943875639</v>
      </c>
      <c r="N141" s="150">
        <f t="shared" si="130"/>
        <v>1</v>
      </c>
      <c r="O141" s="148">
        <v>8943875639</v>
      </c>
      <c r="P141" s="150">
        <f t="shared" si="130"/>
        <v>1</v>
      </c>
      <c r="Q141" s="148">
        <v>8943875639</v>
      </c>
      <c r="R141" s="150">
        <f t="shared" ref="R141" si="136">+Q141/$L141</f>
        <v>1</v>
      </c>
    </row>
    <row r="142" spans="1:18" ht="31.5" hidden="1" customHeight="1">
      <c r="A142" s="32" t="e">
        <v>#REF!</v>
      </c>
      <c r="B142" s="139" t="s">
        <v>167</v>
      </c>
      <c r="C142" s="139" t="s">
        <v>171</v>
      </c>
      <c r="D142" s="139" t="s">
        <v>172</v>
      </c>
      <c r="E142" s="139" t="s">
        <v>173</v>
      </c>
      <c r="F142" s="139" t="s">
        <v>175</v>
      </c>
      <c r="G142" s="139" t="s">
        <v>187</v>
      </c>
      <c r="H142" s="139"/>
      <c r="I142" s="139" t="s">
        <v>144</v>
      </c>
      <c r="J142" s="140" t="s">
        <v>29</v>
      </c>
      <c r="K142" s="140" t="s">
        <v>188</v>
      </c>
      <c r="L142" s="141">
        <v>0</v>
      </c>
      <c r="M142" s="141">
        <v>0</v>
      </c>
      <c r="N142" s="143" t="e">
        <f t="shared" si="130"/>
        <v>#DIV/0!</v>
      </c>
      <c r="O142" s="141">
        <v>0</v>
      </c>
      <c r="P142" s="143" t="e">
        <f t="shared" si="130"/>
        <v>#DIV/0!</v>
      </c>
      <c r="Q142" s="141">
        <v>0</v>
      </c>
      <c r="R142" s="143" t="e">
        <f t="shared" ref="R142" si="137">+Q142/$L142</f>
        <v>#DIV/0!</v>
      </c>
    </row>
    <row r="143" spans="1:18" ht="24.95" hidden="1" customHeight="1">
      <c r="A143" s="32" t="e">
        <v>#REF!</v>
      </c>
      <c r="B143" s="145" t="s">
        <v>167</v>
      </c>
      <c r="C143" s="145" t="s">
        <v>171</v>
      </c>
      <c r="D143" s="145" t="s">
        <v>172</v>
      </c>
      <c r="E143" s="145" t="s">
        <v>173</v>
      </c>
      <c r="F143" s="145" t="s">
        <v>175</v>
      </c>
      <c r="G143" s="145" t="s">
        <v>187</v>
      </c>
      <c r="H143" s="145" t="s">
        <v>54</v>
      </c>
      <c r="I143" s="145" t="s">
        <v>144</v>
      </c>
      <c r="J143" s="146" t="s">
        <v>29</v>
      </c>
      <c r="K143" s="147" t="s">
        <v>178</v>
      </c>
      <c r="L143" s="148">
        <v>0</v>
      </c>
      <c r="M143" s="148">
        <v>0</v>
      </c>
      <c r="N143" s="150" t="e">
        <f t="shared" si="130"/>
        <v>#DIV/0!</v>
      </c>
      <c r="O143" s="148">
        <v>0</v>
      </c>
      <c r="P143" s="150" t="e">
        <f t="shared" si="130"/>
        <v>#DIV/0!</v>
      </c>
      <c r="Q143" s="148">
        <v>0</v>
      </c>
      <c r="R143" s="150" t="e">
        <f t="shared" ref="R143" si="138">+Q143/$L143</f>
        <v>#DIV/0!</v>
      </c>
    </row>
    <row r="144" spans="1:18" ht="24.95" hidden="1" customHeight="1">
      <c r="A144" s="32" t="e">
        <v>#REF!</v>
      </c>
      <c r="B144" s="145" t="s">
        <v>167</v>
      </c>
      <c r="C144" s="145" t="s">
        <v>171</v>
      </c>
      <c r="D144" s="145" t="s">
        <v>172</v>
      </c>
      <c r="E144" s="145" t="s">
        <v>173</v>
      </c>
      <c r="F144" s="145" t="s">
        <v>175</v>
      </c>
      <c r="G144" s="145" t="s">
        <v>187</v>
      </c>
      <c r="H144" s="145" t="s">
        <v>65</v>
      </c>
      <c r="I144" s="145" t="s">
        <v>144</v>
      </c>
      <c r="J144" s="146" t="s">
        <v>29</v>
      </c>
      <c r="K144" s="147" t="s">
        <v>127</v>
      </c>
      <c r="L144" s="148">
        <v>0</v>
      </c>
      <c r="M144" s="148">
        <v>0</v>
      </c>
      <c r="N144" s="150" t="e">
        <f t="shared" si="130"/>
        <v>#DIV/0!</v>
      </c>
      <c r="O144" s="148">
        <v>0</v>
      </c>
      <c r="P144" s="150" t="e">
        <f t="shared" si="130"/>
        <v>#DIV/0!</v>
      </c>
      <c r="Q144" s="148">
        <v>0</v>
      </c>
      <c r="R144" s="150" t="e">
        <f t="shared" ref="R144" si="139">+Q144/$L144</f>
        <v>#DIV/0!</v>
      </c>
    </row>
    <row r="145" spans="1:18" ht="35.25" customHeight="1">
      <c r="A145" s="32" t="e">
        <v>#REF!</v>
      </c>
      <c r="B145" s="123" t="s">
        <v>167</v>
      </c>
      <c r="C145" s="123">
        <v>4103</v>
      </c>
      <c r="D145" s="123"/>
      <c r="E145" s="123"/>
      <c r="F145" s="123"/>
      <c r="G145" s="123"/>
      <c r="H145" s="123"/>
      <c r="I145" s="124"/>
      <c r="J145" s="124"/>
      <c r="K145" s="124" t="s">
        <v>189</v>
      </c>
      <c r="L145" s="125">
        <v>6171910138537</v>
      </c>
      <c r="M145" s="125">
        <v>4401776066459.75</v>
      </c>
      <c r="N145" s="126">
        <f t="shared" si="130"/>
        <v>0.7131950996783557</v>
      </c>
      <c r="O145" s="125">
        <v>3803697275035.1602</v>
      </c>
      <c r="P145" s="126">
        <f t="shared" si="130"/>
        <v>0.61629174593536695</v>
      </c>
      <c r="Q145" s="125">
        <v>3650353681358.1602</v>
      </c>
      <c r="R145" s="126">
        <f t="shared" ref="R145" si="140">+Q145/$L145</f>
        <v>0.59144634309653865</v>
      </c>
    </row>
    <row r="146" spans="1:18" ht="24" customHeight="1">
      <c r="A146" s="32" t="e">
        <v>#REF!</v>
      </c>
      <c r="B146" s="128" t="s">
        <v>167</v>
      </c>
      <c r="C146" s="128">
        <v>4103</v>
      </c>
      <c r="D146" s="128">
        <v>1500</v>
      </c>
      <c r="E146" s="128"/>
      <c r="F146" s="128"/>
      <c r="G146" s="128"/>
      <c r="H146" s="128"/>
      <c r="I146" s="129"/>
      <c r="J146" s="129"/>
      <c r="K146" s="129" t="s">
        <v>170</v>
      </c>
      <c r="L146" s="130">
        <v>6171910138537</v>
      </c>
      <c r="M146" s="130">
        <v>4401776066459.75</v>
      </c>
      <c r="N146" s="131">
        <f t="shared" si="130"/>
        <v>0.7131950996783557</v>
      </c>
      <c r="O146" s="130">
        <v>3803697275035.1602</v>
      </c>
      <c r="P146" s="131">
        <f t="shared" si="130"/>
        <v>0.61629174593536695</v>
      </c>
      <c r="Q146" s="130">
        <v>3650353681358.1602</v>
      </c>
      <c r="R146" s="131">
        <f t="shared" ref="R146" si="141">+Q146/$L146</f>
        <v>0.59144634309653865</v>
      </c>
    </row>
    <row r="147" spans="1:18" ht="42.75" customHeight="1">
      <c r="A147" s="32" t="e">
        <v>#REF!</v>
      </c>
      <c r="B147" s="133" t="s">
        <v>167</v>
      </c>
      <c r="C147" s="133" t="s">
        <v>190</v>
      </c>
      <c r="D147" s="133" t="s">
        <v>172</v>
      </c>
      <c r="E147" s="133" t="s">
        <v>191</v>
      </c>
      <c r="F147" s="133"/>
      <c r="G147" s="133"/>
      <c r="H147" s="133"/>
      <c r="I147" s="133"/>
      <c r="J147" s="134"/>
      <c r="K147" s="134" t="s">
        <v>263</v>
      </c>
      <c r="L147" s="135">
        <v>2404147573733.0005</v>
      </c>
      <c r="M147" s="135">
        <v>1584228127483.03</v>
      </c>
      <c r="N147" s="137">
        <f t="shared" si="130"/>
        <v>0.65895627406230561</v>
      </c>
      <c r="O147" s="135">
        <v>1526770191984.3401</v>
      </c>
      <c r="P147" s="137">
        <f t="shared" si="130"/>
        <v>0.63505676966978897</v>
      </c>
      <c r="Q147" s="135">
        <v>1526539663022.3401</v>
      </c>
      <c r="R147" s="137">
        <f t="shared" ref="R147" si="142">+Q147/$L147</f>
        <v>0.63496088164506093</v>
      </c>
    </row>
    <row r="148" spans="1:18" ht="30.75" customHeight="1">
      <c r="A148" s="32" t="e">
        <v>#REF!</v>
      </c>
      <c r="B148" s="139" t="s">
        <v>167</v>
      </c>
      <c r="C148" s="139" t="s">
        <v>190</v>
      </c>
      <c r="D148" s="139" t="s">
        <v>172</v>
      </c>
      <c r="E148" s="139" t="s">
        <v>191</v>
      </c>
      <c r="F148" s="139" t="s">
        <v>175</v>
      </c>
      <c r="G148" s="139" t="s">
        <v>193</v>
      </c>
      <c r="H148" s="139"/>
      <c r="I148" s="139"/>
      <c r="J148" s="140"/>
      <c r="K148" s="140" t="s">
        <v>194</v>
      </c>
      <c r="L148" s="141">
        <v>2399012541782.0005</v>
      </c>
      <c r="M148" s="141">
        <v>1579093095532.03</v>
      </c>
      <c r="N148" s="143">
        <f t="shared" si="130"/>
        <v>0.65822627769968656</v>
      </c>
      <c r="O148" s="141">
        <v>1524459427606.3401</v>
      </c>
      <c r="P148" s="143">
        <f t="shared" si="130"/>
        <v>0.63545287948930973</v>
      </c>
      <c r="Q148" s="141">
        <v>1524228898644.3401</v>
      </c>
      <c r="R148" s="143">
        <f t="shared" ref="R148" si="143">+Q148/$L148</f>
        <v>0.63535678621843883</v>
      </c>
    </row>
    <row r="149" spans="1:18" ht="24.95" hidden="1" customHeight="1">
      <c r="A149" s="32" t="e">
        <v>#REF!</v>
      </c>
      <c r="B149" s="145" t="s">
        <v>167</v>
      </c>
      <c r="C149" s="145" t="s">
        <v>190</v>
      </c>
      <c r="D149" s="145" t="s">
        <v>172</v>
      </c>
      <c r="E149" s="145" t="s">
        <v>191</v>
      </c>
      <c r="F149" s="145" t="s">
        <v>175</v>
      </c>
      <c r="G149" s="145" t="s">
        <v>193</v>
      </c>
      <c r="H149" s="145" t="s">
        <v>54</v>
      </c>
      <c r="I149" s="145">
        <v>10</v>
      </c>
      <c r="J149" s="146" t="s">
        <v>29</v>
      </c>
      <c r="K149" s="147" t="s">
        <v>178</v>
      </c>
      <c r="L149" s="148">
        <v>0</v>
      </c>
      <c r="M149" s="148">
        <v>0</v>
      </c>
      <c r="N149" s="150" t="e">
        <f t="shared" si="130"/>
        <v>#DIV/0!</v>
      </c>
      <c r="O149" s="148">
        <v>0</v>
      </c>
      <c r="P149" s="150" t="e">
        <f t="shared" si="130"/>
        <v>#DIV/0!</v>
      </c>
      <c r="Q149" s="148">
        <v>0</v>
      </c>
      <c r="R149" s="150" t="e">
        <f t="shared" ref="R149" si="144">+Q149/$L149</f>
        <v>#DIV/0!</v>
      </c>
    </row>
    <row r="150" spans="1:18" ht="24.95" customHeight="1">
      <c r="A150" s="32" t="e">
        <v>#REF!</v>
      </c>
      <c r="B150" s="145" t="s">
        <v>167</v>
      </c>
      <c r="C150" s="145" t="s">
        <v>190</v>
      </c>
      <c r="D150" s="145" t="s">
        <v>172</v>
      </c>
      <c r="E150" s="145" t="s">
        <v>191</v>
      </c>
      <c r="F150" s="145" t="s">
        <v>175</v>
      </c>
      <c r="G150" s="145" t="s">
        <v>193</v>
      </c>
      <c r="H150" s="145" t="s">
        <v>54</v>
      </c>
      <c r="I150" s="145">
        <v>11</v>
      </c>
      <c r="J150" s="146" t="s">
        <v>29</v>
      </c>
      <c r="K150" s="147" t="s">
        <v>178</v>
      </c>
      <c r="L150" s="148">
        <v>132124571558.12</v>
      </c>
      <c r="M150" s="148">
        <v>94671297884.029999</v>
      </c>
      <c r="N150" s="150">
        <f t="shared" si="130"/>
        <v>0.71653059508605665</v>
      </c>
      <c r="O150" s="148">
        <v>40233370558.339996</v>
      </c>
      <c r="P150" s="150">
        <f t="shared" si="130"/>
        <v>0.30451088759551304</v>
      </c>
      <c r="Q150" s="148">
        <v>40002841596.339996</v>
      </c>
      <c r="R150" s="150">
        <f t="shared" ref="R150" si="145">+Q150/$L150</f>
        <v>0.30276610266049742</v>
      </c>
    </row>
    <row r="151" spans="1:18" ht="24.95" hidden="1" customHeight="1">
      <c r="A151" s="32" t="e">
        <v>#REF!</v>
      </c>
      <c r="B151" s="145" t="s">
        <v>167</v>
      </c>
      <c r="C151" s="145" t="s">
        <v>190</v>
      </c>
      <c r="D151" s="145" t="s">
        <v>172</v>
      </c>
      <c r="E151" s="145" t="s">
        <v>191</v>
      </c>
      <c r="F151" s="145" t="s">
        <v>175</v>
      </c>
      <c r="G151" s="145" t="s">
        <v>193</v>
      </c>
      <c r="H151" s="145" t="s">
        <v>65</v>
      </c>
      <c r="I151" s="145">
        <v>10</v>
      </c>
      <c r="J151" s="146" t="s">
        <v>29</v>
      </c>
      <c r="K151" s="147" t="s">
        <v>127</v>
      </c>
      <c r="L151" s="148">
        <v>0</v>
      </c>
      <c r="M151" s="148">
        <v>0</v>
      </c>
      <c r="N151" s="150" t="e">
        <f t="shared" si="130"/>
        <v>#DIV/0!</v>
      </c>
      <c r="O151" s="148">
        <v>0</v>
      </c>
      <c r="P151" s="150" t="e">
        <f t="shared" si="130"/>
        <v>#DIV/0!</v>
      </c>
      <c r="Q151" s="148">
        <v>0</v>
      </c>
      <c r="R151" s="150" t="e">
        <f t="shared" ref="R151" si="146">+Q151/$L151</f>
        <v>#DIV/0!</v>
      </c>
    </row>
    <row r="152" spans="1:18" ht="24.95" customHeight="1">
      <c r="A152" s="32" t="e">
        <v>#REF!</v>
      </c>
      <c r="B152" s="145" t="s">
        <v>167</v>
      </c>
      <c r="C152" s="145" t="s">
        <v>190</v>
      </c>
      <c r="D152" s="145" t="s">
        <v>172</v>
      </c>
      <c r="E152" s="145" t="s">
        <v>191</v>
      </c>
      <c r="F152" s="145" t="s">
        <v>175</v>
      </c>
      <c r="G152" s="145" t="s">
        <v>193</v>
      </c>
      <c r="H152" s="145" t="s">
        <v>65</v>
      </c>
      <c r="I152" s="145" t="s">
        <v>144</v>
      </c>
      <c r="J152" s="146" t="s">
        <v>29</v>
      </c>
      <c r="K152" s="147" t="s">
        <v>127</v>
      </c>
      <c r="L152" s="148">
        <v>2266887970223.8804</v>
      </c>
      <c r="M152" s="148">
        <v>1484421797648</v>
      </c>
      <c r="N152" s="150">
        <f t="shared" si="130"/>
        <v>0.65482803612098961</v>
      </c>
      <c r="O152" s="148">
        <v>1484226057048</v>
      </c>
      <c r="P152" s="150">
        <f t="shared" si="130"/>
        <v>0.65474168840439706</v>
      </c>
      <c r="Q152" s="148">
        <v>1484226057048</v>
      </c>
      <c r="R152" s="150">
        <f t="shared" ref="R152" si="147">+Q152/$L152</f>
        <v>0.65474168840439706</v>
      </c>
    </row>
    <row r="153" spans="1:18" ht="32.25" customHeight="1">
      <c r="A153" s="32" t="e">
        <v>#REF!</v>
      </c>
      <c r="B153" s="139" t="s">
        <v>167</v>
      </c>
      <c r="C153" s="139" t="s">
        <v>190</v>
      </c>
      <c r="D153" s="139" t="s">
        <v>172</v>
      </c>
      <c r="E153" s="139" t="s">
        <v>191</v>
      </c>
      <c r="F153" s="139" t="s">
        <v>175</v>
      </c>
      <c r="G153" s="139">
        <v>4103009</v>
      </c>
      <c r="H153" s="139"/>
      <c r="I153" s="139">
        <v>10</v>
      </c>
      <c r="J153" s="140" t="s">
        <v>29</v>
      </c>
      <c r="K153" s="140" t="s">
        <v>195</v>
      </c>
      <c r="L153" s="141">
        <v>5135031951</v>
      </c>
      <c r="M153" s="141">
        <v>5135031951</v>
      </c>
      <c r="N153" s="143">
        <f t="shared" si="130"/>
        <v>1</v>
      </c>
      <c r="O153" s="141">
        <v>2310764378</v>
      </c>
      <c r="P153" s="143">
        <f t="shared" si="130"/>
        <v>0.45000000000973706</v>
      </c>
      <c r="Q153" s="141">
        <v>2310764378</v>
      </c>
      <c r="R153" s="143">
        <f t="shared" ref="R153" si="148">+Q153/$L153</f>
        <v>0.45000000000973706</v>
      </c>
    </row>
    <row r="154" spans="1:18" ht="24.95" hidden="1" customHeight="1">
      <c r="A154" s="32" t="e">
        <v>#REF!</v>
      </c>
      <c r="B154" s="145" t="s">
        <v>167</v>
      </c>
      <c r="C154" s="145" t="s">
        <v>190</v>
      </c>
      <c r="D154" s="145" t="s">
        <v>172</v>
      </c>
      <c r="E154" s="145" t="s">
        <v>191</v>
      </c>
      <c r="F154" s="145" t="s">
        <v>175</v>
      </c>
      <c r="G154" s="145">
        <v>4103009</v>
      </c>
      <c r="H154" s="145" t="s">
        <v>54</v>
      </c>
      <c r="I154" s="145">
        <v>10</v>
      </c>
      <c r="J154" s="146" t="s">
        <v>29</v>
      </c>
      <c r="K154" s="147" t="s">
        <v>178</v>
      </c>
      <c r="L154" s="148">
        <v>0</v>
      </c>
      <c r="M154" s="148">
        <v>0</v>
      </c>
      <c r="N154" s="150" t="e">
        <f t="shared" si="130"/>
        <v>#DIV/0!</v>
      </c>
      <c r="O154" s="148">
        <v>0</v>
      </c>
      <c r="P154" s="150" t="e">
        <f t="shared" si="130"/>
        <v>#DIV/0!</v>
      </c>
      <c r="Q154" s="148">
        <v>0</v>
      </c>
      <c r="R154" s="150" t="e">
        <f t="shared" ref="R154" si="149">+Q154/$L154</f>
        <v>#DIV/0!</v>
      </c>
    </row>
    <row r="155" spans="1:18" ht="24.95" customHeight="1">
      <c r="A155" s="32" t="e">
        <v>#REF!</v>
      </c>
      <c r="B155" s="145" t="s">
        <v>167</v>
      </c>
      <c r="C155" s="145" t="s">
        <v>190</v>
      </c>
      <c r="D155" s="145" t="s">
        <v>172</v>
      </c>
      <c r="E155" s="145" t="s">
        <v>191</v>
      </c>
      <c r="F155" s="145" t="s">
        <v>175</v>
      </c>
      <c r="G155" s="145">
        <v>4103009</v>
      </c>
      <c r="H155" s="145" t="s">
        <v>54</v>
      </c>
      <c r="I155" s="145">
        <v>11</v>
      </c>
      <c r="J155" s="146" t="s">
        <v>29</v>
      </c>
      <c r="K155" s="147" t="s">
        <v>178</v>
      </c>
      <c r="L155" s="148">
        <v>5135031951</v>
      </c>
      <c r="M155" s="148">
        <v>5135031951</v>
      </c>
      <c r="N155" s="150">
        <f t="shared" si="130"/>
        <v>1</v>
      </c>
      <c r="O155" s="148">
        <v>2310764378</v>
      </c>
      <c r="P155" s="150">
        <f t="shared" si="130"/>
        <v>0.45000000000973706</v>
      </c>
      <c r="Q155" s="148">
        <v>2310764378</v>
      </c>
      <c r="R155" s="150">
        <f t="shared" ref="R155" si="150">+Q155/$L155</f>
        <v>0.45000000000973706</v>
      </c>
    </row>
    <row r="156" spans="1:18" ht="42" customHeight="1">
      <c r="A156" s="32" t="e">
        <v>#REF!</v>
      </c>
      <c r="B156" s="133" t="s">
        <v>167</v>
      </c>
      <c r="C156" s="133" t="s">
        <v>190</v>
      </c>
      <c r="D156" s="133" t="s">
        <v>172</v>
      </c>
      <c r="E156" s="133" t="s">
        <v>22</v>
      </c>
      <c r="F156" s="133"/>
      <c r="G156" s="133"/>
      <c r="H156" s="133"/>
      <c r="I156" s="133"/>
      <c r="J156" s="134"/>
      <c r="K156" s="134" t="s">
        <v>264</v>
      </c>
      <c r="L156" s="135">
        <v>26000000000</v>
      </c>
      <c r="M156" s="135">
        <v>20715242755</v>
      </c>
      <c r="N156" s="137">
        <f t="shared" si="130"/>
        <v>0.79674010596153844</v>
      </c>
      <c r="O156" s="135">
        <v>3109098254</v>
      </c>
      <c r="P156" s="137">
        <f t="shared" si="130"/>
        <v>0.11958070207692308</v>
      </c>
      <c r="Q156" s="135">
        <v>2980768547</v>
      </c>
      <c r="R156" s="137">
        <f t="shared" ref="R156" si="151">+Q156/$L156</f>
        <v>0.11464494411538462</v>
      </c>
    </row>
    <row r="157" spans="1:18" ht="32.25" customHeight="1">
      <c r="A157" s="32" t="e">
        <v>#REF!</v>
      </c>
      <c r="B157" s="139" t="s">
        <v>167</v>
      </c>
      <c r="C157" s="139" t="s">
        <v>190</v>
      </c>
      <c r="D157" s="139" t="s">
        <v>172</v>
      </c>
      <c r="E157" s="139" t="s">
        <v>22</v>
      </c>
      <c r="F157" s="139" t="s">
        <v>175</v>
      </c>
      <c r="G157" s="139" t="s">
        <v>197</v>
      </c>
      <c r="H157" s="139"/>
      <c r="I157" s="139">
        <v>11</v>
      </c>
      <c r="J157" s="140" t="s">
        <v>29</v>
      </c>
      <c r="K157" s="140" t="s">
        <v>198</v>
      </c>
      <c r="L157" s="141">
        <v>2722234333</v>
      </c>
      <c r="M157" s="141">
        <v>2119790394</v>
      </c>
      <c r="N157" s="143">
        <f t="shared" si="130"/>
        <v>0.77869504777860721</v>
      </c>
      <c r="O157" s="141">
        <v>0</v>
      </c>
      <c r="P157" s="143">
        <f t="shared" si="130"/>
        <v>0</v>
      </c>
      <c r="Q157" s="141">
        <v>0</v>
      </c>
      <c r="R157" s="143">
        <f t="shared" ref="R157" si="152">+Q157/$L157</f>
        <v>0</v>
      </c>
    </row>
    <row r="158" spans="1:18" ht="24.95" customHeight="1">
      <c r="A158" s="32" t="e">
        <v>#REF!</v>
      </c>
      <c r="B158" s="145" t="s">
        <v>167</v>
      </c>
      <c r="C158" s="145" t="s">
        <v>190</v>
      </c>
      <c r="D158" s="145" t="s">
        <v>172</v>
      </c>
      <c r="E158" s="145" t="s">
        <v>22</v>
      </c>
      <c r="F158" s="145" t="s">
        <v>175</v>
      </c>
      <c r="G158" s="145" t="s">
        <v>197</v>
      </c>
      <c r="H158" s="145" t="s">
        <v>54</v>
      </c>
      <c r="I158" s="145">
        <v>11</v>
      </c>
      <c r="J158" s="146" t="s">
        <v>29</v>
      </c>
      <c r="K158" s="147" t="s">
        <v>178</v>
      </c>
      <c r="L158" s="148">
        <v>2722234333</v>
      </c>
      <c r="M158" s="148">
        <v>2119790394</v>
      </c>
      <c r="N158" s="150">
        <f t="shared" si="130"/>
        <v>0.77869504777860721</v>
      </c>
      <c r="O158" s="148">
        <v>0</v>
      </c>
      <c r="P158" s="150">
        <f t="shared" si="130"/>
        <v>0</v>
      </c>
      <c r="Q158" s="148">
        <v>0</v>
      </c>
      <c r="R158" s="150">
        <f t="shared" ref="R158" si="153">+Q158/$L158</f>
        <v>0</v>
      </c>
    </row>
    <row r="159" spans="1:18" ht="32.25" customHeight="1">
      <c r="A159" s="32" t="e">
        <v>#REF!</v>
      </c>
      <c r="B159" s="139" t="s">
        <v>167</v>
      </c>
      <c r="C159" s="139" t="s">
        <v>190</v>
      </c>
      <c r="D159" s="139" t="s">
        <v>172</v>
      </c>
      <c r="E159" s="139" t="s">
        <v>22</v>
      </c>
      <c r="F159" s="139" t="s">
        <v>175</v>
      </c>
      <c r="G159" s="139" t="s">
        <v>199</v>
      </c>
      <c r="H159" s="139"/>
      <c r="I159" s="139">
        <v>11</v>
      </c>
      <c r="J159" s="140" t="s">
        <v>29</v>
      </c>
      <c r="K159" s="140" t="s">
        <v>200</v>
      </c>
      <c r="L159" s="141">
        <v>2304259288</v>
      </c>
      <c r="M159" s="141">
        <v>1742312334</v>
      </c>
      <c r="N159" s="143">
        <f t="shared" si="130"/>
        <v>0.756126857369534</v>
      </c>
      <c r="O159" s="141">
        <v>759691998</v>
      </c>
      <c r="P159" s="143">
        <f t="shared" si="130"/>
        <v>0.32969032693338113</v>
      </c>
      <c r="Q159" s="141">
        <v>759691998</v>
      </c>
      <c r="R159" s="143">
        <f t="shared" ref="R159" si="154">+Q159/$L159</f>
        <v>0.32969032693338113</v>
      </c>
    </row>
    <row r="160" spans="1:18" ht="24.95" customHeight="1">
      <c r="A160" s="32" t="e">
        <v>#REF!</v>
      </c>
      <c r="B160" s="145" t="s">
        <v>167</v>
      </c>
      <c r="C160" s="145" t="s">
        <v>190</v>
      </c>
      <c r="D160" s="145" t="s">
        <v>172</v>
      </c>
      <c r="E160" s="145" t="s">
        <v>22</v>
      </c>
      <c r="F160" s="145" t="s">
        <v>175</v>
      </c>
      <c r="G160" s="145" t="s">
        <v>199</v>
      </c>
      <c r="H160" s="145" t="s">
        <v>54</v>
      </c>
      <c r="I160" s="145">
        <v>11</v>
      </c>
      <c r="J160" s="146" t="s">
        <v>29</v>
      </c>
      <c r="K160" s="147" t="s">
        <v>178</v>
      </c>
      <c r="L160" s="148">
        <v>2304259288</v>
      </c>
      <c r="M160" s="148">
        <v>1742312334</v>
      </c>
      <c r="N160" s="150">
        <f t="shared" si="130"/>
        <v>0.756126857369534</v>
      </c>
      <c r="O160" s="148">
        <v>759691998</v>
      </c>
      <c r="P160" s="150">
        <f t="shared" si="130"/>
        <v>0.32969032693338113</v>
      </c>
      <c r="Q160" s="148">
        <v>759691998</v>
      </c>
      <c r="R160" s="150">
        <f t="shared" ref="R160" si="155">+Q160/$L160</f>
        <v>0.32969032693338113</v>
      </c>
    </row>
    <row r="161" spans="1:18" ht="32.25" customHeight="1">
      <c r="A161" s="32" t="e">
        <v>#REF!</v>
      </c>
      <c r="B161" s="139" t="s">
        <v>167</v>
      </c>
      <c r="C161" s="139" t="s">
        <v>190</v>
      </c>
      <c r="D161" s="139" t="s">
        <v>172</v>
      </c>
      <c r="E161" s="139" t="s">
        <v>22</v>
      </c>
      <c r="F161" s="139" t="s">
        <v>175</v>
      </c>
      <c r="G161" s="139" t="s">
        <v>201</v>
      </c>
      <c r="H161" s="139"/>
      <c r="I161" s="139">
        <v>11</v>
      </c>
      <c r="J161" s="140" t="s">
        <v>29</v>
      </c>
      <c r="K161" s="140" t="s">
        <v>202</v>
      </c>
      <c r="L161" s="141">
        <v>2444410079</v>
      </c>
      <c r="M161" s="141">
        <v>1887245718</v>
      </c>
      <c r="N161" s="143">
        <f t="shared" si="130"/>
        <v>0.77206592061347823</v>
      </c>
      <c r="O161" s="141">
        <v>1158226180</v>
      </c>
      <c r="P161" s="143">
        <f t="shared" si="130"/>
        <v>0.47382646224148545</v>
      </c>
      <c r="Q161" s="141">
        <v>1029896473</v>
      </c>
      <c r="R161" s="143">
        <f t="shared" ref="R161" si="156">+Q161/$L161</f>
        <v>0.42132720767594251</v>
      </c>
    </row>
    <row r="162" spans="1:18" ht="24.95" customHeight="1">
      <c r="A162" s="32" t="e">
        <v>#REF!</v>
      </c>
      <c r="B162" s="145" t="s">
        <v>167</v>
      </c>
      <c r="C162" s="145" t="s">
        <v>190</v>
      </c>
      <c r="D162" s="145" t="s">
        <v>172</v>
      </c>
      <c r="E162" s="145" t="s">
        <v>22</v>
      </c>
      <c r="F162" s="145" t="s">
        <v>175</v>
      </c>
      <c r="G162" s="145" t="s">
        <v>201</v>
      </c>
      <c r="H162" s="145" t="s">
        <v>54</v>
      </c>
      <c r="I162" s="145">
        <v>11</v>
      </c>
      <c r="J162" s="146" t="s">
        <v>29</v>
      </c>
      <c r="K162" s="147" t="s">
        <v>178</v>
      </c>
      <c r="L162" s="148">
        <v>2444410079</v>
      </c>
      <c r="M162" s="148">
        <v>1887245718</v>
      </c>
      <c r="N162" s="150">
        <f t="shared" si="130"/>
        <v>0.77206592061347823</v>
      </c>
      <c r="O162" s="148">
        <v>1158226180</v>
      </c>
      <c r="P162" s="150">
        <f t="shared" si="130"/>
        <v>0.47382646224148545</v>
      </c>
      <c r="Q162" s="148">
        <v>1029896473</v>
      </c>
      <c r="R162" s="150">
        <f t="shared" ref="R162" si="157">+Q162/$L162</f>
        <v>0.42132720767594251</v>
      </c>
    </row>
    <row r="163" spans="1:18" ht="32.25" customHeight="1">
      <c r="A163" s="32" t="e">
        <v>#REF!</v>
      </c>
      <c r="B163" s="139" t="s">
        <v>167</v>
      </c>
      <c r="C163" s="139" t="s">
        <v>190</v>
      </c>
      <c r="D163" s="139" t="s">
        <v>172</v>
      </c>
      <c r="E163" s="139" t="s">
        <v>22</v>
      </c>
      <c r="F163" s="139" t="s">
        <v>175</v>
      </c>
      <c r="G163" s="139" t="s">
        <v>203</v>
      </c>
      <c r="H163" s="139"/>
      <c r="I163" s="139">
        <v>11</v>
      </c>
      <c r="J163" s="140" t="s">
        <v>29</v>
      </c>
      <c r="K163" s="140" t="s">
        <v>204</v>
      </c>
      <c r="L163" s="141">
        <v>18529096300</v>
      </c>
      <c r="M163" s="141">
        <v>14965894309</v>
      </c>
      <c r="N163" s="143">
        <f t="shared" si="130"/>
        <v>0.80769693603459769</v>
      </c>
      <c r="O163" s="141">
        <v>1191180076</v>
      </c>
      <c r="P163" s="143">
        <f t="shared" si="130"/>
        <v>6.4287003354826316E-2</v>
      </c>
      <c r="Q163" s="141">
        <v>1191180076</v>
      </c>
      <c r="R163" s="143">
        <f t="shared" ref="R163" si="158">+Q163/$L163</f>
        <v>6.4287003354826316E-2</v>
      </c>
    </row>
    <row r="164" spans="1:18" ht="24.95" customHeight="1">
      <c r="A164" s="32" t="e">
        <v>#REF!</v>
      </c>
      <c r="B164" s="145" t="s">
        <v>167</v>
      </c>
      <c r="C164" s="145" t="s">
        <v>190</v>
      </c>
      <c r="D164" s="145" t="s">
        <v>172</v>
      </c>
      <c r="E164" s="145" t="s">
        <v>22</v>
      </c>
      <c r="F164" s="145" t="s">
        <v>175</v>
      </c>
      <c r="G164" s="145" t="s">
        <v>203</v>
      </c>
      <c r="H164" s="145" t="s">
        <v>54</v>
      </c>
      <c r="I164" s="145">
        <v>11</v>
      </c>
      <c r="J164" s="146" t="s">
        <v>29</v>
      </c>
      <c r="K164" s="147" t="s">
        <v>178</v>
      </c>
      <c r="L164" s="148">
        <v>18529096300</v>
      </c>
      <c r="M164" s="148">
        <v>14965894309</v>
      </c>
      <c r="N164" s="150">
        <f t="shared" si="130"/>
        <v>0.80769693603459769</v>
      </c>
      <c r="O164" s="148">
        <v>1191180076</v>
      </c>
      <c r="P164" s="150">
        <f t="shared" si="130"/>
        <v>6.4287003354826316E-2</v>
      </c>
      <c r="Q164" s="148">
        <v>1191180076</v>
      </c>
      <c r="R164" s="150">
        <f t="shared" ref="R164" si="159">+Q164/$L164</f>
        <v>6.4287003354826316E-2</v>
      </c>
    </row>
    <row r="165" spans="1:18" ht="42" customHeight="1">
      <c r="A165" s="32" t="e">
        <v>#REF!</v>
      </c>
      <c r="B165" s="133" t="s">
        <v>167</v>
      </c>
      <c r="C165" s="133" t="s">
        <v>190</v>
      </c>
      <c r="D165" s="133" t="s">
        <v>172</v>
      </c>
      <c r="E165" s="133" t="s">
        <v>205</v>
      </c>
      <c r="F165" s="133"/>
      <c r="G165" s="133"/>
      <c r="H165" s="133"/>
      <c r="I165" s="133"/>
      <c r="J165" s="134"/>
      <c r="K165" s="134" t="s">
        <v>265</v>
      </c>
      <c r="L165" s="135">
        <v>830668989067</v>
      </c>
      <c r="M165" s="135">
        <v>462400722401.71002</v>
      </c>
      <c r="N165" s="137">
        <f t="shared" si="130"/>
        <v>0.55666062955001416</v>
      </c>
      <c r="O165" s="135">
        <v>103800254340.09999</v>
      </c>
      <c r="P165" s="137">
        <f t="shared" si="130"/>
        <v>0.1249598284109384</v>
      </c>
      <c r="Q165" s="135">
        <v>103713397447.09999</v>
      </c>
      <c r="R165" s="137">
        <f t="shared" ref="R165" si="160">+Q165/$L165</f>
        <v>0.12485526583048435</v>
      </c>
    </row>
    <row r="166" spans="1:18" ht="45" hidden="1" customHeight="1">
      <c r="A166" s="32"/>
      <c r="B166" s="133"/>
      <c r="C166" s="133"/>
      <c r="D166" s="133"/>
      <c r="E166" s="133"/>
      <c r="F166" s="133"/>
      <c r="G166" s="133"/>
      <c r="H166" s="133"/>
      <c r="I166" s="133"/>
      <c r="J166" s="134"/>
      <c r="K166" s="135"/>
      <c r="L166" s="135">
        <v>273668989067</v>
      </c>
      <c r="M166" s="135"/>
      <c r="N166" s="137">
        <f t="shared" si="130"/>
        <v>0</v>
      </c>
      <c r="O166" s="135"/>
      <c r="P166" s="137">
        <f t="shared" si="130"/>
        <v>0</v>
      </c>
      <c r="Q166" s="135"/>
      <c r="R166" s="137">
        <f t="shared" ref="R166" si="161">+Q166/$L166</f>
        <v>0</v>
      </c>
    </row>
    <row r="167" spans="1:18" ht="32.25" customHeight="1">
      <c r="A167" s="32" t="e">
        <v>#REF!</v>
      </c>
      <c r="B167" s="139" t="s">
        <v>167</v>
      </c>
      <c r="C167" s="139" t="s">
        <v>190</v>
      </c>
      <c r="D167" s="139" t="s">
        <v>172</v>
      </c>
      <c r="E167" s="139" t="s">
        <v>205</v>
      </c>
      <c r="F167" s="139" t="s">
        <v>175</v>
      </c>
      <c r="G167" s="139" t="s">
        <v>207</v>
      </c>
      <c r="H167" s="139"/>
      <c r="I167" s="139"/>
      <c r="J167" s="140"/>
      <c r="K167" s="140" t="s">
        <v>208</v>
      </c>
      <c r="L167" s="141">
        <v>532168906629.99994</v>
      </c>
      <c r="M167" s="141">
        <v>444004633248.21002</v>
      </c>
      <c r="N167" s="143">
        <f t="shared" si="130"/>
        <v>0.83433028069960558</v>
      </c>
      <c r="O167" s="141">
        <v>92020438128.599991</v>
      </c>
      <c r="P167" s="143">
        <f t="shared" si="130"/>
        <v>0.17291584867542603</v>
      </c>
      <c r="Q167" s="141">
        <v>92020438128.599991</v>
      </c>
      <c r="R167" s="143">
        <f t="shared" ref="R167" si="162">+Q167/$L167</f>
        <v>0.17291584867542603</v>
      </c>
    </row>
    <row r="168" spans="1:18" ht="24.95" customHeight="1">
      <c r="A168" s="32" t="e">
        <v>#REF!</v>
      </c>
      <c r="B168" s="145" t="s">
        <v>167</v>
      </c>
      <c r="C168" s="145" t="s">
        <v>190</v>
      </c>
      <c r="D168" s="145" t="s">
        <v>172</v>
      </c>
      <c r="E168" s="145" t="s">
        <v>205</v>
      </c>
      <c r="F168" s="145" t="s">
        <v>175</v>
      </c>
      <c r="G168" s="145" t="s">
        <v>207</v>
      </c>
      <c r="H168" s="145" t="s">
        <v>54</v>
      </c>
      <c r="I168" s="145">
        <v>11</v>
      </c>
      <c r="J168" s="146" t="s">
        <v>29</v>
      </c>
      <c r="K168" s="147" t="s">
        <v>178</v>
      </c>
      <c r="L168" s="148">
        <v>60053508224.479996</v>
      </c>
      <c r="M168" s="148">
        <v>44052292630.82</v>
      </c>
      <c r="N168" s="150">
        <f t="shared" si="130"/>
        <v>0.73355069392703154</v>
      </c>
      <c r="O168" s="148">
        <v>14025154517.67</v>
      </c>
      <c r="P168" s="150">
        <f t="shared" si="130"/>
        <v>0.23354429961433687</v>
      </c>
      <c r="Q168" s="148">
        <v>14025154517.67</v>
      </c>
      <c r="R168" s="150">
        <f t="shared" ref="R168" si="163">+Q168/$L168</f>
        <v>0.23354429961433687</v>
      </c>
    </row>
    <row r="169" spans="1:18" ht="24.95" hidden="1" customHeight="1">
      <c r="A169" s="32" t="e">
        <v>#REF!</v>
      </c>
      <c r="B169" s="145" t="s">
        <v>167</v>
      </c>
      <c r="C169" s="145" t="s">
        <v>190</v>
      </c>
      <c r="D169" s="145" t="s">
        <v>172</v>
      </c>
      <c r="E169" s="145" t="s">
        <v>205</v>
      </c>
      <c r="F169" s="145" t="s">
        <v>175</v>
      </c>
      <c r="G169" s="145" t="s">
        <v>207</v>
      </c>
      <c r="H169" s="145" t="s">
        <v>65</v>
      </c>
      <c r="I169" s="145" t="s">
        <v>28</v>
      </c>
      <c r="J169" s="146" t="s">
        <v>29</v>
      </c>
      <c r="K169" s="147" t="s">
        <v>127</v>
      </c>
      <c r="L169" s="148">
        <v>0</v>
      </c>
      <c r="M169" s="148"/>
      <c r="N169" s="150" t="e">
        <f t="shared" si="130"/>
        <v>#DIV/0!</v>
      </c>
      <c r="O169" s="148"/>
      <c r="P169" s="150" t="e">
        <f t="shared" si="130"/>
        <v>#DIV/0!</v>
      </c>
      <c r="Q169" s="148"/>
      <c r="R169" s="150" t="e">
        <f t="shared" ref="R169" si="164">+Q169/$L169</f>
        <v>#DIV/0!</v>
      </c>
    </row>
    <row r="170" spans="1:18" ht="24.95" customHeight="1">
      <c r="A170" s="32" t="e">
        <v>#REF!</v>
      </c>
      <c r="B170" s="145" t="s">
        <v>167</v>
      </c>
      <c r="C170" s="145" t="s">
        <v>190</v>
      </c>
      <c r="D170" s="145" t="s">
        <v>172</v>
      </c>
      <c r="E170" s="145" t="s">
        <v>205</v>
      </c>
      <c r="F170" s="145" t="s">
        <v>175</v>
      </c>
      <c r="G170" s="145" t="s">
        <v>207</v>
      </c>
      <c r="H170" s="145" t="s">
        <v>65</v>
      </c>
      <c r="I170" s="145">
        <v>11</v>
      </c>
      <c r="J170" s="146" t="s">
        <v>29</v>
      </c>
      <c r="K170" s="147" t="s">
        <v>127</v>
      </c>
      <c r="L170" s="149">
        <v>472115398405.51996</v>
      </c>
      <c r="M170" s="148">
        <v>399952340617.39001</v>
      </c>
      <c r="N170" s="150">
        <f t="shared" si="130"/>
        <v>0.84714953582991159</v>
      </c>
      <c r="O170" s="148">
        <v>77995283610.929993</v>
      </c>
      <c r="P170" s="150">
        <f t="shared" si="130"/>
        <v>0.16520385455408623</v>
      </c>
      <c r="Q170" s="148">
        <v>77995283610.929993</v>
      </c>
      <c r="R170" s="150">
        <f t="shared" ref="R170" si="165">+Q170/$L170</f>
        <v>0.16520385455408623</v>
      </c>
    </row>
    <row r="171" spans="1:18" ht="32.25" customHeight="1">
      <c r="A171" s="32" t="e">
        <v>#REF!</v>
      </c>
      <c r="B171" s="139" t="s">
        <v>167</v>
      </c>
      <c r="C171" s="139" t="s">
        <v>190</v>
      </c>
      <c r="D171" s="139" t="s">
        <v>172</v>
      </c>
      <c r="E171" s="139" t="s">
        <v>205</v>
      </c>
      <c r="F171" s="139" t="s">
        <v>175</v>
      </c>
      <c r="G171" s="139" t="s">
        <v>209</v>
      </c>
      <c r="H171" s="139"/>
      <c r="I171" s="139">
        <v>11</v>
      </c>
      <c r="J171" s="140" t="s">
        <v>29</v>
      </c>
      <c r="K171" s="140" t="s">
        <v>210</v>
      </c>
      <c r="L171" s="141">
        <v>24831093370</v>
      </c>
      <c r="M171" s="141">
        <v>18396089153.5</v>
      </c>
      <c r="N171" s="143">
        <f t="shared" si="130"/>
        <v>0.74084893803852669</v>
      </c>
      <c r="O171" s="141">
        <v>11779816211.5</v>
      </c>
      <c r="P171" s="143">
        <f t="shared" si="130"/>
        <v>0.47439780584659774</v>
      </c>
      <c r="Q171" s="141">
        <v>11692959318.5</v>
      </c>
      <c r="R171" s="143">
        <f t="shared" ref="R171" si="166">+Q171/$L171</f>
        <v>0.47089989732900756</v>
      </c>
    </row>
    <row r="172" spans="1:18" ht="24.95" customHeight="1">
      <c r="A172" s="32" t="e">
        <v>#REF!</v>
      </c>
      <c r="B172" s="145" t="s">
        <v>167</v>
      </c>
      <c r="C172" s="145" t="s">
        <v>190</v>
      </c>
      <c r="D172" s="145" t="s">
        <v>172</v>
      </c>
      <c r="E172" s="145" t="s">
        <v>205</v>
      </c>
      <c r="F172" s="145" t="s">
        <v>175</v>
      </c>
      <c r="G172" s="145" t="s">
        <v>209</v>
      </c>
      <c r="H172" s="145" t="s">
        <v>54</v>
      </c>
      <c r="I172" s="145">
        <v>11</v>
      </c>
      <c r="J172" s="146" t="s">
        <v>29</v>
      </c>
      <c r="K172" s="147" t="s">
        <v>178</v>
      </c>
      <c r="L172" s="148">
        <v>24831093370</v>
      </c>
      <c r="M172" s="148">
        <v>18396089153.5</v>
      </c>
      <c r="N172" s="150">
        <f t="shared" si="130"/>
        <v>0.74084893803852669</v>
      </c>
      <c r="O172" s="148">
        <v>11779816211.5</v>
      </c>
      <c r="P172" s="150">
        <f t="shared" si="130"/>
        <v>0.47439780584659774</v>
      </c>
      <c r="Q172" s="148">
        <v>11692959318.5</v>
      </c>
      <c r="R172" s="150">
        <f t="shared" ref="R172" si="167">+Q172/$L172</f>
        <v>0.47089989732900756</v>
      </c>
    </row>
    <row r="173" spans="1:18" ht="38.25" customHeight="1">
      <c r="A173" s="32" t="e">
        <v>#REF!</v>
      </c>
      <c r="B173" s="133" t="s">
        <v>167</v>
      </c>
      <c r="C173" s="133" t="s">
        <v>190</v>
      </c>
      <c r="D173" s="133" t="s">
        <v>172</v>
      </c>
      <c r="E173" s="133" t="s">
        <v>211</v>
      </c>
      <c r="F173" s="133"/>
      <c r="G173" s="133"/>
      <c r="H173" s="133"/>
      <c r="I173" s="133"/>
      <c r="J173" s="134"/>
      <c r="K173" s="134" t="s">
        <v>266</v>
      </c>
      <c r="L173" s="135">
        <v>1500000000</v>
      </c>
      <c r="M173" s="135">
        <v>500000000</v>
      </c>
      <c r="N173" s="137">
        <f t="shared" si="130"/>
        <v>0.33333333333333331</v>
      </c>
      <c r="O173" s="135">
        <v>500000000</v>
      </c>
      <c r="P173" s="137">
        <f t="shared" si="130"/>
        <v>0.33333333333333331</v>
      </c>
      <c r="Q173" s="135">
        <v>500000000</v>
      </c>
      <c r="R173" s="137">
        <f t="shared" ref="R173" si="168">+Q173/$L173</f>
        <v>0.33333333333333331</v>
      </c>
    </row>
    <row r="174" spans="1:18" ht="32.25" customHeight="1">
      <c r="A174" s="32" t="e">
        <v>#REF!</v>
      </c>
      <c r="B174" s="139" t="s">
        <v>167</v>
      </c>
      <c r="C174" s="139" t="s">
        <v>190</v>
      </c>
      <c r="D174" s="139" t="s">
        <v>172</v>
      </c>
      <c r="E174" s="139" t="s">
        <v>211</v>
      </c>
      <c r="F174" s="139" t="s">
        <v>175</v>
      </c>
      <c r="G174" s="139" t="s">
        <v>213</v>
      </c>
      <c r="H174" s="139"/>
      <c r="I174" s="139" t="s">
        <v>144</v>
      </c>
      <c r="J174" s="140" t="s">
        <v>29</v>
      </c>
      <c r="K174" s="140" t="s">
        <v>214</v>
      </c>
      <c r="L174" s="141">
        <v>500000000</v>
      </c>
      <c r="M174" s="141">
        <v>95000000</v>
      </c>
      <c r="N174" s="143">
        <f t="shared" si="130"/>
        <v>0.19</v>
      </c>
      <c r="O174" s="141">
        <v>95000000</v>
      </c>
      <c r="P174" s="143">
        <f t="shared" si="130"/>
        <v>0.19</v>
      </c>
      <c r="Q174" s="141">
        <v>95000000</v>
      </c>
      <c r="R174" s="143">
        <f t="shared" ref="R174" si="169">+Q174/$L174</f>
        <v>0.19</v>
      </c>
    </row>
    <row r="175" spans="1:18" ht="24.95" customHeight="1">
      <c r="A175" s="32" t="e">
        <v>#REF!</v>
      </c>
      <c r="B175" s="145" t="s">
        <v>167</v>
      </c>
      <c r="C175" s="145" t="s">
        <v>190</v>
      </c>
      <c r="D175" s="145" t="s">
        <v>172</v>
      </c>
      <c r="E175" s="145" t="s">
        <v>211</v>
      </c>
      <c r="F175" s="145" t="s">
        <v>175</v>
      </c>
      <c r="G175" s="145" t="s">
        <v>213</v>
      </c>
      <c r="H175" s="145" t="s">
        <v>54</v>
      </c>
      <c r="I175" s="145" t="s">
        <v>144</v>
      </c>
      <c r="J175" s="146" t="s">
        <v>29</v>
      </c>
      <c r="K175" s="147" t="s">
        <v>178</v>
      </c>
      <c r="L175" s="148">
        <v>500000000</v>
      </c>
      <c r="M175" s="148">
        <v>95000000</v>
      </c>
      <c r="N175" s="150">
        <f t="shared" si="130"/>
        <v>0.19</v>
      </c>
      <c r="O175" s="148">
        <v>95000000</v>
      </c>
      <c r="P175" s="150">
        <f t="shared" si="130"/>
        <v>0.19</v>
      </c>
      <c r="Q175" s="148">
        <v>95000000</v>
      </c>
      <c r="R175" s="150">
        <f t="shared" ref="R175" si="170">+Q175/$L175</f>
        <v>0.19</v>
      </c>
    </row>
    <row r="176" spans="1:18" ht="32.25" customHeight="1">
      <c r="A176" s="32" t="e">
        <v>#REF!</v>
      </c>
      <c r="B176" s="139" t="s">
        <v>167</v>
      </c>
      <c r="C176" s="139" t="s">
        <v>190</v>
      </c>
      <c r="D176" s="139" t="s">
        <v>172</v>
      </c>
      <c r="E176" s="139" t="s">
        <v>211</v>
      </c>
      <c r="F176" s="139" t="s">
        <v>175</v>
      </c>
      <c r="G176" s="139" t="s">
        <v>215</v>
      </c>
      <c r="H176" s="139"/>
      <c r="I176" s="139" t="s">
        <v>144</v>
      </c>
      <c r="J176" s="140" t="s">
        <v>29</v>
      </c>
      <c r="K176" s="140" t="s">
        <v>216</v>
      </c>
      <c r="L176" s="141">
        <v>1000000000</v>
      </c>
      <c r="M176" s="141">
        <v>405000000</v>
      </c>
      <c r="N176" s="143">
        <f t="shared" si="130"/>
        <v>0.40500000000000003</v>
      </c>
      <c r="O176" s="141">
        <v>405000000</v>
      </c>
      <c r="P176" s="143">
        <f t="shared" si="130"/>
        <v>0.40500000000000003</v>
      </c>
      <c r="Q176" s="141">
        <v>405000000</v>
      </c>
      <c r="R176" s="143">
        <f t="shared" ref="R176" si="171">+Q176/$L176</f>
        <v>0.40500000000000003</v>
      </c>
    </row>
    <row r="177" spans="1:18" ht="24.95" customHeight="1">
      <c r="A177" s="32" t="e">
        <v>#REF!</v>
      </c>
      <c r="B177" s="145" t="s">
        <v>167</v>
      </c>
      <c r="C177" s="145" t="s">
        <v>190</v>
      </c>
      <c r="D177" s="145" t="s">
        <v>172</v>
      </c>
      <c r="E177" s="145" t="s">
        <v>211</v>
      </c>
      <c r="F177" s="145" t="s">
        <v>175</v>
      </c>
      <c r="G177" s="145" t="s">
        <v>215</v>
      </c>
      <c r="H177" s="145" t="s">
        <v>54</v>
      </c>
      <c r="I177" s="145" t="s">
        <v>144</v>
      </c>
      <c r="J177" s="146" t="s">
        <v>29</v>
      </c>
      <c r="K177" s="147" t="s">
        <v>178</v>
      </c>
      <c r="L177" s="148">
        <v>1000000000</v>
      </c>
      <c r="M177" s="148">
        <v>405000000</v>
      </c>
      <c r="N177" s="150">
        <f t="shared" si="130"/>
        <v>0.40500000000000003</v>
      </c>
      <c r="O177" s="148">
        <v>405000000</v>
      </c>
      <c r="P177" s="150">
        <f t="shared" si="130"/>
        <v>0.40500000000000003</v>
      </c>
      <c r="Q177" s="148">
        <v>405000000</v>
      </c>
      <c r="R177" s="150">
        <f t="shared" ref="R177" si="172">+Q177/$L177</f>
        <v>0.40500000000000003</v>
      </c>
    </row>
    <row r="178" spans="1:18" ht="49.5" customHeight="1">
      <c r="A178" s="32" t="e">
        <v>#REF!</v>
      </c>
      <c r="B178" s="133" t="s">
        <v>167</v>
      </c>
      <c r="C178" s="133" t="s">
        <v>190</v>
      </c>
      <c r="D178" s="133" t="s">
        <v>172</v>
      </c>
      <c r="E178" s="133" t="s">
        <v>217</v>
      </c>
      <c r="F178" s="133"/>
      <c r="G178" s="133"/>
      <c r="H178" s="133"/>
      <c r="I178" s="133"/>
      <c r="J178" s="134"/>
      <c r="K178" s="134" t="s">
        <v>267</v>
      </c>
      <c r="L178" s="135">
        <v>5207638916</v>
      </c>
      <c r="M178" s="135">
        <v>5205720035</v>
      </c>
      <c r="N178" s="137">
        <f t="shared" si="130"/>
        <v>0.99963152572001401</v>
      </c>
      <c r="O178" s="135">
        <v>4548386700</v>
      </c>
      <c r="P178" s="137">
        <f t="shared" si="130"/>
        <v>0.87340669607977095</v>
      </c>
      <c r="Q178" s="135">
        <v>4548386700</v>
      </c>
      <c r="R178" s="137">
        <f t="shared" ref="R178" si="173">+Q178/$L178</f>
        <v>0.87340669607977095</v>
      </c>
    </row>
    <row r="179" spans="1:18" ht="32.25" customHeight="1">
      <c r="A179" s="32" t="e">
        <v>#REF!</v>
      </c>
      <c r="B179" s="139" t="s">
        <v>167</v>
      </c>
      <c r="C179" s="139" t="s">
        <v>190</v>
      </c>
      <c r="D179" s="139" t="s">
        <v>172</v>
      </c>
      <c r="E179" s="139" t="s">
        <v>217</v>
      </c>
      <c r="F179" s="139" t="s">
        <v>175</v>
      </c>
      <c r="G179" s="139" t="s">
        <v>219</v>
      </c>
      <c r="H179" s="139"/>
      <c r="I179" s="139">
        <v>11</v>
      </c>
      <c r="J179" s="140" t="s">
        <v>29</v>
      </c>
      <c r="K179" s="140" t="s">
        <v>220</v>
      </c>
      <c r="L179" s="141">
        <v>610647150</v>
      </c>
      <c r="M179" s="141">
        <v>610647150</v>
      </c>
      <c r="N179" s="143">
        <f t="shared" si="130"/>
        <v>1</v>
      </c>
      <c r="O179" s="141">
        <v>610647150</v>
      </c>
      <c r="P179" s="143">
        <f t="shared" si="130"/>
        <v>1</v>
      </c>
      <c r="Q179" s="141">
        <v>610647150</v>
      </c>
      <c r="R179" s="143">
        <f t="shared" ref="R179" si="174">+Q179/$L179</f>
        <v>1</v>
      </c>
    </row>
    <row r="180" spans="1:18" ht="24.95" customHeight="1">
      <c r="A180" s="32" t="e">
        <v>#REF!</v>
      </c>
      <c r="B180" s="145" t="s">
        <v>167</v>
      </c>
      <c r="C180" s="145" t="s">
        <v>190</v>
      </c>
      <c r="D180" s="145" t="s">
        <v>172</v>
      </c>
      <c r="E180" s="145" t="s">
        <v>217</v>
      </c>
      <c r="F180" s="145" t="s">
        <v>175</v>
      </c>
      <c r="G180" s="145" t="s">
        <v>219</v>
      </c>
      <c r="H180" s="145" t="s">
        <v>54</v>
      </c>
      <c r="I180" s="145">
        <v>11</v>
      </c>
      <c r="J180" s="146" t="s">
        <v>29</v>
      </c>
      <c r="K180" s="147" t="s">
        <v>178</v>
      </c>
      <c r="L180" s="148">
        <v>610647150</v>
      </c>
      <c r="M180" s="148">
        <v>610647150</v>
      </c>
      <c r="N180" s="150">
        <f t="shared" si="130"/>
        <v>1</v>
      </c>
      <c r="O180" s="148">
        <v>610647150</v>
      </c>
      <c r="P180" s="150">
        <f t="shared" si="130"/>
        <v>1</v>
      </c>
      <c r="Q180" s="148">
        <v>610647150</v>
      </c>
      <c r="R180" s="150">
        <f t="shared" ref="R180" si="175">+Q180/$L180</f>
        <v>1</v>
      </c>
    </row>
    <row r="181" spans="1:18" ht="32.25" customHeight="1">
      <c r="A181" s="32" t="e">
        <v>#REF!</v>
      </c>
      <c r="B181" s="139" t="s">
        <v>167</v>
      </c>
      <c r="C181" s="139" t="s">
        <v>190</v>
      </c>
      <c r="D181" s="139" t="s">
        <v>172</v>
      </c>
      <c r="E181" s="139" t="s">
        <v>217</v>
      </c>
      <c r="F181" s="139" t="s">
        <v>175</v>
      </c>
      <c r="G181" s="139" t="s">
        <v>221</v>
      </c>
      <c r="H181" s="139"/>
      <c r="I181" s="139">
        <v>11</v>
      </c>
      <c r="J181" s="140" t="s">
        <v>29</v>
      </c>
      <c r="K181" s="140" t="s">
        <v>222</v>
      </c>
      <c r="L181" s="141">
        <v>2557468350</v>
      </c>
      <c r="M181" s="141">
        <v>2555549469</v>
      </c>
      <c r="N181" s="143">
        <f t="shared" si="130"/>
        <v>0.99924969511352901</v>
      </c>
      <c r="O181" s="141">
        <v>2403592434</v>
      </c>
      <c r="P181" s="143">
        <f t="shared" si="130"/>
        <v>0.93983271933746515</v>
      </c>
      <c r="Q181" s="141">
        <v>2403592434</v>
      </c>
      <c r="R181" s="143">
        <f t="shared" ref="R181" si="176">+Q181/$L181</f>
        <v>0.93983271933746515</v>
      </c>
    </row>
    <row r="182" spans="1:18" ht="24.95" customHeight="1">
      <c r="A182" s="32" t="e">
        <v>#REF!</v>
      </c>
      <c r="B182" s="145" t="s">
        <v>167</v>
      </c>
      <c r="C182" s="145" t="s">
        <v>190</v>
      </c>
      <c r="D182" s="145" t="s">
        <v>172</v>
      </c>
      <c r="E182" s="145" t="s">
        <v>217</v>
      </c>
      <c r="F182" s="145" t="s">
        <v>175</v>
      </c>
      <c r="G182" s="145" t="s">
        <v>221</v>
      </c>
      <c r="H182" s="145" t="s">
        <v>54</v>
      </c>
      <c r="I182" s="145">
        <v>11</v>
      </c>
      <c r="J182" s="146" t="s">
        <v>29</v>
      </c>
      <c r="K182" s="147" t="s">
        <v>178</v>
      </c>
      <c r="L182" s="148">
        <v>388286850</v>
      </c>
      <c r="M182" s="148">
        <v>388286850</v>
      </c>
      <c r="N182" s="150">
        <f t="shared" si="130"/>
        <v>1</v>
      </c>
      <c r="O182" s="148">
        <v>388286850</v>
      </c>
      <c r="P182" s="150">
        <f t="shared" si="130"/>
        <v>1</v>
      </c>
      <c r="Q182" s="148">
        <v>388286850</v>
      </c>
      <c r="R182" s="150">
        <f t="shared" ref="R182" si="177">+Q182/$L182</f>
        <v>1</v>
      </c>
    </row>
    <row r="183" spans="1:18" ht="24.95" customHeight="1">
      <c r="A183" s="32" t="e">
        <v>#REF!</v>
      </c>
      <c r="B183" s="145" t="s">
        <v>167</v>
      </c>
      <c r="C183" s="145" t="s">
        <v>190</v>
      </c>
      <c r="D183" s="145" t="s">
        <v>172</v>
      </c>
      <c r="E183" s="145" t="s">
        <v>217</v>
      </c>
      <c r="F183" s="145" t="s">
        <v>175</v>
      </c>
      <c r="G183" s="145" t="s">
        <v>221</v>
      </c>
      <c r="H183" s="145" t="s">
        <v>65</v>
      </c>
      <c r="I183" s="145">
        <v>11</v>
      </c>
      <c r="J183" s="146" t="s">
        <v>29</v>
      </c>
      <c r="K183" s="147" t="s">
        <v>127</v>
      </c>
      <c r="L183" s="148">
        <v>2169181500</v>
      </c>
      <c r="M183" s="148">
        <v>2167262619</v>
      </c>
      <c r="N183" s="150">
        <f t="shared" si="130"/>
        <v>0.99911538937613109</v>
      </c>
      <c r="O183" s="148">
        <v>2015305584</v>
      </c>
      <c r="P183" s="150">
        <f t="shared" si="130"/>
        <v>0.92906268285987137</v>
      </c>
      <c r="Q183" s="148">
        <v>2015305584</v>
      </c>
      <c r="R183" s="150">
        <f t="shared" ref="R183" si="178">+Q183/$L183</f>
        <v>0.92906268285987137</v>
      </c>
    </row>
    <row r="184" spans="1:18" ht="32.25" customHeight="1">
      <c r="A184" s="32" t="e">
        <v>#REF!</v>
      </c>
      <c r="B184" s="139" t="s">
        <v>167</v>
      </c>
      <c r="C184" s="139" t="s">
        <v>190</v>
      </c>
      <c r="D184" s="139" t="s">
        <v>172</v>
      </c>
      <c r="E184" s="139" t="s">
        <v>217</v>
      </c>
      <c r="F184" s="139" t="s">
        <v>175</v>
      </c>
      <c r="G184" s="139" t="s">
        <v>223</v>
      </c>
      <c r="H184" s="139"/>
      <c r="I184" s="139">
        <v>11</v>
      </c>
      <c r="J184" s="140" t="s">
        <v>29</v>
      </c>
      <c r="K184" s="140" t="s">
        <v>224</v>
      </c>
      <c r="L184" s="141">
        <v>1818499224</v>
      </c>
      <c r="M184" s="141">
        <v>1818499224</v>
      </c>
      <c r="N184" s="143">
        <f t="shared" si="130"/>
        <v>1</v>
      </c>
      <c r="O184" s="141">
        <v>1313122924</v>
      </c>
      <c r="P184" s="143">
        <f t="shared" si="130"/>
        <v>0.72209155036735939</v>
      </c>
      <c r="Q184" s="141">
        <v>1313122924</v>
      </c>
      <c r="R184" s="143">
        <f t="shared" ref="R184" si="179">+Q184/$L184</f>
        <v>0.72209155036735939</v>
      </c>
    </row>
    <row r="185" spans="1:18" ht="24.95" customHeight="1">
      <c r="A185" s="32" t="e">
        <v>#REF!</v>
      </c>
      <c r="B185" s="145" t="s">
        <v>167</v>
      </c>
      <c r="C185" s="145" t="s">
        <v>190</v>
      </c>
      <c r="D185" s="145" t="s">
        <v>172</v>
      </c>
      <c r="E185" s="145" t="s">
        <v>217</v>
      </c>
      <c r="F185" s="145" t="s">
        <v>175</v>
      </c>
      <c r="G185" s="145" t="s">
        <v>223</v>
      </c>
      <c r="H185" s="145" t="s">
        <v>54</v>
      </c>
      <c r="I185" s="145">
        <v>11</v>
      </c>
      <c r="J185" s="146" t="s">
        <v>29</v>
      </c>
      <c r="K185" s="147" t="s">
        <v>178</v>
      </c>
      <c r="L185" s="148">
        <v>259599224</v>
      </c>
      <c r="M185" s="148">
        <v>259599224</v>
      </c>
      <c r="N185" s="150">
        <f t="shared" si="130"/>
        <v>1</v>
      </c>
      <c r="O185" s="148">
        <v>259599224</v>
      </c>
      <c r="P185" s="150">
        <f t="shared" si="130"/>
        <v>1</v>
      </c>
      <c r="Q185" s="148">
        <v>259599224</v>
      </c>
      <c r="R185" s="150">
        <f t="shared" ref="R185" si="180">+Q185/$L185</f>
        <v>1</v>
      </c>
    </row>
    <row r="186" spans="1:18" ht="24.95" customHeight="1">
      <c r="A186" s="32" t="e">
        <v>#REF!</v>
      </c>
      <c r="B186" s="145" t="s">
        <v>167</v>
      </c>
      <c r="C186" s="145" t="s">
        <v>190</v>
      </c>
      <c r="D186" s="145" t="s">
        <v>172</v>
      </c>
      <c r="E186" s="145" t="s">
        <v>217</v>
      </c>
      <c r="F186" s="145" t="s">
        <v>175</v>
      </c>
      <c r="G186" s="145" t="s">
        <v>223</v>
      </c>
      <c r="H186" s="145" t="s">
        <v>65</v>
      </c>
      <c r="I186" s="145">
        <v>11</v>
      </c>
      <c r="J186" s="146" t="s">
        <v>29</v>
      </c>
      <c r="K186" s="147" t="s">
        <v>127</v>
      </c>
      <c r="L186" s="148">
        <v>1558900000</v>
      </c>
      <c r="M186" s="148">
        <v>1558900000</v>
      </c>
      <c r="N186" s="150">
        <f t="shared" si="130"/>
        <v>1</v>
      </c>
      <c r="O186" s="148">
        <v>1053523700</v>
      </c>
      <c r="P186" s="150">
        <f t="shared" si="130"/>
        <v>0.67581223939957658</v>
      </c>
      <c r="Q186" s="148">
        <v>1053523700</v>
      </c>
      <c r="R186" s="150">
        <f t="shared" ref="R186" si="181">+Q186/$L186</f>
        <v>0.67581223939957658</v>
      </c>
    </row>
    <row r="187" spans="1:18" ht="32.25" customHeight="1">
      <c r="A187" s="32" t="e">
        <v>#REF!</v>
      </c>
      <c r="B187" s="139" t="s">
        <v>167</v>
      </c>
      <c r="C187" s="139" t="s">
        <v>190</v>
      </c>
      <c r="D187" s="139" t="s">
        <v>172</v>
      </c>
      <c r="E187" s="139" t="s">
        <v>217</v>
      </c>
      <c r="F187" s="139" t="s">
        <v>175</v>
      </c>
      <c r="G187" s="139" t="s">
        <v>225</v>
      </c>
      <c r="H187" s="139"/>
      <c r="I187" s="139">
        <v>11</v>
      </c>
      <c r="J187" s="140" t="s">
        <v>29</v>
      </c>
      <c r="K187" s="140" t="s">
        <v>226</v>
      </c>
      <c r="L187" s="141">
        <v>221024192</v>
      </c>
      <c r="M187" s="141">
        <v>221024192</v>
      </c>
      <c r="N187" s="143">
        <f t="shared" si="130"/>
        <v>1</v>
      </c>
      <c r="O187" s="141">
        <v>221024192</v>
      </c>
      <c r="P187" s="143">
        <f t="shared" si="130"/>
        <v>1</v>
      </c>
      <c r="Q187" s="141">
        <v>221024192</v>
      </c>
      <c r="R187" s="143">
        <f t="shared" ref="R187" si="182">+Q187/$L187</f>
        <v>1</v>
      </c>
    </row>
    <row r="188" spans="1:18" ht="24.95" customHeight="1">
      <c r="A188" s="32" t="e">
        <v>#REF!</v>
      </c>
      <c r="B188" s="145" t="s">
        <v>167</v>
      </c>
      <c r="C188" s="145" t="s">
        <v>190</v>
      </c>
      <c r="D188" s="145" t="s">
        <v>172</v>
      </c>
      <c r="E188" s="145" t="s">
        <v>217</v>
      </c>
      <c r="F188" s="145" t="s">
        <v>175</v>
      </c>
      <c r="G188" s="145" t="s">
        <v>225</v>
      </c>
      <c r="H188" s="145" t="s">
        <v>54</v>
      </c>
      <c r="I188" s="145">
        <v>11</v>
      </c>
      <c r="J188" s="146" t="s">
        <v>29</v>
      </c>
      <c r="K188" s="147" t="s">
        <v>178</v>
      </c>
      <c r="L188" s="148">
        <v>221024192</v>
      </c>
      <c r="M188" s="148">
        <v>221024192</v>
      </c>
      <c r="N188" s="150">
        <f t="shared" si="130"/>
        <v>1</v>
      </c>
      <c r="O188" s="148">
        <v>221024192</v>
      </c>
      <c r="P188" s="150">
        <f t="shared" si="130"/>
        <v>1</v>
      </c>
      <c r="Q188" s="148">
        <v>221024192</v>
      </c>
      <c r="R188" s="150">
        <f t="shared" ref="R188" si="183">+Q188/$L188</f>
        <v>1</v>
      </c>
    </row>
    <row r="189" spans="1:18" ht="49.5" hidden="1" customHeight="1">
      <c r="A189" s="32" t="e">
        <v>#REF!</v>
      </c>
      <c r="B189" s="133" t="s">
        <v>167</v>
      </c>
      <c r="C189" s="133" t="s">
        <v>190</v>
      </c>
      <c r="D189" s="133" t="s">
        <v>172</v>
      </c>
      <c r="E189" s="133">
        <v>18</v>
      </c>
      <c r="F189" s="133"/>
      <c r="G189" s="133"/>
      <c r="H189" s="133"/>
      <c r="I189" s="133"/>
      <c r="J189" s="134"/>
      <c r="K189" s="134" t="s">
        <v>268</v>
      </c>
      <c r="L189" s="135">
        <v>0</v>
      </c>
      <c r="M189" s="135">
        <v>0</v>
      </c>
      <c r="N189" s="137" t="e">
        <f t="shared" si="130"/>
        <v>#DIV/0!</v>
      </c>
      <c r="O189" s="135">
        <v>0</v>
      </c>
      <c r="P189" s="137" t="e">
        <f t="shared" si="130"/>
        <v>#DIV/0!</v>
      </c>
      <c r="Q189" s="135">
        <v>0</v>
      </c>
      <c r="R189" s="137" t="e">
        <f t="shared" ref="R189" si="184">+Q189/$L189</f>
        <v>#DIV/0!</v>
      </c>
    </row>
    <row r="190" spans="1:18" ht="32.25" hidden="1" customHeight="1">
      <c r="A190" s="32" t="e">
        <v>#REF!</v>
      </c>
      <c r="B190" s="139" t="s">
        <v>167</v>
      </c>
      <c r="C190" s="139" t="s">
        <v>190</v>
      </c>
      <c r="D190" s="139" t="s">
        <v>172</v>
      </c>
      <c r="E190" s="139">
        <v>18</v>
      </c>
      <c r="F190" s="139" t="s">
        <v>175</v>
      </c>
      <c r="G190" s="139">
        <v>4103050</v>
      </c>
      <c r="H190" s="139"/>
      <c r="I190" s="139">
        <v>11</v>
      </c>
      <c r="J190" s="140" t="s">
        <v>29</v>
      </c>
      <c r="K190" s="140" t="s">
        <v>269</v>
      </c>
      <c r="L190" s="141">
        <v>0</v>
      </c>
      <c r="M190" s="141">
        <v>0</v>
      </c>
      <c r="N190" s="143" t="e">
        <f t="shared" si="130"/>
        <v>#DIV/0!</v>
      </c>
      <c r="O190" s="141">
        <v>0</v>
      </c>
      <c r="P190" s="143" t="e">
        <f t="shared" si="130"/>
        <v>#DIV/0!</v>
      </c>
      <c r="Q190" s="141">
        <v>0</v>
      </c>
      <c r="R190" s="143" t="e">
        <f t="shared" ref="R190" si="185">+Q190/$L190</f>
        <v>#DIV/0!</v>
      </c>
    </row>
    <row r="191" spans="1:18" ht="24.95" hidden="1" customHeight="1">
      <c r="A191" s="32" t="e">
        <v>#REF!</v>
      </c>
      <c r="B191" s="145" t="s">
        <v>167</v>
      </c>
      <c r="C191" s="145" t="s">
        <v>190</v>
      </c>
      <c r="D191" s="145" t="s">
        <v>172</v>
      </c>
      <c r="E191" s="145">
        <v>18</v>
      </c>
      <c r="F191" s="145" t="s">
        <v>175</v>
      </c>
      <c r="G191" s="145">
        <v>4103050</v>
      </c>
      <c r="H191" s="145" t="s">
        <v>54</v>
      </c>
      <c r="I191" s="145">
        <v>11</v>
      </c>
      <c r="J191" s="146" t="s">
        <v>29</v>
      </c>
      <c r="K191" s="147" t="s">
        <v>178</v>
      </c>
      <c r="L191" s="148">
        <v>0</v>
      </c>
      <c r="M191" s="148"/>
      <c r="N191" s="150" t="e">
        <f t="shared" si="130"/>
        <v>#DIV/0!</v>
      </c>
      <c r="O191" s="148"/>
      <c r="P191" s="150" t="e">
        <f t="shared" si="130"/>
        <v>#DIV/0!</v>
      </c>
      <c r="Q191" s="148"/>
      <c r="R191" s="150" t="e">
        <f t="shared" ref="R191" si="186">+Q191/$L191</f>
        <v>#DIV/0!</v>
      </c>
    </row>
    <row r="192" spans="1:18" ht="41.25" customHeight="1">
      <c r="A192" s="32" t="e">
        <v>#REF!</v>
      </c>
      <c r="B192" s="133" t="s">
        <v>167</v>
      </c>
      <c r="C192" s="133" t="s">
        <v>190</v>
      </c>
      <c r="D192" s="133" t="s">
        <v>172</v>
      </c>
      <c r="E192" s="133">
        <v>19</v>
      </c>
      <c r="F192" s="133"/>
      <c r="G192" s="133"/>
      <c r="H192" s="133"/>
      <c r="I192" s="133"/>
      <c r="J192" s="134"/>
      <c r="K192" s="134" t="s">
        <v>270</v>
      </c>
      <c r="L192" s="135">
        <v>14493806741</v>
      </c>
      <c r="M192" s="135">
        <v>13649607922.950001</v>
      </c>
      <c r="N192" s="137">
        <f t="shared" si="130"/>
        <v>0.94175451397030607</v>
      </c>
      <c r="O192" s="135">
        <v>3605099961.6300001</v>
      </c>
      <c r="P192" s="137">
        <f t="shared" si="130"/>
        <v>0.24873382307712943</v>
      </c>
      <c r="Q192" s="135">
        <v>3405720681.6300001</v>
      </c>
      <c r="R192" s="137">
        <f t="shared" ref="R192" si="187">+Q192/$L192</f>
        <v>0.23497765235104981</v>
      </c>
    </row>
    <row r="193" spans="1:18" ht="32.25" customHeight="1">
      <c r="A193" s="32" t="e">
        <v>#REF!</v>
      </c>
      <c r="B193" s="139" t="s">
        <v>167</v>
      </c>
      <c r="C193" s="139" t="s">
        <v>190</v>
      </c>
      <c r="D193" s="139" t="s">
        <v>172</v>
      </c>
      <c r="E193" s="139">
        <v>19</v>
      </c>
      <c r="F193" s="139" t="s">
        <v>175</v>
      </c>
      <c r="G193" s="139">
        <v>4103049</v>
      </c>
      <c r="H193" s="139"/>
      <c r="I193" s="139">
        <v>11</v>
      </c>
      <c r="J193" s="140" t="s">
        <v>29</v>
      </c>
      <c r="K193" s="140" t="s">
        <v>228</v>
      </c>
      <c r="L193" s="141">
        <v>297454258</v>
      </c>
      <c r="M193" s="141">
        <v>274858112</v>
      </c>
      <c r="N193" s="143">
        <f t="shared" si="130"/>
        <v>0.92403488808016998</v>
      </c>
      <c r="O193" s="141">
        <v>176078716</v>
      </c>
      <c r="P193" s="143">
        <f t="shared" si="130"/>
        <v>0.59195224564578264</v>
      </c>
      <c r="Q193" s="141">
        <v>171802156</v>
      </c>
      <c r="R193" s="143">
        <f t="shared" ref="R193" si="188">+Q193/$L193</f>
        <v>0.57757504348786293</v>
      </c>
    </row>
    <row r="194" spans="1:18" ht="24.95" customHeight="1">
      <c r="A194" s="32" t="e">
        <v>#REF!</v>
      </c>
      <c r="B194" s="145" t="s">
        <v>167</v>
      </c>
      <c r="C194" s="145" t="s">
        <v>190</v>
      </c>
      <c r="D194" s="145" t="s">
        <v>172</v>
      </c>
      <c r="E194" s="145">
        <v>19</v>
      </c>
      <c r="F194" s="145" t="s">
        <v>175</v>
      </c>
      <c r="G194" s="145">
        <v>4103049</v>
      </c>
      <c r="H194" s="145" t="s">
        <v>54</v>
      </c>
      <c r="I194" s="145">
        <v>11</v>
      </c>
      <c r="J194" s="146" t="s">
        <v>29</v>
      </c>
      <c r="K194" s="147" t="s">
        <v>178</v>
      </c>
      <c r="L194" s="148">
        <v>297454258</v>
      </c>
      <c r="M194" s="148">
        <v>274858112</v>
      </c>
      <c r="N194" s="150">
        <f t="shared" si="130"/>
        <v>0.92403488808016998</v>
      </c>
      <c r="O194" s="148">
        <v>176078716</v>
      </c>
      <c r="P194" s="150">
        <f t="shared" si="130"/>
        <v>0.59195224564578264</v>
      </c>
      <c r="Q194" s="148">
        <v>171802156</v>
      </c>
      <c r="R194" s="150">
        <f t="shared" ref="R194" si="189">+Q194/$L194</f>
        <v>0.57757504348786293</v>
      </c>
    </row>
    <row r="195" spans="1:18" ht="32.25" customHeight="1">
      <c r="A195" s="32" t="e">
        <v>#REF!</v>
      </c>
      <c r="B195" s="139" t="s">
        <v>167</v>
      </c>
      <c r="C195" s="139" t="s">
        <v>190</v>
      </c>
      <c r="D195" s="139" t="s">
        <v>172</v>
      </c>
      <c r="E195" s="139">
        <v>19</v>
      </c>
      <c r="F195" s="139" t="s">
        <v>175</v>
      </c>
      <c r="G195" s="139">
        <v>4103052</v>
      </c>
      <c r="H195" s="139"/>
      <c r="I195" s="139">
        <v>11</v>
      </c>
      <c r="J195" s="140" t="s">
        <v>29</v>
      </c>
      <c r="K195" s="140" t="s">
        <v>229</v>
      </c>
      <c r="L195" s="141">
        <v>14196352483</v>
      </c>
      <c r="M195" s="141">
        <v>13374749810.950001</v>
      </c>
      <c r="N195" s="143">
        <f t="shared" si="130"/>
        <v>0.94212579090059501</v>
      </c>
      <c r="O195" s="141">
        <v>3429021245.6300001</v>
      </c>
      <c r="P195" s="143">
        <f t="shared" si="130"/>
        <v>0.24154241378102023</v>
      </c>
      <c r="Q195" s="141">
        <v>3233918525.6300001</v>
      </c>
      <c r="R195" s="143">
        <f t="shared" ref="R195" si="190">+Q195/$L195</f>
        <v>0.22779925544273344</v>
      </c>
    </row>
    <row r="196" spans="1:18" ht="24.95" customHeight="1">
      <c r="A196" s="32" t="e">
        <v>#REF!</v>
      </c>
      <c r="B196" s="145" t="s">
        <v>167</v>
      </c>
      <c r="C196" s="145" t="s">
        <v>190</v>
      </c>
      <c r="D196" s="145" t="s">
        <v>172</v>
      </c>
      <c r="E196" s="145">
        <v>19</v>
      </c>
      <c r="F196" s="145" t="s">
        <v>175</v>
      </c>
      <c r="G196" s="145">
        <v>4103052</v>
      </c>
      <c r="H196" s="145" t="s">
        <v>54</v>
      </c>
      <c r="I196" s="145">
        <v>11</v>
      </c>
      <c r="J196" s="146" t="s">
        <v>29</v>
      </c>
      <c r="K196" s="147" t="s">
        <v>178</v>
      </c>
      <c r="L196" s="148">
        <v>14196352483</v>
      </c>
      <c r="M196" s="148">
        <v>13374749810.950001</v>
      </c>
      <c r="N196" s="150">
        <f t="shared" si="130"/>
        <v>0.94212579090059501</v>
      </c>
      <c r="O196" s="148">
        <v>3429021245.6300001</v>
      </c>
      <c r="P196" s="150">
        <f t="shared" si="130"/>
        <v>0.24154241378102023</v>
      </c>
      <c r="Q196" s="148">
        <v>3233918525.6300001</v>
      </c>
      <c r="R196" s="150">
        <f t="shared" ref="R196" si="191">+Q196/$L196</f>
        <v>0.22779925544273344</v>
      </c>
    </row>
    <row r="197" spans="1:18" ht="32.25" hidden="1" customHeight="1">
      <c r="A197" s="32" t="e">
        <v>#REF!</v>
      </c>
      <c r="B197" s="139" t="s">
        <v>167</v>
      </c>
      <c r="C197" s="139" t="s">
        <v>190</v>
      </c>
      <c r="D197" s="139" t="s">
        <v>172</v>
      </c>
      <c r="E197" s="139">
        <v>19</v>
      </c>
      <c r="F197" s="139" t="s">
        <v>175</v>
      </c>
      <c r="G197" s="139">
        <v>4103060</v>
      </c>
      <c r="H197" s="139"/>
      <c r="I197" s="139">
        <v>11</v>
      </c>
      <c r="J197" s="140" t="s">
        <v>29</v>
      </c>
      <c r="K197" s="140" t="s">
        <v>216</v>
      </c>
      <c r="L197" s="141">
        <v>0</v>
      </c>
      <c r="M197" s="141">
        <v>0</v>
      </c>
      <c r="N197" s="143" t="e">
        <f t="shared" si="130"/>
        <v>#DIV/0!</v>
      </c>
      <c r="O197" s="141">
        <v>0</v>
      </c>
      <c r="P197" s="143" t="e">
        <f t="shared" si="130"/>
        <v>#DIV/0!</v>
      </c>
      <c r="Q197" s="141">
        <v>0</v>
      </c>
      <c r="R197" s="143" t="e">
        <f t="shared" ref="R197" si="192">+Q197/$L197</f>
        <v>#DIV/0!</v>
      </c>
    </row>
    <row r="198" spans="1:18" ht="24.95" hidden="1" customHeight="1">
      <c r="A198" s="32" t="e">
        <v>#REF!</v>
      </c>
      <c r="B198" s="145" t="s">
        <v>167</v>
      </c>
      <c r="C198" s="145" t="s">
        <v>190</v>
      </c>
      <c r="D198" s="145" t="s">
        <v>172</v>
      </c>
      <c r="E198" s="145">
        <v>19</v>
      </c>
      <c r="F198" s="145" t="s">
        <v>175</v>
      </c>
      <c r="G198" s="145">
        <v>4103060</v>
      </c>
      <c r="H198" s="145" t="s">
        <v>54</v>
      </c>
      <c r="I198" s="145">
        <v>11</v>
      </c>
      <c r="J198" s="146" t="s">
        <v>29</v>
      </c>
      <c r="K198" s="147" t="s">
        <v>178</v>
      </c>
      <c r="L198" s="148">
        <v>0</v>
      </c>
      <c r="M198" s="148">
        <v>0</v>
      </c>
      <c r="N198" s="150" t="e">
        <f t="shared" si="130"/>
        <v>#DIV/0!</v>
      </c>
      <c r="O198" s="148">
        <v>0</v>
      </c>
      <c r="P198" s="150" t="e">
        <f t="shared" si="130"/>
        <v>#DIV/0!</v>
      </c>
      <c r="Q198" s="148">
        <v>0</v>
      </c>
      <c r="R198" s="150" t="e">
        <f t="shared" ref="R198" si="193">+Q198/$L198</f>
        <v>#DIV/0!</v>
      </c>
    </row>
    <row r="199" spans="1:18" ht="49.5" customHeight="1">
      <c r="A199" s="32" t="e">
        <v>#REF!</v>
      </c>
      <c r="B199" s="133" t="s">
        <v>167</v>
      </c>
      <c r="C199" s="133" t="s">
        <v>190</v>
      </c>
      <c r="D199" s="133" t="s">
        <v>172</v>
      </c>
      <c r="E199" s="133">
        <v>20</v>
      </c>
      <c r="F199" s="133"/>
      <c r="G199" s="133"/>
      <c r="H199" s="133"/>
      <c r="I199" s="133"/>
      <c r="J199" s="134"/>
      <c r="K199" s="134" t="s">
        <v>271</v>
      </c>
      <c r="L199" s="135">
        <v>958240000000</v>
      </c>
      <c r="M199" s="135">
        <v>853458652215.28003</v>
      </c>
      <c r="N199" s="137">
        <f t="shared" si="130"/>
        <v>0.89065229192611461</v>
      </c>
      <c r="O199" s="135">
        <v>771699993347.68005</v>
      </c>
      <c r="P199" s="137">
        <f t="shared" si="130"/>
        <v>0.80533059916897654</v>
      </c>
      <c r="Q199" s="135">
        <v>619574781423.68005</v>
      </c>
      <c r="R199" s="137">
        <f t="shared" ref="R199" si="194">+Q199/$L199</f>
        <v>0.64657578625780598</v>
      </c>
    </row>
    <row r="200" spans="1:18" ht="32.25" customHeight="1">
      <c r="A200" s="32" t="e">
        <v>#REF!</v>
      </c>
      <c r="B200" s="139" t="s">
        <v>167</v>
      </c>
      <c r="C200" s="139" t="s">
        <v>190</v>
      </c>
      <c r="D200" s="139" t="s">
        <v>172</v>
      </c>
      <c r="E200" s="139">
        <v>20</v>
      </c>
      <c r="F200" s="139" t="s">
        <v>175</v>
      </c>
      <c r="G200" s="139">
        <v>4103061</v>
      </c>
      <c r="H200" s="139"/>
      <c r="I200" s="139">
        <v>11</v>
      </c>
      <c r="J200" s="140" t="s">
        <v>29</v>
      </c>
      <c r="K200" s="140" t="s">
        <v>231</v>
      </c>
      <c r="L200" s="141">
        <v>958240000000</v>
      </c>
      <c r="M200" s="141">
        <v>853458652215.28003</v>
      </c>
      <c r="N200" s="143">
        <f t="shared" ref="N200:P243" si="195">+M200/$L200</f>
        <v>0.89065229192611461</v>
      </c>
      <c r="O200" s="141">
        <v>771699993347.68005</v>
      </c>
      <c r="P200" s="143">
        <f t="shared" si="195"/>
        <v>0.80533059916897654</v>
      </c>
      <c r="Q200" s="141">
        <v>619574781423.68005</v>
      </c>
      <c r="R200" s="143">
        <f t="shared" ref="R200" si="196">+Q200/$L200</f>
        <v>0.64657578625780598</v>
      </c>
    </row>
    <row r="201" spans="1:18" ht="24.95" customHeight="1">
      <c r="A201" s="32" t="e">
        <v>#REF!</v>
      </c>
      <c r="B201" s="145" t="s">
        <v>167</v>
      </c>
      <c r="C201" s="145" t="s">
        <v>190</v>
      </c>
      <c r="D201" s="145" t="s">
        <v>172</v>
      </c>
      <c r="E201" s="145">
        <v>20</v>
      </c>
      <c r="F201" s="145" t="s">
        <v>175</v>
      </c>
      <c r="G201" s="145">
        <v>4103061</v>
      </c>
      <c r="H201" s="145" t="s">
        <v>54</v>
      </c>
      <c r="I201" s="145">
        <v>11</v>
      </c>
      <c r="J201" s="146" t="s">
        <v>29</v>
      </c>
      <c r="K201" s="147" t="s">
        <v>178</v>
      </c>
      <c r="L201" s="148">
        <v>50518387000</v>
      </c>
      <c r="M201" s="148">
        <v>35667492215.279999</v>
      </c>
      <c r="N201" s="150">
        <f t="shared" si="195"/>
        <v>0.70602990976889268</v>
      </c>
      <c r="O201" s="148">
        <v>17274897347.68</v>
      </c>
      <c r="P201" s="150">
        <f t="shared" si="195"/>
        <v>0.3419526705727956</v>
      </c>
      <c r="Q201" s="148">
        <v>17149685423.68</v>
      </c>
      <c r="R201" s="150">
        <f t="shared" ref="R201" si="197">+Q201/$L201</f>
        <v>0.33947412896773604</v>
      </c>
    </row>
    <row r="202" spans="1:18" ht="24.95" customHeight="1">
      <c r="A202" s="32" t="e">
        <v>#REF!</v>
      </c>
      <c r="B202" s="145" t="s">
        <v>167</v>
      </c>
      <c r="C202" s="145" t="s">
        <v>190</v>
      </c>
      <c r="D202" s="145" t="s">
        <v>172</v>
      </c>
      <c r="E202" s="145">
        <v>20</v>
      </c>
      <c r="F202" s="145" t="s">
        <v>175</v>
      </c>
      <c r="G202" s="145">
        <v>4103061</v>
      </c>
      <c r="H202" s="145" t="s">
        <v>65</v>
      </c>
      <c r="I202" s="145">
        <v>11</v>
      </c>
      <c r="J202" s="146" t="s">
        <v>29</v>
      </c>
      <c r="K202" s="147" t="s">
        <v>127</v>
      </c>
      <c r="L202" s="148">
        <v>907721613000</v>
      </c>
      <c r="M202" s="148">
        <v>817791160000</v>
      </c>
      <c r="N202" s="150">
        <f t="shared" si="195"/>
        <v>0.9009272758166661</v>
      </c>
      <c r="O202" s="148">
        <v>754425096000</v>
      </c>
      <c r="P202" s="150">
        <f t="shared" si="195"/>
        <v>0.83111945908905005</v>
      </c>
      <c r="Q202" s="148">
        <v>602425096000</v>
      </c>
      <c r="R202" s="150">
        <f t="shared" ref="R202" si="198">+Q202/$L202</f>
        <v>0.66366723825050089</v>
      </c>
    </row>
    <row r="203" spans="1:18" ht="42" customHeight="1">
      <c r="A203" s="32" t="e">
        <v>#REF!</v>
      </c>
      <c r="B203" s="133" t="s">
        <v>167</v>
      </c>
      <c r="C203" s="133">
        <v>4103</v>
      </c>
      <c r="D203" s="133" t="s">
        <v>172</v>
      </c>
      <c r="E203" s="133">
        <v>21</v>
      </c>
      <c r="F203" s="133"/>
      <c r="G203" s="133"/>
      <c r="H203" s="133"/>
      <c r="I203" s="133"/>
      <c r="J203" s="134"/>
      <c r="K203" s="134" t="s">
        <v>272</v>
      </c>
      <c r="L203" s="135">
        <v>25000000000</v>
      </c>
      <c r="M203" s="135">
        <v>17152560872</v>
      </c>
      <c r="N203" s="137">
        <f t="shared" si="195"/>
        <v>0.68610243488</v>
      </c>
      <c r="O203" s="135">
        <v>7166839358</v>
      </c>
      <c r="P203" s="137">
        <f t="shared" si="195"/>
        <v>0.28667357432000001</v>
      </c>
      <c r="Q203" s="135">
        <v>7109615688</v>
      </c>
      <c r="R203" s="137">
        <f t="shared" ref="R203" si="199">+Q203/$L203</f>
        <v>0.28438462751999999</v>
      </c>
    </row>
    <row r="204" spans="1:18" ht="32.25" customHeight="1">
      <c r="A204" s="32" t="e">
        <v>#REF!</v>
      </c>
      <c r="B204" s="139" t="s">
        <v>167</v>
      </c>
      <c r="C204" s="139">
        <v>4103</v>
      </c>
      <c r="D204" s="139" t="s">
        <v>172</v>
      </c>
      <c r="E204" s="139">
        <v>21</v>
      </c>
      <c r="F204" s="139" t="s">
        <v>175</v>
      </c>
      <c r="G204" s="139" t="s">
        <v>219</v>
      </c>
      <c r="H204" s="139"/>
      <c r="I204" s="139" t="s">
        <v>144</v>
      </c>
      <c r="J204" s="140" t="s">
        <v>29</v>
      </c>
      <c r="K204" s="140" t="s">
        <v>233</v>
      </c>
      <c r="L204" s="141">
        <v>2475590106</v>
      </c>
      <c r="M204" s="141">
        <v>2475590106</v>
      </c>
      <c r="N204" s="143">
        <f t="shared" si="195"/>
        <v>1</v>
      </c>
      <c r="O204" s="141">
        <v>2429900306</v>
      </c>
      <c r="P204" s="143">
        <f t="shared" si="195"/>
        <v>0.98154387517979524</v>
      </c>
      <c r="Q204" s="141">
        <v>2429900306</v>
      </c>
      <c r="R204" s="143">
        <f t="shared" ref="R204" si="200">+Q204/$L204</f>
        <v>0.98154387517979524</v>
      </c>
    </row>
    <row r="205" spans="1:18" ht="24.95" customHeight="1">
      <c r="A205" s="32" t="e">
        <v>#REF!</v>
      </c>
      <c r="B205" s="145" t="s">
        <v>167</v>
      </c>
      <c r="C205" s="145">
        <v>4103</v>
      </c>
      <c r="D205" s="145" t="s">
        <v>172</v>
      </c>
      <c r="E205" s="145">
        <v>21</v>
      </c>
      <c r="F205" s="145" t="s">
        <v>175</v>
      </c>
      <c r="G205" s="145" t="s">
        <v>219</v>
      </c>
      <c r="H205" s="145" t="s">
        <v>54</v>
      </c>
      <c r="I205" s="145" t="s">
        <v>144</v>
      </c>
      <c r="J205" s="146" t="s">
        <v>29</v>
      </c>
      <c r="K205" s="147" t="s">
        <v>178</v>
      </c>
      <c r="L205" s="148">
        <v>2475590106</v>
      </c>
      <c r="M205" s="148">
        <v>2475590106</v>
      </c>
      <c r="N205" s="150">
        <f t="shared" si="195"/>
        <v>1</v>
      </c>
      <c r="O205" s="148">
        <v>2429900306</v>
      </c>
      <c r="P205" s="150">
        <f t="shared" si="195"/>
        <v>0.98154387517979524</v>
      </c>
      <c r="Q205" s="148">
        <v>2429900306</v>
      </c>
      <c r="R205" s="150">
        <f t="shared" ref="R205" si="201">+Q205/$L205</f>
        <v>0.98154387517979524</v>
      </c>
    </row>
    <row r="206" spans="1:18" ht="32.25" customHeight="1">
      <c r="A206" s="32" t="e">
        <v>#REF!</v>
      </c>
      <c r="B206" s="139" t="s">
        <v>167</v>
      </c>
      <c r="C206" s="139">
        <v>4103</v>
      </c>
      <c r="D206" s="139" t="s">
        <v>172</v>
      </c>
      <c r="E206" s="139">
        <v>21</v>
      </c>
      <c r="F206" s="139" t="s">
        <v>175</v>
      </c>
      <c r="G206" s="139" t="s">
        <v>234</v>
      </c>
      <c r="H206" s="139"/>
      <c r="I206" s="139" t="s">
        <v>144</v>
      </c>
      <c r="J206" s="140" t="s">
        <v>29</v>
      </c>
      <c r="K206" s="140" t="s">
        <v>235</v>
      </c>
      <c r="L206" s="141">
        <v>1113709158</v>
      </c>
      <c r="M206" s="141">
        <v>1113709158</v>
      </c>
      <c r="N206" s="143">
        <f t="shared" si="195"/>
        <v>1</v>
      </c>
      <c r="O206" s="141">
        <v>1113709158</v>
      </c>
      <c r="P206" s="143">
        <f t="shared" si="195"/>
        <v>1</v>
      </c>
      <c r="Q206" s="141">
        <v>1113709158</v>
      </c>
      <c r="R206" s="143">
        <f t="shared" ref="R206" si="202">+Q206/$L206</f>
        <v>1</v>
      </c>
    </row>
    <row r="207" spans="1:18" ht="24.95" customHeight="1">
      <c r="A207" s="32" t="e">
        <v>#REF!</v>
      </c>
      <c r="B207" s="145" t="s">
        <v>167</v>
      </c>
      <c r="C207" s="145">
        <v>4103</v>
      </c>
      <c r="D207" s="145" t="s">
        <v>172</v>
      </c>
      <c r="E207" s="145">
        <v>21</v>
      </c>
      <c r="F207" s="145" t="s">
        <v>175</v>
      </c>
      <c r="G207" s="145" t="s">
        <v>234</v>
      </c>
      <c r="H207" s="145" t="s">
        <v>54</v>
      </c>
      <c r="I207" s="145" t="s">
        <v>144</v>
      </c>
      <c r="J207" s="146" t="s">
        <v>29</v>
      </c>
      <c r="K207" s="147" t="s">
        <v>178</v>
      </c>
      <c r="L207" s="148">
        <v>1113709158</v>
      </c>
      <c r="M207" s="148">
        <v>1113709158</v>
      </c>
      <c r="N207" s="150">
        <f t="shared" si="195"/>
        <v>1</v>
      </c>
      <c r="O207" s="148">
        <v>1113709158</v>
      </c>
      <c r="P207" s="150">
        <f t="shared" si="195"/>
        <v>1</v>
      </c>
      <c r="Q207" s="148">
        <v>1113709158</v>
      </c>
      <c r="R207" s="150">
        <f t="shared" ref="R207" si="203">+Q207/$L207</f>
        <v>1</v>
      </c>
    </row>
    <row r="208" spans="1:18" ht="32.25" customHeight="1">
      <c r="A208" s="32" t="e">
        <v>#REF!</v>
      </c>
      <c r="B208" s="139" t="s">
        <v>167</v>
      </c>
      <c r="C208" s="139">
        <v>4103</v>
      </c>
      <c r="D208" s="139" t="s">
        <v>172</v>
      </c>
      <c r="E208" s="139">
        <v>21</v>
      </c>
      <c r="F208" s="139" t="s">
        <v>175</v>
      </c>
      <c r="G208" s="139" t="s">
        <v>197</v>
      </c>
      <c r="H208" s="139"/>
      <c r="I208" s="139" t="s">
        <v>144</v>
      </c>
      <c r="J208" s="140" t="s">
        <v>29</v>
      </c>
      <c r="K208" s="140" t="s">
        <v>236</v>
      </c>
      <c r="L208" s="141">
        <v>1536754755</v>
      </c>
      <c r="M208" s="141">
        <v>1536754755</v>
      </c>
      <c r="N208" s="143">
        <f t="shared" si="195"/>
        <v>1</v>
      </c>
      <c r="O208" s="141">
        <v>21729542</v>
      </c>
      <c r="P208" s="143">
        <f t="shared" si="195"/>
        <v>1.4139889223898968E-2</v>
      </c>
      <c r="Q208" s="141">
        <v>21729542</v>
      </c>
      <c r="R208" s="143">
        <f t="shared" ref="R208" si="204">+Q208/$L208</f>
        <v>1.4139889223898968E-2</v>
      </c>
    </row>
    <row r="209" spans="1:18" ht="24.95" customHeight="1">
      <c r="A209" s="32" t="e">
        <v>#REF!</v>
      </c>
      <c r="B209" s="145" t="s">
        <v>167</v>
      </c>
      <c r="C209" s="145">
        <v>4103</v>
      </c>
      <c r="D209" s="145" t="s">
        <v>172</v>
      </c>
      <c r="E209" s="145">
        <v>21</v>
      </c>
      <c r="F209" s="145" t="s">
        <v>175</v>
      </c>
      <c r="G209" s="145" t="s">
        <v>197</v>
      </c>
      <c r="H209" s="145" t="s">
        <v>54</v>
      </c>
      <c r="I209" s="145" t="s">
        <v>144</v>
      </c>
      <c r="J209" s="146" t="s">
        <v>29</v>
      </c>
      <c r="K209" s="147" t="s">
        <v>178</v>
      </c>
      <c r="L209" s="148">
        <v>1536754755</v>
      </c>
      <c r="M209" s="148">
        <v>1536754755</v>
      </c>
      <c r="N209" s="150">
        <f t="shared" si="195"/>
        <v>1</v>
      </c>
      <c r="O209" s="148">
        <v>21729542</v>
      </c>
      <c r="P209" s="150">
        <f t="shared" si="195"/>
        <v>1.4139889223898968E-2</v>
      </c>
      <c r="Q209" s="148">
        <v>21729542</v>
      </c>
      <c r="R209" s="150">
        <f t="shared" ref="R209" si="205">+Q209/$L209</f>
        <v>1.4139889223898968E-2</v>
      </c>
    </row>
    <row r="210" spans="1:18" ht="32.25" customHeight="1">
      <c r="A210" s="32" t="e">
        <v>#REF!</v>
      </c>
      <c r="B210" s="139" t="s">
        <v>167</v>
      </c>
      <c r="C210" s="139">
        <v>4103</v>
      </c>
      <c r="D210" s="139" t="s">
        <v>172</v>
      </c>
      <c r="E210" s="139">
        <v>21</v>
      </c>
      <c r="F210" s="139" t="s">
        <v>175</v>
      </c>
      <c r="G210" s="139" t="s">
        <v>203</v>
      </c>
      <c r="H210" s="139"/>
      <c r="I210" s="139" t="s">
        <v>144</v>
      </c>
      <c r="J210" s="140" t="s">
        <v>29</v>
      </c>
      <c r="K210" s="140" t="s">
        <v>237</v>
      </c>
      <c r="L210" s="141">
        <v>4563284631</v>
      </c>
      <c r="M210" s="141">
        <v>3960721124</v>
      </c>
      <c r="N210" s="143">
        <f t="shared" si="195"/>
        <v>0.86795399460586486</v>
      </c>
      <c r="O210" s="141">
        <v>101642500</v>
      </c>
      <c r="P210" s="143">
        <f t="shared" si="195"/>
        <v>2.2273977675971973E-2</v>
      </c>
      <c r="Q210" s="141">
        <v>101642500</v>
      </c>
      <c r="R210" s="143">
        <f t="shared" ref="R210" si="206">+Q210/$L210</f>
        <v>2.2273977675971973E-2</v>
      </c>
    </row>
    <row r="211" spans="1:18" ht="24.95" customHeight="1">
      <c r="A211" s="32" t="e">
        <v>#REF!</v>
      </c>
      <c r="B211" s="145" t="s">
        <v>167</v>
      </c>
      <c r="C211" s="145">
        <v>4103</v>
      </c>
      <c r="D211" s="145" t="s">
        <v>172</v>
      </c>
      <c r="E211" s="145">
        <v>21</v>
      </c>
      <c r="F211" s="145" t="s">
        <v>175</v>
      </c>
      <c r="G211" s="145" t="s">
        <v>203</v>
      </c>
      <c r="H211" s="145" t="s">
        <v>54</v>
      </c>
      <c r="I211" s="145" t="s">
        <v>144</v>
      </c>
      <c r="J211" s="146" t="s">
        <v>29</v>
      </c>
      <c r="K211" s="147" t="s">
        <v>178</v>
      </c>
      <c r="L211" s="148">
        <v>4563284631</v>
      </c>
      <c r="M211" s="148">
        <v>3960721124</v>
      </c>
      <c r="N211" s="150">
        <f t="shared" si="195"/>
        <v>0.86795399460586486</v>
      </c>
      <c r="O211" s="148">
        <v>101642500</v>
      </c>
      <c r="P211" s="150">
        <f t="shared" si="195"/>
        <v>2.2273977675971973E-2</v>
      </c>
      <c r="Q211" s="148">
        <v>101642500</v>
      </c>
      <c r="R211" s="150">
        <f t="shared" ref="R211" si="207">+Q211/$L211</f>
        <v>2.2273977675971973E-2</v>
      </c>
    </row>
    <row r="212" spans="1:18" ht="32.25" customHeight="1">
      <c r="A212" s="32" t="e">
        <v>#REF!</v>
      </c>
      <c r="B212" s="139" t="s">
        <v>167</v>
      </c>
      <c r="C212" s="139">
        <v>4103</v>
      </c>
      <c r="D212" s="139" t="s">
        <v>172</v>
      </c>
      <c r="E212" s="139">
        <v>21</v>
      </c>
      <c r="F212" s="139" t="s">
        <v>175</v>
      </c>
      <c r="G212" s="139" t="s">
        <v>223</v>
      </c>
      <c r="H212" s="139"/>
      <c r="I212" s="139" t="s">
        <v>144</v>
      </c>
      <c r="J212" s="140" t="s">
        <v>29</v>
      </c>
      <c r="K212" s="140" t="s">
        <v>238</v>
      </c>
      <c r="L212" s="141">
        <v>15310661350</v>
      </c>
      <c r="M212" s="141">
        <v>8065785729</v>
      </c>
      <c r="N212" s="143">
        <f t="shared" si="195"/>
        <v>0.52680844704334084</v>
      </c>
      <c r="O212" s="141">
        <v>3499857852</v>
      </c>
      <c r="P212" s="143">
        <f t="shared" si="195"/>
        <v>0.22858959335548232</v>
      </c>
      <c r="Q212" s="141">
        <v>3442634182</v>
      </c>
      <c r="R212" s="143">
        <f t="shared" ref="R212" si="208">+Q212/$L212</f>
        <v>0.22485208857421432</v>
      </c>
    </row>
    <row r="213" spans="1:18" ht="24.95" customHeight="1">
      <c r="A213" s="32" t="e">
        <v>#REF!</v>
      </c>
      <c r="B213" s="145" t="s">
        <v>167</v>
      </c>
      <c r="C213" s="145">
        <v>4103</v>
      </c>
      <c r="D213" s="145" t="s">
        <v>172</v>
      </c>
      <c r="E213" s="145">
        <v>21</v>
      </c>
      <c r="F213" s="145" t="s">
        <v>175</v>
      </c>
      <c r="G213" s="145" t="s">
        <v>223</v>
      </c>
      <c r="H213" s="145" t="s">
        <v>54</v>
      </c>
      <c r="I213" s="145" t="s">
        <v>144</v>
      </c>
      <c r="J213" s="146" t="s">
        <v>29</v>
      </c>
      <c r="K213" s="147" t="s">
        <v>178</v>
      </c>
      <c r="L213" s="148">
        <v>15310661350</v>
      </c>
      <c r="M213" s="148">
        <v>8065785729</v>
      </c>
      <c r="N213" s="150">
        <f t="shared" si="195"/>
        <v>0.52680844704334084</v>
      </c>
      <c r="O213" s="148">
        <v>3499857852</v>
      </c>
      <c r="P213" s="150">
        <f t="shared" si="195"/>
        <v>0.22858959335548232</v>
      </c>
      <c r="Q213" s="148">
        <v>3442634182</v>
      </c>
      <c r="R213" s="150">
        <f t="shared" ref="R213" si="209">+Q213/$L213</f>
        <v>0.22485208857421432</v>
      </c>
    </row>
    <row r="214" spans="1:18" ht="24.95" customHeight="1">
      <c r="A214" s="32" t="e">
        <v>#REF!</v>
      </c>
      <c r="B214" s="145" t="s">
        <v>167</v>
      </c>
      <c r="C214" s="145">
        <v>4103</v>
      </c>
      <c r="D214" s="145" t="s">
        <v>172</v>
      </c>
      <c r="E214" s="145">
        <v>21</v>
      </c>
      <c r="F214" s="145" t="s">
        <v>175</v>
      </c>
      <c r="G214" s="145" t="s">
        <v>223</v>
      </c>
      <c r="H214" s="145" t="s">
        <v>65</v>
      </c>
      <c r="I214" s="145" t="s">
        <v>144</v>
      </c>
      <c r="J214" s="146" t="s">
        <v>29</v>
      </c>
      <c r="K214" s="147" t="s">
        <v>127</v>
      </c>
      <c r="L214" s="148">
        <v>0</v>
      </c>
      <c r="M214" s="148">
        <v>0</v>
      </c>
      <c r="N214" s="150" t="e">
        <f t="shared" si="195"/>
        <v>#DIV/0!</v>
      </c>
      <c r="O214" s="148">
        <v>0</v>
      </c>
      <c r="P214" s="150" t="e">
        <f t="shared" si="195"/>
        <v>#DIV/0!</v>
      </c>
      <c r="Q214" s="148">
        <v>0</v>
      </c>
      <c r="R214" s="150" t="e">
        <f t="shared" ref="R214" si="210">+Q214/$L214</f>
        <v>#DIV/0!</v>
      </c>
    </row>
    <row r="215" spans="1:18" ht="49.5" customHeight="1">
      <c r="A215" s="32" t="e">
        <v>#REF!</v>
      </c>
      <c r="B215" s="133" t="s">
        <v>167</v>
      </c>
      <c r="C215" s="133">
        <v>4103</v>
      </c>
      <c r="D215" s="133" t="s">
        <v>172</v>
      </c>
      <c r="E215" s="133">
        <v>22</v>
      </c>
      <c r="F215" s="133"/>
      <c r="G215" s="133"/>
      <c r="H215" s="133"/>
      <c r="I215" s="133"/>
      <c r="J215" s="134"/>
      <c r="K215" s="134" t="s">
        <v>239</v>
      </c>
      <c r="L215" s="135">
        <v>137284000000</v>
      </c>
      <c r="M215" s="135">
        <v>113709986570</v>
      </c>
      <c r="N215" s="137">
        <f t="shared" si="195"/>
        <v>0.82828287761137498</v>
      </c>
      <c r="O215" s="135">
        <v>86503472484</v>
      </c>
      <c r="P215" s="137">
        <f t="shared" si="195"/>
        <v>0.63010600276798456</v>
      </c>
      <c r="Q215" s="135">
        <v>86464369243</v>
      </c>
      <c r="R215" s="137">
        <f t="shared" ref="R215" si="211">+Q215/$L215</f>
        <v>0.62982116811136035</v>
      </c>
    </row>
    <row r="216" spans="1:18" ht="32.25" customHeight="1">
      <c r="A216" s="32" t="e">
        <v>#REF!</v>
      </c>
      <c r="B216" s="139" t="s">
        <v>167</v>
      </c>
      <c r="C216" s="139">
        <v>4103</v>
      </c>
      <c r="D216" s="139" t="s">
        <v>172</v>
      </c>
      <c r="E216" s="139">
        <v>22</v>
      </c>
      <c r="F216" s="139" t="s">
        <v>175</v>
      </c>
      <c r="G216" s="139" t="s">
        <v>219</v>
      </c>
      <c r="H216" s="139"/>
      <c r="I216" s="139" t="s">
        <v>144</v>
      </c>
      <c r="J216" s="140" t="s">
        <v>29</v>
      </c>
      <c r="K216" s="140" t="s">
        <v>240</v>
      </c>
      <c r="L216" s="141">
        <v>9031396541</v>
      </c>
      <c r="M216" s="141">
        <v>8220594616</v>
      </c>
      <c r="N216" s="143">
        <f t="shared" si="195"/>
        <v>0.91022408092489493</v>
      </c>
      <c r="O216" s="141">
        <v>5787069331</v>
      </c>
      <c r="P216" s="143">
        <f t="shared" si="195"/>
        <v>0.6407723661261393</v>
      </c>
      <c r="Q216" s="141">
        <v>5787069331</v>
      </c>
      <c r="R216" s="143">
        <f t="shared" ref="R216" si="212">+Q216/$L216</f>
        <v>0.6407723661261393</v>
      </c>
    </row>
    <row r="217" spans="1:18" ht="24.95" customHeight="1">
      <c r="A217" s="32" t="e">
        <v>#REF!</v>
      </c>
      <c r="B217" s="145" t="s">
        <v>167</v>
      </c>
      <c r="C217" s="145">
        <v>4103</v>
      </c>
      <c r="D217" s="145" t="s">
        <v>172</v>
      </c>
      <c r="E217" s="145">
        <v>22</v>
      </c>
      <c r="F217" s="145" t="s">
        <v>175</v>
      </c>
      <c r="G217" s="145" t="s">
        <v>219</v>
      </c>
      <c r="H217" s="145" t="s">
        <v>54</v>
      </c>
      <c r="I217" s="145" t="s">
        <v>144</v>
      </c>
      <c r="J217" s="146" t="s">
        <v>29</v>
      </c>
      <c r="K217" s="147" t="s">
        <v>178</v>
      </c>
      <c r="L217" s="148">
        <v>9031396541</v>
      </c>
      <c r="M217" s="148">
        <v>8220594616</v>
      </c>
      <c r="N217" s="150">
        <f t="shared" si="195"/>
        <v>0.91022408092489493</v>
      </c>
      <c r="O217" s="148">
        <v>5787069331</v>
      </c>
      <c r="P217" s="150">
        <f t="shared" si="195"/>
        <v>0.6407723661261393</v>
      </c>
      <c r="Q217" s="148">
        <v>5787069331</v>
      </c>
      <c r="R217" s="150">
        <f t="shared" ref="R217" si="213">+Q217/$L217</f>
        <v>0.6407723661261393</v>
      </c>
    </row>
    <row r="218" spans="1:18" ht="32.25" customHeight="1">
      <c r="A218" s="32" t="e">
        <v>#REF!</v>
      </c>
      <c r="B218" s="139" t="s">
        <v>167</v>
      </c>
      <c r="C218" s="139">
        <v>4103</v>
      </c>
      <c r="D218" s="139" t="s">
        <v>172</v>
      </c>
      <c r="E218" s="139">
        <v>22</v>
      </c>
      <c r="F218" s="139" t="s">
        <v>175</v>
      </c>
      <c r="G218" s="139" t="s">
        <v>234</v>
      </c>
      <c r="H218" s="139"/>
      <c r="I218" s="139" t="s">
        <v>144</v>
      </c>
      <c r="J218" s="140" t="s">
        <v>29</v>
      </c>
      <c r="K218" s="140" t="s">
        <v>241</v>
      </c>
      <c r="L218" s="141">
        <v>6288213549</v>
      </c>
      <c r="M218" s="141">
        <v>4692540078</v>
      </c>
      <c r="N218" s="143">
        <f t="shared" si="195"/>
        <v>0.74624375292506462</v>
      </c>
      <c r="O218" s="141">
        <v>289656489</v>
      </c>
      <c r="P218" s="143">
        <f t="shared" si="195"/>
        <v>4.6063398887918397E-2</v>
      </c>
      <c r="Q218" s="141">
        <v>289656489</v>
      </c>
      <c r="R218" s="143">
        <f t="shared" ref="R218" si="214">+Q218/$L218</f>
        <v>4.6063398887918397E-2</v>
      </c>
    </row>
    <row r="219" spans="1:18" ht="24.95" customHeight="1">
      <c r="A219" s="32" t="e">
        <v>#REF!</v>
      </c>
      <c r="B219" s="145" t="s">
        <v>167</v>
      </c>
      <c r="C219" s="145">
        <v>4103</v>
      </c>
      <c r="D219" s="145" t="s">
        <v>172</v>
      </c>
      <c r="E219" s="145">
        <v>22</v>
      </c>
      <c r="F219" s="145" t="s">
        <v>175</v>
      </c>
      <c r="G219" s="145" t="s">
        <v>234</v>
      </c>
      <c r="H219" s="145" t="s">
        <v>54</v>
      </c>
      <c r="I219" s="145" t="s">
        <v>144</v>
      </c>
      <c r="J219" s="146" t="s">
        <v>29</v>
      </c>
      <c r="K219" s="147" t="s">
        <v>178</v>
      </c>
      <c r="L219" s="148">
        <v>6288213549</v>
      </c>
      <c r="M219" s="148">
        <v>4692540078</v>
      </c>
      <c r="N219" s="150">
        <f t="shared" si="195"/>
        <v>0.74624375292506462</v>
      </c>
      <c r="O219" s="148">
        <v>289656489</v>
      </c>
      <c r="P219" s="150">
        <f t="shared" si="195"/>
        <v>4.6063398887918397E-2</v>
      </c>
      <c r="Q219" s="148">
        <v>289656489</v>
      </c>
      <c r="R219" s="150">
        <f t="shared" ref="R219" si="215">+Q219/$L219</f>
        <v>4.6063398887918397E-2</v>
      </c>
    </row>
    <row r="220" spans="1:18" ht="24.95" customHeight="1">
      <c r="A220" s="32" t="e">
        <v>#REF!</v>
      </c>
      <c r="B220" s="145" t="s">
        <v>167</v>
      </c>
      <c r="C220" s="145">
        <v>4103</v>
      </c>
      <c r="D220" s="145" t="s">
        <v>172</v>
      </c>
      <c r="E220" s="145">
        <v>22</v>
      </c>
      <c r="F220" s="145" t="s">
        <v>175</v>
      </c>
      <c r="G220" s="145" t="s">
        <v>234</v>
      </c>
      <c r="H220" s="145" t="s">
        <v>65</v>
      </c>
      <c r="I220" s="145" t="s">
        <v>144</v>
      </c>
      <c r="J220" s="146" t="s">
        <v>29</v>
      </c>
      <c r="K220" s="147" t="s">
        <v>127</v>
      </c>
      <c r="L220" s="148">
        <v>0</v>
      </c>
      <c r="M220" s="148">
        <v>0</v>
      </c>
      <c r="N220" s="150" t="e">
        <f t="shared" si="195"/>
        <v>#DIV/0!</v>
      </c>
      <c r="O220" s="148">
        <v>0</v>
      </c>
      <c r="P220" s="150" t="e">
        <f t="shared" si="195"/>
        <v>#DIV/0!</v>
      </c>
      <c r="Q220" s="148">
        <v>0</v>
      </c>
      <c r="R220" s="150" t="e">
        <f t="shared" ref="R220" si="216">+Q220/$L220</f>
        <v>#DIV/0!</v>
      </c>
    </row>
    <row r="221" spans="1:18" ht="32.25" customHeight="1">
      <c r="A221" s="32" t="e">
        <v>#REF!</v>
      </c>
      <c r="B221" s="139" t="s">
        <v>167</v>
      </c>
      <c r="C221" s="139">
        <v>4103</v>
      </c>
      <c r="D221" s="139" t="s">
        <v>172</v>
      </c>
      <c r="E221" s="139">
        <v>22</v>
      </c>
      <c r="F221" s="139" t="s">
        <v>175</v>
      </c>
      <c r="G221" s="139">
        <v>4103051</v>
      </c>
      <c r="H221" s="139"/>
      <c r="I221" s="139" t="s">
        <v>144</v>
      </c>
      <c r="J221" s="140" t="s">
        <v>29</v>
      </c>
      <c r="K221" s="140" t="s">
        <v>242</v>
      </c>
      <c r="L221" s="141">
        <v>3268617345</v>
      </c>
      <c r="M221" s="141">
        <v>2445347431</v>
      </c>
      <c r="N221" s="143">
        <f t="shared" si="195"/>
        <v>0.74812900162224405</v>
      </c>
      <c r="O221" s="141">
        <v>0</v>
      </c>
      <c r="P221" s="143">
        <f t="shared" si="195"/>
        <v>0</v>
      </c>
      <c r="Q221" s="141">
        <v>0</v>
      </c>
      <c r="R221" s="143">
        <f t="shared" ref="R221" si="217">+Q221/$L221</f>
        <v>0</v>
      </c>
    </row>
    <row r="222" spans="1:18" ht="24.95" customHeight="1">
      <c r="A222" s="32" t="e">
        <v>#REF!</v>
      </c>
      <c r="B222" s="145" t="s">
        <v>167</v>
      </c>
      <c r="C222" s="145">
        <v>4103</v>
      </c>
      <c r="D222" s="145" t="s">
        <v>172</v>
      </c>
      <c r="E222" s="145">
        <v>22</v>
      </c>
      <c r="F222" s="145" t="s">
        <v>175</v>
      </c>
      <c r="G222" s="145">
        <v>4103051</v>
      </c>
      <c r="H222" s="145" t="s">
        <v>54</v>
      </c>
      <c r="I222" s="145" t="s">
        <v>144</v>
      </c>
      <c r="J222" s="146" t="s">
        <v>29</v>
      </c>
      <c r="K222" s="147" t="s">
        <v>178</v>
      </c>
      <c r="L222" s="148">
        <v>3268617345</v>
      </c>
      <c r="M222" s="148">
        <v>2445347431</v>
      </c>
      <c r="N222" s="150">
        <f t="shared" si="195"/>
        <v>0.74812900162224405</v>
      </c>
      <c r="O222" s="148">
        <v>0</v>
      </c>
      <c r="P222" s="150">
        <f t="shared" si="195"/>
        <v>0</v>
      </c>
      <c r="Q222" s="148">
        <v>0</v>
      </c>
      <c r="R222" s="150">
        <f t="shared" ref="R222" si="218">+Q222/$L222</f>
        <v>0</v>
      </c>
    </row>
    <row r="223" spans="1:18" ht="32.25" customHeight="1">
      <c r="A223" s="32" t="e">
        <v>#REF!</v>
      </c>
      <c r="B223" s="139" t="s">
        <v>167</v>
      </c>
      <c r="C223" s="139">
        <v>4103</v>
      </c>
      <c r="D223" s="139" t="s">
        <v>172</v>
      </c>
      <c r="E223" s="139">
        <v>22</v>
      </c>
      <c r="F223" s="139" t="s">
        <v>175</v>
      </c>
      <c r="G223" s="139">
        <v>4103055</v>
      </c>
      <c r="H223" s="139"/>
      <c r="I223" s="139" t="s">
        <v>144</v>
      </c>
      <c r="J223" s="140" t="s">
        <v>29</v>
      </c>
      <c r="K223" s="140" t="s">
        <v>243</v>
      </c>
      <c r="L223" s="141">
        <v>17030714381</v>
      </c>
      <c r="M223" s="141">
        <v>12636790207</v>
      </c>
      <c r="N223" s="143">
        <f t="shared" si="195"/>
        <v>0.74200000800307009</v>
      </c>
      <c r="O223" s="141">
        <v>0</v>
      </c>
      <c r="P223" s="143">
        <f t="shared" si="195"/>
        <v>0</v>
      </c>
      <c r="Q223" s="141">
        <v>0</v>
      </c>
      <c r="R223" s="143">
        <f t="shared" ref="R223" si="219">+Q223/$L223</f>
        <v>0</v>
      </c>
    </row>
    <row r="224" spans="1:18" ht="24.95" customHeight="1">
      <c r="A224" s="32" t="e">
        <v>#REF!</v>
      </c>
      <c r="B224" s="145" t="s">
        <v>167</v>
      </c>
      <c r="C224" s="145">
        <v>4103</v>
      </c>
      <c r="D224" s="145" t="s">
        <v>172</v>
      </c>
      <c r="E224" s="145">
        <v>22</v>
      </c>
      <c r="F224" s="145" t="s">
        <v>175</v>
      </c>
      <c r="G224" s="145" t="s">
        <v>203</v>
      </c>
      <c r="H224" s="145" t="s">
        <v>54</v>
      </c>
      <c r="I224" s="145" t="s">
        <v>144</v>
      </c>
      <c r="J224" s="146" t="s">
        <v>29</v>
      </c>
      <c r="K224" s="147" t="s">
        <v>178</v>
      </c>
      <c r="L224" s="148">
        <v>515114381</v>
      </c>
      <c r="M224" s="148">
        <v>280990866</v>
      </c>
      <c r="N224" s="150">
        <f t="shared" si="195"/>
        <v>0.54549217875553735</v>
      </c>
      <c r="O224" s="148">
        <v>0</v>
      </c>
      <c r="P224" s="150">
        <f t="shared" si="195"/>
        <v>0</v>
      </c>
      <c r="Q224" s="148">
        <v>0</v>
      </c>
      <c r="R224" s="150">
        <f t="shared" ref="R224" si="220">+Q224/$L224</f>
        <v>0</v>
      </c>
    </row>
    <row r="225" spans="1:18" ht="24.95" customHeight="1">
      <c r="A225" s="32" t="e">
        <v>#REF!</v>
      </c>
      <c r="B225" s="145" t="s">
        <v>167</v>
      </c>
      <c r="C225" s="145">
        <v>4103</v>
      </c>
      <c r="D225" s="145" t="s">
        <v>172</v>
      </c>
      <c r="E225" s="145">
        <v>22</v>
      </c>
      <c r="F225" s="145" t="s">
        <v>175</v>
      </c>
      <c r="G225" s="145" t="s">
        <v>203</v>
      </c>
      <c r="H225" s="145" t="s">
        <v>65</v>
      </c>
      <c r="I225" s="145" t="s">
        <v>144</v>
      </c>
      <c r="J225" s="146" t="s">
        <v>29</v>
      </c>
      <c r="K225" s="147" t="s">
        <v>127</v>
      </c>
      <c r="L225" s="148">
        <v>16515600000</v>
      </c>
      <c r="M225" s="148">
        <v>12355799341</v>
      </c>
      <c r="N225" s="150">
        <f t="shared" si="195"/>
        <v>0.74812900173169605</v>
      </c>
      <c r="O225" s="148">
        <v>0</v>
      </c>
      <c r="P225" s="150">
        <f t="shared" si="195"/>
        <v>0</v>
      </c>
      <c r="Q225" s="148">
        <v>0</v>
      </c>
      <c r="R225" s="150">
        <f t="shared" ref="R225" si="221">+Q225/$L225</f>
        <v>0</v>
      </c>
    </row>
    <row r="226" spans="1:18" ht="32.25" customHeight="1">
      <c r="A226" s="32" t="e">
        <v>#REF!</v>
      </c>
      <c r="B226" s="139" t="s">
        <v>167</v>
      </c>
      <c r="C226" s="139">
        <v>4103</v>
      </c>
      <c r="D226" s="139" t="s">
        <v>172</v>
      </c>
      <c r="E226" s="139">
        <v>22</v>
      </c>
      <c r="F226" s="139" t="s">
        <v>175</v>
      </c>
      <c r="G226" s="139">
        <v>4103057</v>
      </c>
      <c r="H226" s="139"/>
      <c r="I226" s="139" t="s">
        <v>144</v>
      </c>
      <c r="J226" s="140" t="s">
        <v>29</v>
      </c>
      <c r="K226" s="140" t="s">
        <v>244</v>
      </c>
      <c r="L226" s="141">
        <v>98063436538</v>
      </c>
      <c r="M226" s="141">
        <v>83020236631</v>
      </c>
      <c r="N226" s="143">
        <f t="shared" si="195"/>
        <v>0.84659725950792375</v>
      </c>
      <c r="O226" s="141">
        <v>80426746664</v>
      </c>
      <c r="P226" s="143">
        <f t="shared" si="195"/>
        <v>0.82015019566272584</v>
      </c>
      <c r="Q226" s="141">
        <v>80387643423</v>
      </c>
      <c r="R226" s="143">
        <f t="shared" ref="R226" si="222">+Q226/$L226</f>
        <v>0.81975144111790788</v>
      </c>
    </row>
    <row r="227" spans="1:18" ht="24.95" customHeight="1">
      <c r="A227" s="32" t="e">
        <v>#REF!</v>
      </c>
      <c r="B227" s="145" t="s">
        <v>167</v>
      </c>
      <c r="C227" s="145">
        <v>4103</v>
      </c>
      <c r="D227" s="145" t="s">
        <v>172</v>
      </c>
      <c r="E227" s="145">
        <v>22</v>
      </c>
      <c r="F227" s="145" t="s">
        <v>175</v>
      </c>
      <c r="G227" s="145" t="s">
        <v>221</v>
      </c>
      <c r="H227" s="145" t="s">
        <v>54</v>
      </c>
      <c r="I227" s="145" t="s">
        <v>144</v>
      </c>
      <c r="J227" s="146" t="s">
        <v>29</v>
      </c>
      <c r="K227" s="147" t="s">
        <v>178</v>
      </c>
      <c r="L227" s="148">
        <v>6763610538</v>
      </c>
      <c r="M227" s="148">
        <v>5545252631</v>
      </c>
      <c r="N227" s="150">
        <f t="shared" si="195"/>
        <v>0.81986575067341638</v>
      </c>
      <c r="O227" s="148">
        <v>4419871664</v>
      </c>
      <c r="P227" s="150">
        <f t="shared" si="195"/>
        <v>0.65347814442712671</v>
      </c>
      <c r="Q227" s="148">
        <v>4380768423</v>
      </c>
      <c r="R227" s="150">
        <f t="shared" ref="R227" si="223">+Q227/$L227</f>
        <v>0.64769672919330945</v>
      </c>
    </row>
    <row r="228" spans="1:18" ht="24.95" customHeight="1">
      <c r="A228" s="32" t="e">
        <v>#REF!</v>
      </c>
      <c r="B228" s="145" t="s">
        <v>167</v>
      </c>
      <c r="C228" s="145">
        <v>4103</v>
      </c>
      <c r="D228" s="145" t="s">
        <v>172</v>
      </c>
      <c r="E228" s="145">
        <v>22</v>
      </c>
      <c r="F228" s="145" t="s">
        <v>175</v>
      </c>
      <c r="G228" s="145" t="s">
        <v>221</v>
      </c>
      <c r="H228" s="145" t="s">
        <v>65</v>
      </c>
      <c r="I228" s="145" t="s">
        <v>144</v>
      </c>
      <c r="J228" s="146" t="s">
        <v>29</v>
      </c>
      <c r="K228" s="147" t="s">
        <v>127</v>
      </c>
      <c r="L228" s="148">
        <v>91299826000</v>
      </c>
      <c r="M228" s="148">
        <v>77474984000</v>
      </c>
      <c r="N228" s="150">
        <f t="shared" si="195"/>
        <v>0.84857756464946599</v>
      </c>
      <c r="O228" s="148">
        <v>76006875000</v>
      </c>
      <c r="P228" s="150">
        <f t="shared" si="195"/>
        <v>0.83249747923944561</v>
      </c>
      <c r="Q228" s="148">
        <v>76006875000</v>
      </c>
      <c r="R228" s="150">
        <f t="shared" ref="R228" si="224">+Q228/$L228</f>
        <v>0.83249747923944561</v>
      </c>
    </row>
    <row r="229" spans="1:18" ht="32.25" customHeight="1">
      <c r="A229" s="32" t="e">
        <v>#REF!</v>
      </c>
      <c r="B229" s="139" t="s">
        <v>167</v>
      </c>
      <c r="C229" s="139">
        <v>4103</v>
      </c>
      <c r="D229" s="139" t="s">
        <v>172</v>
      </c>
      <c r="E229" s="139">
        <v>22</v>
      </c>
      <c r="F229" s="139" t="s">
        <v>175</v>
      </c>
      <c r="G229" s="139">
        <v>4103062</v>
      </c>
      <c r="H229" s="139"/>
      <c r="I229" s="139" t="s">
        <v>144</v>
      </c>
      <c r="J229" s="140" t="s">
        <v>29</v>
      </c>
      <c r="K229" s="140" t="s">
        <v>245</v>
      </c>
      <c r="L229" s="141">
        <v>3601621646</v>
      </c>
      <c r="M229" s="141">
        <v>2694477607</v>
      </c>
      <c r="N229" s="143">
        <f t="shared" si="195"/>
        <v>0.74812900183241515</v>
      </c>
      <c r="O229" s="141">
        <v>0</v>
      </c>
      <c r="P229" s="143">
        <f t="shared" si="195"/>
        <v>0</v>
      </c>
      <c r="Q229" s="141">
        <v>0</v>
      </c>
      <c r="R229" s="143">
        <f t="shared" ref="R229" si="225">+Q229/$L229</f>
        <v>0</v>
      </c>
    </row>
    <row r="230" spans="1:18" ht="24.95" customHeight="1">
      <c r="A230" s="32" t="e">
        <v>#REF!</v>
      </c>
      <c r="B230" s="145" t="s">
        <v>167</v>
      </c>
      <c r="C230" s="145">
        <v>4103</v>
      </c>
      <c r="D230" s="145" t="s">
        <v>172</v>
      </c>
      <c r="E230" s="145">
        <v>22</v>
      </c>
      <c r="F230" s="145" t="s">
        <v>175</v>
      </c>
      <c r="G230" s="145" t="s">
        <v>246</v>
      </c>
      <c r="H230" s="145" t="s">
        <v>54</v>
      </c>
      <c r="I230" s="145" t="s">
        <v>144</v>
      </c>
      <c r="J230" s="146" t="s">
        <v>29</v>
      </c>
      <c r="K230" s="147" t="s">
        <v>178</v>
      </c>
      <c r="L230" s="148">
        <v>3601621646</v>
      </c>
      <c r="M230" s="148">
        <v>2694477607</v>
      </c>
      <c r="N230" s="150">
        <f t="shared" si="195"/>
        <v>0.74812900183241515</v>
      </c>
      <c r="O230" s="148">
        <v>0</v>
      </c>
      <c r="P230" s="150">
        <f t="shared" si="195"/>
        <v>0</v>
      </c>
      <c r="Q230" s="148">
        <v>0</v>
      </c>
      <c r="R230" s="150">
        <f t="shared" ref="R230" si="226">+Q230/$L230</f>
        <v>0</v>
      </c>
    </row>
    <row r="231" spans="1:18" ht="24.95" customHeight="1">
      <c r="A231" s="32" t="e">
        <v>#REF!</v>
      </c>
      <c r="B231" s="145" t="s">
        <v>167</v>
      </c>
      <c r="C231" s="145">
        <v>4103</v>
      </c>
      <c r="D231" s="145" t="s">
        <v>172</v>
      </c>
      <c r="E231" s="145">
        <v>22</v>
      </c>
      <c r="F231" s="145" t="s">
        <v>175</v>
      </c>
      <c r="G231" s="145" t="s">
        <v>246</v>
      </c>
      <c r="H231" s="145" t="s">
        <v>65</v>
      </c>
      <c r="I231" s="145" t="s">
        <v>144</v>
      </c>
      <c r="J231" s="146" t="s">
        <v>29</v>
      </c>
      <c r="K231" s="147" t="s">
        <v>127</v>
      </c>
      <c r="L231" s="148">
        <v>0</v>
      </c>
      <c r="M231" s="148">
        <v>0</v>
      </c>
      <c r="N231" s="150" t="e">
        <f t="shared" si="195"/>
        <v>#DIV/0!</v>
      </c>
      <c r="O231" s="148">
        <v>0</v>
      </c>
      <c r="P231" s="150" t="e">
        <f t="shared" si="195"/>
        <v>#DIV/0!</v>
      </c>
      <c r="Q231" s="148">
        <v>0</v>
      </c>
      <c r="R231" s="150" t="e">
        <f t="shared" ref="R231" si="227">+Q231/$L231</f>
        <v>#DIV/0!</v>
      </c>
    </row>
    <row r="232" spans="1:18" ht="39.75" customHeight="1">
      <c r="A232" s="32"/>
      <c r="B232" s="133" t="s">
        <v>167</v>
      </c>
      <c r="C232" s="133" t="s">
        <v>190</v>
      </c>
      <c r="D232" s="133" t="s">
        <v>172</v>
      </c>
      <c r="E232" s="133">
        <v>23</v>
      </c>
      <c r="F232" s="133"/>
      <c r="G232" s="133"/>
      <c r="H232" s="133"/>
      <c r="I232" s="133"/>
      <c r="J232" s="134"/>
      <c r="K232" s="134" t="s">
        <v>273</v>
      </c>
      <c r="L232" s="135">
        <v>1769368130080</v>
      </c>
      <c r="M232" s="135">
        <v>1330755446204.78</v>
      </c>
      <c r="N232" s="137">
        <f t="shared" si="195"/>
        <v>0.75210772907083578</v>
      </c>
      <c r="O232" s="135">
        <v>1295993938605.4102</v>
      </c>
      <c r="P232" s="137">
        <f t="shared" si="195"/>
        <v>0.73246144574041427</v>
      </c>
      <c r="Q232" s="135">
        <v>1295516978605.4102</v>
      </c>
      <c r="R232" s="137">
        <f t="shared" ref="R232" si="228">+Q232/$L232</f>
        <v>0.73219188058215723</v>
      </c>
    </row>
    <row r="233" spans="1:18" ht="32.25" customHeight="1">
      <c r="A233" s="32"/>
      <c r="B233" s="139" t="s">
        <v>167</v>
      </c>
      <c r="C233" s="139" t="s">
        <v>190</v>
      </c>
      <c r="D233" s="139" t="s">
        <v>172</v>
      </c>
      <c r="E233" s="139">
        <v>23</v>
      </c>
      <c r="F233" s="139" t="s">
        <v>175</v>
      </c>
      <c r="G233" s="139">
        <v>4103065</v>
      </c>
      <c r="H233" s="139"/>
      <c r="I233" s="139">
        <v>11</v>
      </c>
      <c r="J233" s="140" t="s">
        <v>29</v>
      </c>
      <c r="K233" s="140" t="s">
        <v>248</v>
      </c>
      <c r="L233" s="141">
        <v>1769368130080</v>
      </c>
      <c r="M233" s="141">
        <v>1330755446204.78</v>
      </c>
      <c r="N233" s="143">
        <f t="shared" si="195"/>
        <v>0.75210772907083578</v>
      </c>
      <c r="O233" s="141">
        <v>1295993938605.4102</v>
      </c>
      <c r="P233" s="143">
        <f t="shared" si="195"/>
        <v>0.73246144574041427</v>
      </c>
      <c r="Q233" s="141">
        <v>1295516978605.4102</v>
      </c>
      <c r="R233" s="143">
        <f t="shared" ref="R233" si="229">+Q233/$L233</f>
        <v>0.73219188058215723</v>
      </c>
    </row>
    <row r="234" spans="1:18" ht="24.95" customHeight="1">
      <c r="A234" s="32"/>
      <c r="B234" s="145" t="s">
        <v>167</v>
      </c>
      <c r="C234" s="145" t="s">
        <v>190</v>
      </c>
      <c r="D234" s="145" t="s">
        <v>172</v>
      </c>
      <c r="E234" s="145">
        <v>23</v>
      </c>
      <c r="F234" s="145" t="s">
        <v>175</v>
      </c>
      <c r="G234" s="145">
        <v>4103065</v>
      </c>
      <c r="H234" s="145" t="s">
        <v>54</v>
      </c>
      <c r="I234" s="145">
        <v>11</v>
      </c>
      <c r="J234" s="146" t="s">
        <v>29</v>
      </c>
      <c r="K234" s="147" t="s">
        <v>178</v>
      </c>
      <c r="L234" s="148">
        <v>21400000000</v>
      </c>
      <c r="M234" s="148">
        <v>8224913070.5</v>
      </c>
      <c r="N234" s="150">
        <f t="shared" si="195"/>
        <v>0.38434173226635515</v>
      </c>
      <c r="O234" s="148">
        <v>1598779821.3599999</v>
      </c>
      <c r="P234" s="150">
        <f t="shared" si="195"/>
        <v>7.4709337446728974E-2</v>
      </c>
      <c r="Q234" s="148">
        <v>1598779821.3599999</v>
      </c>
      <c r="R234" s="150">
        <f t="shared" ref="R234" si="230">+Q234/$L234</f>
        <v>7.4709337446728974E-2</v>
      </c>
    </row>
    <row r="235" spans="1:18" ht="24.95" customHeight="1">
      <c r="A235" s="32"/>
      <c r="B235" s="145" t="s">
        <v>167</v>
      </c>
      <c r="C235" s="145" t="s">
        <v>190</v>
      </c>
      <c r="D235" s="145" t="s">
        <v>172</v>
      </c>
      <c r="E235" s="145">
        <v>23</v>
      </c>
      <c r="F235" s="145" t="s">
        <v>175</v>
      </c>
      <c r="G235" s="145">
        <v>4103065</v>
      </c>
      <c r="H235" s="145" t="s">
        <v>54</v>
      </c>
      <c r="I235" s="145">
        <v>16</v>
      </c>
      <c r="J235" s="146" t="s">
        <v>156</v>
      </c>
      <c r="K235" s="147" t="s">
        <v>178</v>
      </c>
      <c r="L235" s="148">
        <v>68256379176</v>
      </c>
      <c r="M235" s="148">
        <v>68045733134.279999</v>
      </c>
      <c r="N235" s="150">
        <f t="shared" si="195"/>
        <v>0.99691389956128718</v>
      </c>
      <c r="O235" s="148">
        <v>39910358784.050003</v>
      </c>
      <c r="P235" s="150">
        <f t="shared" si="195"/>
        <v>0.58471250989069612</v>
      </c>
      <c r="Q235" s="148">
        <v>39910358784.050003</v>
      </c>
      <c r="R235" s="150">
        <f t="shared" ref="R235" si="231">+Q235/$L235</f>
        <v>0.58471250989069612</v>
      </c>
    </row>
    <row r="236" spans="1:18" ht="24.95" customHeight="1">
      <c r="A236" s="32"/>
      <c r="B236" s="145" t="s">
        <v>167</v>
      </c>
      <c r="C236" s="145" t="s">
        <v>190</v>
      </c>
      <c r="D236" s="145" t="s">
        <v>172</v>
      </c>
      <c r="E236" s="145">
        <v>23</v>
      </c>
      <c r="F236" s="145" t="s">
        <v>175</v>
      </c>
      <c r="G236" s="145">
        <v>4103065</v>
      </c>
      <c r="H236" s="145" t="s">
        <v>65</v>
      </c>
      <c r="I236" s="145">
        <v>11</v>
      </c>
      <c r="J236" s="146" t="s">
        <v>29</v>
      </c>
      <c r="K236" s="147" t="s">
        <v>127</v>
      </c>
      <c r="L236" s="148">
        <v>366600000000</v>
      </c>
      <c r="M236" s="148">
        <v>292084400000</v>
      </c>
      <c r="N236" s="150">
        <f t="shared" si="195"/>
        <v>0.79673867975995638</v>
      </c>
      <c r="O236" s="148">
        <v>292084400000</v>
      </c>
      <c r="P236" s="150">
        <f t="shared" si="195"/>
        <v>0.79673867975995638</v>
      </c>
      <c r="Q236" s="148">
        <v>292084400000</v>
      </c>
      <c r="R236" s="150">
        <f t="shared" ref="R236" si="232">+Q236/$L236</f>
        <v>0.79673867975995638</v>
      </c>
    </row>
    <row r="237" spans="1:18" ht="24.95" customHeight="1">
      <c r="A237" s="32"/>
      <c r="B237" s="145" t="s">
        <v>167</v>
      </c>
      <c r="C237" s="145" t="s">
        <v>190</v>
      </c>
      <c r="D237" s="145" t="s">
        <v>172</v>
      </c>
      <c r="E237" s="145">
        <v>23</v>
      </c>
      <c r="F237" s="145" t="s">
        <v>175</v>
      </c>
      <c r="G237" s="145">
        <v>4103065</v>
      </c>
      <c r="H237" s="145" t="s">
        <v>65</v>
      </c>
      <c r="I237" s="145">
        <v>16</v>
      </c>
      <c r="J237" s="146" t="s">
        <v>156</v>
      </c>
      <c r="K237" s="147" t="s">
        <v>127</v>
      </c>
      <c r="L237" s="148">
        <v>1313111750904</v>
      </c>
      <c r="M237" s="148">
        <v>962400400000</v>
      </c>
      <c r="N237" s="150">
        <f t="shared" si="195"/>
        <v>0.73291583853197873</v>
      </c>
      <c r="O237" s="148">
        <v>962400400000</v>
      </c>
      <c r="P237" s="150">
        <f t="shared" si="195"/>
        <v>0.73291583853197873</v>
      </c>
      <c r="Q237" s="148">
        <v>961923440000</v>
      </c>
      <c r="R237" s="150">
        <f t="shared" ref="R237" si="233">+Q237/$L237</f>
        <v>0.73255260973620295</v>
      </c>
    </row>
    <row r="238" spans="1:18" ht="36.75" customHeight="1">
      <c r="A238" s="32" t="e">
        <v>#REF!</v>
      </c>
      <c r="B238" s="123" t="s">
        <v>167</v>
      </c>
      <c r="C238" s="123">
        <v>4199</v>
      </c>
      <c r="D238" s="123"/>
      <c r="E238" s="123"/>
      <c r="F238" s="123"/>
      <c r="G238" s="123"/>
      <c r="H238" s="123"/>
      <c r="I238" s="124"/>
      <c r="J238" s="124"/>
      <c r="K238" s="124" t="s">
        <v>250</v>
      </c>
      <c r="L238" s="125">
        <v>3226548466</v>
      </c>
      <c r="M238" s="125">
        <v>2586383534.5500002</v>
      </c>
      <c r="N238" s="126">
        <f t="shared" si="195"/>
        <v>0.80159450936634413</v>
      </c>
      <c r="O238" s="125">
        <v>2586383534.5500002</v>
      </c>
      <c r="P238" s="126">
        <f t="shared" si="195"/>
        <v>0.80159450936634413</v>
      </c>
      <c r="Q238" s="125">
        <v>2586383534.5500002</v>
      </c>
      <c r="R238" s="126">
        <f t="shared" ref="R238" si="234">+Q238/$L238</f>
        <v>0.80159450936634413</v>
      </c>
    </row>
    <row r="239" spans="1:18" ht="24" customHeight="1">
      <c r="A239" s="32" t="e">
        <v>#REF!</v>
      </c>
      <c r="B239" s="128" t="s">
        <v>167</v>
      </c>
      <c r="C239" s="128">
        <v>4199</v>
      </c>
      <c r="D239" s="128">
        <v>1500</v>
      </c>
      <c r="E239" s="128"/>
      <c r="F239" s="128"/>
      <c r="G239" s="128"/>
      <c r="H239" s="128"/>
      <c r="I239" s="129"/>
      <c r="J239" s="129"/>
      <c r="K239" s="129" t="s">
        <v>170</v>
      </c>
      <c r="L239" s="130">
        <v>3226548466</v>
      </c>
      <c r="M239" s="130">
        <v>2586383534.5500002</v>
      </c>
      <c r="N239" s="131">
        <f t="shared" si="195"/>
        <v>0.80159450936634413</v>
      </c>
      <c r="O239" s="130">
        <v>2586383534.5500002</v>
      </c>
      <c r="P239" s="131">
        <f t="shared" si="195"/>
        <v>0.80159450936634413</v>
      </c>
      <c r="Q239" s="130">
        <v>2586383534.5500002</v>
      </c>
      <c r="R239" s="131">
        <f t="shared" ref="R239" si="235">+Q239/$L239</f>
        <v>0.80159450936634413</v>
      </c>
    </row>
    <row r="240" spans="1:18" ht="37.5" customHeight="1">
      <c r="A240" s="32" t="e">
        <v>#REF!</v>
      </c>
      <c r="B240" s="133" t="s">
        <v>167</v>
      </c>
      <c r="C240" s="133" t="s">
        <v>251</v>
      </c>
      <c r="D240" s="133" t="s">
        <v>172</v>
      </c>
      <c r="E240" s="133" t="s">
        <v>252</v>
      </c>
      <c r="F240" s="133"/>
      <c r="G240" s="133"/>
      <c r="H240" s="133"/>
      <c r="I240" s="133"/>
      <c r="J240" s="134"/>
      <c r="K240" s="134" t="s">
        <v>274</v>
      </c>
      <c r="L240" s="135">
        <v>3226548466</v>
      </c>
      <c r="M240" s="135">
        <v>2586383534.5500002</v>
      </c>
      <c r="N240" s="137">
        <f t="shared" si="195"/>
        <v>0.80159450936634413</v>
      </c>
      <c r="O240" s="135">
        <v>2586383534.5500002</v>
      </c>
      <c r="P240" s="137">
        <f t="shared" si="195"/>
        <v>0.80159450936634413</v>
      </c>
      <c r="Q240" s="135">
        <v>2586383534.5500002</v>
      </c>
      <c r="R240" s="137">
        <f t="shared" ref="R240" si="236">+Q240/$L240</f>
        <v>0.80159450936634413</v>
      </c>
    </row>
    <row r="241" spans="1:41" ht="32.25" customHeight="1">
      <c r="A241" s="32" t="e">
        <v>#REF!</v>
      </c>
      <c r="B241" s="139" t="s">
        <v>167</v>
      </c>
      <c r="C241" s="139" t="s">
        <v>251</v>
      </c>
      <c r="D241" s="139" t="s">
        <v>172</v>
      </c>
      <c r="E241" s="139" t="s">
        <v>252</v>
      </c>
      <c r="F241" s="139" t="s">
        <v>175</v>
      </c>
      <c r="G241" s="139" t="s">
        <v>254</v>
      </c>
      <c r="H241" s="139"/>
      <c r="I241" s="139">
        <v>11</v>
      </c>
      <c r="J241" s="140" t="s">
        <v>29</v>
      </c>
      <c r="K241" s="140" t="s">
        <v>255</v>
      </c>
      <c r="L241" s="141">
        <v>3226548466</v>
      </c>
      <c r="M241" s="141">
        <v>2586383534.5500002</v>
      </c>
      <c r="N241" s="143">
        <f t="shared" si="195"/>
        <v>0.80159450936634413</v>
      </c>
      <c r="O241" s="141">
        <v>2586383534.5500002</v>
      </c>
      <c r="P241" s="143">
        <f t="shared" si="195"/>
        <v>0.80159450936634413</v>
      </c>
      <c r="Q241" s="141">
        <v>2586383534.5500002</v>
      </c>
      <c r="R241" s="143">
        <f t="shared" ref="R241" si="237">+Q241/$L241</f>
        <v>0.80159450936634413</v>
      </c>
    </row>
    <row r="242" spans="1:41" ht="24.95" customHeight="1">
      <c r="A242" s="32" t="e">
        <v>#REF!</v>
      </c>
      <c r="B242" s="145" t="s">
        <v>167</v>
      </c>
      <c r="C242" s="145" t="s">
        <v>251</v>
      </c>
      <c r="D242" s="145" t="s">
        <v>172</v>
      </c>
      <c r="E242" s="145" t="s">
        <v>252</v>
      </c>
      <c r="F242" s="145" t="s">
        <v>175</v>
      </c>
      <c r="G242" s="145" t="s">
        <v>254</v>
      </c>
      <c r="H242" s="145" t="s">
        <v>54</v>
      </c>
      <c r="I242" s="145">
        <v>11</v>
      </c>
      <c r="J242" s="146" t="s">
        <v>29</v>
      </c>
      <c r="K242" s="147" t="s">
        <v>178</v>
      </c>
      <c r="L242" s="148">
        <v>3226548466</v>
      </c>
      <c r="M242" s="148">
        <v>2586383534.5500002</v>
      </c>
      <c r="N242" s="150">
        <f t="shared" si="195"/>
        <v>0.80159450936634413</v>
      </c>
      <c r="O242" s="148">
        <v>2586383534.5500002</v>
      </c>
      <c r="P242" s="150">
        <f t="shared" si="195"/>
        <v>0.80159450936634413</v>
      </c>
      <c r="Q242" s="148">
        <v>2586383534.5500002</v>
      </c>
      <c r="R242" s="150">
        <f t="shared" ref="R242" si="238">+Q242/$L242</f>
        <v>0.80159450936634413</v>
      </c>
    </row>
    <row r="243" spans="1:41" ht="35.1" customHeight="1">
      <c r="A243" s="32"/>
      <c r="B243" s="118"/>
      <c r="C243" s="119"/>
      <c r="D243" s="119"/>
      <c r="E243" s="119"/>
      <c r="F243" s="119"/>
      <c r="G243" s="119"/>
      <c r="H243" s="119"/>
      <c r="I243" s="119"/>
      <c r="J243" s="119"/>
      <c r="K243" s="119" t="s">
        <v>256</v>
      </c>
      <c r="L243" s="120">
        <v>11136400874833</v>
      </c>
      <c r="M243" s="120">
        <v>9184874918526.8789</v>
      </c>
      <c r="N243" s="121">
        <f t="shared" si="195"/>
        <v>0.82476152050916662</v>
      </c>
      <c r="O243" s="120">
        <v>8426209048736.8701</v>
      </c>
      <c r="P243" s="121">
        <f t="shared" si="195"/>
        <v>0.75663664979761502</v>
      </c>
      <c r="Q243" s="120">
        <v>8272478973118.8701</v>
      </c>
      <c r="R243" s="121">
        <f t="shared" ref="R243" si="239">+Q243/$L243</f>
        <v>0.74283236263645391</v>
      </c>
    </row>
    <row r="244" spans="1:41" s="90" customFormat="1" ht="16.5">
      <c r="A244" s="32"/>
      <c r="B244" s="82"/>
      <c r="C244" s="82"/>
      <c r="D244" s="82"/>
      <c r="E244" s="82"/>
      <c r="F244" s="82"/>
      <c r="G244" s="83"/>
      <c r="H244" s="84"/>
      <c r="I244" s="84"/>
      <c r="J244" s="85"/>
      <c r="K244" s="84"/>
      <c r="L244" s="86"/>
      <c r="M244" s="86"/>
      <c r="N244" s="87"/>
      <c r="O244" s="86"/>
      <c r="P244" s="87"/>
      <c r="Q244" s="86"/>
      <c r="R244" s="89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</row>
    <row r="245" spans="1:41" s="90" customFormat="1" ht="16.5">
      <c r="A245" s="32" t="e">
        <v>#REF!</v>
      </c>
      <c r="B245" s="82"/>
      <c r="C245" s="82"/>
      <c r="D245" s="82"/>
      <c r="E245" s="82"/>
      <c r="F245" s="82"/>
      <c r="G245" s="83"/>
      <c r="H245" s="84"/>
      <c r="I245" s="84"/>
      <c r="J245" s="85"/>
      <c r="K245" s="84"/>
      <c r="L245" s="364">
        <v>11136400874833</v>
      </c>
      <c r="M245" s="364">
        <v>9184874918526.8809</v>
      </c>
      <c r="N245" s="365">
        <v>0.82476152050916662</v>
      </c>
      <c r="O245" s="364">
        <v>8426209048736.8701</v>
      </c>
      <c r="P245" s="365">
        <v>8.2599477567157659E-2</v>
      </c>
      <c r="Q245" s="364">
        <v>8272478973118.8701</v>
      </c>
      <c r="R245" s="365">
        <v>0.90066321495923607</v>
      </c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</row>
    <row r="246" spans="1:41" s="90" customFormat="1" ht="16.5">
      <c r="A246" s="32"/>
      <c r="B246" s="85"/>
      <c r="C246" s="84"/>
      <c r="D246" s="84"/>
      <c r="E246" s="84"/>
      <c r="F246" s="84"/>
      <c r="G246" s="84"/>
      <c r="H246" s="84"/>
      <c r="I246" s="84"/>
      <c r="J246" s="85"/>
      <c r="K246" s="366"/>
      <c r="L246" s="367">
        <v>0</v>
      </c>
      <c r="M246" s="367">
        <v>0</v>
      </c>
      <c r="N246" s="368"/>
      <c r="O246" s="367">
        <v>0</v>
      </c>
      <c r="P246" s="368"/>
      <c r="Q246" s="367">
        <v>0</v>
      </c>
      <c r="R246" s="368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</row>
    <row r="247" spans="1:41" s="374" customFormat="1" ht="16.5">
      <c r="A247" s="369"/>
      <c r="B247" s="370"/>
      <c r="C247" s="371"/>
      <c r="D247" s="371"/>
      <c r="E247" s="371"/>
      <c r="F247" s="371"/>
      <c r="G247" s="371"/>
      <c r="H247" s="371"/>
      <c r="I247" s="371"/>
      <c r="J247" s="370"/>
      <c r="K247" s="86"/>
      <c r="L247" s="359"/>
      <c r="M247" s="359"/>
      <c r="N247" s="372"/>
      <c r="O247" s="359"/>
      <c r="P247" s="372"/>
      <c r="Q247" s="359"/>
      <c r="R247" s="37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</row>
    <row r="248" spans="1:41" ht="18">
      <c r="A248" s="30"/>
      <c r="B248" s="312"/>
      <c r="C248" s="317"/>
      <c r="D248" s="312"/>
      <c r="E248" s="312"/>
      <c r="F248" s="312"/>
      <c r="G248" s="312"/>
      <c r="H248" s="312"/>
      <c r="I248" s="312"/>
      <c r="J248" s="317"/>
      <c r="K248" s="312"/>
      <c r="L248" s="359"/>
      <c r="M248" s="332"/>
      <c r="N248" s="333"/>
      <c r="O248" s="332"/>
      <c r="P248" s="333"/>
      <c r="Q248" s="332"/>
      <c r="R248" s="333"/>
    </row>
    <row r="249" spans="1:41" ht="18">
      <c r="A249" s="30"/>
      <c r="B249" s="312"/>
      <c r="C249" s="317"/>
      <c r="D249" s="312"/>
      <c r="E249" s="312"/>
      <c r="F249" s="312"/>
      <c r="G249" s="312"/>
      <c r="H249" s="312"/>
      <c r="I249" s="312"/>
      <c r="J249" s="317"/>
      <c r="K249" s="312"/>
      <c r="L249" s="332"/>
      <c r="M249" s="332"/>
      <c r="N249" s="333"/>
      <c r="O249" s="332"/>
      <c r="P249" s="333"/>
      <c r="Q249" s="332"/>
      <c r="R249" s="333"/>
    </row>
    <row r="250" spans="1:41" ht="18">
      <c r="A250" s="1"/>
      <c r="B250" s="312"/>
      <c r="C250" s="312"/>
      <c r="D250" s="312"/>
      <c r="E250" s="312"/>
      <c r="F250" s="312"/>
      <c r="G250" s="312"/>
      <c r="H250" s="312"/>
      <c r="I250" s="312"/>
      <c r="J250" s="317"/>
      <c r="K250" s="312"/>
      <c r="L250" s="332"/>
      <c r="M250" s="332"/>
      <c r="N250" s="333"/>
      <c r="O250" s="332"/>
      <c r="P250" s="333"/>
      <c r="Q250" s="332"/>
      <c r="R250" s="333"/>
    </row>
    <row r="251" spans="1:41" ht="30">
      <c r="A251" s="1"/>
      <c r="B251" s="318"/>
      <c r="C251" s="318"/>
      <c r="D251" s="318"/>
      <c r="E251" s="318"/>
      <c r="F251" s="318"/>
      <c r="G251" s="318"/>
      <c r="H251" s="312"/>
      <c r="I251" s="312"/>
      <c r="J251" s="317"/>
      <c r="K251" s="336" t="s">
        <v>738</v>
      </c>
      <c r="L251" s="319"/>
      <c r="M251" s="319"/>
      <c r="N251" s="319"/>
      <c r="O251" s="319"/>
      <c r="P251" s="320"/>
      <c r="Q251" s="319"/>
      <c r="R251" s="319"/>
    </row>
    <row r="252" spans="1:41" ht="30">
      <c r="A252" s="1"/>
      <c r="B252" s="321"/>
      <c r="C252" s="322"/>
      <c r="D252" s="322"/>
      <c r="E252" s="322"/>
      <c r="F252" s="322"/>
      <c r="G252" s="322"/>
      <c r="H252" s="322"/>
      <c r="I252" s="322"/>
      <c r="J252" s="321"/>
      <c r="K252" s="337" t="s">
        <v>739</v>
      </c>
      <c r="L252" s="360"/>
      <c r="M252" s="323"/>
      <c r="N252" s="323"/>
      <c r="O252" s="323"/>
      <c r="P252" s="324"/>
      <c r="Q252" s="323"/>
      <c r="R252" s="323"/>
    </row>
    <row r="253" spans="1:41" ht="30">
      <c r="A253" s="325"/>
      <c r="B253" s="308"/>
      <c r="C253" s="308"/>
      <c r="D253" s="308"/>
      <c r="E253" s="308"/>
      <c r="F253" s="308"/>
      <c r="G253" s="308"/>
      <c r="H253" s="308"/>
      <c r="I253" s="308"/>
      <c r="J253" s="336"/>
      <c r="K253" s="308"/>
      <c r="L253" s="334"/>
      <c r="M253" s="334"/>
      <c r="N253" s="329"/>
      <c r="O253" s="329"/>
      <c r="P253" s="329"/>
    </row>
  </sheetData>
  <sheetProtection selectLockedCells="1" selectUnlockedCells="1"/>
  <autoFilter ref="A6:R246" xr:uid="{00000000-0009-0000-0000-000002000000}"/>
  <mergeCells count="8">
    <mergeCell ref="L5:L6"/>
    <mergeCell ref="M5:N5"/>
    <mergeCell ref="O5:P5"/>
    <mergeCell ref="Q5:R5"/>
    <mergeCell ref="B5:H5"/>
    <mergeCell ref="I5:I6"/>
    <mergeCell ref="J5:J6"/>
    <mergeCell ref="K5:K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A551-FE45-4F74-8BEB-5A98C33E95AC}">
  <sheetPr>
    <tabColor theme="7" tint="0.59999389629810485"/>
  </sheetPr>
  <dimension ref="A3:E17"/>
  <sheetViews>
    <sheetView zoomScale="85" zoomScaleNormal="85" workbookViewId="0">
      <selection activeCell="A5" sqref="A5:C16"/>
    </sheetView>
  </sheetViews>
  <sheetFormatPr baseColWidth="10" defaultRowHeight="15"/>
  <cols>
    <col min="1" max="1" width="16.140625" bestFit="1" customWidth="1"/>
    <col min="2" max="2" width="100.5703125" customWidth="1"/>
    <col min="3" max="3" width="21.85546875" bestFit="1" customWidth="1"/>
    <col min="4" max="4" width="21.28515625" bestFit="1" customWidth="1"/>
    <col min="5" max="5" width="16.28515625" bestFit="1" customWidth="1"/>
  </cols>
  <sheetData>
    <row r="3" spans="1:5">
      <c r="C3" s="565" t="s">
        <v>862</v>
      </c>
    </row>
    <row r="4" spans="1:5">
      <c r="A4" s="573" t="s">
        <v>2</v>
      </c>
      <c r="B4" s="573" t="s">
        <v>5</v>
      </c>
      <c r="C4" s="574" t="s">
        <v>863</v>
      </c>
      <c r="D4" s="574" t="s">
        <v>861</v>
      </c>
      <c r="E4" s="574" t="s">
        <v>864</v>
      </c>
    </row>
    <row r="5" spans="1:5">
      <c r="A5" s="569" t="s">
        <v>454</v>
      </c>
      <c r="B5" s="569" t="s">
        <v>860</v>
      </c>
      <c r="C5" s="570">
        <v>10248574078</v>
      </c>
      <c r="D5" s="570">
        <v>10248574078</v>
      </c>
      <c r="E5" s="572">
        <v>1</v>
      </c>
    </row>
    <row r="6" spans="1:5">
      <c r="A6" s="569" t="s">
        <v>297</v>
      </c>
      <c r="B6" s="569" t="s">
        <v>764</v>
      </c>
      <c r="C6" s="570">
        <v>2503485210000</v>
      </c>
      <c r="D6" s="570">
        <v>2480696842244.54</v>
      </c>
      <c r="E6" s="572">
        <v>0.99089734276662256</v>
      </c>
    </row>
    <row r="7" spans="1:5">
      <c r="A7" s="569" t="s">
        <v>298</v>
      </c>
      <c r="B7" s="569" t="s">
        <v>856</v>
      </c>
      <c r="C7" s="570">
        <v>27000000000</v>
      </c>
      <c r="D7" s="570">
        <v>26899411841</v>
      </c>
      <c r="E7" s="572">
        <v>0.99627451262962963</v>
      </c>
    </row>
    <row r="8" spans="1:5">
      <c r="A8" s="569" t="s">
        <v>299</v>
      </c>
      <c r="B8" s="569" t="s">
        <v>766</v>
      </c>
      <c r="C8" s="570">
        <v>902681224817</v>
      </c>
      <c r="D8" s="570">
        <v>879031426217.26001</v>
      </c>
      <c r="E8" s="572">
        <v>0.97380049795038714</v>
      </c>
    </row>
    <row r="9" spans="1:5">
      <c r="A9" s="569" t="s">
        <v>520</v>
      </c>
      <c r="B9" s="569" t="s">
        <v>767</v>
      </c>
      <c r="C9" s="570">
        <v>500000000</v>
      </c>
      <c r="D9" s="570">
        <v>500000000</v>
      </c>
      <c r="E9" s="572">
        <v>1</v>
      </c>
    </row>
    <row r="10" spans="1:5">
      <c r="A10" s="569" t="s">
        <v>530</v>
      </c>
      <c r="B10" s="569" t="s">
        <v>768</v>
      </c>
      <c r="C10" s="570">
        <v>8981138916</v>
      </c>
      <c r="D10" s="570">
        <v>8920720035</v>
      </c>
      <c r="E10" s="572">
        <v>0.99327269274363816</v>
      </c>
    </row>
    <row r="11" spans="1:5">
      <c r="A11" s="569" t="s">
        <v>664</v>
      </c>
      <c r="B11" s="569" t="s">
        <v>857</v>
      </c>
      <c r="C11" s="570">
        <v>14493806741</v>
      </c>
      <c r="D11" s="570">
        <v>14252037933.77</v>
      </c>
      <c r="E11" s="572">
        <v>0.9833191644161996</v>
      </c>
    </row>
    <row r="12" spans="1:5">
      <c r="A12" s="569" t="s">
        <v>678</v>
      </c>
      <c r="B12" s="569" t="s">
        <v>286</v>
      </c>
      <c r="C12" s="570">
        <v>958240000000</v>
      </c>
      <c r="D12" s="570">
        <v>943425405379.22998</v>
      </c>
      <c r="E12" s="572">
        <v>0.98453978687930999</v>
      </c>
    </row>
    <row r="13" spans="1:5">
      <c r="A13" s="569" t="s">
        <v>692</v>
      </c>
      <c r="B13" s="569" t="s">
        <v>858</v>
      </c>
      <c r="C13" s="570">
        <v>25000000000</v>
      </c>
      <c r="D13" s="570">
        <v>24965995697.889999</v>
      </c>
      <c r="E13" s="572">
        <v>0.99863982791560002</v>
      </c>
    </row>
    <row r="14" spans="1:5">
      <c r="A14" s="569" t="s">
        <v>704</v>
      </c>
      <c r="B14" s="569" t="s">
        <v>239</v>
      </c>
      <c r="C14" s="570">
        <v>137284000000</v>
      </c>
      <c r="D14" s="570">
        <v>136828216462.57001</v>
      </c>
      <c r="E14" s="572">
        <v>0.99667999521116812</v>
      </c>
    </row>
    <row r="15" spans="1:5">
      <c r="A15" s="569" t="s">
        <v>685</v>
      </c>
      <c r="B15" s="569" t="s">
        <v>248</v>
      </c>
      <c r="C15" s="570">
        <v>1769368130080</v>
      </c>
      <c r="D15" s="570">
        <v>1619353653724.0901</v>
      </c>
      <c r="E15" s="572">
        <v>0.9152157915554141</v>
      </c>
    </row>
    <row r="16" spans="1:5">
      <c r="A16" s="569" t="s">
        <v>547</v>
      </c>
      <c r="B16" s="569" t="s">
        <v>775</v>
      </c>
      <c r="C16" s="570">
        <v>3226548466</v>
      </c>
      <c r="D16" s="570">
        <v>3226163153.0100002</v>
      </c>
      <c r="E16" s="572">
        <v>0.99988058044251926</v>
      </c>
    </row>
    <row r="17" spans="1:5">
      <c r="A17" s="569" t="s">
        <v>859</v>
      </c>
      <c r="B17" s="569"/>
      <c r="C17" s="570">
        <v>6360508633098</v>
      </c>
      <c r="D17" s="570">
        <v>6148348446766.3594</v>
      </c>
      <c r="E17" s="572">
        <v>0.96664414772937679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1698-BB58-4387-B5BB-F170D8C2504C}">
  <sheetPr>
    <tabColor theme="7" tint="0.59999389629810485"/>
    <pageSetUpPr fitToPage="1"/>
  </sheetPr>
  <dimension ref="A1:BB260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46" style="9" customWidth="1"/>
    <col min="13" max="13" width="22.28515625" style="13" customWidth="1"/>
    <col min="14" max="14" width="19.85546875" style="13" bestFit="1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bestFit="1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0.7109375" style="13" bestFit="1" customWidth="1"/>
    <col min="24" max="24" width="18.28515625" style="13" customWidth="1"/>
    <col min="25" max="25" width="12.5703125" style="13" customWidth="1"/>
    <col min="26" max="26" width="22.570312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30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25.5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923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24.7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 t="s">
        <v>276</v>
      </c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912</v>
      </c>
      <c r="Y6" s="116" t="s">
        <v>879</v>
      </c>
      <c r="Z6" s="114" t="s">
        <v>18</v>
      </c>
      <c r="AA6" s="114" t="s">
        <v>913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179300000000</v>
      </c>
      <c r="N8" s="120">
        <v>5915796693840</v>
      </c>
      <c r="O8" s="717">
        <v>0</v>
      </c>
      <c r="P8" s="120">
        <v>13113033833.130001</v>
      </c>
      <c r="Q8" s="120">
        <v>13113033833.130001</v>
      </c>
      <c r="R8" s="120">
        <v>13784531058</v>
      </c>
      <c r="S8" s="120">
        <v>6081312162782</v>
      </c>
      <c r="T8" s="120">
        <v>5861656314760.5801</v>
      </c>
      <c r="U8" s="120">
        <v>219655848021.41986</v>
      </c>
      <c r="V8" s="121">
        <v>0.96388018865965686</v>
      </c>
      <c r="W8" s="120">
        <v>5708834420574.54</v>
      </c>
      <c r="X8" s="120">
        <v>152821894186.04001</v>
      </c>
      <c r="Y8" s="121">
        <v>2.6071452500756525E-2</v>
      </c>
      <c r="Z8" s="120">
        <v>5696979087788.54</v>
      </c>
      <c r="AA8" s="120">
        <v>11855332786</v>
      </c>
      <c r="AB8" s="718">
        <v>0.97190602482827992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105148000000</v>
      </c>
      <c r="N9" s="719">
        <v>0</v>
      </c>
      <c r="O9" s="719">
        <v>0</v>
      </c>
      <c r="P9" s="125">
        <v>1090000000</v>
      </c>
      <c r="Q9" s="125">
        <v>1090000000</v>
      </c>
      <c r="R9" s="719">
        <v>0</v>
      </c>
      <c r="S9" s="125">
        <v>105148000000</v>
      </c>
      <c r="T9" s="125">
        <v>80247535531</v>
      </c>
      <c r="U9" s="125">
        <v>24900464469</v>
      </c>
      <c r="V9" s="126">
        <v>0.76318651359036782</v>
      </c>
      <c r="W9" s="125">
        <v>78486068461</v>
      </c>
      <c r="X9" s="125">
        <v>1761467070</v>
      </c>
      <c r="Y9" s="126">
        <v>2.1950419515619105E-2</v>
      </c>
      <c r="Z9" s="125">
        <v>78486068461</v>
      </c>
      <c r="AA9" s="125">
        <v>0</v>
      </c>
      <c r="AB9" s="720">
        <v>0.97804958048438084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105148000000</v>
      </c>
      <c r="N10" s="721">
        <v>0</v>
      </c>
      <c r="O10" s="721">
        <v>0</v>
      </c>
      <c r="P10" s="130">
        <v>1090000000</v>
      </c>
      <c r="Q10" s="130">
        <v>1090000000</v>
      </c>
      <c r="R10" s="721">
        <v>0</v>
      </c>
      <c r="S10" s="130">
        <v>105148000000</v>
      </c>
      <c r="T10" s="130">
        <v>80247535531</v>
      </c>
      <c r="U10" s="130">
        <v>24900464469</v>
      </c>
      <c r="V10" s="131">
        <v>0.76318651359036782</v>
      </c>
      <c r="W10" s="130">
        <v>78486068461</v>
      </c>
      <c r="X10" s="130">
        <v>1761467070</v>
      </c>
      <c r="Y10" s="131">
        <v>2.1950419515619105E-2</v>
      </c>
      <c r="Z10" s="130">
        <v>78486068461</v>
      </c>
      <c r="AA10" s="130">
        <v>0</v>
      </c>
      <c r="AB10" s="722">
        <v>0.97804958048438084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69237000000</v>
      </c>
      <c r="N11" s="136">
        <v>0</v>
      </c>
      <c r="O11" s="136">
        <v>0</v>
      </c>
      <c r="P11" s="135">
        <v>1090000000</v>
      </c>
      <c r="Q11" s="135">
        <v>1090000000</v>
      </c>
      <c r="R11" s="136">
        <v>0</v>
      </c>
      <c r="S11" s="135">
        <v>69237000000</v>
      </c>
      <c r="T11" s="135">
        <v>52398921118</v>
      </c>
      <c r="U11" s="135">
        <v>16838078882</v>
      </c>
      <c r="V11" s="137">
        <v>0.75680519257044643</v>
      </c>
      <c r="W11" s="135">
        <v>52390756708</v>
      </c>
      <c r="X11" s="136">
        <v>8164410</v>
      </c>
      <c r="Y11" s="137">
        <v>1.5581255922453286E-4</v>
      </c>
      <c r="Z11" s="135">
        <v>52390756708</v>
      </c>
      <c r="AA11" s="135">
        <v>0</v>
      </c>
      <c r="AB11" s="723">
        <v>0.99984418744077552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69237000000</v>
      </c>
      <c r="N12" s="142">
        <v>0</v>
      </c>
      <c r="O12" s="142">
        <v>0</v>
      </c>
      <c r="P12" s="141">
        <v>1090000000</v>
      </c>
      <c r="Q12" s="141">
        <v>1090000000</v>
      </c>
      <c r="R12" s="142">
        <v>0</v>
      </c>
      <c r="S12" s="141">
        <v>69237000000</v>
      </c>
      <c r="T12" s="141">
        <v>52398921118</v>
      </c>
      <c r="U12" s="141">
        <v>16838078882</v>
      </c>
      <c r="V12" s="143">
        <v>0.75680519257044643</v>
      </c>
      <c r="W12" s="141">
        <v>52390756708</v>
      </c>
      <c r="X12" s="142">
        <v>8164410</v>
      </c>
      <c r="Y12" s="143">
        <v>1.5581255922453286E-4</v>
      </c>
      <c r="Z12" s="141">
        <v>52390756708</v>
      </c>
      <c r="AA12" s="141">
        <v>0</v>
      </c>
      <c r="AB12" s="724">
        <v>0.99984418744077552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57000000000</v>
      </c>
      <c r="N13" s="148"/>
      <c r="O13" s="148"/>
      <c r="P13" s="148"/>
      <c r="Q13" s="149"/>
      <c r="R13" s="149"/>
      <c r="S13" s="148">
        <v>57000000000</v>
      </c>
      <c r="T13" s="148">
        <v>45555391876</v>
      </c>
      <c r="U13" s="148">
        <v>11444608124</v>
      </c>
      <c r="V13" s="150">
        <v>0.7992174013333333</v>
      </c>
      <c r="W13" s="148">
        <v>45547559934</v>
      </c>
      <c r="X13" s="148">
        <v>7831942</v>
      </c>
      <c r="Y13" s="150">
        <v>1.7192129575612565E-4</v>
      </c>
      <c r="Z13" s="148">
        <v>45547559934</v>
      </c>
      <c r="AA13" s="148">
        <v>0</v>
      </c>
      <c r="AB13" s="150">
        <v>0.99982807870424384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276000000</v>
      </c>
      <c r="N14" s="148"/>
      <c r="O14" s="148"/>
      <c r="P14" s="148"/>
      <c r="Q14" s="148">
        <v>25000000</v>
      </c>
      <c r="R14" s="148"/>
      <c r="S14" s="148">
        <v>251000000</v>
      </c>
      <c r="T14" s="148">
        <v>189226203</v>
      </c>
      <c r="U14" s="148">
        <v>61773797</v>
      </c>
      <c r="V14" s="150">
        <v>0.75388925498007964</v>
      </c>
      <c r="W14" s="148">
        <v>189226203</v>
      </c>
      <c r="X14" s="148">
        <v>0</v>
      </c>
      <c r="Y14" s="150">
        <v>0</v>
      </c>
      <c r="Z14" s="148">
        <v>189226203</v>
      </c>
      <c r="AA14" s="148">
        <v>0</v>
      </c>
      <c r="AB14" s="150">
        <v>1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>
        <v>30000000</v>
      </c>
      <c r="Q15" s="148">
        <v>20000000</v>
      </c>
      <c r="R15" s="148"/>
      <c r="S15" s="148">
        <v>550000000</v>
      </c>
      <c r="T15" s="148">
        <v>443520493</v>
      </c>
      <c r="U15" s="148">
        <v>106479507</v>
      </c>
      <c r="V15" s="150">
        <v>0.80640089636363632</v>
      </c>
      <c r="W15" s="148">
        <v>443520493</v>
      </c>
      <c r="X15" s="148">
        <v>0</v>
      </c>
      <c r="Y15" s="150">
        <v>0</v>
      </c>
      <c r="Z15" s="148">
        <v>443520493</v>
      </c>
      <c r="AA15" s="148">
        <v>0</v>
      </c>
      <c r="AB15" s="150">
        <v>1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76305591</v>
      </c>
      <c r="U16" s="148">
        <v>19694409</v>
      </c>
      <c r="V16" s="150">
        <v>0.79484990624999996</v>
      </c>
      <c r="W16" s="148">
        <v>76221867</v>
      </c>
      <c r="X16" s="148">
        <v>83724</v>
      </c>
      <c r="Y16" s="150">
        <v>1.09721973059615E-3</v>
      </c>
      <c r="Z16" s="148">
        <v>76221867</v>
      </c>
      <c r="AA16" s="148">
        <v>0</v>
      </c>
      <c r="AB16" s="150">
        <v>0.99890278026940382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80000000</v>
      </c>
      <c r="N17" s="148"/>
      <c r="O17" s="148"/>
      <c r="P17" s="148">
        <v>20000000</v>
      </c>
      <c r="Q17" s="148"/>
      <c r="R17" s="148"/>
      <c r="S17" s="148">
        <v>100000000</v>
      </c>
      <c r="T17" s="148">
        <v>85347729</v>
      </c>
      <c r="U17" s="148">
        <v>14652271</v>
      </c>
      <c r="V17" s="150">
        <v>0.85347729000000006</v>
      </c>
      <c r="W17" s="148">
        <v>85241275</v>
      </c>
      <c r="X17" s="148">
        <v>106454</v>
      </c>
      <c r="Y17" s="150">
        <v>1.2472973944040152E-3</v>
      </c>
      <c r="Z17" s="148">
        <v>85241275</v>
      </c>
      <c r="AA17" s="148">
        <v>0</v>
      </c>
      <c r="AB17" s="150">
        <v>0.99875270260559601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2448300000</v>
      </c>
      <c r="N18" s="148"/>
      <c r="O18" s="148"/>
      <c r="P18" s="148">
        <v>340000000</v>
      </c>
      <c r="Q18" s="148">
        <v>220000000</v>
      </c>
      <c r="R18" s="148"/>
      <c r="S18" s="148">
        <v>2568300000</v>
      </c>
      <c r="T18" s="148">
        <v>2547571420</v>
      </c>
      <c r="U18" s="148">
        <v>20728580</v>
      </c>
      <c r="V18" s="150">
        <v>0.99192906591909047</v>
      </c>
      <c r="W18" s="148">
        <v>2547524279</v>
      </c>
      <c r="X18" s="148">
        <v>47141</v>
      </c>
      <c r="Y18" s="150">
        <v>1.8504289862067929E-5</v>
      </c>
      <c r="Z18" s="148">
        <v>2547524279</v>
      </c>
      <c r="AA18" s="148">
        <v>0</v>
      </c>
      <c r="AB18" s="150">
        <v>0.99998149571013795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1757500000</v>
      </c>
      <c r="N19" s="148"/>
      <c r="O19" s="148"/>
      <c r="P19" s="148"/>
      <c r="Q19" s="148"/>
      <c r="R19" s="148"/>
      <c r="S19" s="148">
        <v>1757500000</v>
      </c>
      <c r="T19" s="148">
        <v>1450529914</v>
      </c>
      <c r="U19" s="148">
        <v>306970086</v>
      </c>
      <c r="V19" s="150">
        <v>0.82533707766714082</v>
      </c>
      <c r="W19" s="148">
        <v>1450529914</v>
      </c>
      <c r="X19" s="148">
        <v>0</v>
      </c>
      <c r="Y19" s="150">
        <v>0</v>
      </c>
      <c r="Z19" s="148">
        <v>1450529914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210000000</v>
      </c>
      <c r="N20" s="148"/>
      <c r="O20" s="148"/>
      <c r="P20" s="148"/>
      <c r="Q20" s="148">
        <v>60000000</v>
      </c>
      <c r="R20" s="148"/>
      <c r="S20" s="148">
        <v>150000000</v>
      </c>
      <c r="T20" s="148">
        <v>74617219</v>
      </c>
      <c r="U20" s="148">
        <v>75382781</v>
      </c>
      <c r="V20" s="150">
        <v>0.49744812666666666</v>
      </c>
      <c r="W20" s="148">
        <v>74617219</v>
      </c>
      <c r="X20" s="148">
        <v>0</v>
      </c>
      <c r="Y20" s="150">
        <v>0</v>
      </c>
      <c r="Z20" s="148">
        <v>74617219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5100500000</v>
      </c>
      <c r="N21" s="148"/>
      <c r="O21" s="148"/>
      <c r="P21" s="148"/>
      <c r="Q21" s="148">
        <v>745000000</v>
      </c>
      <c r="R21" s="148"/>
      <c r="S21" s="148">
        <v>4355500000</v>
      </c>
      <c r="T21" s="148">
        <v>70284515</v>
      </c>
      <c r="U21" s="148">
        <v>4285215485</v>
      </c>
      <c r="V21" s="150">
        <v>1.6136956721386753E-2</v>
      </c>
      <c r="W21" s="148">
        <v>70284515</v>
      </c>
      <c r="X21" s="148">
        <v>0</v>
      </c>
      <c r="Y21" s="150">
        <v>0</v>
      </c>
      <c r="Z21" s="148">
        <v>70284515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1676700000</v>
      </c>
      <c r="N22" s="148"/>
      <c r="O22" s="148"/>
      <c r="P22" s="148">
        <v>700000000</v>
      </c>
      <c r="Q22" s="148"/>
      <c r="R22" s="148"/>
      <c r="S22" s="148">
        <v>2376700000</v>
      </c>
      <c r="T22" s="148">
        <v>1881670122</v>
      </c>
      <c r="U22" s="148">
        <v>495029878</v>
      </c>
      <c r="V22" s="150">
        <v>0.79171545504270624</v>
      </c>
      <c r="W22" s="148">
        <v>1881603361</v>
      </c>
      <c r="X22" s="148">
        <v>66761</v>
      </c>
      <c r="Y22" s="150">
        <v>3.5479651411502827E-5</v>
      </c>
      <c r="Z22" s="148">
        <v>1881603361</v>
      </c>
      <c r="AA22" s="148">
        <v>0</v>
      </c>
      <c r="AB22" s="150">
        <v>0.99996452034858851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52000000</v>
      </c>
      <c r="N23" s="148"/>
      <c r="O23" s="148"/>
      <c r="P23" s="148"/>
      <c r="Q23" s="148">
        <v>20000000</v>
      </c>
      <c r="R23" s="148"/>
      <c r="S23" s="148">
        <v>32000000</v>
      </c>
      <c r="T23" s="148">
        <v>24456036</v>
      </c>
      <c r="U23" s="148">
        <v>7543964</v>
      </c>
      <c r="V23" s="150">
        <v>0.76425112500000003</v>
      </c>
      <c r="W23" s="148">
        <v>24427648</v>
      </c>
      <c r="X23" s="148">
        <v>28388</v>
      </c>
      <c r="Y23" s="150">
        <v>1.1607768323533708E-3</v>
      </c>
      <c r="Z23" s="148">
        <v>24427648</v>
      </c>
      <c r="AA23" s="148">
        <v>0</v>
      </c>
      <c r="AB23" s="150">
        <v>0.99883922316764662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28758000000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28758000000</v>
      </c>
      <c r="T24" s="135">
        <v>21748281000</v>
      </c>
      <c r="U24" s="135">
        <v>7009719000</v>
      </c>
      <c r="V24" s="137">
        <v>0.75625151262257462</v>
      </c>
      <c r="W24" s="135">
        <v>19997963590</v>
      </c>
      <c r="X24" s="135">
        <v>1750317410</v>
      </c>
      <c r="Y24" s="137">
        <v>8.0480724430588332E-2</v>
      </c>
      <c r="Z24" s="135">
        <v>19997963590</v>
      </c>
      <c r="AA24" s="136">
        <v>0</v>
      </c>
      <c r="AB24" s="723">
        <v>0.91951927556941171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7690200000</v>
      </c>
      <c r="N25" s="148"/>
      <c r="O25" s="148"/>
      <c r="P25" s="148"/>
      <c r="Q25" s="148"/>
      <c r="R25" s="148"/>
      <c r="S25" s="148">
        <v>7690200000</v>
      </c>
      <c r="T25" s="148">
        <v>5987186700</v>
      </c>
      <c r="U25" s="148">
        <v>1703013300</v>
      </c>
      <c r="V25" s="150">
        <v>0.77854759304049315</v>
      </c>
      <c r="W25" s="148">
        <v>5987186700</v>
      </c>
      <c r="X25" s="148">
        <v>0</v>
      </c>
      <c r="Y25" s="150">
        <v>0</v>
      </c>
      <c r="Z25" s="148">
        <v>5987186700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5447200000</v>
      </c>
      <c r="N26" s="148"/>
      <c r="O26" s="148"/>
      <c r="P26" s="148"/>
      <c r="Q26" s="148"/>
      <c r="R26" s="148"/>
      <c r="S26" s="148">
        <v>5447200000</v>
      </c>
      <c r="T26" s="148">
        <v>4256406700</v>
      </c>
      <c r="U26" s="148">
        <v>1190793300</v>
      </c>
      <c r="V26" s="150">
        <v>0.78139350491995885</v>
      </c>
      <c r="W26" s="148">
        <v>4256406700</v>
      </c>
      <c r="X26" s="148">
        <v>0</v>
      </c>
      <c r="Y26" s="150">
        <v>0</v>
      </c>
      <c r="Z26" s="148">
        <v>4256406700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8895400000</v>
      </c>
      <c r="N27" s="148"/>
      <c r="O27" s="148"/>
      <c r="P27" s="148"/>
      <c r="Q27" s="148"/>
      <c r="R27" s="148"/>
      <c r="S27" s="148">
        <v>8895400000</v>
      </c>
      <c r="T27" s="148">
        <v>6200000000</v>
      </c>
      <c r="U27" s="148">
        <v>2695400000</v>
      </c>
      <c r="V27" s="150">
        <v>0.69698945522404843</v>
      </c>
      <c r="W27" s="148">
        <v>4449788790</v>
      </c>
      <c r="X27" s="148">
        <v>1750211210</v>
      </c>
      <c r="Y27" s="150">
        <v>0.28229213064516129</v>
      </c>
      <c r="Z27" s="148">
        <v>4449788790</v>
      </c>
      <c r="AA27" s="148">
        <v>0</v>
      </c>
      <c r="AB27" s="150">
        <v>0.71770786935483866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2732300000</v>
      </c>
      <c r="N28" s="148"/>
      <c r="O28" s="148"/>
      <c r="P28" s="148"/>
      <c r="Q28" s="148"/>
      <c r="R28" s="148"/>
      <c r="S28" s="148">
        <v>2732300000</v>
      </c>
      <c r="T28" s="148">
        <v>2160674900</v>
      </c>
      <c r="U28" s="148">
        <v>571625100</v>
      </c>
      <c r="V28" s="150">
        <v>0.79078977418292284</v>
      </c>
      <c r="W28" s="148">
        <v>2160674900</v>
      </c>
      <c r="X28" s="148">
        <v>0</v>
      </c>
      <c r="Y28" s="150">
        <v>0</v>
      </c>
      <c r="Z28" s="148">
        <v>2160674900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540000000</v>
      </c>
      <c r="N29" s="148"/>
      <c r="O29" s="148"/>
      <c r="P29" s="148"/>
      <c r="Q29" s="148"/>
      <c r="R29" s="148"/>
      <c r="S29" s="148">
        <v>540000000</v>
      </c>
      <c r="T29" s="148">
        <v>441441100</v>
      </c>
      <c r="U29" s="148">
        <v>98558900</v>
      </c>
      <c r="V29" s="150">
        <v>0.81748351851851853</v>
      </c>
      <c r="W29" s="148">
        <v>441441100</v>
      </c>
      <c r="X29" s="148">
        <v>0</v>
      </c>
      <c r="Y29" s="150">
        <v>0</v>
      </c>
      <c r="Z29" s="148">
        <v>441441100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2071700000</v>
      </c>
      <c r="N30" s="148"/>
      <c r="O30" s="148"/>
      <c r="P30" s="148"/>
      <c r="Q30" s="148"/>
      <c r="R30" s="148"/>
      <c r="S30" s="148">
        <v>2071700000</v>
      </c>
      <c r="T30" s="148">
        <v>1620706300</v>
      </c>
      <c r="U30" s="148">
        <v>450993700</v>
      </c>
      <c r="V30" s="150">
        <v>0.78230742868175895</v>
      </c>
      <c r="W30" s="148">
        <v>1620706300</v>
      </c>
      <c r="X30" s="148">
        <v>0</v>
      </c>
      <c r="Y30" s="150">
        <v>0</v>
      </c>
      <c r="Z30" s="148">
        <v>1620706300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345300000</v>
      </c>
      <c r="N31" s="148"/>
      <c r="O31" s="148"/>
      <c r="P31" s="148"/>
      <c r="Q31" s="148"/>
      <c r="R31" s="148"/>
      <c r="S31" s="148">
        <v>345300000</v>
      </c>
      <c r="T31" s="148">
        <v>270669700</v>
      </c>
      <c r="U31" s="148">
        <v>74630300</v>
      </c>
      <c r="V31" s="150">
        <v>0.78386823052418186</v>
      </c>
      <c r="W31" s="148">
        <v>270563500</v>
      </c>
      <c r="X31" s="148">
        <v>106200</v>
      </c>
      <c r="Y31" s="150">
        <v>3.9236013488026182E-4</v>
      </c>
      <c r="Z31" s="148">
        <v>270563500</v>
      </c>
      <c r="AA31" s="148">
        <v>0</v>
      </c>
      <c r="AB31" s="150">
        <v>0.99960763986511969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345300000</v>
      </c>
      <c r="N32" s="148"/>
      <c r="O32" s="148"/>
      <c r="P32" s="148"/>
      <c r="Q32" s="148"/>
      <c r="R32" s="148"/>
      <c r="S32" s="148">
        <v>345300000</v>
      </c>
      <c r="T32" s="148">
        <v>270563500</v>
      </c>
      <c r="U32" s="148">
        <v>74736500</v>
      </c>
      <c r="V32" s="150">
        <v>0.78356067187952505</v>
      </c>
      <c r="W32" s="148">
        <v>270563500</v>
      </c>
      <c r="X32" s="148">
        <v>0</v>
      </c>
      <c r="Y32" s="150">
        <v>0</v>
      </c>
      <c r="Z32" s="148">
        <v>270563500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690600000</v>
      </c>
      <c r="N33" s="148"/>
      <c r="O33" s="148"/>
      <c r="P33" s="148"/>
      <c r="Q33" s="148"/>
      <c r="R33" s="148"/>
      <c r="S33" s="148">
        <v>690600000</v>
      </c>
      <c r="T33" s="148">
        <v>540632100</v>
      </c>
      <c r="U33" s="148">
        <v>149967900</v>
      </c>
      <c r="V33" s="150">
        <v>0.78284404865334489</v>
      </c>
      <c r="W33" s="148">
        <v>540632100</v>
      </c>
      <c r="X33" s="148">
        <v>0</v>
      </c>
      <c r="Y33" s="150">
        <v>0</v>
      </c>
      <c r="Z33" s="148">
        <v>540632100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7153000000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7153000000</v>
      </c>
      <c r="T34" s="135">
        <v>6100333413</v>
      </c>
      <c r="U34" s="135">
        <v>1052666587</v>
      </c>
      <c r="V34" s="137">
        <v>0.85283565119530269</v>
      </c>
      <c r="W34" s="135">
        <v>6097348163</v>
      </c>
      <c r="X34" s="135">
        <v>2985250</v>
      </c>
      <c r="Y34" s="137">
        <v>4.8935849860900051E-4</v>
      </c>
      <c r="Z34" s="135">
        <v>6097348163</v>
      </c>
      <c r="AA34" s="136">
        <v>0</v>
      </c>
      <c r="AB34" s="723">
        <v>0.99951064150139102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3551000000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3551000000</v>
      </c>
      <c r="T35" s="141">
        <v>2961109437</v>
      </c>
      <c r="U35" s="141">
        <v>589890563</v>
      </c>
      <c r="V35" s="143">
        <v>0.83388043846803717</v>
      </c>
      <c r="W35" s="141">
        <v>2961002619</v>
      </c>
      <c r="X35" s="142">
        <v>106818</v>
      </c>
      <c r="Y35" s="143">
        <v>3.6073641407938276E-5</v>
      </c>
      <c r="Z35" s="141">
        <v>2961002619</v>
      </c>
      <c r="AA35" s="142">
        <v>0</v>
      </c>
      <c r="AB35" s="724">
        <v>0.9999639263585921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2801000000</v>
      </c>
      <c r="N36" s="148"/>
      <c r="O36" s="148"/>
      <c r="P36" s="148"/>
      <c r="Q36" s="148"/>
      <c r="R36" s="148"/>
      <c r="S36" s="148">
        <v>2801000000</v>
      </c>
      <c r="T36" s="148">
        <v>2441028149</v>
      </c>
      <c r="U36" s="148">
        <v>359971851</v>
      </c>
      <c r="V36" s="150">
        <v>0.87148452302749013</v>
      </c>
      <c r="W36" s="148">
        <v>2440930233</v>
      </c>
      <c r="X36" s="148">
        <v>97916</v>
      </c>
      <c r="Y36" s="150">
        <v>4.011260584607048E-5</v>
      </c>
      <c r="Z36" s="148">
        <v>2440930233</v>
      </c>
      <c r="AA36" s="148">
        <v>0</v>
      </c>
      <c r="AB36" s="150">
        <v>0.99995988739415398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400000000</v>
      </c>
      <c r="N37" s="148"/>
      <c r="O37" s="148"/>
      <c r="P37" s="148"/>
      <c r="Q37" s="148"/>
      <c r="R37" s="148"/>
      <c r="S37" s="148">
        <v>400000000</v>
      </c>
      <c r="T37" s="148">
        <v>290335790</v>
      </c>
      <c r="U37" s="148">
        <v>109664210</v>
      </c>
      <c r="V37" s="150">
        <v>0.72583947500000001</v>
      </c>
      <c r="W37" s="148">
        <v>290335790</v>
      </c>
      <c r="X37" s="148">
        <v>0</v>
      </c>
      <c r="Y37" s="150">
        <v>0</v>
      </c>
      <c r="Z37" s="148">
        <v>290335790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229745498</v>
      </c>
      <c r="U38" s="148">
        <v>120254502</v>
      </c>
      <c r="V38" s="150">
        <v>0.65641570857142861</v>
      </c>
      <c r="W38" s="148">
        <v>229736596</v>
      </c>
      <c r="X38" s="148">
        <v>8902</v>
      </c>
      <c r="Y38" s="150">
        <v>3.8747222807386636E-5</v>
      </c>
      <c r="Z38" s="148">
        <v>229736596</v>
      </c>
      <c r="AA38" s="148">
        <v>0</v>
      </c>
      <c r="AB38" s="150">
        <v>0.99996125277719261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2160000000</v>
      </c>
      <c r="N39" s="148"/>
      <c r="O39" s="148"/>
      <c r="P39" s="148"/>
      <c r="Q39" s="148"/>
      <c r="R39" s="148"/>
      <c r="S39" s="148">
        <v>2160000000</v>
      </c>
      <c r="T39" s="148">
        <v>2135302030</v>
      </c>
      <c r="U39" s="148">
        <v>24697970</v>
      </c>
      <c r="V39" s="150">
        <v>0.98856575462962959</v>
      </c>
      <c r="W39" s="148">
        <v>2135302030</v>
      </c>
      <c r="X39" s="148">
        <v>0</v>
      </c>
      <c r="Y39" s="150">
        <v>0</v>
      </c>
      <c r="Z39" s="148">
        <v>2135302030</v>
      </c>
      <c r="AA39" s="148">
        <v>0</v>
      </c>
      <c r="AB39" s="150">
        <v>1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3301339</v>
      </c>
      <c r="U40" s="148">
        <v>8698661</v>
      </c>
      <c r="V40" s="150">
        <v>0.27511158333333335</v>
      </c>
      <c r="W40" s="148">
        <v>3301339</v>
      </c>
      <c r="X40" s="148">
        <v>0</v>
      </c>
      <c r="Y40" s="150">
        <v>0</v>
      </c>
      <c r="Z40" s="148">
        <v>3301339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366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45" t="s">
        <v>74</v>
      </c>
      <c r="H41" s="145"/>
      <c r="I41" s="145"/>
      <c r="J41" s="145" t="s">
        <v>28</v>
      </c>
      <c r="K41" s="146" t="s">
        <v>29</v>
      </c>
      <c r="L41" s="147" t="s">
        <v>75</v>
      </c>
      <c r="M41" s="148">
        <v>30000000</v>
      </c>
      <c r="N41" s="148"/>
      <c r="O41" s="148"/>
      <c r="P41" s="148"/>
      <c r="Q41" s="148"/>
      <c r="R41" s="148"/>
      <c r="S41" s="148">
        <v>30000000</v>
      </c>
      <c r="T41" s="148">
        <v>0</v>
      </c>
      <c r="U41" s="148">
        <v>30000000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368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76</v>
      </c>
      <c r="H42" s="145"/>
      <c r="I42" s="145"/>
      <c r="J42" s="145" t="s">
        <v>28</v>
      </c>
      <c r="K42" s="146" t="s">
        <v>29</v>
      </c>
      <c r="L42" s="147" t="s">
        <v>77</v>
      </c>
      <c r="M42" s="148">
        <v>840000000</v>
      </c>
      <c r="N42" s="148"/>
      <c r="O42" s="148"/>
      <c r="P42" s="148"/>
      <c r="Q42" s="148"/>
      <c r="R42" s="148"/>
      <c r="S42" s="148">
        <v>840000000</v>
      </c>
      <c r="T42" s="148">
        <v>715748703</v>
      </c>
      <c r="U42" s="148">
        <v>124251297</v>
      </c>
      <c r="V42" s="150">
        <v>0.85208178928571432</v>
      </c>
      <c r="W42" s="148">
        <v>712870271</v>
      </c>
      <c r="X42" s="148">
        <v>2878432</v>
      </c>
      <c r="Y42" s="150">
        <v>4.0215678881921771E-3</v>
      </c>
      <c r="Z42" s="148">
        <v>712870271</v>
      </c>
      <c r="AA42" s="148">
        <v>0</v>
      </c>
      <c r="AB42" s="150">
        <v>0.99597843211180781</v>
      </c>
    </row>
    <row r="43" spans="1:28" ht="24.95" customHeight="1">
      <c r="A43" s="32" t="e">
        <v>#REF!</v>
      </c>
      <c r="B43" s="144" t="s">
        <v>370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78</v>
      </c>
      <c r="H43" s="145"/>
      <c r="I43" s="145"/>
      <c r="J43" s="145" t="s">
        <v>28</v>
      </c>
      <c r="K43" s="146" t="s">
        <v>29</v>
      </c>
      <c r="L43" s="147" t="s">
        <v>79</v>
      </c>
      <c r="M43" s="148">
        <v>560000000</v>
      </c>
      <c r="N43" s="148"/>
      <c r="O43" s="148"/>
      <c r="P43" s="148"/>
      <c r="Q43" s="148"/>
      <c r="R43" s="148"/>
      <c r="S43" s="148">
        <v>560000000</v>
      </c>
      <c r="T43" s="148">
        <v>284871904</v>
      </c>
      <c r="U43" s="148">
        <v>275128096</v>
      </c>
      <c r="V43" s="150">
        <v>0.50869982857142859</v>
      </c>
      <c r="W43" s="148">
        <v>284871904</v>
      </c>
      <c r="X43" s="148">
        <v>0</v>
      </c>
      <c r="Y43" s="150">
        <v>0</v>
      </c>
      <c r="Z43" s="148">
        <v>284871904</v>
      </c>
      <c r="AA43" s="148">
        <v>0</v>
      </c>
      <c r="AB43" s="150">
        <v>1</v>
      </c>
    </row>
    <row r="44" spans="1:28" ht="24" customHeight="1">
      <c r="A44" s="32" t="e">
        <v>#REF!</v>
      </c>
      <c r="B44" s="122" t="s">
        <v>372</v>
      </c>
      <c r="C44" s="123" t="s">
        <v>23</v>
      </c>
      <c r="D44" s="123" t="s">
        <v>54</v>
      </c>
      <c r="E44" s="123"/>
      <c r="F44" s="123"/>
      <c r="G44" s="123"/>
      <c r="H44" s="123"/>
      <c r="I44" s="123"/>
      <c r="J44" s="124"/>
      <c r="K44" s="124"/>
      <c r="L44" s="124" t="s">
        <v>80</v>
      </c>
      <c r="M44" s="125">
        <v>42289000000</v>
      </c>
      <c r="N44" s="719">
        <v>0</v>
      </c>
      <c r="O44" s="719">
        <v>0</v>
      </c>
      <c r="P44" s="725">
        <v>3100564891.1300001</v>
      </c>
      <c r="Q44" s="725">
        <v>3100564891.1300001</v>
      </c>
      <c r="R44" s="719">
        <v>0</v>
      </c>
      <c r="S44" s="125">
        <v>42289000000</v>
      </c>
      <c r="T44" s="125">
        <v>40293147164.169998</v>
      </c>
      <c r="U44" s="125">
        <v>1995852835.8299999</v>
      </c>
      <c r="V44" s="126">
        <v>0.95280444475324544</v>
      </c>
      <c r="W44" s="125">
        <v>32659781896.500004</v>
      </c>
      <c r="X44" s="125">
        <v>7633365267.6700001</v>
      </c>
      <c r="Y44" s="126">
        <v>0.18944574462175151</v>
      </c>
      <c r="Z44" s="125">
        <v>32312849567.500004</v>
      </c>
      <c r="AA44" s="125">
        <v>346932329</v>
      </c>
      <c r="AB44" s="720">
        <v>0.80194404859577861</v>
      </c>
    </row>
    <row r="45" spans="1:28" ht="24" customHeight="1">
      <c r="A45" s="32" t="e">
        <v>#REF!</v>
      </c>
      <c r="B45" s="127" t="s">
        <v>377</v>
      </c>
      <c r="C45" s="128" t="s">
        <v>23</v>
      </c>
      <c r="D45" s="128" t="s">
        <v>54</v>
      </c>
      <c r="E45" s="128" t="s">
        <v>54</v>
      </c>
      <c r="F45" s="128"/>
      <c r="G45" s="128"/>
      <c r="H45" s="128"/>
      <c r="I45" s="128"/>
      <c r="J45" s="129"/>
      <c r="K45" s="129"/>
      <c r="L45" s="129" t="s">
        <v>86</v>
      </c>
      <c r="M45" s="130">
        <v>42289000000</v>
      </c>
      <c r="N45" s="721">
        <v>0</v>
      </c>
      <c r="O45" s="721">
        <v>0</v>
      </c>
      <c r="P45" s="726">
        <v>3100564891.1300001</v>
      </c>
      <c r="Q45" s="726">
        <v>3100564891.1300001</v>
      </c>
      <c r="R45" s="721">
        <v>0</v>
      </c>
      <c r="S45" s="130">
        <v>42289000000</v>
      </c>
      <c r="T45" s="130">
        <v>40293147164.169998</v>
      </c>
      <c r="U45" s="130">
        <v>1995852835.8299999</v>
      </c>
      <c r="V45" s="131">
        <v>0.95280444475324544</v>
      </c>
      <c r="W45" s="130">
        <v>32659781896.500004</v>
      </c>
      <c r="X45" s="130">
        <v>7633365267.6700001</v>
      </c>
      <c r="Y45" s="131">
        <v>0.18944574462175151</v>
      </c>
      <c r="Z45" s="130">
        <v>32312849567.500004</v>
      </c>
      <c r="AA45" s="130">
        <v>346932329</v>
      </c>
      <c r="AB45" s="722">
        <v>0.80194404859577861</v>
      </c>
    </row>
    <row r="46" spans="1:28" ht="24.95" customHeight="1">
      <c r="A46" s="32" t="e">
        <v>#REF!</v>
      </c>
      <c r="B46" s="132" t="s">
        <v>379</v>
      </c>
      <c r="C46" s="133" t="s">
        <v>23</v>
      </c>
      <c r="D46" s="133" t="s">
        <v>54</v>
      </c>
      <c r="E46" s="133" t="s">
        <v>54</v>
      </c>
      <c r="F46" s="133" t="s">
        <v>25</v>
      </c>
      <c r="G46" s="133"/>
      <c r="H46" s="134"/>
      <c r="I46" s="134"/>
      <c r="J46" s="133" t="s">
        <v>28</v>
      </c>
      <c r="K46" s="134" t="s">
        <v>29</v>
      </c>
      <c r="L46" s="134" t="s">
        <v>87</v>
      </c>
      <c r="M46" s="135">
        <v>655883077</v>
      </c>
      <c r="N46" s="136">
        <v>0</v>
      </c>
      <c r="O46" s="136">
        <v>0</v>
      </c>
      <c r="P46" s="727">
        <v>96448916</v>
      </c>
      <c r="Q46" s="727">
        <v>257329943</v>
      </c>
      <c r="R46" s="136">
        <v>0</v>
      </c>
      <c r="S46" s="135">
        <v>495002050</v>
      </c>
      <c r="T46" s="135">
        <v>396019563.05000001</v>
      </c>
      <c r="U46" s="135">
        <v>98982486.950000003</v>
      </c>
      <c r="V46" s="137">
        <v>0.8000362080318657</v>
      </c>
      <c r="W46" s="135">
        <v>248176799.58000001</v>
      </c>
      <c r="X46" s="135">
        <v>147842763.47</v>
      </c>
      <c r="Y46" s="137">
        <v>0.37332186907982096</v>
      </c>
      <c r="Z46" s="135">
        <v>248176799.58000001</v>
      </c>
      <c r="AA46" s="135">
        <v>0</v>
      </c>
      <c r="AB46" s="723">
        <v>0.6266781309201791</v>
      </c>
    </row>
    <row r="47" spans="1:28" ht="24.95" customHeight="1">
      <c r="A47" s="32" t="e">
        <v>#REF!</v>
      </c>
      <c r="B47" s="138" t="s">
        <v>381</v>
      </c>
      <c r="C47" s="139" t="s">
        <v>23</v>
      </c>
      <c r="D47" s="139" t="s">
        <v>54</v>
      </c>
      <c r="E47" s="139" t="s">
        <v>54</v>
      </c>
      <c r="F47" s="139" t="s">
        <v>25</v>
      </c>
      <c r="G47" s="139" t="s">
        <v>31</v>
      </c>
      <c r="H47" s="140"/>
      <c r="I47" s="140"/>
      <c r="J47" s="139" t="s">
        <v>28</v>
      </c>
      <c r="K47" s="140" t="s">
        <v>29</v>
      </c>
      <c r="L47" s="140" t="s">
        <v>88</v>
      </c>
      <c r="M47" s="141">
        <v>23000000</v>
      </c>
      <c r="N47" s="142">
        <v>0</v>
      </c>
      <c r="O47" s="142">
        <v>0</v>
      </c>
      <c r="P47" s="728">
        <v>6000000</v>
      </c>
      <c r="Q47" s="728">
        <v>7000000</v>
      </c>
      <c r="R47" s="142">
        <v>0</v>
      </c>
      <c r="S47" s="141">
        <v>22000000</v>
      </c>
      <c r="T47" s="141">
        <v>22000000</v>
      </c>
      <c r="U47" s="141">
        <v>0</v>
      </c>
      <c r="V47" s="143">
        <v>1</v>
      </c>
      <c r="W47" s="141">
        <v>5379460</v>
      </c>
      <c r="X47" s="141">
        <v>16620540</v>
      </c>
      <c r="Y47" s="143">
        <v>0.75547909090909093</v>
      </c>
      <c r="Z47" s="141">
        <v>5379460</v>
      </c>
      <c r="AA47" s="141">
        <v>0</v>
      </c>
      <c r="AB47" s="724">
        <v>0.24452090909090909</v>
      </c>
    </row>
    <row r="48" spans="1:28" ht="24.95" customHeight="1">
      <c r="A48" s="32" t="e">
        <v>#REF!</v>
      </c>
      <c r="B48" s="144" t="s">
        <v>555</v>
      </c>
      <c r="C48" s="145" t="s">
        <v>23</v>
      </c>
      <c r="D48" s="145" t="s">
        <v>54</v>
      </c>
      <c r="E48" s="145" t="s">
        <v>54</v>
      </c>
      <c r="F48" s="145" t="s">
        <v>25</v>
      </c>
      <c r="G48" s="145" t="s">
        <v>31</v>
      </c>
      <c r="H48" s="145" t="s">
        <v>40</v>
      </c>
      <c r="I48" s="145"/>
      <c r="J48" s="145">
        <v>10</v>
      </c>
      <c r="K48" s="146" t="s">
        <v>29</v>
      </c>
      <c r="L48" s="147" t="s">
        <v>89</v>
      </c>
      <c r="M48" s="148">
        <v>11000000</v>
      </c>
      <c r="N48" s="148"/>
      <c r="O48" s="148"/>
      <c r="P48" s="148"/>
      <c r="Q48" s="148"/>
      <c r="R48" s="148"/>
      <c r="S48" s="148">
        <v>11000000</v>
      </c>
      <c r="T48" s="148">
        <v>11000000</v>
      </c>
      <c r="U48" s="148">
        <v>0</v>
      </c>
      <c r="V48" s="150">
        <v>1</v>
      </c>
      <c r="W48" s="148">
        <v>5379460</v>
      </c>
      <c r="X48" s="148">
        <v>5620540</v>
      </c>
      <c r="Y48" s="150">
        <v>0.51095818181818187</v>
      </c>
      <c r="Z48" s="148">
        <v>5379460</v>
      </c>
      <c r="AA48" s="148">
        <v>0</v>
      </c>
      <c r="AB48" s="150">
        <v>0.48904181818181819</v>
      </c>
    </row>
    <row r="49" spans="1:28" ht="24.95" customHeight="1">
      <c r="A49" s="32" t="e">
        <v>#REF!</v>
      </c>
      <c r="B49" s="144" t="s">
        <v>557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44</v>
      </c>
      <c r="I49" s="145"/>
      <c r="J49" s="145">
        <v>10</v>
      </c>
      <c r="K49" s="146" t="s">
        <v>29</v>
      </c>
      <c r="L49" s="147" t="s">
        <v>90</v>
      </c>
      <c r="M49" s="148">
        <v>12000000</v>
      </c>
      <c r="N49" s="148"/>
      <c r="O49" s="148"/>
      <c r="P49" s="149">
        <v>6000000</v>
      </c>
      <c r="Q49" s="148">
        <v>7000000</v>
      </c>
      <c r="R49" s="148"/>
      <c r="S49" s="148">
        <v>11000000</v>
      </c>
      <c r="T49" s="148">
        <v>11000000</v>
      </c>
      <c r="U49" s="148">
        <v>0</v>
      </c>
      <c r="V49" s="150">
        <v>1</v>
      </c>
      <c r="W49" s="148">
        <v>0</v>
      </c>
      <c r="X49" s="148">
        <v>11000000</v>
      </c>
      <c r="Y49" s="150">
        <v>1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38" t="s">
        <v>383</v>
      </c>
      <c r="C50" s="139" t="s">
        <v>23</v>
      </c>
      <c r="D50" s="139" t="s">
        <v>54</v>
      </c>
      <c r="E50" s="139" t="s">
        <v>54</v>
      </c>
      <c r="F50" s="139" t="s">
        <v>25</v>
      </c>
      <c r="G50" s="139" t="s">
        <v>34</v>
      </c>
      <c r="H50" s="140"/>
      <c r="I50" s="140"/>
      <c r="J50" s="139" t="s">
        <v>28</v>
      </c>
      <c r="K50" s="140" t="s">
        <v>29</v>
      </c>
      <c r="L50" s="140" t="s">
        <v>91</v>
      </c>
      <c r="M50" s="141">
        <v>141060000</v>
      </c>
      <c r="N50" s="142">
        <v>0</v>
      </c>
      <c r="O50" s="142">
        <v>0</v>
      </c>
      <c r="P50" s="141">
        <v>1000000</v>
      </c>
      <c r="Q50" s="142">
        <v>77519115</v>
      </c>
      <c r="R50" s="142">
        <v>0</v>
      </c>
      <c r="S50" s="141">
        <v>64540885</v>
      </c>
      <c r="T50" s="141">
        <v>63540884.75</v>
      </c>
      <c r="U50" s="141">
        <v>1000000.25</v>
      </c>
      <c r="V50" s="143">
        <v>0.98450594146640535</v>
      </c>
      <c r="W50" s="142">
        <v>0</v>
      </c>
      <c r="X50" s="142">
        <v>63540884.75</v>
      </c>
      <c r="Y50" s="143">
        <v>1</v>
      </c>
      <c r="Z50" s="142">
        <v>0</v>
      </c>
      <c r="AA50" s="142">
        <v>0</v>
      </c>
      <c r="AB50" s="724">
        <v>0</v>
      </c>
    </row>
    <row r="51" spans="1:28" ht="24.95" customHeight="1">
      <c r="A51" s="32" t="e">
        <v>#REF!</v>
      </c>
      <c r="B51" s="144" t="s">
        <v>559</v>
      </c>
      <c r="C51" s="145" t="s">
        <v>23</v>
      </c>
      <c r="D51" s="145" t="s">
        <v>54</v>
      </c>
      <c r="E51" s="145" t="s">
        <v>54</v>
      </c>
      <c r="F51" s="145" t="s">
        <v>25</v>
      </c>
      <c r="G51" s="145" t="s">
        <v>34</v>
      </c>
      <c r="H51" s="145" t="s">
        <v>46</v>
      </c>
      <c r="I51" s="145"/>
      <c r="J51" s="145">
        <v>10</v>
      </c>
      <c r="K51" s="146" t="s">
        <v>29</v>
      </c>
      <c r="L51" s="147" t="s">
        <v>92</v>
      </c>
      <c r="M51" s="148">
        <v>141060000</v>
      </c>
      <c r="N51" s="148"/>
      <c r="O51" s="148"/>
      <c r="P51" s="149">
        <v>1000000</v>
      </c>
      <c r="Q51" s="148">
        <v>77519115</v>
      </c>
      <c r="R51" s="148"/>
      <c r="S51" s="148">
        <v>64540885</v>
      </c>
      <c r="T51" s="148">
        <v>63540884.75</v>
      </c>
      <c r="U51" s="148">
        <v>1000000.25</v>
      </c>
      <c r="V51" s="150">
        <v>0.98450594146640535</v>
      </c>
      <c r="W51" s="148">
        <v>0</v>
      </c>
      <c r="X51" s="148">
        <v>63540884.75</v>
      </c>
      <c r="Y51" s="150">
        <v>1</v>
      </c>
      <c r="Z51" s="148">
        <v>0</v>
      </c>
      <c r="AA51" s="148">
        <v>0</v>
      </c>
      <c r="AB51" s="150">
        <v>0</v>
      </c>
    </row>
    <row r="52" spans="1:28" ht="24.95" customHeight="1">
      <c r="A52" s="32" t="e">
        <v>#REF!</v>
      </c>
      <c r="B52" s="138" t="s">
        <v>385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36</v>
      </c>
      <c r="H52" s="140"/>
      <c r="I52" s="140"/>
      <c r="J52" s="139" t="s">
        <v>28</v>
      </c>
      <c r="K52" s="140" t="s">
        <v>29</v>
      </c>
      <c r="L52" s="140" t="s">
        <v>93</v>
      </c>
      <c r="M52" s="141">
        <v>418823077</v>
      </c>
      <c r="N52" s="142">
        <v>0</v>
      </c>
      <c r="O52" s="142">
        <v>0</v>
      </c>
      <c r="P52" s="141">
        <v>0</v>
      </c>
      <c r="Q52" s="141">
        <v>135810828</v>
      </c>
      <c r="R52" s="142">
        <v>0</v>
      </c>
      <c r="S52" s="141">
        <v>283012249</v>
      </c>
      <c r="T52" s="141">
        <v>259012248.30000001</v>
      </c>
      <c r="U52" s="141">
        <v>24000000.700000003</v>
      </c>
      <c r="V52" s="143">
        <v>0.91519801427393344</v>
      </c>
      <c r="W52" s="141">
        <v>218015970.58000001</v>
      </c>
      <c r="X52" s="141">
        <v>40996277.719999999</v>
      </c>
      <c r="Y52" s="143">
        <v>0.1582793014194302</v>
      </c>
      <c r="Z52" s="141">
        <v>218015970.58000001</v>
      </c>
      <c r="AA52" s="142">
        <v>0</v>
      </c>
      <c r="AB52" s="724">
        <v>0.84172069858056975</v>
      </c>
    </row>
    <row r="53" spans="1:28" ht="24.95" customHeight="1">
      <c r="A53" s="32" t="e">
        <v>#REF!</v>
      </c>
      <c r="B53" s="144" t="s">
        <v>561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36</v>
      </c>
      <c r="H53" s="145" t="s">
        <v>34</v>
      </c>
      <c r="I53" s="145"/>
      <c r="J53" s="145">
        <v>10</v>
      </c>
      <c r="K53" s="146" t="s">
        <v>29</v>
      </c>
      <c r="L53" s="147" t="s">
        <v>94</v>
      </c>
      <c r="M53" s="148">
        <v>195500000</v>
      </c>
      <c r="N53" s="148"/>
      <c r="O53" s="148"/>
      <c r="P53" s="148"/>
      <c r="Q53" s="148">
        <v>70486788</v>
      </c>
      <c r="R53" s="148"/>
      <c r="S53" s="148">
        <v>125013212</v>
      </c>
      <c r="T53" s="148">
        <v>123013211.3</v>
      </c>
      <c r="U53" s="148">
        <v>2000000.700000003</v>
      </c>
      <c r="V53" s="150">
        <v>0.98400168535786436</v>
      </c>
      <c r="W53" s="148">
        <v>120983005.20999999</v>
      </c>
      <c r="X53" s="148">
        <v>2030206.0900000036</v>
      </c>
      <c r="Y53" s="150">
        <v>1.6503967895357297E-2</v>
      </c>
      <c r="Z53" s="148">
        <v>120983005.20999999</v>
      </c>
      <c r="AA53" s="148">
        <v>0</v>
      </c>
      <c r="AB53" s="150">
        <v>0.98349603210464265</v>
      </c>
    </row>
    <row r="54" spans="1:28" ht="24.95" customHeight="1">
      <c r="A54" s="32" t="e">
        <v>#REF!</v>
      </c>
      <c r="B54" s="144" t="s">
        <v>563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36</v>
      </c>
      <c r="I54" s="145"/>
      <c r="J54" s="145">
        <v>10</v>
      </c>
      <c r="K54" s="146" t="s">
        <v>29</v>
      </c>
      <c r="L54" s="147" t="s">
        <v>95</v>
      </c>
      <c r="M54" s="148">
        <v>84823077</v>
      </c>
      <c r="N54" s="148"/>
      <c r="O54" s="148"/>
      <c r="P54" s="148"/>
      <c r="Q54" s="148">
        <v>27312495</v>
      </c>
      <c r="R54" s="148"/>
      <c r="S54" s="148">
        <v>57510582</v>
      </c>
      <c r="T54" s="148">
        <v>57510582</v>
      </c>
      <c r="U54" s="148">
        <v>0</v>
      </c>
      <c r="V54" s="150">
        <v>1</v>
      </c>
      <c r="W54" s="148">
        <v>40301820.149999999</v>
      </c>
      <c r="X54" s="148">
        <v>17208761.850000001</v>
      </c>
      <c r="Y54" s="150">
        <v>0.29922774646933675</v>
      </c>
      <c r="Z54" s="148">
        <v>40301820.149999999</v>
      </c>
      <c r="AA54" s="148">
        <v>0</v>
      </c>
      <c r="AB54" s="150">
        <v>0.7007722535306633</v>
      </c>
    </row>
    <row r="55" spans="1:28" ht="24.95" customHeight="1">
      <c r="A55" s="32" t="e">
        <v>#REF!</v>
      </c>
      <c r="B55" s="144" t="s">
        <v>565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40</v>
      </c>
      <c r="I55" s="145"/>
      <c r="J55" s="145">
        <v>10</v>
      </c>
      <c r="K55" s="146" t="s">
        <v>29</v>
      </c>
      <c r="L55" s="147" t="s">
        <v>96</v>
      </c>
      <c r="M55" s="148">
        <v>26000000</v>
      </c>
      <c r="N55" s="148"/>
      <c r="O55" s="148"/>
      <c r="P55" s="148"/>
      <c r="Q55" s="148"/>
      <c r="R55" s="148"/>
      <c r="S55" s="148">
        <v>26000000</v>
      </c>
      <c r="T55" s="148">
        <v>6000000</v>
      </c>
      <c r="U55" s="148">
        <v>20000000</v>
      </c>
      <c r="V55" s="150">
        <v>0.23076923076923078</v>
      </c>
      <c r="W55" s="148">
        <v>3670236.02</v>
      </c>
      <c r="X55" s="148">
        <v>2329763.98</v>
      </c>
      <c r="Y55" s="150">
        <v>0.38829399666666664</v>
      </c>
      <c r="Z55" s="148">
        <v>3670236.02</v>
      </c>
      <c r="AA55" s="148">
        <v>0</v>
      </c>
      <c r="AB55" s="150">
        <v>0.61170600333333336</v>
      </c>
    </row>
    <row r="56" spans="1:28" ht="24.95" customHeight="1">
      <c r="A56" s="32" t="e">
        <v>#REF!</v>
      </c>
      <c r="B56" s="144" t="s">
        <v>567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42</v>
      </c>
      <c r="I56" s="145"/>
      <c r="J56" s="145">
        <v>10</v>
      </c>
      <c r="K56" s="146" t="s">
        <v>29</v>
      </c>
      <c r="L56" s="147" t="s">
        <v>97</v>
      </c>
      <c r="M56" s="148">
        <v>20000000</v>
      </c>
      <c r="N56" s="148"/>
      <c r="O56" s="148"/>
      <c r="P56" s="148"/>
      <c r="Q56" s="148"/>
      <c r="R56" s="148"/>
      <c r="S56" s="148">
        <v>20000000</v>
      </c>
      <c r="T56" s="148">
        <v>20000000</v>
      </c>
      <c r="U56" s="148">
        <v>0</v>
      </c>
      <c r="V56" s="150">
        <v>1</v>
      </c>
      <c r="W56" s="148">
        <v>11935056.109999999</v>
      </c>
      <c r="X56" s="148">
        <v>8064943.8900000006</v>
      </c>
      <c r="Y56" s="150">
        <v>0.40324719450000002</v>
      </c>
      <c r="Z56" s="148">
        <v>11935056.109999999</v>
      </c>
      <c r="AA56" s="148">
        <v>0</v>
      </c>
      <c r="AB56" s="150">
        <v>0.59675280549999998</v>
      </c>
    </row>
    <row r="57" spans="1:28" ht="24.95" hidden="1" customHeight="1">
      <c r="A57" s="32" t="e">
        <v>#REF!</v>
      </c>
      <c r="B57" s="144" t="s">
        <v>569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44</v>
      </c>
      <c r="I57" s="145"/>
      <c r="J57" s="145">
        <v>10</v>
      </c>
      <c r="K57" s="146" t="s">
        <v>29</v>
      </c>
      <c r="L57" s="147" t="s">
        <v>98</v>
      </c>
      <c r="M57" s="148"/>
      <c r="N57" s="148"/>
      <c r="O57" s="148"/>
      <c r="P57" s="148"/>
      <c r="Q57" s="148"/>
      <c r="R57" s="148"/>
      <c r="S57" s="148">
        <v>0</v>
      </c>
      <c r="T57" s="148">
        <v>0</v>
      </c>
      <c r="U57" s="148">
        <v>0</v>
      </c>
      <c r="V57" s="150">
        <v>0</v>
      </c>
      <c r="W57" s="148">
        <v>0</v>
      </c>
      <c r="X57" s="148">
        <v>0</v>
      </c>
      <c r="Y57" s="150">
        <v>0</v>
      </c>
      <c r="Z57" s="148">
        <v>0</v>
      </c>
      <c r="AA57" s="148">
        <v>0</v>
      </c>
      <c r="AB57" s="150">
        <v>0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92500000</v>
      </c>
      <c r="N58" s="148"/>
      <c r="O58" s="148"/>
      <c r="P58" s="148"/>
      <c r="Q58" s="148">
        <v>38011545</v>
      </c>
      <c r="R58" s="148"/>
      <c r="S58" s="148">
        <v>54488455</v>
      </c>
      <c r="T58" s="148">
        <v>52488455</v>
      </c>
      <c r="U58" s="148">
        <v>2000000</v>
      </c>
      <c r="V58" s="150">
        <v>0.96329497689005861</v>
      </c>
      <c r="W58" s="148">
        <v>41125853.090000004</v>
      </c>
      <c r="X58" s="148">
        <v>11362601.909999996</v>
      </c>
      <c r="Y58" s="150">
        <v>0.21647811714023582</v>
      </c>
      <c r="Z58" s="148">
        <v>41125853.090000004</v>
      </c>
      <c r="AA58" s="148">
        <v>0</v>
      </c>
      <c r="AB58" s="150">
        <v>0.78352188285976421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73000000</v>
      </c>
      <c r="N59" s="142">
        <v>0</v>
      </c>
      <c r="O59" s="142">
        <v>0</v>
      </c>
      <c r="P59" s="141">
        <v>89448916</v>
      </c>
      <c r="Q59" s="141">
        <v>37000000</v>
      </c>
      <c r="R59" s="142">
        <v>0</v>
      </c>
      <c r="S59" s="141">
        <v>125448916</v>
      </c>
      <c r="T59" s="141">
        <v>51466430</v>
      </c>
      <c r="U59" s="141">
        <v>73982486</v>
      </c>
      <c r="V59" s="143">
        <v>0.41025806871061365</v>
      </c>
      <c r="W59" s="141">
        <v>24781369</v>
      </c>
      <c r="X59" s="141">
        <v>26685061</v>
      </c>
      <c r="Y59" s="143">
        <v>0.51849450214440751</v>
      </c>
      <c r="Z59" s="141">
        <v>24781369</v>
      </c>
      <c r="AA59" s="142">
        <v>0</v>
      </c>
      <c r="AB59" s="724">
        <v>0.48150549785559249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/>
      <c r="N60" s="148"/>
      <c r="O60" s="148"/>
      <c r="P60" s="149">
        <v>23000000</v>
      </c>
      <c r="Q60" s="148"/>
      <c r="R60" s="148"/>
      <c r="S60" s="148">
        <v>23000000</v>
      </c>
      <c r="T60" s="148">
        <v>23000000</v>
      </c>
      <c r="U60" s="148">
        <v>0</v>
      </c>
      <c r="V60" s="150">
        <v>1</v>
      </c>
      <c r="W60" s="148">
        <v>9314939</v>
      </c>
      <c r="X60" s="148">
        <v>13685061</v>
      </c>
      <c r="Y60" s="150">
        <v>0.59500265217391302</v>
      </c>
      <c r="Z60" s="148">
        <v>9314939</v>
      </c>
      <c r="AA60" s="148">
        <v>0</v>
      </c>
      <c r="AB60" s="150">
        <v>0.40499734782608698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>
        <v>9000000</v>
      </c>
      <c r="R61" s="148"/>
      <c r="S61" s="148">
        <v>1000000</v>
      </c>
      <c r="T61" s="148">
        <v>0</v>
      </c>
      <c r="U61" s="148">
        <v>1000000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28000000</v>
      </c>
      <c r="N62" s="148"/>
      <c r="O62" s="148"/>
      <c r="P62" s="148"/>
      <c r="Q62" s="148">
        <v>20000000</v>
      </c>
      <c r="R62" s="148"/>
      <c r="S62" s="148">
        <v>8000000</v>
      </c>
      <c r="T62" s="148">
        <v>8000000</v>
      </c>
      <c r="U62" s="148">
        <v>0</v>
      </c>
      <c r="V62" s="150">
        <v>1</v>
      </c>
      <c r="W62" s="148">
        <v>0</v>
      </c>
      <c r="X62" s="148">
        <v>8000000</v>
      </c>
      <c r="Y62" s="150">
        <v>1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35000000</v>
      </c>
      <c r="N63" s="148"/>
      <c r="O63" s="148"/>
      <c r="P63" s="149">
        <v>66448916</v>
      </c>
      <c r="Q63" s="148">
        <v>8000000</v>
      </c>
      <c r="R63" s="148"/>
      <c r="S63" s="148">
        <v>93448916</v>
      </c>
      <c r="T63" s="148">
        <v>20466430</v>
      </c>
      <c r="U63" s="148">
        <v>72982486</v>
      </c>
      <c r="V63" s="150">
        <v>0.21901195729226008</v>
      </c>
      <c r="W63" s="148">
        <v>15466430</v>
      </c>
      <c r="X63" s="148">
        <v>5000000</v>
      </c>
      <c r="Y63" s="150">
        <v>0.24430249926342795</v>
      </c>
      <c r="Z63" s="148">
        <v>15466430</v>
      </c>
      <c r="AA63" s="148">
        <v>0</v>
      </c>
      <c r="AB63" s="150">
        <v>0.75569750073657205</v>
      </c>
    </row>
    <row r="64" spans="1:28" ht="24.95" hidden="1" customHeight="1">
      <c r="A64" s="32" t="e">
        <v>#REF!</v>
      </c>
      <c r="B64" s="32"/>
      <c r="C64" s="145" t="s">
        <v>23</v>
      </c>
      <c r="D64" s="145" t="s">
        <v>54</v>
      </c>
      <c r="E64" s="145" t="s">
        <v>54</v>
      </c>
      <c r="F64" s="145" t="s">
        <v>25</v>
      </c>
      <c r="G64" s="145" t="s">
        <v>38</v>
      </c>
      <c r="H64" s="145" t="s">
        <v>46</v>
      </c>
      <c r="I64" s="145"/>
      <c r="J64" s="145">
        <v>10</v>
      </c>
      <c r="K64" s="146" t="s">
        <v>29</v>
      </c>
      <c r="L64" s="147" t="s">
        <v>258</v>
      </c>
      <c r="M64" s="148"/>
      <c r="N64" s="148"/>
      <c r="O64" s="148"/>
      <c r="P64" s="148"/>
      <c r="Q64" s="148"/>
      <c r="R64" s="148"/>
      <c r="S64" s="148">
        <v>0</v>
      </c>
      <c r="T64" s="148">
        <v>0</v>
      </c>
      <c r="U64" s="148">
        <v>0</v>
      </c>
      <c r="V64" s="150">
        <v>0</v>
      </c>
      <c r="W64" s="148">
        <v>0</v>
      </c>
      <c r="X64" s="148">
        <v>0</v>
      </c>
      <c r="Y64" s="150">
        <v>0</v>
      </c>
      <c r="Z64" s="148">
        <v>0</v>
      </c>
      <c r="AA64" s="148">
        <v>0</v>
      </c>
      <c r="AB64" s="150">
        <v>0</v>
      </c>
    </row>
    <row r="65" spans="1:28" ht="24.95" customHeight="1">
      <c r="A65" s="32" t="e">
        <v>#REF!</v>
      </c>
      <c r="B65" s="132" t="s">
        <v>389</v>
      </c>
      <c r="C65" s="133" t="s">
        <v>23</v>
      </c>
      <c r="D65" s="133" t="s">
        <v>54</v>
      </c>
      <c r="E65" s="133" t="s">
        <v>54</v>
      </c>
      <c r="F65" s="133" t="s">
        <v>54</v>
      </c>
      <c r="G65" s="133"/>
      <c r="H65" s="134"/>
      <c r="I65" s="134"/>
      <c r="J65" s="133" t="s">
        <v>28</v>
      </c>
      <c r="K65" s="134" t="s">
        <v>29</v>
      </c>
      <c r="L65" s="134" t="s">
        <v>103</v>
      </c>
      <c r="M65" s="135">
        <v>41633116923</v>
      </c>
      <c r="N65" s="136">
        <v>0</v>
      </c>
      <c r="O65" s="136">
        <v>0</v>
      </c>
      <c r="P65" s="727">
        <v>3004115975.1300001</v>
      </c>
      <c r="Q65" s="727">
        <v>2843234948.1300001</v>
      </c>
      <c r="R65" s="136">
        <v>0</v>
      </c>
      <c r="S65" s="135">
        <v>41793997950</v>
      </c>
      <c r="T65" s="135">
        <v>39897127601.119995</v>
      </c>
      <c r="U65" s="135">
        <v>1896870348.8799999</v>
      </c>
      <c r="V65" s="137">
        <v>0.95461380959176689</v>
      </c>
      <c r="W65" s="135">
        <v>32411605096.920002</v>
      </c>
      <c r="X65" s="135">
        <v>7485522504.1999998</v>
      </c>
      <c r="Y65" s="137">
        <v>0.18762058710186108</v>
      </c>
      <c r="Z65" s="135">
        <v>32064672767.920002</v>
      </c>
      <c r="AA65" s="135">
        <v>346932329</v>
      </c>
      <c r="AB65" s="723">
        <v>0.80368374105758633</v>
      </c>
    </row>
    <row r="66" spans="1:28" ht="31.5" customHeight="1">
      <c r="A66" s="32" t="e">
        <v>#REF!</v>
      </c>
      <c r="B66" s="138" t="s">
        <v>391</v>
      </c>
      <c r="C66" s="139" t="s">
        <v>23</v>
      </c>
      <c r="D66" s="139" t="s">
        <v>54</v>
      </c>
      <c r="E66" s="139" t="s">
        <v>54</v>
      </c>
      <c r="F66" s="139" t="s">
        <v>54</v>
      </c>
      <c r="G66" s="139" t="s">
        <v>42</v>
      </c>
      <c r="H66" s="140"/>
      <c r="I66" s="140"/>
      <c r="J66" s="139" t="s">
        <v>28</v>
      </c>
      <c r="K66" s="140" t="s">
        <v>29</v>
      </c>
      <c r="L66" s="140" t="s">
        <v>104</v>
      </c>
      <c r="M66" s="141">
        <v>4648096573</v>
      </c>
      <c r="N66" s="142">
        <v>0</v>
      </c>
      <c r="O66" s="142">
        <v>0</v>
      </c>
      <c r="P66" s="141">
        <v>204436213</v>
      </c>
      <c r="Q66" s="141">
        <v>640315224</v>
      </c>
      <c r="R66" s="142">
        <v>0</v>
      </c>
      <c r="S66" s="141">
        <v>4212217562</v>
      </c>
      <c r="T66" s="141">
        <v>3757050392</v>
      </c>
      <c r="U66" s="141">
        <v>455167170</v>
      </c>
      <c r="V66" s="143">
        <v>0.89194120120806808</v>
      </c>
      <c r="W66" s="141">
        <v>3251558375.1900001</v>
      </c>
      <c r="X66" s="141">
        <v>505492016.80999994</v>
      </c>
      <c r="Y66" s="143">
        <v>0.13454491264912477</v>
      </c>
      <c r="Z66" s="141">
        <v>3248869642.1900001</v>
      </c>
      <c r="AA66" s="141">
        <v>2688733</v>
      </c>
      <c r="AB66" s="724">
        <v>0.86473943738096126</v>
      </c>
    </row>
    <row r="67" spans="1:28" ht="24.95" customHeight="1">
      <c r="A67" s="32" t="e">
        <v>#REF!</v>
      </c>
      <c r="B67" s="144" t="s">
        <v>583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36</v>
      </c>
      <c r="I67" s="145"/>
      <c r="J67" s="145">
        <v>10</v>
      </c>
      <c r="K67" s="146" t="s">
        <v>29</v>
      </c>
      <c r="L67" s="147" t="s">
        <v>105</v>
      </c>
      <c r="M67" s="148">
        <v>12000000</v>
      </c>
      <c r="N67" s="148"/>
      <c r="O67" s="148"/>
      <c r="P67" s="148">
        <v>104342700</v>
      </c>
      <c r="Q67" s="148">
        <v>38258770</v>
      </c>
      <c r="R67" s="148"/>
      <c r="S67" s="148">
        <v>78083930</v>
      </c>
      <c r="T67" s="148">
        <v>48047639</v>
      </c>
      <c r="U67" s="148">
        <v>30036291</v>
      </c>
      <c r="V67" s="150">
        <v>0.61533325743209899</v>
      </c>
      <c r="W67" s="148">
        <v>10074618</v>
      </c>
      <c r="X67" s="148">
        <v>37973021</v>
      </c>
      <c r="Y67" s="150">
        <v>0.79032022780557443</v>
      </c>
      <c r="Z67" s="148">
        <v>10074618</v>
      </c>
      <c r="AA67" s="148">
        <v>0</v>
      </c>
      <c r="AB67" s="150">
        <v>0.20967977219442563</v>
      </c>
    </row>
    <row r="68" spans="1:28" ht="24.95" customHeight="1">
      <c r="A68" s="32" t="e">
        <v>#REF!</v>
      </c>
      <c r="B68" s="144" t="s">
        <v>585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38</v>
      </c>
      <c r="I68" s="145"/>
      <c r="J68" s="145">
        <v>10</v>
      </c>
      <c r="K68" s="146" t="s">
        <v>29</v>
      </c>
      <c r="L68" s="147" t="s">
        <v>106</v>
      </c>
      <c r="M68" s="148">
        <v>1885720708</v>
      </c>
      <c r="N68" s="148"/>
      <c r="O68" s="148"/>
      <c r="P68" s="148">
        <v>100093513</v>
      </c>
      <c r="Q68" s="148">
        <v>306406883</v>
      </c>
      <c r="R68" s="148"/>
      <c r="S68" s="148">
        <v>1679407338</v>
      </c>
      <c r="T68" s="148">
        <v>1494447432</v>
      </c>
      <c r="U68" s="148">
        <v>184959906</v>
      </c>
      <c r="V68" s="150">
        <v>0.88986596532305973</v>
      </c>
      <c r="W68" s="148">
        <v>1031867202</v>
      </c>
      <c r="X68" s="148">
        <v>462580230</v>
      </c>
      <c r="Y68" s="150">
        <v>0.30953262061612619</v>
      </c>
      <c r="Z68" s="148">
        <v>1031867202</v>
      </c>
      <c r="AA68" s="148">
        <v>0</v>
      </c>
      <c r="AB68" s="150">
        <v>0.69046737938387381</v>
      </c>
    </row>
    <row r="69" spans="1:28" ht="24.95" customHeight="1">
      <c r="A69" s="32" t="e">
        <v>#REF!</v>
      </c>
      <c r="B69" s="144" t="s">
        <v>587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40</v>
      </c>
      <c r="I69" s="145"/>
      <c r="J69" s="145">
        <v>10</v>
      </c>
      <c r="K69" s="146" t="s">
        <v>29</v>
      </c>
      <c r="L69" s="147" t="s">
        <v>107</v>
      </c>
      <c r="M69" s="148">
        <v>62000000</v>
      </c>
      <c r="N69" s="148"/>
      <c r="O69" s="148"/>
      <c r="P69" s="148"/>
      <c r="Q69" s="148"/>
      <c r="R69" s="148"/>
      <c r="S69" s="148">
        <v>62000000</v>
      </c>
      <c r="T69" s="148">
        <v>53170000</v>
      </c>
      <c r="U69" s="148">
        <v>8830000</v>
      </c>
      <c r="V69" s="150">
        <v>0.85758064516129029</v>
      </c>
      <c r="W69" s="148">
        <v>49867904</v>
      </c>
      <c r="X69" s="148">
        <v>3302096</v>
      </c>
      <c r="Y69" s="150">
        <v>6.2104495015986458E-2</v>
      </c>
      <c r="Z69" s="148">
        <v>49867904</v>
      </c>
      <c r="AA69" s="148">
        <v>0</v>
      </c>
      <c r="AB69" s="150">
        <v>0.93789550498401353</v>
      </c>
    </row>
    <row r="70" spans="1:28" ht="24.95" hidden="1" customHeight="1">
      <c r="A70" s="32" t="e">
        <v>#REF!</v>
      </c>
      <c r="B70" s="144" t="s">
        <v>589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42</v>
      </c>
      <c r="I70" s="145"/>
      <c r="J70" s="145">
        <v>10</v>
      </c>
      <c r="K70" s="146" t="s">
        <v>29</v>
      </c>
      <c r="L70" s="147" t="s">
        <v>259</v>
      </c>
      <c r="M70" s="148"/>
      <c r="N70" s="148"/>
      <c r="O70" s="148"/>
      <c r="P70" s="148"/>
      <c r="Q70" s="148"/>
      <c r="R70" s="148"/>
      <c r="S70" s="148">
        <v>0</v>
      </c>
      <c r="T70" s="148">
        <v>0</v>
      </c>
      <c r="U70" s="148">
        <v>0</v>
      </c>
      <c r="V70" s="150">
        <v>0</v>
      </c>
      <c r="W70" s="148">
        <v>0</v>
      </c>
      <c r="X70" s="148">
        <v>0</v>
      </c>
      <c r="Y70" s="150">
        <v>0</v>
      </c>
      <c r="Z70" s="148">
        <v>0</v>
      </c>
      <c r="AA70" s="148">
        <v>0</v>
      </c>
      <c r="AB70" s="150">
        <v>0</v>
      </c>
    </row>
    <row r="71" spans="1:28" ht="24.95" customHeight="1">
      <c r="A71" s="32" t="e">
        <v>#REF!</v>
      </c>
      <c r="B71" s="144" t="s">
        <v>591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42</v>
      </c>
      <c r="H71" s="145" t="s">
        <v>46</v>
      </c>
      <c r="I71" s="145"/>
      <c r="J71" s="145">
        <v>10</v>
      </c>
      <c r="K71" s="146" t="s">
        <v>29</v>
      </c>
      <c r="L71" s="147" t="s">
        <v>108</v>
      </c>
      <c r="M71" s="148">
        <v>1588375865</v>
      </c>
      <c r="N71" s="148"/>
      <c r="O71" s="148"/>
      <c r="P71" s="148"/>
      <c r="Q71" s="148">
        <v>119957553</v>
      </c>
      <c r="R71" s="148"/>
      <c r="S71" s="148">
        <v>1468418312</v>
      </c>
      <c r="T71" s="148">
        <v>1462496612</v>
      </c>
      <c r="U71" s="148">
        <v>5921700</v>
      </c>
      <c r="V71" s="150">
        <v>0.99596729354870639</v>
      </c>
      <c r="W71" s="148">
        <v>1462496612</v>
      </c>
      <c r="X71" s="148">
        <v>0</v>
      </c>
      <c r="Y71" s="150">
        <v>0</v>
      </c>
      <c r="Z71" s="148">
        <v>1462496612</v>
      </c>
      <c r="AA71" s="148">
        <v>0</v>
      </c>
      <c r="AB71" s="150">
        <v>1</v>
      </c>
    </row>
    <row r="72" spans="1:28" ht="24.95" customHeight="1">
      <c r="A72" s="32" t="e">
        <v>#REF!</v>
      </c>
      <c r="B72" s="144" t="s">
        <v>593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42</v>
      </c>
      <c r="H72" s="145" t="s">
        <v>48</v>
      </c>
      <c r="I72" s="145"/>
      <c r="J72" s="145">
        <v>10</v>
      </c>
      <c r="K72" s="146" t="s">
        <v>29</v>
      </c>
      <c r="L72" s="147" t="s">
        <v>109</v>
      </c>
      <c r="M72" s="148">
        <v>1100000000</v>
      </c>
      <c r="N72" s="148"/>
      <c r="O72" s="148"/>
      <c r="P72" s="148"/>
      <c r="Q72" s="148">
        <v>175692018</v>
      </c>
      <c r="R72" s="148"/>
      <c r="S72" s="148">
        <v>924307982</v>
      </c>
      <c r="T72" s="148">
        <v>698888709</v>
      </c>
      <c r="U72" s="148">
        <v>225419273</v>
      </c>
      <c r="V72" s="150">
        <v>0.75612103607258474</v>
      </c>
      <c r="W72" s="148">
        <v>697252039.19000006</v>
      </c>
      <c r="X72" s="148">
        <v>1636669.8099999428</v>
      </c>
      <c r="Y72" s="150">
        <v>2.3418175010178092E-3</v>
      </c>
      <c r="Z72" s="148">
        <v>694563306.19000006</v>
      </c>
      <c r="AA72" s="148">
        <v>2688733</v>
      </c>
      <c r="AB72" s="150">
        <v>0.99381102777266372</v>
      </c>
    </row>
    <row r="73" spans="1:28" ht="24.95" customHeight="1">
      <c r="A73" s="32" t="e">
        <v>#REF!</v>
      </c>
      <c r="B73" s="138" t="s">
        <v>393</v>
      </c>
      <c r="C73" s="139" t="s">
        <v>23</v>
      </c>
      <c r="D73" s="139" t="s">
        <v>54</v>
      </c>
      <c r="E73" s="139" t="s">
        <v>54</v>
      </c>
      <c r="F73" s="139" t="s">
        <v>54</v>
      </c>
      <c r="G73" s="139" t="s">
        <v>44</v>
      </c>
      <c r="H73" s="140"/>
      <c r="I73" s="140"/>
      <c r="J73" s="139" t="s">
        <v>28</v>
      </c>
      <c r="K73" s="140" t="s">
        <v>29</v>
      </c>
      <c r="L73" s="140" t="s">
        <v>110</v>
      </c>
      <c r="M73" s="141">
        <v>15081981155</v>
      </c>
      <c r="N73" s="142">
        <v>0</v>
      </c>
      <c r="O73" s="142">
        <v>0</v>
      </c>
      <c r="P73" s="141">
        <v>594261935</v>
      </c>
      <c r="Q73" s="141">
        <v>191636021</v>
      </c>
      <c r="R73" s="142">
        <v>0</v>
      </c>
      <c r="S73" s="141">
        <v>15484607069</v>
      </c>
      <c r="T73" s="141">
        <v>14880305252</v>
      </c>
      <c r="U73" s="141">
        <v>604301817</v>
      </c>
      <c r="V73" s="143">
        <v>0.96097402960842282</v>
      </c>
      <c r="W73" s="141">
        <v>12418081249.040001</v>
      </c>
      <c r="X73" s="141">
        <v>2462224002.96</v>
      </c>
      <c r="Y73" s="143">
        <v>0.16546864874489473</v>
      </c>
      <c r="Z73" s="141">
        <v>12418081249.040001</v>
      </c>
      <c r="AA73" s="141">
        <v>0</v>
      </c>
      <c r="AB73" s="724">
        <v>0.83453135125510536</v>
      </c>
    </row>
    <row r="74" spans="1:28" ht="24.95" customHeight="1">
      <c r="A74" s="32" t="e">
        <v>#REF!</v>
      </c>
      <c r="B74" s="144" t="s">
        <v>595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44</v>
      </c>
      <c r="H74" s="145" t="s">
        <v>31</v>
      </c>
      <c r="I74" s="145"/>
      <c r="J74" s="145">
        <v>10</v>
      </c>
      <c r="K74" s="146" t="s">
        <v>29</v>
      </c>
      <c r="L74" s="147" t="s">
        <v>111</v>
      </c>
      <c r="M74" s="148">
        <v>520000000</v>
      </c>
      <c r="N74" s="148"/>
      <c r="O74" s="148"/>
      <c r="P74" s="148">
        <v>594261935</v>
      </c>
      <c r="Q74" s="148">
        <v>190486021</v>
      </c>
      <c r="R74" s="148"/>
      <c r="S74" s="148">
        <v>923775914</v>
      </c>
      <c r="T74" s="148">
        <v>340687714</v>
      </c>
      <c r="U74" s="148">
        <v>583088200</v>
      </c>
      <c r="V74" s="150">
        <v>0.36879908735096117</v>
      </c>
      <c r="W74" s="148">
        <v>337726035.04000002</v>
      </c>
      <c r="X74" s="148">
        <v>2961678.9599999785</v>
      </c>
      <c r="Y74" s="150">
        <v>8.6932367628613071E-3</v>
      </c>
      <c r="Z74" s="148">
        <v>337726035.04000002</v>
      </c>
      <c r="AA74" s="148">
        <v>0</v>
      </c>
      <c r="AB74" s="150">
        <v>0.99130676323713873</v>
      </c>
    </row>
    <row r="75" spans="1:28" ht="24.95" customHeight="1">
      <c r="A75" s="32" t="e">
        <v>#REF!</v>
      </c>
      <c r="B75" s="144" t="s">
        <v>597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44</v>
      </c>
      <c r="H75" s="145" t="s">
        <v>34</v>
      </c>
      <c r="I75" s="145"/>
      <c r="J75" s="145">
        <v>10</v>
      </c>
      <c r="K75" s="146" t="s">
        <v>29</v>
      </c>
      <c r="L75" s="147" t="s">
        <v>112</v>
      </c>
      <c r="M75" s="148">
        <v>14561981155</v>
      </c>
      <c r="N75" s="148"/>
      <c r="O75" s="148"/>
      <c r="P75" s="148"/>
      <c r="Q75" s="148">
        <v>1150000</v>
      </c>
      <c r="R75" s="148"/>
      <c r="S75" s="148">
        <v>14560831155</v>
      </c>
      <c r="T75" s="148">
        <v>14539617538</v>
      </c>
      <c r="U75" s="148">
        <v>21213617</v>
      </c>
      <c r="V75" s="150">
        <v>0.9985431039770889</v>
      </c>
      <c r="W75" s="148">
        <v>12080355214</v>
      </c>
      <c r="X75" s="148">
        <v>2459262324</v>
      </c>
      <c r="Y75" s="150">
        <v>0.169142160553577</v>
      </c>
      <c r="Z75" s="148">
        <v>12080355214</v>
      </c>
      <c r="AA75" s="148">
        <v>0</v>
      </c>
      <c r="AB75" s="150">
        <v>0.830857839446423</v>
      </c>
    </row>
    <row r="76" spans="1:28" ht="24.95" customHeight="1">
      <c r="A76" s="32" t="e">
        <v>#REF!</v>
      </c>
      <c r="B76" s="138" t="s">
        <v>395</v>
      </c>
      <c r="C76" s="139" t="s">
        <v>23</v>
      </c>
      <c r="D76" s="139" t="s">
        <v>54</v>
      </c>
      <c r="E76" s="139" t="s">
        <v>54</v>
      </c>
      <c r="F76" s="139" t="s">
        <v>54</v>
      </c>
      <c r="G76" s="139" t="s">
        <v>46</v>
      </c>
      <c r="H76" s="140"/>
      <c r="I76" s="140"/>
      <c r="J76" s="139" t="s">
        <v>28</v>
      </c>
      <c r="K76" s="140" t="s">
        <v>29</v>
      </c>
      <c r="L76" s="140" t="s">
        <v>113</v>
      </c>
      <c r="M76" s="141">
        <v>18842006651</v>
      </c>
      <c r="N76" s="142">
        <v>0</v>
      </c>
      <c r="O76" s="142">
        <v>0</v>
      </c>
      <c r="P76" s="141">
        <v>2066944814.1300001</v>
      </c>
      <c r="Q76" s="141">
        <v>1702022831.1300001</v>
      </c>
      <c r="R76" s="142">
        <v>0</v>
      </c>
      <c r="S76" s="141">
        <v>19206928634</v>
      </c>
      <c r="T76" s="141">
        <v>18793955622.119999</v>
      </c>
      <c r="U76" s="141">
        <v>412973011.87999982</v>
      </c>
      <c r="V76" s="143">
        <v>0.97849874804298698</v>
      </c>
      <c r="W76" s="141">
        <v>14814868321.82</v>
      </c>
      <c r="X76" s="141">
        <v>3979087300.2999997</v>
      </c>
      <c r="Y76" s="143">
        <v>0.21172165031701559</v>
      </c>
      <c r="Z76" s="141">
        <v>14471061092.82</v>
      </c>
      <c r="AA76" s="141">
        <v>343807229</v>
      </c>
      <c r="AB76" s="724">
        <v>0.76998484958578572</v>
      </c>
    </row>
    <row r="77" spans="1:28" ht="24.95" customHeight="1">
      <c r="A77" s="32" t="e">
        <v>#REF!</v>
      </c>
      <c r="B77" s="144" t="s">
        <v>599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34</v>
      </c>
      <c r="I77" s="145"/>
      <c r="J77" s="145">
        <v>10</v>
      </c>
      <c r="K77" s="146" t="s">
        <v>29</v>
      </c>
      <c r="L77" s="147" t="s">
        <v>114</v>
      </c>
      <c r="M77" s="148">
        <v>49955000</v>
      </c>
      <c r="N77" s="148"/>
      <c r="O77" s="148"/>
      <c r="P77" s="148"/>
      <c r="Q77" s="148">
        <v>25329050</v>
      </c>
      <c r="R77" s="148"/>
      <c r="S77" s="148">
        <v>24625950</v>
      </c>
      <c r="T77" s="148">
        <v>24625950</v>
      </c>
      <c r="U77" s="148">
        <v>0</v>
      </c>
      <c r="V77" s="150">
        <v>1</v>
      </c>
      <c r="W77" s="148">
        <v>16383128.800000001</v>
      </c>
      <c r="X77" s="148">
        <v>8242821.1999999993</v>
      </c>
      <c r="Y77" s="150">
        <v>0.33472094274535596</v>
      </c>
      <c r="Z77" s="148">
        <v>16383128.800000001</v>
      </c>
      <c r="AA77" s="148">
        <v>0</v>
      </c>
      <c r="AB77" s="150">
        <v>0.66527905725464398</v>
      </c>
    </row>
    <row r="78" spans="1:28" ht="24.95" customHeight="1">
      <c r="A78" s="32" t="e">
        <v>#REF!</v>
      </c>
      <c r="B78" s="144" t="s">
        <v>601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36</v>
      </c>
      <c r="I78" s="145"/>
      <c r="J78" s="145">
        <v>10</v>
      </c>
      <c r="K78" s="146" t="s">
        <v>29</v>
      </c>
      <c r="L78" s="147" t="s">
        <v>115</v>
      </c>
      <c r="M78" s="148">
        <v>10819632797</v>
      </c>
      <c r="N78" s="148"/>
      <c r="O78" s="148"/>
      <c r="P78" s="148">
        <v>158746810</v>
      </c>
      <c r="Q78" s="148">
        <v>1059454068</v>
      </c>
      <c r="R78" s="148"/>
      <c r="S78" s="148">
        <v>9918925539</v>
      </c>
      <c r="T78" s="148">
        <v>9888368121</v>
      </c>
      <c r="U78" s="148">
        <v>30557418</v>
      </c>
      <c r="V78" s="150">
        <v>0.99691928144032815</v>
      </c>
      <c r="W78" s="148">
        <v>7653426711</v>
      </c>
      <c r="X78" s="148">
        <v>2234941410</v>
      </c>
      <c r="Y78" s="150">
        <v>0.22601721362432275</v>
      </c>
      <c r="Z78" s="148">
        <v>7309739072</v>
      </c>
      <c r="AA78" s="148">
        <v>343687639</v>
      </c>
      <c r="AB78" s="150">
        <v>0.73922602623139133</v>
      </c>
    </row>
    <row r="79" spans="1:28" ht="24.95" customHeight="1">
      <c r="A79" s="32" t="e">
        <v>#REF!</v>
      </c>
      <c r="B79" s="144" t="s">
        <v>603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38</v>
      </c>
      <c r="I79" s="145"/>
      <c r="J79" s="145">
        <v>10</v>
      </c>
      <c r="K79" s="146" t="s">
        <v>29</v>
      </c>
      <c r="L79" s="147" t="s">
        <v>116</v>
      </c>
      <c r="M79" s="148">
        <v>2518099374</v>
      </c>
      <c r="N79" s="148"/>
      <c r="O79" s="148"/>
      <c r="P79" s="148"/>
      <c r="Q79" s="148">
        <v>300872598.13</v>
      </c>
      <c r="R79" s="148"/>
      <c r="S79" s="148">
        <v>2217226775.8699999</v>
      </c>
      <c r="T79" s="148">
        <v>1931961975.75</v>
      </c>
      <c r="U79" s="148">
        <v>285264800.11999989</v>
      </c>
      <c r="V79" s="150">
        <v>0.87134162223525058</v>
      </c>
      <c r="W79" s="148">
        <v>1740466566.96</v>
      </c>
      <c r="X79" s="148">
        <v>191495408.78999996</v>
      </c>
      <c r="Y79" s="150">
        <v>9.9119657215644849E-2</v>
      </c>
      <c r="Z79" s="148">
        <v>1740346976.96</v>
      </c>
      <c r="AA79" s="148">
        <v>119590</v>
      </c>
      <c r="AB79" s="150">
        <v>0.90081844198014627</v>
      </c>
    </row>
    <row r="80" spans="1:28" ht="24.95" customHeight="1">
      <c r="A80" s="32" t="e">
        <v>#REF!</v>
      </c>
      <c r="B80" s="144" t="s">
        <v>605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40</v>
      </c>
      <c r="I80" s="145"/>
      <c r="J80" s="145">
        <v>10</v>
      </c>
      <c r="K80" s="146" t="s">
        <v>29</v>
      </c>
      <c r="L80" s="147" t="s">
        <v>117</v>
      </c>
      <c r="M80" s="148">
        <v>4954700583</v>
      </c>
      <c r="N80" s="148"/>
      <c r="O80" s="148"/>
      <c r="P80" s="148">
        <v>1534940774</v>
      </c>
      <c r="Q80" s="148">
        <v>145373199</v>
      </c>
      <c r="R80" s="148"/>
      <c r="S80" s="148">
        <v>6344268158</v>
      </c>
      <c r="T80" s="148">
        <v>6335687528.4200001</v>
      </c>
      <c r="U80" s="148">
        <v>8580629.5799999237</v>
      </c>
      <c r="V80" s="150">
        <v>0.99864749891298654</v>
      </c>
      <c r="W80" s="148">
        <v>4996996883.0799999</v>
      </c>
      <c r="X80" s="148">
        <v>1338690645.3400002</v>
      </c>
      <c r="Y80" s="150">
        <v>0.21129366613095013</v>
      </c>
      <c r="Z80" s="148">
        <v>4996996883.0799999</v>
      </c>
      <c r="AA80" s="148">
        <v>0</v>
      </c>
      <c r="AB80" s="150">
        <v>0.78870633386904987</v>
      </c>
    </row>
    <row r="81" spans="1:28" ht="24.95" customHeight="1">
      <c r="A81" s="32" t="e">
        <v>#REF!</v>
      </c>
      <c r="B81" s="144" t="s">
        <v>607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46</v>
      </c>
      <c r="H81" s="145" t="s">
        <v>44</v>
      </c>
      <c r="I81" s="145"/>
      <c r="J81" s="145">
        <v>10</v>
      </c>
      <c r="K81" s="146" t="s">
        <v>29</v>
      </c>
      <c r="L81" s="147" t="s">
        <v>118</v>
      </c>
      <c r="M81" s="148">
        <v>396618897</v>
      </c>
      <c r="N81" s="148"/>
      <c r="O81" s="148"/>
      <c r="P81" s="148">
        <v>353257230.13</v>
      </c>
      <c r="Q81" s="149">
        <v>150993916</v>
      </c>
      <c r="R81" s="148"/>
      <c r="S81" s="148">
        <v>598882211.13</v>
      </c>
      <c r="T81" s="148">
        <v>510939742.94999999</v>
      </c>
      <c r="U81" s="148">
        <v>87942468.180000007</v>
      </c>
      <c r="V81" s="150">
        <v>0.85315565140252558</v>
      </c>
      <c r="W81" s="148">
        <v>344974127.98000002</v>
      </c>
      <c r="X81" s="148">
        <v>165965614.96999997</v>
      </c>
      <c r="Y81" s="150">
        <v>0.32482424250610936</v>
      </c>
      <c r="Z81" s="148">
        <v>344974127.98000002</v>
      </c>
      <c r="AA81" s="148">
        <v>0</v>
      </c>
      <c r="AB81" s="150">
        <v>0.67517575749389069</v>
      </c>
    </row>
    <row r="82" spans="1:28" ht="24.95" customHeight="1">
      <c r="A82" s="32" t="e">
        <v>#REF!</v>
      </c>
      <c r="B82" s="144" t="s">
        <v>609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46</v>
      </c>
      <c r="H82" s="145" t="s">
        <v>48</v>
      </c>
      <c r="I82" s="145"/>
      <c r="J82" s="145">
        <v>10</v>
      </c>
      <c r="K82" s="146" t="s">
        <v>29</v>
      </c>
      <c r="L82" s="147" t="s">
        <v>119</v>
      </c>
      <c r="M82" s="148">
        <v>103000000</v>
      </c>
      <c r="N82" s="148"/>
      <c r="O82" s="148"/>
      <c r="P82" s="148">
        <v>20000000</v>
      </c>
      <c r="Q82" s="148">
        <v>20000000</v>
      </c>
      <c r="R82" s="148"/>
      <c r="S82" s="148">
        <v>103000000</v>
      </c>
      <c r="T82" s="148">
        <v>102372304</v>
      </c>
      <c r="U82" s="148">
        <v>627696</v>
      </c>
      <c r="V82" s="150">
        <v>0.9939058640776699</v>
      </c>
      <c r="W82" s="148">
        <v>62620904</v>
      </c>
      <c r="X82" s="148">
        <v>39751400</v>
      </c>
      <c r="Y82" s="150">
        <v>0.38830228925979826</v>
      </c>
      <c r="Z82" s="148">
        <v>62620904</v>
      </c>
      <c r="AA82" s="148">
        <v>0</v>
      </c>
      <c r="AB82" s="150">
        <v>0.61169771074020174</v>
      </c>
    </row>
    <row r="83" spans="1:28" ht="24.95" customHeight="1">
      <c r="A83" s="32" t="e">
        <v>#REF!</v>
      </c>
      <c r="B83" s="138" t="s">
        <v>397</v>
      </c>
      <c r="C83" s="139" t="s">
        <v>23</v>
      </c>
      <c r="D83" s="139" t="s">
        <v>54</v>
      </c>
      <c r="E83" s="139" t="s">
        <v>54</v>
      </c>
      <c r="F83" s="139" t="s">
        <v>54</v>
      </c>
      <c r="G83" s="139" t="s">
        <v>48</v>
      </c>
      <c r="H83" s="140"/>
      <c r="I83" s="140"/>
      <c r="J83" s="139" t="s">
        <v>28</v>
      </c>
      <c r="K83" s="140" t="s">
        <v>29</v>
      </c>
      <c r="L83" s="140" t="s">
        <v>120</v>
      </c>
      <c r="M83" s="141">
        <v>2327016750</v>
      </c>
      <c r="N83" s="142">
        <v>0</v>
      </c>
      <c r="O83" s="142">
        <v>0</v>
      </c>
      <c r="P83" s="141">
        <v>5115982</v>
      </c>
      <c r="Q83" s="141">
        <v>213334467</v>
      </c>
      <c r="R83" s="142">
        <v>0</v>
      </c>
      <c r="S83" s="141">
        <v>2118798265</v>
      </c>
      <c r="T83" s="141">
        <v>1708554205</v>
      </c>
      <c r="U83" s="141">
        <v>410244060</v>
      </c>
      <c r="V83" s="143">
        <v>0.80637889563308662</v>
      </c>
      <c r="W83" s="141">
        <v>1332964657.8699999</v>
      </c>
      <c r="X83" s="141">
        <v>375589547.13</v>
      </c>
      <c r="Y83" s="143">
        <v>0.21982887404499993</v>
      </c>
      <c r="Z83" s="141">
        <v>1332528290.8699999</v>
      </c>
      <c r="AA83" s="141">
        <v>436367</v>
      </c>
      <c r="AB83" s="724">
        <v>0.77991572463456016</v>
      </c>
    </row>
    <row r="84" spans="1:28" ht="24.95" customHeight="1">
      <c r="A84" s="32" t="e">
        <v>#REF!</v>
      </c>
      <c r="B84" s="144" t="s">
        <v>611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34</v>
      </c>
      <c r="I84" s="145"/>
      <c r="J84" s="145">
        <v>10</v>
      </c>
      <c r="K84" s="146" t="s">
        <v>29</v>
      </c>
      <c r="L84" s="147" t="s">
        <v>121</v>
      </c>
      <c r="M84" s="148">
        <v>992069874</v>
      </c>
      <c r="N84" s="148"/>
      <c r="O84" s="148"/>
      <c r="P84" s="148"/>
      <c r="Q84" s="148">
        <v>18606848</v>
      </c>
      <c r="R84" s="148"/>
      <c r="S84" s="148">
        <v>973463026</v>
      </c>
      <c r="T84" s="148">
        <v>673463026</v>
      </c>
      <c r="U84" s="148">
        <v>300000000</v>
      </c>
      <c r="V84" s="150">
        <v>0.69182188538509526</v>
      </c>
      <c r="W84" s="148">
        <v>536833420</v>
      </c>
      <c r="X84" s="148">
        <v>136629606</v>
      </c>
      <c r="Y84" s="150">
        <v>0.20287617987212264</v>
      </c>
      <c r="Z84" s="148">
        <v>536833420</v>
      </c>
      <c r="AA84" s="148">
        <v>0</v>
      </c>
      <c r="AB84" s="150">
        <v>0.79712382012787741</v>
      </c>
    </row>
    <row r="85" spans="1:28" ht="24.95" customHeight="1">
      <c r="A85" s="32" t="e">
        <v>#REF!</v>
      </c>
      <c r="B85" s="144" t="s">
        <v>613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36</v>
      </c>
      <c r="I85" s="145"/>
      <c r="J85" s="145">
        <v>10</v>
      </c>
      <c r="K85" s="146" t="s">
        <v>29</v>
      </c>
      <c r="L85" s="147" t="s">
        <v>122</v>
      </c>
      <c r="M85" s="148">
        <v>364946876</v>
      </c>
      <c r="N85" s="148"/>
      <c r="O85" s="148"/>
      <c r="P85" s="148"/>
      <c r="Q85" s="148">
        <v>140562050</v>
      </c>
      <c r="R85" s="148"/>
      <c r="S85" s="148">
        <v>224384826</v>
      </c>
      <c r="T85" s="148">
        <v>159832826</v>
      </c>
      <c r="U85" s="148">
        <v>64552000</v>
      </c>
      <c r="V85" s="150">
        <v>0.71231566255732459</v>
      </c>
      <c r="W85" s="148">
        <v>118555170</v>
      </c>
      <c r="X85" s="148">
        <v>41277656</v>
      </c>
      <c r="Y85" s="150">
        <v>0.25825518470154563</v>
      </c>
      <c r="Z85" s="148">
        <v>118555170</v>
      </c>
      <c r="AA85" s="148">
        <v>0</v>
      </c>
      <c r="AB85" s="150">
        <v>0.74174481529845437</v>
      </c>
    </row>
    <row r="86" spans="1:28" ht="24.95" customHeight="1">
      <c r="A86" s="32" t="e">
        <v>#REF!</v>
      </c>
      <c r="B86" s="144" t="s">
        <v>615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38</v>
      </c>
      <c r="I86" s="145"/>
      <c r="J86" s="145">
        <v>10</v>
      </c>
      <c r="K86" s="146" t="s">
        <v>29</v>
      </c>
      <c r="L86" s="147" t="s">
        <v>123</v>
      </c>
      <c r="M86" s="148">
        <v>115000000</v>
      </c>
      <c r="N86" s="148"/>
      <c r="O86" s="148"/>
      <c r="P86" s="148"/>
      <c r="Q86" s="148">
        <v>35000000</v>
      </c>
      <c r="R86" s="148"/>
      <c r="S86" s="148">
        <v>80000000</v>
      </c>
      <c r="T86" s="148">
        <v>64307940</v>
      </c>
      <c r="U86" s="148">
        <v>15692060</v>
      </c>
      <c r="V86" s="150">
        <v>0.80384924999999996</v>
      </c>
      <c r="W86" s="148">
        <v>64307206.979999997</v>
      </c>
      <c r="X86" s="148">
        <v>733.02000000327826</v>
      </c>
      <c r="Y86" s="150">
        <v>1.1398592460017818E-5</v>
      </c>
      <c r="Z86" s="148">
        <v>63870839.979999997</v>
      </c>
      <c r="AA86" s="148">
        <v>436367</v>
      </c>
      <c r="AB86" s="150">
        <v>0.9932030162993869</v>
      </c>
    </row>
    <row r="87" spans="1:28" ht="24.95" customHeight="1">
      <c r="A87" s="32" t="e">
        <v>#REF!</v>
      </c>
      <c r="B87" s="144" t="s">
        <v>617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48</v>
      </c>
      <c r="H87" s="145" t="s">
        <v>42</v>
      </c>
      <c r="I87" s="145"/>
      <c r="J87" s="145">
        <v>10</v>
      </c>
      <c r="K87" s="146" t="s">
        <v>29</v>
      </c>
      <c r="L87" s="147" t="s">
        <v>124</v>
      </c>
      <c r="M87" s="148">
        <v>830000000</v>
      </c>
      <c r="N87" s="148"/>
      <c r="O87" s="148"/>
      <c r="P87" s="148"/>
      <c r="Q87" s="148">
        <v>4484028</v>
      </c>
      <c r="R87" s="148"/>
      <c r="S87" s="148">
        <v>825515972</v>
      </c>
      <c r="T87" s="148">
        <v>795515972</v>
      </c>
      <c r="U87" s="148">
        <v>30000000</v>
      </c>
      <c r="V87" s="150">
        <v>0.96365909198907662</v>
      </c>
      <c r="W87" s="148">
        <v>613268860.88999999</v>
      </c>
      <c r="X87" s="148">
        <v>182247111.11000001</v>
      </c>
      <c r="Y87" s="150">
        <v>0.22909296296316226</v>
      </c>
      <c r="Z87" s="148">
        <v>613268860.88999999</v>
      </c>
      <c r="AA87" s="148">
        <v>0</v>
      </c>
      <c r="AB87" s="150">
        <v>0.77090703703683772</v>
      </c>
    </row>
    <row r="88" spans="1:28" ht="24.95" customHeight="1">
      <c r="A88" s="32" t="e">
        <v>#REF!</v>
      </c>
      <c r="B88" s="144" t="s">
        <v>619</v>
      </c>
      <c r="C88" s="145" t="s">
        <v>23</v>
      </c>
      <c r="D88" s="145" t="s">
        <v>54</v>
      </c>
      <c r="E88" s="145" t="s">
        <v>54</v>
      </c>
      <c r="F88" s="145" t="s">
        <v>54</v>
      </c>
      <c r="G88" s="145" t="s">
        <v>48</v>
      </c>
      <c r="H88" s="145" t="s">
        <v>44</v>
      </c>
      <c r="I88" s="145"/>
      <c r="J88" s="145">
        <v>10</v>
      </c>
      <c r="K88" s="146" t="s">
        <v>29</v>
      </c>
      <c r="L88" s="147" t="s">
        <v>125</v>
      </c>
      <c r="M88" s="148">
        <v>25000000</v>
      </c>
      <c r="N88" s="148"/>
      <c r="O88" s="148"/>
      <c r="P88" s="149">
        <v>5115982</v>
      </c>
      <c r="Q88" s="148">
        <v>14681541</v>
      </c>
      <c r="R88" s="148"/>
      <c r="S88" s="148">
        <v>15434441</v>
      </c>
      <c r="T88" s="148">
        <v>15434441</v>
      </c>
      <c r="U88" s="148">
        <v>0</v>
      </c>
      <c r="V88" s="150">
        <v>1</v>
      </c>
      <c r="W88" s="148">
        <v>0</v>
      </c>
      <c r="X88" s="148">
        <v>15434441</v>
      </c>
      <c r="Y88" s="150">
        <v>1</v>
      </c>
      <c r="Z88" s="148">
        <v>0</v>
      </c>
      <c r="AA88" s="148">
        <v>0</v>
      </c>
      <c r="AB88" s="150">
        <v>0</v>
      </c>
    </row>
    <row r="89" spans="1:28" ht="24.95" customHeight="1">
      <c r="A89" s="32" t="e">
        <v>#REF!</v>
      </c>
      <c r="B89" s="144" t="s">
        <v>399</v>
      </c>
      <c r="C89" s="145" t="s">
        <v>23</v>
      </c>
      <c r="D89" s="145" t="s">
        <v>54</v>
      </c>
      <c r="E89" s="145" t="s">
        <v>54</v>
      </c>
      <c r="F89" s="145" t="s">
        <v>54</v>
      </c>
      <c r="G89" s="145" t="s">
        <v>50</v>
      </c>
      <c r="H89" s="145"/>
      <c r="I89" s="145"/>
      <c r="J89" s="145" t="s">
        <v>28</v>
      </c>
      <c r="K89" s="146" t="s">
        <v>29</v>
      </c>
      <c r="L89" s="152" t="s">
        <v>126</v>
      </c>
      <c r="M89" s="153">
        <v>734015794</v>
      </c>
      <c r="N89" s="153"/>
      <c r="O89" s="153"/>
      <c r="P89" s="153">
        <v>133357031</v>
      </c>
      <c r="Q89" s="153">
        <v>95926405</v>
      </c>
      <c r="R89" s="153"/>
      <c r="S89" s="153">
        <v>771446420</v>
      </c>
      <c r="T89" s="153">
        <v>757262130</v>
      </c>
      <c r="U89" s="153">
        <v>14184290</v>
      </c>
      <c r="V89" s="154">
        <v>0.98161338281925015</v>
      </c>
      <c r="W89" s="153">
        <v>594132493</v>
      </c>
      <c r="X89" s="153">
        <v>163129637</v>
      </c>
      <c r="Y89" s="154">
        <v>0.21542030234629586</v>
      </c>
      <c r="Z89" s="153">
        <v>594132493</v>
      </c>
      <c r="AA89" s="148">
        <v>0</v>
      </c>
      <c r="AB89" s="150">
        <v>0.78457969765370417</v>
      </c>
    </row>
    <row r="90" spans="1:28" ht="36" customHeight="1">
      <c r="A90" s="32" t="e">
        <v>#REF!</v>
      </c>
      <c r="B90" s="122" t="s">
        <v>401</v>
      </c>
      <c r="C90" s="123" t="s">
        <v>23</v>
      </c>
      <c r="D90" s="123" t="s">
        <v>65</v>
      </c>
      <c r="E90" s="123"/>
      <c r="F90" s="123"/>
      <c r="G90" s="123"/>
      <c r="H90" s="123"/>
      <c r="I90" s="123"/>
      <c r="J90" s="124"/>
      <c r="K90" s="124"/>
      <c r="L90" s="124" t="s">
        <v>127</v>
      </c>
      <c r="M90" s="125">
        <v>25816000000</v>
      </c>
      <c r="N90" s="125">
        <v>5915796693840</v>
      </c>
      <c r="O90" s="719">
        <v>0</v>
      </c>
      <c r="P90" s="125">
        <v>100000000</v>
      </c>
      <c r="Q90" s="125">
        <v>8922468942</v>
      </c>
      <c r="R90" s="125">
        <v>13784531058</v>
      </c>
      <c r="S90" s="125">
        <v>5919005693840</v>
      </c>
      <c r="T90" s="125">
        <v>5735117114304.4102</v>
      </c>
      <c r="U90" s="125">
        <v>183888579535.58984</v>
      </c>
      <c r="V90" s="126">
        <v>0.96893252193912138</v>
      </c>
      <c r="W90" s="125">
        <v>5591690082796.9102</v>
      </c>
      <c r="X90" s="125">
        <v>143427031507.5</v>
      </c>
      <c r="Y90" s="126">
        <v>2.5008561926271267E-2</v>
      </c>
      <c r="Z90" s="125">
        <v>5580181813456.9102</v>
      </c>
      <c r="AA90" s="125">
        <v>11508269340</v>
      </c>
      <c r="AB90" s="720">
        <v>0.97298480610604032</v>
      </c>
    </row>
    <row r="91" spans="1:28" ht="24" customHeight="1">
      <c r="A91" s="32" t="e">
        <v>#REF!</v>
      </c>
      <c r="B91" s="127" t="s">
        <v>621</v>
      </c>
      <c r="C91" s="128" t="s">
        <v>23</v>
      </c>
      <c r="D91" s="128" t="s">
        <v>65</v>
      </c>
      <c r="E91" s="128" t="s">
        <v>65</v>
      </c>
      <c r="F91" s="128"/>
      <c r="G91" s="128"/>
      <c r="H91" s="128"/>
      <c r="I91" s="128"/>
      <c r="J91" s="129"/>
      <c r="K91" s="129"/>
      <c r="L91" s="129" t="s">
        <v>128</v>
      </c>
      <c r="M91" s="130">
        <v>22607000000</v>
      </c>
      <c r="N91" s="130">
        <v>5915796693840</v>
      </c>
      <c r="O91" s="721">
        <v>0</v>
      </c>
      <c r="P91" s="130">
        <v>0</v>
      </c>
      <c r="Q91" s="130">
        <v>8822468942</v>
      </c>
      <c r="R91" s="130">
        <v>13784531058</v>
      </c>
      <c r="S91" s="130">
        <v>5915796693840</v>
      </c>
      <c r="T91" s="130">
        <v>5732828613633.4102</v>
      </c>
      <c r="U91" s="130">
        <v>182968080206.58984</v>
      </c>
      <c r="V91" s="131">
        <v>0.96907126974172209</v>
      </c>
      <c r="W91" s="130">
        <v>5589671843906.9102</v>
      </c>
      <c r="X91" s="130">
        <v>143156769726.5</v>
      </c>
      <c r="Y91" s="131">
        <v>2.497140231718329E-2</v>
      </c>
      <c r="Z91" s="130">
        <v>5578163574566.9102</v>
      </c>
      <c r="AA91" s="130">
        <v>11508269340</v>
      </c>
      <c r="AB91" s="722">
        <v>0.97302116468322697</v>
      </c>
    </row>
    <row r="92" spans="1:28" ht="24" customHeight="1">
      <c r="A92" s="32" t="e">
        <v>#REF!</v>
      </c>
      <c r="B92" s="132" t="s">
        <v>623</v>
      </c>
      <c r="C92" s="133" t="s">
        <v>23</v>
      </c>
      <c r="D92" s="133" t="s">
        <v>65</v>
      </c>
      <c r="E92" s="133" t="s">
        <v>65</v>
      </c>
      <c r="F92" s="133" t="s">
        <v>25</v>
      </c>
      <c r="G92" s="133"/>
      <c r="H92" s="133"/>
      <c r="I92" s="133"/>
      <c r="J92" s="133"/>
      <c r="K92" s="134"/>
      <c r="L92" s="134" t="s">
        <v>129</v>
      </c>
      <c r="M92" s="135">
        <v>22607000000</v>
      </c>
      <c r="N92" s="135">
        <v>5915796693840</v>
      </c>
      <c r="O92" s="136">
        <v>0</v>
      </c>
      <c r="P92" s="136">
        <v>0</v>
      </c>
      <c r="Q92" s="136">
        <v>8822468942</v>
      </c>
      <c r="R92" s="135">
        <v>13784531058</v>
      </c>
      <c r="S92" s="135">
        <v>5915796693840</v>
      </c>
      <c r="T92" s="135">
        <v>5732828613633.4102</v>
      </c>
      <c r="U92" s="135">
        <v>182968080206.58984</v>
      </c>
      <c r="V92" s="137">
        <v>0.96907126974172209</v>
      </c>
      <c r="W92" s="135">
        <v>5589671843906.9102</v>
      </c>
      <c r="X92" s="135">
        <v>143156769726.5</v>
      </c>
      <c r="Y92" s="137">
        <v>2.497140231718329E-2</v>
      </c>
      <c r="Z92" s="135">
        <v>5578163574566.9102</v>
      </c>
      <c r="AA92" s="135">
        <v>11508269340</v>
      </c>
      <c r="AB92" s="723">
        <v>0.97302116468322697</v>
      </c>
    </row>
    <row r="93" spans="1:28" ht="24.95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131</v>
      </c>
      <c r="M93" s="148"/>
      <c r="N93" s="148">
        <v>14432339552</v>
      </c>
      <c r="O93" s="148"/>
      <c r="P93" s="148"/>
      <c r="Q93" s="148"/>
      <c r="R93" s="148"/>
      <c r="S93" s="148">
        <v>14432339552</v>
      </c>
      <c r="T93" s="149">
        <v>12218664025</v>
      </c>
      <c r="U93" s="148">
        <v>2213675527</v>
      </c>
      <c r="V93" s="150">
        <v>0.84661700072783874</v>
      </c>
      <c r="W93" s="148">
        <v>11748810398.5</v>
      </c>
      <c r="X93" s="148">
        <v>469853626.5</v>
      </c>
      <c r="Y93" s="150">
        <v>3.8453764301780942E-2</v>
      </c>
      <c r="Z93" s="148">
        <v>240541058.5</v>
      </c>
      <c r="AA93" s="148">
        <v>11508269340</v>
      </c>
      <c r="AB93" s="150">
        <v>1.9686363256068005E-2</v>
      </c>
    </row>
    <row r="94" spans="1:28" ht="24.95" customHeight="1">
      <c r="A94" s="32" t="e">
        <v>#REF!</v>
      </c>
      <c r="B94" s="144" t="s">
        <v>625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130</v>
      </c>
      <c r="H94" s="145"/>
      <c r="I94" s="145"/>
      <c r="J94" s="145">
        <v>54</v>
      </c>
      <c r="K94" s="146" t="s">
        <v>29</v>
      </c>
      <c r="L94" s="147" t="s">
        <v>132</v>
      </c>
      <c r="M94" s="148"/>
      <c r="N94" s="149">
        <v>5083649314288</v>
      </c>
      <c r="O94" s="148"/>
      <c r="P94" s="148"/>
      <c r="Q94" s="148"/>
      <c r="R94" s="148"/>
      <c r="S94" s="148">
        <v>5083649314288</v>
      </c>
      <c r="T94" s="149">
        <v>4902894909608.4102</v>
      </c>
      <c r="U94" s="148">
        <v>180754404679.58984</v>
      </c>
      <c r="V94" s="150">
        <v>0.96444396662618614</v>
      </c>
      <c r="W94" s="148">
        <v>4763626473508.4102</v>
      </c>
      <c r="X94" s="148">
        <v>139268436100</v>
      </c>
      <c r="Y94" s="150">
        <v>2.840534799697007E-2</v>
      </c>
      <c r="Z94" s="148">
        <v>4763626473508.4102</v>
      </c>
      <c r="AA94" s="148">
        <v>0</v>
      </c>
      <c r="AB94" s="150">
        <v>0.97159465200302997</v>
      </c>
    </row>
    <row r="95" spans="1:28" ht="24.95" customHeight="1">
      <c r="A95" s="32" t="e">
        <v>#REF!</v>
      </c>
      <c r="B95" s="144" t="s">
        <v>625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130</v>
      </c>
      <c r="H95" s="145"/>
      <c r="I95" s="145"/>
      <c r="J95" s="145">
        <v>54</v>
      </c>
      <c r="K95" s="146" t="s">
        <v>29</v>
      </c>
      <c r="L95" s="147" t="s">
        <v>133</v>
      </c>
      <c r="M95" s="148"/>
      <c r="N95" s="149">
        <v>817715040000</v>
      </c>
      <c r="O95" s="148"/>
      <c r="P95" s="148"/>
      <c r="Q95" s="148"/>
      <c r="R95" s="148"/>
      <c r="S95" s="148">
        <v>817715040000</v>
      </c>
      <c r="T95" s="149">
        <v>817715040000</v>
      </c>
      <c r="U95" s="148">
        <v>0</v>
      </c>
      <c r="V95" s="150">
        <v>1</v>
      </c>
      <c r="W95" s="148">
        <v>814296560000</v>
      </c>
      <c r="X95" s="148">
        <v>3418480000</v>
      </c>
      <c r="Y95" s="150">
        <v>4.1805272408833279E-3</v>
      </c>
      <c r="Z95" s="148">
        <v>814296560000</v>
      </c>
      <c r="AA95" s="148">
        <v>0</v>
      </c>
      <c r="AB95" s="150">
        <v>0.99581947275911664</v>
      </c>
    </row>
    <row r="96" spans="1:28" ht="24.95" customHeight="1">
      <c r="A96" s="32" t="e">
        <v>#REF!</v>
      </c>
      <c r="B96" s="144" t="s">
        <v>627</v>
      </c>
      <c r="C96" s="145" t="s">
        <v>23</v>
      </c>
      <c r="D96" s="145" t="s">
        <v>65</v>
      </c>
      <c r="E96" s="145" t="s">
        <v>65</v>
      </c>
      <c r="F96" s="145" t="s">
        <v>25</v>
      </c>
      <c r="G96" s="145" t="s">
        <v>134</v>
      </c>
      <c r="H96" s="145"/>
      <c r="I96" s="145"/>
      <c r="J96" s="145" t="s">
        <v>28</v>
      </c>
      <c r="K96" s="146" t="s">
        <v>29</v>
      </c>
      <c r="L96" s="147" t="s">
        <v>135</v>
      </c>
      <c r="M96" s="148">
        <v>11607000000</v>
      </c>
      <c r="N96" s="148"/>
      <c r="O96" s="148"/>
      <c r="P96" s="148"/>
      <c r="Q96" s="148"/>
      <c r="R96" s="148">
        <v>11607000000</v>
      </c>
      <c r="S96" s="148">
        <v>0</v>
      </c>
      <c r="T96" s="148"/>
      <c r="U96" s="148">
        <v>0</v>
      </c>
      <c r="V96" s="150">
        <v>0</v>
      </c>
      <c r="W96" s="148"/>
      <c r="X96" s="148">
        <v>0</v>
      </c>
      <c r="Y96" s="150">
        <v>0</v>
      </c>
      <c r="Z96" s="148"/>
      <c r="AA96" s="148">
        <v>0</v>
      </c>
      <c r="AB96" s="150">
        <v>0</v>
      </c>
    </row>
    <row r="97" spans="1:30" ht="24.95" customHeight="1">
      <c r="A97" s="32" t="e">
        <v>#REF!</v>
      </c>
      <c r="B97" s="144" t="s">
        <v>627</v>
      </c>
      <c r="C97" s="145" t="s">
        <v>23</v>
      </c>
      <c r="D97" s="145" t="s">
        <v>65</v>
      </c>
      <c r="E97" s="145" t="s">
        <v>65</v>
      </c>
      <c r="F97" s="145" t="s">
        <v>25</v>
      </c>
      <c r="G97" s="145" t="s">
        <v>134</v>
      </c>
      <c r="H97" s="145"/>
      <c r="I97" s="145"/>
      <c r="J97" s="145">
        <v>11</v>
      </c>
      <c r="K97" s="146" t="s">
        <v>29</v>
      </c>
      <c r="L97" s="147" t="s">
        <v>135</v>
      </c>
      <c r="M97" s="148">
        <v>11000000000</v>
      </c>
      <c r="N97" s="148"/>
      <c r="O97" s="148"/>
      <c r="P97" s="148"/>
      <c r="Q97" s="148">
        <v>8822468942</v>
      </c>
      <c r="R97" s="148">
        <v>2177531058</v>
      </c>
      <c r="S97" s="148">
        <v>0</v>
      </c>
      <c r="T97" s="148"/>
      <c r="U97" s="148">
        <v>0</v>
      </c>
      <c r="V97" s="150">
        <v>0</v>
      </c>
      <c r="W97" s="148"/>
      <c r="X97" s="148">
        <v>0</v>
      </c>
      <c r="Y97" s="150">
        <v>0</v>
      </c>
      <c r="Z97" s="148"/>
      <c r="AA97" s="148">
        <v>0</v>
      </c>
      <c r="AB97" s="150">
        <v>0</v>
      </c>
    </row>
    <row r="98" spans="1:30" ht="24" customHeight="1">
      <c r="A98" s="32" t="e">
        <v>#REF!</v>
      </c>
      <c r="B98" s="127" t="s">
        <v>403</v>
      </c>
      <c r="C98" s="128" t="s">
        <v>23</v>
      </c>
      <c r="D98" s="128" t="s">
        <v>65</v>
      </c>
      <c r="E98" s="128" t="s">
        <v>136</v>
      </c>
      <c r="F98" s="128"/>
      <c r="G98" s="128"/>
      <c r="H98" s="128"/>
      <c r="I98" s="128"/>
      <c r="J98" s="129"/>
      <c r="K98" s="129"/>
      <c r="L98" s="129" t="s">
        <v>137</v>
      </c>
      <c r="M98" s="130">
        <v>534000000</v>
      </c>
      <c r="N98" s="721">
        <v>0</v>
      </c>
      <c r="O98" s="721">
        <v>0</v>
      </c>
      <c r="P98" s="130">
        <v>100000000</v>
      </c>
      <c r="Q98" s="130">
        <v>100000000</v>
      </c>
      <c r="R98" s="721">
        <v>0</v>
      </c>
      <c r="S98" s="130">
        <v>534000000</v>
      </c>
      <c r="T98" s="130">
        <v>424681470</v>
      </c>
      <c r="U98" s="130">
        <v>109318530</v>
      </c>
      <c r="V98" s="131">
        <v>0.79528365168539328</v>
      </c>
      <c r="W98" s="130">
        <v>154419689</v>
      </c>
      <c r="X98" s="130">
        <v>270261781</v>
      </c>
      <c r="Y98" s="131">
        <v>0.63638703379264461</v>
      </c>
      <c r="Z98" s="130">
        <v>154419689</v>
      </c>
      <c r="AA98" s="721">
        <v>0</v>
      </c>
      <c r="AB98" s="722">
        <v>0.36361296620735534</v>
      </c>
    </row>
    <row r="99" spans="1:30" ht="24" customHeight="1">
      <c r="A99" s="32" t="e">
        <v>#REF!</v>
      </c>
      <c r="B99" s="132" t="s">
        <v>405</v>
      </c>
      <c r="C99" s="133" t="s">
        <v>23</v>
      </c>
      <c r="D99" s="133" t="s">
        <v>65</v>
      </c>
      <c r="E99" s="133" t="s">
        <v>136</v>
      </c>
      <c r="F99" s="133" t="s">
        <v>54</v>
      </c>
      <c r="G99" s="133"/>
      <c r="H99" s="133"/>
      <c r="I99" s="133"/>
      <c r="J99" s="133" t="s">
        <v>28</v>
      </c>
      <c r="K99" s="134" t="s">
        <v>29</v>
      </c>
      <c r="L99" s="134" t="s">
        <v>138</v>
      </c>
      <c r="M99" s="135">
        <v>534000000</v>
      </c>
      <c r="N99" s="136">
        <v>0</v>
      </c>
      <c r="O99" s="136">
        <v>0</v>
      </c>
      <c r="P99" s="135">
        <v>100000000</v>
      </c>
      <c r="Q99" s="135">
        <v>100000000</v>
      </c>
      <c r="R99" s="136">
        <v>0</v>
      </c>
      <c r="S99" s="135">
        <v>534000000</v>
      </c>
      <c r="T99" s="135">
        <v>424681470</v>
      </c>
      <c r="U99" s="135">
        <v>109318530</v>
      </c>
      <c r="V99" s="137">
        <v>0.79528365168539328</v>
      </c>
      <c r="W99" s="135">
        <v>154419689</v>
      </c>
      <c r="X99" s="135">
        <v>270261781</v>
      </c>
      <c r="Y99" s="137">
        <v>0.63638703379264461</v>
      </c>
      <c r="Z99" s="135">
        <v>154419689</v>
      </c>
      <c r="AA99" s="136">
        <v>0</v>
      </c>
      <c r="AB99" s="723">
        <v>0.36361296620735534</v>
      </c>
    </row>
    <row r="100" spans="1:30" ht="24.95" customHeight="1">
      <c r="A100" s="32" t="e">
        <v>#REF!</v>
      </c>
      <c r="B100" s="138" t="s">
        <v>407</v>
      </c>
      <c r="C100" s="139" t="s">
        <v>23</v>
      </c>
      <c r="D100" s="139" t="s">
        <v>65</v>
      </c>
      <c r="E100" s="139" t="s">
        <v>136</v>
      </c>
      <c r="F100" s="139" t="s">
        <v>54</v>
      </c>
      <c r="G100" s="139" t="s">
        <v>52</v>
      </c>
      <c r="H100" s="139"/>
      <c r="I100" s="139"/>
      <c r="J100" s="139" t="s">
        <v>28</v>
      </c>
      <c r="K100" s="140" t="s">
        <v>29</v>
      </c>
      <c r="L100" s="140" t="s">
        <v>139</v>
      </c>
      <c r="M100" s="141">
        <v>534000000</v>
      </c>
      <c r="N100" s="142">
        <v>0</v>
      </c>
      <c r="O100" s="142">
        <v>0</v>
      </c>
      <c r="P100" s="141">
        <v>100000000</v>
      </c>
      <c r="Q100" s="141">
        <v>100000000</v>
      </c>
      <c r="R100" s="142">
        <v>0</v>
      </c>
      <c r="S100" s="141">
        <v>534000000</v>
      </c>
      <c r="T100" s="141">
        <v>424681470</v>
      </c>
      <c r="U100" s="141">
        <v>109318530</v>
      </c>
      <c r="V100" s="143">
        <v>0.79528365168539328</v>
      </c>
      <c r="W100" s="141">
        <v>154419689</v>
      </c>
      <c r="X100" s="141">
        <v>270261781</v>
      </c>
      <c r="Y100" s="143">
        <v>0.63638703379264461</v>
      </c>
      <c r="Z100" s="141">
        <v>154419689</v>
      </c>
      <c r="AA100" s="142">
        <v>0</v>
      </c>
      <c r="AB100" s="724">
        <v>0.36361296620735534</v>
      </c>
    </row>
    <row r="101" spans="1:30" ht="24.95" customHeight="1">
      <c r="A101" s="32" t="e">
        <v>#REF!</v>
      </c>
      <c r="B101" s="144" t="s">
        <v>409</v>
      </c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52</v>
      </c>
      <c r="H101" s="145" t="s">
        <v>31</v>
      </c>
      <c r="I101" s="145"/>
      <c r="J101" s="145" t="s">
        <v>28</v>
      </c>
      <c r="K101" s="146" t="s">
        <v>29</v>
      </c>
      <c r="L101" s="147" t="s">
        <v>140</v>
      </c>
      <c r="M101" s="148">
        <v>367000000</v>
      </c>
      <c r="N101" s="148"/>
      <c r="O101" s="148"/>
      <c r="P101" s="148"/>
      <c r="Q101" s="149">
        <v>100000000</v>
      </c>
      <c r="R101" s="148"/>
      <c r="S101" s="148">
        <v>267000000</v>
      </c>
      <c r="T101" s="148">
        <v>196993622</v>
      </c>
      <c r="U101" s="148">
        <v>70006378</v>
      </c>
      <c r="V101" s="150">
        <v>0.7378038277153558</v>
      </c>
      <c r="W101" s="148">
        <v>114375962</v>
      </c>
      <c r="X101" s="148">
        <v>82617660</v>
      </c>
      <c r="Y101" s="150">
        <v>0.41939256287190863</v>
      </c>
      <c r="Z101" s="148">
        <v>114375962</v>
      </c>
      <c r="AA101" s="148">
        <v>0</v>
      </c>
      <c r="AB101" s="150">
        <v>0.58060743712809137</v>
      </c>
    </row>
    <row r="102" spans="1:30" ht="24.95" customHeight="1">
      <c r="A102" s="32" t="e">
        <v>#REF!</v>
      </c>
      <c r="B102" s="144" t="s">
        <v>411</v>
      </c>
      <c r="C102" s="145" t="s">
        <v>23</v>
      </c>
      <c r="D102" s="145" t="s">
        <v>65</v>
      </c>
      <c r="E102" s="145" t="s">
        <v>136</v>
      </c>
      <c r="F102" s="145" t="s">
        <v>54</v>
      </c>
      <c r="G102" s="145" t="s">
        <v>52</v>
      </c>
      <c r="H102" s="145" t="s">
        <v>34</v>
      </c>
      <c r="I102" s="145"/>
      <c r="J102" s="145" t="s">
        <v>28</v>
      </c>
      <c r="K102" s="146" t="s">
        <v>29</v>
      </c>
      <c r="L102" s="147" t="s">
        <v>141</v>
      </c>
      <c r="M102" s="148">
        <v>167000000</v>
      </c>
      <c r="N102" s="148"/>
      <c r="O102" s="148"/>
      <c r="P102" s="149">
        <v>100000000</v>
      </c>
      <c r="Q102" s="148"/>
      <c r="R102" s="148"/>
      <c r="S102" s="148">
        <v>267000000</v>
      </c>
      <c r="T102" s="148">
        <v>227687848</v>
      </c>
      <c r="U102" s="148">
        <v>39312152</v>
      </c>
      <c r="V102" s="150">
        <v>0.85276347565543076</v>
      </c>
      <c r="W102" s="148">
        <v>40043727</v>
      </c>
      <c r="X102" s="148">
        <v>187644121</v>
      </c>
      <c r="Y102" s="150">
        <v>0.8241288353693782</v>
      </c>
      <c r="Z102" s="148">
        <v>40043727</v>
      </c>
      <c r="AA102" s="148">
        <v>0</v>
      </c>
      <c r="AB102" s="150">
        <v>0.17587116463062183</v>
      </c>
    </row>
    <row r="103" spans="1:30" ht="24.95" hidden="1" customHeight="1">
      <c r="A103" s="32" t="e">
        <v>#REF!</v>
      </c>
      <c r="B103" s="32"/>
      <c r="C103" s="145" t="s">
        <v>23</v>
      </c>
      <c r="D103" s="145" t="s">
        <v>65</v>
      </c>
      <c r="E103" s="145" t="s">
        <v>136</v>
      </c>
      <c r="F103" s="145" t="s">
        <v>54</v>
      </c>
      <c r="G103" s="145" t="s">
        <v>142</v>
      </c>
      <c r="H103" s="145"/>
      <c r="I103" s="145"/>
      <c r="J103" s="145" t="s">
        <v>28</v>
      </c>
      <c r="K103" s="146" t="s">
        <v>29</v>
      </c>
      <c r="L103" s="147" t="s">
        <v>260</v>
      </c>
      <c r="M103" s="148">
        <v>0</v>
      </c>
      <c r="N103" s="148"/>
      <c r="O103" s="148"/>
      <c r="P103" s="148"/>
      <c r="Q103" s="148"/>
      <c r="R103" s="148"/>
      <c r="S103" s="148">
        <v>0</v>
      </c>
      <c r="T103" s="148">
        <v>0</v>
      </c>
      <c r="U103" s="148">
        <v>0</v>
      </c>
      <c r="V103" s="150">
        <v>0</v>
      </c>
      <c r="W103" s="148">
        <v>0</v>
      </c>
      <c r="X103" s="148">
        <v>0</v>
      </c>
      <c r="Y103" s="150">
        <v>0</v>
      </c>
      <c r="Z103" s="148">
        <v>0</v>
      </c>
      <c r="AA103" s="148">
        <v>0</v>
      </c>
      <c r="AB103" s="150">
        <v>0</v>
      </c>
    </row>
    <row r="104" spans="1:30" ht="24" customHeight="1">
      <c r="A104" s="32" t="e">
        <v>#REF!</v>
      </c>
      <c r="B104" s="127" t="s">
        <v>415</v>
      </c>
      <c r="C104" s="128" t="s">
        <v>23</v>
      </c>
      <c r="D104" s="128" t="s">
        <v>65</v>
      </c>
      <c r="E104" s="128" t="s">
        <v>28</v>
      </c>
      <c r="F104" s="128"/>
      <c r="G104" s="128"/>
      <c r="H104" s="128"/>
      <c r="I104" s="128"/>
      <c r="J104" s="129"/>
      <c r="K104" s="129"/>
      <c r="L104" s="129" t="s">
        <v>143</v>
      </c>
      <c r="M104" s="130">
        <v>2675000000</v>
      </c>
      <c r="N104" s="721">
        <v>0</v>
      </c>
      <c r="O104" s="721">
        <v>0</v>
      </c>
      <c r="P104" s="721">
        <v>0</v>
      </c>
      <c r="Q104" s="721">
        <v>0</v>
      </c>
      <c r="R104" s="721">
        <v>0</v>
      </c>
      <c r="S104" s="130">
        <v>2675000000</v>
      </c>
      <c r="T104" s="130">
        <v>1863819201</v>
      </c>
      <c r="U104" s="130">
        <v>811180799</v>
      </c>
      <c r="V104" s="131">
        <v>0.69675484149532707</v>
      </c>
      <c r="W104" s="130">
        <v>1863819201</v>
      </c>
      <c r="X104" s="130">
        <v>0</v>
      </c>
      <c r="Y104" s="131">
        <v>0</v>
      </c>
      <c r="Z104" s="130">
        <v>1863819201</v>
      </c>
      <c r="AA104" s="130">
        <v>0</v>
      </c>
      <c r="AB104" s="722">
        <v>1</v>
      </c>
    </row>
    <row r="105" spans="1:30" ht="24" customHeight="1">
      <c r="A105" s="32" t="e">
        <v>#REF!</v>
      </c>
      <c r="B105" s="132" t="s">
        <v>417</v>
      </c>
      <c r="C105" s="133" t="s">
        <v>23</v>
      </c>
      <c r="D105" s="133" t="s">
        <v>65</v>
      </c>
      <c r="E105" s="133" t="s">
        <v>28</v>
      </c>
      <c r="F105" s="133" t="s">
        <v>25</v>
      </c>
      <c r="G105" s="133"/>
      <c r="H105" s="133"/>
      <c r="I105" s="133"/>
      <c r="J105" s="133" t="s">
        <v>144</v>
      </c>
      <c r="K105" s="134" t="s">
        <v>29</v>
      </c>
      <c r="L105" s="134" t="s">
        <v>145</v>
      </c>
      <c r="M105" s="135">
        <v>2675000000</v>
      </c>
      <c r="N105" s="136">
        <v>0</v>
      </c>
      <c r="O105" s="136">
        <v>0</v>
      </c>
      <c r="P105" s="136">
        <v>0</v>
      </c>
      <c r="Q105" s="136">
        <v>0</v>
      </c>
      <c r="R105" s="136">
        <v>0</v>
      </c>
      <c r="S105" s="135">
        <v>2675000000</v>
      </c>
      <c r="T105" s="135">
        <v>1863819201</v>
      </c>
      <c r="U105" s="135">
        <v>811180799</v>
      </c>
      <c r="V105" s="137">
        <v>0.69675484149532707</v>
      </c>
      <c r="W105" s="135">
        <v>1863819201</v>
      </c>
      <c r="X105" s="136">
        <v>0</v>
      </c>
      <c r="Y105" s="137">
        <v>0</v>
      </c>
      <c r="Z105" s="135">
        <v>1863819201</v>
      </c>
      <c r="AA105" s="135">
        <v>0</v>
      </c>
      <c r="AB105" s="723">
        <v>1</v>
      </c>
    </row>
    <row r="106" spans="1:30" ht="24.95" customHeight="1">
      <c r="A106" s="32" t="e">
        <v>#REF!</v>
      </c>
      <c r="B106" s="144" t="s">
        <v>418</v>
      </c>
      <c r="C106" s="145" t="s">
        <v>23</v>
      </c>
      <c r="D106" s="145" t="s">
        <v>65</v>
      </c>
      <c r="E106" s="145" t="s">
        <v>28</v>
      </c>
      <c r="F106" s="145" t="s">
        <v>25</v>
      </c>
      <c r="G106" s="145" t="s">
        <v>31</v>
      </c>
      <c r="H106" s="145"/>
      <c r="I106" s="145"/>
      <c r="J106" s="145">
        <v>10</v>
      </c>
      <c r="K106" s="146" t="s">
        <v>29</v>
      </c>
      <c r="L106" s="147" t="s">
        <v>146</v>
      </c>
      <c r="M106" s="148">
        <v>2675000000</v>
      </c>
      <c r="N106" s="148"/>
      <c r="O106" s="148"/>
      <c r="P106" s="148"/>
      <c r="Q106" s="148"/>
      <c r="R106" s="148"/>
      <c r="S106" s="148">
        <v>2675000000</v>
      </c>
      <c r="T106" s="149">
        <v>1863819201</v>
      </c>
      <c r="U106" s="148">
        <v>811180799</v>
      </c>
      <c r="V106" s="150">
        <v>0.69675484149532707</v>
      </c>
      <c r="W106" s="148">
        <v>1863819201</v>
      </c>
      <c r="X106" s="148">
        <v>0</v>
      </c>
      <c r="Y106" s="150">
        <v>0</v>
      </c>
      <c r="Z106" s="148">
        <v>1863819201</v>
      </c>
      <c r="AA106" s="148">
        <v>0</v>
      </c>
      <c r="AB106" s="150">
        <v>1</v>
      </c>
    </row>
    <row r="107" spans="1:30" ht="24" customHeight="1">
      <c r="A107" s="32" t="e">
        <v>#REF!</v>
      </c>
      <c r="B107" s="122" t="s">
        <v>421</v>
      </c>
      <c r="C107" s="123" t="s">
        <v>23</v>
      </c>
      <c r="D107" s="123" t="s">
        <v>148</v>
      </c>
      <c r="E107" s="123"/>
      <c r="F107" s="123"/>
      <c r="G107" s="123"/>
      <c r="H107" s="123"/>
      <c r="I107" s="123"/>
      <c r="J107" s="124"/>
      <c r="K107" s="124"/>
      <c r="L107" s="124" t="s">
        <v>149</v>
      </c>
      <c r="M107" s="125">
        <v>6047000000</v>
      </c>
      <c r="N107" s="719">
        <v>0</v>
      </c>
      <c r="O107" s="719">
        <v>0</v>
      </c>
      <c r="P107" s="125">
        <v>8822468942</v>
      </c>
      <c r="Q107" s="719">
        <v>0</v>
      </c>
      <c r="R107" s="719">
        <v>0</v>
      </c>
      <c r="S107" s="125">
        <v>14869468942</v>
      </c>
      <c r="T107" s="125">
        <v>5998517761</v>
      </c>
      <c r="U107" s="125">
        <v>8870951181</v>
      </c>
      <c r="V107" s="126">
        <v>0.40341170114399366</v>
      </c>
      <c r="W107" s="125">
        <v>5998487420.1300001</v>
      </c>
      <c r="X107" s="125">
        <v>30340.870000001043</v>
      </c>
      <c r="Y107" s="126">
        <v>5.0580612092649673E-6</v>
      </c>
      <c r="Z107" s="125">
        <v>5998356303.1300001</v>
      </c>
      <c r="AA107" s="125">
        <v>131117</v>
      </c>
      <c r="AB107" s="720">
        <v>0.99997308370560312</v>
      </c>
    </row>
    <row r="108" spans="1:30" ht="24" customHeight="1">
      <c r="A108" s="32" t="e">
        <v>#REF!</v>
      </c>
      <c r="B108" s="127" t="s">
        <v>423</v>
      </c>
      <c r="C108" s="128" t="s">
        <v>23</v>
      </c>
      <c r="D108" s="128" t="s">
        <v>148</v>
      </c>
      <c r="E108" s="128" t="s">
        <v>25</v>
      </c>
      <c r="F108" s="128"/>
      <c r="G108" s="128"/>
      <c r="H108" s="128"/>
      <c r="I108" s="128"/>
      <c r="J108" s="129"/>
      <c r="K108" s="129"/>
      <c r="L108" s="129" t="s">
        <v>150</v>
      </c>
      <c r="M108" s="130">
        <v>134000000</v>
      </c>
      <c r="N108" s="721">
        <v>0</v>
      </c>
      <c r="O108" s="721">
        <v>0</v>
      </c>
      <c r="P108" s="721">
        <v>0</v>
      </c>
      <c r="Q108" s="721">
        <v>0</v>
      </c>
      <c r="R108" s="721">
        <v>0</v>
      </c>
      <c r="S108" s="130">
        <v>134000000</v>
      </c>
      <c r="T108" s="130">
        <v>85517761</v>
      </c>
      <c r="U108" s="130">
        <v>48482239</v>
      </c>
      <c r="V108" s="131">
        <v>0.63819224626865667</v>
      </c>
      <c r="W108" s="130">
        <v>85487420.129999995</v>
      </c>
      <c r="X108" s="130">
        <v>30340.870000001043</v>
      </c>
      <c r="Y108" s="131">
        <v>3.5479027567151861E-4</v>
      </c>
      <c r="Z108" s="130">
        <v>85356303.129999995</v>
      </c>
      <c r="AA108" s="130">
        <v>131117</v>
      </c>
      <c r="AB108" s="722">
        <v>0.99811199605658518</v>
      </c>
    </row>
    <row r="109" spans="1:30" ht="24" customHeight="1">
      <c r="A109" s="32" t="e">
        <v>#REF!</v>
      </c>
      <c r="B109" s="132" t="s">
        <v>425</v>
      </c>
      <c r="C109" s="133" t="s">
        <v>23</v>
      </c>
      <c r="D109" s="133" t="s">
        <v>148</v>
      </c>
      <c r="E109" s="133" t="s">
        <v>25</v>
      </c>
      <c r="F109" s="133" t="s">
        <v>54</v>
      </c>
      <c r="G109" s="133"/>
      <c r="H109" s="133"/>
      <c r="I109" s="133"/>
      <c r="J109" s="133" t="s">
        <v>28</v>
      </c>
      <c r="K109" s="134" t="s">
        <v>29</v>
      </c>
      <c r="L109" s="134" t="s">
        <v>151</v>
      </c>
      <c r="M109" s="135">
        <v>134000000</v>
      </c>
      <c r="N109" s="136">
        <v>0</v>
      </c>
      <c r="O109" s="136">
        <v>0</v>
      </c>
      <c r="P109" s="136">
        <v>0</v>
      </c>
      <c r="Q109" s="136">
        <v>0</v>
      </c>
      <c r="R109" s="136">
        <v>0</v>
      </c>
      <c r="S109" s="135">
        <v>134000000</v>
      </c>
      <c r="T109" s="135">
        <v>85517761</v>
      </c>
      <c r="U109" s="135">
        <v>48482239</v>
      </c>
      <c r="V109" s="137">
        <v>0.63819224626865667</v>
      </c>
      <c r="W109" s="135">
        <v>85487420.129999995</v>
      </c>
      <c r="X109" s="136">
        <v>30340.870000001043</v>
      </c>
      <c r="Y109" s="137">
        <v>3.5479027567151861E-4</v>
      </c>
      <c r="Z109" s="135">
        <v>85356303.129999995</v>
      </c>
      <c r="AA109" s="135">
        <v>131117</v>
      </c>
      <c r="AB109" s="723">
        <v>0.99811199605658518</v>
      </c>
    </row>
    <row r="110" spans="1:30" ht="24.95" customHeight="1">
      <c r="A110" s="32" t="e">
        <v>#REF!</v>
      </c>
      <c r="B110" s="144" t="s">
        <v>427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31</v>
      </c>
      <c r="H110" s="145"/>
      <c r="I110" s="145"/>
      <c r="J110" s="145" t="s">
        <v>28</v>
      </c>
      <c r="K110" s="146" t="s">
        <v>29</v>
      </c>
      <c r="L110" s="147" t="s">
        <v>152</v>
      </c>
      <c r="M110" s="148">
        <v>60000000</v>
      </c>
      <c r="N110" s="148"/>
      <c r="O110" s="148"/>
      <c r="P110" s="148"/>
      <c r="Q110" s="148"/>
      <c r="R110" s="148"/>
      <c r="S110" s="148">
        <v>60000000</v>
      </c>
      <c r="T110" s="148">
        <v>50544836</v>
      </c>
      <c r="U110" s="148">
        <v>9455164</v>
      </c>
      <c r="V110" s="150">
        <v>0.84241393333333336</v>
      </c>
      <c r="W110" s="148">
        <v>50544836</v>
      </c>
      <c r="X110" s="148">
        <v>0</v>
      </c>
      <c r="Y110" s="150">
        <v>0</v>
      </c>
      <c r="Z110" s="148">
        <v>50544836</v>
      </c>
      <c r="AA110" s="148">
        <v>0</v>
      </c>
      <c r="AB110" s="150">
        <v>1</v>
      </c>
    </row>
    <row r="111" spans="1:30" ht="24.95" customHeight="1">
      <c r="A111" s="32" t="e">
        <v>#REF!</v>
      </c>
      <c r="B111" s="144" t="s">
        <v>429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38</v>
      </c>
      <c r="H111" s="145"/>
      <c r="I111" s="145"/>
      <c r="J111" s="145" t="s">
        <v>28</v>
      </c>
      <c r="K111" s="146" t="s">
        <v>29</v>
      </c>
      <c r="L111" s="147" t="s">
        <v>153</v>
      </c>
      <c r="M111" s="148">
        <v>59000000</v>
      </c>
      <c r="N111" s="148"/>
      <c r="O111" s="148"/>
      <c r="P111" s="148"/>
      <c r="Q111" s="148"/>
      <c r="R111" s="148"/>
      <c r="S111" s="148">
        <v>59000000</v>
      </c>
      <c r="T111" s="148">
        <v>28027895</v>
      </c>
      <c r="U111" s="148">
        <v>30972105</v>
      </c>
      <c r="V111" s="150">
        <v>0.47504906779661016</v>
      </c>
      <c r="W111" s="148">
        <v>27997554.129999999</v>
      </c>
      <c r="X111" s="148">
        <v>30340.870000001043</v>
      </c>
      <c r="Y111" s="150">
        <v>1.0825240354297404E-3</v>
      </c>
      <c r="Z111" s="148">
        <v>27866437.129999999</v>
      </c>
      <c r="AA111" s="148">
        <v>131117</v>
      </c>
      <c r="AB111" s="150">
        <v>0.99423938651118815</v>
      </c>
    </row>
    <row r="112" spans="1:30" ht="24.95" customHeight="1">
      <c r="A112" s="32" t="e">
        <v>#REF!</v>
      </c>
      <c r="B112" s="144" t="s">
        <v>431</v>
      </c>
      <c r="C112" s="145" t="s">
        <v>23</v>
      </c>
      <c r="D112" s="145" t="s">
        <v>148</v>
      </c>
      <c r="E112" s="145" t="s">
        <v>25</v>
      </c>
      <c r="F112" s="145" t="s">
        <v>54</v>
      </c>
      <c r="G112" s="145" t="s">
        <v>42</v>
      </c>
      <c r="H112" s="145"/>
      <c r="I112" s="145"/>
      <c r="J112" s="145" t="s">
        <v>28</v>
      </c>
      <c r="K112" s="146" t="s">
        <v>29</v>
      </c>
      <c r="L112" s="147" t="s">
        <v>154</v>
      </c>
      <c r="M112" s="148">
        <v>15000000</v>
      </c>
      <c r="N112" s="148"/>
      <c r="O112" s="148"/>
      <c r="P112" s="148"/>
      <c r="Q112" s="148"/>
      <c r="R112" s="148"/>
      <c r="S112" s="148">
        <v>15000000</v>
      </c>
      <c r="T112" s="148">
        <v>6945030</v>
      </c>
      <c r="U112" s="148">
        <v>8054970</v>
      </c>
      <c r="V112" s="150">
        <v>0.46300200000000002</v>
      </c>
      <c r="W112" s="148">
        <v>6945030</v>
      </c>
      <c r="X112" s="148">
        <v>0</v>
      </c>
      <c r="Y112" s="150">
        <v>0</v>
      </c>
      <c r="Z112" s="148">
        <v>6945030</v>
      </c>
      <c r="AA112" s="148">
        <v>0</v>
      </c>
      <c r="AB112" s="150">
        <v>1</v>
      </c>
    </row>
    <row r="113" spans="1:28" ht="24" customHeight="1">
      <c r="A113" s="32" t="e">
        <v>#REF!</v>
      </c>
      <c r="B113" s="127" t="s">
        <v>432</v>
      </c>
      <c r="C113" s="128" t="s">
        <v>23</v>
      </c>
      <c r="D113" s="128" t="s">
        <v>148</v>
      </c>
      <c r="E113" s="128" t="s">
        <v>136</v>
      </c>
      <c r="F113" s="128"/>
      <c r="G113" s="128"/>
      <c r="H113" s="128"/>
      <c r="I113" s="128"/>
      <c r="J113" s="129"/>
      <c r="K113" s="129"/>
      <c r="L113" s="129" t="s">
        <v>155</v>
      </c>
      <c r="M113" s="130">
        <v>5913000000</v>
      </c>
      <c r="N113" s="721">
        <v>0</v>
      </c>
      <c r="O113" s="721">
        <v>0</v>
      </c>
      <c r="P113" s="130">
        <v>8822468942</v>
      </c>
      <c r="Q113" s="721">
        <v>0</v>
      </c>
      <c r="R113" s="721">
        <v>0</v>
      </c>
      <c r="S113" s="130">
        <v>14735468942</v>
      </c>
      <c r="T113" s="130">
        <v>5913000000</v>
      </c>
      <c r="U113" s="130">
        <v>8822468942</v>
      </c>
      <c r="V113" s="131">
        <v>0.40127667624790547</v>
      </c>
      <c r="W113" s="130">
        <v>5913000000</v>
      </c>
      <c r="X113" s="130">
        <v>0</v>
      </c>
      <c r="Y113" s="131">
        <v>0</v>
      </c>
      <c r="Z113" s="130">
        <v>5913000000</v>
      </c>
      <c r="AA113" s="130">
        <v>0</v>
      </c>
      <c r="AB113" s="722">
        <v>1</v>
      </c>
    </row>
    <row r="114" spans="1:28" ht="24.95" hidden="1" customHeight="1">
      <c r="A114" s="32"/>
      <c r="B114" s="32"/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>
        <v>10</v>
      </c>
      <c r="K114" s="146" t="s">
        <v>156</v>
      </c>
      <c r="L114" s="147" t="s">
        <v>157</v>
      </c>
      <c r="M114" s="148">
        <v>0</v>
      </c>
      <c r="N114" s="148"/>
      <c r="O114" s="148"/>
      <c r="P114" s="148"/>
      <c r="Q114" s="148"/>
      <c r="R114" s="148"/>
      <c r="S114" s="148">
        <v>0</v>
      </c>
      <c r="T114" s="148">
        <v>0</v>
      </c>
      <c r="U114" s="148">
        <v>0</v>
      </c>
      <c r="V114" s="150">
        <v>0</v>
      </c>
      <c r="W114" s="148">
        <v>0</v>
      </c>
      <c r="X114" s="148">
        <v>0</v>
      </c>
      <c r="Y114" s="150">
        <v>0</v>
      </c>
      <c r="Z114" s="148">
        <v>0</v>
      </c>
      <c r="AA114" s="148">
        <v>0</v>
      </c>
      <c r="AB114" s="150">
        <v>0</v>
      </c>
    </row>
    <row r="115" spans="1:28" ht="24.95" customHeight="1">
      <c r="A115" s="32" t="e">
        <v>#REF!</v>
      </c>
      <c r="B115" s="144" t="s">
        <v>434</v>
      </c>
      <c r="C115" s="145" t="s">
        <v>23</v>
      </c>
      <c r="D115" s="145" t="s">
        <v>148</v>
      </c>
      <c r="E115" s="145" t="s">
        <v>136</v>
      </c>
      <c r="F115" s="145" t="s">
        <v>25</v>
      </c>
      <c r="G115" s="145"/>
      <c r="H115" s="145"/>
      <c r="I115" s="145"/>
      <c r="J115" s="145" t="s">
        <v>144</v>
      </c>
      <c r="K115" s="146" t="s">
        <v>29</v>
      </c>
      <c r="L115" s="147" t="s">
        <v>157</v>
      </c>
      <c r="M115" s="148"/>
      <c r="N115" s="148"/>
      <c r="O115" s="148"/>
      <c r="P115" s="148">
        <v>8822468942</v>
      </c>
      <c r="Q115" s="148"/>
      <c r="R115" s="148"/>
      <c r="S115" s="148">
        <v>8822468942</v>
      </c>
      <c r="T115" s="149"/>
      <c r="U115" s="148">
        <v>8822468942</v>
      </c>
      <c r="V115" s="150">
        <v>0</v>
      </c>
      <c r="W115" s="148"/>
      <c r="X115" s="148">
        <v>0</v>
      </c>
      <c r="Y115" s="150">
        <v>0</v>
      </c>
      <c r="Z115" s="148"/>
      <c r="AA115" s="148">
        <v>0</v>
      </c>
      <c r="AB115" s="150">
        <v>0</v>
      </c>
    </row>
    <row r="116" spans="1:28" ht="24.95" customHeight="1">
      <c r="A116" s="32" t="e">
        <v>#REF!</v>
      </c>
      <c r="B116" s="144" t="s">
        <v>434</v>
      </c>
      <c r="C116" s="145" t="s">
        <v>23</v>
      </c>
      <c r="D116" s="145" t="s">
        <v>148</v>
      </c>
      <c r="E116" s="145" t="s">
        <v>136</v>
      </c>
      <c r="F116" s="145" t="s">
        <v>25</v>
      </c>
      <c r="G116" s="145"/>
      <c r="H116" s="145"/>
      <c r="I116" s="145"/>
      <c r="J116" s="145" t="s">
        <v>144</v>
      </c>
      <c r="K116" s="146" t="s">
        <v>156</v>
      </c>
      <c r="L116" s="147" t="s">
        <v>157</v>
      </c>
      <c r="M116" s="148">
        <v>5913000000</v>
      </c>
      <c r="N116" s="148"/>
      <c r="O116" s="148"/>
      <c r="P116" s="148"/>
      <c r="Q116" s="148"/>
      <c r="R116" s="148"/>
      <c r="S116" s="148">
        <v>5913000000</v>
      </c>
      <c r="T116" s="149">
        <v>5913000000</v>
      </c>
      <c r="U116" s="148">
        <v>0</v>
      </c>
      <c r="V116" s="150">
        <v>1</v>
      </c>
      <c r="W116" s="148">
        <v>5913000000</v>
      </c>
      <c r="X116" s="148">
        <v>0</v>
      </c>
      <c r="Y116" s="150">
        <v>0</v>
      </c>
      <c r="Z116" s="148">
        <v>5913000000</v>
      </c>
      <c r="AA116" s="148">
        <v>0</v>
      </c>
      <c r="AB116" s="150">
        <v>1</v>
      </c>
    </row>
    <row r="117" spans="1:28" ht="35.1" customHeight="1">
      <c r="A117" s="32" t="e">
        <v>#REF!</v>
      </c>
      <c r="B117" s="117" t="s">
        <v>167</v>
      </c>
      <c r="C117" s="118" t="s">
        <v>167</v>
      </c>
      <c r="D117" s="119"/>
      <c r="E117" s="119"/>
      <c r="F117" s="119"/>
      <c r="G117" s="119"/>
      <c r="H117" s="119"/>
      <c r="I117" s="119"/>
      <c r="J117" s="119"/>
      <c r="K117" s="119"/>
      <c r="L117" s="119" t="s">
        <v>168</v>
      </c>
      <c r="M117" s="120">
        <v>6230508633098</v>
      </c>
      <c r="N117" s="120">
        <v>130000000000</v>
      </c>
      <c r="O117" s="717">
        <v>0</v>
      </c>
      <c r="P117" s="120">
        <v>117525510728.53</v>
      </c>
      <c r="Q117" s="120">
        <v>117525510728.53</v>
      </c>
      <c r="R117" s="120">
        <v>45123372017</v>
      </c>
      <c r="S117" s="120">
        <v>6315385261081</v>
      </c>
      <c r="T117" s="120">
        <v>4838051625193.4395</v>
      </c>
      <c r="U117" s="120">
        <v>1477333635887.5603</v>
      </c>
      <c r="V117" s="121">
        <v>0.76607386963520152</v>
      </c>
      <c r="W117" s="120">
        <v>4318399825626.6001</v>
      </c>
      <c r="X117" s="120">
        <v>519651799566.83997</v>
      </c>
      <c r="Y117" s="121">
        <v>0.10740931263751506</v>
      </c>
      <c r="Z117" s="120">
        <v>3973352280838.8696</v>
      </c>
      <c r="AA117" s="120">
        <v>345047544787.72998</v>
      </c>
      <c r="AB117" s="718">
        <v>0.82127116216541063</v>
      </c>
    </row>
    <row r="118" spans="1:28" ht="27.75" customHeight="1">
      <c r="A118" s="32" t="e">
        <v>#REF!</v>
      </c>
      <c r="B118" s="122" t="s">
        <v>437</v>
      </c>
      <c r="C118" s="123" t="s">
        <v>167</v>
      </c>
      <c r="D118" s="123">
        <v>4101</v>
      </c>
      <c r="E118" s="123"/>
      <c r="F118" s="123"/>
      <c r="G118" s="123"/>
      <c r="H118" s="123"/>
      <c r="I118" s="123"/>
      <c r="J118" s="124"/>
      <c r="K118" s="124"/>
      <c r="L118" s="124" t="s">
        <v>169</v>
      </c>
      <c r="M118" s="125">
        <v>10248574078</v>
      </c>
      <c r="N118" s="719">
        <v>0</v>
      </c>
      <c r="O118" s="719">
        <v>0</v>
      </c>
      <c r="P118" s="719">
        <v>0</v>
      </c>
      <c r="Q118" s="719">
        <v>0</v>
      </c>
      <c r="R118" s="719">
        <v>0</v>
      </c>
      <c r="S118" s="125">
        <v>10248574078</v>
      </c>
      <c r="T118" s="125">
        <v>10248574078</v>
      </c>
      <c r="U118" s="125">
        <v>0</v>
      </c>
      <c r="V118" s="126">
        <v>1</v>
      </c>
      <c r="W118" s="125">
        <v>10248574078</v>
      </c>
      <c r="X118" s="125">
        <v>0</v>
      </c>
      <c r="Y118" s="126">
        <v>0</v>
      </c>
      <c r="Z118" s="125">
        <v>10248574078</v>
      </c>
      <c r="AA118" s="125">
        <v>0</v>
      </c>
      <c r="AB118" s="720">
        <v>1</v>
      </c>
    </row>
    <row r="119" spans="1:28" ht="24" customHeight="1">
      <c r="A119" s="32" t="e">
        <v>#REF!</v>
      </c>
      <c r="B119" s="127" t="s">
        <v>295</v>
      </c>
      <c r="C119" s="128" t="s">
        <v>167</v>
      </c>
      <c r="D119" s="128">
        <v>4101</v>
      </c>
      <c r="E119" s="128">
        <v>1500</v>
      </c>
      <c r="F119" s="128"/>
      <c r="G119" s="128"/>
      <c r="H119" s="128"/>
      <c r="I119" s="128"/>
      <c r="J119" s="129"/>
      <c r="K119" s="129"/>
      <c r="L119" s="129" t="s">
        <v>170</v>
      </c>
      <c r="M119" s="130">
        <v>10248574078</v>
      </c>
      <c r="N119" s="721">
        <v>0</v>
      </c>
      <c r="O119" s="721">
        <v>0</v>
      </c>
      <c r="P119" s="721">
        <v>0</v>
      </c>
      <c r="Q119" s="721">
        <v>0</v>
      </c>
      <c r="R119" s="721">
        <v>0</v>
      </c>
      <c r="S119" s="130">
        <v>10248574078</v>
      </c>
      <c r="T119" s="130">
        <v>10248574078</v>
      </c>
      <c r="U119" s="721">
        <v>0</v>
      </c>
      <c r="V119" s="131">
        <v>1</v>
      </c>
      <c r="W119" s="130">
        <v>10248574078</v>
      </c>
      <c r="X119" s="721">
        <v>0</v>
      </c>
      <c r="Y119" s="131">
        <v>0</v>
      </c>
      <c r="Z119" s="130">
        <v>10248574078</v>
      </c>
      <c r="AA119" s="721">
        <v>0</v>
      </c>
      <c r="AB119" s="722">
        <v>1</v>
      </c>
    </row>
    <row r="120" spans="1:28" ht="39.75" hidden="1" customHeight="1">
      <c r="A120" s="32" t="e">
        <v>#REF!</v>
      </c>
      <c r="B120" s="32"/>
      <c r="C120" s="133" t="s">
        <v>167</v>
      </c>
      <c r="D120" s="133" t="s">
        <v>171</v>
      </c>
      <c r="E120" s="133" t="s">
        <v>172</v>
      </c>
      <c r="F120" s="133" t="s">
        <v>261</v>
      </c>
      <c r="G120" s="133"/>
      <c r="H120" s="133"/>
      <c r="I120" s="133"/>
      <c r="J120" s="133"/>
      <c r="K120" s="134"/>
      <c r="L120" s="134" t="s">
        <v>262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7">
        <v>0</v>
      </c>
      <c r="W120" s="136">
        <v>0</v>
      </c>
      <c r="X120" s="136">
        <v>0</v>
      </c>
      <c r="Y120" s="137">
        <v>0</v>
      </c>
      <c r="Z120" s="136">
        <v>0</v>
      </c>
      <c r="AA120" s="136">
        <v>0</v>
      </c>
      <c r="AB120" s="723">
        <v>0</v>
      </c>
    </row>
    <row r="121" spans="1:28" ht="24.95" hidden="1" customHeight="1">
      <c r="A121" s="32" t="e">
        <v>#REF!</v>
      </c>
      <c r="B121" s="32"/>
      <c r="C121" s="139" t="s">
        <v>167</v>
      </c>
      <c r="D121" s="139" t="s">
        <v>171</v>
      </c>
      <c r="E121" s="139" t="s">
        <v>172</v>
      </c>
      <c r="F121" s="139" t="s">
        <v>261</v>
      </c>
      <c r="G121" s="139" t="s">
        <v>175</v>
      </c>
      <c r="H121" s="139" t="s">
        <v>176</v>
      </c>
      <c r="I121" s="139"/>
      <c r="J121" s="139">
        <v>11</v>
      </c>
      <c r="K121" s="140" t="s">
        <v>29</v>
      </c>
      <c r="L121" s="140" t="s">
        <v>177</v>
      </c>
      <c r="M121" s="142">
        <v>0</v>
      </c>
      <c r="N121" s="142">
        <v>0</v>
      </c>
      <c r="O121" s="142">
        <v>0</v>
      </c>
      <c r="P121" s="142">
        <v>0</v>
      </c>
      <c r="Q121" s="142">
        <v>0</v>
      </c>
      <c r="R121" s="142">
        <v>0</v>
      </c>
      <c r="S121" s="142">
        <v>0</v>
      </c>
      <c r="T121" s="142">
        <v>0</v>
      </c>
      <c r="U121" s="142">
        <v>0</v>
      </c>
      <c r="V121" s="143">
        <v>0</v>
      </c>
      <c r="W121" s="142">
        <v>0</v>
      </c>
      <c r="X121" s="142">
        <v>0</v>
      </c>
      <c r="Y121" s="143">
        <v>0</v>
      </c>
      <c r="Z121" s="142">
        <v>0</v>
      </c>
      <c r="AA121" s="142">
        <v>0</v>
      </c>
      <c r="AB121" s="724">
        <v>0</v>
      </c>
    </row>
    <row r="122" spans="1:28" ht="24.95" hidden="1" customHeight="1">
      <c r="A122" s="32" t="e">
        <v>#REF!</v>
      </c>
      <c r="B122" s="32"/>
      <c r="C122" s="145" t="s">
        <v>167</v>
      </c>
      <c r="D122" s="145" t="s">
        <v>171</v>
      </c>
      <c r="E122" s="145" t="s">
        <v>172</v>
      </c>
      <c r="F122" s="145" t="s">
        <v>261</v>
      </c>
      <c r="G122" s="145" t="s">
        <v>175</v>
      </c>
      <c r="H122" s="145" t="s">
        <v>176</v>
      </c>
      <c r="I122" s="145" t="s">
        <v>54</v>
      </c>
      <c r="J122" s="145">
        <v>11</v>
      </c>
      <c r="K122" s="146" t="s">
        <v>29</v>
      </c>
      <c r="L122" s="147" t="s">
        <v>178</v>
      </c>
      <c r="M122" s="148"/>
      <c r="N122" s="148"/>
      <c r="O122" s="148"/>
      <c r="P122" s="148"/>
      <c r="Q122" s="148"/>
      <c r="R122" s="148"/>
      <c r="S122" s="148">
        <v>0</v>
      </c>
      <c r="T122" s="148"/>
      <c r="U122" s="148">
        <v>0</v>
      </c>
      <c r="V122" s="150">
        <v>0</v>
      </c>
      <c r="W122" s="148"/>
      <c r="X122" s="148">
        <v>0</v>
      </c>
      <c r="Y122" s="150">
        <v>0</v>
      </c>
      <c r="Z122" s="148"/>
      <c r="AA122" s="148">
        <v>0</v>
      </c>
      <c r="AB122" s="150">
        <v>0</v>
      </c>
    </row>
    <row r="123" spans="1:28" ht="24.95" hidden="1" customHeight="1">
      <c r="A123" s="32" t="e">
        <v>#REF!</v>
      </c>
      <c r="B123" s="32"/>
      <c r="C123" s="139" t="s">
        <v>167</v>
      </c>
      <c r="D123" s="139" t="s">
        <v>171</v>
      </c>
      <c r="E123" s="139" t="s">
        <v>172</v>
      </c>
      <c r="F123" s="139" t="s">
        <v>261</v>
      </c>
      <c r="G123" s="139" t="s">
        <v>175</v>
      </c>
      <c r="H123" s="139" t="s">
        <v>179</v>
      </c>
      <c r="I123" s="139"/>
      <c r="J123" s="139">
        <v>11</v>
      </c>
      <c r="K123" s="140" t="s">
        <v>29</v>
      </c>
      <c r="L123" s="140" t="s">
        <v>180</v>
      </c>
      <c r="M123" s="141">
        <v>0</v>
      </c>
      <c r="N123" s="142">
        <v>0</v>
      </c>
      <c r="O123" s="142">
        <v>0</v>
      </c>
      <c r="P123" s="142">
        <v>0</v>
      </c>
      <c r="Q123" s="142">
        <v>0</v>
      </c>
      <c r="R123" s="142">
        <v>0</v>
      </c>
      <c r="S123" s="141">
        <v>0</v>
      </c>
      <c r="T123" s="141">
        <v>0</v>
      </c>
      <c r="U123" s="141">
        <v>0</v>
      </c>
      <c r="V123" s="143">
        <v>0</v>
      </c>
      <c r="W123" s="141">
        <v>0</v>
      </c>
      <c r="X123" s="142">
        <v>0</v>
      </c>
      <c r="Y123" s="143">
        <v>0</v>
      </c>
      <c r="Z123" s="141">
        <v>0</v>
      </c>
      <c r="AA123" s="141">
        <v>0</v>
      </c>
      <c r="AB123" s="724">
        <v>0</v>
      </c>
    </row>
    <row r="124" spans="1:28" ht="24.95" hidden="1" customHeight="1">
      <c r="A124" s="32" t="e">
        <v>#REF!</v>
      </c>
      <c r="B124" s="32"/>
      <c r="C124" s="145" t="s">
        <v>167</v>
      </c>
      <c r="D124" s="145" t="s">
        <v>171</v>
      </c>
      <c r="E124" s="145" t="s">
        <v>172</v>
      </c>
      <c r="F124" s="145">
        <v>5</v>
      </c>
      <c r="G124" s="145" t="s">
        <v>175</v>
      </c>
      <c r="H124" s="145" t="s">
        <v>179</v>
      </c>
      <c r="I124" s="145" t="s">
        <v>54</v>
      </c>
      <c r="J124" s="145">
        <v>11</v>
      </c>
      <c r="K124" s="146" t="s">
        <v>29</v>
      </c>
      <c r="L124" s="147" t="s">
        <v>178</v>
      </c>
      <c r="M124" s="148"/>
      <c r="N124" s="148"/>
      <c r="O124" s="148"/>
      <c r="P124" s="148"/>
      <c r="Q124" s="148"/>
      <c r="R124" s="148"/>
      <c r="S124" s="148">
        <v>0</v>
      </c>
      <c r="T124" s="148"/>
      <c r="U124" s="148">
        <v>0</v>
      </c>
      <c r="V124" s="150">
        <v>0</v>
      </c>
      <c r="W124" s="148"/>
      <c r="X124" s="148">
        <v>0</v>
      </c>
      <c r="Y124" s="150">
        <v>0</v>
      </c>
      <c r="Z124" s="148"/>
      <c r="AA124" s="148">
        <v>0</v>
      </c>
      <c r="AB124" s="150">
        <v>0</v>
      </c>
    </row>
    <row r="125" spans="1:28" ht="24.95" hidden="1" customHeight="1">
      <c r="A125" s="32" t="e">
        <v>#REF!</v>
      </c>
      <c r="B125" s="32"/>
      <c r="C125" s="139" t="s">
        <v>167</v>
      </c>
      <c r="D125" s="139" t="s">
        <v>171</v>
      </c>
      <c r="E125" s="139" t="s">
        <v>172</v>
      </c>
      <c r="F125" s="139" t="s">
        <v>261</v>
      </c>
      <c r="G125" s="139" t="s">
        <v>175</v>
      </c>
      <c r="H125" s="139" t="s">
        <v>181</v>
      </c>
      <c r="I125" s="139"/>
      <c r="J125" s="139">
        <v>11</v>
      </c>
      <c r="K125" s="140" t="s">
        <v>29</v>
      </c>
      <c r="L125" s="140" t="s">
        <v>182</v>
      </c>
      <c r="M125" s="141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1">
        <v>0</v>
      </c>
      <c r="T125" s="141">
        <v>0</v>
      </c>
      <c r="U125" s="141">
        <v>0</v>
      </c>
      <c r="V125" s="143">
        <v>0</v>
      </c>
      <c r="W125" s="141">
        <v>0</v>
      </c>
      <c r="X125" s="142">
        <v>0</v>
      </c>
      <c r="Y125" s="143">
        <v>0</v>
      </c>
      <c r="Z125" s="141">
        <v>0</v>
      </c>
      <c r="AA125" s="141">
        <v>0</v>
      </c>
      <c r="AB125" s="724">
        <v>0</v>
      </c>
    </row>
    <row r="126" spans="1:28" ht="24.95" hidden="1" customHeight="1">
      <c r="A126" s="32" t="e">
        <v>#REF!</v>
      </c>
      <c r="B126" s="32"/>
      <c r="C126" s="145" t="s">
        <v>167</v>
      </c>
      <c r="D126" s="145" t="s">
        <v>171</v>
      </c>
      <c r="E126" s="145" t="s">
        <v>172</v>
      </c>
      <c r="F126" s="145" t="s">
        <v>261</v>
      </c>
      <c r="G126" s="145" t="s">
        <v>175</v>
      </c>
      <c r="H126" s="145" t="s">
        <v>181</v>
      </c>
      <c r="I126" s="145" t="s">
        <v>54</v>
      </c>
      <c r="J126" s="145">
        <v>11</v>
      </c>
      <c r="K126" s="146" t="s">
        <v>29</v>
      </c>
      <c r="L126" s="147" t="s">
        <v>178</v>
      </c>
      <c r="M126" s="148"/>
      <c r="N126" s="148"/>
      <c r="O126" s="148"/>
      <c r="P126" s="148"/>
      <c r="Q126" s="148"/>
      <c r="R126" s="148"/>
      <c r="S126" s="148">
        <v>0</v>
      </c>
      <c r="T126" s="148"/>
      <c r="U126" s="148">
        <v>0</v>
      </c>
      <c r="V126" s="150">
        <v>0</v>
      </c>
      <c r="W126" s="148"/>
      <c r="X126" s="148">
        <v>0</v>
      </c>
      <c r="Y126" s="150">
        <v>0</v>
      </c>
      <c r="Z126" s="148"/>
      <c r="AA126" s="148">
        <v>0</v>
      </c>
      <c r="AB126" s="150">
        <v>0</v>
      </c>
    </row>
    <row r="127" spans="1:28" ht="24.95" hidden="1" customHeight="1">
      <c r="A127" s="32" t="e">
        <v>#REF!</v>
      </c>
      <c r="B127" s="32"/>
      <c r="C127" s="139" t="s">
        <v>167</v>
      </c>
      <c r="D127" s="139" t="s">
        <v>171</v>
      </c>
      <c r="E127" s="139" t="s">
        <v>172</v>
      </c>
      <c r="F127" s="139" t="s">
        <v>261</v>
      </c>
      <c r="G127" s="139" t="s">
        <v>175</v>
      </c>
      <c r="H127" s="139" t="s">
        <v>183</v>
      </c>
      <c r="I127" s="139"/>
      <c r="J127" s="139">
        <v>11</v>
      </c>
      <c r="K127" s="140" t="s">
        <v>29</v>
      </c>
      <c r="L127" s="140" t="s">
        <v>184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32"/>
      <c r="C128" s="145" t="s">
        <v>167</v>
      </c>
      <c r="D128" s="145" t="s">
        <v>171</v>
      </c>
      <c r="E128" s="145" t="s">
        <v>172</v>
      </c>
      <c r="F128" s="145" t="s">
        <v>261</v>
      </c>
      <c r="G128" s="145" t="s">
        <v>175</v>
      </c>
      <c r="H128" s="145" t="s">
        <v>183</v>
      </c>
      <c r="I128" s="145" t="s">
        <v>54</v>
      </c>
      <c r="J128" s="145">
        <v>11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24.95" hidden="1" customHeight="1">
      <c r="A129" s="32" t="e">
        <v>#REF!</v>
      </c>
      <c r="B129" s="32"/>
      <c r="C129" s="139" t="s">
        <v>167</v>
      </c>
      <c r="D129" s="139" t="s">
        <v>171</v>
      </c>
      <c r="E129" s="139" t="s">
        <v>172</v>
      </c>
      <c r="F129" s="139" t="s">
        <v>261</v>
      </c>
      <c r="G129" s="139" t="s">
        <v>175</v>
      </c>
      <c r="H129" s="139" t="s">
        <v>185</v>
      </c>
      <c r="I129" s="139"/>
      <c r="J129" s="139">
        <v>11</v>
      </c>
      <c r="K129" s="140" t="s">
        <v>29</v>
      </c>
      <c r="L129" s="140" t="s">
        <v>186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32"/>
      <c r="C130" s="145" t="s">
        <v>167</v>
      </c>
      <c r="D130" s="145" t="s">
        <v>171</v>
      </c>
      <c r="E130" s="145" t="s">
        <v>172</v>
      </c>
      <c r="F130" s="145">
        <v>5</v>
      </c>
      <c r="G130" s="145" t="s">
        <v>175</v>
      </c>
      <c r="H130" s="145" t="s">
        <v>185</v>
      </c>
      <c r="I130" s="145" t="s">
        <v>54</v>
      </c>
      <c r="J130" s="145">
        <v>11</v>
      </c>
      <c r="K130" s="146" t="s">
        <v>29</v>
      </c>
      <c r="L130" s="147" t="s">
        <v>178</v>
      </c>
      <c r="M130" s="148"/>
      <c r="N130" s="148"/>
      <c r="O130" s="148"/>
      <c r="P130" s="148"/>
      <c r="Q130" s="148"/>
      <c r="R130" s="148"/>
      <c r="S130" s="148">
        <v>0</v>
      </c>
      <c r="T130" s="148"/>
      <c r="U130" s="148">
        <v>0</v>
      </c>
      <c r="V130" s="150">
        <v>0</v>
      </c>
      <c r="W130" s="148"/>
      <c r="X130" s="148">
        <v>0</v>
      </c>
      <c r="Y130" s="150">
        <v>0</v>
      </c>
      <c r="Z130" s="148"/>
      <c r="AA130" s="148">
        <v>0</v>
      </c>
      <c r="AB130" s="150">
        <v>0</v>
      </c>
    </row>
    <row r="131" spans="1:28" ht="24.95" hidden="1" customHeight="1">
      <c r="A131" s="32" t="e">
        <v>#REF!</v>
      </c>
      <c r="B131" s="32"/>
      <c r="C131" s="139" t="s">
        <v>167</v>
      </c>
      <c r="D131" s="139" t="s">
        <v>171</v>
      </c>
      <c r="E131" s="139" t="s">
        <v>172</v>
      </c>
      <c r="F131" s="139" t="s">
        <v>261</v>
      </c>
      <c r="G131" s="139" t="s">
        <v>175</v>
      </c>
      <c r="H131" s="139" t="s">
        <v>187</v>
      </c>
      <c r="I131" s="139"/>
      <c r="J131" s="139">
        <v>11</v>
      </c>
      <c r="K131" s="140" t="s">
        <v>29</v>
      </c>
      <c r="L131" s="140" t="s">
        <v>188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32"/>
      <c r="C132" s="145" t="s">
        <v>167</v>
      </c>
      <c r="D132" s="145" t="s">
        <v>171</v>
      </c>
      <c r="E132" s="145" t="s">
        <v>172</v>
      </c>
      <c r="F132" s="145" t="s">
        <v>261</v>
      </c>
      <c r="G132" s="145" t="s">
        <v>175</v>
      </c>
      <c r="H132" s="145" t="s">
        <v>187</v>
      </c>
      <c r="I132" s="145" t="s">
        <v>54</v>
      </c>
      <c r="J132" s="145">
        <v>11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54.75" customHeight="1">
      <c r="A133" s="32" t="e">
        <v>#REF!</v>
      </c>
      <c r="B133" s="132" t="s">
        <v>454</v>
      </c>
      <c r="C133" s="133" t="s">
        <v>167</v>
      </c>
      <c r="D133" s="133" t="s">
        <v>171</v>
      </c>
      <c r="E133" s="133" t="s">
        <v>172</v>
      </c>
      <c r="F133" s="133" t="s">
        <v>173</v>
      </c>
      <c r="G133" s="133"/>
      <c r="H133" s="133"/>
      <c r="I133" s="133"/>
      <c r="J133" s="133"/>
      <c r="K133" s="134"/>
      <c r="L133" s="134" t="s">
        <v>174</v>
      </c>
      <c r="M133" s="135">
        <v>10248574078</v>
      </c>
      <c r="N133" s="136">
        <v>0</v>
      </c>
      <c r="O133" s="136">
        <v>0</v>
      </c>
      <c r="P133" s="136">
        <v>0</v>
      </c>
      <c r="Q133" s="136">
        <v>0</v>
      </c>
      <c r="R133" s="136">
        <v>0</v>
      </c>
      <c r="S133" s="135">
        <v>10248574078</v>
      </c>
      <c r="T133" s="135">
        <v>10248574078</v>
      </c>
      <c r="U133" s="135">
        <v>0</v>
      </c>
      <c r="V133" s="137">
        <v>1</v>
      </c>
      <c r="W133" s="135">
        <v>10248574078</v>
      </c>
      <c r="X133" s="136">
        <v>0</v>
      </c>
      <c r="Y133" s="137">
        <v>0</v>
      </c>
      <c r="Z133" s="135">
        <v>10248574078</v>
      </c>
      <c r="AA133" s="135">
        <v>0</v>
      </c>
      <c r="AB133" s="723">
        <v>1</v>
      </c>
    </row>
    <row r="134" spans="1:28" ht="31.5" customHeight="1">
      <c r="A134" s="32" t="e">
        <v>#REF!</v>
      </c>
      <c r="B134" s="138" t="s">
        <v>456</v>
      </c>
      <c r="C134" s="139" t="s">
        <v>167</v>
      </c>
      <c r="D134" s="139" t="s">
        <v>171</v>
      </c>
      <c r="E134" s="139" t="s">
        <v>172</v>
      </c>
      <c r="F134" s="139" t="s">
        <v>173</v>
      </c>
      <c r="G134" s="139" t="s">
        <v>175</v>
      </c>
      <c r="H134" s="139" t="s">
        <v>176</v>
      </c>
      <c r="I134" s="139"/>
      <c r="J134" s="139" t="s">
        <v>144</v>
      </c>
      <c r="K134" s="140" t="s">
        <v>29</v>
      </c>
      <c r="L134" s="140" t="s">
        <v>177</v>
      </c>
      <c r="M134" s="141">
        <v>1189683575</v>
      </c>
      <c r="N134" s="142">
        <v>0</v>
      </c>
      <c r="O134" s="142">
        <v>0</v>
      </c>
      <c r="P134" s="142">
        <v>0</v>
      </c>
      <c r="Q134" s="142">
        <v>0</v>
      </c>
      <c r="R134" s="142">
        <v>0</v>
      </c>
      <c r="S134" s="141">
        <v>1189683575</v>
      </c>
      <c r="T134" s="141">
        <v>1189683575</v>
      </c>
      <c r="U134" s="141">
        <v>0</v>
      </c>
      <c r="V134" s="143">
        <v>1</v>
      </c>
      <c r="W134" s="141">
        <v>1189683575</v>
      </c>
      <c r="X134" s="142">
        <v>0</v>
      </c>
      <c r="Y134" s="143">
        <v>0</v>
      </c>
      <c r="Z134" s="141">
        <v>1189683575</v>
      </c>
      <c r="AA134" s="141">
        <v>0</v>
      </c>
      <c r="AB134" s="724">
        <v>1</v>
      </c>
    </row>
    <row r="135" spans="1:28" ht="24.95" customHeight="1">
      <c r="A135" s="32" t="e">
        <v>#REF!</v>
      </c>
      <c r="B135" s="144" t="s">
        <v>458</v>
      </c>
      <c r="C135" s="145" t="s">
        <v>167</v>
      </c>
      <c r="D135" s="145" t="s">
        <v>171</v>
      </c>
      <c r="E135" s="145" t="s">
        <v>172</v>
      </c>
      <c r="F135" s="145" t="s">
        <v>173</v>
      </c>
      <c r="G135" s="145" t="s">
        <v>175</v>
      </c>
      <c r="H135" s="145" t="s">
        <v>176</v>
      </c>
      <c r="I135" s="145" t="s">
        <v>54</v>
      </c>
      <c r="J135" s="145" t="s">
        <v>144</v>
      </c>
      <c r="K135" s="146" t="s">
        <v>29</v>
      </c>
      <c r="L135" s="147" t="s">
        <v>178</v>
      </c>
      <c r="M135" s="148">
        <v>1189683575</v>
      </c>
      <c r="N135" s="148"/>
      <c r="O135" s="148"/>
      <c r="P135" s="148"/>
      <c r="Q135" s="148"/>
      <c r="R135" s="148"/>
      <c r="S135" s="148">
        <v>1189683575</v>
      </c>
      <c r="T135" s="148">
        <v>1189683575</v>
      </c>
      <c r="U135" s="148">
        <v>0</v>
      </c>
      <c r="V135" s="150">
        <v>1</v>
      </c>
      <c r="W135" s="148">
        <v>1189683575</v>
      </c>
      <c r="X135" s="148">
        <v>0</v>
      </c>
      <c r="Y135" s="150">
        <v>0</v>
      </c>
      <c r="Z135" s="148">
        <v>1189683575</v>
      </c>
      <c r="AA135" s="148">
        <v>0</v>
      </c>
      <c r="AB135" s="150">
        <v>1</v>
      </c>
    </row>
    <row r="136" spans="1:28" ht="31.5" customHeight="1">
      <c r="A136" s="32" t="e">
        <v>#REF!</v>
      </c>
      <c r="B136" s="138" t="s">
        <v>460</v>
      </c>
      <c r="C136" s="139" t="s">
        <v>167</v>
      </c>
      <c r="D136" s="139" t="s">
        <v>171</v>
      </c>
      <c r="E136" s="139" t="s">
        <v>172</v>
      </c>
      <c r="F136" s="139" t="s">
        <v>173</v>
      </c>
      <c r="G136" s="139" t="s">
        <v>175</v>
      </c>
      <c r="H136" s="139" t="s">
        <v>179</v>
      </c>
      <c r="I136" s="139"/>
      <c r="J136" s="139" t="s">
        <v>144</v>
      </c>
      <c r="K136" s="140" t="s">
        <v>29</v>
      </c>
      <c r="L136" s="140" t="s">
        <v>180</v>
      </c>
      <c r="M136" s="141">
        <v>115014864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1">
        <v>115014864</v>
      </c>
      <c r="T136" s="141">
        <v>115014864</v>
      </c>
      <c r="U136" s="141">
        <v>0</v>
      </c>
      <c r="V136" s="143">
        <v>1</v>
      </c>
      <c r="W136" s="141">
        <v>115014864</v>
      </c>
      <c r="X136" s="142">
        <v>0</v>
      </c>
      <c r="Y136" s="143">
        <v>0</v>
      </c>
      <c r="Z136" s="141">
        <v>115014864</v>
      </c>
      <c r="AA136" s="141">
        <v>0</v>
      </c>
      <c r="AB136" s="724">
        <v>1</v>
      </c>
    </row>
    <row r="137" spans="1:28" ht="24.95" customHeight="1">
      <c r="A137" s="32" t="e">
        <v>#REF!</v>
      </c>
      <c r="B137" s="144" t="s">
        <v>462</v>
      </c>
      <c r="C137" s="145" t="s">
        <v>167</v>
      </c>
      <c r="D137" s="145" t="s">
        <v>171</v>
      </c>
      <c r="E137" s="145" t="s">
        <v>172</v>
      </c>
      <c r="F137" s="145" t="s">
        <v>173</v>
      </c>
      <c r="G137" s="145" t="s">
        <v>175</v>
      </c>
      <c r="H137" s="145" t="s">
        <v>179</v>
      </c>
      <c r="I137" s="145" t="s">
        <v>54</v>
      </c>
      <c r="J137" s="145" t="s">
        <v>144</v>
      </c>
      <c r="K137" s="146" t="s">
        <v>29</v>
      </c>
      <c r="L137" s="147" t="s">
        <v>178</v>
      </c>
      <c r="M137" s="148">
        <v>115014864</v>
      </c>
      <c r="N137" s="148"/>
      <c r="O137" s="148"/>
      <c r="P137" s="148"/>
      <c r="Q137" s="148"/>
      <c r="R137" s="148"/>
      <c r="S137" s="148">
        <v>115014864</v>
      </c>
      <c r="T137" s="148">
        <v>115014864</v>
      </c>
      <c r="U137" s="148">
        <v>0</v>
      </c>
      <c r="V137" s="150">
        <v>1</v>
      </c>
      <c r="W137" s="148">
        <v>115014864</v>
      </c>
      <c r="X137" s="148">
        <v>0</v>
      </c>
      <c r="Y137" s="150">
        <v>0</v>
      </c>
      <c r="Z137" s="148">
        <v>115014864</v>
      </c>
      <c r="AA137" s="148">
        <v>0</v>
      </c>
      <c r="AB137" s="150">
        <v>1</v>
      </c>
    </row>
    <row r="138" spans="1:28" ht="31.5" hidden="1" customHeight="1">
      <c r="A138" s="32" t="e">
        <v>#REF!</v>
      </c>
      <c r="B138" s="144" t="s">
        <v>690</v>
      </c>
      <c r="C138" s="139" t="s">
        <v>167</v>
      </c>
      <c r="D138" s="139" t="s">
        <v>171</v>
      </c>
      <c r="E138" s="139" t="s">
        <v>172</v>
      </c>
      <c r="F138" s="139" t="s">
        <v>173</v>
      </c>
      <c r="G138" s="139" t="s">
        <v>175</v>
      </c>
      <c r="H138" s="139" t="s">
        <v>181</v>
      </c>
      <c r="I138" s="139"/>
      <c r="J138" s="139" t="s">
        <v>144</v>
      </c>
      <c r="K138" s="140" t="s">
        <v>29</v>
      </c>
      <c r="L138" s="140" t="s">
        <v>182</v>
      </c>
      <c r="M138" s="141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1">
        <v>0</v>
      </c>
      <c r="T138" s="141">
        <v>0</v>
      </c>
      <c r="U138" s="141">
        <v>0</v>
      </c>
      <c r="V138" s="143">
        <v>0</v>
      </c>
      <c r="W138" s="141">
        <v>0</v>
      </c>
      <c r="X138" s="142">
        <v>0</v>
      </c>
      <c r="Y138" s="143">
        <v>0</v>
      </c>
      <c r="Z138" s="141">
        <v>0</v>
      </c>
      <c r="AA138" s="141">
        <v>0</v>
      </c>
      <c r="AB138" s="724">
        <v>0</v>
      </c>
    </row>
    <row r="139" spans="1:28" ht="24.95" hidden="1" customHeight="1">
      <c r="A139" s="32" t="e">
        <v>#REF!</v>
      </c>
      <c r="B139" s="144" t="s">
        <v>466</v>
      </c>
      <c r="C139" s="145" t="s">
        <v>167</v>
      </c>
      <c r="D139" s="145" t="s">
        <v>171</v>
      </c>
      <c r="E139" s="145" t="s">
        <v>172</v>
      </c>
      <c r="F139" s="145" t="s">
        <v>173</v>
      </c>
      <c r="G139" s="145" t="s">
        <v>175</v>
      </c>
      <c r="H139" s="145" t="s">
        <v>181</v>
      </c>
      <c r="I139" s="145" t="s">
        <v>54</v>
      </c>
      <c r="J139" s="145" t="s">
        <v>144</v>
      </c>
      <c r="K139" s="146" t="s">
        <v>29</v>
      </c>
      <c r="L139" s="147" t="s">
        <v>178</v>
      </c>
      <c r="M139" s="148"/>
      <c r="N139" s="148"/>
      <c r="O139" s="148"/>
      <c r="P139" s="148"/>
      <c r="Q139" s="148"/>
      <c r="R139" s="148"/>
      <c r="S139" s="148">
        <v>0</v>
      </c>
      <c r="T139" s="148"/>
      <c r="U139" s="148">
        <v>0</v>
      </c>
      <c r="V139" s="150">
        <v>0</v>
      </c>
      <c r="W139" s="148"/>
      <c r="X139" s="148">
        <v>0</v>
      </c>
      <c r="Y139" s="150">
        <v>0</v>
      </c>
      <c r="Z139" s="148"/>
      <c r="AA139" s="148">
        <v>0</v>
      </c>
      <c r="AB139" s="150">
        <v>0</v>
      </c>
    </row>
    <row r="140" spans="1:28" ht="31.5" hidden="1" customHeight="1">
      <c r="A140" s="32" t="e">
        <v>#REF!</v>
      </c>
      <c r="B140" s="144" t="s">
        <v>691</v>
      </c>
      <c r="C140" s="139" t="s">
        <v>167</v>
      </c>
      <c r="D140" s="139" t="s">
        <v>171</v>
      </c>
      <c r="E140" s="139" t="s">
        <v>172</v>
      </c>
      <c r="F140" s="139" t="s">
        <v>173</v>
      </c>
      <c r="G140" s="139" t="s">
        <v>175</v>
      </c>
      <c r="H140" s="139" t="s">
        <v>183</v>
      </c>
      <c r="I140" s="139"/>
      <c r="J140" s="139" t="s">
        <v>144</v>
      </c>
      <c r="K140" s="140" t="s">
        <v>29</v>
      </c>
      <c r="L140" s="140" t="s">
        <v>184</v>
      </c>
      <c r="M140" s="141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1">
        <v>0</v>
      </c>
      <c r="T140" s="141">
        <v>0</v>
      </c>
      <c r="U140" s="141">
        <v>0</v>
      </c>
      <c r="V140" s="143">
        <v>0</v>
      </c>
      <c r="W140" s="141">
        <v>0</v>
      </c>
      <c r="X140" s="142">
        <v>0</v>
      </c>
      <c r="Y140" s="143">
        <v>0</v>
      </c>
      <c r="Z140" s="141">
        <v>0</v>
      </c>
      <c r="AA140" s="141">
        <v>0</v>
      </c>
      <c r="AB140" s="724">
        <v>0</v>
      </c>
    </row>
    <row r="141" spans="1:28" ht="24.95" hidden="1" customHeight="1">
      <c r="A141" s="32" t="e">
        <v>#REF!</v>
      </c>
      <c r="B141" s="144" t="s">
        <v>470</v>
      </c>
      <c r="C141" s="145" t="s">
        <v>167</v>
      </c>
      <c r="D141" s="145" t="s">
        <v>171</v>
      </c>
      <c r="E141" s="145" t="s">
        <v>172</v>
      </c>
      <c r="F141" s="145" t="s">
        <v>173</v>
      </c>
      <c r="G141" s="145" t="s">
        <v>175</v>
      </c>
      <c r="H141" s="145" t="s">
        <v>183</v>
      </c>
      <c r="I141" s="145" t="s">
        <v>54</v>
      </c>
      <c r="J141" s="145" t="s">
        <v>144</v>
      </c>
      <c r="K141" s="146" t="s">
        <v>29</v>
      </c>
      <c r="L141" s="147" t="s">
        <v>178</v>
      </c>
      <c r="M141" s="148">
        <v>0</v>
      </c>
      <c r="N141" s="148"/>
      <c r="O141" s="148"/>
      <c r="P141" s="148"/>
      <c r="Q141" s="148"/>
      <c r="R141" s="148"/>
      <c r="S141" s="148">
        <v>0</v>
      </c>
      <c r="T141" s="148">
        <v>0</v>
      </c>
      <c r="U141" s="148">
        <v>0</v>
      </c>
      <c r="V141" s="150">
        <v>0</v>
      </c>
      <c r="W141" s="148">
        <v>0</v>
      </c>
      <c r="X141" s="148">
        <v>0</v>
      </c>
      <c r="Y141" s="150">
        <v>0</v>
      </c>
      <c r="Z141" s="148">
        <v>0</v>
      </c>
      <c r="AA141" s="148">
        <v>0</v>
      </c>
      <c r="AB141" s="150">
        <v>0</v>
      </c>
    </row>
    <row r="142" spans="1:28" ht="31.5" customHeight="1">
      <c r="A142" s="32" t="e">
        <v>#REF!</v>
      </c>
      <c r="B142" s="138" t="s">
        <v>472</v>
      </c>
      <c r="C142" s="139" t="s">
        <v>167</v>
      </c>
      <c r="D142" s="139" t="s">
        <v>171</v>
      </c>
      <c r="E142" s="139" t="s">
        <v>172</v>
      </c>
      <c r="F142" s="139" t="s">
        <v>173</v>
      </c>
      <c r="G142" s="139" t="s">
        <v>175</v>
      </c>
      <c r="H142" s="139" t="s">
        <v>185</v>
      </c>
      <c r="I142" s="139"/>
      <c r="J142" s="139" t="s">
        <v>144</v>
      </c>
      <c r="K142" s="140" t="s">
        <v>29</v>
      </c>
      <c r="L142" s="140" t="s">
        <v>186</v>
      </c>
      <c r="M142" s="141">
        <v>8943875639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1">
        <v>8943875639</v>
      </c>
      <c r="T142" s="141">
        <v>8943875639</v>
      </c>
      <c r="U142" s="141">
        <v>0</v>
      </c>
      <c r="V142" s="143">
        <v>1</v>
      </c>
      <c r="W142" s="141">
        <v>8943875639</v>
      </c>
      <c r="X142" s="142">
        <v>0</v>
      </c>
      <c r="Y142" s="143">
        <v>0</v>
      </c>
      <c r="Z142" s="141">
        <v>8943875639</v>
      </c>
      <c r="AA142" s="141">
        <v>0</v>
      </c>
      <c r="AB142" s="724">
        <v>1</v>
      </c>
    </row>
    <row r="143" spans="1:28" ht="24.95" customHeight="1">
      <c r="A143" s="32" t="e">
        <v>#REF!</v>
      </c>
      <c r="B143" s="144" t="s">
        <v>474</v>
      </c>
      <c r="C143" s="145" t="s">
        <v>167</v>
      </c>
      <c r="D143" s="145" t="s">
        <v>171</v>
      </c>
      <c r="E143" s="145" t="s">
        <v>172</v>
      </c>
      <c r="F143" s="145" t="s">
        <v>173</v>
      </c>
      <c r="G143" s="145" t="s">
        <v>175</v>
      </c>
      <c r="H143" s="145" t="s">
        <v>185</v>
      </c>
      <c r="I143" s="145" t="s">
        <v>54</v>
      </c>
      <c r="J143" s="145" t="s">
        <v>144</v>
      </c>
      <c r="K143" s="146" t="s">
        <v>29</v>
      </c>
      <c r="L143" s="147" t="s">
        <v>178</v>
      </c>
      <c r="M143" s="148">
        <v>8943875639</v>
      </c>
      <c r="N143" s="148"/>
      <c r="O143" s="148"/>
      <c r="P143" s="148"/>
      <c r="Q143" s="148"/>
      <c r="R143" s="148"/>
      <c r="S143" s="148">
        <v>8943875639</v>
      </c>
      <c r="T143" s="148">
        <v>8943875639</v>
      </c>
      <c r="U143" s="148">
        <v>0</v>
      </c>
      <c r="V143" s="150">
        <v>1</v>
      </c>
      <c r="W143" s="148">
        <v>8943875639</v>
      </c>
      <c r="X143" s="148">
        <v>0</v>
      </c>
      <c r="Y143" s="150">
        <v>0</v>
      </c>
      <c r="Z143" s="148">
        <v>8943875639</v>
      </c>
      <c r="AA143" s="148">
        <v>0</v>
      </c>
      <c r="AB143" s="150">
        <v>1</v>
      </c>
    </row>
    <row r="144" spans="1:28" ht="31.5" hidden="1" customHeight="1">
      <c r="A144" s="32" t="e">
        <v>#REF!</v>
      </c>
      <c r="B144" s="32"/>
      <c r="C144" s="139" t="s">
        <v>167</v>
      </c>
      <c r="D144" s="139" t="s">
        <v>171</v>
      </c>
      <c r="E144" s="139" t="s">
        <v>172</v>
      </c>
      <c r="F144" s="139" t="s">
        <v>173</v>
      </c>
      <c r="G144" s="139" t="s">
        <v>175</v>
      </c>
      <c r="H144" s="139" t="s">
        <v>187</v>
      </c>
      <c r="I144" s="139"/>
      <c r="J144" s="139" t="s">
        <v>144</v>
      </c>
      <c r="K144" s="140" t="s">
        <v>29</v>
      </c>
      <c r="L144" s="140" t="s">
        <v>188</v>
      </c>
      <c r="M144" s="141">
        <v>0</v>
      </c>
      <c r="N144" s="142">
        <v>0</v>
      </c>
      <c r="O144" s="142">
        <v>0</v>
      </c>
      <c r="P144" s="142">
        <v>0</v>
      </c>
      <c r="Q144" s="142">
        <v>0</v>
      </c>
      <c r="R144" s="142">
        <v>0</v>
      </c>
      <c r="S144" s="141">
        <v>0</v>
      </c>
      <c r="T144" s="141">
        <v>0</v>
      </c>
      <c r="U144" s="141">
        <v>0</v>
      </c>
      <c r="V144" s="143">
        <v>0</v>
      </c>
      <c r="W144" s="141">
        <v>0</v>
      </c>
      <c r="X144" s="142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hidden="1" customHeight="1">
      <c r="A145" s="32" t="e">
        <v>#REF!</v>
      </c>
      <c r="B145" s="32"/>
      <c r="C145" s="145" t="s">
        <v>167</v>
      </c>
      <c r="D145" s="145" t="s">
        <v>171</v>
      </c>
      <c r="E145" s="145" t="s">
        <v>172</v>
      </c>
      <c r="F145" s="145" t="s">
        <v>173</v>
      </c>
      <c r="G145" s="145" t="s">
        <v>175</v>
      </c>
      <c r="H145" s="145" t="s">
        <v>187</v>
      </c>
      <c r="I145" s="145" t="s">
        <v>54</v>
      </c>
      <c r="J145" s="145" t="s">
        <v>144</v>
      </c>
      <c r="K145" s="146" t="s">
        <v>29</v>
      </c>
      <c r="L145" s="147" t="s">
        <v>178</v>
      </c>
      <c r="M145" s="148">
        <v>0</v>
      </c>
      <c r="N145" s="148"/>
      <c r="O145" s="148"/>
      <c r="P145" s="148"/>
      <c r="Q145" s="148"/>
      <c r="R145" s="148"/>
      <c r="S145" s="148">
        <v>0</v>
      </c>
      <c r="T145" s="148">
        <v>0</v>
      </c>
      <c r="U145" s="148">
        <v>0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24.95" hidden="1" customHeight="1">
      <c r="A146" s="32" t="e">
        <v>#REF!</v>
      </c>
      <c r="B146" s="32"/>
      <c r="C146" s="145" t="s">
        <v>167</v>
      </c>
      <c r="D146" s="145" t="s">
        <v>171</v>
      </c>
      <c r="E146" s="145" t="s">
        <v>172</v>
      </c>
      <c r="F146" s="145" t="s">
        <v>173</v>
      </c>
      <c r="G146" s="145" t="s">
        <v>175</v>
      </c>
      <c r="H146" s="145" t="s">
        <v>187</v>
      </c>
      <c r="I146" s="145" t="s">
        <v>65</v>
      </c>
      <c r="J146" s="145" t="s">
        <v>144</v>
      </c>
      <c r="K146" s="146" t="s">
        <v>29</v>
      </c>
      <c r="L146" s="147" t="s">
        <v>127</v>
      </c>
      <c r="M146" s="148">
        <v>0</v>
      </c>
      <c r="N146" s="148"/>
      <c r="O146" s="148"/>
      <c r="P146" s="148"/>
      <c r="Q146" s="148"/>
      <c r="R146" s="148"/>
      <c r="S146" s="148">
        <v>0</v>
      </c>
      <c r="T146" s="148">
        <v>0</v>
      </c>
      <c r="U146" s="148">
        <v>0</v>
      </c>
      <c r="V146" s="150">
        <v>0</v>
      </c>
      <c r="W146" s="148">
        <v>0</v>
      </c>
      <c r="X146" s="148">
        <v>0</v>
      </c>
      <c r="Y146" s="150">
        <v>0</v>
      </c>
      <c r="Z146" s="148">
        <v>0</v>
      </c>
      <c r="AA146" s="148">
        <v>0</v>
      </c>
      <c r="AB146" s="150">
        <v>0</v>
      </c>
    </row>
    <row r="147" spans="1:28" ht="35.25" customHeight="1">
      <c r="A147" s="32" t="e">
        <v>#REF!</v>
      </c>
      <c r="B147" s="122" t="s">
        <v>482</v>
      </c>
      <c r="C147" s="123" t="s">
        <v>167</v>
      </c>
      <c r="D147" s="123">
        <v>4103</v>
      </c>
      <c r="E147" s="123"/>
      <c r="F147" s="123"/>
      <c r="G147" s="123"/>
      <c r="H147" s="123"/>
      <c r="I147" s="123"/>
      <c r="J147" s="124"/>
      <c r="K147" s="124"/>
      <c r="L147" s="124" t="s">
        <v>189</v>
      </c>
      <c r="M147" s="125">
        <v>6217033510554</v>
      </c>
      <c r="N147" s="125">
        <v>130000000000</v>
      </c>
      <c r="O147" s="719">
        <v>0</v>
      </c>
      <c r="P147" s="125">
        <v>117525510728.53</v>
      </c>
      <c r="Q147" s="125">
        <v>117525510728.53</v>
      </c>
      <c r="R147" s="125">
        <v>45123372017</v>
      </c>
      <c r="S147" s="125">
        <v>6301910138537</v>
      </c>
      <c r="T147" s="125">
        <v>4825216667580.8896</v>
      </c>
      <c r="U147" s="125">
        <v>1476693470956.1104</v>
      </c>
      <c r="V147" s="126">
        <v>0.76567525742299347</v>
      </c>
      <c r="W147" s="125">
        <v>4305564868014.0503</v>
      </c>
      <c r="X147" s="125">
        <v>519651799566.83997</v>
      </c>
      <c r="Y147" s="126">
        <v>0.10769501876635233</v>
      </c>
      <c r="Z147" s="125">
        <v>3960517323226.3198</v>
      </c>
      <c r="AA147" s="125">
        <v>345047544787.72998</v>
      </c>
      <c r="AB147" s="720">
        <v>0.82079574785434772</v>
      </c>
    </row>
    <row r="148" spans="1:28" ht="24" customHeight="1">
      <c r="A148" s="32" t="e">
        <v>#REF!</v>
      </c>
      <c r="B148" s="127" t="s">
        <v>296</v>
      </c>
      <c r="C148" s="128" t="s">
        <v>167</v>
      </c>
      <c r="D148" s="128">
        <v>4103</v>
      </c>
      <c r="E148" s="128">
        <v>1500</v>
      </c>
      <c r="F148" s="128"/>
      <c r="G148" s="128"/>
      <c r="H148" s="128"/>
      <c r="I148" s="128"/>
      <c r="J148" s="129"/>
      <c r="K148" s="129"/>
      <c r="L148" s="129" t="s">
        <v>170</v>
      </c>
      <c r="M148" s="130">
        <v>6217033510554</v>
      </c>
      <c r="N148" s="130">
        <v>130000000000</v>
      </c>
      <c r="O148" s="721">
        <v>0</v>
      </c>
      <c r="P148" s="130">
        <v>117525510728.53</v>
      </c>
      <c r="Q148" s="130">
        <v>117525510728.53</v>
      </c>
      <c r="R148" s="130">
        <v>45123372017</v>
      </c>
      <c r="S148" s="130">
        <v>6301910138537</v>
      </c>
      <c r="T148" s="130">
        <v>4825216667580.8896</v>
      </c>
      <c r="U148" s="130">
        <v>1476693470956.1104</v>
      </c>
      <c r="V148" s="131">
        <v>0.76567525742299347</v>
      </c>
      <c r="W148" s="130">
        <v>4305564868014.0503</v>
      </c>
      <c r="X148" s="130">
        <v>519651799566.83997</v>
      </c>
      <c r="Y148" s="131">
        <v>0.10769501876635233</v>
      </c>
      <c r="Z148" s="130">
        <v>3960517323226.3198</v>
      </c>
      <c r="AA148" s="130">
        <v>345047544787.72998</v>
      </c>
      <c r="AB148" s="722">
        <v>0.82079574785434772</v>
      </c>
    </row>
    <row r="149" spans="1:28" ht="42.75" customHeight="1">
      <c r="A149" s="32" t="e">
        <v>#REF!</v>
      </c>
      <c r="B149" s="132" t="s">
        <v>297</v>
      </c>
      <c r="C149" s="133" t="s">
        <v>167</v>
      </c>
      <c r="D149" s="133" t="s">
        <v>190</v>
      </c>
      <c r="E149" s="133" t="s">
        <v>172</v>
      </c>
      <c r="F149" s="133" t="s">
        <v>191</v>
      </c>
      <c r="G149" s="133"/>
      <c r="H149" s="133"/>
      <c r="I149" s="133"/>
      <c r="J149" s="133"/>
      <c r="K149" s="134"/>
      <c r="L149" s="134" t="s">
        <v>263</v>
      </c>
      <c r="M149" s="135">
        <v>2404147573733</v>
      </c>
      <c r="N149" s="136">
        <v>0</v>
      </c>
      <c r="O149" s="136">
        <v>0</v>
      </c>
      <c r="P149" s="135">
        <v>31054347665.060001</v>
      </c>
      <c r="Q149" s="135">
        <v>15028347665.059999</v>
      </c>
      <c r="R149" s="135">
        <v>0</v>
      </c>
      <c r="S149" s="135">
        <v>2420173573733.0005</v>
      </c>
      <c r="T149" s="135">
        <v>1895921158781.21</v>
      </c>
      <c r="U149" s="135">
        <v>524252414951.79034</v>
      </c>
      <c r="V149" s="137">
        <v>0.78338230751641647</v>
      </c>
      <c r="W149" s="135">
        <v>1852019748847.29</v>
      </c>
      <c r="X149" s="135">
        <v>43901409933.920006</v>
      </c>
      <c r="Y149" s="137">
        <v>2.3155714957125095E-2</v>
      </c>
      <c r="Z149" s="135">
        <v>1521829612740.29</v>
      </c>
      <c r="AA149" s="135">
        <v>330190136107</v>
      </c>
      <c r="AB149" s="723">
        <v>0.80268612736966127</v>
      </c>
    </row>
    <row r="150" spans="1:28" ht="30.75" customHeight="1">
      <c r="A150" s="32" t="e">
        <v>#REF!</v>
      </c>
      <c r="B150" s="138" t="s">
        <v>486</v>
      </c>
      <c r="C150" s="139" t="s">
        <v>167</v>
      </c>
      <c r="D150" s="139" t="s">
        <v>190</v>
      </c>
      <c r="E150" s="139" t="s">
        <v>172</v>
      </c>
      <c r="F150" s="139" t="s">
        <v>191</v>
      </c>
      <c r="G150" s="139" t="s">
        <v>175</v>
      </c>
      <c r="H150" s="139" t="s">
        <v>193</v>
      </c>
      <c r="I150" s="139"/>
      <c r="J150" s="139"/>
      <c r="K150" s="140"/>
      <c r="L150" s="140" t="s">
        <v>194</v>
      </c>
      <c r="M150" s="141">
        <v>2398883573733</v>
      </c>
      <c r="N150" s="142">
        <v>0</v>
      </c>
      <c r="O150" s="142">
        <v>0</v>
      </c>
      <c r="P150" s="141">
        <v>31054347665.060001</v>
      </c>
      <c r="Q150" s="141">
        <v>14899379616.059999</v>
      </c>
      <c r="R150" s="141">
        <v>0</v>
      </c>
      <c r="S150" s="141">
        <v>2415038541782.0005</v>
      </c>
      <c r="T150" s="141">
        <v>1890786126830.21</v>
      </c>
      <c r="U150" s="141">
        <v>524252414951.79034</v>
      </c>
      <c r="V150" s="143">
        <v>0.78292171910227282</v>
      </c>
      <c r="W150" s="141">
        <v>1849708984469.29</v>
      </c>
      <c r="X150" s="141">
        <v>41077142360.920006</v>
      </c>
      <c r="Y150" s="143">
        <v>2.1724901498924885E-2</v>
      </c>
      <c r="Z150" s="141">
        <v>1519518848362.29</v>
      </c>
      <c r="AA150" s="141">
        <v>330190136107</v>
      </c>
      <c r="AB150" s="724">
        <v>0.80364395888057027</v>
      </c>
    </row>
    <row r="151" spans="1:28" ht="24.95" hidden="1" customHeight="1">
      <c r="A151" s="32" t="e">
        <v>#REF!</v>
      </c>
      <c r="B151" s="144" t="s">
        <v>488</v>
      </c>
      <c r="C151" s="145" t="s">
        <v>167</v>
      </c>
      <c r="D151" s="145" t="s">
        <v>190</v>
      </c>
      <c r="E151" s="145" t="s">
        <v>172</v>
      </c>
      <c r="F151" s="145" t="s">
        <v>191</v>
      </c>
      <c r="G151" s="145" t="s">
        <v>175</v>
      </c>
      <c r="H151" s="145" t="s">
        <v>193</v>
      </c>
      <c r="I151" s="145" t="s">
        <v>54</v>
      </c>
      <c r="J151" s="145">
        <v>10</v>
      </c>
      <c r="K151" s="146" t="s">
        <v>29</v>
      </c>
      <c r="L151" s="147" t="s">
        <v>178</v>
      </c>
      <c r="M151" s="148">
        <v>0</v>
      </c>
      <c r="N151" s="148"/>
      <c r="O151" s="148"/>
      <c r="P151" s="148"/>
      <c r="Q151" s="148"/>
      <c r="R151" s="148"/>
      <c r="S151" s="148">
        <v>0</v>
      </c>
      <c r="T151" s="148">
        <v>0</v>
      </c>
      <c r="U151" s="148">
        <v>0</v>
      </c>
      <c r="V151" s="150">
        <v>0</v>
      </c>
      <c r="W151" s="148">
        <v>0</v>
      </c>
      <c r="X151" s="148">
        <v>0</v>
      </c>
      <c r="Y151" s="150">
        <v>0</v>
      </c>
      <c r="Z151" s="148">
        <v>0</v>
      </c>
      <c r="AA151" s="148">
        <v>0</v>
      </c>
      <c r="AB151" s="150">
        <v>0</v>
      </c>
    </row>
    <row r="152" spans="1:28" ht="24.95" customHeight="1">
      <c r="A152" s="32" t="e">
        <v>#REF!</v>
      </c>
      <c r="B152" s="144" t="s">
        <v>488</v>
      </c>
      <c r="C152" s="145" t="s">
        <v>167</v>
      </c>
      <c r="D152" s="145" t="s">
        <v>190</v>
      </c>
      <c r="E152" s="145" t="s">
        <v>172</v>
      </c>
      <c r="F152" s="145" t="s">
        <v>191</v>
      </c>
      <c r="G152" s="145" t="s">
        <v>175</v>
      </c>
      <c r="H152" s="145" t="s">
        <v>193</v>
      </c>
      <c r="I152" s="145" t="s">
        <v>54</v>
      </c>
      <c r="J152" s="145">
        <v>11</v>
      </c>
      <c r="K152" s="146" t="s">
        <v>29</v>
      </c>
      <c r="L152" s="147" t="s">
        <v>178</v>
      </c>
      <c r="M152" s="148">
        <v>137428156966</v>
      </c>
      <c r="N152" s="148"/>
      <c r="O152" s="148"/>
      <c r="P152" s="148">
        <v>4894511104.0900002</v>
      </c>
      <c r="Q152" s="148">
        <v>10101482511.969999</v>
      </c>
      <c r="R152" s="148"/>
      <c r="S152" s="148">
        <v>132221185558.12</v>
      </c>
      <c r="T152" s="148">
        <v>92544889432.210007</v>
      </c>
      <c r="U152" s="148">
        <v>39676296125.909988</v>
      </c>
      <c r="V152" s="150">
        <v>0.69992481947252227</v>
      </c>
      <c r="W152" s="148">
        <v>53461947071.290001</v>
      </c>
      <c r="X152" s="148">
        <v>39082942360.920006</v>
      </c>
      <c r="Y152" s="150">
        <v>0.42231335085821919</v>
      </c>
      <c r="Z152" s="148">
        <v>53306104114.290001</v>
      </c>
      <c r="AA152" s="148">
        <v>155842957</v>
      </c>
      <c r="AB152" s="150">
        <v>0.57600267763394131</v>
      </c>
    </row>
    <row r="153" spans="1:28" ht="24.95" hidden="1" customHeight="1">
      <c r="A153" s="32" t="e">
        <v>#REF!</v>
      </c>
      <c r="B153" s="144" t="s">
        <v>491</v>
      </c>
      <c r="C153" s="145" t="s">
        <v>167</v>
      </c>
      <c r="D153" s="145" t="s">
        <v>190</v>
      </c>
      <c r="E153" s="145" t="s">
        <v>172</v>
      </c>
      <c r="F153" s="145" t="s">
        <v>191</v>
      </c>
      <c r="G153" s="145" t="s">
        <v>175</v>
      </c>
      <c r="H153" s="145" t="s">
        <v>193</v>
      </c>
      <c r="I153" s="145" t="s">
        <v>65</v>
      </c>
      <c r="J153" s="145">
        <v>10</v>
      </c>
      <c r="K153" s="146" t="s">
        <v>29</v>
      </c>
      <c r="L153" s="147" t="s">
        <v>127</v>
      </c>
      <c r="M153" s="148">
        <v>0</v>
      </c>
      <c r="N153" s="148"/>
      <c r="O153" s="148"/>
      <c r="P153" s="148"/>
      <c r="Q153" s="148"/>
      <c r="R153" s="148"/>
      <c r="S153" s="148">
        <v>0</v>
      </c>
      <c r="T153" s="148">
        <v>0</v>
      </c>
      <c r="U153" s="148">
        <v>0</v>
      </c>
      <c r="V153" s="150">
        <v>0</v>
      </c>
      <c r="W153" s="148">
        <v>0</v>
      </c>
      <c r="X153" s="148">
        <v>0</v>
      </c>
      <c r="Y153" s="150">
        <v>0</v>
      </c>
      <c r="Z153" s="148">
        <v>0</v>
      </c>
      <c r="AA153" s="148">
        <v>0</v>
      </c>
      <c r="AB153" s="150">
        <v>0</v>
      </c>
    </row>
    <row r="154" spans="1:28" ht="24.95" customHeight="1">
      <c r="A154" s="32" t="e">
        <v>#REF!</v>
      </c>
      <c r="B154" s="144" t="s">
        <v>491</v>
      </c>
      <c r="C154" s="145" t="s">
        <v>167</v>
      </c>
      <c r="D154" s="145" t="s">
        <v>190</v>
      </c>
      <c r="E154" s="145" t="s">
        <v>172</v>
      </c>
      <c r="F154" s="145" t="s">
        <v>191</v>
      </c>
      <c r="G154" s="145" t="s">
        <v>175</v>
      </c>
      <c r="H154" s="145" t="s">
        <v>193</v>
      </c>
      <c r="I154" s="145" t="s">
        <v>65</v>
      </c>
      <c r="J154" s="145" t="s">
        <v>144</v>
      </c>
      <c r="K154" s="146" t="s">
        <v>29</v>
      </c>
      <c r="L154" s="147" t="s">
        <v>127</v>
      </c>
      <c r="M154" s="148">
        <v>2261455416767</v>
      </c>
      <c r="N154" s="148"/>
      <c r="O154" s="148"/>
      <c r="P154" s="148">
        <v>26159836560.970001</v>
      </c>
      <c r="Q154" s="148">
        <v>4797897104.0900002</v>
      </c>
      <c r="R154" s="148"/>
      <c r="S154" s="148">
        <v>2282817356223.8804</v>
      </c>
      <c r="T154" s="148">
        <v>1798241237398</v>
      </c>
      <c r="U154" s="148">
        <v>484576118825.88037</v>
      </c>
      <c r="V154" s="150">
        <v>0.78772891422753089</v>
      </c>
      <c r="W154" s="148">
        <v>1796247037398</v>
      </c>
      <c r="X154" s="148">
        <v>1994200000</v>
      </c>
      <c r="Y154" s="150">
        <v>1.1089724551559869E-3</v>
      </c>
      <c r="Z154" s="148">
        <v>1466212744248</v>
      </c>
      <c r="AA154" s="148">
        <v>330034293150</v>
      </c>
      <c r="AB154" s="150">
        <v>0.81535931539950945</v>
      </c>
    </row>
    <row r="155" spans="1:28" ht="32.25" customHeight="1">
      <c r="A155" s="32" t="e">
        <v>#REF!</v>
      </c>
      <c r="B155" s="138" t="s">
        <v>494</v>
      </c>
      <c r="C155" s="139" t="s">
        <v>167</v>
      </c>
      <c r="D155" s="139" t="s">
        <v>190</v>
      </c>
      <c r="E155" s="139" t="s">
        <v>172</v>
      </c>
      <c r="F155" s="139" t="s">
        <v>191</v>
      </c>
      <c r="G155" s="139" t="s">
        <v>175</v>
      </c>
      <c r="H155" s="139">
        <v>4103009</v>
      </c>
      <c r="I155" s="139"/>
      <c r="J155" s="139">
        <v>10</v>
      </c>
      <c r="K155" s="140" t="s">
        <v>29</v>
      </c>
      <c r="L155" s="140" t="s">
        <v>195</v>
      </c>
      <c r="M155" s="141">
        <v>5264000000</v>
      </c>
      <c r="N155" s="142">
        <v>0</v>
      </c>
      <c r="O155" s="142">
        <v>0</v>
      </c>
      <c r="P155" s="142">
        <v>0</v>
      </c>
      <c r="Q155" s="141">
        <v>128968049</v>
      </c>
      <c r="R155" s="142">
        <v>0</v>
      </c>
      <c r="S155" s="141">
        <v>5135031951</v>
      </c>
      <c r="T155" s="141">
        <v>5135031951</v>
      </c>
      <c r="U155" s="141">
        <v>0</v>
      </c>
      <c r="V155" s="143">
        <v>1</v>
      </c>
      <c r="W155" s="141">
        <v>2310764378</v>
      </c>
      <c r="X155" s="141">
        <v>2824267573</v>
      </c>
      <c r="Y155" s="143">
        <v>0.54999999999026294</v>
      </c>
      <c r="Z155" s="141">
        <v>2310764378</v>
      </c>
      <c r="AA155" s="141">
        <v>0</v>
      </c>
      <c r="AB155" s="724">
        <v>0.45000000000973706</v>
      </c>
    </row>
    <row r="156" spans="1:28" ht="24.95" hidden="1" customHeight="1">
      <c r="A156" s="32" t="e">
        <v>#REF!</v>
      </c>
      <c r="B156" s="144" t="s">
        <v>496</v>
      </c>
      <c r="C156" s="145" t="s">
        <v>167</v>
      </c>
      <c r="D156" s="145" t="s">
        <v>190</v>
      </c>
      <c r="E156" s="145" t="s">
        <v>172</v>
      </c>
      <c r="F156" s="145" t="s">
        <v>191</v>
      </c>
      <c r="G156" s="145" t="s">
        <v>175</v>
      </c>
      <c r="H156" s="145">
        <v>4103009</v>
      </c>
      <c r="I156" s="145" t="s">
        <v>54</v>
      </c>
      <c r="J156" s="145">
        <v>10</v>
      </c>
      <c r="K156" s="146" t="s">
        <v>29</v>
      </c>
      <c r="L156" s="147" t="s">
        <v>178</v>
      </c>
      <c r="M156" s="148">
        <v>0</v>
      </c>
      <c r="N156" s="148"/>
      <c r="O156" s="148"/>
      <c r="P156" s="148"/>
      <c r="Q156" s="148"/>
      <c r="R156" s="148"/>
      <c r="S156" s="148">
        <v>0</v>
      </c>
      <c r="T156" s="148">
        <v>0</v>
      </c>
      <c r="U156" s="148">
        <v>0</v>
      </c>
      <c r="V156" s="150">
        <v>0</v>
      </c>
      <c r="W156" s="148">
        <v>0</v>
      </c>
      <c r="X156" s="148">
        <v>0</v>
      </c>
      <c r="Y156" s="150">
        <v>0</v>
      </c>
      <c r="Z156" s="148">
        <v>0</v>
      </c>
      <c r="AA156" s="148">
        <v>0</v>
      </c>
      <c r="AB156" s="150">
        <v>0</v>
      </c>
    </row>
    <row r="157" spans="1:28" ht="24.95" customHeight="1">
      <c r="A157" s="32" t="e">
        <v>#REF!</v>
      </c>
      <c r="B157" s="144" t="s">
        <v>496</v>
      </c>
      <c r="C157" s="145" t="s">
        <v>167</v>
      </c>
      <c r="D157" s="145" t="s">
        <v>190</v>
      </c>
      <c r="E157" s="145" t="s">
        <v>172</v>
      </c>
      <c r="F157" s="145" t="s">
        <v>191</v>
      </c>
      <c r="G157" s="145" t="s">
        <v>175</v>
      </c>
      <c r="H157" s="145">
        <v>4103009</v>
      </c>
      <c r="I157" s="145" t="s">
        <v>54</v>
      </c>
      <c r="J157" s="145">
        <v>11</v>
      </c>
      <c r="K157" s="146" t="s">
        <v>29</v>
      </c>
      <c r="L157" s="147" t="s">
        <v>178</v>
      </c>
      <c r="M157" s="148">
        <v>5264000000</v>
      </c>
      <c r="N157" s="148"/>
      <c r="O157" s="148"/>
      <c r="P157" s="148"/>
      <c r="Q157" s="148">
        <v>128968049</v>
      </c>
      <c r="R157" s="148"/>
      <c r="S157" s="148">
        <v>5135031951</v>
      </c>
      <c r="T157" s="148">
        <v>5135031951</v>
      </c>
      <c r="U157" s="148">
        <v>0</v>
      </c>
      <c r="V157" s="150">
        <v>1</v>
      </c>
      <c r="W157" s="148">
        <v>2310764378</v>
      </c>
      <c r="X157" s="148">
        <v>2824267573</v>
      </c>
      <c r="Y157" s="150">
        <v>0.54999999999026294</v>
      </c>
      <c r="Z157" s="148">
        <v>2310764378</v>
      </c>
      <c r="AA157" s="148">
        <v>0</v>
      </c>
      <c r="AB157" s="150">
        <v>0.45000000000973706</v>
      </c>
    </row>
    <row r="158" spans="1:28" ht="42" customHeight="1">
      <c r="A158" s="32" t="e">
        <v>#REF!</v>
      </c>
      <c r="B158" s="132" t="s">
        <v>298</v>
      </c>
      <c r="C158" s="133" t="s">
        <v>167</v>
      </c>
      <c r="D158" s="133" t="s">
        <v>190</v>
      </c>
      <c r="E158" s="133" t="s">
        <v>172</v>
      </c>
      <c r="F158" s="133" t="s">
        <v>22</v>
      </c>
      <c r="G158" s="133"/>
      <c r="H158" s="133"/>
      <c r="I158" s="133"/>
      <c r="J158" s="133"/>
      <c r="K158" s="134"/>
      <c r="L158" s="134" t="s">
        <v>264</v>
      </c>
      <c r="M158" s="135">
        <v>26000000000</v>
      </c>
      <c r="N158" s="136">
        <v>0</v>
      </c>
      <c r="O158" s="136">
        <v>0</v>
      </c>
      <c r="P158" s="136">
        <v>0</v>
      </c>
      <c r="Q158" s="136">
        <v>0</v>
      </c>
      <c r="R158" s="136">
        <v>0</v>
      </c>
      <c r="S158" s="135">
        <v>26000000000</v>
      </c>
      <c r="T158" s="135">
        <v>20713918490</v>
      </c>
      <c r="U158" s="135">
        <v>5286081510</v>
      </c>
      <c r="V158" s="137">
        <v>0.79668917269230766</v>
      </c>
      <c r="W158" s="135">
        <v>8424661747</v>
      </c>
      <c r="X158" s="135">
        <v>12289256743</v>
      </c>
      <c r="Y158" s="137">
        <v>0.59328498125223628</v>
      </c>
      <c r="Z158" s="135">
        <v>8338124450</v>
      </c>
      <c r="AA158" s="135">
        <v>86537297</v>
      </c>
      <c r="AB158" s="723">
        <v>0.40253728207076672</v>
      </c>
    </row>
    <row r="159" spans="1:28" ht="32.25" customHeight="1">
      <c r="A159" s="32" t="e">
        <v>#REF!</v>
      </c>
      <c r="B159" s="138" t="s">
        <v>500</v>
      </c>
      <c r="C159" s="139" t="s">
        <v>167</v>
      </c>
      <c r="D159" s="139" t="s">
        <v>190</v>
      </c>
      <c r="E159" s="139" t="s">
        <v>172</v>
      </c>
      <c r="F159" s="139" t="s">
        <v>22</v>
      </c>
      <c r="G159" s="139" t="s">
        <v>175</v>
      </c>
      <c r="H159" s="139" t="s">
        <v>197</v>
      </c>
      <c r="I159" s="139"/>
      <c r="J159" s="139">
        <v>11</v>
      </c>
      <c r="K159" s="140" t="s">
        <v>29</v>
      </c>
      <c r="L159" s="140" t="s">
        <v>198</v>
      </c>
      <c r="M159" s="141">
        <v>2722234333</v>
      </c>
      <c r="N159" s="142">
        <v>0</v>
      </c>
      <c r="O159" s="142">
        <v>0</v>
      </c>
      <c r="P159" s="142">
        <v>0</v>
      </c>
      <c r="Q159" s="142">
        <v>0</v>
      </c>
      <c r="R159" s="142">
        <v>0</v>
      </c>
      <c r="S159" s="141">
        <v>2722234333</v>
      </c>
      <c r="T159" s="141">
        <v>2119790394</v>
      </c>
      <c r="U159" s="141">
        <v>602443939</v>
      </c>
      <c r="V159" s="143">
        <v>0.77869504777860721</v>
      </c>
      <c r="W159" s="141">
        <v>2051168395</v>
      </c>
      <c r="X159" s="142">
        <v>68621999</v>
      </c>
      <c r="Y159" s="143">
        <v>3.2372068103635347E-2</v>
      </c>
      <c r="Z159" s="141">
        <v>2051168395</v>
      </c>
      <c r="AA159" s="141">
        <v>0</v>
      </c>
      <c r="AB159" s="724">
        <v>0.96762793189636465</v>
      </c>
    </row>
    <row r="160" spans="1:28" ht="24.95" customHeight="1">
      <c r="A160" s="32" t="e">
        <v>#REF!</v>
      </c>
      <c r="B160" s="144" t="s">
        <v>501</v>
      </c>
      <c r="C160" s="145" t="s">
        <v>167</v>
      </c>
      <c r="D160" s="145" t="s">
        <v>190</v>
      </c>
      <c r="E160" s="145" t="s">
        <v>172</v>
      </c>
      <c r="F160" s="145" t="s">
        <v>22</v>
      </c>
      <c r="G160" s="145" t="s">
        <v>175</v>
      </c>
      <c r="H160" s="145" t="s">
        <v>197</v>
      </c>
      <c r="I160" s="145" t="s">
        <v>54</v>
      </c>
      <c r="J160" s="145">
        <v>11</v>
      </c>
      <c r="K160" s="146" t="s">
        <v>29</v>
      </c>
      <c r="L160" s="147" t="s">
        <v>178</v>
      </c>
      <c r="M160" s="148">
        <v>2722234333</v>
      </c>
      <c r="N160" s="148"/>
      <c r="O160" s="148"/>
      <c r="P160" s="148"/>
      <c r="Q160" s="148"/>
      <c r="R160" s="148"/>
      <c r="S160" s="148">
        <v>2722234333</v>
      </c>
      <c r="T160" s="148">
        <v>2119790394</v>
      </c>
      <c r="U160" s="148">
        <v>602443939</v>
      </c>
      <c r="V160" s="150">
        <v>0.77869504777860721</v>
      </c>
      <c r="W160" s="148">
        <v>2051168395</v>
      </c>
      <c r="X160" s="148">
        <v>68621999</v>
      </c>
      <c r="Y160" s="150">
        <v>3.2372068103635347E-2</v>
      </c>
      <c r="Z160" s="148">
        <v>2051168395</v>
      </c>
      <c r="AA160" s="148">
        <v>0</v>
      </c>
      <c r="AB160" s="150">
        <v>0.96762793189636465</v>
      </c>
    </row>
    <row r="161" spans="1:28" ht="32.25" customHeight="1">
      <c r="A161" s="32" t="e">
        <v>#REF!</v>
      </c>
      <c r="B161" s="138" t="s">
        <v>502</v>
      </c>
      <c r="C161" s="139" t="s">
        <v>167</v>
      </c>
      <c r="D161" s="139" t="s">
        <v>190</v>
      </c>
      <c r="E161" s="139" t="s">
        <v>172</v>
      </c>
      <c r="F161" s="139" t="s">
        <v>22</v>
      </c>
      <c r="G161" s="139" t="s">
        <v>175</v>
      </c>
      <c r="H161" s="139" t="s">
        <v>199</v>
      </c>
      <c r="I161" s="139"/>
      <c r="J161" s="139">
        <v>11</v>
      </c>
      <c r="K161" s="140" t="s">
        <v>29</v>
      </c>
      <c r="L161" s="140" t="s">
        <v>200</v>
      </c>
      <c r="M161" s="141">
        <v>2304259288</v>
      </c>
      <c r="N161" s="142">
        <v>0</v>
      </c>
      <c r="O161" s="142">
        <v>0</v>
      </c>
      <c r="P161" s="142">
        <v>0</v>
      </c>
      <c r="Q161" s="142">
        <v>0</v>
      </c>
      <c r="R161" s="142">
        <v>0</v>
      </c>
      <c r="S161" s="141">
        <v>2304259288</v>
      </c>
      <c r="T161" s="141">
        <v>1742312334</v>
      </c>
      <c r="U161" s="141">
        <v>561946954</v>
      </c>
      <c r="V161" s="143">
        <v>0.756126857369534</v>
      </c>
      <c r="W161" s="141">
        <v>759691998</v>
      </c>
      <c r="X161" s="142">
        <v>982620336</v>
      </c>
      <c r="Y161" s="143">
        <v>0.56397484929932207</v>
      </c>
      <c r="Z161" s="141">
        <v>759691998</v>
      </c>
      <c r="AA161" s="141">
        <v>0</v>
      </c>
      <c r="AB161" s="724">
        <v>0.43602515070067799</v>
      </c>
    </row>
    <row r="162" spans="1:28" ht="24.95" customHeight="1">
      <c r="A162" s="32" t="e">
        <v>#REF!</v>
      </c>
      <c r="B162" s="144" t="s">
        <v>503</v>
      </c>
      <c r="C162" s="145" t="s">
        <v>167</v>
      </c>
      <c r="D162" s="145" t="s">
        <v>190</v>
      </c>
      <c r="E162" s="145" t="s">
        <v>172</v>
      </c>
      <c r="F162" s="145" t="s">
        <v>22</v>
      </c>
      <c r="G162" s="145" t="s">
        <v>175</v>
      </c>
      <c r="H162" s="145" t="s">
        <v>199</v>
      </c>
      <c r="I162" s="145" t="s">
        <v>54</v>
      </c>
      <c r="J162" s="145">
        <v>11</v>
      </c>
      <c r="K162" s="146" t="s">
        <v>29</v>
      </c>
      <c r="L162" s="147" t="s">
        <v>178</v>
      </c>
      <c r="M162" s="148">
        <v>2304259288</v>
      </c>
      <c r="N162" s="148"/>
      <c r="O162" s="148"/>
      <c r="P162" s="148"/>
      <c r="Q162" s="148"/>
      <c r="R162" s="148"/>
      <c r="S162" s="148">
        <v>2304259288</v>
      </c>
      <c r="T162" s="148">
        <v>1742312334</v>
      </c>
      <c r="U162" s="148">
        <v>561946954</v>
      </c>
      <c r="V162" s="150">
        <v>0.756126857369534</v>
      </c>
      <c r="W162" s="148">
        <v>759691998</v>
      </c>
      <c r="X162" s="148">
        <v>982620336</v>
      </c>
      <c r="Y162" s="150">
        <v>0.56397484929932207</v>
      </c>
      <c r="Z162" s="148">
        <v>759691998</v>
      </c>
      <c r="AA162" s="148">
        <v>0</v>
      </c>
      <c r="AB162" s="150">
        <v>0.43602515070067799</v>
      </c>
    </row>
    <row r="163" spans="1:28" ht="32.25" customHeight="1">
      <c r="A163" s="32" t="e">
        <v>#REF!</v>
      </c>
      <c r="B163" s="138" t="s">
        <v>504</v>
      </c>
      <c r="C163" s="139" t="s">
        <v>167</v>
      </c>
      <c r="D163" s="139" t="s">
        <v>190</v>
      </c>
      <c r="E163" s="139" t="s">
        <v>172</v>
      </c>
      <c r="F163" s="139" t="s">
        <v>22</v>
      </c>
      <c r="G163" s="139" t="s">
        <v>175</v>
      </c>
      <c r="H163" s="139" t="s">
        <v>201</v>
      </c>
      <c r="I163" s="139"/>
      <c r="J163" s="139">
        <v>11</v>
      </c>
      <c r="K163" s="140" t="s">
        <v>29</v>
      </c>
      <c r="L163" s="140" t="s">
        <v>202</v>
      </c>
      <c r="M163" s="141">
        <v>2444410079</v>
      </c>
      <c r="N163" s="142">
        <v>0</v>
      </c>
      <c r="O163" s="142">
        <v>0</v>
      </c>
      <c r="P163" s="142">
        <v>0</v>
      </c>
      <c r="Q163" s="142">
        <v>0</v>
      </c>
      <c r="R163" s="142">
        <v>0</v>
      </c>
      <c r="S163" s="141">
        <v>2444410079</v>
      </c>
      <c r="T163" s="141">
        <v>1885921453</v>
      </c>
      <c r="U163" s="141">
        <v>558488626</v>
      </c>
      <c r="V163" s="143">
        <v>0.77152416822447578</v>
      </c>
      <c r="W163" s="141">
        <v>1270916523</v>
      </c>
      <c r="X163" s="141">
        <v>615004930</v>
      </c>
      <c r="Y163" s="143">
        <v>0.32610315186864786</v>
      </c>
      <c r="Z163" s="141">
        <v>1184379226</v>
      </c>
      <c r="AA163" s="141">
        <v>86537297</v>
      </c>
      <c r="AB163" s="724">
        <v>0.62801089839450486</v>
      </c>
    </row>
    <row r="164" spans="1:28" ht="24.95" customHeight="1">
      <c r="A164" s="32" t="e">
        <v>#REF!</v>
      </c>
      <c r="B164" s="144" t="s">
        <v>505</v>
      </c>
      <c r="C164" s="145" t="s">
        <v>167</v>
      </c>
      <c r="D164" s="145" t="s">
        <v>190</v>
      </c>
      <c r="E164" s="145" t="s">
        <v>172</v>
      </c>
      <c r="F164" s="145" t="s">
        <v>22</v>
      </c>
      <c r="G164" s="145" t="s">
        <v>175</v>
      </c>
      <c r="H164" s="145" t="s">
        <v>201</v>
      </c>
      <c r="I164" s="145" t="s">
        <v>54</v>
      </c>
      <c r="J164" s="145">
        <v>11</v>
      </c>
      <c r="K164" s="146" t="s">
        <v>29</v>
      </c>
      <c r="L164" s="147" t="s">
        <v>178</v>
      </c>
      <c r="M164" s="148">
        <v>2444410079</v>
      </c>
      <c r="N164" s="148"/>
      <c r="O164" s="148"/>
      <c r="P164" s="148"/>
      <c r="Q164" s="148"/>
      <c r="R164" s="148"/>
      <c r="S164" s="148">
        <v>2444410079</v>
      </c>
      <c r="T164" s="148">
        <v>1885921453</v>
      </c>
      <c r="U164" s="148">
        <v>558488626</v>
      </c>
      <c r="V164" s="150">
        <v>0.77152416822447578</v>
      </c>
      <c r="W164" s="148">
        <v>1270916523</v>
      </c>
      <c r="X164" s="148">
        <v>615004930</v>
      </c>
      <c r="Y164" s="150">
        <v>0.32610315186864786</v>
      </c>
      <c r="Z164" s="148">
        <v>1184379226</v>
      </c>
      <c r="AA164" s="148">
        <v>86537297</v>
      </c>
      <c r="AB164" s="150">
        <v>0.62801089839450486</v>
      </c>
    </row>
    <row r="165" spans="1:28" ht="32.25" customHeight="1">
      <c r="A165" s="32" t="e">
        <v>#REF!</v>
      </c>
      <c r="B165" s="138" t="s">
        <v>506</v>
      </c>
      <c r="C165" s="139" t="s">
        <v>167</v>
      </c>
      <c r="D165" s="139" t="s">
        <v>190</v>
      </c>
      <c r="E165" s="139" t="s">
        <v>172</v>
      </c>
      <c r="F165" s="139" t="s">
        <v>22</v>
      </c>
      <c r="G165" s="139" t="s">
        <v>175</v>
      </c>
      <c r="H165" s="139" t="s">
        <v>203</v>
      </c>
      <c r="I165" s="139"/>
      <c r="J165" s="139">
        <v>11</v>
      </c>
      <c r="K165" s="140" t="s">
        <v>29</v>
      </c>
      <c r="L165" s="140" t="s">
        <v>204</v>
      </c>
      <c r="M165" s="141">
        <v>18529096300</v>
      </c>
      <c r="N165" s="142">
        <v>0</v>
      </c>
      <c r="O165" s="142">
        <v>0</v>
      </c>
      <c r="P165" s="142">
        <v>0</v>
      </c>
      <c r="Q165" s="142">
        <v>0</v>
      </c>
      <c r="R165" s="142">
        <v>0</v>
      </c>
      <c r="S165" s="141">
        <v>18529096300</v>
      </c>
      <c r="T165" s="141">
        <v>14965894309</v>
      </c>
      <c r="U165" s="141">
        <v>3563201991</v>
      </c>
      <c r="V165" s="143">
        <v>0.80769693603459769</v>
      </c>
      <c r="W165" s="141">
        <v>4342884831</v>
      </c>
      <c r="X165" s="142">
        <v>10623009478</v>
      </c>
      <c r="Y165" s="143">
        <v>0.70981454623875495</v>
      </c>
      <c r="Z165" s="141">
        <v>4342884831</v>
      </c>
      <c r="AA165" s="141">
        <v>0</v>
      </c>
      <c r="AB165" s="724">
        <v>0.29018545376124505</v>
      </c>
    </row>
    <row r="166" spans="1:28" ht="24.95" customHeight="1">
      <c r="A166" s="32" t="e">
        <v>#REF!</v>
      </c>
      <c r="B166" s="144" t="s">
        <v>507</v>
      </c>
      <c r="C166" s="145" t="s">
        <v>167</v>
      </c>
      <c r="D166" s="145" t="s">
        <v>190</v>
      </c>
      <c r="E166" s="145" t="s">
        <v>172</v>
      </c>
      <c r="F166" s="145" t="s">
        <v>22</v>
      </c>
      <c r="G166" s="145" t="s">
        <v>175</v>
      </c>
      <c r="H166" s="145" t="s">
        <v>203</v>
      </c>
      <c r="I166" s="145" t="s">
        <v>54</v>
      </c>
      <c r="J166" s="145">
        <v>11</v>
      </c>
      <c r="K166" s="146" t="s">
        <v>29</v>
      </c>
      <c r="L166" s="147" t="s">
        <v>178</v>
      </c>
      <c r="M166" s="148">
        <v>18529096300</v>
      </c>
      <c r="N166" s="148"/>
      <c r="O166" s="148"/>
      <c r="P166" s="148"/>
      <c r="Q166" s="148"/>
      <c r="R166" s="148"/>
      <c r="S166" s="148">
        <v>18529096300</v>
      </c>
      <c r="T166" s="148">
        <v>14965894309</v>
      </c>
      <c r="U166" s="148">
        <v>3563201991</v>
      </c>
      <c r="V166" s="150">
        <v>0.80769693603459769</v>
      </c>
      <c r="W166" s="148">
        <v>4342884831</v>
      </c>
      <c r="X166" s="148">
        <v>10623009478</v>
      </c>
      <c r="Y166" s="150">
        <v>0.70981454623875495</v>
      </c>
      <c r="Z166" s="148">
        <v>4342884831</v>
      </c>
      <c r="AA166" s="148">
        <v>0</v>
      </c>
      <c r="AB166" s="150">
        <v>0.29018545376124505</v>
      </c>
    </row>
    <row r="167" spans="1:28" ht="42" customHeight="1">
      <c r="A167" s="32" t="e">
        <v>#REF!</v>
      </c>
      <c r="B167" s="132" t="s">
        <v>299</v>
      </c>
      <c r="C167" s="133" t="s">
        <v>167</v>
      </c>
      <c r="D167" s="133" t="s">
        <v>190</v>
      </c>
      <c r="E167" s="133" t="s">
        <v>172</v>
      </c>
      <c r="F167" s="133" t="s">
        <v>205</v>
      </c>
      <c r="G167" s="133"/>
      <c r="H167" s="133"/>
      <c r="I167" s="133"/>
      <c r="J167" s="133"/>
      <c r="K167" s="134"/>
      <c r="L167" s="134" t="s">
        <v>265</v>
      </c>
      <c r="M167" s="135">
        <v>881000000000</v>
      </c>
      <c r="N167" s="135">
        <v>130000000000</v>
      </c>
      <c r="O167" s="136">
        <v>0</v>
      </c>
      <c r="P167" s="135">
        <v>38405538142.469994</v>
      </c>
      <c r="Q167" s="135">
        <v>63412677058.470001</v>
      </c>
      <c r="R167" s="135">
        <v>45123372017</v>
      </c>
      <c r="S167" s="135">
        <v>940869489067</v>
      </c>
      <c r="T167" s="135">
        <v>482280976096.07001</v>
      </c>
      <c r="U167" s="135">
        <v>458588512970.93005</v>
      </c>
      <c r="V167" s="137">
        <v>0.51259072772602832</v>
      </c>
      <c r="W167" s="135">
        <v>116095123360.02</v>
      </c>
      <c r="X167" s="135">
        <v>366185852736.04999</v>
      </c>
      <c r="Y167" s="137">
        <v>0.75927907358117741</v>
      </c>
      <c r="Z167" s="135">
        <v>114322150568.29001</v>
      </c>
      <c r="AA167" s="135">
        <v>1772972791.7299957</v>
      </c>
      <c r="AB167" s="723">
        <v>0.23704470264138539</v>
      </c>
    </row>
    <row r="168" spans="1:28" ht="45" hidden="1" customHeight="1">
      <c r="A168" s="32"/>
      <c r="B168" s="135"/>
      <c r="C168" s="133"/>
      <c r="D168" s="133"/>
      <c r="E168" s="133"/>
      <c r="F168" s="133"/>
      <c r="G168" s="133"/>
      <c r="H168" s="133"/>
      <c r="I168" s="133"/>
      <c r="J168" s="133"/>
      <c r="K168" s="134"/>
      <c r="L168" s="135"/>
      <c r="M168" s="729">
        <v>526000000000</v>
      </c>
      <c r="N168" s="135">
        <v>90857847425</v>
      </c>
      <c r="O168" s="136"/>
      <c r="P168" s="136"/>
      <c r="Q168" s="136"/>
      <c r="R168" s="729">
        <v>526000000000</v>
      </c>
      <c r="S168" s="135">
        <v>90857847425</v>
      </c>
      <c r="T168" s="135"/>
      <c r="U168" s="135">
        <v>90857847425</v>
      </c>
      <c r="V168" s="137"/>
      <c r="W168" s="135"/>
      <c r="X168" s="135">
        <v>0</v>
      </c>
      <c r="Y168" s="137"/>
      <c r="Z168" s="135"/>
      <c r="AA168" s="135">
        <v>0</v>
      </c>
      <c r="AB168" s="723"/>
    </row>
    <row r="169" spans="1:28" ht="32.25" customHeight="1">
      <c r="A169" s="32" t="e">
        <v>#REF!</v>
      </c>
      <c r="B169" s="138" t="s">
        <v>510</v>
      </c>
      <c r="C169" s="139" t="s">
        <v>167</v>
      </c>
      <c r="D169" s="139" t="s">
        <v>190</v>
      </c>
      <c r="E169" s="139" t="s">
        <v>172</v>
      </c>
      <c r="F169" s="139" t="s">
        <v>205</v>
      </c>
      <c r="G169" s="139" t="s">
        <v>175</v>
      </c>
      <c r="H169" s="139" t="s">
        <v>207</v>
      </c>
      <c r="I169" s="139"/>
      <c r="J169" s="139"/>
      <c r="K169" s="140"/>
      <c r="L169" s="140" t="s">
        <v>208</v>
      </c>
      <c r="M169" s="141">
        <v>331786185933</v>
      </c>
      <c r="N169" s="141">
        <v>39142152575</v>
      </c>
      <c r="O169" s="142">
        <v>0</v>
      </c>
      <c r="P169" s="141">
        <v>36788258839.469994</v>
      </c>
      <c r="Q169" s="141">
        <v>63412677058.470001</v>
      </c>
      <c r="R169" s="730">
        <v>-480876627983</v>
      </c>
      <c r="S169" s="141">
        <v>825180548272</v>
      </c>
      <c r="T169" s="141">
        <v>463865718576.57001</v>
      </c>
      <c r="U169" s="141">
        <v>361314829695.43005</v>
      </c>
      <c r="V169" s="143">
        <v>0.56213845509076199</v>
      </c>
      <c r="W169" s="141">
        <v>102716794100.60001</v>
      </c>
      <c r="X169" s="141">
        <v>361148924475.96997</v>
      </c>
      <c r="Y169" s="143">
        <v>0.77856351528670975</v>
      </c>
      <c r="Z169" s="141">
        <v>101075559628.87001</v>
      </c>
      <c r="AA169" s="141">
        <v>1641234471.7299957</v>
      </c>
      <c r="AB169" s="724">
        <v>0.21789831751100946</v>
      </c>
    </row>
    <row r="170" spans="1:28" ht="24.95" customHeight="1">
      <c r="A170" s="32" t="e">
        <v>#REF!</v>
      </c>
      <c r="B170" s="144" t="s">
        <v>511</v>
      </c>
      <c r="C170" s="145" t="s">
        <v>167</v>
      </c>
      <c r="D170" s="145" t="s">
        <v>190</v>
      </c>
      <c r="E170" s="145" t="s">
        <v>172</v>
      </c>
      <c r="F170" s="145" t="s">
        <v>205</v>
      </c>
      <c r="G170" s="145" t="s">
        <v>175</v>
      </c>
      <c r="H170" s="145" t="s">
        <v>207</v>
      </c>
      <c r="I170" s="145" t="s">
        <v>54</v>
      </c>
      <c r="J170" s="145">
        <v>11</v>
      </c>
      <c r="K170" s="146" t="s">
        <v>29</v>
      </c>
      <c r="L170" s="147" t="s">
        <v>178</v>
      </c>
      <c r="M170" s="148">
        <v>27122315285.709999</v>
      </c>
      <c r="N170" s="148"/>
      <c r="O170" s="148"/>
      <c r="P170" s="148">
        <v>35688212248.469994</v>
      </c>
      <c r="Q170" s="149">
        <v>1100046591</v>
      </c>
      <c r="R170" s="149">
        <v>-19085553867</v>
      </c>
      <c r="S170" s="148">
        <v>80796034810.179993</v>
      </c>
      <c r="T170" s="148">
        <v>56467991943.82</v>
      </c>
      <c r="U170" s="148">
        <v>24328042866.359993</v>
      </c>
      <c r="V170" s="150">
        <v>0.69889558412717112</v>
      </c>
      <c r="W170" s="148">
        <v>16511885298.91</v>
      </c>
      <c r="X170" s="148">
        <v>39956106644.910004</v>
      </c>
      <c r="Y170" s="150">
        <v>0.707588587259528</v>
      </c>
      <c r="Z170" s="148">
        <v>16511885298.91</v>
      </c>
      <c r="AA170" s="148">
        <v>0</v>
      </c>
      <c r="AB170" s="150">
        <v>0.29241141274047205</v>
      </c>
    </row>
    <row r="171" spans="1:28" ht="24.95" hidden="1" customHeight="1">
      <c r="A171" s="32" t="e">
        <v>#REF!</v>
      </c>
      <c r="B171" s="144" t="s">
        <v>514</v>
      </c>
      <c r="C171" s="145" t="s">
        <v>167</v>
      </c>
      <c r="D171" s="145" t="s">
        <v>190</v>
      </c>
      <c r="E171" s="145" t="s">
        <v>172</v>
      </c>
      <c r="F171" s="145" t="s">
        <v>205</v>
      </c>
      <c r="G171" s="145" t="s">
        <v>175</v>
      </c>
      <c r="H171" s="145" t="s">
        <v>207</v>
      </c>
      <c r="I171" s="145" t="s">
        <v>65</v>
      </c>
      <c r="J171" s="145" t="s">
        <v>28</v>
      </c>
      <c r="K171" s="146" t="s">
        <v>29</v>
      </c>
      <c r="L171" s="147" t="s">
        <v>127</v>
      </c>
      <c r="M171" s="148"/>
      <c r="N171" s="148"/>
      <c r="O171" s="148"/>
      <c r="P171" s="148"/>
      <c r="Q171" s="149"/>
      <c r="R171" s="149"/>
      <c r="S171" s="148">
        <v>0</v>
      </c>
      <c r="T171" s="148"/>
      <c r="U171" s="148">
        <v>0</v>
      </c>
      <c r="V171" s="150">
        <v>0</v>
      </c>
      <c r="W171" s="148"/>
      <c r="X171" s="148">
        <v>0</v>
      </c>
      <c r="Y171" s="150">
        <v>0</v>
      </c>
      <c r="Z171" s="148"/>
      <c r="AA171" s="148">
        <v>0</v>
      </c>
      <c r="AB171" s="150">
        <v>0</v>
      </c>
    </row>
    <row r="172" spans="1:28" ht="24.95" customHeight="1">
      <c r="A172" s="32" t="e">
        <v>#REF!</v>
      </c>
      <c r="B172" s="144" t="s">
        <v>514</v>
      </c>
      <c r="C172" s="145" t="s">
        <v>167</v>
      </c>
      <c r="D172" s="145" t="s">
        <v>190</v>
      </c>
      <c r="E172" s="145" t="s">
        <v>172</v>
      </c>
      <c r="F172" s="145" t="s">
        <v>205</v>
      </c>
      <c r="G172" s="145" t="s">
        <v>175</v>
      </c>
      <c r="H172" s="145" t="s">
        <v>207</v>
      </c>
      <c r="I172" s="145" t="s">
        <v>65</v>
      </c>
      <c r="J172" s="145">
        <v>11</v>
      </c>
      <c r="K172" s="146" t="s">
        <v>29</v>
      </c>
      <c r="L172" s="147" t="s">
        <v>127</v>
      </c>
      <c r="M172" s="148">
        <v>304663870647.28998</v>
      </c>
      <c r="N172" s="149">
        <v>39142152575</v>
      </c>
      <c r="O172" s="148"/>
      <c r="P172" s="148">
        <v>1100046591</v>
      </c>
      <c r="Q172" s="149">
        <v>62312630467.470001</v>
      </c>
      <c r="R172" s="149">
        <v>-461791074116</v>
      </c>
      <c r="S172" s="149">
        <v>744384513461.82007</v>
      </c>
      <c r="T172" s="148">
        <v>407397726632.75</v>
      </c>
      <c r="U172" s="148">
        <v>336986786829.07007</v>
      </c>
      <c r="V172" s="150">
        <v>0.5472947371488347</v>
      </c>
      <c r="W172" s="148">
        <v>86204908801.690002</v>
      </c>
      <c r="X172" s="148">
        <v>321192817831.06</v>
      </c>
      <c r="Y172" s="150">
        <v>0.78840110494921911</v>
      </c>
      <c r="Z172" s="148">
        <v>84563674329.960007</v>
      </c>
      <c r="AA172" s="148">
        <v>1641234471.7299957</v>
      </c>
      <c r="AB172" s="150">
        <v>0.20757031471162382</v>
      </c>
    </row>
    <row r="173" spans="1:28" ht="32.25" customHeight="1">
      <c r="A173" s="32" t="e">
        <v>#REF!</v>
      </c>
      <c r="B173" s="138" t="s">
        <v>516</v>
      </c>
      <c r="C173" s="139" t="s">
        <v>167</v>
      </c>
      <c r="D173" s="139" t="s">
        <v>190</v>
      </c>
      <c r="E173" s="139" t="s">
        <v>172</v>
      </c>
      <c r="F173" s="139" t="s">
        <v>205</v>
      </c>
      <c r="G173" s="139" t="s">
        <v>175</v>
      </c>
      <c r="H173" s="139" t="s">
        <v>209</v>
      </c>
      <c r="I173" s="139"/>
      <c r="J173" s="139">
        <v>11</v>
      </c>
      <c r="K173" s="140" t="s">
        <v>29</v>
      </c>
      <c r="L173" s="140" t="s">
        <v>210</v>
      </c>
      <c r="M173" s="141">
        <v>23213814067</v>
      </c>
      <c r="N173" s="142">
        <v>0</v>
      </c>
      <c r="O173" s="142">
        <v>0</v>
      </c>
      <c r="P173" s="141">
        <v>1617279303</v>
      </c>
      <c r="Q173" s="142">
        <v>0</v>
      </c>
      <c r="R173" s="142">
        <v>0</v>
      </c>
      <c r="S173" s="141">
        <v>24831093370</v>
      </c>
      <c r="T173" s="141">
        <v>18415257519.5</v>
      </c>
      <c r="U173" s="141">
        <v>6415835850.5</v>
      </c>
      <c r="V173" s="143">
        <v>0.74162088817839278</v>
      </c>
      <c r="W173" s="141">
        <v>13378329259.42</v>
      </c>
      <c r="X173" s="141">
        <v>5036928260.0799999</v>
      </c>
      <c r="Y173" s="143">
        <v>0.27351929533140518</v>
      </c>
      <c r="Z173" s="141">
        <v>13246590939.42</v>
      </c>
      <c r="AA173" s="141">
        <v>131738320</v>
      </c>
      <c r="AB173" s="724">
        <v>0.71932694535458575</v>
      </c>
    </row>
    <row r="174" spans="1:28" ht="24.95" customHeight="1">
      <c r="A174" s="32" t="e">
        <v>#REF!</v>
      </c>
      <c r="B174" s="144" t="s">
        <v>517</v>
      </c>
      <c r="C174" s="145" t="s">
        <v>167</v>
      </c>
      <c r="D174" s="145" t="s">
        <v>190</v>
      </c>
      <c r="E174" s="145" t="s">
        <v>172</v>
      </c>
      <c r="F174" s="145" t="s">
        <v>205</v>
      </c>
      <c r="G174" s="145" t="s">
        <v>175</v>
      </c>
      <c r="H174" s="145" t="s">
        <v>209</v>
      </c>
      <c r="I174" s="145" t="s">
        <v>54</v>
      </c>
      <c r="J174" s="145">
        <v>11</v>
      </c>
      <c r="K174" s="146" t="s">
        <v>29</v>
      </c>
      <c r="L174" s="147" t="s">
        <v>178</v>
      </c>
      <c r="M174" s="148">
        <v>23213814067</v>
      </c>
      <c r="N174" s="148"/>
      <c r="O174" s="148"/>
      <c r="P174" s="148">
        <v>1617279303</v>
      </c>
      <c r="Q174" s="148"/>
      <c r="R174" s="148"/>
      <c r="S174" s="148">
        <v>24831093370</v>
      </c>
      <c r="T174" s="148">
        <v>18415257519.5</v>
      </c>
      <c r="U174" s="148">
        <v>6415835850.5</v>
      </c>
      <c r="V174" s="150">
        <v>0.74162088817839278</v>
      </c>
      <c r="W174" s="148">
        <v>13378329259.42</v>
      </c>
      <c r="X174" s="148">
        <v>5036928260.0799999</v>
      </c>
      <c r="Y174" s="150">
        <v>0.27351929533140518</v>
      </c>
      <c r="Z174" s="148">
        <v>13246590939.42</v>
      </c>
      <c r="AA174" s="148">
        <v>131738320</v>
      </c>
      <c r="AB174" s="150">
        <v>0.71932694535458575</v>
      </c>
    </row>
    <row r="175" spans="1:28" ht="38.25" customHeight="1">
      <c r="A175" s="32" t="e">
        <v>#REF!</v>
      </c>
      <c r="B175" s="132" t="s">
        <v>520</v>
      </c>
      <c r="C175" s="133" t="s">
        <v>167</v>
      </c>
      <c r="D175" s="133" t="s">
        <v>190</v>
      </c>
      <c r="E175" s="133" t="s">
        <v>172</v>
      </c>
      <c r="F175" s="133" t="s">
        <v>211</v>
      </c>
      <c r="G175" s="133"/>
      <c r="H175" s="133"/>
      <c r="I175" s="133"/>
      <c r="J175" s="133"/>
      <c r="K175" s="134"/>
      <c r="L175" s="134" t="s">
        <v>266</v>
      </c>
      <c r="M175" s="135">
        <v>1500000000</v>
      </c>
      <c r="N175" s="136">
        <v>0</v>
      </c>
      <c r="O175" s="136">
        <v>0</v>
      </c>
      <c r="P175" s="135">
        <v>595000000</v>
      </c>
      <c r="Q175" s="135">
        <v>595000000</v>
      </c>
      <c r="R175" s="136">
        <v>0</v>
      </c>
      <c r="S175" s="135">
        <v>1500000000</v>
      </c>
      <c r="T175" s="135">
        <v>500000000</v>
      </c>
      <c r="U175" s="135">
        <v>1000000000</v>
      </c>
      <c r="V175" s="137">
        <v>0.33333333333333331</v>
      </c>
      <c r="W175" s="135">
        <v>500000000</v>
      </c>
      <c r="X175" s="135">
        <v>0</v>
      </c>
      <c r="Y175" s="137">
        <v>0</v>
      </c>
      <c r="Z175" s="135">
        <v>500000000</v>
      </c>
      <c r="AA175" s="135">
        <v>0</v>
      </c>
      <c r="AB175" s="723">
        <v>1</v>
      </c>
    </row>
    <row r="176" spans="1:28" ht="32.25" customHeight="1">
      <c r="A176" s="32" t="e">
        <v>#REF!</v>
      </c>
      <c r="B176" s="138" t="s">
        <v>522</v>
      </c>
      <c r="C176" s="139" t="s">
        <v>167</v>
      </c>
      <c r="D176" s="139" t="s">
        <v>190</v>
      </c>
      <c r="E176" s="139" t="s">
        <v>172</v>
      </c>
      <c r="F176" s="139" t="s">
        <v>211</v>
      </c>
      <c r="G176" s="139" t="s">
        <v>175</v>
      </c>
      <c r="H176" s="139" t="s">
        <v>213</v>
      </c>
      <c r="I176" s="139"/>
      <c r="J176" s="139" t="s">
        <v>144</v>
      </c>
      <c r="K176" s="140" t="s">
        <v>29</v>
      </c>
      <c r="L176" s="140" t="s">
        <v>214</v>
      </c>
      <c r="M176" s="141">
        <v>1095000000</v>
      </c>
      <c r="N176" s="142">
        <v>0</v>
      </c>
      <c r="O176" s="142">
        <v>0</v>
      </c>
      <c r="P176" s="142">
        <v>0</v>
      </c>
      <c r="Q176" s="141">
        <v>595000000</v>
      </c>
      <c r="R176" s="142">
        <v>0</v>
      </c>
      <c r="S176" s="141">
        <v>500000000</v>
      </c>
      <c r="T176" s="141">
        <v>95000000</v>
      </c>
      <c r="U176" s="141">
        <v>405000000</v>
      </c>
      <c r="V176" s="143">
        <v>0.19</v>
      </c>
      <c r="W176" s="141">
        <v>95000000</v>
      </c>
      <c r="X176" s="142">
        <v>0</v>
      </c>
      <c r="Y176" s="143">
        <v>0</v>
      </c>
      <c r="Z176" s="141">
        <v>95000000</v>
      </c>
      <c r="AA176" s="141">
        <v>0</v>
      </c>
      <c r="AB176" s="724">
        <v>1</v>
      </c>
    </row>
    <row r="177" spans="1:28" ht="24.95" customHeight="1">
      <c r="A177" s="32" t="e">
        <v>#REF!</v>
      </c>
      <c r="B177" s="144" t="s">
        <v>524</v>
      </c>
      <c r="C177" s="145" t="s">
        <v>167</v>
      </c>
      <c r="D177" s="145" t="s">
        <v>190</v>
      </c>
      <c r="E177" s="145" t="s">
        <v>172</v>
      </c>
      <c r="F177" s="145" t="s">
        <v>211</v>
      </c>
      <c r="G177" s="145" t="s">
        <v>175</v>
      </c>
      <c r="H177" s="145" t="s">
        <v>213</v>
      </c>
      <c r="I177" s="145" t="s">
        <v>54</v>
      </c>
      <c r="J177" s="145" t="s">
        <v>144</v>
      </c>
      <c r="K177" s="146" t="s">
        <v>29</v>
      </c>
      <c r="L177" s="147" t="s">
        <v>178</v>
      </c>
      <c r="M177" s="148">
        <v>1095000000</v>
      </c>
      <c r="N177" s="148"/>
      <c r="O177" s="148"/>
      <c r="P177" s="148"/>
      <c r="Q177" s="149">
        <v>595000000</v>
      </c>
      <c r="R177" s="148"/>
      <c r="S177" s="148">
        <v>500000000</v>
      </c>
      <c r="T177" s="148">
        <v>95000000</v>
      </c>
      <c r="U177" s="148">
        <v>405000000</v>
      </c>
      <c r="V177" s="150">
        <v>0.19</v>
      </c>
      <c r="W177" s="148">
        <v>95000000</v>
      </c>
      <c r="X177" s="148">
        <v>0</v>
      </c>
      <c r="Y177" s="150">
        <v>0</v>
      </c>
      <c r="Z177" s="148">
        <v>95000000</v>
      </c>
      <c r="AA177" s="148">
        <v>0</v>
      </c>
      <c r="AB177" s="150">
        <v>1</v>
      </c>
    </row>
    <row r="178" spans="1:28" ht="32.25" customHeight="1">
      <c r="A178" s="32" t="e">
        <v>#REF!</v>
      </c>
      <c r="B178" s="138" t="s">
        <v>526</v>
      </c>
      <c r="C178" s="139" t="s">
        <v>167</v>
      </c>
      <c r="D178" s="139" t="s">
        <v>190</v>
      </c>
      <c r="E178" s="139" t="s">
        <v>172</v>
      </c>
      <c r="F178" s="139" t="s">
        <v>211</v>
      </c>
      <c r="G178" s="139" t="s">
        <v>175</v>
      </c>
      <c r="H178" s="139" t="s">
        <v>215</v>
      </c>
      <c r="I178" s="139"/>
      <c r="J178" s="139" t="s">
        <v>144</v>
      </c>
      <c r="K178" s="140" t="s">
        <v>29</v>
      </c>
      <c r="L178" s="140" t="s">
        <v>216</v>
      </c>
      <c r="M178" s="141">
        <v>405000000</v>
      </c>
      <c r="N178" s="142">
        <v>0</v>
      </c>
      <c r="O178" s="142">
        <v>0</v>
      </c>
      <c r="P178" s="141">
        <v>595000000</v>
      </c>
      <c r="Q178" s="142">
        <v>0</v>
      </c>
      <c r="R178" s="142">
        <v>0</v>
      </c>
      <c r="S178" s="141">
        <v>1000000000</v>
      </c>
      <c r="T178" s="141">
        <v>405000000</v>
      </c>
      <c r="U178" s="141">
        <v>595000000</v>
      </c>
      <c r="V178" s="143">
        <v>0.40500000000000003</v>
      </c>
      <c r="W178" s="141">
        <v>405000000</v>
      </c>
      <c r="X178" s="141">
        <v>0</v>
      </c>
      <c r="Y178" s="143">
        <v>0</v>
      </c>
      <c r="Z178" s="141">
        <v>405000000</v>
      </c>
      <c r="AA178" s="141">
        <v>0</v>
      </c>
      <c r="AB178" s="724">
        <v>1</v>
      </c>
    </row>
    <row r="179" spans="1:28" ht="24.95" customHeight="1">
      <c r="A179" s="32" t="e">
        <v>#REF!</v>
      </c>
      <c r="B179" s="144" t="s">
        <v>528</v>
      </c>
      <c r="C179" s="145" t="s">
        <v>167</v>
      </c>
      <c r="D179" s="145" t="s">
        <v>190</v>
      </c>
      <c r="E179" s="145" t="s">
        <v>172</v>
      </c>
      <c r="F179" s="145" t="s">
        <v>211</v>
      </c>
      <c r="G179" s="145" t="s">
        <v>175</v>
      </c>
      <c r="H179" s="145" t="s">
        <v>215</v>
      </c>
      <c r="I179" s="145" t="s">
        <v>54</v>
      </c>
      <c r="J179" s="145" t="s">
        <v>144</v>
      </c>
      <c r="K179" s="146" t="s">
        <v>29</v>
      </c>
      <c r="L179" s="147" t="s">
        <v>178</v>
      </c>
      <c r="M179" s="148">
        <v>405000000</v>
      </c>
      <c r="N179" s="148"/>
      <c r="O179" s="148"/>
      <c r="P179" s="149">
        <v>595000000</v>
      </c>
      <c r="Q179" s="148"/>
      <c r="R179" s="148"/>
      <c r="S179" s="148">
        <v>1000000000</v>
      </c>
      <c r="T179" s="148">
        <v>405000000</v>
      </c>
      <c r="U179" s="148">
        <v>595000000</v>
      </c>
      <c r="V179" s="150">
        <v>0.40500000000000003</v>
      </c>
      <c r="W179" s="148">
        <v>405000000</v>
      </c>
      <c r="X179" s="148">
        <v>0</v>
      </c>
      <c r="Y179" s="150">
        <v>0</v>
      </c>
      <c r="Z179" s="148">
        <v>405000000</v>
      </c>
      <c r="AA179" s="148">
        <v>0</v>
      </c>
      <c r="AB179" s="150">
        <v>1</v>
      </c>
    </row>
    <row r="180" spans="1:28" ht="49.5" customHeight="1">
      <c r="A180" s="32" t="e">
        <v>#REF!</v>
      </c>
      <c r="B180" s="132" t="s">
        <v>530</v>
      </c>
      <c r="C180" s="133" t="s">
        <v>167</v>
      </c>
      <c r="D180" s="133" t="s">
        <v>190</v>
      </c>
      <c r="E180" s="133" t="s">
        <v>172</v>
      </c>
      <c r="F180" s="133" t="s">
        <v>217</v>
      </c>
      <c r="G180" s="133"/>
      <c r="H180" s="133"/>
      <c r="I180" s="133"/>
      <c r="J180" s="133"/>
      <c r="K180" s="134"/>
      <c r="L180" s="134" t="s">
        <v>267</v>
      </c>
      <c r="M180" s="136">
        <v>0</v>
      </c>
      <c r="N180" s="136">
        <v>0</v>
      </c>
      <c r="O180" s="136">
        <v>0</v>
      </c>
      <c r="P180" s="135">
        <v>8981138916</v>
      </c>
      <c r="Q180" s="136">
        <v>0</v>
      </c>
      <c r="R180" s="136">
        <v>0</v>
      </c>
      <c r="S180" s="135">
        <v>8981138916</v>
      </c>
      <c r="T180" s="135">
        <v>5205720035</v>
      </c>
      <c r="U180" s="135">
        <v>3775418881</v>
      </c>
      <c r="V180" s="137">
        <v>0.5796280498151466</v>
      </c>
      <c r="W180" s="135">
        <v>4548386700</v>
      </c>
      <c r="X180" s="135">
        <v>657333335</v>
      </c>
      <c r="Y180" s="137">
        <v>0.12627135738773934</v>
      </c>
      <c r="Z180" s="135">
        <v>4548386700</v>
      </c>
      <c r="AA180" s="135">
        <v>0</v>
      </c>
      <c r="AB180" s="723">
        <v>0.87372864261226069</v>
      </c>
    </row>
    <row r="181" spans="1:28" ht="32.25" customHeight="1">
      <c r="A181" s="32" t="e">
        <v>#REF!</v>
      </c>
      <c r="B181" s="138" t="s">
        <v>531</v>
      </c>
      <c r="C181" s="139" t="s">
        <v>167</v>
      </c>
      <c r="D181" s="139" t="s">
        <v>190</v>
      </c>
      <c r="E181" s="139" t="s">
        <v>172</v>
      </c>
      <c r="F181" s="139" t="s">
        <v>217</v>
      </c>
      <c r="G181" s="139" t="s">
        <v>175</v>
      </c>
      <c r="H181" s="139" t="s">
        <v>219</v>
      </c>
      <c r="I181" s="139"/>
      <c r="J181" s="139">
        <v>11</v>
      </c>
      <c r="K181" s="140" t="s">
        <v>29</v>
      </c>
      <c r="L181" s="140" t="s">
        <v>220</v>
      </c>
      <c r="M181" s="142">
        <v>0</v>
      </c>
      <c r="N181" s="142">
        <v>0</v>
      </c>
      <c r="O181" s="142">
        <v>0</v>
      </c>
      <c r="P181" s="141">
        <v>1247691187</v>
      </c>
      <c r="Q181" s="142">
        <v>0</v>
      </c>
      <c r="R181" s="142">
        <v>0</v>
      </c>
      <c r="S181" s="141">
        <v>1247691187</v>
      </c>
      <c r="T181" s="141">
        <v>610647150</v>
      </c>
      <c r="U181" s="141">
        <v>637044037</v>
      </c>
      <c r="V181" s="143">
        <v>0.48942170655886824</v>
      </c>
      <c r="W181" s="141">
        <v>610647150</v>
      </c>
      <c r="X181" s="142">
        <v>0</v>
      </c>
      <c r="Y181" s="143">
        <v>0</v>
      </c>
      <c r="Z181" s="141">
        <v>610647150</v>
      </c>
      <c r="AA181" s="141">
        <v>0</v>
      </c>
      <c r="AB181" s="724">
        <v>1</v>
      </c>
    </row>
    <row r="182" spans="1:28" ht="24.95" customHeight="1">
      <c r="A182" s="32" t="e">
        <v>#REF!</v>
      </c>
      <c r="B182" s="144" t="s">
        <v>532</v>
      </c>
      <c r="C182" s="145" t="s">
        <v>167</v>
      </c>
      <c r="D182" s="145" t="s">
        <v>190</v>
      </c>
      <c r="E182" s="145" t="s">
        <v>172</v>
      </c>
      <c r="F182" s="145" t="s">
        <v>217</v>
      </c>
      <c r="G182" s="145" t="s">
        <v>175</v>
      </c>
      <c r="H182" s="145" t="s">
        <v>219</v>
      </c>
      <c r="I182" s="145" t="s">
        <v>54</v>
      </c>
      <c r="J182" s="145">
        <v>11</v>
      </c>
      <c r="K182" s="146" t="s">
        <v>29</v>
      </c>
      <c r="L182" s="147" t="s">
        <v>178</v>
      </c>
      <c r="M182" s="148"/>
      <c r="N182" s="148"/>
      <c r="O182" s="148"/>
      <c r="P182" s="148">
        <v>1247691187</v>
      </c>
      <c r="Q182" s="148"/>
      <c r="R182" s="148"/>
      <c r="S182" s="148">
        <v>1247691187</v>
      </c>
      <c r="T182" s="148">
        <v>610647150</v>
      </c>
      <c r="U182" s="148">
        <v>637044037</v>
      </c>
      <c r="V182" s="150">
        <v>0.48942170655886824</v>
      </c>
      <c r="W182" s="148">
        <v>610647150</v>
      </c>
      <c r="X182" s="148">
        <v>0</v>
      </c>
      <c r="Y182" s="150">
        <v>0</v>
      </c>
      <c r="Z182" s="148">
        <v>610647150</v>
      </c>
      <c r="AA182" s="148">
        <v>0</v>
      </c>
      <c r="AB182" s="150">
        <v>1</v>
      </c>
    </row>
    <row r="183" spans="1:28" ht="32.25" customHeight="1">
      <c r="A183" s="32" t="e">
        <v>#REF!</v>
      </c>
      <c r="B183" s="138" t="s">
        <v>533</v>
      </c>
      <c r="C183" s="139" t="s">
        <v>167</v>
      </c>
      <c r="D183" s="139" t="s">
        <v>190</v>
      </c>
      <c r="E183" s="139" t="s">
        <v>172</v>
      </c>
      <c r="F183" s="139" t="s">
        <v>217</v>
      </c>
      <c r="G183" s="139" t="s">
        <v>175</v>
      </c>
      <c r="H183" s="139" t="s">
        <v>221</v>
      </c>
      <c r="I183" s="139"/>
      <c r="J183" s="139">
        <v>11</v>
      </c>
      <c r="K183" s="140" t="s">
        <v>29</v>
      </c>
      <c r="L183" s="140" t="s">
        <v>222</v>
      </c>
      <c r="M183" s="142">
        <v>0</v>
      </c>
      <c r="N183" s="141">
        <v>0</v>
      </c>
      <c r="O183" s="141">
        <v>0</v>
      </c>
      <c r="P183" s="141">
        <v>5693924313</v>
      </c>
      <c r="Q183" s="142">
        <v>0</v>
      </c>
      <c r="R183" s="142">
        <v>0</v>
      </c>
      <c r="S183" s="141">
        <v>5693924313</v>
      </c>
      <c r="T183" s="141">
        <v>2555549469</v>
      </c>
      <c r="U183" s="141">
        <v>3138374844</v>
      </c>
      <c r="V183" s="143">
        <v>0.44882041427304092</v>
      </c>
      <c r="W183" s="141">
        <v>2403592434</v>
      </c>
      <c r="X183" s="141">
        <v>151957035</v>
      </c>
      <c r="Y183" s="143">
        <v>5.9461590097671477E-2</v>
      </c>
      <c r="Z183" s="141">
        <v>2403592434</v>
      </c>
      <c r="AA183" s="141">
        <v>0</v>
      </c>
      <c r="AB183" s="724">
        <v>0.94053840990232851</v>
      </c>
    </row>
    <row r="184" spans="1:28" ht="24.95" customHeight="1">
      <c r="A184" s="32" t="e">
        <v>#REF!</v>
      </c>
      <c r="B184" s="144" t="s">
        <v>534</v>
      </c>
      <c r="C184" s="145" t="s">
        <v>167</v>
      </c>
      <c r="D184" s="145" t="s">
        <v>190</v>
      </c>
      <c r="E184" s="145" t="s">
        <v>172</v>
      </c>
      <c r="F184" s="145" t="s">
        <v>217</v>
      </c>
      <c r="G184" s="145" t="s">
        <v>175</v>
      </c>
      <c r="H184" s="145" t="s">
        <v>221</v>
      </c>
      <c r="I184" s="145" t="s">
        <v>54</v>
      </c>
      <c r="J184" s="145">
        <v>11</v>
      </c>
      <c r="K184" s="146" t="s">
        <v>29</v>
      </c>
      <c r="L184" s="147" t="s">
        <v>178</v>
      </c>
      <c r="M184" s="148"/>
      <c r="N184" s="148"/>
      <c r="O184" s="148"/>
      <c r="P184" s="148">
        <v>756091390</v>
      </c>
      <c r="Q184" s="148"/>
      <c r="R184" s="148"/>
      <c r="S184" s="148">
        <v>756091390</v>
      </c>
      <c r="T184" s="148">
        <v>388286850</v>
      </c>
      <c r="U184" s="148">
        <v>367804540</v>
      </c>
      <c r="V184" s="150">
        <v>0.51354486393503307</v>
      </c>
      <c r="W184" s="148">
        <v>388286850</v>
      </c>
      <c r="X184" s="148">
        <v>0</v>
      </c>
      <c r="Y184" s="150">
        <v>0</v>
      </c>
      <c r="Z184" s="148">
        <v>388286850</v>
      </c>
      <c r="AA184" s="148">
        <v>0</v>
      </c>
      <c r="AB184" s="150">
        <v>1</v>
      </c>
    </row>
    <row r="185" spans="1:28" ht="24.95" customHeight="1">
      <c r="A185" s="32" t="e">
        <v>#REF!</v>
      </c>
      <c r="B185" s="144" t="s">
        <v>535</v>
      </c>
      <c r="C185" s="145" t="s">
        <v>167</v>
      </c>
      <c r="D185" s="145" t="s">
        <v>190</v>
      </c>
      <c r="E185" s="145" t="s">
        <v>172</v>
      </c>
      <c r="F185" s="145" t="s">
        <v>217</v>
      </c>
      <c r="G185" s="145" t="s">
        <v>175</v>
      </c>
      <c r="H185" s="145" t="s">
        <v>221</v>
      </c>
      <c r="I185" s="145" t="s">
        <v>65</v>
      </c>
      <c r="J185" s="145">
        <v>11</v>
      </c>
      <c r="K185" s="146" t="s">
        <v>29</v>
      </c>
      <c r="L185" s="147" t="s">
        <v>127</v>
      </c>
      <c r="M185" s="148"/>
      <c r="N185" s="148"/>
      <c r="O185" s="148"/>
      <c r="P185" s="148">
        <v>4937832923</v>
      </c>
      <c r="Q185" s="148"/>
      <c r="R185" s="148"/>
      <c r="S185" s="148">
        <v>4937832923</v>
      </c>
      <c r="T185" s="148">
        <v>2167262619</v>
      </c>
      <c r="U185" s="148">
        <v>2770570304</v>
      </c>
      <c r="V185" s="150">
        <v>0.43890967005081877</v>
      </c>
      <c r="W185" s="148">
        <v>2015305584</v>
      </c>
      <c r="X185" s="148">
        <v>151957035</v>
      </c>
      <c r="Y185" s="150">
        <v>7.0114730751972609E-2</v>
      </c>
      <c r="Z185" s="148">
        <v>2015305584</v>
      </c>
      <c r="AA185" s="148">
        <v>0</v>
      </c>
      <c r="AB185" s="150">
        <v>0.92988526924802739</v>
      </c>
    </row>
    <row r="186" spans="1:28" ht="32.25" customHeight="1">
      <c r="A186" s="32" t="e">
        <v>#REF!</v>
      </c>
      <c r="B186" s="138" t="s">
        <v>536</v>
      </c>
      <c r="C186" s="139" t="s">
        <v>167</v>
      </c>
      <c r="D186" s="139" t="s">
        <v>190</v>
      </c>
      <c r="E186" s="139" t="s">
        <v>172</v>
      </c>
      <c r="F186" s="139" t="s">
        <v>217</v>
      </c>
      <c r="G186" s="139" t="s">
        <v>175</v>
      </c>
      <c r="H186" s="139" t="s">
        <v>223</v>
      </c>
      <c r="I186" s="139"/>
      <c r="J186" s="139">
        <v>11</v>
      </c>
      <c r="K186" s="140" t="s">
        <v>29</v>
      </c>
      <c r="L186" s="140" t="s">
        <v>224</v>
      </c>
      <c r="M186" s="142">
        <v>0</v>
      </c>
      <c r="N186" s="141">
        <v>0</v>
      </c>
      <c r="O186" s="141">
        <v>0</v>
      </c>
      <c r="P186" s="141">
        <v>1818499224</v>
      </c>
      <c r="Q186" s="142">
        <v>0</v>
      </c>
      <c r="R186" s="142">
        <v>0</v>
      </c>
      <c r="S186" s="141">
        <v>1818499224</v>
      </c>
      <c r="T186" s="141">
        <v>1818499224</v>
      </c>
      <c r="U186" s="141">
        <v>0</v>
      </c>
      <c r="V186" s="143">
        <v>1</v>
      </c>
      <c r="W186" s="141">
        <v>1313122924</v>
      </c>
      <c r="X186" s="141">
        <v>505376300</v>
      </c>
      <c r="Y186" s="143">
        <v>0.27790844963264061</v>
      </c>
      <c r="Z186" s="141">
        <v>1313122924</v>
      </c>
      <c r="AA186" s="141">
        <v>0</v>
      </c>
      <c r="AB186" s="724">
        <v>0.72209155036735939</v>
      </c>
    </row>
    <row r="187" spans="1:28" ht="24.95" customHeight="1">
      <c r="A187" s="32" t="e">
        <v>#REF!</v>
      </c>
      <c r="B187" s="144" t="s">
        <v>537</v>
      </c>
      <c r="C187" s="145" t="s">
        <v>167</v>
      </c>
      <c r="D187" s="145" t="s">
        <v>190</v>
      </c>
      <c r="E187" s="145" t="s">
        <v>172</v>
      </c>
      <c r="F187" s="145" t="s">
        <v>217</v>
      </c>
      <c r="G187" s="145" t="s">
        <v>175</v>
      </c>
      <c r="H187" s="145" t="s">
        <v>223</v>
      </c>
      <c r="I187" s="145" t="s">
        <v>54</v>
      </c>
      <c r="J187" s="145">
        <v>11</v>
      </c>
      <c r="K187" s="146" t="s">
        <v>29</v>
      </c>
      <c r="L187" s="147" t="s">
        <v>178</v>
      </c>
      <c r="M187" s="148"/>
      <c r="N187" s="148"/>
      <c r="O187" s="148"/>
      <c r="P187" s="148">
        <v>259599224</v>
      </c>
      <c r="Q187" s="148"/>
      <c r="R187" s="148"/>
      <c r="S187" s="148">
        <v>259599224</v>
      </c>
      <c r="T187" s="148">
        <v>259599224</v>
      </c>
      <c r="U187" s="148">
        <v>0</v>
      </c>
      <c r="V187" s="150">
        <v>1</v>
      </c>
      <c r="W187" s="148">
        <v>259599224</v>
      </c>
      <c r="X187" s="148">
        <v>0</v>
      </c>
      <c r="Y187" s="150">
        <v>0</v>
      </c>
      <c r="Z187" s="148">
        <v>259599224</v>
      </c>
      <c r="AA187" s="148">
        <v>0</v>
      </c>
      <c r="AB187" s="150">
        <v>1</v>
      </c>
    </row>
    <row r="188" spans="1:28" ht="24.95" customHeight="1">
      <c r="A188" s="32" t="e">
        <v>#REF!</v>
      </c>
      <c r="B188" s="144" t="s">
        <v>539</v>
      </c>
      <c r="C188" s="145" t="s">
        <v>167</v>
      </c>
      <c r="D188" s="145" t="s">
        <v>190</v>
      </c>
      <c r="E188" s="145" t="s">
        <v>172</v>
      </c>
      <c r="F188" s="145" t="s">
        <v>217</v>
      </c>
      <c r="G188" s="145" t="s">
        <v>175</v>
      </c>
      <c r="H188" s="145" t="s">
        <v>223</v>
      </c>
      <c r="I188" s="145" t="s">
        <v>65</v>
      </c>
      <c r="J188" s="145">
        <v>11</v>
      </c>
      <c r="K188" s="146" t="s">
        <v>29</v>
      </c>
      <c r="L188" s="147" t="s">
        <v>127</v>
      </c>
      <c r="M188" s="148"/>
      <c r="N188" s="148"/>
      <c r="O188" s="148"/>
      <c r="P188" s="148">
        <v>1558900000</v>
      </c>
      <c r="Q188" s="148"/>
      <c r="R188" s="148"/>
      <c r="S188" s="148">
        <v>1558900000</v>
      </c>
      <c r="T188" s="148">
        <v>1558900000</v>
      </c>
      <c r="U188" s="148">
        <v>0</v>
      </c>
      <c r="V188" s="150">
        <v>1</v>
      </c>
      <c r="W188" s="148">
        <v>1053523700</v>
      </c>
      <c r="X188" s="148">
        <v>505376300</v>
      </c>
      <c r="Y188" s="150">
        <v>0.32418776060042337</v>
      </c>
      <c r="Z188" s="148">
        <v>1053523700</v>
      </c>
      <c r="AA188" s="148">
        <v>0</v>
      </c>
      <c r="AB188" s="150">
        <v>0.67581223939957658</v>
      </c>
    </row>
    <row r="189" spans="1:28" ht="32.25" customHeight="1">
      <c r="A189" s="32" t="e">
        <v>#REF!</v>
      </c>
      <c r="B189" s="138" t="s">
        <v>540</v>
      </c>
      <c r="C189" s="139" t="s">
        <v>167</v>
      </c>
      <c r="D189" s="139" t="s">
        <v>190</v>
      </c>
      <c r="E189" s="139" t="s">
        <v>172</v>
      </c>
      <c r="F189" s="139" t="s">
        <v>217</v>
      </c>
      <c r="G189" s="139" t="s">
        <v>175</v>
      </c>
      <c r="H189" s="139" t="s">
        <v>225</v>
      </c>
      <c r="I189" s="139"/>
      <c r="J189" s="139">
        <v>11</v>
      </c>
      <c r="K189" s="140" t="s">
        <v>29</v>
      </c>
      <c r="L189" s="140" t="s">
        <v>226</v>
      </c>
      <c r="M189" s="142">
        <v>0</v>
      </c>
      <c r="N189" s="142">
        <v>0</v>
      </c>
      <c r="O189" s="142">
        <v>0</v>
      </c>
      <c r="P189" s="141">
        <v>221024192</v>
      </c>
      <c r="Q189" s="142">
        <v>0</v>
      </c>
      <c r="R189" s="142">
        <v>0</v>
      </c>
      <c r="S189" s="141">
        <v>221024192</v>
      </c>
      <c r="T189" s="141">
        <v>221024192</v>
      </c>
      <c r="U189" s="141">
        <v>0</v>
      </c>
      <c r="V189" s="143">
        <v>1</v>
      </c>
      <c r="W189" s="141">
        <v>221024192</v>
      </c>
      <c r="X189" s="142">
        <v>0</v>
      </c>
      <c r="Y189" s="143">
        <v>0</v>
      </c>
      <c r="Z189" s="141">
        <v>221024192</v>
      </c>
      <c r="AA189" s="141">
        <v>0</v>
      </c>
      <c r="AB189" s="724">
        <v>1</v>
      </c>
    </row>
    <row r="190" spans="1:28" ht="24.95" customHeight="1">
      <c r="A190" s="32" t="e">
        <v>#REF!</v>
      </c>
      <c r="B190" s="144" t="s">
        <v>541</v>
      </c>
      <c r="C190" s="145" t="s">
        <v>167</v>
      </c>
      <c r="D190" s="145" t="s">
        <v>190</v>
      </c>
      <c r="E190" s="145" t="s">
        <v>172</v>
      </c>
      <c r="F190" s="145" t="s">
        <v>217</v>
      </c>
      <c r="G190" s="145" t="s">
        <v>175</v>
      </c>
      <c r="H190" s="145" t="s">
        <v>225</v>
      </c>
      <c r="I190" s="145" t="s">
        <v>54</v>
      </c>
      <c r="J190" s="145">
        <v>11</v>
      </c>
      <c r="K190" s="146" t="s">
        <v>29</v>
      </c>
      <c r="L190" s="147" t="s">
        <v>178</v>
      </c>
      <c r="M190" s="148"/>
      <c r="N190" s="148"/>
      <c r="O190" s="148"/>
      <c r="P190" s="148">
        <v>221024192</v>
      </c>
      <c r="Q190" s="148"/>
      <c r="R190" s="148"/>
      <c r="S190" s="148">
        <v>221024192</v>
      </c>
      <c r="T190" s="148">
        <v>221024192</v>
      </c>
      <c r="U190" s="148">
        <v>0</v>
      </c>
      <c r="V190" s="150">
        <v>1</v>
      </c>
      <c r="W190" s="148">
        <v>221024192</v>
      </c>
      <c r="X190" s="148">
        <v>0</v>
      </c>
      <c r="Y190" s="150">
        <v>0</v>
      </c>
      <c r="Z190" s="148">
        <v>221024192</v>
      </c>
      <c r="AA190" s="148">
        <v>0</v>
      </c>
      <c r="AB190" s="150">
        <v>1</v>
      </c>
    </row>
    <row r="191" spans="1:28" ht="49.5" hidden="1" customHeight="1">
      <c r="A191" s="32" t="e">
        <v>#REF!</v>
      </c>
      <c r="B191" s="32"/>
      <c r="C191" s="133" t="s">
        <v>167</v>
      </c>
      <c r="D191" s="133" t="s">
        <v>190</v>
      </c>
      <c r="E191" s="133" t="s">
        <v>172</v>
      </c>
      <c r="F191" s="133">
        <v>18</v>
      </c>
      <c r="G191" s="133"/>
      <c r="H191" s="133"/>
      <c r="I191" s="133"/>
      <c r="J191" s="133"/>
      <c r="K191" s="134"/>
      <c r="L191" s="134" t="s">
        <v>268</v>
      </c>
      <c r="M191" s="135">
        <v>0</v>
      </c>
      <c r="N191" s="136">
        <v>0</v>
      </c>
      <c r="O191" s="136">
        <v>0</v>
      </c>
      <c r="P191" s="136">
        <v>0</v>
      </c>
      <c r="Q191" s="136">
        <v>0</v>
      </c>
      <c r="R191" s="136">
        <v>0</v>
      </c>
      <c r="S191" s="135">
        <v>0</v>
      </c>
      <c r="T191" s="135">
        <v>0</v>
      </c>
      <c r="U191" s="135">
        <v>0</v>
      </c>
      <c r="V191" s="137">
        <v>0</v>
      </c>
      <c r="W191" s="135">
        <v>0</v>
      </c>
      <c r="X191" s="136">
        <v>0</v>
      </c>
      <c r="Y191" s="137">
        <v>0</v>
      </c>
      <c r="Z191" s="135">
        <v>0</v>
      </c>
      <c r="AA191" s="135">
        <v>0</v>
      </c>
      <c r="AB191" s="723">
        <v>0</v>
      </c>
    </row>
    <row r="192" spans="1:28" ht="32.25" hidden="1" customHeight="1">
      <c r="A192" s="32" t="e">
        <v>#REF!</v>
      </c>
      <c r="B192" s="32"/>
      <c r="C192" s="139" t="s">
        <v>167</v>
      </c>
      <c r="D192" s="139" t="s">
        <v>190</v>
      </c>
      <c r="E192" s="139" t="s">
        <v>172</v>
      </c>
      <c r="F192" s="139">
        <v>18</v>
      </c>
      <c r="G192" s="139" t="s">
        <v>175</v>
      </c>
      <c r="H192" s="139">
        <v>4103050</v>
      </c>
      <c r="I192" s="139"/>
      <c r="J192" s="139">
        <v>11</v>
      </c>
      <c r="K192" s="140" t="s">
        <v>29</v>
      </c>
      <c r="L192" s="140" t="s">
        <v>269</v>
      </c>
      <c r="M192" s="141">
        <v>0</v>
      </c>
      <c r="N192" s="142">
        <v>0</v>
      </c>
      <c r="O192" s="142">
        <v>0</v>
      </c>
      <c r="P192" s="142">
        <v>0</v>
      </c>
      <c r="Q192" s="142">
        <v>0</v>
      </c>
      <c r="R192" s="142">
        <v>0</v>
      </c>
      <c r="S192" s="141">
        <v>0</v>
      </c>
      <c r="T192" s="141">
        <v>0</v>
      </c>
      <c r="U192" s="141">
        <v>0</v>
      </c>
      <c r="V192" s="143">
        <v>0</v>
      </c>
      <c r="W192" s="141">
        <v>0</v>
      </c>
      <c r="X192" s="142">
        <v>0</v>
      </c>
      <c r="Y192" s="143">
        <v>0</v>
      </c>
      <c r="Z192" s="141">
        <v>0</v>
      </c>
      <c r="AA192" s="141">
        <v>0</v>
      </c>
      <c r="AB192" s="724">
        <v>0</v>
      </c>
    </row>
    <row r="193" spans="1:28" ht="24.95" hidden="1" customHeight="1">
      <c r="A193" s="32" t="e">
        <v>#REF!</v>
      </c>
      <c r="B193" s="32"/>
      <c r="C193" s="145" t="s">
        <v>167</v>
      </c>
      <c r="D193" s="145" t="s">
        <v>190</v>
      </c>
      <c r="E193" s="145" t="s">
        <v>172</v>
      </c>
      <c r="F193" s="145">
        <v>18</v>
      </c>
      <c r="G193" s="145" t="s">
        <v>175</v>
      </c>
      <c r="H193" s="145">
        <v>4103050</v>
      </c>
      <c r="I193" s="145" t="s">
        <v>54</v>
      </c>
      <c r="J193" s="145">
        <v>11</v>
      </c>
      <c r="K193" s="146" t="s">
        <v>29</v>
      </c>
      <c r="L193" s="147" t="s">
        <v>178</v>
      </c>
      <c r="M193" s="148"/>
      <c r="N193" s="148"/>
      <c r="O193" s="148"/>
      <c r="P193" s="148"/>
      <c r="Q193" s="148"/>
      <c r="R193" s="148"/>
      <c r="S193" s="148">
        <v>0</v>
      </c>
      <c r="T193" s="148"/>
      <c r="U193" s="148">
        <v>0</v>
      </c>
      <c r="V193" s="150">
        <v>0</v>
      </c>
      <c r="W193" s="148"/>
      <c r="X193" s="148">
        <v>0</v>
      </c>
      <c r="Y193" s="150">
        <v>0</v>
      </c>
      <c r="Z193" s="148"/>
      <c r="AA193" s="148">
        <v>0</v>
      </c>
      <c r="AB193" s="150">
        <v>0</v>
      </c>
    </row>
    <row r="194" spans="1:28" ht="41.25" customHeight="1">
      <c r="A194" s="32" t="e">
        <v>#REF!</v>
      </c>
      <c r="B194" s="132" t="s">
        <v>664</v>
      </c>
      <c r="C194" s="133" t="s">
        <v>167</v>
      </c>
      <c r="D194" s="133" t="s">
        <v>190</v>
      </c>
      <c r="E194" s="133" t="s">
        <v>172</v>
      </c>
      <c r="F194" s="133">
        <v>19</v>
      </c>
      <c r="G194" s="133"/>
      <c r="H194" s="133"/>
      <c r="I194" s="133"/>
      <c r="J194" s="133"/>
      <c r="K194" s="134"/>
      <c r="L194" s="134" t="s">
        <v>270</v>
      </c>
      <c r="M194" s="135">
        <v>12733806741</v>
      </c>
      <c r="N194" s="136">
        <v>0</v>
      </c>
      <c r="O194" s="136">
        <v>0</v>
      </c>
      <c r="P194" s="135">
        <v>1842545742</v>
      </c>
      <c r="Q194" s="135">
        <v>82545742</v>
      </c>
      <c r="R194" s="136">
        <v>0</v>
      </c>
      <c r="S194" s="135">
        <v>14493806741</v>
      </c>
      <c r="T194" s="135">
        <v>13809047462.950001</v>
      </c>
      <c r="U194" s="135">
        <v>684759278.04999924</v>
      </c>
      <c r="V194" s="137">
        <v>0.95275504287545409</v>
      </c>
      <c r="W194" s="135">
        <v>4105759689.0700002</v>
      </c>
      <c r="X194" s="135">
        <v>9703287773.8800011</v>
      </c>
      <c r="Y194" s="137">
        <v>0.70267611143448894</v>
      </c>
      <c r="Z194" s="135">
        <v>3864475128.0700002</v>
      </c>
      <c r="AA194" s="135">
        <v>241284561</v>
      </c>
      <c r="AB194" s="723">
        <v>0.27985095557376261</v>
      </c>
    </row>
    <row r="195" spans="1:28" ht="32.25" customHeight="1">
      <c r="A195" s="32" t="e">
        <v>#REF!</v>
      </c>
      <c r="B195" s="138" t="s">
        <v>666</v>
      </c>
      <c r="C195" s="139" t="s">
        <v>167</v>
      </c>
      <c r="D195" s="139" t="s">
        <v>190</v>
      </c>
      <c r="E195" s="139" t="s">
        <v>172</v>
      </c>
      <c r="F195" s="139">
        <v>19</v>
      </c>
      <c r="G195" s="139" t="s">
        <v>175</v>
      </c>
      <c r="H195" s="139">
        <v>4103049</v>
      </c>
      <c r="I195" s="139"/>
      <c r="J195" s="139">
        <v>11</v>
      </c>
      <c r="K195" s="140" t="s">
        <v>29</v>
      </c>
      <c r="L195" s="140" t="s">
        <v>228</v>
      </c>
      <c r="M195" s="141">
        <v>380000000</v>
      </c>
      <c r="N195" s="142">
        <v>0</v>
      </c>
      <c r="O195" s="142">
        <v>0</v>
      </c>
      <c r="P195" s="142">
        <v>0</v>
      </c>
      <c r="Q195" s="141">
        <v>82545742</v>
      </c>
      <c r="R195" s="142">
        <v>0</v>
      </c>
      <c r="S195" s="141">
        <v>297454258</v>
      </c>
      <c r="T195" s="141">
        <v>273808341</v>
      </c>
      <c r="U195" s="141">
        <v>23645917</v>
      </c>
      <c r="V195" s="143">
        <v>0.92050570343491267</v>
      </c>
      <c r="W195" s="141">
        <v>201368291</v>
      </c>
      <c r="X195" s="141">
        <v>72440050</v>
      </c>
      <c r="Y195" s="143">
        <v>0.26456480374350611</v>
      </c>
      <c r="Z195" s="141">
        <v>197091731</v>
      </c>
      <c r="AA195" s="141">
        <v>4276560</v>
      </c>
      <c r="AB195" s="724">
        <v>0.71981638791639291</v>
      </c>
    </row>
    <row r="196" spans="1:28" ht="24.95" customHeight="1">
      <c r="A196" s="32" t="e">
        <v>#REF!</v>
      </c>
      <c r="B196" s="144" t="s">
        <v>668</v>
      </c>
      <c r="C196" s="145" t="s">
        <v>167</v>
      </c>
      <c r="D196" s="145" t="s">
        <v>190</v>
      </c>
      <c r="E196" s="145" t="s">
        <v>172</v>
      </c>
      <c r="F196" s="145">
        <v>19</v>
      </c>
      <c r="G196" s="145" t="s">
        <v>175</v>
      </c>
      <c r="H196" s="145">
        <v>4103049</v>
      </c>
      <c r="I196" s="145" t="s">
        <v>54</v>
      </c>
      <c r="J196" s="145">
        <v>11</v>
      </c>
      <c r="K196" s="146" t="s">
        <v>29</v>
      </c>
      <c r="L196" s="147" t="s">
        <v>178</v>
      </c>
      <c r="M196" s="148">
        <v>380000000</v>
      </c>
      <c r="N196" s="148"/>
      <c r="O196" s="148"/>
      <c r="P196" s="148"/>
      <c r="Q196" s="148">
        <v>82545742</v>
      </c>
      <c r="R196" s="148"/>
      <c r="S196" s="148">
        <v>297454258</v>
      </c>
      <c r="T196" s="148">
        <v>273808341</v>
      </c>
      <c r="U196" s="148">
        <v>23645917</v>
      </c>
      <c r="V196" s="150">
        <v>0.92050570343491267</v>
      </c>
      <c r="W196" s="148">
        <v>201368291</v>
      </c>
      <c r="X196" s="148">
        <v>72440050</v>
      </c>
      <c r="Y196" s="150">
        <v>0.26456480374350611</v>
      </c>
      <c r="Z196" s="148">
        <v>197091731</v>
      </c>
      <c r="AA196" s="148">
        <v>4276560</v>
      </c>
      <c r="AB196" s="150">
        <v>0.71981638791639291</v>
      </c>
    </row>
    <row r="197" spans="1:28" ht="32.25" customHeight="1">
      <c r="A197" s="32" t="e">
        <v>#REF!</v>
      </c>
      <c r="B197" s="138" t="s">
        <v>670</v>
      </c>
      <c r="C197" s="139" t="s">
        <v>167</v>
      </c>
      <c r="D197" s="139" t="s">
        <v>190</v>
      </c>
      <c r="E197" s="139" t="s">
        <v>172</v>
      </c>
      <c r="F197" s="139">
        <v>19</v>
      </c>
      <c r="G197" s="139" t="s">
        <v>175</v>
      </c>
      <c r="H197" s="139">
        <v>4103052</v>
      </c>
      <c r="I197" s="139"/>
      <c r="J197" s="139">
        <v>11</v>
      </c>
      <c r="K197" s="140" t="s">
        <v>29</v>
      </c>
      <c r="L197" s="140" t="s">
        <v>229</v>
      </c>
      <c r="M197" s="141">
        <v>12353806741</v>
      </c>
      <c r="N197" s="142">
        <v>0</v>
      </c>
      <c r="O197" s="142">
        <v>0</v>
      </c>
      <c r="P197" s="141">
        <v>1842545742</v>
      </c>
      <c r="Q197" s="142">
        <v>0</v>
      </c>
      <c r="R197" s="142">
        <v>0</v>
      </c>
      <c r="S197" s="141">
        <v>14196352483</v>
      </c>
      <c r="T197" s="141">
        <v>13535239121.950001</v>
      </c>
      <c r="U197" s="141">
        <v>661113361.04999924</v>
      </c>
      <c r="V197" s="143">
        <v>0.9534307589332065</v>
      </c>
      <c r="W197" s="141">
        <v>3904391398.0700002</v>
      </c>
      <c r="X197" s="141">
        <v>9630847723.8800011</v>
      </c>
      <c r="Y197" s="143">
        <v>0.71153879418810739</v>
      </c>
      <c r="Z197" s="141">
        <v>3667383397.0700002</v>
      </c>
      <c r="AA197" s="141">
        <v>237008001</v>
      </c>
      <c r="AB197" s="724">
        <v>0.2709507651861599</v>
      </c>
    </row>
    <row r="198" spans="1:28" ht="24.95" customHeight="1">
      <c r="A198" s="32" t="e">
        <v>#REF!</v>
      </c>
      <c r="B198" s="144" t="s">
        <v>672</v>
      </c>
      <c r="C198" s="145" t="s">
        <v>167</v>
      </c>
      <c r="D198" s="145" t="s">
        <v>190</v>
      </c>
      <c r="E198" s="145" t="s">
        <v>172</v>
      </c>
      <c r="F198" s="145">
        <v>19</v>
      </c>
      <c r="G198" s="145" t="s">
        <v>175</v>
      </c>
      <c r="H198" s="145">
        <v>4103052</v>
      </c>
      <c r="I198" s="145" t="s">
        <v>54</v>
      </c>
      <c r="J198" s="145">
        <v>11</v>
      </c>
      <c r="K198" s="146" t="s">
        <v>29</v>
      </c>
      <c r="L198" s="147" t="s">
        <v>178</v>
      </c>
      <c r="M198" s="148">
        <v>12353806741</v>
      </c>
      <c r="N198" s="148"/>
      <c r="O198" s="148"/>
      <c r="P198" s="148">
        <v>1842545742</v>
      </c>
      <c r="Q198" s="148"/>
      <c r="R198" s="148"/>
      <c r="S198" s="148">
        <v>14196352483</v>
      </c>
      <c r="T198" s="148">
        <v>13535239121.950001</v>
      </c>
      <c r="U198" s="148">
        <v>661113361.04999924</v>
      </c>
      <c r="V198" s="150">
        <v>0.9534307589332065</v>
      </c>
      <c r="W198" s="148">
        <v>3904391398.0700002</v>
      </c>
      <c r="X198" s="148">
        <v>9630847723.8800011</v>
      </c>
      <c r="Y198" s="150">
        <v>0.71153879418810739</v>
      </c>
      <c r="Z198" s="148">
        <v>3667383397.0700002</v>
      </c>
      <c r="AA198" s="148">
        <v>237008001</v>
      </c>
      <c r="AB198" s="150">
        <v>0.2709507651861599</v>
      </c>
    </row>
    <row r="199" spans="1:28" ht="32.25" hidden="1" customHeight="1">
      <c r="A199" s="32" t="e">
        <v>#REF!</v>
      </c>
      <c r="B199" s="32"/>
      <c r="C199" s="139" t="s">
        <v>167</v>
      </c>
      <c r="D199" s="139" t="s">
        <v>190</v>
      </c>
      <c r="E199" s="139" t="s">
        <v>172</v>
      </c>
      <c r="F199" s="139">
        <v>19</v>
      </c>
      <c r="G199" s="139" t="s">
        <v>175</v>
      </c>
      <c r="H199" s="139">
        <v>4103060</v>
      </c>
      <c r="I199" s="139"/>
      <c r="J199" s="139">
        <v>11</v>
      </c>
      <c r="K199" s="140" t="s">
        <v>29</v>
      </c>
      <c r="L199" s="140" t="s">
        <v>216</v>
      </c>
      <c r="M199" s="141">
        <v>0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1">
        <v>0</v>
      </c>
      <c r="T199" s="141">
        <v>0</v>
      </c>
      <c r="U199" s="141">
        <v>0</v>
      </c>
      <c r="V199" s="143">
        <v>0</v>
      </c>
      <c r="W199" s="141">
        <v>0</v>
      </c>
      <c r="X199" s="142">
        <v>0</v>
      </c>
      <c r="Y199" s="143">
        <v>0</v>
      </c>
      <c r="Z199" s="141">
        <v>0</v>
      </c>
      <c r="AA199" s="141">
        <v>0</v>
      </c>
      <c r="AB199" s="724">
        <v>0</v>
      </c>
    </row>
    <row r="200" spans="1:28" ht="24.95" hidden="1" customHeight="1">
      <c r="A200" s="32" t="e">
        <v>#REF!</v>
      </c>
      <c r="B200" s="32"/>
      <c r="C200" s="145" t="s">
        <v>167</v>
      </c>
      <c r="D200" s="145" t="s">
        <v>190</v>
      </c>
      <c r="E200" s="145" t="s">
        <v>172</v>
      </c>
      <c r="F200" s="145">
        <v>19</v>
      </c>
      <c r="G200" s="145" t="s">
        <v>175</v>
      </c>
      <c r="H200" s="145">
        <v>4103060</v>
      </c>
      <c r="I200" s="145" t="s">
        <v>54</v>
      </c>
      <c r="J200" s="145">
        <v>11</v>
      </c>
      <c r="K200" s="146" t="s">
        <v>29</v>
      </c>
      <c r="L200" s="147" t="s">
        <v>178</v>
      </c>
      <c r="M200" s="148"/>
      <c r="N200" s="148"/>
      <c r="O200" s="148"/>
      <c r="P200" s="148"/>
      <c r="Q200" s="148"/>
      <c r="R200" s="148"/>
      <c r="S200" s="148">
        <v>0</v>
      </c>
      <c r="T200" s="148">
        <v>0</v>
      </c>
      <c r="U200" s="148">
        <v>0</v>
      </c>
      <c r="V200" s="150">
        <v>0</v>
      </c>
      <c r="W200" s="148">
        <v>0</v>
      </c>
      <c r="X200" s="148">
        <v>0</v>
      </c>
      <c r="Y200" s="150">
        <v>0</v>
      </c>
      <c r="Z200" s="148">
        <v>0</v>
      </c>
      <c r="AA200" s="148">
        <v>0</v>
      </c>
      <c r="AB200" s="150">
        <v>0</v>
      </c>
    </row>
    <row r="201" spans="1:28" ht="49.5" customHeight="1">
      <c r="A201" s="32" t="e">
        <v>#REF!</v>
      </c>
      <c r="B201" s="132" t="s">
        <v>678</v>
      </c>
      <c r="C201" s="133" t="s">
        <v>167</v>
      </c>
      <c r="D201" s="133" t="s">
        <v>190</v>
      </c>
      <c r="E201" s="133" t="s">
        <v>172</v>
      </c>
      <c r="F201" s="133">
        <v>20</v>
      </c>
      <c r="G201" s="133"/>
      <c r="H201" s="133"/>
      <c r="I201" s="133"/>
      <c r="J201" s="133"/>
      <c r="K201" s="134"/>
      <c r="L201" s="134" t="s">
        <v>271</v>
      </c>
      <c r="M201" s="135">
        <v>960000000000</v>
      </c>
      <c r="N201" s="136">
        <v>0</v>
      </c>
      <c r="O201" s="136">
        <v>0</v>
      </c>
      <c r="P201" s="136">
        <v>0</v>
      </c>
      <c r="Q201" s="135">
        <v>1760000000</v>
      </c>
      <c r="R201" s="136">
        <v>0</v>
      </c>
      <c r="S201" s="135">
        <v>958240000000</v>
      </c>
      <c r="T201" s="135">
        <v>790107588215.28003</v>
      </c>
      <c r="U201" s="135">
        <v>168132411784.72</v>
      </c>
      <c r="V201" s="137">
        <v>0.82454039511529476</v>
      </c>
      <c r="W201" s="135">
        <v>776879789478.22998</v>
      </c>
      <c r="X201" s="135">
        <v>13227798737.049999</v>
      </c>
      <c r="Y201" s="137">
        <v>1.674176901265987E-2</v>
      </c>
      <c r="Z201" s="135">
        <v>776814061010.22998</v>
      </c>
      <c r="AA201" s="135">
        <v>65728468</v>
      </c>
      <c r="AB201" s="723">
        <v>0.98317504172428227</v>
      </c>
    </row>
    <row r="202" spans="1:28" ht="32.25" customHeight="1">
      <c r="A202" s="32" t="e">
        <v>#REF!</v>
      </c>
      <c r="B202" s="138" t="s">
        <v>680</v>
      </c>
      <c r="C202" s="139" t="s">
        <v>167</v>
      </c>
      <c r="D202" s="139" t="s">
        <v>190</v>
      </c>
      <c r="E202" s="139" t="s">
        <v>172</v>
      </c>
      <c r="F202" s="139">
        <v>20</v>
      </c>
      <c r="G202" s="139" t="s">
        <v>175</v>
      </c>
      <c r="H202" s="139">
        <v>4103061</v>
      </c>
      <c r="I202" s="139"/>
      <c r="J202" s="139">
        <v>11</v>
      </c>
      <c r="K202" s="140" t="s">
        <v>29</v>
      </c>
      <c r="L202" s="140" t="s">
        <v>231</v>
      </c>
      <c r="M202" s="141">
        <v>960000000000</v>
      </c>
      <c r="N202" s="142">
        <v>0</v>
      </c>
      <c r="O202" s="142">
        <v>0</v>
      </c>
      <c r="P202" s="142">
        <v>0</v>
      </c>
      <c r="Q202" s="141">
        <v>1760000000</v>
      </c>
      <c r="R202" s="142">
        <v>0</v>
      </c>
      <c r="S202" s="141">
        <v>958240000000</v>
      </c>
      <c r="T202" s="141">
        <v>790107588215.28003</v>
      </c>
      <c r="U202" s="141">
        <v>168132411784.72</v>
      </c>
      <c r="V202" s="143">
        <v>0.82454039511529476</v>
      </c>
      <c r="W202" s="141">
        <v>776879789478.22998</v>
      </c>
      <c r="X202" s="141">
        <v>13227798737.049999</v>
      </c>
      <c r="Y202" s="143">
        <v>1.674176901265987E-2</v>
      </c>
      <c r="Z202" s="141">
        <v>776814061010.22998</v>
      </c>
      <c r="AA202" s="141">
        <v>65728468</v>
      </c>
      <c r="AB202" s="724">
        <v>0.98317504172428227</v>
      </c>
    </row>
    <row r="203" spans="1:28" ht="24.95" customHeight="1">
      <c r="A203" s="32" t="e">
        <v>#REF!</v>
      </c>
      <c r="B203" s="144" t="s">
        <v>682</v>
      </c>
      <c r="C203" s="145" t="s">
        <v>167</v>
      </c>
      <c r="D203" s="145" t="s">
        <v>190</v>
      </c>
      <c r="E203" s="145" t="s">
        <v>172</v>
      </c>
      <c r="F203" s="145">
        <v>20</v>
      </c>
      <c r="G203" s="145" t="s">
        <v>175</v>
      </c>
      <c r="H203" s="145">
        <v>4103061</v>
      </c>
      <c r="I203" s="145" t="s">
        <v>54</v>
      </c>
      <c r="J203" s="145">
        <v>11</v>
      </c>
      <c r="K203" s="146" t="s">
        <v>29</v>
      </c>
      <c r="L203" s="147" t="s">
        <v>178</v>
      </c>
      <c r="M203" s="148">
        <v>52278387000</v>
      </c>
      <c r="N203" s="148"/>
      <c r="O203" s="148"/>
      <c r="P203" s="148"/>
      <c r="Q203" s="148">
        <v>1760000000</v>
      </c>
      <c r="R203" s="148"/>
      <c r="S203" s="148">
        <v>50518387000</v>
      </c>
      <c r="T203" s="148">
        <v>35682492215.279999</v>
      </c>
      <c r="U203" s="148">
        <v>14835894784.720001</v>
      </c>
      <c r="V203" s="150">
        <v>0.70632683136300445</v>
      </c>
      <c r="W203" s="148">
        <v>22454693478.23</v>
      </c>
      <c r="X203" s="148">
        <v>13227798737.049999</v>
      </c>
      <c r="Y203" s="150">
        <v>0.37070837589605288</v>
      </c>
      <c r="Z203" s="148">
        <v>22388965010.23</v>
      </c>
      <c r="AA203" s="148">
        <v>65728468</v>
      </c>
      <c r="AB203" s="150">
        <v>0.62744958718557697</v>
      </c>
    </row>
    <row r="204" spans="1:28" ht="24.95" customHeight="1">
      <c r="A204" s="32" t="e">
        <v>#REF!</v>
      </c>
      <c r="B204" s="144" t="s">
        <v>684</v>
      </c>
      <c r="C204" s="145" t="s">
        <v>167</v>
      </c>
      <c r="D204" s="145" t="s">
        <v>190</v>
      </c>
      <c r="E204" s="145" t="s">
        <v>172</v>
      </c>
      <c r="F204" s="145">
        <v>20</v>
      </c>
      <c r="G204" s="145" t="s">
        <v>175</v>
      </c>
      <c r="H204" s="145">
        <v>4103061</v>
      </c>
      <c r="I204" s="145" t="s">
        <v>65</v>
      </c>
      <c r="J204" s="145">
        <v>11</v>
      </c>
      <c r="K204" s="146" t="s">
        <v>29</v>
      </c>
      <c r="L204" s="147" t="s">
        <v>127</v>
      </c>
      <c r="M204" s="148">
        <v>907721613000</v>
      </c>
      <c r="N204" s="148"/>
      <c r="O204" s="148"/>
      <c r="P204" s="148"/>
      <c r="Q204" s="148"/>
      <c r="R204" s="148"/>
      <c r="S204" s="148">
        <v>907721613000</v>
      </c>
      <c r="T204" s="148">
        <v>754425096000</v>
      </c>
      <c r="U204" s="148">
        <v>153296517000</v>
      </c>
      <c r="V204" s="150">
        <v>0.83111945908905005</v>
      </c>
      <c r="W204" s="148">
        <v>754425096000</v>
      </c>
      <c r="X204" s="148">
        <v>0</v>
      </c>
      <c r="Y204" s="150">
        <v>0</v>
      </c>
      <c r="Z204" s="148">
        <v>754425096000</v>
      </c>
      <c r="AA204" s="148">
        <v>0</v>
      </c>
      <c r="AB204" s="150">
        <v>1</v>
      </c>
    </row>
    <row r="205" spans="1:28" ht="42" customHeight="1">
      <c r="A205" s="32" t="e">
        <v>#REF!</v>
      </c>
      <c r="B205" s="132" t="s">
        <v>692</v>
      </c>
      <c r="C205" s="133" t="s">
        <v>167</v>
      </c>
      <c r="D205" s="133">
        <v>4103</v>
      </c>
      <c r="E205" s="133" t="s">
        <v>172</v>
      </c>
      <c r="F205" s="133">
        <v>21</v>
      </c>
      <c r="G205" s="133"/>
      <c r="H205" s="133"/>
      <c r="I205" s="133"/>
      <c r="J205" s="133"/>
      <c r="K205" s="134"/>
      <c r="L205" s="134" t="s">
        <v>272</v>
      </c>
      <c r="M205" s="135">
        <v>25000000000</v>
      </c>
      <c r="N205" s="135">
        <v>0</v>
      </c>
      <c r="O205" s="135">
        <v>0</v>
      </c>
      <c r="P205" s="135">
        <v>16740482418</v>
      </c>
      <c r="Q205" s="135">
        <v>16740482418</v>
      </c>
      <c r="R205" s="135">
        <v>0</v>
      </c>
      <c r="S205" s="135">
        <v>25000000000</v>
      </c>
      <c r="T205" s="135">
        <v>17153406980</v>
      </c>
      <c r="U205" s="135">
        <v>7846593020</v>
      </c>
      <c r="V205" s="137">
        <v>0.68613627919999998</v>
      </c>
      <c r="W205" s="135">
        <v>7498210456</v>
      </c>
      <c r="X205" s="135">
        <v>9655196524</v>
      </c>
      <c r="Y205" s="137">
        <v>0.56287340090848825</v>
      </c>
      <c r="Z205" s="135">
        <v>7414658072</v>
      </c>
      <c r="AA205" s="135">
        <v>83552384</v>
      </c>
      <c r="AB205" s="723">
        <v>0.43225570760637311</v>
      </c>
    </row>
    <row r="206" spans="1:28" ht="32.25" customHeight="1">
      <c r="A206" s="32" t="e">
        <v>#REF!</v>
      </c>
      <c r="B206" s="138" t="s">
        <v>693</v>
      </c>
      <c r="C206" s="139" t="s">
        <v>167</v>
      </c>
      <c r="D206" s="139">
        <v>4103</v>
      </c>
      <c r="E206" s="139" t="s">
        <v>172</v>
      </c>
      <c r="F206" s="139">
        <v>21</v>
      </c>
      <c r="G206" s="139" t="s">
        <v>175</v>
      </c>
      <c r="H206" s="139" t="s">
        <v>219</v>
      </c>
      <c r="I206" s="139"/>
      <c r="J206" s="139" t="s">
        <v>144</v>
      </c>
      <c r="K206" s="140" t="s">
        <v>29</v>
      </c>
      <c r="L206" s="140" t="s">
        <v>233</v>
      </c>
      <c r="M206" s="141">
        <v>2606454177</v>
      </c>
      <c r="N206" s="142">
        <v>0</v>
      </c>
      <c r="O206" s="142">
        <v>0</v>
      </c>
      <c r="P206" s="141">
        <v>130864071</v>
      </c>
      <c r="Q206" s="141">
        <v>261728142</v>
      </c>
      <c r="R206" s="142">
        <v>0</v>
      </c>
      <c r="S206" s="141">
        <v>2475590106</v>
      </c>
      <c r="T206" s="141">
        <v>2475590106</v>
      </c>
      <c r="U206" s="141">
        <v>0</v>
      </c>
      <c r="V206" s="143">
        <v>1</v>
      </c>
      <c r="W206" s="141">
        <v>2429900306</v>
      </c>
      <c r="X206" s="141">
        <v>45689800</v>
      </c>
      <c r="Y206" s="143">
        <v>1.8456124820204787E-2</v>
      </c>
      <c r="Z206" s="141">
        <v>2429900306</v>
      </c>
      <c r="AA206" s="141">
        <v>0</v>
      </c>
      <c r="AB206" s="724">
        <v>0.98154387517979524</v>
      </c>
    </row>
    <row r="207" spans="1:28" ht="24.95" customHeight="1">
      <c r="A207" s="32" t="e">
        <v>#REF!</v>
      </c>
      <c r="B207" s="144" t="s">
        <v>694</v>
      </c>
      <c r="C207" s="145" t="s">
        <v>167</v>
      </c>
      <c r="D207" s="145">
        <v>4103</v>
      </c>
      <c r="E207" s="145" t="s">
        <v>172</v>
      </c>
      <c r="F207" s="145">
        <v>21</v>
      </c>
      <c r="G207" s="145" t="s">
        <v>175</v>
      </c>
      <c r="H207" s="145" t="s">
        <v>219</v>
      </c>
      <c r="I207" s="145" t="s">
        <v>54</v>
      </c>
      <c r="J207" s="145" t="s">
        <v>144</v>
      </c>
      <c r="K207" s="146" t="s">
        <v>29</v>
      </c>
      <c r="L207" s="147" t="s">
        <v>178</v>
      </c>
      <c r="M207" s="148">
        <v>2606454177</v>
      </c>
      <c r="N207" s="148"/>
      <c r="O207" s="148"/>
      <c r="P207" s="148">
        <v>130864071</v>
      </c>
      <c r="Q207" s="148">
        <v>261728142</v>
      </c>
      <c r="R207" s="148"/>
      <c r="S207" s="148">
        <v>2475590106</v>
      </c>
      <c r="T207" s="148">
        <v>2475590106</v>
      </c>
      <c r="U207" s="148">
        <v>0</v>
      </c>
      <c r="V207" s="150">
        <v>1</v>
      </c>
      <c r="W207" s="148">
        <v>2429900306</v>
      </c>
      <c r="X207" s="148">
        <v>45689800</v>
      </c>
      <c r="Y207" s="150">
        <v>1.8456124820204787E-2</v>
      </c>
      <c r="Z207" s="148">
        <v>2429900306</v>
      </c>
      <c r="AA207" s="148">
        <v>0</v>
      </c>
      <c r="AB207" s="150">
        <v>0.98154387517979524</v>
      </c>
    </row>
    <row r="208" spans="1:28" ht="32.25" customHeight="1">
      <c r="A208" s="32" t="e">
        <v>#REF!</v>
      </c>
      <c r="B208" s="138" t="s">
        <v>695</v>
      </c>
      <c r="C208" s="139" t="s">
        <v>167</v>
      </c>
      <c r="D208" s="139">
        <v>4103</v>
      </c>
      <c r="E208" s="139" t="s">
        <v>172</v>
      </c>
      <c r="F208" s="139">
        <v>21</v>
      </c>
      <c r="G208" s="139" t="s">
        <v>175</v>
      </c>
      <c r="H208" s="139" t="s">
        <v>234</v>
      </c>
      <c r="I208" s="139"/>
      <c r="J208" s="139" t="s">
        <v>144</v>
      </c>
      <c r="K208" s="140" t="s">
        <v>29</v>
      </c>
      <c r="L208" s="140" t="s">
        <v>235</v>
      </c>
      <c r="M208" s="141">
        <v>1252740115</v>
      </c>
      <c r="N208" s="142">
        <v>0</v>
      </c>
      <c r="O208" s="142">
        <v>0</v>
      </c>
      <c r="P208" s="141">
        <v>139030957</v>
      </c>
      <c r="Q208" s="141">
        <v>278061914</v>
      </c>
      <c r="R208" s="142">
        <v>0</v>
      </c>
      <c r="S208" s="141">
        <v>1113709158</v>
      </c>
      <c r="T208" s="141">
        <v>1113709158</v>
      </c>
      <c r="U208" s="141">
        <v>0</v>
      </c>
      <c r="V208" s="143">
        <v>1</v>
      </c>
      <c r="W208" s="141">
        <v>1113709158</v>
      </c>
      <c r="X208" s="142">
        <v>0</v>
      </c>
      <c r="Y208" s="143">
        <v>0</v>
      </c>
      <c r="Z208" s="141">
        <v>1113709158</v>
      </c>
      <c r="AA208" s="141">
        <v>0</v>
      </c>
      <c r="AB208" s="724">
        <v>1</v>
      </c>
    </row>
    <row r="209" spans="1:28" ht="24.95" customHeight="1">
      <c r="A209" s="32" t="e">
        <v>#REF!</v>
      </c>
      <c r="B209" s="144" t="s">
        <v>696</v>
      </c>
      <c r="C209" s="145" t="s">
        <v>167</v>
      </c>
      <c r="D209" s="145">
        <v>4103</v>
      </c>
      <c r="E209" s="145" t="s">
        <v>172</v>
      </c>
      <c r="F209" s="145">
        <v>21</v>
      </c>
      <c r="G209" s="145" t="s">
        <v>175</v>
      </c>
      <c r="H209" s="145" t="s">
        <v>234</v>
      </c>
      <c r="I209" s="145" t="s">
        <v>54</v>
      </c>
      <c r="J209" s="145" t="s">
        <v>144</v>
      </c>
      <c r="K209" s="146" t="s">
        <v>29</v>
      </c>
      <c r="L209" s="147" t="s">
        <v>178</v>
      </c>
      <c r="M209" s="148">
        <v>1252740115</v>
      </c>
      <c r="N209" s="148"/>
      <c r="O209" s="148"/>
      <c r="P209" s="148">
        <v>139030957</v>
      </c>
      <c r="Q209" s="148">
        <v>278061914</v>
      </c>
      <c r="R209" s="148"/>
      <c r="S209" s="148">
        <v>1113709158</v>
      </c>
      <c r="T209" s="148">
        <v>1113709158</v>
      </c>
      <c r="U209" s="148">
        <v>0</v>
      </c>
      <c r="V209" s="150">
        <v>1</v>
      </c>
      <c r="W209" s="148">
        <v>1113709158</v>
      </c>
      <c r="X209" s="148">
        <v>0</v>
      </c>
      <c r="Y209" s="150">
        <v>0</v>
      </c>
      <c r="Z209" s="148">
        <v>1113709158</v>
      </c>
      <c r="AA209" s="148">
        <v>0</v>
      </c>
      <c r="AB209" s="150">
        <v>1</v>
      </c>
    </row>
    <row r="210" spans="1:28" ht="32.25" customHeight="1">
      <c r="A210" s="32" t="e">
        <v>#REF!</v>
      </c>
      <c r="B210" s="138" t="s">
        <v>697</v>
      </c>
      <c r="C210" s="139" t="s">
        <v>167</v>
      </c>
      <c r="D210" s="139">
        <v>4103</v>
      </c>
      <c r="E210" s="139" t="s">
        <v>172</v>
      </c>
      <c r="F210" s="139">
        <v>21</v>
      </c>
      <c r="G210" s="139" t="s">
        <v>175</v>
      </c>
      <c r="H210" s="139" t="s">
        <v>197</v>
      </c>
      <c r="I210" s="139"/>
      <c r="J210" s="139" t="s">
        <v>144</v>
      </c>
      <c r="K210" s="140" t="s">
        <v>29</v>
      </c>
      <c r="L210" s="140" t="s">
        <v>236</v>
      </c>
      <c r="M210" s="141">
        <v>1722076323</v>
      </c>
      <c r="N210" s="142">
        <v>0</v>
      </c>
      <c r="O210" s="142">
        <v>0</v>
      </c>
      <c r="P210" s="141">
        <v>185321568</v>
      </c>
      <c r="Q210" s="141">
        <v>370643136</v>
      </c>
      <c r="R210" s="142">
        <v>0</v>
      </c>
      <c r="S210" s="141">
        <v>1536754755</v>
      </c>
      <c r="T210" s="141">
        <v>1536754755</v>
      </c>
      <c r="U210" s="141">
        <v>0</v>
      </c>
      <c r="V210" s="143">
        <v>1</v>
      </c>
      <c r="W210" s="141">
        <v>54674042</v>
      </c>
      <c r="X210" s="141">
        <v>1482080713</v>
      </c>
      <c r="Y210" s="143">
        <v>0.96442240258433432</v>
      </c>
      <c r="Z210" s="141">
        <v>54674042</v>
      </c>
      <c r="AA210" s="141">
        <v>0</v>
      </c>
      <c r="AB210" s="724">
        <v>3.5577597415665713E-2</v>
      </c>
    </row>
    <row r="211" spans="1:28" ht="24.95" customHeight="1">
      <c r="A211" s="32" t="e">
        <v>#REF!</v>
      </c>
      <c r="B211" s="144" t="s">
        <v>698</v>
      </c>
      <c r="C211" s="145" t="s">
        <v>167</v>
      </c>
      <c r="D211" s="145">
        <v>4103</v>
      </c>
      <c r="E211" s="145" t="s">
        <v>172</v>
      </c>
      <c r="F211" s="145">
        <v>21</v>
      </c>
      <c r="G211" s="145" t="s">
        <v>175</v>
      </c>
      <c r="H211" s="145" t="s">
        <v>197</v>
      </c>
      <c r="I211" s="145" t="s">
        <v>54</v>
      </c>
      <c r="J211" s="145" t="s">
        <v>144</v>
      </c>
      <c r="K211" s="146" t="s">
        <v>29</v>
      </c>
      <c r="L211" s="147" t="s">
        <v>178</v>
      </c>
      <c r="M211" s="148">
        <v>1722076323</v>
      </c>
      <c r="N211" s="148"/>
      <c r="O211" s="148"/>
      <c r="P211" s="148">
        <v>185321568</v>
      </c>
      <c r="Q211" s="148">
        <v>370643136</v>
      </c>
      <c r="R211" s="148"/>
      <c r="S211" s="148">
        <v>1536754755</v>
      </c>
      <c r="T211" s="148">
        <v>1536754755</v>
      </c>
      <c r="U211" s="148">
        <v>0</v>
      </c>
      <c r="V211" s="150">
        <v>1</v>
      </c>
      <c r="W211" s="148">
        <v>54674042</v>
      </c>
      <c r="X211" s="148">
        <v>1482080713</v>
      </c>
      <c r="Y211" s="150">
        <v>0.96442240258433432</v>
      </c>
      <c r="Z211" s="148">
        <v>54674042</v>
      </c>
      <c r="AA211" s="148">
        <v>0</v>
      </c>
      <c r="AB211" s="150">
        <v>3.5577597415665713E-2</v>
      </c>
    </row>
    <row r="212" spans="1:28" ht="32.25" customHeight="1">
      <c r="A212" s="32" t="e">
        <v>#REF!</v>
      </c>
      <c r="B212" s="138" t="s">
        <v>699</v>
      </c>
      <c r="C212" s="139" t="s">
        <v>167</v>
      </c>
      <c r="D212" s="139">
        <v>4103</v>
      </c>
      <c r="E212" s="139" t="s">
        <v>172</v>
      </c>
      <c r="F212" s="139">
        <v>21</v>
      </c>
      <c r="G212" s="139" t="s">
        <v>175</v>
      </c>
      <c r="H212" s="139" t="s">
        <v>203</v>
      </c>
      <c r="I212" s="139"/>
      <c r="J212" s="139" t="s">
        <v>144</v>
      </c>
      <c r="K212" s="140" t="s">
        <v>29</v>
      </c>
      <c r="L212" s="140" t="s">
        <v>237</v>
      </c>
      <c r="M212" s="141">
        <v>4822978569</v>
      </c>
      <c r="N212" s="142">
        <v>0</v>
      </c>
      <c r="O212" s="142">
        <v>0</v>
      </c>
      <c r="P212" s="141">
        <v>259693938</v>
      </c>
      <c r="Q212" s="141">
        <v>519387876</v>
      </c>
      <c r="R212" s="142">
        <v>0</v>
      </c>
      <c r="S212" s="141">
        <v>4563284631</v>
      </c>
      <c r="T212" s="141">
        <v>3960721124</v>
      </c>
      <c r="U212" s="141">
        <v>602563507</v>
      </c>
      <c r="V212" s="143">
        <v>0.86795399460586486</v>
      </c>
      <c r="W212" s="141">
        <v>268698000</v>
      </c>
      <c r="X212" s="141">
        <v>3692023124</v>
      </c>
      <c r="Y212" s="143">
        <v>0.93215932362119014</v>
      </c>
      <c r="Z212" s="141">
        <v>268698000</v>
      </c>
      <c r="AA212" s="141">
        <v>0</v>
      </c>
      <c r="AB212" s="724">
        <v>6.7840676378809847E-2</v>
      </c>
    </row>
    <row r="213" spans="1:28" ht="24.95" customHeight="1">
      <c r="A213" s="32" t="e">
        <v>#REF!</v>
      </c>
      <c r="B213" s="144" t="s">
        <v>700</v>
      </c>
      <c r="C213" s="145" t="s">
        <v>167</v>
      </c>
      <c r="D213" s="145">
        <v>4103</v>
      </c>
      <c r="E213" s="145" t="s">
        <v>172</v>
      </c>
      <c r="F213" s="145">
        <v>21</v>
      </c>
      <c r="G213" s="145" t="s">
        <v>175</v>
      </c>
      <c r="H213" s="145" t="s">
        <v>203</v>
      </c>
      <c r="I213" s="145" t="s">
        <v>54</v>
      </c>
      <c r="J213" s="145" t="s">
        <v>144</v>
      </c>
      <c r="K213" s="146" t="s">
        <v>29</v>
      </c>
      <c r="L213" s="147" t="s">
        <v>178</v>
      </c>
      <c r="M213" s="148">
        <v>4822978569</v>
      </c>
      <c r="N213" s="148"/>
      <c r="O213" s="148"/>
      <c r="P213" s="148">
        <v>259693938</v>
      </c>
      <c r="Q213" s="148">
        <v>519387876</v>
      </c>
      <c r="R213" s="148"/>
      <c r="S213" s="148">
        <v>4563284631</v>
      </c>
      <c r="T213" s="148">
        <v>3960721124</v>
      </c>
      <c r="U213" s="148">
        <v>602563507</v>
      </c>
      <c r="V213" s="150">
        <v>0.86795399460586486</v>
      </c>
      <c r="W213" s="148">
        <v>268698000</v>
      </c>
      <c r="X213" s="148">
        <v>3692023124</v>
      </c>
      <c r="Y213" s="150">
        <v>0.93215932362119014</v>
      </c>
      <c r="Z213" s="148">
        <v>268698000</v>
      </c>
      <c r="AA213" s="148">
        <v>0</v>
      </c>
      <c r="AB213" s="150">
        <v>6.7840676378809847E-2</v>
      </c>
    </row>
    <row r="214" spans="1:28" ht="32.25" customHeight="1">
      <c r="A214" s="32" t="e">
        <v>#REF!</v>
      </c>
      <c r="B214" s="138" t="s">
        <v>701</v>
      </c>
      <c r="C214" s="139" t="s">
        <v>167</v>
      </c>
      <c r="D214" s="139">
        <v>4103</v>
      </c>
      <c r="E214" s="139" t="s">
        <v>172</v>
      </c>
      <c r="F214" s="139">
        <v>21</v>
      </c>
      <c r="G214" s="139" t="s">
        <v>175</v>
      </c>
      <c r="H214" s="139" t="s">
        <v>223</v>
      </c>
      <c r="I214" s="139"/>
      <c r="J214" s="139" t="s">
        <v>144</v>
      </c>
      <c r="K214" s="140" t="s">
        <v>29</v>
      </c>
      <c r="L214" s="140" t="s">
        <v>238</v>
      </c>
      <c r="M214" s="141">
        <v>14595750816</v>
      </c>
      <c r="N214" s="142">
        <v>0</v>
      </c>
      <c r="O214" s="142">
        <v>0</v>
      </c>
      <c r="P214" s="141">
        <v>16025571884</v>
      </c>
      <c r="Q214" s="141">
        <v>15310661350</v>
      </c>
      <c r="R214" s="142">
        <v>0</v>
      </c>
      <c r="S214" s="141">
        <v>15310661350</v>
      </c>
      <c r="T214" s="141">
        <v>8066631837</v>
      </c>
      <c r="U214" s="141">
        <v>7244029513</v>
      </c>
      <c r="V214" s="143">
        <v>0.52686370971166441</v>
      </c>
      <c r="W214" s="141">
        <v>3631228950</v>
      </c>
      <c r="X214" s="141">
        <v>4435402887</v>
      </c>
      <c r="Y214" s="143">
        <v>0.5498457071829792</v>
      </c>
      <c r="Z214" s="141">
        <v>3547676566</v>
      </c>
      <c r="AA214" s="141">
        <v>83552384</v>
      </c>
      <c r="AB214" s="724">
        <v>0.43979651454123997</v>
      </c>
    </row>
    <row r="215" spans="1:28" ht="24.95" customHeight="1">
      <c r="A215" s="32" t="e">
        <v>#REF!</v>
      </c>
      <c r="B215" s="144" t="s">
        <v>702</v>
      </c>
      <c r="C215" s="145" t="s">
        <v>167</v>
      </c>
      <c r="D215" s="145">
        <v>4103</v>
      </c>
      <c r="E215" s="145" t="s">
        <v>172</v>
      </c>
      <c r="F215" s="145">
        <v>21</v>
      </c>
      <c r="G215" s="145" t="s">
        <v>175</v>
      </c>
      <c r="H215" s="145" t="s">
        <v>223</v>
      </c>
      <c r="I215" s="145" t="s">
        <v>54</v>
      </c>
      <c r="J215" s="145" t="s">
        <v>144</v>
      </c>
      <c r="K215" s="146" t="s">
        <v>29</v>
      </c>
      <c r="L215" s="147" t="s">
        <v>178</v>
      </c>
      <c r="M215" s="148">
        <v>0</v>
      </c>
      <c r="N215" s="148"/>
      <c r="O215" s="148"/>
      <c r="P215" s="148">
        <v>16025571884</v>
      </c>
      <c r="Q215" s="148">
        <v>714910534</v>
      </c>
      <c r="R215" s="148"/>
      <c r="S215" s="148">
        <v>15310661350</v>
      </c>
      <c r="T215" s="148">
        <v>8066631837</v>
      </c>
      <c r="U215" s="148">
        <v>7244029513</v>
      </c>
      <c r="V215" s="150">
        <v>0.52686370971166441</v>
      </c>
      <c r="W215" s="148">
        <v>3631228950</v>
      </c>
      <c r="X215" s="148">
        <v>4435402887</v>
      </c>
      <c r="Y215" s="150">
        <v>0.5498457071829792</v>
      </c>
      <c r="Z215" s="148">
        <v>3547676566</v>
      </c>
      <c r="AA215" s="148">
        <v>83552384</v>
      </c>
      <c r="AB215" s="150">
        <v>0.43979651454123997</v>
      </c>
    </row>
    <row r="216" spans="1:28" ht="24.95" customHeight="1">
      <c r="A216" s="32" t="e">
        <v>#REF!</v>
      </c>
      <c r="B216" s="144" t="s">
        <v>703</v>
      </c>
      <c r="C216" s="145" t="s">
        <v>167</v>
      </c>
      <c r="D216" s="145">
        <v>4103</v>
      </c>
      <c r="E216" s="145" t="s">
        <v>172</v>
      </c>
      <c r="F216" s="145">
        <v>21</v>
      </c>
      <c r="G216" s="145" t="s">
        <v>175</v>
      </c>
      <c r="H216" s="145" t="s">
        <v>223</v>
      </c>
      <c r="I216" s="145" t="s">
        <v>65</v>
      </c>
      <c r="J216" s="145" t="s">
        <v>144</v>
      </c>
      <c r="K216" s="146" t="s">
        <v>29</v>
      </c>
      <c r="L216" s="147" t="s">
        <v>127</v>
      </c>
      <c r="M216" s="148">
        <v>14595750816</v>
      </c>
      <c r="N216" s="148"/>
      <c r="O216" s="148"/>
      <c r="P216" s="148"/>
      <c r="Q216" s="148">
        <v>14595750816</v>
      </c>
      <c r="R216" s="148"/>
      <c r="S216" s="148">
        <v>0</v>
      </c>
      <c r="T216" s="148">
        <v>0</v>
      </c>
      <c r="U216" s="148">
        <v>0</v>
      </c>
      <c r="V216" s="150">
        <v>0</v>
      </c>
      <c r="W216" s="148">
        <v>0</v>
      </c>
      <c r="X216" s="148">
        <v>0</v>
      </c>
      <c r="Y216" s="150">
        <v>0</v>
      </c>
      <c r="Z216" s="148">
        <v>0</v>
      </c>
      <c r="AA216" s="148">
        <v>0</v>
      </c>
      <c r="AB216" s="150">
        <v>0</v>
      </c>
    </row>
    <row r="217" spans="1:28" ht="49.5" customHeight="1">
      <c r="A217" s="32" t="e">
        <v>#REF!</v>
      </c>
      <c r="B217" s="132" t="s">
        <v>704</v>
      </c>
      <c r="C217" s="133" t="s">
        <v>167</v>
      </c>
      <c r="D217" s="133">
        <v>4103</v>
      </c>
      <c r="E217" s="133" t="s">
        <v>172</v>
      </c>
      <c r="F217" s="133">
        <v>22</v>
      </c>
      <c r="G217" s="133"/>
      <c r="H217" s="133"/>
      <c r="I217" s="133"/>
      <c r="J217" s="133"/>
      <c r="K217" s="134"/>
      <c r="L217" s="134" t="s">
        <v>239</v>
      </c>
      <c r="M217" s="135">
        <v>137284000000</v>
      </c>
      <c r="N217" s="136">
        <v>0</v>
      </c>
      <c r="O217" s="136">
        <v>0</v>
      </c>
      <c r="P217" s="135">
        <v>17906457845</v>
      </c>
      <c r="Q217" s="135">
        <v>17906457845</v>
      </c>
      <c r="R217" s="136">
        <v>0</v>
      </c>
      <c r="S217" s="135">
        <v>137284000000</v>
      </c>
      <c r="T217" s="135">
        <v>113833039609</v>
      </c>
      <c r="U217" s="135">
        <v>23450960391</v>
      </c>
      <c r="V217" s="137">
        <v>0.82917921687159468</v>
      </c>
      <c r="W217" s="135">
        <v>94490644481</v>
      </c>
      <c r="X217" s="135">
        <v>19342395128</v>
      </c>
      <c r="Y217" s="137">
        <v>0.1699189900791398</v>
      </c>
      <c r="Z217" s="135">
        <v>89234758702</v>
      </c>
      <c r="AA217" s="135">
        <v>5255885779</v>
      </c>
      <c r="AB217" s="723">
        <v>0.78390912698552606</v>
      </c>
    </row>
    <row r="218" spans="1:28" ht="32.25" customHeight="1">
      <c r="A218" s="32" t="e">
        <v>#REF!</v>
      </c>
      <c r="B218" s="138" t="s">
        <v>705</v>
      </c>
      <c r="C218" s="139" t="s">
        <v>167</v>
      </c>
      <c r="D218" s="139">
        <v>4103</v>
      </c>
      <c r="E218" s="139" t="s">
        <v>172</v>
      </c>
      <c r="F218" s="139">
        <v>22</v>
      </c>
      <c r="G218" s="139" t="s">
        <v>175</v>
      </c>
      <c r="H218" s="139" t="s">
        <v>219</v>
      </c>
      <c r="I218" s="139"/>
      <c r="J218" s="139" t="s">
        <v>144</v>
      </c>
      <c r="K218" s="140" t="s">
        <v>29</v>
      </c>
      <c r="L218" s="140" t="s">
        <v>240</v>
      </c>
      <c r="M218" s="141">
        <v>8350333435</v>
      </c>
      <c r="N218" s="142">
        <v>0</v>
      </c>
      <c r="O218" s="142">
        <v>0</v>
      </c>
      <c r="P218" s="141">
        <v>681063106</v>
      </c>
      <c r="Q218" s="141">
        <v>0</v>
      </c>
      <c r="R218" s="142">
        <v>0</v>
      </c>
      <c r="S218" s="141">
        <v>9031396541</v>
      </c>
      <c r="T218" s="141">
        <v>8220594616</v>
      </c>
      <c r="U218" s="141">
        <v>810801925</v>
      </c>
      <c r="V218" s="143">
        <v>0.91022408092489493</v>
      </c>
      <c r="W218" s="141">
        <v>7414873850</v>
      </c>
      <c r="X218" s="141">
        <v>805720766</v>
      </c>
      <c r="Y218" s="143">
        <v>9.8012467909778758E-2</v>
      </c>
      <c r="Z218" s="141">
        <v>6389249290</v>
      </c>
      <c r="AA218" s="141">
        <v>1025624560</v>
      </c>
      <c r="AB218" s="724">
        <v>0.77722471286497996</v>
      </c>
    </row>
    <row r="219" spans="1:28" ht="24.95" customHeight="1">
      <c r="A219" s="32" t="e">
        <v>#REF!</v>
      </c>
      <c r="B219" s="144" t="s">
        <v>706</v>
      </c>
      <c r="C219" s="145" t="s">
        <v>167</v>
      </c>
      <c r="D219" s="145">
        <v>4103</v>
      </c>
      <c r="E219" s="145" t="s">
        <v>172</v>
      </c>
      <c r="F219" s="145">
        <v>22</v>
      </c>
      <c r="G219" s="145" t="s">
        <v>175</v>
      </c>
      <c r="H219" s="145" t="s">
        <v>219</v>
      </c>
      <c r="I219" s="145" t="s">
        <v>54</v>
      </c>
      <c r="J219" s="145" t="s">
        <v>144</v>
      </c>
      <c r="K219" s="146" t="s">
        <v>29</v>
      </c>
      <c r="L219" s="147" t="s">
        <v>178</v>
      </c>
      <c r="M219" s="148">
        <v>8350333435</v>
      </c>
      <c r="N219" s="148"/>
      <c r="O219" s="148"/>
      <c r="P219" s="148">
        <v>681063106</v>
      </c>
      <c r="Q219" s="148"/>
      <c r="R219" s="148"/>
      <c r="S219" s="148">
        <v>9031396541</v>
      </c>
      <c r="T219" s="148">
        <v>8220594616</v>
      </c>
      <c r="U219" s="148">
        <v>810801925</v>
      </c>
      <c r="V219" s="150">
        <v>0.91022408092489493</v>
      </c>
      <c r="W219" s="148">
        <v>7414873850</v>
      </c>
      <c r="X219" s="148">
        <v>805720766</v>
      </c>
      <c r="Y219" s="150">
        <v>9.8012467909778758E-2</v>
      </c>
      <c r="Z219" s="148">
        <v>6389249290</v>
      </c>
      <c r="AA219" s="148">
        <v>1025624560</v>
      </c>
      <c r="AB219" s="150">
        <v>0.77722471286497996</v>
      </c>
    </row>
    <row r="220" spans="1:28" ht="32.25" customHeight="1">
      <c r="A220" s="32" t="e">
        <v>#REF!</v>
      </c>
      <c r="B220" s="138" t="s">
        <v>707</v>
      </c>
      <c r="C220" s="139" t="s">
        <v>167</v>
      </c>
      <c r="D220" s="139">
        <v>4103</v>
      </c>
      <c r="E220" s="139" t="s">
        <v>172</v>
      </c>
      <c r="F220" s="139">
        <v>22</v>
      </c>
      <c r="G220" s="139" t="s">
        <v>175</v>
      </c>
      <c r="H220" s="139" t="s">
        <v>234</v>
      </c>
      <c r="I220" s="139"/>
      <c r="J220" s="139" t="s">
        <v>144</v>
      </c>
      <c r="K220" s="140" t="s">
        <v>29</v>
      </c>
      <c r="L220" s="140" t="s">
        <v>241</v>
      </c>
      <c r="M220" s="141">
        <v>8986673675</v>
      </c>
      <c r="N220" s="142">
        <v>0</v>
      </c>
      <c r="O220" s="142">
        <v>0</v>
      </c>
      <c r="P220" s="141">
        <v>417203180</v>
      </c>
      <c r="Q220" s="141">
        <v>3115663306</v>
      </c>
      <c r="R220" s="142">
        <v>0</v>
      </c>
      <c r="S220" s="141">
        <v>6288213549</v>
      </c>
      <c r="T220" s="141">
        <v>4692540078</v>
      </c>
      <c r="U220" s="141">
        <v>1595673471</v>
      </c>
      <c r="V220" s="143">
        <v>0.74624375292506462</v>
      </c>
      <c r="W220" s="141">
        <v>634328879</v>
      </c>
      <c r="X220" s="141">
        <v>4058211199</v>
      </c>
      <c r="Y220" s="143">
        <v>0.86482185160784897</v>
      </c>
      <c r="Z220" s="141">
        <v>634328879</v>
      </c>
      <c r="AA220" s="141">
        <v>0</v>
      </c>
      <c r="AB220" s="724">
        <v>0.13517814839215103</v>
      </c>
    </row>
    <row r="221" spans="1:28" ht="24.95" customHeight="1">
      <c r="A221" s="32" t="e">
        <v>#REF!</v>
      </c>
      <c r="B221" s="144" t="s">
        <v>708</v>
      </c>
      <c r="C221" s="145" t="s">
        <v>167</v>
      </c>
      <c r="D221" s="145">
        <v>4103</v>
      </c>
      <c r="E221" s="145" t="s">
        <v>172</v>
      </c>
      <c r="F221" s="145">
        <v>22</v>
      </c>
      <c r="G221" s="145" t="s">
        <v>175</v>
      </c>
      <c r="H221" s="145" t="s">
        <v>234</v>
      </c>
      <c r="I221" s="145" t="s">
        <v>54</v>
      </c>
      <c r="J221" s="145" t="s">
        <v>144</v>
      </c>
      <c r="K221" s="146" t="s">
        <v>29</v>
      </c>
      <c r="L221" s="147" t="s">
        <v>178</v>
      </c>
      <c r="M221" s="148">
        <v>5871010369</v>
      </c>
      <c r="N221" s="148"/>
      <c r="O221" s="148"/>
      <c r="P221" s="148">
        <v>417203180</v>
      </c>
      <c r="Q221" s="148"/>
      <c r="R221" s="148"/>
      <c r="S221" s="148">
        <v>6288213549</v>
      </c>
      <c r="T221" s="148">
        <v>4692540078</v>
      </c>
      <c r="U221" s="148">
        <v>1595673471</v>
      </c>
      <c r="V221" s="150">
        <v>0.74624375292506462</v>
      </c>
      <c r="W221" s="148">
        <v>634328879</v>
      </c>
      <c r="X221" s="148">
        <v>4058211199</v>
      </c>
      <c r="Y221" s="150">
        <v>0.86482185160784897</v>
      </c>
      <c r="Z221" s="148">
        <v>634328879</v>
      </c>
      <c r="AA221" s="148">
        <v>0</v>
      </c>
      <c r="AB221" s="150">
        <v>0.13517814839215103</v>
      </c>
    </row>
    <row r="222" spans="1:28" ht="24.95" customHeight="1">
      <c r="A222" s="32" t="e">
        <v>#REF!</v>
      </c>
      <c r="B222" s="144" t="s">
        <v>709</v>
      </c>
      <c r="C222" s="145" t="s">
        <v>167</v>
      </c>
      <c r="D222" s="145">
        <v>4103</v>
      </c>
      <c r="E222" s="145" t="s">
        <v>172</v>
      </c>
      <c r="F222" s="145">
        <v>22</v>
      </c>
      <c r="G222" s="145" t="s">
        <v>175</v>
      </c>
      <c r="H222" s="145" t="s">
        <v>234</v>
      </c>
      <c r="I222" s="145" t="s">
        <v>65</v>
      </c>
      <c r="J222" s="145" t="s">
        <v>144</v>
      </c>
      <c r="K222" s="146" t="s">
        <v>29</v>
      </c>
      <c r="L222" s="147" t="s">
        <v>127</v>
      </c>
      <c r="M222" s="148">
        <v>3115663306</v>
      </c>
      <c r="N222" s="148"/>
      <c r="O222" s="148"/>
      <c r="P222" s="148"/>
      <c r="Q222" s="148">
        <v>3115663306</v>
      </c>
      <c r="R222" s="148"/>
      <c r="S222" s="148">
        <v>0</v>
      </c>
      <c r="T222" s="148">
        <v>0</v>
      </c>
      <c r="U222" s="148">
        <v>0</v>
      </c>
      <c r="V222" s="150">
        <v>0</v>
      </c>
      <c r="W222" s="148">
        <v>0</v>
      </c>
      <c r="X222" s="148">
        <v>0</v>
      </c>
      <c r="Y222" s="150">
        <v>0</v>
      </c>
      <c r="Z222" s="148">
        <v>0</v>
      </c>
      <c r="AA222" s="148">
        <v>0</v>
      </c>
      <c r="AB222" s="150">
        <v>0</v>
      </c>
    </row>
    <row r="223" spans="1:28" ht="32.25" customHeight="1">
      <c r="A223" s="32" t="e">
        <v>#REF!</v>
      </c>
      <c r="B223" s="138" t="s">
        <v>710</v>
      </c>
      <c r="C223" s="139" t="s">
        <v>167</v>
      </c>
      <c r="D223" s="139">
        <v>4103</v>
      </c>
      <c r="E223" s="139" t="s">
        <v>172</v>
      </c>
      <c r="F223" s="139">
        <v>22</v>
      </c>
      <c r="G223" s="139" t="s">
        <v>175</v>
      </c>
      <c r="H223" s="139">
        <v>4103051</v>
      </c>
      <c r="I223" s="139"/>
      <c r="J223" s="139" t="s">
        <v>144</v>
      </c>
      <c r="K223" s="140" t="s">
        <v>29</v>
      </c>
      <c r="L223" s="140" t="s">
        <v>242</v>
      </c>
      <c r="M223" s="141">
        <v>1038023922</v>
      </c>
      <c r="N223" s="142">
        <v>0</v>
      </c>
      <c r="O223" s="142">
        <v>0</v>
      </c>
      <c r="P223" s="141">
        <v>2230593423</v>
      </c>
      <c r="Q223" s="141">
        <v>0</v>
      </c>
      <c r="R223" s="142">
        <v>0</v>
      </c>
      <c r="S223" s="141">
        <v>3268617345</v>
      </c>
      <c r="T223" s="141">
        <v>2445347431</v>
      </c>
      <c r="U223" s="141">
        <v>823269914</v>
      </c>
      <c r="V223" s="143">
        <v>0.74812900162224405</v>
      </c>
      <c r="W223" s="141">
        <v>2445347431</v>
      </c>
      <c r="X223" s="142">
        <v>0</v>
      </c>
      <c r="Y223" s="143">
        <v>0</v>
      </c>
      <c r="Z223" s="141">
        <v>757258087</v>
      </c>
      <c r="AA223" s="141">
        <v>1688089344</v>
      </c>
      <c r="AB223" s="724">
        <v>0.30967300490725236</v>
      </c>
    </row>
    <row r="224" spans="1:28" ht="24.95" customHeight="1">
      <c r="A224" s="32" t="e">
        <v>#REF!</v>
      </c>
      <c r="B224" s="144" t="s">
        <v>711</v>
      </c>
      <c r="C224" s="145" t="s">
        <v>167</v>
      </c>
      <c r="D224" s="145">
        <v>4103</v>
      </c>
      <c r="E224" s="145" t="s">
        <v>172</v>
      </c>
      <c r="F224" s="145">
        <v>22</v>
      </c>
      <c r="G224" s="145" t="s">
        <v>175</v>
      </c>
      <c r="H224" s="145">
        <v>4103051</v>
      </c>
      <c r="I224" s="145" t="s">
        <v>54</v>
      </c>
      <c r="J224" s="145" t="s">
        <v>144</v>
      </c>
      <c r="K224" s="146" t="s">
        <v>29</v>
      </c>
      <c r="L224" s="147" t="s">
        <v>178</v>
      </c>
      <c r="M224" s="148">
        <v>1038023922</v>
      </c>
      <c r="N224" s="148"/>
      <c r="O224" s="148"/>
      <c r="P224" s="148">
        <v>2230593423</v>
      </c>
      <c r="Q224" s="148"/>
      <c r="R224" s="148"/>
      <c r="S224" s="148">
        <v>3268617345</v>
      </c>
      <c r="T224" s="148">
        <v>2445347431</v>
      </c>
      <c r="U224" s="148">
        <v>823269914</v>
      </c>
      <c r="V224" s="150">
        <v>0.74812900162224405</v>
      </c>
      <c r="W224" s="148">
        <v>2445347431</v>
      </c>
      <c r="X224" s="148">
        <v>0</v>
      </c>
      <c r="Y224" s="150">
        <v>0</v>
      </c>
      <c r="Z224" s="148">
        <v>757258087</v>
      </c>
      <c r="AA224" s="148">
        <v>1688089344</v>
      </c>
      <c r="AB224" s="150">
        <v>0.30967300490725236</v>
      </c>
    </row>
    <row r="225" spans="1:28" ht="32.25" customHeight="1">
      <c r="A225" s="32" t="e">
        <v>#REF!</v>
      </c>
      <c r="B225" s="138" t="s">
        <v>712</v>
      </c>
      <c r="C225" s="139" t="s">
        <v>167</v>
      </c>
      <c r="D225" s="139">
        <v>4103</v>
      </c>
      <c r="E225" s="139" t="s">
        <v>172</v>
      </c>
      <c r="F225" s="139">
        <v>22</v>
      </c>
      <c r="G225" s="139" t="s">
        <v>175</v>
      </c>
      <c r="H225" s="139">
        <v>4103055</v>
      </c>
      <c r="I225" s="139"/>
      <c r="J225" s="139" t="s">
        <v>144</v>
      </c>
      <c r="K225" s="140" t="s">
        <v>29</v>
      </c>
      <c r="L225" s="140" t="s">
        <v>243</v>
      </c>
      <c r="M225" s="141">
        <v>4550769145</v>
      </c>
      <c r="N225" s="142">
        <v>0</v>
      </c>
      <c r="O225" s="142">
        <v>0</v>
      </c>
      <c r="P225" s="141">
        <v>12479945236</v>
      </c>
      <c r="Q225" s="141">
        <v>0</v>
      </c>
      <c r="R225" s="142">
        <v>0</v>
      </c>
      <c r="S225" s="141">
        <v>17030714381</v>
      </c>
      <c r="T225" s="141">
        <v>12636790207</v>
      </c>
      <c r="U225" s="141">
        <v>4393924174</v>
      </c>
      <c r="V225" s="143">
        <v>0.74200000800307009</v>
      </c>
      <c r="W225" s="141">
        <v>280990866</v>
      </c>
      <c r="X225" s="142">
        <v>12355799341</v>
      </c>
      <c r="Y225" s="143">
        <v>0.97776406338974053</v>
      </c>
      <c r="Z225" s="141">
        <v>14958167</v>
      </c>
      <c r="AA225" s="141">
        <v>266032699</v>
      </c>
      <c r="AB225" s="724">
        <v>1.1836998759158083E-3</v>
      </c>
    </row>
    <row r="226" spans="1:28" ht="24.95" customHeight="1">
      <c r="A226" s="32" t="e">
        <v>#REF!</v>
      </c>
      <c r="B226" s="144" t="s">
        <v>713</v>
      </c>
      <c r="C226" s="145" t="s">
        <v>167</v>
      </c>
      <c r="D226" s="145">
        <v>4103</v>
      </c>
      <c r="E226" s="145" t="s">
        <v>172</v>
      </c>
      <c r="F226" s="145">
        <v>22</v>
      </c>
      <c r="G226" s="145" t="s">
        <v>175</v>
      </c>
      <c r="H226" s="145" t="s">
        <v>203</v>
      </c>
      <c r="I226" s="145" t="s">
        <v>54</v>
      </c>
      <c r="J226" s="145" t="s">
        <v>144</v>
      </c>
      <c r="K226" s="146" t="s">
        <v>29</v>
      </c>
      <c r="L226" s="147" t="s">
        <v>178</v>
      </c>
      <c r="M226" s="148">
        <v>396551404</v>
      </c>
      <c r="N226" s="148"/>
      <c r="O226" s="148"/>
      <c r="P226" s="148">
        <v>118562977</v>
      </c>
      <c r="Q226" s="148"/>
      <c r="R226" s="148"/>
      <c r="S226" s="148">
        <v>515114381</v>
      </c>
      <c r="T226" s="148">
        <v>280990866</v>
      </c>
      <c r="U226" s="148">
        <v>234123515</v>
      </c>
      <c r="V226" s="150">
        <v>0.54549217875553735</v>
      </c>
      <c r="W226" s="148">
        <v>280990866</v>
      </c>
      <c r="X226" s="148">
        <v>0</v>
      </c>
      <c r="Y226" s="150">
        <v>0</v>
      </c>
      <c r="Z226" s="148">
        <v>14958167</v>
      </c>
      <c r="AA226" s="148">
        <v>266032699</v>
      </c>
      <c r="AB226" s="150">
        <v>5.3233641409539623E-2</v>
      </c>
    </row>
    <row r="227" spans="1:28" ht="24.95" customHeight="1">
      <c r="A227" s="32" t="e">
        <v>#REF!</v>
      </c>
      <c r="B227" s="144" t="s">
        <v>714</v>
      </c>
      <c r="C227" s="145" t="s">
        <v>167</v>
      </c>
      <c r="D227" s="145">
        <v>4103</v>
      </c>
      <c r="E227" s="145" t="s">
        <v>172</v>
      </c>
      <c r="F227" s="145">
        <v>22</v>
      </c>
      <c r="G227" s="145" t="s">
        <v>175</v>
      </c>
      <c r="H227" s="145" t="s">
        <v>203</v>
      </c>
      <c r="I227" s="145" t="s">
        <v>65</v>
      </c>
      <c r="J227" s="145" t="s">
        <v>144</v>
      </c>
      <c r="K227" s="146" t="s">
        <v>29</v>
      </c>
      <c r="L227" s="147" t="s">
        <v>127</v>
      </c>
      <c r="M227" s="148">
        <v>4154217741</v>
      </c>
      <c r="N227" s="148"/>
      <c r="O227" s="148"/>
      <c r="P227" s="148">
        <v>12361382259</v>
      </c>
      <c r="Q227" s="148"/>
      <c r="R227" s="148"/>
      <c r="S227" s="148">
        <v>16515600000</v>
      </c>
      <c r="T227" s="148">
        <v>12355799341</v>
      </c>
      <c r="U227" s="148">
        <v>4159800659</v>
      </c>
      <c r="V227" s="150">
        <v>0.74812900173169605</v>
      </c>
      <c r="W227" s="148">
        <v>0</v>
      </c>
      <c r="X227" s="148">
        <v>12355799341</v>
      </c>
      <c r="Y227" s="150">
        <v>1</v>
      </c>
      <c r="Z227" s="148">
        <v>0</v>
      </c>
      <c r="AA227" s="148">
        <v>0</v>
      </c>
      <c r="AB227" s="150">
        <v>0</v>
      </c>
    </row>
    <row r="228" spans="1:28" ht="32.25" customHeight="1">
      <c r="A228" s="32" t="e">
        <v>#REF!</v>
      </c>
      <c r="B228" s="138" t="s">
        <v>715</v>
      </c>
      <c r="C228" s="139" t="s">
        <v>167</v>
      </c>
      <c r="D228" s="139">
        <v>4103</v>
      </c>
      <c r="E228" s="139" t="s">
        <v>172</v>
      </c>
      <c r="F228" s="139">
        <v>22</v>
      </c>
      <c r="G228" s="139" t="s">
        <v>175</v>
      </c>
      <c r="H228" s="139">
        <v>4103057</v>
      </c>
      <c r="I228" s="139"/>
      <c r="J228" s="139" t="s">
        <v>144</v>
      </c>
      <c r="K228" s="140" t="s">
        <v>29</v>
      </c>
      <c r="L228" s="140" t="s">
        <v>244</v>
      </c>
      <c r="M228" s="141">
        <v>102633231456</v>
      </c>
      <c r="N228" s="142">
        <v>0</v>
      </c>
      <c r="O228" s="142">
        <v>0</v>
      </c>
      <c r="P228" s="141">
        <v>202411169</v>
      </c>
      <c r="Q228" s="141">
        <v>4772206087</v>
      </c>
      <c r="R228" s="142">
        <v>0</v>
      </c>
      <c r="S228" s="141">
        <v>98063436538</v>
      </c>
      <c r="T228" s="141">
        <v>83143289670</v>
      </c>
      <c r="U228" s="141">
        <v>14920146868</v>
      </c>
      <c r="V228" s="143">
        <v>0.84785209049635557</v>
      </c>
      <c r="W228" s="141">
        <v>81020625848</v>
      </c>
      <c r="X228" s="141">
        <v>2122663822</v>
      </c>
      <c r="Y228" s="143">
        <v>2.5530188069596019E-2</v>
      </c>
      <c r="Z228" s="141">
        <v>80604557301</v>
      </c>
      <c r="AA228" s="141">
        <v>416068547</v>
      </c>
      <c r="AB228" s="724">
        <v>0.96946557708894654</v>
      </c>
    </row>
    <row r="229" spans="1:28" ht="24.95" customHeight="1">
      <c r="A229" s="32" t="e">
        <v>#REF!</v>
      </c>
      <c r="B229" s="144" t="s">
        <v>716</v>
      </c>
      <c r="C229" s="145" t="s">
        <v>167</v>
      </c>
      <c r="D229" s="145">
        <v>4103</v>
      </c>
      <c r="E229" s="145" t="s">
        <v>172</v>
      </c>
      <c r="F229" s="145">
        <v>22</v>
      </c>
      <c r="G229" s="145" t="s">
        <v>175</v>
      </c>
      <c r="H229" s="145" t="s">
        <v>221</v>
      </c>
      <c r="I229" s="145" t="s">
        <v>54</v>
      </c>
      <c r="J229" s="145" t="s">
        <v>144</v>
      </c>
      <c r="K229" s="146" t="s">
        <v>29</v>
      </c>
      <c r="L229" s="147" t="s">
        <v>178</v>
      </c>
      <c r="M229" s="148">
        <v>6561199369</v>
      </c>
      <c r="N229" s="148"/>
      <c r="O229" s="148"/>
      <c r="P229" s="148">
        <v>202411169</v>
      </c>
      <c r="Q229" s="148"/>
      <c r="R229" s="148"/>
      <c r="S229" s="148">
        <v>6763610538</v>
      </c>
      <c r="T229" s="148">
        <v>5668305670</v>
      </c>
      <c r="U229" s="148">
        <v>1095304868</v>
      </c>
      <c r="V229" s="150">
        <v>0.83805914579997653</v>
      </c>
      <c r="W229" s="148">
        <v>5013750848</v>
      </c>
      <c r="X229" s="148">
        <v>654554822</v>
      </c>
      <c r="Y229" s="150">
        <v>0.11547627458841682</v>
      </c>
      <c r="Z229" s="148">
        <v>4597682301</v>
      </c>
      <c r="AA229" s="148">
        <v>416068547</v>
      </c>
      <c r="AB229" s="150">
        <v>0.81112109485090633</v>
      </c>
    </row>
    <row r="230" spans="1:28" ht="24.95" customHeight="1">
      <c r="A230" s="32" t="e">
        <v>#REF!</v>
      </c>
      <c r="B230" s="144" t="s">
        <v>717</v>
      </c>
      <c r="C230" s="145" t="s">
        <v>167</v>
      </c>
      <c r="D230" s="145">
        <v>4103</v>
      </c>
      <c r="E230" s="145" t="s">
        <v>172</v>
      </c>
      <c r="F230" s="145">
        <v>22</v>
      </c>
      <c r="G230" s="145" t="s">
        <v>175</v>
      </c>
      <c r="H230" s="145" t="s">
        <v>221</v>
      </c>
      <c r="I230" s="145" t="s">
        <v>65</v>
      </c>
      <c r="J230" s="145" t="s">
        <v>144</v>
      </c>
      <c r="K230" s="146" t="s">
        <v>29</v>
      </c>
      <c r="L230" s="147" t="s">
        <v>127</v>
      </c>
      <c r="M230" s="148">
        <v>96072032087</v>
      </c>
      <c r="N230" s="148"/>
      <c r="O230" s="148"/>
      <c r="P230" s="148"/>
      <c r="Q230" s="148">
        <v>4772206087</v>
      </c>
      <c r="R230" s="148"/>
      <c r="S230" s="148">
        <v>91299826000</v>
      </c>
      <c r="T230" s="148">
        <v>77474984000</v>
      </c>
      <c r="U230" s="148">
        <v>13824842000</v>
      </c>
      <c r="V230" s="150">
        <v>0.84857756464946599</v>
      </c>
      <c r="W230" s="148">
        <v>76006875000</v>
      </c>
      <c r="X230" s="148">
        <v>1468109000</v>
      </c>
      <c r="Y230" s="150">
        <v>1.8949458576203126E-2</v>
      </c>
      <c r="Z230" s="148">
        <v>76006875000</v>
      </c>
      <c r="AA230" s="148">
        <v>0</v>
      </c>
      <c r="AB230" s="150">
        <v>0.98105054142379688</v>
      </c>
    </row>
    <row r="231" spans="1:28" ht="32.25" customHeight="1">
      <c r="A231" s="32" t="e">
        <v>#REF!</v>
      </c>
      <c r="B231" s="138" t="s">
        <v>718</v>
      </c>
      <c r="C231" s="139" t="s">
        <v>167</v>
      </c>
      <c r="D231" s="139">
        <v>4103</v>
      </c>
      <c r="E231" s="139" t="s">
        <v>172</v>
      </c>
      <c r="F231" s="139">
        <v>22</v>
      </c>
      <c r="G231" s="139" t="s">
        <v>175</v>
      </c>
      <c r="H231" s="139">
        <v>4103062</v>
      </c>
      <c r="I231" s="139"/>
      <c r="J231" s="139" t="s">
        <v>144</v>
      </c>
      <c r="K231" s="140" t="s">
        <v>29</v>
      </c>
      <c r="L231" s="140" t="s">
        <v>245</v>
      </c>
      <c r="M231" s="141">
        <v>11724968367</v>
      </c>
      <c r="N231" s="142">
        <v>0</v>
      </c>
      <c r="O231" s="142">
        <v>0</v>
      </c>
      <c r="P231" s="141">
        <v>1895241731</v>
      </c>
      <c r="Q231" s="141">
        <v>10018588452</v>
      </c>
      <c r="R231" s="142">
        <v>0</v>
      </c>
      <c r="S231" s="141">
        <v>3601621646</v>
      </c>
      <c r="T231" s="141">
        <v>2694477607</v>
      </c>
      <c r="U231" s="141">
        <v>907144039</v>
      </c>
      <c r="V231" s="143">
        <v>0.74812900183241515</v>
      </c>
      <c r="W231" s="141">
        <v>2694477607</v>
      </c>
      <c r="X231" s="142">
        <v>0</v>
      </c>
      <c r="Y231" s="143">
        <v>0</v>
      </c>
      <c r="Z231" s="141">
        <v>834406978</v>
      </c>
      <c r="AA231" s="141">
        <v>1860070629</v>
      </c>
      <c r="AB231" s="724">
        <v>0.30967300519859176</v>
      </c>
    </row>
    <row r="232" spans="1:28" ht="24.95" customHeight="1">
      <c r="A232" s="32" t="e">
        <v>#REF!</v>
      </c>
      <c r="B232" s="144" t="s">
        <v>719</v>
      </c>
      <c r="C232" s="145" t="s">
        <v>167</v>
      </c>
      <c r="D232" s="145">
        <v>4103</v>
      </c>
      <c r="E232" s="145" t="s">
        <v>172</v>
      </c>
      <c r="F232" s="145">
        <v>22</v>
      </c>
      <c r="G232" s="145" t="s">
        <v>175</v>
      </c>
      <c r="H232" s="145" t="s">
        <v>246</v>
      </c>
      <c r="I232" s="145" t="s">
        <v>54</v>
      </c>
      <c r="J232" s="145" t="s">
        <v>144</v>
      </c>
      <c r="K232" s="146" t="s">
        <v>29</v>
      </c>
      <c r="L232" s="147" t="s">
        <v>178</v>
      </c>
      <c r="M232" s="148">
        <v>1706379915</v>
      </c>
      <c r="N232" s="148"/>
      <c r="O232" s="148"/>
      <c r="P232" s="148">
        <v>1895241731</v>
      </c>
      <c r="Q232" s="148"/>
      <c r="R232" s="148"/>
      <c r="S232" s="148">
        <v>3601621646</v>
      </c>
      <c r="T232" s="148">
        <v>2694477607</v>
      </c>
      <c r="U232" s="148">
        <v>907144039</v>
      </c>
      <c r="V232" s="150">
        <v>0.74812900183241515</v>
      </c>
      <c r="W232" s="148">
        <v>2694477607</v>
      </c>
      <c r="X232" s="148">
        <v>0</v>
      </c>
      <c r="Y232" s="150">
        <v>0</v>
      </c>
      <c r="Z232" s="148">
        <v>834406978</v>
      </c>
      <c r="AA232" s="148">
        <v>1860070629</v>
      </c>
      <c r="AB232" s="150">
        <v>0.30967300519859176</v>
      </c>
    </row>
    <row r="233" spans="1:28" ht="24.95" customHeight="1">
      <c r="A233" s="32" t="e">
        <v>#REF!</v>
      </c>
      <c r="B233" s="144" t="s">
        <v>720</v>
      </c>
      <c r="C233" s="145" t="s">
        <v>167</v>
      </c>
      <c r="D233" s="145">
        <v>4103</v>
      </c>
      <c r="E233" s="145" t="s">
        <v>172</v>
      </c>
      <c r="F233" s="145">
        <v>22</v>
      </c>
      <c r="G233" s="145" t="s">
        <v>175</v>
      </c>
      <c r="H233" s="145" t="s">
        <v>246</v>
      </c>
      <c r="I233" s="145" t="s">
        <v>65</v>
      </c>
      <c r="J233" s="145" t="s">
        <v>144</v>
      </c>
      <c r="K233" s="146" t="s">
        <v>29</v>
      </c>
      <c r="L233" s="147" t="s">
        <v>127</v>
      </c>
      <c r="M233" s="148">
        <v>10018588452</v>
      </c>
      <c r="N233" s="148"/>
      <c r="O233" s="148"/>
      <c r="P233" s="148"/>
      <c r="Q233" s="148">
        <v>10018588452</v>
      </c>
      <c r="R233" s="148"/>
      <c r="S233" s="148">
        <v>0</v>
      </c>
      <c r="T233" s="148">
        <v>0</v>
      </c>
      <c r="U233" s="148">
        <v>0</v>
      </c>
      <c r="V233" s="150">
        <v>0</v>
      </c>
      <c r="W233" s="148">
        <v>0</v>
      </c>
      <c r="X233" s="148">
        <v>0</v>
      </c>
      <c r="Y233" s="150">
        <v>0</v>
      </c>
      <c r="Z233" s="148">
        <v>0</v>
      </c>
      <c r="AA233" s="148">
        <v>0</v>
      </c>
      <c r="AB233" s="150">
        <v>0</v>
      </c>
    </row>
    <row r="234" spans="1:28" ht="39.75" customHeight="1">
      <c r="A234" s="32"/>
      <c r="B234" s="132" t="s">
        <v>685</v>
      </c>
      <c r="C234" s="133" t="s">
        <v>167</v>
      </c>
      <c r="D234" s="133" t="s">
        <v>190</v>
      </c>
      <c r="E234" s="133" t="s">
        <v>172</v>
      </c>
      <c r="F234" s="133">
        <v>23</v>
      </c>
      <c r="G234" s="133"/>
      <c r="H234" s="133"/>
      <c r="I234" s="133"/>
      <c r="J234" s="133"/>
      <c r="K234" s="134"/>
      <c r="L234" s="134" t="s">
        <v>273</v>
      </c>
      <c r="M234" s="135">
        <v>1769368130080</v>
      </c>
      <c r="N234" s="136">
        <v>0</v>
      </c>
      <c r="O234" s="136">
        <v>0</v>
      </c>
      <c r="P234" s="135">
        <v>2000000000</v>
      </c>
      <c r="Q234" s="135">
        <v>2000000000</v>
      </c>
      <c r="R234" s="136">
        <v>0</v>
      </c>
      <c r="S234" s="135">
        <v>1769368130080</v>
      </c>
      <c r="T234" s="135">
        <v>1485691811911.3799</v>
      </c>
      <c r="U234" s="135">
        <v>283676318168.62</v>
      </c>
      <c r="V234" s="137">
        <v>0.83967365900515345</v>
      </c>
      <c r="W234" s="135">
        <v>1441002543255.4399</v>
      </c>
      <c r="X234" s="135">
        <v>44689268655.940002</v>
      </c>
      <c r="Y234" s="137">
        <v>3.0079770446096849E-2</v>
      </c>
      <c r="Z234" s="135">
        <v>1433651095855.4399</v>
      </c>
      <c r="AA234" s="135">
        <v>7351447400</v>
      </c>
      <c r="AB234" s="723">
        <v>0.96497206510885436</v>
      </c>
    </row>
    <row r="235" spans="1:28" ht="32.25" customHeight="1">
      <c r="A235" s="32"/>
      <c r="B235" s="138" t="s">
        <v>721</v>
      </c>
      <c r="C235" s="139" t="s">
        <v>167</v>
      </c>
      <c r="D235" s="139" t="s">
        <v>190</v>
      </c>
      <c r="E235" s="139" t="s">
        <v>172</v>
      </c>
      <c r="F235" s="139">
        <v>23</v>
      </c>
      <c r="G235" s="139" t="s">
        <v>175</v>
      </c>
      <c r="H235" s="139">
        <v>4103065</v>
      </c>
      <c r="I235" s="139"/>
      <c r="J235" s="139">
        <v>11</v>
      </c>
      <c r="K235" s="140" t="s">
        <v>29</v>
      </c>
      <c r="L235" s="140" t="s">
        <v>248</v>
      </c>
      <c r="M235" s="141">
        <v>1769368130080</v>
      </c>
      <c r="N235" s="142">
        <v>0</v>
      </c>
      <c r="O235" s="142">
        <v>0</v>
      </c>
      <c r="P235" s="141">
        <v>2000000000</v>
      </c>
      <c r="Q235" s="141">
        <v>2000000000</v>
      </c>
      <c r="R235" s="142">
        <v>0</v>
      </c>
      <c r="S235" s="141">
        <v>1769368130080</v>
      </c>
      <c r="T235" s="141">
        <v>1485691811911.3799</v>
      </c>
      <c r="U235" s="141">
        <v>283676318168.62</v>
      </c>
      <c r="V235" s="143">
        <v>0.83967365900515345</v>
      </c>
      <c r="W235" s="141">
        <v>1441002543255.4399</v>
      </c>
      <c r="X235" s="141">
        <v>44689268655.940002</v>
      </c>
      <c r="Y235" s="143">
        <v>3.0079770446096849E-2</v>
      </c>
      <c r="Z235" s="141">
        <v>1433651095855.4399</v>
      </c>
      <c r="AA235" s="141">
        <v>7351447400</v>
      </c>
      <c r="AB235" s="724">
        <v>0.96497206510885436</v>
      </c>
    </row>
    <row r="236" spans="1:28" ht="24.95" customHeight="1">
      <c r="A236" s="32"/>
      <c r="B236" s="144" t="s">
        <v>722</v>
      </c>
      <c r="C236" s="145" t="s">
        <v>167</v>
      </c>
      <c r="D236" s="145" t="s">
        <v>190</v>
      </c>
      <c r="E236" s="145" t="s">
        <v>172</v>
      </c>
      <c r="F236" s="145">
        <v>23</v>
      </c>
      <c r="G236" s="145" t="s">
        <v>175</v>
      </c>
      <c r="H236" s="145">
        <v>4103065</v>
      </c>
      <c r="I236" s="145" t="s">
        <v>54</v>
      </c>
      <c r="J236" s="145">
        <v>11</v>
      </c>
      <c r="K236" s="146" t="s">
        <v>29</v>
      </c>
      <c r="L236" s="147" t="s">
        <v>178</v>
      </c>
      <c r="M236" s="148">
        <v>19400000000</v>
      </c>
      <c r="N236" s="148"/>
      <c r="O236" s="148"/>
      <c r="P236" s="148">
        <v>2000000000</v>
      </c>
      <c r="Q236" s="148"/>
      <c r="R236" s="148"/>
      <c r="S236" s="148">
        <v>21400000000</v>
      </c>
      <c r="T236" s="148">
        <v>13711518777.09</v>
      </c>
      <c r="U236" s="148">
        <v>7688481222.9099998</v>
      </c>
      <c r="V236" s="150">
        <v>0.64072517649953276</v>
      </c>
      <c r="W236" s="148">
        <v>2117652071.3900001</v>
      </c>
      <c r="X236" s="148">
        <v>11593866705.700001</v>
      </c>
      <c r="Y236" s="150">
        <v>0.84555670995919907</v>
      </c>
      <c r="Z236" s="148">
        <v>2117652071.3900001</v>
      </c>
      <c r="AA236" s="148">
        <v>0</v>
      </c>
      <c r="AB236" s="150">
        <v>0.15444329004080101</v>
      </c>
    </row>
    <row r="237" spans="1:28" ht="24.95" customHeight="1">
      <c r="A237" s="32"/>
      <c r="B237" s="144" t="s">
        <v>722</v>
      </c>
      <c r="C237" s="145" t="s">
        <v>167</v>
      </c>
      <c r="D237" s="145" t="s">
        <v>190</v>
      </c>
      <c r="E237" s="145" t="s">
        <v>172</v>
      </c>
      <c r="F237" s="145">
        <v>23</v>
      </c>
      <c r="G237" s="145" t="s">
        <v>175</v>
      </c>
      <c r="H237" s="145">
        <v>4103065</v>
      </c>
      <c r="I237" s="145" t="s">
        <v>54</v>
      </c>
      <c r="J237" s="145">
        <v>16</v>
      </c>
      <c r="K237" s="146" t="s">
        <v>156</v>
      </c>
      <c r="L237" s="147" t="s">
        <v>178</v>
      </c>
      <c r="M237" s="148">
        <v>68256379176</v>
      </c>
      <c r="N237" s="148"/>
      <c r="O237" s="148"/>
      <c r="P237" s="148"/>
      <c r="Q237" s="148"/>
      <c r="R237" s="148"/>
      <c r="S237" s="148">
        <v>68256379176</v>
      </c>
      <c r="T237" s="148">
        <v>68045733134.290001</v>
      </c>
      <c r="U237" s="148">
        <v>210646041.70999908</v>
      </c>
      <c r="V237" s="150">
        <v>0.99691389956143373</v>
      </c>
      <c r="W237" s="148">
        <v>47261806184.050003</v>
      </c>
      <c r="X237" s="148">
        <v>20783926950.239998</v>
      </c>
      <c r="Y237" s="150">
        <v>0.30544056170608647</v>
      </c>
      <c r="Z237" s="148">
        <v>39910358784.050003</v>
      </c>
      <c r="AA237" s="148">
        <v>7351447400</v>
      </c>
      <c r="AB237" s="150">
        <v>0.5865225774742685</v>
      </c>
    </row>
    <row r="238" spans="1:28" ht="24.95" customHeight="1">
      <c r="A238" s="32"/>
      <c r="B238" s="144" t="s">
        <v>723</v>
      </c>
      <c r="C238" s="145" t="s">
        <v>167</v>
      </c>
      <c r="D238" s="145" t="s">
        <v>190</v>
      </c>
      <c r="E238" s="145" t="s">
        <v>172</v>
      </c>
      <c r="F238" s="145">
        <v>23</v>
      </c>
      <c r="G238" s="145" t="s">
        <v>175</v>
      </c>
      <c r="H238" s="145">
        <v>4103065</v>
      </c>
      <c r="I238" s="145" t="s">
        <v>65</v>
      </c>
      <c r="J238" s="145">
        <v>11</v>
      </c>
      <c r="K238" s="146" t="s">
        <v>29</v>
      </c>
      <c r="L238" s="147" t="s">
        <v>127</v>
      </c>
      <c r="M238" s="148">
        <v>368600000000</v>
      </c>
      <c r="N238" s="148"/>
      <c r="O238" s="148"/>
      <c r="P238" s="148"/>
      <c r="Q238" s="148">
        <v>2000000000</v>
      </c>
      <c r="R238" s="148"/>
      <c r="S238" s="148">
        <v>366600000000</v>
      </c>
      <c r="T238" s="148">
        <v>325084400000</v>
      </c>
      <c r="U238" s="148">
        <v>41515600000</v>
      </c>
      <c r="V238" s="150">
        <v>0.8867550463720677</v>
      </c>
      <c r="W238" s="148">
        <v>325084400000</v>
      </c>
      <c r="X238" s="148">
        <v>0</v>
      </c>
      <c r="Y238" s="150">
        <v>0</v>
      </c>
      <c r="Z238" s="148">
        <v>325084400000</v>
      </c>
      <c r="AA238" s="148">
        <v>0</v>
      </c>
      <c r="AB238" s="150">
        <v>1</v>
      </c>
    </row>
    <row r="239" spans="1:28" ht="24.95" customHeight="1">
      <c r="A239" s="32"/>
      <c r="B239" s="144" t="s">
        <v>723</v>
      </c>
      <c r="C239" s="145" t="s">
        <v>167</v>
      </c>
      <c r="D239" s="145" t="s">
        <v>190</v>
      </c>
      <c r="E239" s="145" t="s">
        <v>172</v>
      </c>
      <c r="F239" s="145">
        <v>23</v>
      </c>
      <c r="G239" s="145" t="s">
        <v>175</v>
      </c>
      <c r="H239" s="145">
        <v>4103065</v>
      </c>
      <c r="I239" s="145" t="s">
        <v>65</v>
      </c>
      <c r="J239" s="145">
        <v>16</v>
      </c>
      <c r="K239" s="146" t="s">
        <v>156</v>
      </c>
      <c r="L239" s="147" t="s">
        <v>127</v>
      </c>
      <c r="M239" s="148">
        <v>1313111750904</v>
      </c>
      <c r="N239" s="148"/>
      <c r="O239" s="148"/>
      <c r="P239" s="148"/>
      <c r="Q239" s="148"/>
      <c r="R239" s="148"/>
      <c r="S239" s="148">
        <v>1313111750904</v>
      </c>
      <c r="T239" s="148">
        <v>1078850160000</v>
      </c>
      <c r="U239" s="148">
        <v>234261590904</v>
      </c>
      <c r="V239" s="150">
        <v>0.82159813074346133</v>
      </c>
      <c r="W239" s="148">
        <v>1066538685000</v>
      </c>
      <c r="X239" s="148">
        <v>12311475000</v>
      </c>
      <c r="Y239" s="150">
        <v>1.141166350663562E-2</v>
      </c>
      <c r="Z239" s="148">
        <v>1066538685000</v>
      </c>
      <c r="AA239" s="148">
        <v>0</v>
      </c>
      <c r="AB239" s="150">
        <v>0.98858833649336442</v>
      </c>
    </row>
    <row r="240" spans="1:28" ht="36.75" customHeight="1">
      <c r="A240" s="32" t="e">
        <v>#REF!</v>
      </c>
      <c r="B240" s="124" t="s">
        <v>544</v>
      </c>
      <c r="C240" s="123" t="s">
        <v>167</v>
      </c>
      <c r="D240" s="123">
        <v>4199</v>
      </c>
      <c r="E240" s="123"/>
      <c r="F240" s="123"/>
      <c r="G240" s="123"/>
      <c r="H240" s="123"/>
      <c r="I240" s="123"/>
      <c r="J240" s="124"/>
      <c r="K240" s="124"/>
      <c r="L240" s="124" t="s">
        <v>250</v>
      </c>
      <c r="M240" s="125">
        <v>3226548466</v>
      </c>
      <c r="N240" s="719">
        <v>0</v>
      </c>
      <c r="O240" s="719">
        <v>0</v>
      </c>
      <c r="P240" s="719">
        <v>0</v>
      </c>
      <c r="Q240" s="719">
        <v>0</v>
      </c>
      <c r="R240" s="719">
        <v>0</v>
      </c>
      <c r="S240" s="125">
        <v>3226548466</v>
      </c>
      <c r="T240" s="125">
        <v>2586383534.5500002</v>
      </c>
      <c r="U240" s="125">
        <v>640164931.44999981</v>
      </c>
      <c r="V240" s="126">
        <v>0.80159450936634413</v>
      </c>
      <c r="W240" s="125">
        <v>2586383534.5500002</v>
      </c>
      <c r="X240" s="125">
        <v>0</v>
      </c>
      <c r="Y240" s="126">
        <v>0</v>
      </c>
      <c r="Z240" s="125">
        <v>2586383534.5500002</v>
      </c>
      <c r="AA240" s="125">
        <v>0</v>
      </c>
      <c r="AB240" s="720">
        <v>1</v>
      </c>
    </row>
    <row r="241" spans="1:51" ht="24" customHeight="1">
      <c r="A241" s="32" t="e">
        <v>#REF!</v>
      </c>
      <c r="B241" s="129" t="s">
        <v>300</v>
      </c>
      <c r="C241" s="128" t="s">
        <v>167</v>
      </c>
      <c r="D241" s="128">
        <v>4199</v>
      </c>
      <c r="E241" s="128">
        <v>1500</v>
      </c>
      <c r="F241" s="128"/>
      <c r="G241" s="128"/>
      <c r="H241" s="128"/>
      <c r="I241" s="128"/>
      <c r="J241" s="129"/>
      <c r="K241" s="129"/>
      <c r="L241" s="129" t="s">
        <v>170</v>
      </c>
      <c r="M241" s="130">
        <v>3226548466</v>
      </c>
      <c r="N241" s="721">
        <v>0</v>
      </c>
      <c r="O241" s="721">
        <v>0</v>
      </c>
      <c r="P241" s="721">
        <v>0</v>
      </c>
      <c r="Q241" s="721">
        <v>0</v>
      </c>
      <c r="R241" s="721">
        <v>0</v>
      </c>
      <c r="S241" s="130">
        <v>3226548466</v>
      </c>
      <c r="T241" s="130">
        <v>2586383534.5500002</v>
      </c>
      <c r="U241" s="130">
        <v>640164931.44999981</v>
      </c>
      <c r="V241" s="131">
        <v>0.80159450936634413</v>
      </c>
      <c r="W241" s="130">
        <v>2586383534.5500002</v>
      </c>
      <c r="X241" s="130">
        <v>0</v>
      </c>
      <c r="Y241" s="131">
        <v>0</v>
      </c>
      <c r="Z241" s="130">
        <v>2586383534.5500002</v>
      </c>
      <c r="AA241" s="130">
        <v>0</v>
      </c>
      <c r="AB241" s="722">
        <v>1</v>
      </c>
    </row>
    <row r="242" spans="1:51" ht="37.5" customHeight="1">
      <c r="A242" s="32" t="e">
        <v>#REF!</v>
      </c>
      <c r="B242" s="132" t="s">
        <v>547</v>
      </c>
      <c r="C242" s="133" t="s">
        <v>167</v>
      </c>
      <c r="D242" s="133" t="s">
        <v>251</v>
      </c>
      <c r="E242" s="133" t="s">
        <v>172</v>
      </c>
      <c r="F242" s="133" t="s">
        <v>252</v>
      </c>
      <c r="G242" s="133"/>
      <c r="H242" s="133"/>
      <c r="I242" s="133"/>
      <c r="J242" s="133"/>
      <c r="K242" s="134"/>
      <c r="L242" s="134" t="s">
        <v>274</v>
      </c>
      <c r="M242" s="135">
        <v>3226548466</v>
      </c>
      <c r="N242" s="136">
        <v>0</v>
      </c>
      <c r="O242" s="136">
        <v>0</v>
      </c>
      <c r="P242" s="136">
        <v>0</v>
      </c>
      <c r="Q242" s="136">
        <v>0</v>
      </c>
      <c r="R242" s="136">
        <v>0</v>
      </c>
      <c r="S242" s="135">
        <v>3226548466</v>
      </c>
      <c r="T242" s="135">
        <v>2586383534.5500002</v>
      </c>
      <c r="U242" s="135">
        <v>640164931.44999981</v>
      </c>
      <c r="V242" s="137">
        <v>0.80159450936634413</v>
      </c>
      <c r="W242" s="135">
        <v>2586383534.5500002</v>
      </c>
      <c r="X242" s="135">
        <v>0</v>
      </c>
      <c r="Y242" s="137">
        <v>0</v>
      </c>
      <c r="Z242" s="135">
        <v>2586383534.5500002</v>
      </c>
      <c r="AA242" s="135">
        <v>0</v>
      </c>
      <c r="AB242" s="723">
        <v>1</v>
      </c>
    </row>
    <row r="243" spans="1:51" ht="32.25" customHeight="1">
      <c r="A243" s="32" t="e">
        <v>#REF!</v>
      </c>
      <c r="B243" s="138" t="s">
        <v>548</v>
      </c>
      <c r="C243" s="139" t="s">
        <v>167</v>
      </c>
      <c r="D243" s="139" t="s">
        <v>251</v>
      </c>
      <c r="E243" s="139" t="s">
        <v>172</v>
      </c>
      <c r="F243" s="139" t="s">
        <v>252</v>
      </c>
      <c r="G243" s="139" t="s">
        <v>175</v>
      </c>
      <c r="H243" s="139" t="s">
        <v>254</v>
      </c>
      <c r="I243" s="139"/>
      <c r="J243" s="139">
        <v>11</v>
      </c>
      <c r="K243" s="140" t="s">
        <v>29</v>
      </c>
      <c r="L243" s="140" t="s">
        <v>255</v>
      </c>
      <c r="M243" s="141">
        <v>3226548466</v>
      </c>
      <c r="N243" s="142">
        <v>0</v>
      </c>
      <c r="O243" s="142">
        <v>0</v>
      </c>
      <c r="P243" s="142">
        <v>0</v>
      </c>
      <c r="Q243" s="142">
        <v>0</v>
      </c>
      <c r="R243" s="142">
        <v>0</v>
      </c>
      <c r="S243" s="141">
        <v>3226548466</v>
      </c>
      <c r="T243" s="141">
        <v>2586383534.5500002</v>
      </c>
      <c r="U243" s="141">
        <v>640164931.44999981</v>
      </c>
      <c r="V243" s="143">
        <v>0.80159450936634413</v>
      </c>
      <c r="W243" s="141">
        <v>2586383534.5500002</v>
      </c>
      <c r="X243" s="141">
        <v>0</v>
      </c>
      <c r="Y243" s="143">
        <v>0</v>
      </c>
      <c r="Z243" s="141">
        <v>2586383534.5500002</v>
      </c>
      <c r="AA243" s="141">
        <v>0</v>
      </c>
      <c r="AB243" s="724">
        <v>1</v>
      </c>
    </row>
    <row r="244" spans="1:51" ht="24.95" customHeight="1">
      <c r="A244" s="32" t="e">
        <v>#REF!</v>
      </c>
      <c r="B244" s="144" t="s">
        <v>549</v>
      </c>
      <c r="C244" s="145" t="s">
        <v>167</v>
      </c>
      <c r="D244" s="145" t="s">
        <v>251</v>
      </c>
      <c r="E244" s="145" t="s">
        <v>172</v>
      </c>
      <c r="F244" s="145" t="s">
        <v>252</v>
      </c>
      <c r="G244" s="145" t="s">
        <v>175</v>
      </c>
      <c r="H244" s="145" t="s">
        <v>254</v>
      </c>
      <c r="I244" s="145" t="s">
        <v>54</v>
      </c>
      <c r="J244" s="145">
        <v>11</v>
      </c>
      <c r="K244" s="146" t="s">
        <v>29</v>
      </c>
      <c r="L244" s="147" t="s">
        <v>178</v>
      </c>
      <c r="M244" s="148">
        <v>3226548466</v>
      </c>
      <c r="N244" s="148"/>
      <c r="O244" s="148"/>
      <c r="P244" s="148"/>
      <c r="Q244" s="148"/>
      <c r="R244" s="148"/>
      <c r="S244" s="148">
        <v>3226548466</v>
      </c>
      <c r="T244" s="148">
        <v>2586383534.5500002</v>
      </c>
      <c r="U244" s="148">
        <v>640164931.44999981</v>
      </c>
      <c r="V244" s="150">
        <v>0.80159450936634413</v>
      </c>
      <c r="W244" s="148">
        <v>2586383534.5500002</v>
      </c>
      <c r="X244" s="148">
        <v>0</v>
      </c>
      <c r="Y244" s="150">
        <v>0</v>
      </c>
      <c r="Z244" s="148">
        <v>2586383534.5500002</v>
      </c>
      <c r="AA244" s="148">
        <v>0</v>
      </c>
      <c r="AB244" s="150">
        <v>1</v>
      </c>
    </row>
    <row r="245" spans="1:51" ht="35.1" customHeight="1">
      <c r="A245" s="32"/>
      <c r="B245" s="118"/>
      <c r="C245" s="118"/>
      <c r="D245" s="119"/>
      <c r="E245" s="119"/>
      <c r="F245" s="119"/>
      <c r="G245" s="119"/>
      <c r="H245" s="119"/>
      <c r="I245" s="119"/>
      <c r="J245" s="119"/>
      <c r="K245" s="119"/>
      <c r="L245" s="119" t="s">
        <v>256</v>
      </c>
      <c r="M245" s="120">
        <v>6409808633098</v>
      </c>
      <c r="N245" s="120">
        <v>6045796693840</v>
      </c>
      <c r="O245" s="717">
        <v>0</v>
      </c>
      <c r="P245" s="120">
        <v>130638544561.66</v>
      </c>
      <c r="Q245" s="120">
        <v>130638544561.66</v>
      </c>
      <c r="R245" s="120">
        <v>58907903075</v>
      </c>
      <c r="S245" s="120">
        <v>12396697423863</v>
      </c>
      <c r="T245" s="120">
        <v>10699707939954.02</v>
      </c>
      <c r="U245" s="120">
        <v>1696989483908.9802</v>
      </c>
      <c r="V245" s="121">
        <v>0.86310955039990223</v>
      </c>
      <c r="W245" s="120">
        <v>10027234246201.141</v>
      </c>
      <c r="X245" s="120">
        <v>672473693752.88</v>
      </c>
      <c r="Y245" s="121">
        <v>6.2849724266003645E-2</v>
      </c>
      <c r="Z245" s="120">
        <v>9670331368627.4102</v>
      </c>
      <c r="AA245" s="120">
        <v>356902877573.72998</v>
      </c>
      <c r="AB245" s="718">
        <v>0.90379395614315872</v>
      </c>
    </row>
    <row r="246" spans="1:51" s="90" customFormat="1" ht="16.5">
      <c r="A246" s="32"/>
      <c r="B246" s="32"/>
      <c r="C246" s="82"/>
      <c r="D246" s="82"/>
      <c r="E246" s="82"/>
      <c r="F246" s="82"/>
      <c r="G246" s="82"/>
      <c r="H246" s="83"/>
      <c r="I246" s="84"/>
      <c r="J246" s="84"/>
      <c r="K246" s="85"/>
      <c r="L246" s="84"/>
      <c r="M246" s="86"/>
      <c r="N246" s="86"/>
      <c r="O246" s="86"/>
      <c r="P246" s="86"/>
      <c r="Q246" s="86"/>
      <c r="R246" s="86"/>
      <c r="S246" s="86"/>
      <c r="T246" s="86"/>
      <c r="U246" s="86"/>
      <c r="V246" s="87"/>
      <c r="W246" s="86"/>
      <c r="X246" s="86"/>
      <c r="Y246" s="87"/>
      <c r="Z246" s="86"/>
      <c r="AA246" s="86"/>
      <c r="AB246" s="89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</row>
    <row r="247" spans="1:51" s="8" customFormat="1" ht="16.5">
      <c r="A247" s="32" t="e">
        <v>#REF!</v>
      </c>
      <c r="B247" s="32"/>
      <c r="C247" s="91"/>
      <c r="D247" s="91"/>
      <c r="E247" s="91"/>
      <c r="F247" s="91"/>
      <c r="G247" s="91"/>
      <c r="H247" s="92"/>
      <c r="I247" s="93"/>
      <c r="J247" s="93"/>
      <c r="K247" s="94"/>
      <c r="L247" s="93"/>
      <c r="M247" s="95">
        <v>6409808633098</v>
      </c>
      <c r="N247" s="95">
        <v>6045796693840</v>
      </c>
      <c r="O247" s="95"/>
      <c r="P247" s="95">
        <v>130638544561.66</v>
      </c>
      <c r="Q247" s="95">
        <v>130638544561.66</v>
      </c>
      <c r="R247" s="95">
        <v>58907903075</v>
      </c>
      <c r="S247" s="95">
        <v>12396697423863</v>
      </c>
      <c r="T247" s="95">
        <v>10699707939954.02</v>
      </c>
      <c r="U247" s="95">
        <v>1696989483908.9805</v>
      </c>
      <c r="V247" s="361">
        <v>0.86310955039990223</v>
      </c>
      <c r="W247" s="95">
        <v>10027234246201.141</v>
      </c>
      <c r="X247" s="95">
        <v>672473693752.87891</v>
      </c>
      <c r="Y247" s="361">
        <v>6.2849724266003645E-2</v>
      </c>
      <c r="Z247" s="95">
        <v>9670331368627.4102</v>
      </c>
      <c r="AA247" s="95">
        <v>356902877573.73047</v>
      </c>
      <c r="AB247" s="361">
        <v>0.90379395614315872</v>
      </c>
    </row>
    <row r="248" spans="1:51" s="8" customFormat="1" ht="16.5">
      <c r="A248" s="32"/>
      <c r="B248" s="32"/>
      <c r="C248" s="94"/>
      <c r="D248" s="93"/>
      <c r="E248" s="93"/>
      <c r="F248" s="93"/>
      <c r="G248" s="93"/>
      <c r="H248" s="93"/>
      <c r="I248" s="93"/>
      <c r="J248" s="93"/>
      <c r="K248" s="94"/>
      <c r="L248" s="97"/>
      <c r="M248" s="362">
        <v>0</v>
      </c>
      <c r="N248" s="362">
        <v>0</v>
      </c>
      <c r="O248" s="731"/>
      <c r="P248" s="362">
        <v>0</v>
      </c>
      <c r="Q248" s="362">
        <v>0</v>
      </c>
      <c r="R248" s="362">
        <v>0</v>
      </c>
      <c r="S248" s="362">
        <v>0</v>
      </c>
      <c r="T248" s="362">
        <v>0</v>
      </c>
      <c r="U248" s="362">
        <v>0</v>
      </c>
      <c r="V248" s="363"/>
      <c r="W248" s="362">
        <v>0</v>
      </c>
      <c r="X248" s="362">
        <v>1.0986328125E-3</v>
      </c>
      <c r="Y248" s="363"/>
      <c r="Z248" s="362">
        <v>0</v>
      </c>
      <c r="AA248" s="362">
        <v>-4.8828125E-4</v>
      </c>
      <c r="AB248" s="363"/>
    </row>
    <row r="249" spans="1:51" s="374" customFormat="1" ht="16.5">
      <c r="A249" s="369"/>
      <c r="B249" s="375"/>
      <c r="C249" s="370"/>
      <c r="D249" s="371"/>
      <c r="E249" s="371"/>
      <c r="F249" s="371"/>
      <c r="G249" s="371"/>
      <c r="H249" s="371"/>
      <c r="I249" s="371"/>
      <c r="J249" s="371"/>
      <c r="K249" s="370"/>
      <c r="L249" s="86"/>
      <c r="M249" s="359"/>
      <c r="N249" s="359"/>
      <c r="O249" s="359"/>
      <c r="P249" s="359"/>
      <c r="Q249" s="359"/>
      <c r="R249" s="359"/>
      <c r="S249" s="359"/>
      <c r="T249" s="359"/>
      <c r="U249" s="359"/>
      <c r="V249" s="372"/>
      <c r="W249" s="359"/>
      <c r="X249" s="359"/>
      <c r="Y249" s="372"/>
      <c r="Z249" s="359"/>
      <c r="AA249" s="359"/>
      <c r="AB249" s="37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</row>
    <row r="250" spans="1:51" ht="18">
      <c r="A250" s="30"/>
      <c r="B250" s="31"/>
      <c r="C250" s="312"/>
      <c r="D250" s="317"/>
      <c r="E250" s="312"/>
      <c r="F250" s="312"/>
      <c r="G250" s="312"/>
      <c r="H250" s="312"/>
      <c r="I250" s="312"/>
      <c r="J250" s="312"/>
      <c r="K250" s="317"/>
      <c r="L250" s="312"/>
      <c r="M250" s="335"/>
      <c r="N250" s="364"/>
      <c r="O250" s="332"/>
      <c r="P250" s="332"/>
      <c r="Q250" s="633"/>
      <c r="R250" s="633"/>
      <c r="S250" s="359"/>
      <c r="T250" s="332"/>
      <c r="U250" s="332"/>
      <c r="V250" s="333"/>
      <c r="W250" s="332"/>
      <c r="X250" s="332"/>
      <c r="Y250" s="333"/>
      <c r="Z250" s="332"/>
      <c r="AA250" s="332"/>
      <c r="AB250" s="333"/>
    </row>
    <row r="251" spans="1:51" ht="18">
      <c r="A251" s="30"/>
      <c r="B251" s="31"/>
      <c r="C251" s="312"/>
      <c r="D251" s="317"/>
      <c r="E251" s="312"/>
      <c r="F251" s="312"/>
      <c r="G251" s="312"/>
      <c r="H251" s="312"/>
      <c r="I251" s="312"/>
      <c r="J251" s="312"/>
      <c r="K251" s="317"/>
      <c r="L251" s="312"/>
      <c r="M251" s="332"/>
      <c r="N251" s="632"/>
      <c r="O251" s="332"/>
      <c r="P251" s="359"/>
      <c r="Q251" s="633"/>
      <c r="R251" s="633"/>
      <c r="S251" s="332"/>
      <c r="T251" s="332"/>
      <c r="U251" s="332"/>
      <c r="V251" s="333"/>
      <c r="W251" s="332"/>
      <c r="X251" s="332"/>
      <c r="Y251" s="333"/>
      <c r="Z251" s="332"/>
      <c r="AA251" s="332"/>
      <c r="AB251" s="333"/>
    </row>
    <row r="252" spans="1:51" ht="18">
      <c r="A252" s="1"/>
      <c r="B252" s="2"/>
      <c r="C252" s="312"/>
      <c r="D252" s="312"/>
      <c r="E252" s="312"/>
      <c r="F252" s="312"/>
      <c r="G252" s="312"/>
      <c r="H252" s="312"/>
      <c r="I252" s="312"/>
      <c r="J252" s="312"/>
      <c r="K252" s="317"/>
      <c r="L252" s="312"/>
      <c r="M252" s="332"/>
      <c r="N252" s="632"/>
      <c r="O252" s="332"/>
      <c r="P252" s="332"/>
      <c r="Q252" s="332"/>
      <c r="R252" s="332"/>
      <c r="S252" s="332"/>
      <c r="T252" s="332"/>
      <c r="U252" s="332"/>
      <c r="V252" s="333"/>
      <c r="W252" s="332"/>
      <c r="X252" s="631"/>
      <c r="Y252" s="333"/>
      <c r="Z252" s="332"/>
      <c r="AA252" s="332"/>
      <c r="AB252" s="333"/>
      <c r="AC252" s="315"/>
    </row>
    <row r="253" spans="1:51" ht="30">
      <c r="A253" s="1"/>
      <c r="B253" s="2"/>
      <c r="C253" s="318"/>
      <c r="D253" s="318"/>
      <c r="E253" s="318"/>
      <c r="F253" s="318"/>
      <c r="G253" s="318"/>
      <c r="H253" s="318"/>
      <c r="I253" s="312"/>
      <c r="J253" s="312"/>
      <c r="K253" s="317"/>
      <c r="L253" s="336" t="s">
        <v>738</v>
      </c>
      <c r="M253" s="628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20"/>
      <c r="Z253" s="376"/>
      <c r="AA253" s="319"/>
      <c r="AB253" s="319"/>
    </row>
    <row r="254" spans="1:51" ht="30">
      <c r="A254" s="1"/>
      <c r="B254" s="2"/>
      <c r="C254" s="321"/>
      <c r="D254" s="322"/>
      <c r="E254" s="322"/>
      <c r="F254" s="322"/>
      <c r="G254" s="322"/>
      <c r="H254" s="322"/>
      <c r="I254" s="322"/>
      <c r="J254" s="322"/>
      <c r="K254" s="321"/>
      <c r="L254" s="337" t="s">
        <v>739</v>
      </c>
      <c r="M254" s="628"/>
      <c r="O254" s="323"/>
      <c r="P254" s="323"/>
      <c r="Q254" s="323"/>
      <c r="R254" s="323"/>
      <c r="S254" s="360"/>
      <c r="T254" s="323"/>
      <c r="U254" s="323"/>
      <c r="V254" s="323"/>
      <c r="W254" s="323"/>
      <c r="X254" s="323"/>
      <c r="Y254" s="324"/>
      <c r="Z254" s="323"/>
      <c r="AA254" s="323"/>
      <c r="AB254" s="323"/>
    </row>
    <row r="255" spans="1:51" ht="30">
      <c r="A255" s="325"/>
      <c r="B255" s="313"/>
      <c r="C255" s="308"/>
      <c r="D255" s="308"/>
      <c r="E255" s="308"/>
      <c r="F255" s="308"/>
      <c r="G255" s="308"/>
      <c r="H255" s="308"/>
      <c r="I255" s="308"/>
      <c r="J255" s="308"/>
      <c r="K255" s="336"/>
      <c r="L255" s="308"/>
      <c r="M255" s="628"/>
      <c r="O255" s="309"/>
      <c r="P255" s="309"/>
      <c r="Q255" s="630"/>
      <c r="R255" s="630"/>
      <c r="S255" s="334"/>
      <c r="T255" s="334"/>
      <c r="U255" s="629"/>
      <c r="V255" s="329"/>
      <c r="W255" s="329"/>
      <c r="X255" s="329"/>
      <c r="Y255" s="329"/>
    </row>
    <row r="256" spans="1:51" ht="16.5">
      <c r="M256" s="628"/>
      <c r="N256" s="628"/>
    </row>
    <row r="257" spans="13:14" ht="16.5">
      <c r="M257" s="628"/>
      <c r="N257" s="628"/>
    </row>
    <row r="258" spans="13:14" ht="16.5">
      <c r="M258" s="628"/>
    </row>
    <row r="259" spans="13:14" ht="16.5">
      <c r="M259" s="628"/>
    </row>
    <row r="260" spans="13:14" ht="16.5">
      <c r="M260" s="628"/>
    </row>
  </sheetData>
  <sheetProtection selectLockedCells="1" selectUnlockedCells="1"/>
  <autoFilter ref="A6:AB248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380D0-40FF-4D5D-996C-869A688D200C}">
  <sheetPr>
    <tabColor theme="7" tint="0.59999389629810485"/>
    <pageSetUpPr fitToPage="1"/>
  </sheetPr>
  <dimension ref="A1:BB260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57.28515625" style="9" customWidth="1"/>
    <col min="13" max="13" width="22.28515625" style="13" customWidth="1"/>
    <col min="14" max="14" width="19.85546875" style="13" bestFit="1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bestFit="1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0.7109375" style="13" bestFit="1" customWidth="1"/>
    <col min="24" max="24" width="18.2851562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30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25.5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924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24.7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912</v>
      </c>
      <c r="Y6" s="116" t="s">
        <v>879</v>
      </c>
      <c r="Z6" s="114" t="s">
        <v>18</v>
      </c>
      <c r="AA6" s="114" t="s">
        <v>913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179300000000</v>
      </c>
      <c r="N8" s="120">
        <v>5915796693840</v>
      </c>
      <c r="O8" s="717">
        <v>0</v>
      </c>
      <c r="P8" s="120">
        <v>25337106873.130001</v>
      </c>
      <c r="Q8" s="120">
        <v>25337106873.130001</v>
      </c>
      <c r="R8" s="120">
        <v>13784531058</v>
      </c>
      <c r="S8" s="120">
        <v>6081312162782</v>
      </c>
      <c r="T8" s="120">
        <v>5564319856138.3506</v>
      </c>
      <c r="U8" s="120">
        <v>516992306643.64984</v>
      </c>
      <c r="V8" s="121">
        <v>0.9149867178653196</v>
      </c>
      <c r="W8" s="120">
        <v>5547161357056.2305</v>
      </c>
      <c r="X8" s="120">
        <v>17158499082.120001</v>
      </c>
      <c r="Y8" s="121">
        <v>3.083665124532944E-3</v>
      </c>
      <c r="Z8" s="120">
        <v>5546886955016.2305</v>
      </c>
      <c r="AA8" s="120">
        <v>274402040</v>
      </c>
      <c r="AB8" s="718">
        <v>0.99686702030565533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105148000000</v>
      </c>
      <c r="N9" s="719">
        <v>0</v>
      </c>
      <c r="O9" s="719">
        <v>0</v>
      </c>
      <c r="P9" s="125">
        <v>3935000000</v>
      </c>
      <c r="Q9" s="125">
        <v>3935000000</v>
      </c>
      <c r="R9" s="719">
        <v>0</v>
      </c>
      <c r="S9" s="125">
        <v>105148000000</v>
      </c>
      <c r="T9" s="125">
        <v>93782615376</v>
      </c>
      <c r="U9" s="125">
        <v>11365384624</v>
      </c>
      <c r="V9" s="126">
        <v>0.89191059626431313</v>
      </c>
      <c r="W9" s="125">
        <v>92480526839</v>
      </c>
      <c r="X9" s="125">
        <v>1302088537</v>
      </c>
      <c r="Y9" s="126">
        <v>1.3884114148230705E-2</v>
      </c>
      <c r="Z9" s="125">
        <v>92480526839</v>
      </c>
      <c r="AA9" s="125">
        <v>0</v>
      </c>
      <c r="AB9" s="720">
        <v>0.98611588585176935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105148000000</v>
      </c>
      <c r="N10" s="721">
        <v>0</v>
      </c>
      <c r="O10" s="721">
        <v>0</v>
      </c>
      <c r="P10" s="130">
        <v>3935000000</v>
      </c>
      <c r="Q10" s="130">
        <v>3935000000</v>
      </c>
      <c r="R10" s="721">
        <v>0</v>
      </c>
      <c r="S10" s="130">
        <v>105148000000</v>
      </c>
      <c r="T10" s="130">
        <v>93782615376</v>
      </c>
      <c r="U10" s="130">
        <v>11365384624</v>
      </c>
      <c r="V10" s="131">
        <v>0.89191059626431313</v>
      </c>
      <c r="W10" s="130">
        <v>92480526839</v>
      </c>
      <c r="X10" s="130">
        <v>1302088537</v>
      </c>
      <c r="Y10" s="131">
        <v>1.3884114148230705E-2</v>
      </c>
      <c r="Z10" s="130">
        <v>92480526839</v>
      </c>
      <c r="AA10" s="130">
        <v>0</v>
      </c>
      <c r="AB10" s="722">
        <v>0.98611588585176935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69237000000</v>
      </c>
      <c r="N11" s="136">
        <v>0</v>
      </c>
      <c r="O11" s="136">
        <v>0</v>
      </c>
      <c r="P11" s="135">
        <v>2390000000</v>
      </c>
      <c r="Q11" s="135">
        <v>2790000000</v>
      </c>
      <c r="R11" s="136">
        <v>0</v>
      </c>
      <c r="S11" s="135">
        <v>68837000000</v>
      </c>
      <c r="T11" s="135">
        <v>63085044541</v>
      </c>
      <c r="U11" s="135">
        <v>5751955459</v>
      </c>
      <c r="V11" s="137">
        <v>0.91644093352412215</v>
      </c>
      <c r="W11" s="135">
        <v>63073159393</v>
      </c>
      <c r="X11" s="136">
        <v>11885148</v>
      </c>
      <c r="Y11" s="137">
        <v>1.8839882077400529E-4</v>
      </c>
      <c r="Z11" s="135">
        <v>63073159393</v>
      </c>
      <c r="AA11" s="135">
        <v>0</v>
      </c>
      <c r="AB11" s="723">
        <v>0.99981160117922596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69237000000</v>
      </c>
      <c r="N12" s="142">
        <v>0</v>
      </c>
      <c r="O12" s="142">
        <v>0</v>
      </c>
      <c r="P12" s="141">
        <v>2390000000</v>
      </c>
      <c r="Q12" s="141">
        <v>2790000000</v>
      </c>
      <c r="R12" s="142">
        <v>0</v>
      </c>
      <c r="S12" s="141">
        <v>68837000000</v>
      </c>
      <c r="T12" s="141">
        <v>63085044541</v>
      </c>
      <c r="U12" s="141">
        <v>5751955459</v>
      </c>
      <c r="V12" s="143">
        <v>0.91644093352412215</v>
      </c>
      <c r="W12" s="141">
        <v>63073159393</v>
      </c>
      <c r="X12" s="142">
        <v>11885148</v>
      </c>
      <c r="Y12" s="143">
        <v>1.8839882077400529E-4</v>
      </c>
      <c r="Z12" s="141">
        <v>63073159393</v>
      </c>
      <c r="AA12" s="141">
        <v>0</v>
      </c>
      <c r="AB12" s="724">
        <v>0.99981160117922596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57000000000</v>
      </c>
      <c r="N13" s="148"/>
      <c r="O13" s="148"/>
      <c r="P13" s="148"/>
      <c r="Q13" s="148">
        <v>1700000000</v>
      </c>
      <c r="R13" s="149"/>
      <c r="S13" s="148">
        <v>55300000000</v>
      </c>
      <c r="T13" s="148">
        <v>50225929453</v>
      </c>
      <c r="U13" s="148">
        <v>5074070547</v>
      </c>
      <c r="V13" s="150">
        <v>0.90824465556962031</v>
      </c>
      <c r="W13" s="148">
        <v>50215468517</v>
      </c>
      <c r="X13" s="148">
        <v>10460936</v>
      </c>
      <c r="Y13" s="150">
        <v>2.0827759911917702E-4</v>
      </c>
      <c r="Z13" s="148">
        <v>50215468517</v>
      </c>
      <c r="AA13" s="148">
        <v>0</v>
      </c>
      <c r="AB13" s="150">
        <v>0.99979172240088088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276000000</v>
      </c>
      <c r="N14" s="148"/>
      <c r="O14" s="148"/>
      <c r="P14" s="148"/>
      <c r="Q14" s="148">
        <v>25000000</v>
      </c>
      <c r="R14" s="148"/>
      <c r="S14" s="148">
        <v>251000000</v>
      </c>
      <c r="T14" s="148">
        <v>212341392</v>
      </c>
      <c r="U14" s="148">
        <v>38658608</v>
      </c>
      <c r="V14" s="150">
        <v>0.84598164143426291</v>
      </c>
      <c r="W14" s="148">
        <v>212341392</v>
      </c>
      <c r="X14" s="148">
        <v>0</v>
      </c>
      <c r="Y14" s="150">
        <v>0</v>
      </c>
      <c r="Z14" s="148">
        <v>212341392</v>
      </c>
      <c r="AA14" s="148">
        <v>0</v>
      </c>
      <c r="AB14" s="150">
        <v>1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>
        <v>30000000</v>
      </c>
      <c r="Q15" s="148">
        <v>20000000</v>
      </c>
      <c r="R15" s="148"/>
      <c r="S15" s="148">
        <v>550000000</v>
      </c>
      <c r="T15" s="148">
        <v>483421354</v>
      </c>
      <c r="U15" s="148">
        <v>66578646</v>
      </c>
      <c r="V15" s="150">
        <v>0.87894791636363634</v>
      </c>
      <c r="W15" s="148">
        <v>482329610</v>
      </c>
      <c r="X15" s="148">
        <v>1091744</v>
      </c>
      <c r="Y15" s="150">
        <v>2.258369414107429E-3</v>
      </c>
      <c r="Z15" s="148">
        <v>482329610</v>
      </c>
      <c r="AA15" s="148">
        <v>0</v>
      </c>
      <c r="AB15" s="150">
        <v>0.9977416305858926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84516816</v>
      </c>
      <c r="U16" s="148">
        <v>11483184</v>
      </c>
      <c r="V16" s="150">
        <v>0.88038349999999999</v>
      </c>
      <c r="W16" s="148">
        <v>84433092</v>
      </c>
      <c r="X16" s="148">
        <v>83724</v>
      </c>
      <c r="Y16" s="150">
        <v>9.9061942891932897E-4</v>
      </c>
      <c r="Z16" s="148">
        <v>84433092</v>
      </c>
      <c r="AA16" s="148">
        <v>0</v>
      </c>
      <c r="AB16" s="150">
        <v>0.99900938057108069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80000000</v>
      </c>
      <c r="N17" s="148"/>
      <c r="O17" s="148"/>
      <c r="P17" s="148">
        <v>20000000</v>
      </c>
      <c r="Q17" s="148"/>
      <c r="R17" s="148"/>
      <c r="S17" s="148">
        <v>100000000</v>
      </c>
      <c r="T17" s="148">
        <v>94499225</v>
      </c>
      <c r="U17" s="148">
        <v>5500775</v>
      </c>
      <c r="V17" s="150">
        <v>0.94499224999999998</v>
      </c>
      <c r="W17" s="148">
        <v>94392771</v>
      </c>
      <c r="X17" s="148">
        <v>106454</v>
      </c>
      <c r="Y17" s="150">
        <v>1.126506593043488E-3</v>
      </c>
      <c r="Z17" s="148">
        <v>94392771</v>
      </c>
      <c r="AA17" s="148">
        <v>0</v>
      </c>
      <c r="AB17" s="150">
        <v>0.99887349340695653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2448300000</v>
      </c>
      <c r="N18" s="148"/>
      <c r="O18" s="148"/>
      <c r="P18" s="148">
        <v>340000000</v>
      </c>
      <c r="Q18" s="148">
        <v>220000000</v>
      </c>
      <c r="R18" s="148"/>
      <c r="S18" s="148">
        <v>2568300000</v>
      </c>
      <c r="T18" s="148">
        <v>2551986184</v>
      </c>
      <c r="U18" s="148">
        <v>16313816</v>
      </c>
      <c r="V18" s="150">
        <v>0.99364800996768288</v>
      </c>
      <c r="W18" s="148">
        <v>2551939043</v>
      </c>
      <c r="X18" s="148">
        <v>47141</v>
      </c>
      <c r="Y18" s="150">
        <v>1.8472278688480549E-5</v>
      </c>
      <c r="Z18" s="148">
        <v>2551939043</v>
      </c>
      <c r="AA18" s="148">
        <v>0</v>
      </c>
      <c r="AB18" s="150">
        <v>0.99998152772131155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1757500000</v>
      </c>
      <c r="N19" s="148"/>
      <c r="O19" s="148"/>
      <c r="P19" s="148"/>
      <c r="Q19" s="148"/>
      <c r="R19" s="148"/>
      <c r="S19" s="148">
        <v>1757500000</v>
      </c>
      <c r="T19" s="148">
        <v>1583221019</v>
      </c>
      <c r="U19" s="148">
        <v>174278981</v>
      </c>
      <c r="V19" s="150">
        <v>0.90083699516358462</v>
      </c>
      <c r="W19" s="148">
        <v>1583221019</v>
      </c>
      <c r="X19" s="148">
        <v>0</v>
      </c>
      <c r="Y19" s="150">
        <v>0</v>
      </c>
      <c r="Z19" s="148">
        <v>1583221019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210000000</v>
      </c>
      <c r="N20" s="148"/>
      <c r="O20" s="148"/>
      <c r="P20" s="148"/>
      <c r="Q20" s="148">
        <v>60000000</v>
      </c>
      <c r="R20" s="148"/>
      <c r="S20" s="148">
        <v>150000000</v>
      </c>
      <c r="T20" s="148">
        <v>84154342</v>
      </c>
      <c r="U20" s="148">
        <v>65845658</v>
      </c>
      <c r="V20" s="150">
        <v>0.56102894666666669</v>
      </c>
      <c r="W20" s="148">
        <v>84154342</v>
      </c>
      <c r="X20" s="148">
        <v>0</v>
      </c>
      <c r="Y20" s="150">
        <v>0</v>
      </c>
      <c r="Z20" s="148">
        <v>84154342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5100500000</v>
      </c>
      <c r="N21" s="148"/>
      <c r="O21" s="148"/>
      <c r="P21" s="148">
        <v>1300000000</v>
      </c>
      <c r="Q21" s="148">
        <v>745000000</v>
      </c>
      <c r="R21" s="148"/>
      <c r="S21" s="148">
        <v>5655500000</v>
      </c>
      <c r="T21" s="148">
        <v>5489409087</v>
      </c>
      <c r="U21" s="148">
        <v>166090913</v>
      </c>
      <c r="V21" s="150">
        <v>0.9706319665812041</v>
      </c>
      <c r="W21" s="148">
        <v>5489409087</v>
      </c>
      <c r="X21" s="148">
        <v>0</v>
      </c>
      <c r="Y21" s="150">
        <v>0</v>
      </c>
      <c r="Z21" s="148">
        <v>5489409087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1676700000</v>
      </c>
      <c r="N22" s="148"/>
      <c r="O22" s="148"/>
      <c r="P22" s="148">
        <v>700000000</v>
      </c>
      <c r="Q22" s="148"/>
      <c r="R22" s="148"/>
      <c r="S22" s="148">
        <v>2376700000</v>
      </c>
      <c r="T22" s="148">
        <v>2248359571</v>
      </c>
      <c r="U22" s="148">
        <v>128340429</v>
      </c>
      <c r="V22" s="150">
        <v>0.94600057685025452</v>
      </c>
      <c r="W22" s="148">
        <v>2248292810</v>
      </c>
      <c r="X22" s="148">
        <v>66761</v>
      </c>
      <c r="Y22" s="150">
        <v>2.9693204263723173E-5</v>
      </c>
      <c r="Z22" s="148">
        <v>2248292810</v>
      </c>
      <c r="AA22" s="148">
        <v>0</v>
      </c>
      <c r="AB22" s="150">
        <v>0.99997030679573629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52000000</v>
      </c>
      <c r="N23" s="148"/>
      <c r="O23" s="148"/>
      <c r="P23" s="148"/>
      <c r="Q23" s="148">
        <v>20000000</v>
      </c>
      <c r="R23" s="148"/>
      <c r="S23" s="148">
        <v>32000000</v>
      </c>
      <c r="T23" s="148">
        <v>27206098</v>
      </c>
      <c r="U23" s="148">
        <v>4793902</v>
      </c>
      <c r="V23" s="150">
        <v>0.85019056250000002</v>
      </c>
      <c r="W23" s="148">
        <v>27177710</v>
      </c>
      <c r="X23" s="148">
        <v>28388</v>
      </c>
      <c r="Y23" s="150">
        <v>1.0434425399776183E-3</v>
      </c>
      <c r="Z23" s="148">
        <v>27177710</v>
      </c>
      <c r="AA23" s="148">
        <v>0</v>
      </c>
      <c r="AB23" s="150">
        <v>0.99895655746002243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28758000000</v>
      </c>
      <c r="N24" s="136">
        <v>0</v>
      </c>
      <c r="O24" s="136">
        <v>0</v>
      </c>
      <c r="P24" s="136">
        <v>0</v>
      </c>
      <c r="Q24" s="135">
        <v>800000000</v>
      </c>
      <c r="R24" s="136">
        <v>0</v>
      </c>
      <c r="S24" s="135">
        <v>27958000000</v>
      </c>
      <c r="T24" s="135">
        <v>23698544106</v>
      </c>
      <c r="U24" s="135">
        <v>4259455894</v>
      </c>
      <c r="V24" s="137">
        <v>0.84764804728521348</v>
      </c>
      <c r="W24" s="135">
        <v>22411325967</v>
      </c>
      <c r="X24" s="135">
        <v>1287218139</v>
      </c>
      <c r="Y24" s="137">
        <v>5.4316338305107188E-2</v>
      </c>
      <c r="Z24" s="135">
        <v>22411325967</v>
      </c>
      <c r="AA24" s="136">
        <v>0</v>
      </c>
      <c r="AB24" s="723">
        <v>0.94568366169489282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7690200000</v>
      </c>
      <c r="N25" s="148"/>
      <c r="O25" s="148"/>
      <c r="P25" s="148"/>
      <c r="Q25" s="148"/>
      <c r="R25" s="148"/>
      <c r="S25" s="148">
        <v>7690200000</v>
      </c>
      <c r="T25" s="148">
        <v>6725898153</v>
      </c>
      <c r="U25" s="148">
        <v>964301847</v>
      </c>
      <c r="V25" s="150">
        <v>0.87460640204416007</v>
      </c>
      <c r="W25" s="148">
        <v>6725898153</v>
      </c>
      <c r="X25" s="148">
        <v>0</v>
      </c>
      <c r="Y25" s="150">
        <v>0</v>
      </c>
      <c r="Z25" s="148">
        <v>6725898153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5447200000</v>
      </c>
      <c r="N26" s="148"/>
      <c r="O26" s="148"/>
      <c r="P26" s="148"/>
      <c r="Q26" s="148"/>
      <c r="R26" s="148"/>
      <c r="S26" s="148">
        <v>5447200000</v>
      </c>
      <c r="T26" s="148">
        <v>4781974253</v>
      </c>
      <c r="U26" s="148">
        <v>665225747</v>
      </c>
      <c r="V26" s="150">
        <v>0.87787748806726396</v>
      </c>
      <c r="W26" s="148">
        <v>4781974253</v>
      </c>
      <c r="X26" s="148">
        <v>0</v>
      </c>
      <c r="Y26" s="150">
        <v>0</v>
      </c>
      <c r="Z26" s="148">
        <v>4781974253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8895400000</v>
      </c>
      <c r="N27" s="148"/>
      <c r="O27" s="148"/>
      <c r="P27" s="148"/>
      <c r="Q27" s="148">
        <v>800000000</v>
      </c>
      <c r="R27" s="148"/>
      <c r="S27" s="148">
        <v>8095400000</v>
      </c>
      <c r="T27" s="148">
        <v>6200000000</v>
      </c>
      <c r="U27" s="148">
        <v>1895400000</v>
      </c>
      <c r="V27" s="150">
        <v>0.76586703560046443</v>
      </c>
      <c r="W27" s="148">
        <v>4912888061</v>
      </c>
      <c r="X27" s="148">
        <v>1287111939</v>
      </c>
      <c r="Y27" s="150">
        <v>0.20759869983870968</v>
      </c>
      <c r="Z27" s="148">
        <v>4912888061</v>
      </c>
      <c r="AA27" s="148">
        <v>0</v>
      </c>
      <c r="AB27" s="150">
        <v>0.79240130016129029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2732300000</v>
      </c>
      <c r="N28" s="148"/>
      <c r="O28" s="148"/>
      <c r="P28" s="148"/>
      <c r="Q28" s="148"/>
      <c r="R28" s="148"/>
      <c r="S28" s="148">
        <v>2732300000</v>
      </c>
      <c r="T28" s="148">
        <v>2440053100</v>
      </c>
      <c r="U28" s="148">
        <v>292246900</v>
      </c>
      <c r="V28" s="150">
        <v>0.89303996632873406</v>
      </c>
      <c r="W28" s="148">
        <v>2440053100</v>
      </c>
      <c r="X28" s="148">
        <v>0</v>
      </c>
      <c r="Y28" s="150">
        <v>0</v>
      </c>
      <c r="Z28" s="148">
        <v>2440053100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540000000</v>
      </c>
      <c r="N29" s="148"/>
      <c r="O29" s="148"/>
      <c r="P29" s="148"/>
      <c r="Q29" s="148"/>
      <c r="R29" s="148"/>
      <c r="S29" s="148">
        <v>540000000</v>
      </c>
      <c r="T29" s="148">
        <v>499001300</v>
      </c>
      <c r="U29" s="148">
        <v>40998700</v>
      </c>
      <c r="V29" s="150">
        <v>0.92407648148148147</v>
      </c>
      <c r="W29" s="148">
        <v>499001300</v>
      </c>
      <c r="X29" s="148">
        <v>0</v>
      </c>
      <c r="Y29" s="150">
        <v>0</v>
      </c>
      <c r="Z29" s="148">
        <v>499001300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2071700000</v>
      </c>
      <c r="N30" s="148"/>
      <c r="O30" s="148"/>
      <c r="P30" s="148"/>
      <c r="Q30" s="148"/>
      <c r="R30" s="148"/>
      <c r="S30" s="148">
        <v>2071700000</v>
      </c>
      <c r="T30" s="148">
        <v>1830196200</v>
      </c>
      <c r="U30" s="148">
        <v>241503800</v>
      </c>
      <c r="V30" s="150">
        <v>0.88342723367282905</v>
      </c>
      <c r="W30" s="148">
        <v>1830196200</v>
      </c>
      <c r="X30" s="148">
        <v>0</v>
      </c>
      <c r="Y30" s="150">
        <v>0</v>
      </c>
      <c r="Z30" s="148">
        <v>1830196200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345300000</v>
      </c>
      <c r="N31" s="148"/>
      <c r="O31" s="148"/>
      <c r="P31" s="148"/>
      <c r="Q31" s="148"/>
      <c r="R31" s="148"/>
      <c r="S31" s="148">
        <v>345300000</v>
      </c>
      <c r="T31" s="148">
        <v>305546700</v>
      </c>
      <c r="U31" s="148">
        <v>39753300</v>
      </c>
      <c r="V31" s="150">
        <v>0.8848731537793223</v>
      </c>
      <c r="W31" s="148">
        <v>305440500</v>
      </c>
      <c r="X31" s="148">
        <v>106200</v>
      </c>
      <c r="Y31" s="150">
        <v>3.4757370968169514E-4</v>
      </c>
      <c r="Z31" s="148">
        <v>305440500</v>
      </c>
      <c r="AA31" s="148">
        <v>0</v>
      </c>
      <c r="AB31" s="150">
        <v>0.99965242629031825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345300000</v>
      </c>
      <c r="N32" s="148"/>
      <c r="O32" s="148"/>
      <c r="P32" s="148"/>
      <c r="Q32" s="148"/>
      <c r="R32" s="148"/>
      <c r="S32" s="148">
        <v>345300000</v>
      </c>
      <c r="T32" s="148">
        <v>305440500</v>
      </c>
      <c r="U32" s="148">
        <v>39859500</v>
      </c>
      <c r="V32" s="150">
        <v>0.88456559513466548</v>
      </c>
      <c r="W32" s="148">
        <v>305440500</v>
      </c>
      <c r="X32" s="148">
        <v>0</v>
      </c>
      <c r="Y32" s="150">
        <v>0</v>
      </c>
      <c r="Z32" s="148">
        <v>305440500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690600000</v>
      </c>
      <c r="N33" s="148"/>
      <c r="O33" s="148"/>
      <c r="P33" s="148"/>
      <c r="Q33" s="148"/>
      <c r="R33" s="148"/>
      <c r="S33" s="148">
        <v>690600000</v>
      </c>
      <c r="T33" s="148">
        <v>610433900</v>
      </c>
      <c r="U33" s="148">
        <v>80166100</v>
      </c>
      <c r="V33" s="150">
        <v>0.88391818708369529</v>
      </c>
      <c r="W33" s="148">
        <v>610433900</v>
      </c>
      <c r="X33" s="148">
        <v>0</v>
      </c>
      <c r="Y33" s="150">
        <v>0</v>
      </c>
      <c r="Z33" s="148">
        <v>610433900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7153000000</v>
      </c>
      <c r="N34" s="136">
        <v>0</v>
      </c>
      <c r="O34" s="136">
        <v>0</v>
      </c>
      <c r="P34" s="135">
        <v>1545000000</v>
      </c>
      <c r="Q34" s="135">
        <v>345000000</v>
      </c>
      <c r="R34" s="136">
        <v>0</v>
      </c>
      <c r="S34" s="135">
        <v>8353000000</v>
      </c>
      <c r="T34" s="135">
        <v>6999026729</v>
      </c>
      <c r="U34" s="135">
        <v>1353973271</v>
      </c>
      <c r="V34" s="137">
        <v>0.83790574991021194</v>
      </c>
      <c r="W34" s="135">
        <v>6996041479</v>
      </c>
      <c r="X34" s="135">
        <v>2985250</v>
      </c>
      <c r="Y34" s="137">
        <v>4.2652358900571361E-4</v>
      </c>
      <c r="Z34" s="135">
        <v>6996041479</v>
      </c>
      <c r="AA34" s="136">
        <v>0</v>
      </c>
      <c r="AB34" s="723">
        <v>0.99957347641099425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3551000000</v>
      </c>
      <c r="N35" s="142">
        <v>0</v>
      </c>
      <c r="O35" s="142">
        <v>0</v>
      </c>
      <c r="P35" s="141">
        <v>795000000</v>
      </c>
      <c r="Q35" s="141">
        <v>130000000</v>
      </c>
      <c r="R35" s="142">
        <v>0</v>
      </c>
      <c r="S35" s="141">
        <v>4216000000</v>
      </c>
      <c r="T35" s="141">
        <v>3535839186</v>
      </c>
      <c r="U35" s="141">
        <v>680160814</v>
      </c>
      <c r="V35" s="143">
        <v>0.83867153368121439</v>
      </c>
      <c r="W35" s="141">
        <v>3535732368</v>
      </c>
      <c r="X35" s="142">
        <v>106818</v>
      </c>
      <c r="Y35" s="143">
        <v>3.0210084333852395E-5</v>
      </c>
      <c r="Z35" s="141">
        <v>3535732368</v>
      </c>
      <c r="AA35" s="142">
        <v>0</v>
      </c>
      <c r="AB35" s="724">
        <v>0.9999697899156661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2801000000</v>
      </c>
      <c r="N36" s="148"/>
      <c r="O36" s="148"/>
      <c r="P36" s="148">
        <v>690000000</v>
      </c>
      <c r="Q36" s="148"/>
      <c r="R36" s="148"/>
      <c r="S36" s="148">
        <v>3491000000</v>
      </c>
      <c r="T36" s="148">
        <v>2940976687</v>
      </c>
      <c r="U36" s="148">
        <v>550023313</v>
      </c>
      <c r="V36" s="150">
        <v>0.84244534144944139</v>
      </c>
      <c r="W36" s="148">
        <v>2940878771</v>
      </c>
      <c r="X36" s="148">
        <v>97916</v>
      </c>
      <c r="Y36" s="150">
        <v>3.3293701521952936E-5</v>
      </c>
      <c r="Z36" s="148">
        <v>2940878771</v>
      </c>
      <c r="AA36" s="148">
        <v>0</v>
      </c>
      <c r="AB36" s="150">
        <v>0.99996670629847806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400000000</v>
      </c>
      <c r="N37" s="148"/>
      <c r="O37" s="148"/>
      <c r="P37" s="148">
        <v>40000000</v>
      </c>
      <c r="Q37" s="148">
        <v>60000000</v>
      </c>
      <c r="R37" s="148"/>
      <c r="S37" s="148">
        <v>380000000</v>
      </c>
      <c r="T37" s="148">
        <v>320120409</v>
      </c>
      <c r="U37" s="148">
        <v>59879591</v>
      </c>
      <c r="V37" s="150">
        <v>0.84242212894736845</v>
      </c>
      <c r="W37" s="148">
        <v>320120409</v>
      </c>
      <c r="X37" s="148">
        <v>0</v>
      </c>
      <c r="Y37" s="150">
        <v>0</v>
      </c>
      <c r="Z37" s="148">
        <v>320120409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>
        <v>65000000</v>
      </c>
      <c r="Q38" s="148">
        <v>70000000</v>
      </c>
      <c r="R38" s="148"/>
      <c r="S38" s="148">
        <v>345000000</v>
      </c>
      <c r="T38" s="148">
        <v>274742090</v>
      </c>
      <c r="U38" s="148">
        <v>70257910</v>
      </c>
      <c r="V38" s="150">
        <v>0.79635388405797103</v>
      </c>
      <c r="W38" s="148">
        <v>274733188</v>
      </c>
      <c r="X38" s="148">
        <v>8902</v>
      </c>
      <c r="Y38" s="150">
        <v>3.2401296794386326E-5</v>
      </c>
      <c r="Z38" s="148">
        <v>274733188</v>
      </c>
      <c r="AA38" s="148">
        <v>0</v>
      </c>
      <c r="AB38" s="150">
        <v>0.99996759870320562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2160000000</v>
      </c>
      <c r="N39" s="148"/>
      <c r="O39" s="148"/>
      <c r="P39" s="148">
        <v>430000000</v>
      </c>
      <c r="Q39" s="148"/>
      <c r="R39" s="148"/>
      <c r="S39" s="148">
        <v>2590000000</v>
      </c>
      <c r="T39" s="148">
        <v>2360556014</v>
      </c>
      <c r="U39" s="148">
        <v>229443986</v>
      </c>
      <c r="V39" s="150">
        <v>0.91141158841698844</v>
      </c>
      <c r="W39" s="148">
        <v>2360556014</v>
      </c>
      <c r="X39" s="148">
        <v>0</v>
      </c>
      <c r="Y39" s="150">
        <v>0</v>
      </c>
      <c r="Z39" s="148">
        <v>2360556014</v>
      </c>
      <c r="AA39" s="148">
        <v>0</v>
      </c>
      <c r="AB39" s="150">
        <v>1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3658884</v>
      </c>
      <c r="U40" s="148">
        <v>8341116</v>
      </c>
      <c r="V40" s="150">
        <v>0.30490699999999998</v>
      </c>
      <c r="W40" s="148">
        <v>3658884</v>
      </c>
      <c r="X40" s="148">
        <v>0</v>
      </c>
      <c r="Y40" s="150">
        <v>0</v>
      </c>
      <c r="Z40" s="148">
        <v>3658884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366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45" t="s">
        <v>74</v>
      </c>
      <c r="H41" s="145"/>
      <c r="I41" s="145"/>
      <c r="J41" s="145" t="s">
        <v>28</v>
      </c>
      <c r="K41" s="146" t="s">
        <v>29</v>
      </c>
      <c r="L41" s="147" t="s">
        <v>75</v>
      </c>
      <c r="M41" s="148">
        <v>30000000</v>
      </c>
      <c r="N41" s="148"/>
      <c r="O41" s="148"/>
      <c r="P41" s="148"/>
      <c r="Q41" s="148"/>
      <c r="R41" s="148"/>
      <c r="S41" s="148">
        <v>30000000</v>
      </c>
      <c r="T41" s="148">
        <v>0</v>
      </c>
      <c r="U41" s="148">
        <v>30000000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368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76</v>
      </c>
      <c r="H42" s="145"/>
      <c r="I42" s="145"/>
      <c r="J42" s="145" t="s">
        <v>28</v>
      </c>
      <c r="K42" s="146" t="s">
        <v>29</v>
      </c>
      <c r="L42" s="147" t="s">
        <v>77</v>
      </c>
      <c r="M42" s="148">
        <v>840000000</v>
      </c>
      <c r="N42" s="148"/>
      <c r="O42" s="148"/>
      <c r="P42" s="148">
        <v>30000000</v>
      </c>
      <c r="Q42" s="148"/>
      <c r="R42" s="148"/>
      <c r="S42" s="148">
        <v>870000000</v>
      </c>
      <c r="T42" s="148">
        <v>790510005</v>
      </c>
      <c r="U42" s="148">
        <v>79489995</v>
      </c>
      <c r="V42" s="150">
        <v>0.90863218965517245</v>
      </c>
      <c r="W42" s="148">
        <v>787631573</v>
      </c>
      <c r="X42" s="148">
        <v>2878432</v>
      </c>
      <c r="Y42" s="150">
        <v>3.6412341169546614E-3</v>
      </c>
      <c r="Z42" s="148">
        <v>787631573</v>
      </c>
      <c r="AA42" s="148">
        <v>0</v>
      </c>
      <c r="AB42" s="150">
        <v>0.99635876588304528</v>
      </c>
    </row>
    <row r="43" spans="1:28" ht="24.95" customHeight="1">
      <c r="A43" s="32" t="e">
        <v>#REF!</v>
      </c>
      <c r="B43" s="144" t="s">
        <v>370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78</v>
      </c>
      <c r="H43" s="145"/>
      <c r="I43" s="145"/>
      <c r="J43" s="145" t="s">
        <v>28</v>
      </c>
      <c r="K43" s="146" t="s">
        <v>29</v>
      </c>
      <c r="L43" s="147" t="s">
        <v>79</v>
      </c>
      <c r="M43" s="148">
        <v>560000000</v>
      </c>
      <c r="N43" s="148"/>
      <c r="O43" s="148"/>
      <c r="P43" s="148">
        <v>290000000</v>
      </c>
      <c r="Q43" s="148">
        <v>215000000</v>
      </c>
      <c r="R43" s="148"/>
      <c r="S43" s="148">
        <v>635000000</v>
      </c>
      <c r="T43" s="148">
        <v>308462640</v>
      </c>
      <c r="U43" s="148">
        <v>326537360</v>
      </c>
      <c r="V43" s="150">
        <v>0.48576793700787402</v>
      </c>
      <c r="W43" s="148">
        <v>308462640</v>
      </c>
      <c r="X43" s="148">
        <v>0</v>
      </c>
      <c r="Y43" s="150">
        <v>0</v>
      </c>
      <c r="Z43" s="148">
        <v>308462640</v>
      </c>
      <c r="AA43" s="148">
        <v>0</v>
      </c>
      <c r="AB43" s="150">
        <v>1</v>
      </c>
    </row>
    <row r="44" spans="1:28" ht="24" customHeight="1">
      <c r="A44" s="32" t="e">
        <v>#REF!</v>
      </c>
      <c r="B44" s="122" t="s">
        <v>372</v>
      </c>
      <c r="C44" s="123" t="s">
        <v>23</v>
      </c>
      <c r="D44" s="123" t="s">
        <v>54</v>
      </c>
      <c r="E44" s="123"/>
      <c r="F44" s="123"/>
      <c r="G44" s="123"/>
      <c r="H44" s="123"/>
      <c r="I44" s="123"/>
      <c r="J44" s="124"/>
      <c r="K44" s="124"/>
      <c r="L44" s="124" t="s">
        <v>80</v>
      </c>
      <c r="M44" s="125">
        <v>42289000000</v>
      </c>
      <c r="N44" s="719">
        <v>0</v>
      </c>
      <c r="O44" s="719">
        <v>0</v>
      </c>
      <c r="P44" s="725">
        <v>3657168989.1300001</v>
      </c>
      <c r="Q44" s="725">
        <v>3657168989.1300001</v>
      </c>
      <c r="R44" s="719">
        <v>0</v>
      </c>
      <c r="S44" s="125">
        <v>42289000000</v>
      </c>
      <c r="T44" s="125">
        <v>41456070926.940002</v>
      </c>
      <c r="U44" s="125">
        <v>832929073.0600003</v>
      </c>
      <c r="V44" s="126">
        <v>0.98030388344344865</v>
      </c>
      <c r="W44" s="125">
        <v>36253566180.190002</v>
      </c>
      <c r="X44" s="125">
        <v>5202504746.749999</v>
      </c>
      <c r="Y44" s="126">
        <v>0.1254943999859181</v>
      </c>
      <c r="Z44" s="125">
        <v>35979176929.190002</v>
      </c>
      <c r="AA44" s="125">
        <v>274389251</v>
      </c>
      <c r="AB44" s="720">
        <v>0.86788680462742862</v>
      </c>
    </row>
    <row r="45" spans="1:28" ht="24" customHeight="1">
      <c r="A45" s="32" t="e">
        <v>#REF!</v>
      </c>
      <c r="B45" s="127" t="s">
        <v>377</v>
      </c>
      <c r="C45" s="128" t="s">
        <v>23</v>
      </c>
      <c r="D45" s="128" t="s">
        <v>54</v>
      </c>
      <c r="E45" s="128" t="s">
        <v>54</v>
      </c>
      <c r="F45" s="128"/>
      <c r="G45" s="128"/>
      <c r="H45" s="128"/>
      <c r="I45" s="128"/>
      <c r="J45" s="129"/>
      <c r="K45" s="129"/>
      <c r="L45" s="129" t="s">
        <v>86</v>
      </c>
      <c r="M45" s="130">
        <v>42289000000</v>
      </c>
      <c r="N45" s="721">
        <v>0</v>
      </c>
      <c r="O45" s="721">
        <v>0</v>
      </c>
      <c r="P45" s="726">
        <v>3657168989.1300001</v>
      </c>
      <c r="Q45" s="726">
        <v>3657168989.1300001</v>
      </c>
      <c r="R45" s="721">
        <v>0</v>
      </c>
      <c r="S45" s="130">
        <v>42289000000</v>
      </c>
      <c r="T45" s="130">
        <v>41456070926.940002</v>
      </c>
      <c r="U45" s="130">
        <v>832929073.0600003</v>
      </c>
      <c r="V45" s="131">
        <v>0.98030388344344865</v>
      </c>
      <c r="W45" s="130">
        <v>36253566180.190002</v>
      </c>
      <c r="X45" s="130">
        <v>5202504746.749999</v>
      </c>
      <c r="Y45" s="131">
        <v>0.1254943999859181</v>
      </c>
      <c r="Z45" s="130">
        <v>35979176929.190002</v>
      </c>
      <c r="AA45" s="130">
        <v>274389251</v>
      </c>
      <c r="AB45" s="722">
        <v>0.86788680462742862</v>
      </c>
    </row>
    <row r="46" spans="1:28" ht="24.95" customHeight="1">
      <c r="A46" s="32" t="e">
        <v>#REF!</v>
      </c>
      <c r="B46" s="132" t="s">
        <v>379</v>
      </c>
      <c r="C46" s="133" t="s">
        <v>23</v>
      </c>
      <c r="D46" s="133" t="s">
        <v>54</v>
      </c>
      <c r="E46" s="133" t="s">
        <v>54</v>
      </c>
      <c r="F46" s="133" t="s">
        <v>25</v>
      </c>
      <c r="G46" s="133"/>
      <c r="H46" s="134"/>
      <c r="I46" s="134"/>
      <c r="J46" s="133" t="s">
        <v>28</v>
      </c>
      <c r="K46" s="134" t="s">
        <v>29</v>
      </c>
      <c r="L46" s="134" t="s">
        <v>87</v>
      </c>
      <c r="M46" s="135">
        <v>655883077</v>
      </c>
      <c r="N46" s="136">
        <v>0</v>
      </c>
      <c r="O46" s="136">
        <v>0</v>
      </c>
      <c r="P46" s="727">
        <v>101656546</v>
      </c>
      <c r="Q46" s="727">
        <v>258329943</v>
      </c>
      <c r="R46" s="136">
        <v>0</v>
      </c>
      <c r="S46" s="135">
        <v>499209680</v>
      </c>
      <c r="T46" s="135">
        <v>415535963.05000001</v>
      </c>
      <c r="U46" s="135">
        <v>83673716.950000003</v>
      </c>
      <c r="V46" s="137">
        <v>0.83238763128551518</v>
      </c>
      <c r="W46" s="135">
        <v>295580731.31999999</v>
      </c>
      <c r="X46" s="135">
        <v>119955231.72999999</v>
      </c>
      <c r="Y46" s="137">
        <v>0.28867593276292719</v>
      </c>
      <c r="Z46" s="135">
        <v>295580731.31999999</v>
      </c>
      <c r="AA46" s="135">
        <v>0</v>
      </c>
      <c r="AB46" s="723">
        <v>0.71132406723707275</v>
      </c>
    </row>
    <row r="47" spans="1:28" ht="24.95" customHeight="1">
      <c r="A47" s="32" t="e">
        <v>#REF!</v>
      </c>
      <c r="B47" s="138" t="s">
        <v>381</v>
      </c>
      <c r="C47" s="139" t="s">
        <v>23</v>
      </c>
      <c r="D47" s="139" t="s">
        <v>54</v>
      </c>
      <c r="E47" s="139" t="s">
        <v>54</v>
      </c>
      <c r="F47" s="139" t="s">
        <v>25</v>
      </c>
      <c r="G47" s="139" t="s">
        <v>31</v>
      </c>
      <c r="H47" s="140"/>
      <c r="I47" s="140"/>
      <c r="J47" s="139" t="s">
        <v>28</v>
      </c>
      <c r="K47" s="140" t="s">
        <v>29</v>
      </c>
      <c r="L47" s="140" t="s">
        <v>88</v>
      </c>
      <c r="M47" s="141">
        <v>23000000</v>
      </c>
      <c r="N47" s="142">
        <v>0</v>
      </c>
      <c r="O47" s="142">
        <v>0</v>
      </c>
      <c r="P47" s="728">
        <v>6000000</v>
      </c>
      <c r="Q47" s="728">
        <v>7000000</v>
      </c>
      <c r="R47" s="142">
        <v>0</v>
      </c>
      <c r="S47" s="141">
        <v>22000000</v>
      </c>
      <c r="T47" s="141">
        <v>22000000</v>
      </c>
      <c r="U47" s="141">
        <v>0</v>
      </c>
      <c r="V47" s="143">
        <v>1</v>
      </c>
      <c r="W47" s="141">
        <v>8612176.0500000007</v>
      </c>
      <c r="X47" s="141">
        <v>13387823.949999999</v>
      </c>
      <c r="Y47" s="143">
        <v>0.60853745227272726</v>
      </c>
      <c r="Z47" s="141">
        <v>8612176.0500000007</v>
      </c>
      <c r="AA47" s="141">
        <v>0</v>
      </c>
      <c r="AB47" s="724">
        <v>0.39146254772727274</v>
      </c>
    </row>
    <row r="48" spans="1:28" ht="24.95" customHeight="1">
      <c r="A48" s="32" t="e">
        <v>#REF!</v>
      </c>
      <c r="B48" s="144" t="s">
        <v>555</v>
      </c>
      <c r="C48" s="145" t="s">
        <v>23</v>
      </c>
      <c r="D48" s="145" t="s">
        <v>54</v>
      </c>
      <c r="E48" s="145" t="s">
        <v>54</v>
      </c>
      <c r="F48" s="145" t="s">
        <v>25</v>
      </c>
      <c r="G48" s="145" t="s">
        <v>31</v>
      </c>
      <c r="H48" s="145" t="s">
        <v>40</v>
      </c>
      <c r="I48" s="145"/>
      <c r="J48" s="145">
        <v>10</v>
      </c>
      <c r="K48" s="146" t="s">
        <v>29</v>
      </c>
      <c r="L48" s="147" t="s">
        <v>89</v>
      </c>
      <c r="M48" s="148">
        <v>11000000</v>
      </c>
      <c r="N48" s="148"/>
      <c r="O48" s="148"/>
      <c r="P48" s="148"/>
      <c r="Q48" s="148"/>
      <c r="R48" s="148"/>
      <c r="S48" s="148">
        <v>11000000</v>
      </c>
      <c r="T48" s="148">
        <v>11000000</v>
      </c>
      <c r="U48" s="148">
        <v>0</v>
      </c>
      <c r="V48" s="150">
        <v>1</v>
      </c>
      <c r="W48" s="148">
        <v>8612176.0500000007</v>
      </c>
      <c r="X48" s="148">
        <v>2387823.9499999993</v>
      </c>
      <c r="Y48" s="150">
        <v>0.21707490454545447</v>
      </c>
      <c r="Z48" s="148">
        <v>8612176.0500000007</v>
      </c>
      <c r="AA48" s="148">
        <v>0</v>
      </c>
      <c r="AB48" s="150">
        <v>0.78292509545454547</v>
      </c>
    </row>
    <row r="49" spans="1:28" ht="24.95" customHeight="1">
      <c r="A49" s="32" t="e">
        <v>#REF!</v>
      </c>
      <c r="B49" s="144" t="s">
        <v>557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44</v>
      </c>
      <c r="I49" s="145"/>
      <c r="J49" s="145">
        <v>10</v>
      </c>
      <c r="K49" s="146" t="s">
        <v>29</v>
      </c>
      <c r="L49" s="147" t="s">
        <v>90</v>
      </c>
      <c r="M49" s="148">
        <v>12000000</v>
      </c>
      <c r="N49" s="148"/>
      <c r="O49" s="148"/>
      <c r="P49" s="149">
        <v>6000000</v>
      </c>
      <c r="Q49" s="148">
        <v>7000000</v>
      </c>
      <c r="R49" s="148"/>
      <c r="S49" s="148">
        <v>11000000</v>
      </c>
      <c r="T49" s="148">
        <v>11000000</v>
      </c>
      <c r="U49" s="148">
        <v>0</v>
      </c>
      <c r="V49" s="150">
        <v>1</v>
      </c>
      <c r="W49" s="148">
        <v>0</v>
      </c>
      <c r="X49" s="148">
        <v>11000000</v>
      </c>
      <c r="Y49" s="150">
        <v>1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38" t="s">
        <v>383</v>
      </c>
      <c r="C50" s="139" t="s">
        <v>23</v>
      </c>
      <c r="D50" s="139" t="s">
        <v>54</v>
      </c>
      <c r="E50" s="139" t="s">
        <v>54</v>
      </c>
      <c r="F50" s="139" t="s">
        <v>25</v>
      </c>
      <c r="G50" s="139" t="s">
        <v>34</v>
      </c>
      <c r="H50" s="140"/>
      <c r="I50" s="140"/>
      <c r="J50" s="139" t="s">
        <v>28</v>
      </c>
      <c r="K50" s="140" t="s">
        <v>29</v>
      </c>
      <c r="L50" s="140" t="s">
        <v>91</v>
      </c>
      <c r="M50" s="141">
        <v>141060000</v>
      </c>
      <c r="N50" s="142">
        <v>0</v>
      </c>
      <c r="O50" s="142">
        <v>0</v>
      </c>
      <c r="P50" s="141">
        <v>5207630</v>
      </c>
      <c r="Q50" s="142">
        <v>77519115</v>
      </c>
      <c r="R50" s="142">
        <v>0</v>
      </c>
      <c r="S50" s="141">
        <v>68748515</v>
      </c>
      <c r="T50" s="141">
        <v>63540884.75</v>
      </c>
      <c r="U50" s="141">
        <v>5207630.25</v>
      </c>
      <c r="V50" s="143">
        <v>0.92425101473100912</v>
      </c>
      <c r="W50" s="142">
        <v>13391795.9</v>
      </c>
      <c r="X50" s="142">
        <v>50149088.850000001</v>
      </c>
      <c r="Y50" s="143">
        <v>0.78924127429623181</v>
      </c>
      <c r="Z50" s="142">
        <v>13391795.9</v>
      </c>
      <c r="AA50" s="142">
        <v>0</v>
      </c>
      <c r="AB50" s="724">
        <v>0.21075872570376825</v>
      </c>
    </row>
    <row r="51" spans="1:28" ht="24.95" customHeight="1">
      <c r="A51" s="32" t="e">
        <v>#REF!</v>
      </c>
      <c r="B51" s="144" t="s">
        <v>559</v>
      </c>
      <c r="C51" s="145" t="s">
        <v>23</v>
      </c>
      <c r="D51" s="145" t="s">
        <v>54</v>
      </c>
      <c r="E51" s="145" t="s">
        <v>54</v>
      </c>
      <c r="F51" s="145" t="s">
        <v>25</v>
      </c>
      <c r="G51" s="145" t="s">
        <v>34</v>
      </c>
      <c r="H51" s="145" t="s">
        <v>46</v>
      </c>
      <c r="I51" s="145"/>
      <c r="J51" s="145">
        <v>10</v>
      </c>
      <c r="K51" s="146" t="s">
        <v>29</v>
      </c>
      <c r="L51" s="147" t="s">
        <v>92</v>
      </c>
      <c r="M51" s="148">
        <v>141060000</v>
      </c>
      <c r="N51" s="148"/>
      <c r="O51" s="148"/>
      <c r="P51" s="149">
        <v>5207630</v>
      </c>
      <c r="Q51" s="148">
        <v>77519115</v>
      </c>
      <c r="R51" s="148"/>
      <c r="S51" s="148">
        <v>68748515</v>
      </c>
      <c r="T51" s="148">
        <v>63540884.75</v>
      </c>
      <c r="U51" s="148">
        <v>5207630.25</v>
      </c>
      <c r="V51" s="150">
        <v>0.92425101473100912</v>
      </c>
      <c r="W51" s="148">
        <v>13391795.9</v>
      </c>
      <c r="X51" s="148">
        <v>50149088.850000001</v>
      </c>
      <c r="Y51" s="150">
        <v>0.78924127429623181</v>
      </c>
      <c r="Z51" s="148">
        <v>13391795.9</v>
      </c>
      <c r="AA51" s="148">
        <v>0</v>
      </c>
      <c r="AB51" s="150">
        <v>0.21075872570376825</v>
      </c>
    </row>
    <row r="52" spans="1:28" ht="24.95" customHeight="1">
      <c r="A52" s="32" t="e">
        <v>#REF!</v>
      </c>
      <c r="B52" s="138" t="s">
        <v>385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36</v>
      </c>
      <c r="H52" s="140"/>
      <c r="I52" s="140"/>
      <c r="J52" s="139" t="s">
        <v>28</v>
      </c>
      <c r="K52" s="140" t="s">
        <v>29</v>
      </c>
      <c r="L52" s="140" t="s">
        <v>93</v>
      </c>
      <c r="M52" s="141">
        <v>418823077</v>
      </c>
      <c r="N52" s="142">
        <v>0</v>
      </c>
      <c r="O52" s="142">
        <v>0</v>
      </c>
      <c r="P52" s="141">
        <v>0</v>
      </c>
      <c r="Q52" s="141">
        <v>135810828</v>
      </c>
      <c r="R52" s="142">
        <v>0</v>
      </c>
      <c r="S52" s="141">
        <v>283012249</v>
      </c>
      <c r="T52" s="141">
        <v>259488648.30000001</v>
      </c>
      <c r="U52" s="141">
        <v>23523600.700000003</v>
      </c>
      <c r="V52" s="143">
        <v>0.91688133364149904</v>
      </c>
      <c r="W52" s="141">
        <v>241093969.67999998</v>
      </c>
      <c r="X52" s="141">
        <v>18394678.61999999</v>
      </c>
      <c r="Y52" s="143">
        <v>7.0888182355990897E-2</v>
      </c>
      <c r="Z52" s="141">
        <v>241093969.67999998</v>
      </c>
      <c r="AA52" s="142">
        <v>0</v>
      </c>
      <c r="AB52" s="724">
        <v>0.92911181764400896</v>
      </c>
    </row>
    <row r="53" spans="1:28" ht="24.95" customHeight="1">
      <c r="A53" s="32" t="e">
        <v>#REF!</v>
      </c>
      <c r="B53" s="144" t="s">
        <v>561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36</v>
      </c>
      <c r="H53" s="145" t="s">
        <v>34</v>
      </c>
      <c r="I53" s="145"/>
      <c r="J53" s="145">
        <v>10</v>
      </c>
      <c r="K53" s="146" t="s">
        <v>29</v>
      </c>
      <c r="L53" s="147" t="s">
        <v>94</v>
      </c>
      <c r="M53" s="148">
        <v>195500000</v>
      </c>
      <c r="N53" s="148"/>
      <c r="O53" s="148"/>
      <c r="P53" s="148"/>
      <c r="Q53" s="148">
        <v>70486788</v>
      </c>
      <c r="R53" s="148"/>
      <c r="S53" s="148">
        <v>125013212</v>
      </c>
      <c r="T53" s="148">
        <v>123489611.3</v>
      </c>
      <c r="U53" s="148">
        <v>1523600.700000003</v>
      </c>
      <c r="V53" s="150">
        <v>0.98781248257184207</v>
      </c>
      <c r="W53" s="148">
        <v>122576624.31</v>
      </c>
      <c r="X53" s="148">
        <v>912986.98999999464</v>
      </c>
      <c r="Y53" s="150">
        <v>7.3932291177273681E-3</v>
      </c>
      <c r="Z53" s="148">
        <v>122576624.31</v>
      </c>
      <c r="AA53" s="148">
        <v>0</v>
      </c>
      <c r="AB53" s="150">
        <v>0.99260677088227267</v>
      </c>
    </row>
    <row r="54" spans="1:28" ht="24.95" customHeight="1">
      <c r="A54" s="32" t="e">
        <v>#REF!</v>
      </c>
      <c r="B54" s="144" t="s">
        <v>563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36</v>
      </c>
      <c r="I54" s="145"/>
      <c r="J54" s="145">
        <v>10</v>
      </c>
      <c r="K54" s="146" t="s">
        <v>29</v>
      </c>
      <c r="L54" s="147" t="s">
        <v>95</v>
      </c>
      <c r="M54" s="148">
        <v>84823077</v>
      </c>
      <c r="N54" s="148"/>
      <c r="O54" s="148"/>
      <c r="P54" s="148"/>
      <c r="Q54" s="148">
        <v>27312495</v>
      </c>
      <c r="R54" s="148"/>
      <c r="S54" s="148">
        <v>57510582</v>
      </c>
      <c r="T54" s="148">
        <v>57510582</v>
      </c>
      <c r="U54" s="148">
        <v>0</v>
      </c>
      <c r="V54" s="150">
        <v>1</v>
      </c>
      <c r="W54" s="148">
        <v>46161053.200000003</v>
      </c>
      <c r="X54" s="148">
        <v>11349528.799999997</v>
      </c>
      <c r="Y54" s="150">
        <v>0.1973467908914571</v>
      </c>
      <c r="Z54" s="148">
        <v>46161053.200000003</v>
      </c>
      <c r="AA54" s="148">
        <v>0</v>
      </c>
      <c r="AB54" s="150">
        <v>0.80265320910854288</v>
      </c>
    </row>
    <row r="55" spans="1:28" ht="24.95" customHeight="1">
      <c r="A55" s="32" t="e">
        <v>#REF!</v>
      </c>
      <c r="B55" s="144" t="s">
        <v>565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40</v>
      </c>
      <c r="I55" s="145"/>
      <c r="J55" s="145">
        <v>10</v>
      </c>
      <c r="K55" s="146" t="s">
        <v>29</v>
      </c>
      <c r="L55" s="147" t="s">
        <v>96</v>
      </c>
      <c r="M55" s="148">
        <v>26000000</v>
      </c>
      <c r="N55" s="148"/>
      <c r="O55" s="148"/>
      <c r="P55" s="148"/>
      <c r="Q55" s="148"/>
      <c r="R55" s="148"/>
      <c r="S55" s="148">
        <v>26000000</v>
      </c>
      <c r="T55" s="148">
        <v>6000000</v>
      </c>
      <c r="U55" s="148">
        <v>20000000</v>
      </c>
      <c r="V55" s="150">
        <v>0.23076923076923078</v>
      </c>
      <c r="W55" s="148">
        <v>5032753.97</v>
      </c>
      <c r="X55" s="148">
        <v>967246.03000000026</v>
      </c>
      <c r="Y55" s="150">
        <v>0.16120767166666672</v>
      </c>
      <c r="Z55" s="148">
        <v>5032753.97</v>
      </c>
      <c r="AA55" s="148">
        <v>0</v>
      </c>
      <c r="AB55" s="150">
        <v>0.83879232833333328</v>
      </c>
    </row>
    <row r="56" spans="1:28" ht="24.95" customHeight="1">
      <c r="A56" s="32" t="e">
        <v>#REF!</v>
      </c>
      <c r="B56" s="144" t="s">
        <v>567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42</v>
      </c>
      <c r="I56" s="145"/>
      <c r="J56" s="145">
        <v>10</v>
      </c>
      <c r="K56" s="146" t="s">
        <v>29</v>
      </c>
      <c r="L56" s="147" t="s">
        <v>97</v>
      </c>
      <c r="M56" s="148">
        <v>20000000</v>
      </c>
      <c r="N56" s="148"/>
      <c r="O56" s="148"/>
      <c r="P56" s="148"/>
      <c r="Q56" s="148"/>
      <c r="R56" s="148"/>
      <c r="S56" s="148">
        <v>20000000</v>
      </c>
      <c r="T56" s="148">
        <v>20000000</v>
      </c>
      <c r="U56" s="148">
        <v>0</v>
      </c>
      <c r="V56" s="150">
        <v>1</v>
      </c>
      <c r="W56" s="148">
        <v>18133810.109999999</v>
      </c>
      <c r="X56" s="148">
        <v>1866189.8900000006</v>
      </c>
      <c r="Y56" s="150">
        <v>9.3309494500000034E-2</v>
      </c>
      <c r="Z56" s="148">
        <v>18133810.109999999</v>
      </c>
      <c r="AA56" s="148">
        <v>0</v>
      </c>
      <c r="AB56" s="150">
        <v>0.90669050549999997</v>
      </c>
    </row>
    <row r="57" spans="1:28" ht="24.95" hidden="1" customHeight="1">
      <c r="A57" s="32" t="e">
        <v>#REF!</v>
      </c>
      <c r="B57" s="144" t="s">
        <v>569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44</v>
      </c>
      <c r="I57" s="145"/>
      <c r="J57" s="145">
        <v>10</v>
      </c>
      <c r="K57" s="146" t="s">
        <v>29</v>
      </c>
      <c r="L57" s="147" t="s">
        <v>98</v>
      </c>
      <c r="M57" s="148"/>
      <c r="N57" s="148"/>
      <c r="O57" s="148"/>
      <c r="P57" s="148"/>
      <c r="Q57" s="148"/>
      <c r="R57" s="148"/>
      <c r="S57" s="148">
        <v>0</v>
      </c>
      <c r="T57" s="148">
        <v>0</v>
      </c>
      <c r="U57" s="148">
        <v>0</v>
      </c>
      <c r="V57" s="150">
        <v>0</v>
      </c>
      <c r="W57" s="148">
        <v>0</v>
      </c>
      <c r="X57" s="148">
        <v>0</v>
      </c>
      <c r="Y57" s="150">
        <v>0</v>
      </c>
      <c r="Z57" s="148">
        <v>0</v>
      </c>
      <c r="AA57" s="148">
        <v>0</v>
      </c>
      <c r="AB57" s="150">
        <v>0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92500000</v>
      </c>
      <c r="N58" s="148"/>
      <c r="O58" s="148"/>
      <c r="P58" s="148"/>
      <c r="Q58" s="148">
        <v>38011545</v>
      </c>
      <c r="R58" s="148"/>
      <c r="S58" s="148">
        <v>54488455</v>
      </c>
      <c r="T58" s="148">
        <v>52488455</v>
      </c>
      <c r="U58" s="148">
        <v>2000000</v>
      </c>
      <c r="V58" s="150">
        <v>0.96329497689005861</v>
      </c>
      <c r="W58" s="148">
        <v>49189728.090000004</v>
      </c>
      <c r="X58" s="148">
        <v>3298726.9099999964</v>
      </c>
      <c r="Y58" s="150">
        <v>6.2846713815447541E-2</v>
      </c>
      <c r="Z58" s="148">
        <v>49189728.090000004</v>
      </c>
      <c r="AA58" s="148">
        <v>0</v>
      </c>
      <c r="AB58" s="150">
        <v>0.93715328618455251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73000000</v>
      </c>
      <c r="N59" s="142">
        <v>0</v>
      </c>
      <c r="O59" s="142">
        <v>0</v>
      </c>
      <c r="P59" s="141">
        <v>90448916</v>
      </c>
      <c r="Q59" s="141">
        <v>38000000</v>
      </c>
      <c r="R59" s="142">
        <v>0</v>
      </c>
      <c r="S59" s="141">
        <v>125448916</v>
      </c>
      <c r="T59" s="141">
        <v>70506430</v>
      </c>
      <c r="U59" s="141">
        <v>54942486</v>
      </c>
      <c r="V59" s="143">
        <v>0.56203299516753102</v>
      </c>
      <c r="W59" s="141">
        <v>32482789.690000001</v>
      </c>
      <c r="X59" s="141">
        <v>38023640.310000002</v>
      </c>
      <c r="Y59" s="143">
        <v>0.53929322914236333</v>
      </c>
      <c r="Z59" s="141">
        <v>32482789.690000001</v>
      </c>
      <c r="AA59" s="142">
        <v>0</v>
      </c>
      <c r="AB59" s="724">
        <v>0.46070677085763667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/>
      <c r="N60" s="148"/>
      <c r="O60" s="148"/>
      <c r="P60" s="149">
        <v>23000000</v>
      </c>
      <c r="Q60" s="148"/>
      <c r="R60" s="148"/>
      <c r="S60" s="148">
        <v>23000000</v>
      </c>
      <c r="T60" s="148">
        <v>23000000</v>
      </c>
      <c r="U60" s="148">
        <v>0</v>
      </c>
      <c r="V60" s="150">
        <v>1</v>
      </c>
      <c r="W60" s="148">
        <v>17016359.690000001</v>
      </c>
      <c r="X60" s="148">
        <v>5983640.3099999987</v>
      </c>
      <c r="Y60" s="150">
        <v>0.26015827434782601</v>
      </c>
      <c r="Z60" s="148">
        <v>17016359.690000001</v>
      </c>
      <c r="AA60" s="148">
        <v>0</v>
      </c>
      <c r="AB60" s="150">
        <v>0.73984172565217399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>
        <v>10000000</v>
      </c>
      <c r="R61" s="148"/>
      <c r="S61" s="148">
        <v>0</v>
      </c>
      <c r="T61" s="148">
        <v>0</v>
      </c>
      <c r="U61" s="148">
        <v>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28000000</v>
      </c>
      <c r="N62" s="148"/>
      <c r="O62" s="148"/>
      <c r="P62" s="148"/>
      <c r="Q62" s="148">
        <v>20000000</v>
      </c>
      <c r="R62" s="148"/>
      <c r="S62" s="148">
        <v>8000000</v>
      </c>
      <c r="T62" s="148">
        <v>8000000</v>
      </c>
      <c r="U62" s="148">
        <v>0</v>
      </c>
      <c r="V62" s="150">
        <v>1</v>
      </c>
      <c r="W62" s="148">
        <v>0</v>
      </c>
      <c r="X62" s="148">
        <v>8000000</v>
      </c>
      <c r="Y62" s="150">
        <v>1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35000000</v>
      </c>
      <c r="N63" s="148"/>
      <c r="O63" s="148"/>
      <c r="P63" s="149">
        <v>67448916</v>
      </c>
      <c r="Q63" s="148">
        <v>8000000</v>
      </c>
      <c r="R63" s="148"/>
      <c r="S63" s="148">
        <v>94448916</v>
      </c>
      <c r="T63" s="148">
        <v>39506430</v>
      </c>
      <c r="U63" s="148">
        <v>54942486</v>
      </c>
      <c r="V63" s="150">
        <v>0.41828357246577608</v>
      </c>
      <c r="W63" s="148">
        <v>15466430</v>
      </c>
      <c r="X63" s="148">
        <v>24040000</v>
      </c>
      <c r="Y63" s="150">
        <v>0.60850853898972901</v>
      </c>
      <c r="Z63" s="148">
        <v>15466430</v>
      </c>
      <c r="AA63" s="148">
        <v>0</v>
      </c>
      <c r="AB63" s="150">
        <v>0.39149146101027099</v>
      </c>
    </row>
    <row r="64" spans="1:28" ht="24.95" hidden="1" customHeight="1">
      <c r="A64" s="32" t="e">
        <v>#REF!</v>
      </c>
      <c r="B64" s="32"/>
      <c r="C64" s="145" t="s">
        <v>23</v>
      </c>
      <c r="D64" s="145" t="s">
        <v>54</v>
      </c>
      <c r="E64" s="145" t="s">
        <v>54</v>
      </c>
      <c r="F64" s="145" t="s">
        <v>25</v>
      </c>
      <c r="G64" s="145" t="s">
        <v>38</v>
      </c>
      <c r="H64" s="145" t="s">
        <v>46</v>
      </c>
      <c r="I64" s="145"/>
      <c r="J64" s="145">
        <v>10</v>
      </c>
      <c r="K64" s="146" t="s">
        <v>29</v>
      </c>
      <c r="L64" s="147" t="s">
        <v>258</v>
      </c>
      <c r="M64" s="148"/>
      <c r="N64" s="148"/>
      <c r="O64" s="148"/>
      <c r="P64" s="148"/>
      <c r="Q64" s="148"/>
      <c r="R64" s="148"/>
      <c r="S64" s="148">
        <v>0</v>
      </c>
      <c r="T64" s="148">
        <v>0</v>
      </c>
      <c r="U64" s="148">
        <v>0</v>
      </c>
      <c r="V64" s="150">
        <v>0</v>
      </c>
      <c r="W64" s="148">
        <v>0</v>
      </c>
      <c r="X64" s="148">
        <v>0</v>
      </c>
      <c r="Y64" s="150">
        <v>0</v>
      </c>
      <c r="Z64" s="148">
        <v>0</v>
      </c>
      <c r="AA64" s="148">
        <v>0</v>
      </c>
      <c r="AB64" s="150">
        <v>0</v>
      </c>
    </row>
    <row r="65" spans="1:28" ht="24.95" customHeight="1">
      <c r="A65" s="32" t="e">
        <v>#REF!</v>
      </c>
      <c r="B65" s="132" t="s">
        <v>389</v>
      </c>
      <c r="C65" s="133" t="s">
        <v>23</v>
      </c>
      <c r="D65" s="133" t="s">
        <v>54</v>
      </c>
      <c r="E65" s="133" t="s">
        <v>54</v>
      </c>
      <c r="F65" s="133" t="s">
        <v>54</v>
      </c>
      <c r="G65" s="133"/>
      <c r="H65" s="134"/>
      <c r="I65" s="134"/>
      <c r="J65" s="133" t="s">
        <v>28</v>
      </c>
      <c r="K65" s="134" t="s">
        <v>29</v>
      </c>
      <c r="L65" s="134" t="s">
        <v>103</v>
      </c>
      <c r="M65" s="135">
        <v>41633116923</v>
      </c>
      <c r="N65" s="136">
        <v>0</v>
      </c>
      <c r="O65" s="136">
        <v>0</v>
      </c>
      <c r="P65" s="727">
        <v>3555512443.1300001</v>
      </c>
      <c r="Q65" s="727">
        <v>3398839046.1300001</v>
      </c>
      <c r="R65" s="136">
        <v>0</v>
      </c>
      <c r="S65" s="135">
        <v>41789790320</v>
      </c>
      <c r="T65" s="135">
        <v>41040534963.889999</v>
      </c>
      <c r="U65" s="135">
        <v>749255356.11000025</v>
      </c>
      <c r="V65" s="137">
        <v>0.98207085150768469</v>
      </c>
      <c r="W65" s="135">
        <v>35957985448.870003</v>
      </c>
      <c r="X65" s="135">
        <v>5082549515.0199995</v>
      </c>
      <c r="Y65" s="137">
        <v>0.12384218479344727</v>
      </c>
      <c r="Z65" s="135">
        <v>35683596197.870003</v>
      </c>
      <c r="AA65" s="135">
        <v>274389251</v>
      </c>
      <c r="AB65" s="723">
        <v>0.86947200442846662</v>
      </c>
    </row>
    <row r="66" spans="1:28" ht="31.5" customHeight="1">
      <c r="A66" s="32" t="e">
        <v>#REF!</v>
      </c>
      <c r="B66" s="138" t="s">
        <v>391</v>
      </c>
      <c r="C66" s="139" t="s">
        <v>23</v>
      </c>
      <c r="D66" s="139" t="s">
        <v>54</v>
      </c>
      <c r="E66" s="139" t="s">
        <v>54</v>
      </c>
      <c r="F66" s="139" t="s">
        <v>54</v>
      </c>
      <c r="G66" s="139" t="s">
        <v>42</v>
      </c>
      <c r="H66" s="140"/>
      <c r="I66" s="140"/>
      <c r="J66" s="139" t="s">
        <v>28</v>
      </c>
      <c r="K66" s="140" t="s">
        <v>29</v>
      </c>
      <c r="L66" s="140" t="s">
        <v>104</v>
      </c>
      <c r="M66" s="141">
        <v>4648096573</v>
      </c>
      <c r="N66" s="142">
        <v>0</v>
      </c>
      <c r="O66" s="142">
        <v>0</v>
      </c>
      <c r="P66" s="141">
        <v>236444542</v>
      </c>
      <c r="Q66" s="141">
        <v>816743781</v>
      </c>
      <c r="R66" s="142">
        <v>0</v>
      </c>
      <c r="S66" s="141">
        <v>4067797334</v>
      </c>
      <c r="T66" s="141">
        <v>3853693885</v>
      </c>
      <c r="U66" s="141">
        <v>214103449</v>
      </c>
      <c r="V66" s="143">
        <v>0.94736624481990483</v>
      </c>
      <c r="W66" s="141">
        <v>3525508954.7799997</v>
      </c>
      <c r="X66" s="141">
        <v>328184930.22000003</v>
      </c>
      <c r="Y66" s="143">
        <v>8.516113111563349E-2</v>
      </c>
      <c r="Z66" s="141">
        <v>3522853646.7799997</v>
      </c>
      <c r="AA66" s="141">
        <v>2655308</v>
      </c>
      <c r="AB66" s="724">
        <v>0.91414983958436535</v>
      </c>
    </row>
    <row r="67" spans="1:28" ht="24.95" customHeight="1">
      <c r="A67" s="32" t="e">
        <v>#REF!</v>
      </c>
      <c r="B67" s="144" t="s">
        <v>583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36</v>
      </c>
      <c r="I67" s="145"/>
      <c r="J67" s="145">
        <v>10</v>
      </c>
      <c r="K67" s="146" t="s">
        <v>29</v>
      </c>
      <c r="L67" s="147" t="s">
        <v>105</v>
      </c>
      <c r="M67" s="148">
        <v>12000000</v>
      </c>
      <c r="N67" s="148"/>
      <c r="O67" s="148"/>
      <c r="P67" s="148">
        <v>104342700</v>
      </c>
      <c r="Q67" s="148">
        <v>38258770</v>
      </c>
      <c r="R67" s="148"/>
      <c r="S67" s="148">
        <v>78083930</v>
      </c>
      <c r="T67" s="148">
        <v>50354776</v>
      </c>
      <c r="U67" s="148">
        <v>27729154</v>
      </c>
      <c r="V67" s="150">
        <v>0.64488014371202884</v>
      </c>
      <c r="W67" s="148">
        <v>19990655</v>
      </c>
      <c r="X67" s="148">
        <v>30364121</v>
      </c>
      <c r="Y67" s="150">
        <v>0.60300379451593633</v>
      </c>
      <c r="Z67" s="148">
        <v>19990655</v>
      </c>
      <c r="AA67" s="148">
        <v>0</v>
      </c>
      <c r="AB67" s="150">
        <v>0.39699620548406372</v>
      </c>
    </row>
    <row r="68" spans="1:28" ht="24.95" customHeight="1">
      <c r="A68" s="32" t="e">
        <v>#REF!</v>
      </c>
      <c r="B68" s="144" t="s">
        <v>585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38</v>
      </c>
      <c r="I68" s="145"/>
      <c r="J68" s="145">
        <v>10</v>
      </c>
      <c r="K68" s="146" t="s">
        <v>29</v>
      </c>
      <c r="L68" s="147" t="s">
        <v>106</v>
      </c>
      <c r="M68" s="148">
        <v>1885720708</v>
      </c>
      <c r="N68" s="148"/>
      <c r="O68" s="148"/>
      <c r="P68" s="148">
        <v>102101842</v>
      </c>
      <c r="Q68" s="148">
        <v>443835440</v>
      </c>
      <c r="R68" s="148"/>
      <c r="S68" s="148">
        <v>1543987110</v>
      </c>
      <c r="T68" s="148">
        <v>1498398486</v>
      </c>
      <c r="U68" s="148">
        <v>45588624</v>
      </c>
      <c r="V68" s="150">
        <v>0.97047344261831303</v>
      </c>
      <c r="W68" s="148">
        <v>1206535996</v>
      </c>
      <c r="X68" s="148">
        <v>291862490</v>
      </c>
      <c r="Y68" s="150">
        <v>0.19478295842325083</v>
      </c>
      <c r="Z68" s="148">
        <v>1206535996</v>
      </c>
      <c r="AA68" s="148">
        <v>0</v>
      </c>
      <c r="AB68" s="150">
        <v>0.80521704157674912</v>
      </c>
    </row>
    <row r="69" spans="1:28" ht="24.95" customHeight="1">
      <c r="A69" s="32" t="e">
        <v>#REF!</v>
      </c>
      <c r="B69" s="144" t="s">
        <v>587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40</v>
      </c>
      <c r="I69" s="145"/>
      <c r="J69" s="145">
        <v>10</v>
      </c>
      <c r="K69" s="146" t="s">
        <v>29</v>
      </c>
      <c r="L69" s="147" t="s">
        <v>107</v>
      </c>
      <c r="M69" s="148">
        <v>62000000</v>
      </c>
      <c r="N69" s="148"/>
      <c r="O69" s="148"/>
      <c r="P69" s="148"/>
      <c r="Q69" s="148"/>
      <c r="R69" s="148"/>
      <c r="S69" s="148">
        <v>62000000</v>
      </c>
      <c r="T69" s="148">
        <v>53170000</v>
      </c>
      <c r="U69" s="148">
        <v>8830000</v>
      </c>
      <c r="V69" s="150">
        <v>0.85758064516129029</v>
      </c>
      <c r="W69" s="148">
        <v>49867904</v>
      </c>
      <c r="X69" s="148">
        <v>3302096</v>
      </c>
      <c r="Y69" s="150">
        <v>6.2104495015986458E-2</v>
      </c>
      <c r="Z69" s="148">
        <v>49867904</v>
      </c>
      <c r="AA69" s="148">
        <v>0</v>
      </c>
      <c r="AB69" s="150">
        <v>0.93789550498401353</v>
      </c>
    </row>
    <row r="70" spans="1:28" ht="24.95" hidden="1" customHeight="1">
      <c r="A70" s="32" t="e">
        <v>#REF!</v>
      </c>
      <c r="B70" s="144" t="s">
        <v>589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42</v>
      </c>
      <c r="I70" s="145"/>
      <c r="J70" s="145">
        <v>10</v>
      </c>
      <c r="K70" s="146" t="s">
        <v>29</v>
      </c>
      <c r="L70" s="147" t="s">
        <v>259</v>
      </c>
      <c r="M70" s="148"/>
      <c r="N70" s="148"/>
      <c r="O70" s="148"/>
      <c r="P70" s="148"/>
      <c r="Q70" s="148"/>
      <c r="R70" s="148"/>
      <c r="S70" s="148">
        <v>0</v>
      </c>
      <c r="T70" s="148">
        <v>0</v>
      </c>
      <c r="U70" s="148">
        <v>0</v>
      </c>
      <c r="V70" s="150">
        <v>0</v>
      </c>
      <c r="W70" s="148">
        <v>0</v>
      </c>
      <c r="X70" s="148">
        <v>0</v>
      </c>
      <c r="Y70" s="150">
        <v>0</v>
      </c>
      <c r="Z70" s="148">
        <v>0</v>
      </c>
      <c r="AA70" s="148">
        <v>0</v>
      </c>
      <c r="AB70" s="150">
        <v>0</v>
      </c>
    </row>
    <row r="71" spans="1:28" ht="24.95" customHeight="1">
      <c r="A71" s="32" t="e">
        <v>#REF!</v>
      </c>
      <c r="B71" s="144" t="s">
        <v>591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42</v>
      </c>
      <c r="H71" s="145" t="s">
        <v>46</v>
      </c>
      <c r="I71" s="145"/>
      <c r="J71" s="145">
        <v>10</v>
      </c>
      <c r="K71" s="146" t="s">
        <v>29</v>
      </c>
      <c r="L71" s="147" t="s">
        <v>108</v>
      </c>
      <c r="M71" s="148">
        <v>1588375865</v>
      </c>
      <c r="N71" s="148"/>
      <c r="O71" s="148"/>
      <c r="P71" s="148">
        <v>30000000</v>
      </c>
      <c r="Q71" s="148">
        <v>119957553</v>
      </c>
      <c r="R71" s="148"/>
      <c r="S71" s="148">
        <v>1498418312</v>
      </c>
      <c r="T71" s="148">
        <v>1462496612</v>
      </c>
      <c r="U71" s="148">
        <v>35921700</v>
      </c>
      <c r="V71" s="150">
        <v>0.97602692137948188</v>
      </c>
      <c r="W71" s="148">
        <v>1462496612</v>
      </c>
      <c r="X71" s="148">
        <v>0</v>
      </c>
      <c r="Y71" s="150">
        <v>0</v>
      </c>
      <c r="Z71" s="148">
        <v>1462496612</v>
      </c>
      <c r="AA71" s="148">
        <v>0</v>
      </c>
      <c r="AB71" s="150">
        <v>1</v>
      </c>
    </row>
    <row r="72" spans="1:28" ht="24.95" customHeight="1">
      <c r="A72" s="32" t="e">
        <v>#REF!</v>
      </c>
      <c r="B72" s="144" t="s">
        <v>593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42</v>
      </c>
      <c r="H72" s="145" t="s">
        <v>48</v>
      </c>
      <c r="I72" s="145"/>
      <c r="J72" s="145">
        <v>10</v>
      </c>
      <c r="K72" s="146" t="s">
        <v>29</v>
      </c>
      <c r="L72" s="147" t="s">
        <v>109</v>
      </c>
      <c r="M72" s="148">
        <v>1100000000</v>
      </c>
      <c r="N72" s="148"/>
      <c r="O72" s="148"/>
      <c r="P72" s="148"/>
      <c r="Q72" s="148">
        <v>214692018</v>
      </c>
      <c r="R72" s="148"/>
      <c r="S72" s="148">
        <v>885307982</v>
      </c>
      <c r="T72" s="148">
        <v>789274011</v>
      </c>
      <c r="U72" s="148">
        <v>96033971</v>
      </c>
      <c r="V72" s="150">
        <v>0.89152478803698398</v>
      </c>
      <c r="W72" s="148">
        <v>786617787.77999997</v>
      </c>
      <c r="X72" s="148">
        <v>2656223.2200000286</v>
      </c>
      <c r="Y72" s="150">
        <v>3.3654005870972846E-3</v>
      </c>
      <c r="Z72" s="148">
        <v>783962479.77999997</v>
      </c>
      <c r="AA72" s="148">
        <v>2655308</v>
      </c>
      <c r="AB72" s="150">
        <v>0.99327035839775035</v>
      </c>
    </row>
    <row r="73" spans="1:28" ht="24.95" customHeight="1">
      <c r="A73" s="32" t="e">
        <v>#REF!</v>
      </c>
      <c r="B73" s="138" t="s">
        <v>393</v>
      </c>
      <c r="C73" s="139" t="s">
        <v>23</v>
      </c>
      <c r="D73" s="139" t="s">
        <v>54</v>
      </c>
      <c r="E73" s="139" t="s">
        <v>54</v>
      </c>
      <c r="F73" s="139" t="s">
        <v>54</v>
      </c>
      <c r="G73" s="139" t="s">
        <v>44</v>
      </c>
      <c r="H73" s="140"/>
      <c r="I73" s="140"/>
      <c r="J73" s="139" t="s">
        <v>28</v>
      </c>
      <c r="K73" s="140" t="s">
        <v>29</v>
      </c>
      <c r="L73" s="140" t="s">
        <v>110</v>
      </c>
      <c r="M73" s="141">
        <v>15081981155</v>
      </c>
      <c r="N73" s="142">
        <v>0</v>
      </c>
      <c r="O73" s="142">
        <v>0</v>
      </c>
      <c r="P73" s="141">
        <v>643894522</v>
      </c>
      <c r="Q73" s="141">
        <v>241945096</v>
      </c>
      <c r="R73" s="142">
        <v>0</v>
      </c>
      <c r="S73" s="141">
        <v>15483930581</v>
      </c>
      <c r="T73" s="141">
        <v>15481107131</v>
      </c>
      <c r="U73" s="141">
        <v>2823450</v>
      </c>
      <c r="V73" s="143">
        <v>0.99981765288954061</v>
      </c>
      <c r="W73" s="141">
        <v>14217931710.040001</v>
      </c>
      <c r="X73" s="141">
        <v>1263175420.96</v>
      </c>
      <c r="Y73" s="143">
        <v>8.1594643733881672E-2</v>
      </c>
      <c r="Z73" s="141">
        <v>14217931710.040001</v>
      </c>
      <c r="AA73" s="141">
        <v>0</v>
      </c>
      <c r="AB73" s="724">
        <v>0.91840535626611841</v>
      </c>
    </row>
    <row r="74" spans="1:28" ht="24.95" customHeight="1">
      <c r="A74" s="32" t="e">
        <v>#REF!</v>
      </c>
      <c r="B74" s="144" t="s">
        <v>595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44</v>
      </c>
      <c r="H74" s="145" t="s">
        <v>31</v>
      </c>
      <c r="I74" s="145"/>
      <c r="J74" s="145">
        <v>10</v>
      </c>
      <c r="K74" s="146" t="s">
        <v>29</v>
      </c>
      <c r="L74" s="147" t="s">
        <v>111</v>
      </c>
      <c r="M74" s="148">
        <v>520000000</v>
      </c>
      <c r="N74" s="148"/>
      <c r="O74" s="148"/>
      <c r="P74" s="148">
        <v>643894522</v>
      </c>
      <c r="Q74" s="148">
        <v>240118608</v>
      </c>
      <c r="R74" s="148"/>
      <c r="S74" s="148">
        <v>923775914</v>
      </c>
      <c r="T74" s="148">
        <v>922825138</v>
      </c>
      <c r="U74" s="148">
        <v>950776</v>
      </c>
      <c r="V74" s="150">
        <v>0.99897077203941909</v>
      </c>
      <c r="W74" s="148">
        <v>911632640.03999996</v>
      </c>
      <c r="X74" s="148">
        <v>11192497.960000038</v>
      </c>
      <c r="Y74" s="150">
        <v>1.2128514383837731E-2</v>
      </c>
      <c r="Z74" s="148">
        <v>911632640.03999996</v>
      </c>
      <c r="AA74" s="148">
        <v>0</v>
      </c>
      <c r="AB74" s="150">
        <v>0.98787148561616223</v>
      </c>
    </row>
    <row r="75" spans="1:28" ht="24.95" customHeight="1">
      <c r="A75" s="32" t="e">
        <v>#REF!</v>
      </c>
      <c r="B75" s="144" t="s">
        <v>597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44</v>
      </c>
      <c r="H75" s="145" t="s">
        <v>34</v>
      </c>
      <c r="I75" s="145"/>
      <c r="J75" s="145">
        <v>10</v>
      </c>
      <c r="K75" s="146" t="s">
        <v>29</v>
      </c>
      <c r="L75" s="147" t="s">
        <v>112</v>
      </c>
      <c r="M75" s="148">
        <v>14561981155</v>
      </c>
      <c r="N75" s="148"/>
      <c r="O75" s="148"/>
      <c r="P75" s="148"/>
      <c r="Q75" s="148">
        <v>1826488</v>
      </c>
      <c r="R75" s="148"/>
      <c r="S75" s="148">
        <v>14560154667</v>
      </c>
      <c r="T75" s="148">
        <v>14558281993</v>
      </c>
      <c r="U75" s="148">
        <v>1872674</v>
      </c>
      <c r="V75" s="150">
        <v>0.99987138364647699</v>
      </c>
      <c r="W75" s="148">
        <v>13306299070</v>
      </c>
      <c r="X75" s="148">
        <v>1251982923</v>
      </c>
      <c r="Y75" s="150">
        <v>8.5997985449243655E-2</v>
      </c>
      <c r="Z75" s="148">
        <v>13306299070</v>
      </c>
      <c r="AA75" s="148">
        <v>0</v>
      </c>
      <c r="AB75" s="150">
        <v>0.91400201455075636</v>
      </c>
    </row>
    <row r="76" spans="1:28" ht="24.95" customHeight="1">
      <c r="A76" s="32" t="e">
        <v>#REF!</v>
      </c>
      <c r="B76" s="138" t="s">
        <v>395</v>
      </c>
      <c r="C76" s="139" t="s">
        <v>23</v>
      </c>
      <c r="D76" s="139" t="s">
        <v>54</v>
      </c>
      <c r="E76" s="139" t="s">
        <v>54</v>
      </c>
      <c r="F76" s="139" t="s">
        <v>54</v>
      </c>
      <c r="G76" s="139" t="s">
        <v>46</v>
      </c>
      <c r="H76" s="140"/>
      <c r="I76" s="140"/>
      <c r="J76" s="139" t="s">
        <v>28</v>
      </c>
      <c r="K76" s="140" t="s">
        <v>29</v>
      </c>
      <c r="L76" s="140" t="s">
        <v>113</v>
      </c>
      <c r="M76" s="141">
        <v>18842006651</v>
      </c>
      <c r="N76" s="142">
        <v>0</v>
      </c>
      <c r="O76" s="142">
        <v>0</v>
      </c>
      <c r="P76" s="141">
        <v>2380518950.1300001</v>
      </c>
      <c r="Q76" s="141">
        <v>1810889297.1300001</v>
      </c>
      <c r="R76" s="142">
        <v>0</v>
      </c>
      <c r="S76" s="141">
        <v>19411636304</v>
      </c>
      <c r="T76" s="141">
        <v>19113907289.889999</v>
      </c>
      <c r="U76" s="141">
        <v>297729014.11000025</v>
      </c>
      <c r="V76" s="143">
        <v>0.98466234327455182</v>
      </c>
      <c r="W76" s="141">
        <v>16042995541.73</v>
      </c>
      <c r="X76" s="141">
        <v>3070911748.1599994</v>
      </c>
      <c r="Y76" s="143">
        <v>0.16066373565515354</v>
      </c>
      <c r="Z76" s="141">
        <v>15771396105.73</v>
      </c>
      <c r="AA76" s="141">
        <v>271599436</v>
      </c>
      <c r="AB76" s="724">
        <v>0.82512674496815375</v>
      </c>
    </row>
    <row r="77" spans="1:28" ht="24.95" customHeight="1">
      <c r="A77" s="32" t="e">
        <v>#REF!</v>
      </c>
      <c r="B77" s="144" t="s">
        <v>599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34</v>
      </c>
      <c r="I77" s="145"/>
      <c r="J77" s="145">
        <v>10</v>
      </c>
      <c r="K77" s="146" t="s">
        <v>29</v>
      </c>
      <c r="L77" s="147" t="s">
        <v>114</v>
      </c>
      <c r="M77" s="148">
        <v>49955000</v>
      </c>
      <c r="N77" s="148"/>
      <c r="O77" s="148"/>
      <c r="P77" s="148"/>
      <c r="Q77" s="148">
        <v>25329050</v>
      </c>
      <c r="R77" s="148"/>
      <c r="S77" s="148">
        <v>24625950</v>
      </c>
      <c r="T77" s="148">
        <v>24625950</v>
      </c>
      <c r="U77" s="148">
        <v>0</v>
      </c>
      <c r="V77" s="150">
        <v>1</v>
      </c>
      <c r="W77" s="148">
        <v>19084438.800000001</v>
      </c>
      <c r="X77" s="148">
        <v>5541511.1999999993</v>
      </c>
      <c r="Y77" s="150">
        <v>0.22502730656076209</v>
      </c>
      <c r="Z77" s="148">
        <v>19084438.800000001</v>
      </c>
      <c r="AA77" s="148">
        <v>0</v>
      </c>
      <c r="AB77" s="150">
        <v>0.77497269343923791</v>
      </c>
    </row>
    <row r="78" spans="1:28" ht="24.95" customHeight="1">
      <c r="A78" s="32" t="e">
        <v>#REF!</v>
      </c>
      <c r="B78" s="144" t="s">
        <v>601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36</v>
      </c>
      <c r="I78" s="145"/>
      <c r="J78" s="145">
        <v>10</v>
      </c>
      <c r="K78" s="146" t="s">
        <v>29</v>
      </c>
      <c r="L78" s="147" t="s">
        <v>115</v>
      </c>
      <c r="M78" s="148">
        <v>10819632797</v>
      </c>
      <c r="N78" s="148"/>
      <c r="O78" s="148"/>
      <c r="P78" s="148">
        <v>158746810</v>
      </c>
      <c r="Q78" s="148">
        <v>1084431386</v>
      </c>
      <c r="R78" s="148"/>
      <c r="S78" s="148">
        <v>9893948221</v>
      </c>
      <c r="T78" s="148">
        <v>9893648121</v>
      </c>
      <c r="U78" s="148">
        <v>300100</v>
      </c>
      <c r="V78" s="150">
        <v>0.99996966832721412</v>
      </c>
      <c r="W78" s="148">
        <v>8250086395</v>
      </c>
      <c r="X78" s="148">
        <v>1643561726</v>
      </c>
      <c r="Y78" s="150">
        <v>0.16612292108018464</v>
      </c>
      <c r="Z78" s="148">
        <v>7978486959</v>
      </c>
      <c r="AA78" s="148">
        <v>271599436</v>
      </c>
      <c r="AB78" s="150">
        <v>0.80642517920817003</v>
      </c>
    </row>
    <row r="79" spans="1:28" ht="24.95" customHeight="1">
      <c r="A79" s="32" t="e">
        <v>#REF!</v>
      </c>
      <c r="B79" s="144" t="s">
        <v>603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38</v>
      </c>
      <c r="I79" s="145"/>
      <c r="J79" s="145">
        <v>10</v>
      </c>
      <c r="K79" s="146" t="s">
        <v>29</v>
      </c>
      <c r="L79" s="147" t="s">
        <v>116</v>
      </c>
      <c r="M79" s="148">
        <v>2518099374</v>
      </c>
      <c r="N79" s="148"/>
      <c r="O79" s="148"/>
      <c r="P79" s="148"/>
      <c r="Q79" s="148">
        <v>312137488.13</v>
      </c>
      <c r="R79" s="148"/>
      <c r="S79" s="148">
        <v>2205961885.8699999</v>
      </c>
      <c r="T79" s="148">
        <v>2067946247.75</v>
      </c>
      <c r="U79" s="148">
        <v>138015638.11999989</v>
      </c>
      <c r="V79" s="150">
        <v>0.93743516648948422</v>
      </c>
      <c r="W79" s="148">
        <v>1916969532.9400001</v>
      </c>
      <c r="X79" s="148">
        <v>150976714.80999994</v>
      </c>
      <c r="Y79" s="150">
        <v>7.3008046013898112E-2</v>
      </c>
      <c r="Z79" s="148">
        <v>1916969532.9400001</v>
      </c>
      <c r="AA79" s="148">
        <v>0</v>
      </c>
      <c r="AB79" s="150">
        <v>0.9269919539861019</v>
      </c>
    </row>
    <row r="80" spans="1:28" ht="24.95" customHeight="1">
      <c r="A80" s="32" t="e">
        <v>#REF!</v>
      </c>
      <c r="B80" s="144" t="s">
        <v>605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40</v>
      </c>
      <c r="I80" s="145"/>
      <c r="J80" s="145">
        <v>10</v>
      </c>
      <c r="K80" s="146" t="s">
        <v>29</v>
      </c>
      <c r="L80" s="147" t="s">
        <v>117</v>
      </c>
      <c r="M80" s="148">
        <v>4954700583</v>
      </c>
      <c r="N80" s="148"/>
      <c r="O80" s="148"/>
      <c r="P80" s="148">
        <v>1848514910</v>
      </c>
      <c r="Q80" s="148">
        <v>192997457</v>
      </c>
      <c r="R80" s="148"/>
      <c r="S80" s="148">
        <v>6610218036</v>
      </c>
      <c r="T80" s="148">
        <v>6466828794.1899996</v>
      </c>
      <c r="U80" s="148">
        <v>143389241.81000042</v>
      </c>
      <c r="V80" s="150">
        <v>0.97830794067168647</v>
      </c>
      <c r="W80" s="148">
        <v>5432056188.3500004</v>
      </c>
      <c r="X80" s="148">
        <v>1034772605.8399992</v>
      </c>
      <c r="Y80" s="150">
        <v>0.16001237063360502</v>
      </c>
      <c r="Z80" s="148">
        <v>5432056188.3500004</v>
      </c>
      <c r="AA80" s="148">
        <v>0</v>
      </c>
      <c r="AB80" s="150">
        <v>0.83998762936639504</v>
      </c>
    </row>
    <row r="81" spans="1:28" ht="24.95" customHeight="1">
      <c r="A81" s="32" t="e">
        <v>#REF!</v>
      </c>
      <c r="B81" s="144" t="s">
        <v>607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46</v>
      </c>
      <c r="H81" s="145" t="s">
        <v>44</v>
      </c>
      <c r="I81" s="145"/>
      <c r="J81" s="145">
        <v>10</v>
      </c>
      <c r="K81" s="146" t="s">
        <v>29</v>
      </c>
      <c r="L81" s="147" t="s">
        <v>118</v>
      </c>
      <c r="M81" s="148">
        <v>396618897</v>
      </c>
      <c r="N81" s="148"/>
      <c r="O81" s="148"/>
      <c r="P81" s="148">
        <v>353257230.13</v>
      </c>
      <c r="Q81" s="149">
        <v>175993916</v>
      </c>
      <c r="R81" s="148"/>
      <c r="S81" s="148">
        <v>573882211.13</v>
      </c>
      <c r="T81" s="148">
        <v>558464672.95000005</v>
      </c>
      <c r="U81" s="148">
        <v>15417538.179999948</v>
      </c>
      <c r="V81" s="150">
        <v>0.97313466442940944</v>
      </c>
      <c r="W81" s="148">
        <v>362156882.63999999</v>
      </c>
      <c r="X81" s="148">
        <v>196307790.31000006</v>
      </c>
      <c r="Y81" s="150">
        <v>0.35151335405520934</v>
      </c>
      <c r="Z81" s="148">
        <v>362156882.63999999</v>
      </c>
      <c r="AA81" s="148">
        <v>0</v>
      </c>
      <c r="AB81" s="150">
        <v>0.64848664594479066</v>
      </c>
    </row>
    <row r="82" spans="1:28" ht="24.95" customHeight="1">
      <c r="A82" s="32" t="e">
        <v>#REF!</v>
      </c>
      <c r="B82" s="144" t="s">
        <v>609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46</v>
      </c>
      <c r="H82" s="145" t="s">
        <v>48</v>
      </c>
      <c r="I82" s="145"/>
      <c r="J82" s="145">
        <v>10</v>
      </c>
      <c r="K82" s="146" t="s">
        <v>29</v>
      </c>
      <c r="L82" s="147" t="s">
        <v>119</v>
      </c>
      <c r="M82" s="148">
        <v>103000000</v>
      </c>
      <c r="N82" s="148"/>
      <c r="O82" s="148"/>
      <c r="P82" s="148">
        <v>20000000</v>
      </c>
      <c r="Q82" s="148">
        <v>20000000</v>
      </c>
      <c r="R82" s="148"/>
      <c r="S82" s="148">
        <v>103000000</v>
      </c>
      <c r="T82" s="148">
        <v>102393504</v>
      </c>
      <c r="U82" s="148">
        <v>606496</v>
      </c>
      <c r="V82" s="150">
        <v>0.9941116893203884</v>
      </c>
      <c r="W82" s="148">
        <v>62642104</v>
      </c>
      <c r="X82" s="148">
        <v>39751400</v>
      </c>
      <c r="Y82" s="150">
        <v>0.38822189345136582</v>
      </c>
      <c r="Z82" s="148">
        <v>62642104</v>
      </c>
      <c r="AA82" s="148">
        <v>0</v>
      </c>
      <c r="AB82" s="150">
        <v>0.61177810654863418</v>
      </c>
    </row>
    <row r="83" spans="1:28" ht="24.95" customHeight="1">
      <c r="A83" s="32" t="e">
        <v>#REF!</v>
      </c>
      <c r="B83" s="138" t="s">
        <v>397</v>
      </c>
      <c r="C83" s="139" t="s">
        <v>23</v>
      </c>
      <c r="D83" s="139" t="s">
        <v>54</v>
      </c>
      <c r="E83" s="139" t="s">
        <v>54</v>
      </c>
      <c r="F83" s="139" t="s">
        <v>54</v>
      </c>
      <c r="G83" s="139" t="s">
        <v>48</v>
      </c>
      <c r="H83" s="140"/>
      <c r="I83" s="140"/>
      <c r="J83" s="139" t="s">
        <v>28</v>
      </c>
      <c r="K83" s="140" t="s">
        <v>29</v>
      </c>
      <c r="L83" s="140" t="s">
        <v>120</v>
      </c>
      <c r="M83" s="141">
        <v>2327016750</v>
      </c>
      <c r="N83" s="142">
        <v>0</v>
      </c>
      <c r="O83" s="142">
        <v>0</v>
      </c>
      <c r="P83" s="141">
        <v>5115982</v>
      </c>
      <c r="Q83" s="141">
        <v>433334467</v>
      </c>
      <c r="R83" s="142">
        <v>0</v>
      </c>
      <c r="S83" s="141">
        <v>1898798265</v>
      </c>
      <c r="T83" s="141">
        <v>1757755024</v>
      </c>
      <c r="U83" s="141">
        <v>141043241</v>
      </c>
      <c r="V83" s="143">
        <v>0.92571973358107107</v>
      </c>
      <c r="W83" s="141">
        <v>1506980380.3200002</v>
      </c>
      <c r="X83" s="141">
        <v>250774643.68000001</v>
      </c>
      <c r="Y83" s="143">
        <v>0.14266757327157553</v>
      </c>
      <c r="Z83" s="141">
        <v>1506845873.3200002</v>
      </c>
      <c r="AA83" s="141">
        <v>134507</v>
      </c>
      <c r="AB83" s="724">
        <v>0.8572559046885706</v>
      </c>
    </row>
    <row r="84" spans="1:28" ht="24.95" customHeight="1">
      <c r="A84" s="32" t="e">
        <v>#REF!</v>
      </c>
      <c r="B84" s="144" t="s">
        <v>611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34</v>
      </c>
      <c r="I84" s="145"/>
      <c r="J84" s="145">
        <v>10</v>
      </c>
      <c r="K84" s="146" t="s">
        <v>29</v>
      </c>
      <c r="L84" s="147" t="s">
        <v>121</v>
      </c>
      <c r="M84" s="148">
        <v>992069874</v>
      </c>
      <c r="N84" s="148"/>
      <c r="O84" s="148"/>
      <c r="P84" s="148"/>
      <c r="Q84" s="148">
        <v>238606848</v>
      </c>
      <c r="R84" s="148"/>
      <c r="S84" s="148">
        <v>753463026</v>
      </c>
      <c r="T84" s="148">
        <v>673463026</v>
      </c>
      <c r="U84" s="148">
        <v>80000000</v>
      </c>
      <c r="V84" s="150">
        <v>0.8938235888963183</v>
      </c>
      <c r="W84" s="148">
        <v>620393190</v>
      </c>
      <c r="X84" s="148">
        <v>53069836</v>
      </c>
      <c r="Y84" s="150">
        <v>7.8801409952979365E-2</v>
      </c>
      <c r="Z84" s="148">
        <v>620393190</v>
      </c>
      <c r="AA84" s="148">
        <v>0</v>
      </c>
      <c r="AB84" s="150">
        <v>0.92119859004702065</v>
      </c>
    </row>
    <row r="85" spans="1:28" ht="24.95" customHeight="1">
      <c r="A85" s="32" t="e">
        <v>#REF!</v>
      </c>
      <c r="B85" s="144" t="s">
        <v>613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36</v>
      </c>
      <c r="I85" s="145"/>
      <c r="J85" s="145">
        <v>10</v>
      </c>
      <c r="K85" s="146" t="s">
        <v>29</v>
      </c>
      <c r="L85" s="147" t="s">
        <v>122</v>
      </c>
      <c r="M85" s="148">
        <v>364946876</v>
      </c>
      <c r="N85" s="148"/>
      <c r="O85" s="148"/>
      <c r="P85" s="148"/>
      <c r="Q85" s="148">
        <v>140562050</v>
      </c>
      <c r="R85" s="148"/>
      <c r="S85" s="148">
        <v>224384826</v>
      </c>
      <c r="T85" s="148">
        <v>196802199</v>
      </c>
      <c r="U85" s="148">
        <v>27582627</v>
      </c>
      <c r="V85" s="150">
        <v>0.87707445511489268</v>
      </c>
      <c r="W85" s="148">
        <v>125341496</v>
      </c>
      <c r="X85" s="148">
        <v>71460703</v>
      </c>
      <c r="Y85" s="150">
        <v>0.36310927094874584</v>
      </c>
      <c r="Z85" s="148">
        <v>125341496</v>
      </c>
      <c r="AA85" s="148">
        <v>0</v>
      </c>
      <c r="AB85" s="150">
        <v>0.6368907290512541</v>
      </c>
    </row>
    <row r="86" spans="1:28" ht="24.95" customHeight="1">
      <c r="A86" s="32" t="e">
        <v>#REF!</v>
      </c>
      <c r="B86" s="144" t="s">
        <v>615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38</v>
      </c>
      <c r="I86" s="145"/>
      <c r="J86" s="145">
        <v>10</v>
      </c>
      <c r="K86" s="146" t="s">
        <v>29</v>
      </c>
      <c r="L86" s="147" t="s">
        <v>123</v>
      </c>
      <c r="M86" s="148">
        <v>115000000</v>
      </c>
      <c r="N86" s="148"/>
      <c r="O86" s="148"/>
      <c r="P86" s="148"/>
      <c r="Q86" s="148">
        <v>35000000</v>
      </c>
      <c r="R86" s="148"/>
      <c r="S86" s="148">
        <v>80000000</v>
      </c>
      <c r="T86" s="148">
        <v>76539386</v>
      </c>
      <c r="U86" s="148">
        <v>3460614</v>
      </c>
      <c r="V86" s="150">
        <v>0.956742325</v>
      </c>
      <c r="W86" s="148">
        <v>76412715.430000007</v>
      </c>
      <c r="X86" s="148">
        <v>126670.56999999285</v>
      </c>
      <c r="Y86" s="150">
        <v>1.6549723824540851E-3</v>
      </c>
      <c r="Z86" s="148">
        <v>76278208.430000007</v>
      </c>
      <c r="AA86" s="148">
        <v>134507</v>
      </c>
      <c r="AB86" s="150">
        <v>0.99658767095414125</v>
      </c>
    </row>
    <row r="87" spans="1:28" ht="24.95" customHeight="1">
      <c r="A87" s="32" t="e">
        <v>#REF!</v>
      </c>
      <c r="B87" s="144" t="s">
        <v>617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48</v>
      </c>
      <c r="H87" s="145" t="s">
        <v>42</v>
      </c>
      <c r="I87" s="145"/>
      <c r="J87" s="145">
        <v>10</v>
      </c>
      <c r="K87" s="146" t="s">
        <v>29</v>
      </c>
      <c r="L87" s="147" t="s">
        <v>124</v>
      </c>
      <c r="M87" s="148">
        <v>830000000</v>
      </c>
      <c r="N87" s="148"/>
      <c r="O87" s="148"/>
      <c r="P87" s="148"/>
      <c r="Q87" s="148">
        <v>4484028</v>
      </c>
      <c r="R87" s="148"/>
      <c r="S87" s="148">
        <v>825515972</v>
      </c>
      <c r="T87" s="148">
        <v>795515972</v>
      </c>
      <c r="U87" s="148">
        <v>30000000</v>
      </c>
      <c r="V87" s="150">
        <v>0.96365909198907662</v>
      </c>
      <c r="W87" s="148">
        <v>669398537.88999999</v>
      </c>
      <c r="X87" s="148">
        <v>126117434.11000001</v>
      </c>
      <c r="Y87" s="150">
        <v>0.15853538904181802</v>
      </c>
      <c r="Z87" s="148">
        <v>669398537.88999999</v>
      </c>
      <c r="AA87" s="148">
        <v>0</v>
      </c>
      <c r="AB87" s="150">
        <v>0.84146461095818192</v>
      </c>
    </row>
    <row r="88" spans="1:28" ht="24.95" customHeight="1">
      <c r="A88" s="32" t="e">
        <v>#REF!</v>
      </c>
      <c r="B88" s="144" t="s">
        <v>619</v>
      </c>
      <c r="C88" s="145" t="s">
        <v>23</v>
      </c>
      <c r="D88" s="145" t="s">
        <v>54</v>
      </c>
      <c r="E88" s="145" t="s">
        <v>54</v>
      </c>
      <c r="F88" s="145" t="s">
        <v>54</v>
      </c>
      <c r="G88" s="145" t="s">
        <v>48</v>
      </c>
      <c r="H88" s="145" t="s">
        <v>44</v>
      </c>
      <c r="I88" s="145"/>
      <c r="J88" s="145">
        <v>10</v>
      </c>
      <c r="K88" s="146" t="s">
        <v>29</v>
      </c>
      <c r="L88" s="147" t="s">
        <v>125</v>
      </c>
      <c r="M88" s="148">
        <v>25000000</v>
      </c>
      <c r="N88" s="148"/>
      <c r="O88" s="148"/>
      <c r="P88" s="149">
        <v>5115982</v>
      </c>
      <c r="Q88" s="148">
        <v>14681541</v>
      </c>
      <c r="R88" s="148"/>
      <c r="S88" s="148">
        <v>15434441</v>
      </c>
      <c r="T88" s="148">
        <v>15434441</v>
      </c>
      <c r="U88" s="148">
        <v>0</v>
      </c>
      <c r="V88" s="150">
        <v>1</v>
      </c>
      <c r="W88" s="148">
        <v>15434441</v>
      </c>
      <c r="X88" s="148">
        <v>0</v>
      </c>
      <c r="Y88" s="150">
        <v>0</v>
      </c>
      <c r="Z88" s="148">
        <v>15434441</v>
      </c>
      <c r="AA88" s="148">
        <v>0</v>
      </c>
      <c r="AB88" s="150">
        <v>1</v>
      </c>
    </row>
    <row r="89" spans="1:28" ht="24.95" customHeight="1">
      <c r="A89" s="32" t="e">
        <v>#REF!</v>
      </c>
      <c r="B89" s="144" t="s">
        <v>399</v>
      </c>
      <c r="C89" s="145" t="s">
        <v>23</v>
      </c>
      <c r="D89" s="145" t="s">
        <v>54</v>
      </c>
      <c r="E89" s="145" t="s">
        <v>54</v>
      </c>
      <c r="F89" s="145" t="s">
        <v>54</v>
      </c>
      <c r="G89" s="145" t="s">
        <v>50</v>
      </c>
      <c r="H89" s="145"/>
      <c r="I89" s="145"/>
      <c r="J89" s="145" t="s">
        <v>28</v>
      </c>
      <c r="K89" s="146" t="s">
        <v>29</v>
      </c>
      <c r="L89" s="152" t="s">
        <v>126</v>
      </c>
      <c r="M89" s="153">
        <v>734015794</v>
      </c>
      <c r="N89" s="153"/>
      <c r="O89" s="153"/>
      <c r="P89" s="153">
        <v>289538447</v>
      </c>
      <c r="Q89" s="153">
        <v>95926405</v>
      </c>
      <c r="R89" s="153"/>
      <c r="S89" s="153">
        <v>927627836</v>
      </c>
      <c r="T89" s="153">
        <v>834071634</v>
      </c>
      <c r="U89" s="153">
        <v>93556202</v>
      </c>
      <c r="V89" s="154">
        <v>0.89914468025946559</v>
      </c>
      <c r="W89" s="153">
        <v>664568862</v>
      </c>
      <c r="X89" s="153">
        <v>169502772</v>
      </c>
      <c r="Y89" s="154">
        <v>0.20322327854156469</v>
      </c>
      <c r="Z89" s="153">
        <v>664568862</v>
      </c>
      <c r="AA89" s="148">
        <v>0</v>
      </c>
      <c r="AB89" s="150">
        <v>0.79677672145843526</v>
      </c>
    </row>
    <row r="90" spans="1:28" ht="36" customHeight="1">
      <c r="A90" s="32" t="e">
        <v>#REF!</v>
      </c>
      <c r="B90" s="122" t="s">
        <v>401</v>
      </c>
      <c r="C90" s="123" t="s">
        <v>23</v>
      </c>
      <c r="D90" s="123" t="s">
        <v>65</v>
      </c>
      <c r="E90" s="123"/>
      <c r="F90" s="123"/>
      <c r="G90" s="123"/>
      <c r="H90" s="123"/>
      <c r="I90" s="123"/>
      <c r="J90" s="124"/>
      <c r="K90" s="124"/>
      <c r="L90" s="124" t="s">
        <v>127</v>
      </c>
      <c r="M90" s="125">
        <v>25816000000</v>
      </c>
      <c r="N90" s="125">
        <v>5915796693840</v>
      </c>
      <c r="O90" s="719">
        <v>0</v>
      </c>
      <c r="P90" s="125">
        <v>100000000</v>
      </c>
      <c r="Q90" s="125">
        <v>8922468942</v>
      </c>
      <c r="R90" s="125">
        <v>13784531058</v>
      </c>
      <c r="S90" s="125">
        <v>5919005693840</v>
      </c>
      <c r="T90" s="125">
        <v>5414256703458.4102</v>
      </c>
      <c r="U90" s="125">
        <v>504748990381.58984</v>
      </c>
      <c r="V90" s="126">
        <v>0.91472402351177162</v>
      </c>
      <c r="W90" s="125">
        <v>5403602964500.9102</v>
      </c>
      <c r="X90" s="125">
        <v>10653738957.5</v>
      </c>
      <c r="Y90" s="126">
        <v>1.9677195857179838E-3</v>
      </c>
      <c r="Z90" s="125">
        <v>5403602964500.9102</v>
      </c>
      <c r="AA90" s="125">
        <v>0</v>
      </c>
      <c r="AB90" s="720">
        <v>0.99803228041428205</v>
      </c>
    </row>
    <row r="91" spans="1:28" ht="24" customHeight="1">
      <c r="A91" s="32" t="e">
        <v>#REF!</v>
      </c>
      <c r="B91" s="127" t="s">
        <v>621</v>
      </c>
      <c r="C91" s="128" t="s">
        <v>23</v>
      </c>
      <c r="D91" s="128" t="s">
        <v>65</v>
      </c>
      <c r="E91" s="128" t="s">
        <v>65</v>
      </c>
      <c r="F91" s="128"/>
      <c r="G91" s="128"/>
      <c r="H91" s="128"/>
      <c r="I91" s="128"/>
      <c r="J91" s="129"/>
      <c r="K91" s="129"/>
      <c r="L91" s="129" t="s">
        <v>128</v>
      </c>
      <c r="M91" s="130">
        <v>22607000000</v>
      </c>
      <c r="N91" s="130">
        <v>5915796693840</v>
      </c>
      <c r="O91" s="721">
        <v>0</v>
      </c>
      <c r="P91" s="130">
        <v>0</v>
      </c>
      <c r="Q91" s="130">
        <v>8822468942</v>
      </c>
      <c r="R91" s="130">
        <v>13784531058</v>
      </c>
      <c r="S91" s="130">
        <v>5915796693840</v>
      </c>
      <c r="T91" s="130">
        <v>5411926106933.4102</v>
      </c>
      <c r="U91" s="130">
        <v>503870586906.58984</v>
      </c>
      <c r="V91" s="131">
        <v>0.91482625029503462</v>
      </c>
      <c r="W91" s="130">
        <v>5401605338906.9102</v>
      </c>
      <c r="X91" s="130">
        <v>10320768026.5</v>
      </c>
      <c r="Y91" s="131">
        <v>1.9070415638671966E-3</v>
      </c>
      <c r="Z91" s="130">
        <v>5401605338906.9102</v>
      </c>
      <c r="AA91" s="130">
        <v>0</v>
      </c>
      <c r="AB91" s="722">
        <v>0.99809295843613277</v>
      </c>
    </row>
    <row r="92" spans="1:28" ht="24" customHeight="1">
      <c r="A92" s="32" t="e">
        <v>#REF!</v>
      </c>
      <c r="B92" s="132" t="s">
        <v>623</v>
      </c>
      <c r="C92" s="133" t="s">
        <v>23</v>
      </c>
      <c r="D92" s="133" t="s">
        <v>65</v>
      </c>
      <c r="E92" s="133" t="s">
        <v>65</v>
      </c>
      <c r="F92" s="133" t="s">
        <v>25</v>
      </c>
      <c r="G92" s="133"/>
      <c r="H92" s="133"/>
      <c r="I92" s="133"/>
      <c r="J92" s="133"/>
      <c r="K92" s="134"/>
      <c r="L92" s="134" t="s">
        <v>129</v>
      </c>
      <c r="M92" s="135">
        <v>22607000000</v>
      </c>
      <c r="N92" s="135">
        <v>5915796693840</v>
      </c>
      <c r="O92" s="136">
        <v>0</v>
      </c>
      <c r="P92" s="136">
        <v>0</v>
      </c>
      <c r="Q92" s="136">
        <v>8822468942</v>
      </c>
      <c r="R92" s="135">
        <v>13784531058</v>
      </c>
      <c r="S92" s="135">
        <v>5915796693840</v>
      </c>
      <c r="T92" s="135">
        <v>5411926106933.4102</v>
      </c>
      <c r="U92" s="135">
        <v>503870586906.58984</v>
      </c>
      <c r="V92" s="137">
        <v>0.91482625029503462</v>
      </c>
      <c r="W92" s="135">
        <v>5401605338906.9102</v>
      </c>
      <c r="X92" s="135">
        <v>10320768026.5</v>
      </c>
      <c r="Y92" s="137">
        <v>1.9070415638671966E-3</v>
      </c>
      <c r="Z92" s="135">
        <v>5401605338906.9102</v>
      </c>
      <c r="AA92" s="135">
        <v>0</v>
      </c>
      <c r="AB92" s="723">
        <v>0.99809295843613277</v>
      </c>
    </row>
    <row r="93" spans="1:28" ht="24.95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131</v>
      </c>
      <c r="M93" s="148"/>
      <c r="N93" s="148">
        <v>14432339552</v>
      </c>
      <c r="O93" s="148"/>
      <c r="P93" s="148"/>
      <c r="Q93" s="148"/>
      <c r="R93" s="148"/>
      <c r="S93" s="148">
        <v>14432339552</v>
      </c>
      <c r="T93" s="149">
        <v>12218664025</v>
      </c>
      <c r="U93" s="148">
        <v>2213675527</v>
      </c>
      <c r="V93" s="150">
        <v>0.84661700072783874</v>
      </c>
      <c r="W93" s="148">
        <v>11758066398.5</v>
      </c>
      <c r="X93" s="148">
        <v>460597626.5</v>
      </c>
      <c r="Y93" s="150">
        <v>3.7696234674887051E-2</v>
      </c>
      <c r="Z93" s="148">
        <v>11758066398.5</v>
      </c>
      <c r="AA93" s="148">
        <v>0</v>
      </c>
      <c r="AB93" s="150">
        <v>0.96230376532511297</v>
      </c>
    </row>
    <row r="94" spans="1:28" ht="24.95" customHeight="1">
      <c r="A94" s="32" t="e">
        <v>#REF!</v>
      </c>
      <c r="B94" s="144" t="s">
        <v>625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130</v>
      </c>
      <c r="H94" s="145"/>
      <c r="I94" s="145"/>
      <c r="J94" s="145">
        <v>54</v>
      </c>
      <c r="K94" s="146" t="s">
        <v>29</v>
      </c>
      <c r="L94" s="147" t="s">
        <v>132</v>
      </c>
      <c r="M94" s="148"/>
      <c r="N94" s="149">
        <v>5083649314288</v>
      </c>
      <c r="O94" s="148"/>
      <c r="P94" s="148"/>
      <c r="Q94" s="148"/>
      <c r="R94" s="148"/>
      <c r="S94" s="148">
        <v>5083649314288</v>
      </c>
      <c r="T94" s="149">
        <v>4581992402908.4102</v>
      </c>
      <c r="U94" s="148">
        <v>501656911379.58984</v>
      </c>
      <c r="V94" s="150">
        <v>0.90131952847934593</v>
      </c>
      <c r="W94" s="148">
        <v>4577340072508.4102</v>
      </c>
      <c r="X94" s="148">
        <v>4652330400</v>
      </c>
      <c r="Y94" s="150">
        <v>1.0153509632724277E-3</v>
      </c>
      <c r="Z94" s="148">
        <v>4577340072508.4102</v>
      </c>
      <c r="AA94" s="148">
        <v>0</v>
      </c>
      <c r="AB94" s="150">
        <v>0.99898464903672757</v>
      </c>
    </row>
    <row r="95" spans="1:28" ht="24.95" customHeight="1">
      <c r="A95" s="32" t="e">
        <v>#REF!</v>
      </c>
      <c r="B95" s="144" t="s">
        <v>625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130</v>
      </c>
      <c r="H95" s="145"/>
      <c r="I95" s="145"/>
      <c r="J95" s="145">
        <v>54</v>
      </c>
      <c r="K95" s="146" t="s">
        <v>29</v>
      </c>
      <c r="L95" s="147" t="s">
        <v>133</v>
      </c>
      <c r="M95" s="148"/>
      <c r="N95" s="149">
        <v>817715040000</v>
      </c>
      <c r="O95" s="148"/>
      <c r="P95" s="148"/>
      <c r="Q95" s="148"/>
      <c r="R95" s="148"/>
      <c r="S95" s="148">
        <v>817715040000</v>
      </c>
      <c r="T95" s="149">
        <v>817715040000</v>
      </c>
      <c r="U95" s="148">
        <v>0</v>
      </c>
      <c r="V95" s="150">
        <v>1</v>
      </c>
      <c r="W95" s="148">
        <v>812507200000</v>
      </c>
      <c r="X95" s="148">
        <v>5207840000</v>
      </c>
      <c r="Y95" s="150">
        <v>6.3687712042082532E-3</v>
      </c>
      <c r="Z95" s="148">
        <v>812507200000</v>
      </c>
      <c r="AA95" s="148">
        <v>0</v>
      </c>
      <c r="AB95" s="150">
        <v>0.9936312287957918</v>
      </c>
    </row>
    <row r="96" spans="1:28" ht="24.95" customHeight="1">
      <c r="A96" s="32" t="e">
        <v>#REF!</v>
      </c>
      <c r="B96" s="144" t="s">
        <v>627</v>
      </c>
      <c r="C96" s="145" t="s">
        <v>23</v>
      </c>
      <c r="D96" s="145" t="s">
        <v>65</v>
      </c>
      <c r="E96" s="145" t="s">
        <v>65</v>
      </c>
      <c r="F96" s="145" t="s">
        <v>25</v>
      </c>
      <c r="G96" s="145" t="s">
        <v>134</v>
      </c>
      <c r="H96" s="145"/>
      <c r="I96" s="145"/>
      <c r="J96" s="145" t="s">
        <v>28</v>
      </c>
      <c r="K96" s="146" t="s">
        <v>29</v>
      </c>
      <c r="L96" s="147" t="s">
        <v>135</v>
      </c>
      <c r="M96" s="148">
        <v>11607000000</v>
      </c>
      <c r="N96" s="148"/>
      <c r="O96" s="148"/>
      <c r="P96" s="148"/>
      <c r="Q96" s="148"/>
      <c r="R96" s="148">
        <v>11607000000</v>
      </c>
      <c r="S96" s="148">
        <v>0</v>
      </c>
      <c r="T96" s="148"/>
      <c r="U96" s="148">
        <v>0</v>
      </c>
      <c r="V96" s="150">
        <v>0</v>
      </c>
      <c r="W96" s="148"/>
      <c r="X96" s="148">
        <v>0</v>
      </c>
      <c r="Y96" s="150">
        <v>0</v>
      </c>
      <c r="Z96" s="148"/>
      <c r="AA96" s="148">
        <v>0</v>
      </c>
      <c r="AB96" s="150">
        <v>0</v>
      </c>
    </row>
    <row r="97" spans="1:30" ht="24.95" customHeight="1">
      <c r="A97" s="32" t="e">
        <v>#REF!</v>
      </c>
      <c r="B97" s="144" t="s">
        <v>627</v>
      </c>
      <c r="C97" s="145" t="s">
        <v>23</v>
      </c>
      <c r="D97" s="145" t="s">
        <v>65</v>
      </c>
      <c r="E97" s="145" t="s">
        <v>65</v>
      </c>
      <c r="F97" s="145" t="s">
        <v>25</v>
      </c>
      <c r="G97" s="145" t="s">
        <v>134</v>
      </c>
      <c r="H97" s="145"/>
      <c r="I97" s="145"/>
      <c r="J97" s="145">
        <v>11</v>
      </c>
      <c r="K97" s="146" t="s">
        <v>29</v>
      </c>
      <c r="L97" s="147" t="s">
        <v>135</v>
      </c>
      <c r="M97" s="148">
        <v>11000000000</v>
      </c>
      <c r="N97" s="148"/>
      <c r="O97" s="148"/>
      <c r="P97" s="148"/>
      <c r="Q97" s="148">
        <v>8822468942</v>
      </c>
      <c r="R97" s="148">
        <v>2177531058</v>
      </c>
      <c r="S97" s="148">
        <v>0</v>
      </c>
      <c r="T97" s="148"/>
      <c r="U97" s="148">
        <v>0</v>
      </c>
      <c r="V97" s="150">
        <v>0</v>
      </c>
      <c r="W97" s="148"/>
      <c r="X97" s="148">
        <v>0</v>
      </c>
      <c r="Y97" s="150">
        <v>0</v>
      </c>
      <c r="Z97" s="148"/>
      <c r="AA97" s="148">
        <v>0</v>
      </c>
      <c r="AB97" s="150">
        <v>0</v>
      </c>
    </row>
    <row r="98" spans="1:30" ht="24" customHeight="1">
      <c r="A98" s="32" t="e">
        <v>#REF!</v>
      </c>
      <c r="B98" s="127" t="s">
        <v>403</v>
      </c>
      <c r="C98" s="128" t="s">
        <v>23</v>
      </c>
      <c r="D98" s="128" t="s">
        <v>65</v>
      </c>
      <c r="E98" s="128" t="s">
        <v>136</v>
      </c>
      <c r="F98" s="128"/>
      <c r="G98" s="128"/>
      <c r="H98" s="128"/>
      <c r="I98" s="128"/>
      <c r="J98" s="129"/>
      <c r="K98" s="129"/>
      <c r="L98" s="129" t="s">
        <v>137</v>
      </c>
      <c r="M98" s="130">
        <v>534000000</v>
      </c>
      <c r="N98" s="721">
        <v>0</v>
      </c>
      <c r="O98" s="721">
        <v>0</v>
      </c>
      <c r="P98" s="130">
        <v>100000000</v>
      </c>
      <c r="Q98" s="130">
        <v>100000000</v>
      </c>
      <c r="R98" s="721">
        <v>0</v>
      </c>
      <c r="S98" s="130">
        <v>534000000</v>
      </c>
      <c r="T98" s="130">
        <v>466777324</v>
      </c>
      <c r="U98" s="130">
        <v>67222676</v>
      </c>
      <c r="V98" s="131">
        <v>0.87411483895131081</v>
      </c>
      <c r="W98" s="130">
        <v>133806393</v>
      </c>
      <c r="X98" s="130">
        <v>332970931</v>
      </c>
      <c r="Y98" s="131">
        <v>0.71333998864092207</v>
      </c>
      <c r="Z98" s="130">
        <v>133806393</v>
      </c>
      <c r="AA98" s="721">
        <v>0</v>
      </c>
      <c r="AB98" s="722">
        <v>0.28666001135907793</v>
      </c>
    </row>
    <row r="99" spans="1:30" ht="24" customHeight="1">
      <c r="A99" s="32" t="e">
        <v>#REF!</v>
      </c>
      <c r="B99" s="132" t="s">
        <v>405</v>
      </c>
      <c r="C99" s="133" t="s">
        <v>23</v>
      </c>
      <c r="D99" s="133" t="s">
        <v>65</v>
      </c>
      <c r="E99" s="133" t="s">
        <v>136</v>
      </c>
      <c r="F99" s="133" t="s">
        <v>54</v>
      </c>
      <c r="G99" s="133"/>
      <c r="H99" s="133"/>
      <c r="I99" s="133"/>
      <c r="J99" s="133" t="s">
        <v>28</v>
      </c>
      <c r="K99" s="134" t="s">
        <v>29</v>
      </c>
      <c r="L99" s="134" t="s">
        <v>138</v>
      </c>
      <c r="M99" s="135">
        <v>534000000</v>
      </c>
      <c r="N99" s="136">
        <v>0</v>
      </c>
      <c r="O99" s="136">
        <v>0</v>
      </c>
      <c r="P99" s="135">
        <v>100000000</v>
      </c>
      <c r="Q99" s="135">
        <v>100000000</v>
      </c>
      <c r="R99" s="136">
        <v>0</v>
      </c>
      <c r="S99" s="135">
        <v>534000000</v>
      </c>
      <c r="T99" s="135">
        <v>466777324</v>
      </c>
      <c r="U99" s="135">
        <v>67222676</v>
      </c>
      <c r="V99" s="137">
        <v>0.87411483895131081</v>
      </c>
      <c r="W99" s="135">
        <v>133806393</v>
      </c>
      <c r="X99" s="135">
        <v>332970931</v>
      </c>
      <c r="Y99" s="137">
        <v>0.71333998864092207</v>
      </c>
      <c r="Z99" s="135">
        <v>133806393</v>
      </c>
      <c r="AA99" s="136">
        <v>0</v>
      </c>
      <c r="AB99" s="723">
        <v>0.28666001135907793</v>
      </c>
    </row>
    <row r="100" spans="1:30" ht="24.95" customHeight="1">
      <c r="A100" s="32" t="e">
        <v>#REF!</v>
      </c>
      <c r="B100" s="138" t="s">
        <v>407</v>
      </c>
      <c r="C100" s="139" t="s">
        <v>23</v>
      </c>
      <c r="D100" s="139" t="s">
        <v>65</v>
      </c>
      <c r="E100" s="139" t="s">
        <v>136</v>
      </c>
      <c r="F100" s="139" t="s">
        <v>54</v>
      </c>
      <c r="G100" s="139" t="s">
        <v>52</v>
      </c>
      <c r="H100" s="139"/>
      <c r="I100" s="139"/>
      <c r="J100" s="139" t="s">
        <v>28</v>
      </c>
      <c r="K100" s="140" t="s">
        <v>29</v>
      </c>
      <c r="L100" s="140" t="s">
        <v>139</v>
      </c>
      <c r="M100" s="141">
        <v>534000000</v>
      </c>
      <c r="N100" s="142">
        <v>0</v>
      </c>
      <c r="O100" s="142">
        <v>0</v>
      </c>
      <c r="P100" s="141">
        <v>100000000</v>
      </c>
      <c r="Q100" s="141">
        <v>100000000</v>
      </c>
      <c r="R100" s="142">
        <v>0</v>
      </c>
      <c r="S100" s="141">
        <v>534000000</v>
      </c>
      <c r="T100" s="141">
        <v>466777324</v>
      </c>
      <c r="U100" s="141">
        <v>67222676</v>
      </c>
      <c r="V100" s="143">
        <v>0.87411483895131081</v>
      </c>
      <c r="W100" s="141">
        <v>133806393</v>
      </c>
      <c r="X100" s="141">
        <v>332970931</v>
      </c>
      <c r="Y100" s="143">
        <v>0.71333998864092207</v>
      </c>
      <c r="Z100" s="141">
        <v>133806393</v>
      </c>
      <c r="AA100" s="142">
        <v>0</v>
      </c>
      <c r="AB100" s="724">
        <v>0.28666001135907793</v>
      </c>
    </row>
    <row r="101" spans="1:30" ht="24.95" customHeight="1">
      <c r="A101" s="32" t="e">
        <v>#REF!</v>
      </c>
      <c r="B101" s="144" t="s">
        <v>409</v>
      </c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52</v>
      </c>
      <c r="H101" s="145" t="s">
        <v>31</v>
      </c>
      <c r="I101" s="145"/>
      <c r="J101" s="145" t="s">
        <v>28</v>
      </c>
      <c r="K101" s="146" t="s">
        <v>29</v>
      </c>
      <c r="L101" s="147" t="s">
        <v>140</v>
      </c>
      <c r="M101" s="148">
        <v>367000000</v>
      </c>
      <c r="N101" s="148"/>
      <c r="O101" s="148"/>
      <c r="P101" s="148"/>
      <c r="Q101" s="149">
        <v>100000000</v>
      </c>
      <c r="R101" s="148"/>
      <c r="S101" s="148">
        <v>267000000</v>
      </c>
      <c r="T101" s="148">
        <v>209666082</v>
      </c>
      <c r="U101" s="148">
        <v>57333918</v>
      </c>
      <c r="V101" s="150">
        <v>0.78526622471910112</v>
      </c>
      <c r="W101" s="148">
        <v>98761997</v>
      </c>
      <c r="X101" s="148">
        <v>110904085</v>
      </c>
      <c r="Y101" s="150">
        <v>0.5289557754982992</v>
      </c>
      <c r="Z101" s="148">
        <v>98761997</v>
      </c>
      <c r="AA101" s="148">
        <v>0</v>
      </c>
      <c r="AB101" s="150">
        <v>0.47104422450170075</v>
      </c>
    </row>
    <row r="102" spans="1:30" ht="24.95" customHeight="1">
      <c r="A102" s="32" t="e">
        <v>#REF!</v>
      </c>
      <c r="B102" s="144" t="s">
        <v>411</v>
      </c>
      <c r="C102" s="145" t="s">
        <v>23</v>
      </c>
      <c r="D102" s="145" t="s">
        <v>65</v>
      </c>
      <c r="E102" s="145" t="s">
        <v>136</v>
      </c>
      <c r="F102" s="145" t="s">
        <v>54</v>
      </c>
      <c r="G102" s="145" t="s">
        <v>52</v>
      </c>
      <c r="H102" s="145" t="s">
        <v>34</v>
      </c>
      <c r="I102" s="145"/>
      <c r="J102" s="145" t="s">
        <v>28</v>
      </c>
      <c r="K102" s="146" t="s">
        <v>29</v>
      </c>
      <c r="L102" s="147" t="s">
        <v>141</v>
      </c>
      <c r="M102" s="148">
        <v>167000000</v>
      </c>
      <c r="N102" s="148"/>
      <c r="O102" s="148"/>
      <c r="P102" s="149">
        <v>100000000</v>
      </c>
      <c r="Q102" s="148"/>
      <c r="R102" s="148"/>
      <c r="S102" s="148">
        <v>267000000</v>
      </c>
      <c r="T102" s="148">
        <v>257111242</v>
      </c>
      <c r="U102" s="148">
        <v>9888758</v>
      </c>
      <c r="V102" s="150">
        <v>0.96296345318352061</v>
      </c>
      <c r="W102" s="148">
        <v>35044396</v>
      </c>
      <c r="X102" s="148">
        <v>222066846</v>
      </c>
      <c r="Y102" s="150">
        <v>0.86369947993172547</v>
      </c>
      <c r="Z102" s="148">
        <v>35044396</v>
      </c>
      <c r="AA102" s="148">
        <v>0</v>
      </c>
      <c r="AB102" s="150">
        <v>0.13630052006827456</v>
      </c>
    </row>
    <row r="103" spans="1:30" ht="24.95" hidden="1" customHeight="1">
      <c r="A103" s="32" t="e">
        <v>#REF!</v>
      </c>
      <c r="B103" s="32"/>
      <c r="C103" s="145" t="s">
        <v>23</v>
      </c>
      <c r="D103" s="145" t="s">
        <v>65</v>
      </c>
      <c r="E103" s="145" t="s">
        <v>136</v>
      </c>
      <c r="F103" s="145" t="s">
        <v>54</v>
      </c>
      <c r="G103" s="145" t="s">
        <v>142</v>
      </c>
      <c r="H103" s="145"/>
      <c r="I103" s="145"/>
      <c r="J103" s="145" t="s">
        <v>28</v>
      </c>
      <c r="K103" s="146" t="s">
        <v>29</v>
      </c>
      <c r="L103" s="147" t="s">
        <v>260</v>
      </c>
      <c r="M103" s="148">
        <v>0</v>
      </c>
      <c r="N103" s="148"/>
      <c r="O103" s="148"/>
      <c r="P103" s="148"/>
      <c r="Q103" s="148"/>
      <c r="R103" s="148"/>
      <c r="S103" s="148">
        <v>0</v>
      </c>
      <c r="T103" s="148">
        <v>0</v>
      </c>
      <c r="U103" s="148">
        <v>0</v>
      </c>
      <c r="V103" s="150">
        <v>0</v>
      </c>
      <c r="W103" s="148">
        <v>0</v>
      </c>
      <c r="X103" s="148">
        <v>0</v>
      </c>
      <c r="Y103" s="150">
        <v>0</v>
      </c>
      <c r="Z103" s="148">
        <v>0</v>
      </c>
      <c r="AA103" s="148">
        <v>0</v>
      </c>
      <c r="AB103" s="150">
        <v>0</v>
      </c>
    </row>
    <row r="104" spans="1:30" ht="24" customHeight="1">
      <c r="A104" s="32" t="e">
        <v>#REF!</v>
      </c>
      <c r="B104" s="127" t="s">
        <v>415</v>
      </c>
      <c r="C104" s="128" t="s">
        <v>23</v>
      </c>
      <c r="D104" s="128" t="s">
        <v>65</v>
      </c>
      <c r="E104" s="128" t="s">
        <v>28</v>
      </c>
      <c r="F104" s="128"/>
      <c r="G104" s="128"/>
      <c r="H104" s="128"/>
      <c r="I104" s="128"/>
      <c r="J104" s="129"/>
      <c r="K104" s="129"/>
      <c r="L104" s="129" t="s">
        <v>143</v>
      </c>
      <c r="M104" s="130">
        <v>2675000000</v>
      </c>
      <c r="N104" s="721">
        <v>0</v>
      </c>
      <c r="O104" s="721">
        <v>0</v>
      </c>
      <c r="P104" s="721">
        <v>0</v>
      </c>
      <c r="Q104" s="721">
        <v>0</v>
      </c>
      <c r="R104" s="721">
        <v>0</v>
      </c>
      <c r="S104" s="130">
        <v>2675000000</v>
      </c>
      <c r="T104" s="130">
        <v>1863819201</v>
      </c>
      <c r="U104" s="130">
        <v>811180799</v>
      </c>
      <c r="V104" s="131">
        <v>0.69675484149532707</v>
      </c>
      <c r="W104" s="130">
        <v>1863819201</v>
      </c>
      <c r="X104" s="130">
        <v>0</v>
      </c>
      <c r="Y104" s="131">
        <v>0</v>
      </c>
      <c r="Z104" s="130">
        <v>1863819201</v>
      </c>
      <c r="AA104" s="130">
        <v>0</v>
      </c>
      <c r="AB104" s="722">
        <v>1</v>
      </c>
    </row>
    <row r="105" spans="1:30" ht="24" customHeight="1">
      <c r="A105" s="32" t="e">
        <v>#REF!</v>
      </c>
      <c r="B105" s="132" t="s">
        <v>417</v>
      </c>
      <c r="C105" s="133" t="s">
        <v>23</v>
      </c>
      <c r="D105" s="133" t="s">
        <v>65</v>
      </c>
      <c r="E105" s="133" t="s">
        <v>28</v>
      </c>
      <c r="F105" s="133" t="s">
        <v>25</v>
      </c>
      <c r="G105" s="133"/>
      <c r="H105" s="133"/>
      <c r="I105" s="133"/>
      <c r="J105" s="133" t="s">
        <v>144</v>
      </c>
      <c r="K105" s="134" t="s">
        <v>29</v>
      </c>
      <c r="L105" s="134" t="s">
        <v>145</v>
      </c>
      <c r="M105" s="135">
        <v>2675000000</v>
      </c>
      <c r="N105" s="136">
        <v>0</v>
      </c>
      <c r="O105" s="136">
        <v>0</v>
      </c>
      <c r="P105" s="136">
        <v>0</v>
      </c>
      <c r="Q105" s="136">
        <v>0</v>
      </c>
      <c r="R105" s="136">
        <v>0</v>
      </c>
      <c r="S105" s="135">
        <v>2675000000</v>
      </c>
      <c r="T105" s="135">
        <v>1863819201</v>
      </c>
      <c r="U105" s="135">
        <v>811180799</v>
      </c>
      <c r="V105" s="137">
        <v>0.69675484149532707</v>
      </c>
      <c r="W105" s="135">
        <v>1863819201</v>
      </c>
      <c r="X105" s="136">
        <v>0</v>
      </c>
      <c r="Y105" s="137">
        <v>0</v>
      </c>
      <c r="Z105" s="135">
        <v>1863819201</v>
      </c>
      <c r="AA105" s="135">
        <v>0</v>
      </c>
      <c r="AB105" s="723">
        <v>1</v>
      </c>
    </row>
    <row r="106" spans="1:30" ht="24.95" customHeight="1">
      <c r="A106" s="32" t="e">
        <v>#REF!</v>
      </c>
      <c r="B106" s="144" t="s">
        <v>418</v>
      </c>
      <c r="C106" s="145" t="s">
        <v>23</v>
      </c>
      <c r="D106" s="145" t="s">
        <v>65</v>
      </c>
      <c r="E106" s="145" t="s">
        <v>28</v>
      </c>
      <c r="F106" s="145" t="s">
        <v>25</v>
      </c>
      <c r="G106" s="145" t="s">
        <v>31</v>
      </c>
      <c r="H106" s="145"/>
      <c r="I106" s="145"/>
      <c r="J106" s="145">
        <v>10</v>
      </c>
      <c r="K106" s="146" t="s">
        <v>29</v>
      </c>
      <c r="L106" s="147" t="s">
        <v>146</v>
      </c>
      <c r="M106" s="148">
        <v>2675000000</v>
      </c>
      <c r="N106" s="148"/>
      <c r="O106" s="148"/>
      <c r="P106" s="148"/>
      <c r="Q106" s="148"/>
      <c r="R106" s="148"/>
      <c r="S106" s="148">
        <v>2675000000</v>
      </c>
      <c r="T106" s="149">
        <v>1863819201</v>
      </c>
      <c r="U106" s="148">
        <v>811180799</v>
      </c>
      <c r="V106" s="150">
        <v>0.69675484149532707</v>
      </c>
      <c r="W106" s="148">
        <v>1863819201</v>
      </c>
      <c r="X106" s="148">
        <v>0</v>
      </c>
      <c r="Y106" s="150">
        <v>0</v>
      </c>
      <c r="Z106" s="148">
        <v>1863819201</v>
      </c>
      <c r="AA106" s="148">
        <v>0</v>
      </c>
      <c r="AB106" s="150">
        <v>1</v>
      </c>
    </row>
    <row r="107" spans="1:30" ht="24" customHeight="1">
      <c r="A107" s="32" t="e">
        <v>#REF!</v>
      </c>
      <c r="B107" s="122" t="s">
        <v>421</v>
      </c>
      <c r="C107" s="123" t="s">
        <v>23</v>
      </c>
      <c r="D107" s="123" t="s">
        <v>148</v>
      </c>
      <c r="E107" s="123"/>
      <c r="F107" s="123"/>
      <c r="G107" s="123"/>
      <c r="H107" s="123"/>
      <c r="I107" s="123"/>
      <c r="J107" s="124"/>
      <c r="K107" s="124"/>
      <c r="L107" s="124" t="s">
        <v>149</v>
      </c>
      <c r="M107" s="125">
        <v>6047000000</v>
      </c>
      <c r="N107" s="719">
        <v>0</v>
      </c>
      <c r="O107" s="719">
        <v>0</v>
      </c>
      <c r="P107" s="125">
        <v>17644937884</v>
      </c>
      <c r="Q107" s="125">
        <v>8822468942</v>
      </c>
      <c r="R107" s="719">
        <v>0</v>
      </c>
      <c r="S107" s="125">
        <v>14869468942</v>
      </c>
      <c r="T107" s="125">
        <v>14824466377</v>
      </c>
      <c r="U107" s="125">
        <v>45002565</v>
      </c>
      <c r="V107" s="126">
        <v>0.99697349211491426</v>
      </c>
      <c r="W107" s="125">
        <v>14824299536.129999</v>
      </c>
      <c r="X107" s="125">
        <v>166840.87000000104</v>
      </c>
      <c r="Y107" s="126">
        <v>1.1254426686066277E-5</v>
      </c>
      <c r="Z107" s="125">
        <v>14824286747.129999</v>
      </c>
      <c r="AA107" s="125">
        <v>12789</v>
      </c>
      <c r="AB107" s="720">
        <v>0.99998788287784313</v>
      </c>
    </row>
    <row r="108" spans="1:30" ht="24" customHeight="1">
      <c r="A108" s="32" t="e">
        <v>#REF!</v>
      </c>
      <c r="B108" s="127" t="s">
        <v>423</v>
      </c>
      <c r="C108" s="128" t="s">
        <v>23</v>
      </c>
      <c r="D108" s="128" t="s">
        <v>148</v>
      </c>
      <c r="E108" s="128" t="s">
        <v>25</v>
      </c>
      <c r="F108" s="128"/>
      <c r="G108" s="128"/>
      <c r="H108" s="128"/>
      <c r="I108" s="128"/>
      <c r="J108" s="129"/>
      <c r="K108" s="129"/>
      <c r="L108" s="129" t="s">
        <v>150</v>
      </c>
      <c r="M108" s="130">
        <v>134000000</v>
      </c>
      <c r="N108" s="721">
        <v>0</v>
      </c>
      <c r="O108" s="721">
        <v>0</v>
      </c>
      <c r="P108" s="721">
        <v>0</v>
      </c>
      <c r="Q108" s="721">
        <v>0</v>
      </c>
      <c r="R108" s="721">
        <v>0</v>
      </c>
      <c r="S108" s="130">
        <v>134000000</v>
      </c>
      <c r="T108" s="130">
        <v>88997435</v>
      </c>
      <c r="U108" s="130">
        <v>45002565</v>
      </c>
      <c r="V108" s="131">
        <v>0.66415996268656718</v>
      </c>
      <c r="W108" s="130">
        <v>88830594.129999995</v>
      </c>
      <c r="X108" s="130">
        <v>166840.87000000104</v>
      </c>
      <c r="Y108" s="131">
        <v>1.8746705452803336E-3</v>
      </c>
      <c r="Z108" s="130">
        <v>88817805.129999995</v>
      </c>
      <c r="AA108" s="130">
        <v>12789</v>
      </c>
      <c r="AB108" s="722">
        <v>0.99798162868401763</v>
      </c>
    </row>
    <row r="109" spans="1:30" ht="24" customHeight="1">
      <c r="A109" s="32" t="e">
        <v>#REF!</v>
      </c>
      <c r="B109" s="132" t="s">
        <v>425</v>
      </c>
      <c r="C109" s="133" t="s">
        <v>23</v>
      </c>
      <c r="D109" s="133" t="s">
        <v>148</v>
      </c>
      <c r="E109" s="133" t="s">
        <v>25</v>
      </c>
      <c r="F109" s="133" t="s">
        <v>54</v>
      </c>
      <c r="G109" s="133"/>
      <c r="H109" s="133"/>
      <c r="I109" s="133"/>
      <c r="J109" s="133" t="s">
        <v>28</v>
      </c>
      <c r="K109" s="134" t="s">
        <v>29</v>
      </c>
      <c r="L109" s="134" t="s">
        <v>151</v>
      </c>
      <c r="M109" s="135">
        <v>134000000</v>
      </c>
      <c r="N109" s="136">
        <v>0</v>
      </c>
      <c r="O109" s="136">
        <v>0</v>
      </c>
      <c r="P109" s="136">
        <v>0</v>
      </c>
      <c r="Q109" s="136">
        <v>0</v>
      </c>
      <c r="R109" s="136">
        <v>0</v>
      </c>
      <c r="S109" s="135">
        <v>134000000</v>
      </c>
      <c r="T109" s="135">
        <v>88997435</v>
      </c>
      <c r="U109" s="135">
        <v>45002565</v>
      </c>
      <c r="V109" s="137">
        <v>0.66415996268656718</v>
      </c>
      <c r="W109" s="135">
        <v>88830594.129999995</v>
      </c>
      <c r="X109" s="136">
        <v>166840.87000000104</v>
      </c>
      <c r="Y109" s="137">
        <v>1.8746705452803336E-3</v>
      </c>
      <c r="Z109" s="135">
        <v>88817805.129999995</v>
      </c>
      <c r="AA109" s="135">
        <v>12789</v>
      </c>
      <c r="AB109" s="723">
        <v>0.99798162868401763</v>
      </c>
    </row>
    <row r="110" spans="1:30" ht="24.95" customHeight="1">
      <c r="A110" s="32" t="e">
        <v>#REF!</v>
      </c>
      <c r="B110" s="144" t="s">
        <v>427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31</v>
      </c>
      <c r="H110" s="145"/>
      <c r="I110" s="145"/>
      <c r="J110" s="145" t="s">
        <v>28</v>
      </c>
      <c r="K110" s="146" t="s">
        <v>29</v>
      </c>
      <c r="L110" s="147" t="s">
        <v>152</v>
      </c>
      <c r="M110" s="148">
        <v>60000000</v>
      </c>
      <c r="N110" s="148"/>
      <c r="O110" s="148"/>
      <c r="P110" s="148"/>
      <c r="Q110" s="148"/>
      <c r="R110" s="148"/>
      <c r="S110" s="148">
        <v>60000000</v>
      </c>
      <c r="T110" s="148">
        <v>50544836</v>
      </c>
      <c r="U110" s="148">
        <v>9455164</v>
      </c>
      <c r="V110" s="150">
        <v>0.84241393333333336</v>
      </c>
      <c r="W110" s="148">
        <v>50544836</v>
      </c>
      <c r="X110" s="148">
        <v>0</v>
      </c>
      <c r="Y110" s="150">
        <v>0</v>
      </c>
      <c r="Z110" s="148">
        <v>50544836</v>
      </c>
      <c r="AA110" s="148">
        <v>0</v>
      </c>
      <c r="AB110" s="150">
        <v>1</v>
      </c>
    </row>
    <row r="111" spans="1:30" ht="24.95" customHeight="1">
      <c r="A111" s="32" t="e">
        <v>#REF!</v>
      </c>
      <c r="B111" s="144" t="s">
        <v>429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38</v>
      </c>
      <c r="H111" s="145"/>
      <c r="I111" s="145"/>
      <c r="J111" s="145" t="s">
        <v>28</v>
      </c>
      <c r="K111" s="146" t="s">
        <v>29</v>
      </c>
      <c r="L111" s="147" t="s">
        <v>153</v>
      </c>
      <c r="M111" s="148">
        <v>59000000</v>
      </c>
      <c r="N111" s="148"/>
      <c r="O111" s="148"/>
      <c r="P111" s="148"/>
      <c r="Q111" s="148"/>
      <c r="R111" s="148"/>
      <c r="S111" s="148">
        <v>59000000</v>
      </c>
      <c r="T111" s="148">
        <v>31507569</v>
      </c>
      <c r="U111" s="148">
        <v>27492431</v>
      </c>
      <c r="V111" s="150">
        <v>0.53402659322033896</v>
      </c>
      <c r="W111" s="148">
        <v>31340728.129999999</v>
      </c>
      <c r="X111" s="148">
        <v>166840.87000000104</v>
      </c>
      <c r="Y111" s="150">
        <v>5.2952631794601817E-3</v>
      </c>
      <c r="Z111" s="148">
        <v>31327939.129999999</v>
      </c>
      <c r="AA111" s="148">
        <v>12789</v>
      </c>
      <c r="AB111" s="150">
        <v>0.99429883435310418</v>
      </c>
    </row>
    <row r="112" spans="1:30" ht="24.95" customHeight="1">
      <c r="A112" s="32" t="e">
        <v>#REF!</v>
      </c>
      <c r="B112" s="144" t="s">
        <v>431</v>
      </c>
      <c r="C112" s="145" t="s">
        <v>23</v>
      </c>
      <c r="D112" s="145" t="s">
        <v>148</v>
      </c>
      <c r="E112" s="145" t="s">
        <v>25</v>
      </c>
      <c r="F112" s="145" t="s">
        <v>54</v>
      </c>
      <c r="G112" s="145" t="s">
        <v>42</v>
      </c>
      <c r="H112" s="145"/>
      <c r="I112" s="145"/>
      <c r="J112" s="145" t="s">
        <v>28</v>
      </c>
      <c r="K112" s="146" t="s">
        <v>29</v>
      </c>
      <c r="L112" s="147" t="s">
        <v>154</v>
      </c>
      <c r="M112" s="148">
        <v>15000000</v>
      </c>
      <c r="N112" s="148"/>
      <c r="O112" s="148"/>
      <c r="P112" s="148"/>
      <c r="Q112" s="148"/>
      <c r="R112" s="148"/>
      <c r="S112" s="148">
        <v>15000000</v>
      </c>
      <c r="T112" s="148">
        <v>6945030</v>
      </c>
      <c r="U112" s="148">
        <v>8054970</v>
      </c>
      <c r="V112" s="150">
        <v>0.46300200000000002</v>
      </c>
      <c r="W112" s="148">
        <v>6945030</v>
      </c>
      <c r="X112" s="148">
        <v>0</v>
      </c>
      <c r="Y112" s="150">
        <v>0</v>
      </c>
      <c r="Z112" s="148">
        <v>6945030</v>
      </c>
      <c r="AA112" s="148">
        <v>0</v>
      </c>
      <c r="AB112" s="150">
        <v>1</v>
      </c>
    </row>
    <row r="113" spans="1:28" ht="24" customHeight="1">
      <c r="A113" s="32" t="e">
        <v>#REF!</v>
      </c>
      <c r="B113" s="127" t="s">
        <v>432</v>
      </c>
      <c r="C113" s="128" t="s">
        <v>23</v>
      </c>
      <c r="D113" s="128" t="s">
        <v>148</v>
      </c>
      <c r="E113" s="128" t="s">
        <v>136</v>
      </c>
      <c r="F113" s="128"/>
      <c r="G113" s="128"/>
      <c r="H113" s="128"/>
      <c r="I113" s="128"/>
      <c r="J113" s="129"/>
      <c r="K113" s="129"/>
      <c r="L113" s="129" t="s">
        <v>155</v>
      </c>
      <c r="M113" s="130">
        <v>5913000000</v>
      </c>
      <c r="N113" s="721">
        <v>0</v>
      </c>
      <c r="O113" s="721">
        <v>0</v>
      </c>
      <c r="P113" s="130">
        <v>17644937884</v>
      </c>
      <c r="Q113" s="130">
        <v>8822468942</v>
      </c>
      <c r="R113" s="721">
        <v>0</v>
      </c>
      <c r="S113" s="130">
        <v>14735468942</v>
      </c>
      <c r="T113" s="130">
        <v>14735468942</v>
      </c>
      <c r="U113" s="130">
        <v>0</v>
      </c>
      <c r="V113" s="131">
        <v>1</v>
      </c>
      <c r="W113" s="130">
        <v>14735468942</v>
      </c>
      <c r="X113" s="130">
        <v>0</v>
      </c>
      <c r="Y113" s="131">
        <v>0</v>
      </c>
      <c r="Z113" s="130">
        <v>14735468942</v>
      </c>
      <c r="AA113" s="130">
        <v>0</v>
      </c>
      <c r="AB113" s="722">
        <v>1</v>
      </c>
    </row>
    <row r="114" spans="1:28" ht="24.95" hidden="1" customHeight="1">
      <c r="A114" s="32"/>
      <c r="B114" s="32"/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>
        <v>10</v>
      </c>
      <c r="K114" s="146" t="s">
        <v>156</v>
      </c>
      <c r="L114" s="147" t="s">
        <v>157</v>
      </c>
      <c r="M114" s="148">
        <v>0</v>
      </c>
      <c r="N114" s="148"/>
      <c r="O114" s="148"/>
      <c r="P114" s="148"/>
      <c r="Q114" s="148"/>
      <c r="R114" s="148"/>
      <c r="S114" s="148">
        <v>0</v>
      </c>
      <c r="T114" s="148">
        <v>0</v>
      </c>
      <c r="U114" s="148">
        <v>0</v>
      </c>
      <c r="V114" s="150">
        <v>0</v>
      </c>
      <c r="W114" s="148">
        <v>0</v>
      </c>
      <c r="X114" s="148">
        <v>0</v>
      </c>
      <c r="Y114" s="150">
        <v>0</v>
      </c>
      <c r="Z114" s="148">
        <v>0</v>
      </c>
      <c r="AA114" s="148">
        <v>0</v>
      </c>
      <c r="AB114" s="150">
        <v>0</v>
      </c>
    </row>
    <row r="115" spans="1:28" ht="24.95" customHeight="1">
      <c r="A115" s="32" t="e">
        <v>#REF!</v>
      </c>
      <c r="B115" s="144" t="s">
        <v>434</v>
      </c>
      <c r="C115" s="145" t="s">
        <v>23</v>
      </c>
      <c r="D115" s="145" t="s">
        <v>148</v>
      </c>
      <c r="E115" s="145" t="s">
        <v>136</v>
      </c>
      <c r="F115" s="145" t="s">
        <v>25</v>
      </c>
      <c r="G115" s="145"/>
      <c r="H115" s="145"/>
      <c r="I115" s="145"/>
      <c r="J115" s="145" t="s">
        <v>144</v>
      </c>
      <c r="K115" s="146" t="s">
        <v>29</v>
      </c>
      <c r="L115" s="147" t="s">
        <v>157</v>
      </c>
      <c r="M115" s="148"/>
      <c r="N115" s="148"/>
      <c r="O115" s="148"/>
      <c r="P115" s="148">
        <v>8822468942</v>
      </c>
      <c r="Q115" s="148">
        <v>8822468942</v>
      </c>
      <c r="R115" s="148"/>
      <c r="S115" s="148">
        <v>0</v>
      </c>
      <c r="T115" s="149"/>
      <c r="U115" s="148">
        <v>0</v>
      </c>
      <c r="V115" s="150">
        <v>0</v>
      </c>
      <c r="W115" s="148"/>
      <c r="X115" s="148">
        <v>0</v>
      </c>
      <c r="Y115" s="150">
        <v>0</v>
      </c>
      <c r="Z115" s="148"/>
      <c r="AA115" s="148">
        <v>0</v>
      </c>
      <c r="AB115" s="150">
        <v>0</v>
      </c>
    </row>
    <row r="116" spans="1:28" ht="24.95" customHeight="1">
      <c r="A116" s="32" t="e">
        <v>#REF!</v>
      </c>
      <c r="B116" s="144" t="s">
        <v>434</v>
      </c>
      <c r="C116" s="145" t="s">
        <v>23</v>
      </c>
      <c r="D116" s="145" t="s">
        <v>148</v>
      </c>
      <c r="E116" s="145" t="s">
        <v>136</v>
      </c>
      <c r="F116" s="145" t="s">
        <v>25</v>
      </c>
      <c r="G116" s="145"/>
      <c r="H116" s="145"/>
      <c r="I116" s="145"/>
      <c r="J116" s="145" t="s">
        <v>144</v>
      </c>
      <c r="K116" s="146" t="s">
        <v>156</v>
      </c>
      <c r="L116" s="147" t="s">
        <v>157</v>
      </c>
      <c r="M116" s="148">
        <v>5913000000</v>
      </c>
      <c r="N116" s="148"/>
      <c r="O116" s="148"/>
      <c r="P116" s="148">
        <v>8822468942</v>
      </c>
      <c r="Q116" s="148"/>
      <c r="R116" s="148"/>
      <c r="S116" s="148">
        <v>14735468942</v>
      </c>
      <c r="T116" s="148">
        <v>14735468942</v>
      </c>
      <c r="U116" s="148">
        <v>0</v>
      </c>
      <c r="V116" s="150">
        <v>1</v>
      </c>
      <c r="W116" s="148">
        <v>14735468942</v>
      </c>
      <c r="X116" s="148">
        <v>0</v>
      </c>
      <c r="Y116" s="150">
        <v>0</v>
      </c>
      <c r="Z116" s="148">
        <v>14735468942</v>
      </c>
      <c r="AA116" s="148">
        <v>0</v>
      </c>
      <c r="AB116" s="150">
        <v>1</v>
      </c>
    </row>
    <row r="117" spans="1:28" ht="35.1" customHeight="1">
      <c r="A117" s="32" t="e">
        <v>#REF!</v>
      </c>
      <c r="B117" s="117" t="s">
        <v>167</v>
      </c>
      <c r="C117" s="118" t="s">
        <v>167</v>
      </c>
      <c r="D117" s="119"/>
      <c r="E117" s="119"/>
      <c r="F117" s="119"/>
      <c r="G117" s="119"/>
      <c r="H117" s="119"/>
      <c r="I117" s="119"/>
      <c r="J117" s="119"/>
      <c r="K117" s="119"/>
      <c r="L117" s="119" t="s">
        <v>168</v>
      </c>
      <c r="M117" s="120">
        <v>6230508633098</v>
      </c>
      <c r="N117" s="120">
        <v>130000000000</v>
      </c>
      <c r="O117" s="717">
        <v>0</v>
      </c>
      <c r="P117" s="120">
        <v>124072681637.09</v>
      </c>
      <c r="Q117" s="120">
        <v>124072681637.09</v>
      </c>
      <c r="R117" s="120">
        <v>0</v>
      </c>
      <c r="S117" s="120">
        <v>6360508633098</v>
      </c>
      <c r="T117" s="120">
        <v>5498628115156.0908</v>
      </c>
      <c r="U117" s="120">
        <v>861880517941.91052</v>
      </c>
      <c r="V117" s="121">
        <v>0.86449503213359924</v>
      </c>
      <c r="W117" s="120">
        <v>4693372066103.5898</v>
      </c>
      <c r="X117" s="120">
        <v>805256049052.50012</v>
      </c>
      <c r="Y117" s="121">
        <v>0.14644671947043306</v>
      </c>
      <c r="Z117" s="120">
        <v>4676186541586.9502</v>
      </c>
      <c r="AA117" s="120">
        <v>17185524516.640015</v>
      </c>
      <c r="AB117" s="718">
        <v>0.85042786012347127</v>
      </c>
    </row>
    <row r="118" spans="1:28" ht="27.75" customHeight="1">
      <c r="A118" s="32" t="e">
        <v>#REF!</v>
      </c>
      <c r="B118" s="122" t="s">
        <v>437</v>
      </c>
      <c r="C118" s="123" t="s">
        <v>167</v>
      </c>
      <c r="D118" s="123">
        <v>4101</v>
      </c>
      <c r="E118" s="123"/>
      <c r="F118" s="123"/>
      <c r="G118" s="123"/>
      <c r="H118" s="123"/>
      <c r="I118" s="123"/>
      <c r="J118" s="124"/>
      <c r="K118" s="124"/>
      <c r="L118" s="124" t="s">
        <v>169</v>
      </c>
      <c r="M118" s="125">
        <v>10248574078</v>
      </c>
      <c r="N118" s="719">
        <v>0</v>
      </c>
      <c r="O118" s="719">
        <v>0</v>
      </c>
      <c r="P118" s="719">
        <v>0</v>
      </c>
      <c r="Q118" s="719">
        <v>0</v>
      </c>
      <c r="R118" s="719">
        <v>0</v>
      </c>
      <c r="S118" s="125">
        <v>10248574078</v>
      </c>
      <c r="T118" s="125">
        <v>10248574078</v>
      </c>
      <c r="U118" s="125">
        <v>0</v>
      </c>
      <c r="V118" s="126">
        <v>1</v>
      </c>
      <c r="W118" s="125">
        <v>10248574078</v>
      </c>
      <c r="X118" s="125">
        <v>0</v>
      </c>
      <c r="Y118" s="126">
        <v>0</v>
      </c>
      <c r="Z118" s="125">
        <v>10248574078</v>
      </c>
      <c r="AA118" s="125">
        <v>0</v>
      </c>
      <c r="AB118" s="720">
        <v>1</v>
      </c>
    </row>
    <row r="119" spans="1:28" ht="24" customHeight="1">
      <c r="A119" s="32" t="e">
        <v>#REF!</v>
      </c>
      <c r="B119" s="127" t="s">
        <v>295</v>
      </c>
      <c r="C119" s="128" t="s">
        <v>167</v>
      </c>
      <c r="D119" s="128">
        <v>4101</v>
      </c>
      <c r="E119" s="128">
        <v>1500</v>
      </c>
      <c r="F119" s="128"/>
      <c r="G119" s="128"/>
      <c r="H119" s="128"/>
      <c r="I119" s="128"/>
      <c r="J119" s="129"/>
      <c r="K119" s="129"/>
      <c r="L119" s="129" t="s">
        <v>170</v>
      </c>
      <c r="M119" s="130">
        <v>10248574078</v>
      </c>
      <c r="N119" s="721">
        <v>0</v>
      </c>
      <c r="O119" s="721">
        <v>0</v>
      </c>
      <c r="P119" s="721">
        <v>0</v>
      </c>
      <c r="Q119" s="721">
        <v>0</v>
      </c>
      <c r="R119" s="721">
        <v>0</v>
      </c>
      <c r="S119" s="130">
        <v>10248574078</v>
      </c>
      <c r="T119" s="130">
        <v>10248574078</v>
      </c>
      <c r="U119" s="721">
        <v>0</v>
      </c>
      <c r="V119" s="131">
        <v>1</v>
      </c>
      <c r="W119" s="130">
        <v>10248574078</v>
      </c>
      <c r="X119" s="721">
        <v>0</v>
      </c>
      <c r="Y119" s="131">
        <v>0</v>
      </c>
      <c r="Z119" s="130">
        <v>10248574078</v>
      </c>
      <c r="AA119" s="721">
        <v>0</v>
      </c>
      <c r="AB119" s="722">
        <v>1</v>
      </c>
    </row>
    <row r="120" spans="1:28" ht="39.75" hidden="1" customHeight="1">
      <c r="A120" s="32" t="e">
        <v>#REF!</v>
      </c>
      <c r="B120" s="32"/>
      <c r="C120" s="133" t="s">
        <v>167</v>
      </c>
      <c r="D120" s="133" t="s">
        <v>171</v>
      </c>
      <c r="E120" s="133" t="s">
        <v>172</v>
      </c>
      <c r="F120" s="133" t="s">
        <v>261</v>
      </c>
      <c r="G120" s="133"/>
      <c r="H120" s="133"/>
      <c r="I120" s="133"/>
      <c r="J120" s="133"/>
      <c r="K120" s="134"/>
      <c r="L120" s="134" t="s">
        <v>262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7">
        <v>0</v>
      </c>
      <c r="W120" s="136">
        <v>0</v>
      </c>
      <c r="X120" s="136">
        <v>0</v>
      </c>
      <c r="Y120" s="137">
        <v>0</v>
      </c>
      <c r="Z120" s="136">
        <v>0</v>
      </c>
      <c r="AA120" s="136">
        <v>0</v>
      </c>
      <c r="AB120" s="723">
        <v>0</v>
      </c>
    </row>
    <row r="121" spans="1:28" ht="24.95" hidden="1" customHeight="1">
      <c r="A121" s="32" t="e">
        <v>#REF!</v>
      </c>
      <c r="B121" s="32"/>
      <c r="C121" s="139" t="s">
        <v>167</v>
      </c>
      <c r="D121" s="139" t="s">
        <v>171</v>
      </c>
      <c r="E121" s="139" t="s">
        <v>172</v>
      </c>
      <c r="F121" s="139" t="s">
        <v>261</v>
      </c>
      <c r="G121" s="139" t="s">
        <v>175</v>
      </c>
      <c r="H121" s="139" t="s">
        <v>176</v>
      </c>
      <c r="I121" s="139"/>
      <c r="J121" s="139">
        <v>11</v>
      </c>
      <c r="K121" s="140" t="s">
        <v>29</v>
      </c>
      <c r="L121" s="140" t="s">
        <v>177</v>
      </c>
      <c r="M121" s="142">
        <v>0</v>
      </c>
      <c r="N121" s="142">
        <v>0</v>
      </c>
      <c r="O121" s="142">
        <v>0</v>
      </c>
      <c r="P121" s="142">
        <v>0</v>
      </c>
      <c r="Q121" s="142">
        <v>0</v>
      </c>
      <c r="R121" s="142">
        <v>0</v>
      </c>
      <c r="S121" s="142">
        <v>0</v>
      </c>
      <c r="T121" s="142">
        <v>0</v>
      </c>
      <c r="U121" s="142">
        <v>0</v>
      </c>
      <c r="V121" s="143">
        <v>0</v>
      </c>
      <c r="W121" s="142">
        <v>0</v>
      </c>
      <c r="X121" s="142">
        <v>0</v>
      </c>
      <c r="Y121" s="143">
        <v>0</v>
      </c>
      <c r="Z121" s="142">
        <v>0</v>
      </c>
      <c r="AA121" s="142">
        <v>0</v>
      </c>
      <c r="AB121" s="724">
        <v>0</v>
      </c>
    </row>
    <row r="122" spans="1:28" ht="24.95" hidden="1" customHeight="1">
      <c r="A122" s="32" t="e">
        <v>#REF!</v>
      </c>
      <c r="B122" s="32"/>
      <c r="C122" s="145" t="s">
        <v>167</v>
      </c>
      <c r="D122" s="145" t="s">
        <v>171</v>
      </c>
      <c r="E122" s="145" t="s">
        <v>172</v>
      </c>
      <c r="F122" s="145" t="s">
        <v>261</v>
      </c>
      <c r="G122" s="145" t="s">
        <v>175</v>
      </c>
      <c r="H122" s="145" t="s">
        <v>176</v>
      </c>
      <c r="I122" s="145" t="s">
        <v>54</v>
      </c>
      <c r="J122" s="145">
        <v>11</v>
      </c>
      <c r="K122" s="146" t="s">
        <v>29</v>
      </c>
      <c r="L122" s="147" t="s">
        <v>178</v>
      </c>
      <c r="M122" s="148"/>
      <c r="N122" s="148"/>
      <c r="O122" s="148"/>
      <c r="P122" s="148"/>
      <c r="Q122" s="148"/>
      <c r="R122" s="148"/>
      <c r="S122" s="148">
        <v>0</v>
      </c>
      <c r="T122" s="148"/>
      <c r="U122" s="148">
        <v>0</v>
      </c>
      <c r="V122" s="150">
        <v>0</v>
      </c>
      <c r="W122" s="148"/>
      <c r="X122" s="148">
        <v>0</v>
      </c>
      <c r="Y122" s="150">
        <v>0</v>
      </c>
      <c r="Z122" s="148"/>
      <c r="AA122" s="148">
        <v>0</v>
      </c>
      <c r="AB122" s="150">
        <v>0</v>
      </c>
    </row>
    <row r="123" spans="1:28" ht="24.95" hidden="1" customHeight="1">
      <c r="A123" s="32" t="e">
        <v>#REF!</v>
      </c>
      <c r="B123" s="32"/>
      <c r="C123" s="139" t="s">
        <v>167</v>
      </c>
      <c r="D123" s="139" t="s">
        <v>171</v>
      </c>
      <c r="E123" s="139" t="s">
        <v>172</v>
      </c>
      <c r="F123" s="139" t="s">
        <v>261</v>
      </c>
      <c r="G123" s="139" t="s">
        <v>175</v>
      </c>
      <c r="H123" s="139" t="s">
        <v>179</v>
      </c>
      <c r="I123" s="139"/>
      <c r="J123" s="139">
        <v>11</v>
      </c>
      <c r="K123" s="140" t="s">
        <v>29</v>
      </c>
      <c r="L123" s="140" t="s">
        <v>180</v>
      </c>
      <c r="M123" s="141">
        <v>0</v>
      </c>
      <c r="N123" s="142">
        <v>0</v>
      </c>
      <c r="O123" s="142">
        <v>0</v>
      </c>
      <c r="P123" s="142">
        <v>0</v>
      </c>
      <c r="Q123" s="142">
        <v>0</v>
      </c>
      <c r="R123" s="142">
        <v>0</v>
      </c>
      <c r="S123" s="141">
        <v>0</v>
      </c>
      <c r="T123" s="141">
        <v>0</v>
      </c>
      <c r="U123" s="141">
        <v>0</v>
      </c>
      <c r="V123" s="143">
        <v>0</v>
      </c>
      <c r="W123" s="141">
        <v>0</v>
      </c>
      <c r="X123" s="142">
        <v>0</v>
      </c>
      <c r="Y123" s="143">
        <v>0</v>
      </c>
      <c r="Z123" s="141">
        <v>0</v>
      </c>
      <c r="AA123" s="141">
        <v>0</v>
      </c>
      <c r="AB123" s="724">
        <v>0</v>
      </c>
    </row>
    <row r="124" spans="1:28" ht="24.95" hidden="1" customHeight="1">
      <c r="A124" s="32" t="e">
        <v>#REF!</v>
      </c>
      <c r="B124" s="32"/>
      <c r="C124" s="145" t="s">
        <v>167</v>
      </c>
      <c r="D124" s="145" t="s">
        <v>171</v>
      </c>
      <c r="E124" s="145" t="s">
        <v>172</v>
      </c>
      <c r="F124" s="145">
        <v>5</v>
      </c>
      <c r="G124" s="145" t="s">
        <v>175</v>
      </c>
      <c r="H124" s="145" t="s">
        <v>179</v>
      </c>
      <c r="I124" s="145" t="s">
        <v>54</v>
      </c>
      <c r="J124" s="145">
        <v>11</v>
      </c>
      <c r="K124" s="146" t="s">
        <v>29</v>
      </c>
      <c r="L124" s="147" t="s">
        <v>178</v>
      </c>
      <c r="M124" s="148"/>
      <c r="N124" s="148"/>
      <c r="O124" s="148"/>
      <c r="P124" s="148"/>
      <c r="Q124" s="148"/>
      <c r="R124" s="148"/>
      <c r="S124" s="148">
        <v>0</v>
      </c>
      <c r="T124" s="148"/>
      <c r="U124" s="148">
        <v>0</v>
      </c>
      <c r="V124" s="150">
        <v>0</v>
      </c>
      <c r="W124" s="148"/>
      <c r="X124" s="148">
        <v>0</v>
      </c>
      <c r="Y124" s="150">
        <v>0</v>
      </c>
      <c r="Z124" s="148"/>
      <c r="AA124" s="148">
        <v>0</v>
      </c>
      <c r="AB124" s="150">
        <v>0</v>
      </c>
    </row>
    <row r="125" spans="1:28" ht="24.95" hidden="1" customHeight="1">
      <c r="A125" s="32" t="e">
        <v>#REF!</v>
      </c>
      <c r="B125" s="32"/>
      <c r="C125" s="139" t="s">
        <v>167</v>
      </c>
      <c r="D125" s="139" t="s">
        <v>171</v>
      </c>
      <c r="E125" s="139" t="s">
        <v>172</v>
      </c>
      <c r="F125" s="139" t="s">
        <v>261</v>
      </c>
      <c r="G125" s="139" t="s">
        <v>175</v>
      </c>
      <c r="H125" s="139" t="s">
        <v>181</v>
      </c>
      <c r="I125" s="139"/>
      <c r="J125" s="139">
        <v>11</v>
      </c>
      <c r="K125" s="140" t="s">
        <v>29</v>
      </c>
      <c r="L125" s="140" t="s">
        <v>182</v>
      </c>
      <c r="M125" s="141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1">
        <v>0</v>
      </c>
      <c r="T125" s="141">
        <v>0</v>
      </c>
      <c r="U125" s="141">
        <v>0</v>
      </c>
      <c r="V125" s="143">
        <v>0</v>
      </c>
      <c r="W125" s="141">
        <v>0</v>
      </c>
      <c r="X125" s="142">
        <v>0</v>
      </c>
      <c r="Y125" s="143">
        <v>0</v>
      </c>
      <c r="Z125" s="141">
        <v>0</v>
      </c>
      <c r="AA125" s="141">
        <v>0</v>
      </c>
      <c r="AB125" s="724">
        <v>0</v>
      </c>
    </row>
    <row r="126" spans="1:28" ht="24.95" hidden="1" customHeight="1">
      <c r="A126" s="32" t="e">
        <v>#REF!</v>
      </c>
      <c r="B126" s="32"/>
      <c r="C126" s="145" t="s">
        <v>167</v>
      </c>
      <c r="D126" s="145" t="s">
        <v>171</v>
      </c>
      <c r="E126" s="145" t="s">
        <v>172</v>
      </c>
      <c r="F126" s="145" t="s">
        <v>261</v>
      </c>
      <c r="G126" s="145" t="s">
        <v>175</v>
      </c>
      <c r="H126" s="145" t="s">
        <v>181</v>
      </c>
      <c r="I126" s="145" t="s">
        <v>54</v>
      </c>
      <c r="J126" s="145">
        <v>11</v>
      </c>
      <c r="K126" s="146" t="s">
        <v>29</v>
      </c>
      <c r="L126" s="147" t="s">
        <v>178</v>
      </c>
      <c r="M126" s="148"/>
      <c r="N126" s="148"/>
      <c r="O126" s="148"/>
      <c r="P126" s="148"/>
      <c r="Q126" s="148"/>
      <c r="R126" s="148"/>
      <c r="S126" s="148">
        <v>0</v>
      </c>
      <c r="T126" s="148"/>
      <c r="U126" s="148">
        <v>0</v>
      </c>
      <c r="V126" s="150">
        <v>0</v>
      </c>
      <c r="W126" s="148"/>
      <c r="X126" s="148">
        <v>0</v>
      </c>
      <c r="Y126" s="150">
        <v>0</v>
      </c>
      <c r="Z126" s="148"/>
      <c r="AA126" s="148">
        <v>0</v>
      </c>
      <c r="AB126" s="150">
        <v>0</v>
      </c>
    </row>
    <row r="127" spans="1:28" ht="24.95" hidden="1" customHeight="1">
      <c r="A127" s="32" t="e">
        <v>#REF!</v>
      </c>
      <c r="B127" s="32"/>
      <c r="C127" s="139" t="s">
        <v>167</v>
      </c>
      <c r="D127" s="139" t="s">
        <v>171</v>
      </c>
      <c r="E127" s="139" t="s">
        <v>172</v>
      </c>
      <c r="F127" s="139" t="s">
        <v>261</v>
      </c>
      <c r="G127" s="139" t="s">
        <v>175</v>
      </c>
      <c r="H127" s="139" t="s">
        <v>183</v>
      </c>
      <c r="I127" s="139"/>
      <c r="J127" s="139">
        <v>11</v>
      </c>
      <c r="K127" s="140" t="s">
        <v>29</v>
      </c>
      <c r="L127" s="140" t="s">
        <v>184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32"/>
      <c r="C128" s="145" t="s">
        <v>167</v>
      </c>
      <c r="D128" s="145" t="s">
        <v>171</v>
      </c>
      <c r="E128" s="145" t="s">
        <v>172</v>
      </c>
      <c r="F128" s="145" t="s">
        <v>261</v>
      </c>
      <c r="G128" s="145" t="s">
        <v>175</v>
      </c>
      <c r="H128" s="145" t="s">
        <v>183</v>
      </c>
      <c r="I128" s="145" t="s">
        <v>54</v>
      </c>
      <c r="J128" s="145">
        <v>11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24.95" hidden="1" customHeight="1">
      <c r="A129" s="32" t="e">
        <v>#REF!</v>
      </c>
      <c r="B129" s="32"/>
      <c r="C129" s="139" t="s">
        <v>167</v>
      </c>
      <c r="D129" s="139" t="s">
        <v>171</v>
      </c>
      <c r="E129" s="139" t="s">
        <v>172</v>
      </c>
      <c r="F129" s="139" t="s">
        <v>261</v>
      </c>
      <c r="G129" s="139" t="s">
        <v>175</v>
      </c>
      <c r="H129" s="139" t="s">
        <v>185</v>
      </c>
      <c r="I129" s="139"/>
      <c r="J129" s="139">
        <v>11</v>
      </c>
      <c r="K129" s="140" t="s">
        <v>29</v>
      </c>
      <c r="L129" s="140" t="s">
        <v>186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32"/>
      <c r="C130" s="145" t="s">
        <v>167</v>
      </c>
      <c r="D130" s="145" t="s">
        <v>171</v>
      </c>
      <c r="E130" s="145" t="s">
        <v>172</v>
      </c>
      <c r="F130" s="145">
        <v>5</v>
      </c>
      <c r="G130" s="145" t="s">
        <v>175</v>
      </c>
      <c r="H130" s="145" t="s">
        <v>185</v>
      </c>
      <c r="I130" s="145" t="s">
        <v>54</v>
      </c>
      <c r="J130" s="145">
        <v>11</v>
      </c>
      <c r="K130" s="146" t="s">
        <v>29</v>
      </c>
      <c r="L130" s="147" t="s">
        <v>178</v>
      </c>
      <c r="M130" s="148"/>
      <c r="N130" s="148"/>
      <c r="O130" s="148"/>
      <c r="P130" s="148"/>
      <c r="Q130" s="148"/>
      <c r="R130" s="148"/>
      <c r="S130" s="148">
        <v>0</v>
      </c>
      <c r="T130" s="148"/>
      <c r="U130" s="148">
        <v>0</v>
      </c>
      <c r="V130" s="150">
        <v>0</v>
      </c>
      <c r="W130" s="148"/>
      <c r="X130" s="148">
        <v>0</v>
      </c>
      <c r="Y130" s="150">
        <v>0</v>
      </c>
      <c r="Z130" s="148"/>
      <c r="AA130" s="148">
        <v>0</v>
      </c>
      <c r="AB130" s="150">
        <v>0</v>
      </c>
    </row>
    <row r="131" spans="1:28" ht="24.95" hidden="1" customHeight="1">
      <c r="A131" s="32" t="e">
        <v>#REF!</v>
      </c>
      <c r="B131" s="32"/>
      <c r="C131" s="139" t="s">
        <v>167</v>
      </c>
      <c r="D131" s="139" t="s">
        <v>171</v>
      </c>
      <c r="E131" s="139" t="s">
        <v>172</v>
      </c>
      <c r="F131" s="139" t="s">
        <v>261</v>
      </c>
      <c r="G131" s="139" t="s">
        <v>175</v>
      </c>
      <c r="H131" s="139" t="s">
        <v>187</v>
      </c>
      <c r="I131" s="139"/>
      <c r="J131" s="139">
        <v>11</v>
      </c>
      <c r="K131" s="140" t="s">
        <v>29</v>
      </c>
      <c r="L131" s="140" t="s">
        <v>188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32"/>
      <c r="C132" s="145" t="s">
        <v>167</v>
      </c>
      <c r="D132" s="145" t="s">
        <v>171</v>
      </c>
      <c r="E132" s="145" t="s">
        <v>172</v>
      </c>
      <c r="F132" s="145" t="s">
        <v>261</v>
      </c>
      <c r="G132" s="145" t="s">
        <v>175</v>
      </c>
      <c r="H132" s="145" t="s">
        <v>187</v>
      </c>
      <c r="I132" s="145" t="s">
        <v>54</v>
      </c>
      <c r="J132" s="145">
        <v>11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54.75" customHeight="1">
      <c r="A133" s="32" t="e">
        <v>#REF!</v>
      </c>
      <c r="B133" s="132" t="s">
        <v>454</v>
      </c>
      <c r="C133" s="133" t="s">
        <v>167</v>
      </c>
      <c r="D133" s="133" t="s">
        <v>171</v>
      </c>
      <c r="E133" s="133" t="s">
        <v>172</v>
      </c>
      <c r="F133" s="133" t="s">
        <v>173</v>
      </c>
      <c r="G133" s="133"/>
      <c r="H133" s="133"/>
      <c r="I133" s="133"/>
      <c r="J133" s="133"/>
      <c r="K133" s="134"/>
      <c r="L133" s="134" t="s">
        <v>174</v>
      </c>
      <c r="M133" s="135">
        <v>10248574078</v>
      </c>
      <c r="N133" s="136">
        <v>0</v>
      </c>
      <c r="O133" s="136">
        <v>0</v>
      </c>
      <c r="P133" s="136">
        <v>0</v>
      </c>
      <c r="Q133" s="136">
        <v>0</v>
      </c>
      <c r="R133" s="136">
        <v>0</v>
      </c>
      <c r="S133" s="135">
        <v>10248574078</v>
      </c>
      <c r="T133" s="135">
        <v>10248574078</v>
      </c>
      <c r="U133" s="135">
        <v>0</v>
      </c>
      <c r="V133" s="137">
        <v>1</v>
      </c>
      <c r="W133" s="135">
        <v>10248574078</v>
      </c>
      <c r="X133" s="136">
        <v>0</v>
      </c>
      <c r="Y133" s="137">
        <v>0</v>
      </c>
      <c r="Z133" s="135">
        <v>10248574078</v>
      </c>
      <c r="AA133" s="135">
        <v>0</v>
      </c>
      <c r="AB133" s="723">
        <v>1</v>
      </c>
    </row>
    <row r="134" spans="1:28" ht="31.5" customHeight="1">
      <c r="A134" s="32" t="e">
        <v>#REF!</v>
      </c>
      <c r="B134" s="138" t="s">
        <v>456</v>
      </c>
      <c r="C134" s="139" t="s">
        <v>167</v>
      </c>
      <c r="D134" s="139" t="s">
        <v>171</v>
      </c>
      <c r="E134" s="139" t="s">
        <v>172</v>
      </c>
      <c r="F134" s="139" t="s">
        <v>173</v>
      </c>
      <c r="G134" s="139" t="s">
        <v>175</v>
      </c>
      <c r="H134" s="139" t="s">
        <v>176</v>
      </c>
      <c r="I134" s="139"/>
      <c r="J134" s="139" t="s">
        <v>144</v>
      </c>
      <c r="K134" s="140" t="s">
        <v>29</v>
      </c>
      <c r="L134" s="140" t="s">
        <v>177</v>
      </c>
      <c r="M134" s="141">
        <v>1189683575</v>
      </c>
      <c r="N134" s="142">
        <v>0</v>
      </c>
      <c r="O134" s="142">
        <v>0</v>
      </c>
      <c r="P134" s="142">
        <v>0</v>
      </c>
      <c r="Q134" s="142">
        <v>0</v>
      </c>
      <c r="R134" s="142">
        <v>0</v>
      </c>
      <c r="S134" s="141">
        <v>1189683575</v>
      </c>
      <c r="T134" s="141">
        <v>1189683575</v>
      </c>
      <c r="U134" s="141">
        <v>0</v>
      </c>
      <c r="V134" s="143">
        <v>1</v>
      </c>
      <c r="W134" s="141">
        <v>1189683575</v>
      </c>
      <c r="X134" s="142">
        <v>0</v>
      </c>
      <c r="Y134" s="143">
        <v>0</v>
      </c>
      <c r="Z134" s="141">
        <v>1189683575</v>
      </c>
      <c r="AA134" s="141">
        <v>0</v>
      </c>
      <c r="AB134" s="724">
        <v>1</v>
      </c>
    </row>
    <row r="135" spans="1:28" ht="24.95" customHeight="1">
      <c r="A135" s="32" t="e">
        <v>#REF!</v>
      </c>
      <c r="B135" s="144" t="s">
        <v>458</v>
      </c>
      <c r="C135" s="145" t="s">
        <v>167</v>
      </c>
      <c r="D135" s="145" t="s">
        <v>171</v>
      </c>
      <c r="E135" s="145" t="s">
        <v>172</v>
      </c>
      <c r="F135" s="145" t="s">
        <v>173</v>
      </c>
      <c r="G135" s="145" t="s">
        <v>175</v>
      </c>
      <c r="H135" s="145" t="s">
        <v>176</v>
      </c>
      <c r="I135" s="145" t="s">
        <v>54</v>
      </c>
      <c r="J135" s="145" t="s">
        <v>144</v>
      </c>
      <c r="K135" s="146" t="s">
        <v>29</v>
      </c>
      <c r="L135" s="147" t="s">
        <v>178</v>
      </c>
      <c r="M135" s="148">
        <v>1189683575</v>
      </c>
      <c r="N135" s="148"/>
      <c r="O135" s="148"/>
      <c r="P135" s="148"/>
      <c r="Q135" s="148"/>
      <c r="R135" s="148"/>
      <c r="S135" s="148">
        <v>1189683575</v>
      </c>
      <c r="T135" s="148">
        <v>1189683575</v>
      </c>
      <c r="U135" s="148">
        <v>0</v>
      </c>
      <c r="V135" s="150">
        <v>1</v>
      </c>
      <c r="W135" s="148">
        <v>1189683575</v>
      </c>
      <c r="X135" s="148">
        <v>0</v>
      </c>
      <c r="Y135" s="150">
        <v>0</v>
      </c>
      <c r="Z135" s="148">
        <v>1189683575</v>
      </c>
      <c r="AA135" s="148">
        <v>0</v>
      </c>
      <c r="AB135" s="150">
        <v>1</v>
      </c>
    </row>
    <row r="136" spans="1:28" ht="31.5" customHeight="1">
      <c r="A136" s="32" t="e">
        <v>#REF!</v>
      </c>
      <c r="B136" s="138" t="s">
        <v>460</v>
      </c>
      <c r="C136" s="139" t="s">
        <v>167</v>
      </c>
      <c r="D136" s="139" t="s">
        <v>171</v>
      </c>
      <c r="E136" s="139" t="s">
        <v>172</v>
      </c>
      <c r="F136" s="139" t="s">
        <v>173</v>
      </c>
      <c r="G136" s="139" t="s">
        <v>175</v>
      </c>
      <c r="H136" s="139" t="s">
        <v>179</v>
      </c>
      <c r="I136" s="139"/>
      <c r="J136" s="139" t="s">
        <v>144</v>
      </c>
      <c r="K136" s="140" t="s">
        <v>29</v>
      </c>
      <c r="L136" s="140" t="s">
        <v>180</v>
      </c>
      <c r="M136" s="141">
        <v>115014864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1">
        <v>115014864</v>
      </c>
      <c r="T136" s="141">
        <v>115014864</v>
      </c>
      <c r="U136" s="141">
        <v>0</v>
      </c>
      <c r="V136" s="143">
        <v>1</v>
      </c>
      <c r="W136" s="141">
        <v>115014864</v>
      </c>
      <c r="X136" s="142">
        <v>0</v>
      </c>
      <c r="Y136" s="143">
        <v>0</v>
      </c>
      <c r="Z136" s="141">
        <v>115014864</v>
      </c>
      <c r="AA136" s="141">
        <v>0</v>
      </c>
      <c r="AB136" s="724">
        <v>1</v>
      </c>
    </row>
    <row r="137" spans="1:28" ht="24.95" customHeight="1">
      <c r="A137" s="32" t="e">
        <v>#REF!</v>
      </c>
      <c r="B137" s="144" t="s">
        <v>462</v>
      </c>
      <c r="C137" s="145" t="s">
        <v>167</v>
      </c>
      <c r="D137" s="145" t="s">
        <v>171</v>
      </c>
      <c r="E137" s="145" t="s">
        <v>172</v>
      </c>
      <c r="F137" s="145" t="s">
        <v>173</v>
      </c>
      <c r="G137" s="145" t="s">
        <v>175</v>
      </c>
      <c r="H137" s="145" t="s">
        <v>179</v>
      </c>
      <c r="I137" s="145" t="s">
        <v>54</v>
      </c>
      <c r="J137" s="145" t="s">
        <v>144</v>
      </c>
      <c r="K137" s="146" t="s">
        <v>29</v>
      </c>
      <c r="L137" s="147" t="s">
        <v>178</v>
      </c>
      <c r="M137" s="148">
        <v>115014864</v>
      </c>
      <c r="N137" s="148"/>
      <c r="O137" s="148"/>
      <c r="P137" s="148"/>
      <c r="Q137" s="148"/>
      <c r="R137" s="148"/>
      <c r="S137" s="148">
        <v>115014864</v>
      </c>
      <c r="T137" s="148">
        <v>115014864</v>
      </c>
      <c r="U137" s="148">
        <v>0</v>
      </c>
      <c r="V137" s="150">
        <v>1</v>
      </c>
      <c r="W137" s="148">
        <v>115014864</v>
      </c>
      <c r="X137" s="148">
        <v>0</v>
      </c>
      <c r="Y137" s="150">
        <v>0</v>
      </c>
      <c r="Z137" s="148">
        <v>115014864</v>
      </c>
      <c r="AA137" s="148">
        <v>0</v>
      </c>
      <c r="AB137" s="150">
        <v>1</v>
      </c>
    </row>
    <row r="138" spans="1:28" ht="31.5" hidden="1" customHeight="1">
      <c r="A138" s="32" t="e">
        <v>#REF!</v>
      </c>
      <c r="B138" s="144" t="s">
        <v>690</v>
      </c>
      <c r="C138" s="139" t="s">
        <v>167</v>
      </c>
      <c r="D138" s="139" t="s">
        <v>171</v>
      </c>
      <c r="E138" s="139" t="s">
        <v>172</v>
      </c>
      <c r="F138" s="139" t="s">
        <v>173</v>
      </c>
      <c r="G138" s="139" t="s">
        <v>175</v>
      </c>
      <c r="H138" s="139" t="s">
        <v>181</v>
      </c>
      <c r="I138" s="139"/>
      <c r="J138" s="139" t="s">
        <v>144</v>
      </c>
      <c r="K138" s="140" t="s">
        <v>29</v>
      </c>
      <c r="L138" s="140" t="s">
        <v>182</v>
      </c>
      <c r="M138" s="141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1">
        <v>0</v>
      </c>
      <c r="T138" s="141">
        <v>0</v>
      </c>
      <c r="U138" s="141">
        <v>0</v>
      </c>
      <c r="V138" s="143">
        <v>0</v>
      </c>
      <c r="W138" s="141">
        <v>0</v>
      </c>
      <c r="X138" s="142">
        <v>0</v>
      </c>
      <c r="Y138" s="143">
        <v>0</v>
      </c>
      <c r="Z138" s="141">
        <v>0</v>
      </c>
      <c r="AA138" s="141">
        <v>0</v>
      </c>
      <c r="AB138" s="724">
        <v>0</v>
      </c>
    </row>
    <row r="139" spans="1:28" ht="24.95" hidden="1" customHeight="1">
      <c r="A139" s="32" t="e">
        <v>#REF!</v>
      </c>
      <c r="B139" s="144" t="s">
        <v>466</v>
      </c>
      <c r="C139" s="145" t="s">
        <v>167</v>
      </c>
      <c r="D139" s="145" t="s">
        <v>171</v>
      </c>
      <c r="E139" s="145" t="s">
        <v>172</v>
      </c>
      <c r="F139" s="145" t="s">
        <v>173</v>
      </c>
      <c r="G139" s="145" t="s">
        <v>175</v>
      </c>
      <c r="H139" s="145" t="s">
        <v>181</v>
      </c>
      <c r="I139" s="145" t="s">
        <v>54</v>
      </c>
      <c r="J139" s="145" t="s">
        <v>144</v>
      </c>
      <c r="K139" s="146" t="s">
        <v>29</v>
      </c>
      <c r="L139" s="147" t="s">
        <v>178</v>
      </c>
      <c r="M139" s="148"/>
      <c r="N139" s="148"/>
      <c r="O139" s="148"/>
      <c r="P139" s="148"/>
      <c r="Q139" s="148"/>
      <c r="R139" s="148"/>
      <c r="S139" s="148">
        <v>0</v>
      </c>
      <c r="T139" s="148"/>
      <c r="U139" s="148">
        <v>0</v>
      </c>
      <c r="V139" s="150">
        <v>0</v>
      </c>
      <c r="W139" s="148"/>
      <c r="X139" s="148">
        <v>0</v>
      </c>
      <c r="Y139" s="150">
        <v>0</v>
      </c>
      <c r="Z139" s="148"/>
      <c r="AA139" s="148">
        <v>0</v>
      </c>
      <c r="AB139" s="150">
        <v>0</v>
      </c>
    </row>
    <row r="140" spans="1:28" ht="31.5" hidden="1" customHeight="1">
      <c r="A140" s="32" t="e">
        <v>#REF!</v>
      </c>
      <c r="B140" s="144" t="s">
        <v>691</v>
      </c>
      <c r="C140" s="139" t="s">
        <v>167</v>
      </c>
      <c r="D140" s="139" t="s">
        <v>171</v>
      </c>
      <c r="E140" s="139" t="s">
        <v>172</v>
      </c>
      <c r="F140" s="139" t="s">
        <v>173</v>
      </c>
      <c r="G140" s="139" t="s">
        <v>175</v>
      </c>
      <c r="H140" s="139" t="s">
        <v>183</v>
      </c>
      <c r="I140" s="139"/>
      <c r="J140" s="139" t="s">
        <v>144</v>
      </c>
      <c r="K140" s="140" t="s">
        <v>29</v>
      </c>
      <c r="L140" s="140" t="s">
        <v>184</v>
      </c>
      <c r="M140" s="141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1">
        <v>0</v>
      </c>
      <c r="T140" s="141">
        <v>0</v>
      </c>
      <c r="U140" s="141">
        <v>0</v>
      </c>
      <c r="V140" s="143">
        <v>0</v>
      </c>
      <c r="W140" s="141">
        <v>0</v>
      </c>
      <c r="X140" s="142">
        <v>0</v>
      </c>
      <c r="Y140" s="143">
        <v>0</v>
      </c>
      <c r="Z140" s="141">
        <v>0</v>
      </c>
      <c r="AA140" s="141">
        <v>0</v>
      </c>
      <c r="AB140" s="724">
        <v>0</v>
      </c>
    </row>
    <row r="141" spans="1:28" ht="24.95" hidden="1" customHeight="1">
      <c r="A141" s="32" t="e">
        <v>#REF!</v>
      </c>
      <c r="B141" s="144" t="s">
        <v>470</v>
      </c>
      <c r="C141" s="145" t="s">
        <v>167</v>
      </c>
      <c r="D141" s="145" t="s">
        <v>171</v>
      </c>
      <c r="E141" s="145" t="s">
        <v>172</v>
      </c>
      <c r="F141" s="145" t="s">
        <v>173</v>
      </c>
      <c r="G141" s="145" t="s">
        <v>175</v>
      </c>
      <c r="H141" s="145" t="s">
        <v>183</v>
      </c>
      <c r="I141" s="145" t="s">
        <v>54</v>
      </c>
      <c r="J141" s="145" t="s">
        <v>144</v>
      </c>
      <c r="K141" s="146" t="s">
        <v>29</v>
      </c>
      <c r="L141" s="147" t="s">
        <v>178</v>
      </c>
      <c r="M141" s="148">
        <v>0</v>
      </c>
      <c r="N141" s="148"/>
      <c r="O141" s="148"/>
      <c r="P141" s="148"/>
      <c r="Q141" s="148"/>
      <c r="R141" s="148"/>
      <c r="S141" s="148">
        <v>0</v>
      </c>
      <c r="T141" s="148">
        <v>0</v>
      </c>
      <c r="U141" s="148">
        <v>0</v>
      </c>
      <c r="V141" s="150">
        <v>0</v>
      </c>
      <c r="W141" s="148">
        <v>0</v>
      </c>
      <c r="X141" s="148">
        <v>0</v>
      </c>
      <c r="Y141" s="150">
        <v>0</v>
      </c>
      <c r="Z141" s="148">
        <v>0</v>
      </c>
      <c r="AA141" s="148">
        <v>0</v>
      </c>
      <c r="AB141" s="150">
        <v>0</v>
      </c>
    </row>
    <row r="142" spans="1:28" ht="31.5" customHeight="1">
      <c r="A142" s="32" t="e">
        <v>#REF!</v>
      </c>
      <c r="B142" s="138" t="s">
        <v>472</v>
      </c>
      <c r="C142" s="139" t="s">
        <v>167</v>
      </c>
      <c r="D142" s="139" t="s">
        <v>171</v>
      </c>
      <c r="E142" s="139" t="s">
        <v>172</v>
      </c>
      <c r="F142" s="139" t="s">
        <v>173</v>
      </c>
      <c r="G142" s="139" t="s">
        <v>175</v>
      </c>
      <c r="H142" s="139" t="s">
        <v>185</v>
      </c>
      <c r="I142" s="139"/>
      <c r="J142" s="139" t="s">
        <v>144</v>
      </c>
      <c r="K142" s="140" t="s">
        <v>29</v>
      </c>
      <c r="L142" s="140" t="s">
        <v>186</v>
      </c>
      <c r="M142" s="141">
        <v>8943875639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1">
        <v>8943875639</v>
      </c>
      <c r="T142" s="141">
        <v>8943875639</v>
      </c>
      <c r="U142" s="141">
        <v>0</v>
      </c>
      <c r="V142" s="143">
        <v>1</v>
      </c>
      <c r="W142" s="141">
        <v>8943875639</v>
      </c>
      <c r="X142" s="142">
        <v>0</v>
      </c>
      <c r="Y142" s="143">
        <v>0</v>
      </c>
      <c r="Z142" s="141">
        <v>8943875639</v>
      </c>
      <c r="AA142" s="141">
        <v>0</v>
      </c>
      <c r="AB142" s="724">
        <v>1</v>
      </c>
    </row>
    <row r="143" spans="1:28" ht="24.95" customHeight="1">
      <c r="A143" s="32" t="e">
        <v>#REF!</v>
      </c>
      <c r="B143" s="144" t="s">
        <v>474</v>
      </c>
      <c r="C143" s="145" t="s">
        <v>167</v>
      </c>
      <c r="D143" s="145" t="s">
        <v>171</v>
      </c>
      <c r="E143" s="145" t="s">
        <v>172</v>
      </c>
      <c r="F143" s="145" t="s">
        <v>173</v>
      </c>
      <c r="G143" s="145" t="s">
        <v>175</v>
      </c>
      <c r="H143" s="145" t="s">
        <v>185</v>
      </c>
      <c r="I143" s="145" t="s">
        <v>54</v>
      </c>
      <c r="J143" s="145" t="s">
        <v>144</v>
      </c>
      <c r="K143" s="146" t="s">
        <v>29</v>
      </c>
      <c r="L143" s="147" t="s">
        <v>178</v>
      </c>
      <c r="M143" s="148">
        <v>8943875639</v>
      </c>
      <c r="N143" s="148"/>
      <c r="O143" s="148"/>
      <c r="P143" s="148"/>
      <c r="Q143" s="148"/>
      <c r="R143" s="148"/>
      <c r="S143" s="148">
        <v>8943875639</v>
      </c>
      <c r="T143" s="148">
        <v>8943875639</v>
      </c>
      <c r="U143" s="148">
        <v>0</v>
      </c>
      <c r="V143" s="150">
        <v>1</v>
      </c>
      <c r="W143" s="148">
        <v>8943875639</v>
      </c>
      <c r="X143" s="148">
        <v>0</v>
      </c>
      <c r="Y143" s="150">
        <v>0</v>
      </c>
      <c r="Z143" s="148">
        <v>8943875639</v>
      </c>
      <c r="AA143" s="148">
        <v>0</v>
      </c>
      <c r="AB143" s="150">
        <v>1</v>
      </c>
    </row>
    <row r="144" spans="1:28" ht="31.5" hidden="1" customHeight="1">
      <c r="A144" s="32" t="e">
        <v>#REF!</v>
      </c>
      <c r="B144" s="32"/>
      <c r="C144" s="139" t="s">
        <v>167</v>
      </c>
      <c r="D144" s="139" t="s">
        <v>171</v>
      </c>
      <c r="E144" s="139" t="s">
        <v>172</v>
      </c>
      <c r="F144" s="139" t="s">
        <v>173</v>
      </c>
      <c r="G144" s="139" t="s">
        <v>175</v>
      </c>
      <c r="H144" s="139" t="s">
        <v>187</v>
      </c>
      <c r="I144" s="139"/>
      <c r="J144" s="139" t="s">
        <v>144</v>
      </c>
      <c r="K144" s="140" t="s">
        <v>29</v>
      </c>
      <c r="L144" s="140" t="s">
        <v>188</v>
      </c>
      <c r="M144" s="141">
        <v>0</v>
      </c>
      <c r="N144" s="142">
        <v>0</v>
      </c>
      <c r="O144" s="142">
        <v>0</v>
      </c>
      <c r="P144" s="142">
        <v>0</v>
      </c>
      <c r="Q144" s="142">
        <v>0</v>
      </c>
      <c r="R144" s="142">
        <v>0</v>
      </c>
      <c r="S144" s="141">
        <v>0</v>
      </c>
      <c r="T144" s="141">
        <v>0</v>
      </c>
      <c r="U144" s="141">
        <v>0</v>
      </c>
      <c r="V144" s="143">
        <v>0</v>
      </c>
      <c r="W144" s="141">
        <v>0</v>
      </c>
      <c r="X144" s="142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hidden="1" customHeight="1">
      <c r="A145" s="32" t="e">
        <v>#REF!</v>
      </c>
      <c r="B145" s="32"/>
      <c r="C145" s="145" t="s">
        <v>167</v>
      </c>
      <c r="D145" s="145" t="s">
        <v>171</v>
      </c>
      <c r="E145" s="145" t="s">
        <v>172</v>
      </c>
      <c r="F145" s="145" t="s">
        <v>173</v>
      </c>
      <c r="G145" s="145" t="s">
        <v>175</v>
      </c>
      <c r="H145" s="145" t="s">
        <v>187</v>
      </c>
      <c r="I145" s="145" t="s">
        <v>54</v>
      </c>
      <c r="J145" s="145" t="s">
        <v>144</v>
      </c>
      <c r="K145" s="146" t="s">
        <v>29</v>
      </c>
      <c r="L145" s="147" t="s">
        <v>178</v>
      </c>
      <c r="M145" s="148">
        <v>0</v>
      </c>
      <c r="N145" s="148"/>
      <c r="O145" s="148"/>
      <c r="P145" s="148"/>
      <c r="Q145" s="148"/>
      <c r="R145" s="148"/>
      <c r="S145" s="148">
        <v>0</v>
      </c>
      <c r="T145" s="148">
        <v>0</v>
      </c>
      <c r="U145" s="148">
        <v>0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24.95" hidden="1" customHeight="1">
      <c r="A146" s="32" t="e">
        <v>#REF!</v>
      </c>
      <c r="B146" s="32"/>
      <c r="C146" s="145" t="s">
        <v>167</v>
      </c>
      <c r="D146" s="145" t="s">
        <v>171</v>
      </c>
      <c r="E146" s="145" t="s">
        <v>172</v>
      </c>
      <c r="F146" s="145" t="s">
        <v>173</v>
      </c>
      <c r="G146" s="145" t="s">
        <v>175</v>
      </c>
      <c r="H146" s="145" t="s">
        <v>187</v>
      </c>
      <c r="I146" s="145" t="s">
        <v>65</v>
      </c>
      <c r="J146" s="145" t="s">
        <v>144</v>
      </c>
      <c r="K146" s="146" t="s">
        <v>29</v>
      </c>
      <c r="L146" s="147" t="s">
        <v>127</v>
      </c>
      <c r="M146" s="148">
        <v>0</v>
      </c>
      <c r="N146" s="148"/>
      <c r="O146" s="148"/>
      <c r="P146" s="148"/>
      <c r="Q146" s="148"/>
      <c r="R146" s="148"/>
      <c r="S146" s="148">
        <v>0</v>
      </c>
      <c r="T146" s="148">
        <v>0</v>
      </c>
      <c r="U146" s="148">
        <v>0</v>
      </c>
      <c r="V146" s="150">
        <v>0</v>
      </c>
      <c r="W146" s="148">
        <v>0</v>
      </c>
      <c r="X146" s="148">
        <v>0</v>
      </c>
      <c r="Y146" s="150">
        <v>0</v>
      </c>
      <c r="Z146" s="148">
        <v>0</v>
      </c>
      <c r="AA146" s="148">
        <v>0</v>
      </c>
      <c r="AB146" s="150">
        <v>0</v>
      </c>
    </row>
    <row r="147" spans="1:28" ht="35.25" customHeight="1">
      <c r="A147" s="32" t="e">
        <v>#REF!</v>
      </c>
      <c r="B147" s="122" t="s">
        <v>482</v>
      </c>
      <c r="C147" s="123" t="s">
        <v>167</v>
      </c>
      <c r="D147" s="123">
        <v>4103</v>
      </c>
      <c r="E147" s="123"/>
      <c r="F147" s="123"/>
      <c r="G147" s="123"/>
      <c r="H147" s="123"/>
      <c r="I147" s="123"/>
      <c r="J147" s="124"/>
      <c r="K147" s="124"/>
      <c r="L147" s="124" t="s">
        <v>189</v>
      </c>
      <c r="M147" s="125">
        <v>6217033510554</v>
      </c>
      <c r="N147" s="125">
        <v>130000000000</v>
      </c>
      <c r="O147" s="719">
        <v>0</v>
      </c>
      <c r="P147" s="125">
        <v>124072681637.09</v>
      </c>
      <c r="Q147" s="125">
        <v>124072681637.09</v>
      </c>
      <c r="R147" s="125">
        <v>0</v>
      </c>
      <c r="S147" s="125">
        <v>6347033510554</v>
      </c>
      <c r="T147" s="125">
        <v>5485663390092.1504</v>
      </c>
      <c r="U147" s="125">
        <v>861370120461.85046</v>
      </c>
      <c r="V147" s="126">
        <v>0.86428776230194115</v>
      </c>
      <c r="W147" s="125">
        <v>4680537108491.04</v>
      </c>
      <c r="X147" s="125">
        <v>805126281601.11011</v>
      </c>
      <c r="Y147" s="126">
        <v>0.14676917345225321</v>
      </c>
      <c r="Z147" s="125">
        <v>4663351583974.4004</v>
      </c>
      <c r="AA147" s="125">
        <v>17185524516.640015</v>
      </c>
      <c r="AB147" s="720">
        <v>0.85009801957536146</v>
      </c>
    </row>
    <row r="148" spans="1:28" ht="24" customHeight="1">
      <c r="A148" s="32" t="e">
        <v>#REF!</v>
      </c>
      <c r="B148" s="127" t="s">
        <v>296</v>
      </c>
      <c r="C148" s="128" t="s">
        <v>167</v>
      </c>
      <c r="D148" s="128">
        <v>4103</v>
      </c>
      <c r="E148" s="128">
        <v>1500</v>
      </c>
      <c r="F148" s="128"/>
      <c r="G148" s="128"/>
      <c r="H148" s="128"/>
      <c r="I148" s="128"/>
      <c r="J148" s="129"/>
      <c r="K148" s="129"/>
      <c r="L148" s="129" t="s">
        <v>170</v>
      </c>
      <c r="M148" s="130">
        <v>6217033510554</v>
      </c>
      <c r="N148" s="130">
        <v>130000000000</v>
      </c>
      <c r="O148" s="721">
        <v>0</v>
      </c>
      <c r="P148" s="130">
        <v>124072681637.09</v>
      </c>
      <c r="Q148" s="130">
        <v>124072681637.09</v>
      </c>
      <c r="R148" s="130">
        <v>0</v>
      </c>
      <c r="S148" s="130">
        <v>6347033510554</v>
      </c>
      <c r="T148" s="130">
        <v>5485663390092.1504</v>
      </c>
      <c r="U148" s="130">
        <v>861370120461.85046</v>
      </c>
      <c r="V148" s="131">
        <v>0.86428776230194115</v>
      </c>
      <c r="W148" s="130">
        <v>4680537108491.04</v>
      </c>
      <c r="X148" s="130">
        <v>805126281601.11011</v>
      </c>
      <c r="Y148" s="131">
        <v>0.14676917345225321</v>
      </c>
      <c r="Z148" s="130">
        <v>4663351583974.4004</v>
      </c>
      <c r="AA148" s="130">
        <v>17185524516.640015</v>
      </c>
      <c r="AB148" s="722">
        <v>0.85009801957536146</v>
      </c>
    </row>
    <row r="149" spans="1:28" ht="42.75" customHeight="1">
      <c r="A149" s="32" t="e">
        <v>#REF!</v>
      </c>
      <c r="B149" s="132" t="s">
        <v>297</v>
      </c>
      <c r="C149" s="133" t="s">
        <v>167</v>
      </c>
      <c r="D149" s="133" t="s">
        <v>190</v>
      </c>
      <c r="E149" s="133" t="s">
        <v>172</v>
      </c>
      <c r="F149" s="133" t="s">
        <v>191</v>
      </c>
      <c r="G149" s="133"/>
      <c r="H149" s="133"/>
      <c r="I149" s="133"/>
      <c r="J149" s="133"/>
      <c r="K149" s="134"/>
      <c r="L149" s="134" t="s">
        <v>263</v>
      </c>
      <c r="M149" s="135">
        <v>2404147573733</v>
      </c>
      <c r="N149" s="136">
        <v>0</v>
      </c>
      <c r="O149" s="136">
        <v>0</v>
      </c>
      <c r="P149" s="135">
        <v>31076692165.060001</v>
      </c>
      <c r="Q149" s="135">
        <v>15050692165.059999</v>
      </c>
      <c r="R149" s="135">
        <v>0</v>
      </c>
      <c r="S149" s="135">
        <v>2420173573733.0005</v>
      </c>
      <c r="T149" s="135">
        <v>2022456154194.0901</v>
      </c>
      <c r="U149" s="135">
        <v>397717419538.9104</v>
      </c>
      <c r="V149" s="137">
        <v>0.83566574569052476</v>
      </c>
      <c r="W149" s="135">
        <v>1984658408974.8</v>
      </c>
      <c r="X149" s="135">
        <v>37797745219.289993</v>
      </c>
      <c r="Y149" s="137">
        <v>1.8689030731720197E-2</v>
      </c>
      <c r="Z149" s="135">
        <v>1984510462876.8</v>
      </c>
      <c r="AA149" s="135">
        <v>147946098</v>
      </c>
      <c r="AB149" s="723">
        <v>0.98123781757216355</v>
      </c>
    </row>
    <row r="150" spans="1:28" ht="30.75" customHeight="1">
      <c r="A150" s="32" t="e">
        <v>#REF!</v>
      </c>
      <c r="B150" s="138" t="s">
        <v>486</v>
      </c>
      <c r="C150" s="139" t="s">
        <v>167</v>
      </c>
      <c r="D150" s="139" t="s">
        <v>190</v>
      </c>
      <c r="E150" s="139" t="s">
        <v>172</v>
      </c>
      <c r="F150" s="139" t="s">
        <v>191</v>
      </c>
      <c r="G150" s="139" t="s">
        <v>175</v>
      </c>
      <c r="H150" s="139" t="s">
        <v>193</v>
      </c>
      <c r="I150" s="139"/>
      <c r="J150" s="139"/>
      <c r="K150" s="140"/>
      <c r="L150" s="140" t="s">
        <v>194</v>
      </c>
      <c r="M150" s="141">
        <v>2398883573733</v>
      </c>
      <c r="N150" s="142">
        <v>0</v>
      </c>
      <c r="O150" s="142">
        <v>0</v>
      </c>
      <c r="P150" s="141">
        <v>31076692165.060001</v>
      </c>
      <c r="Q150" s="141">
        <v>14921724116.059999</v>
      </c>
      <c r="R150" s="141">
        <v>0</v>
      </c>
      <c r="S150" s="141">
        <v>2415038541782.0005</v>
      </c>
      <c r="T150" s="141">
        <v>2017321122243.0901</v>
      </c>
      <c r="U150" s="141">
        <v>397717419538.9104</v>
      </c>
      <c r="V150" s="143">
        <v>0.83531632615459461</v>
      </c>
      <c r="W150" s="141">
        <v>1981834141401.8</v>
      </c>
      <c r="X150" s="141">
        <v>35486980841.289993</v>
      </c>
      <c r="Y150" s="143">
        <v>1.7591141266508663E-2</v>
      </c>
      <c r="Z150" s="141">
        <v>1981686195303.8</v>
      </c>
      <c r="AA150" s="141">
        <v>147946098</v>
      </c>
      <c r="AB150" s="724">
        <v>0.98233552083187081</v>
      </c>
    </row>
    <row r="151" spans="1:28" ht="24.95" hidden="1" customHeight="1">
      <c r="A151" s="32" t="e">
        <v>#REF!</v>
      </c>
      <c r="B151" s="144" t="s">
        <v>488</v>
      </c>
      <c r="C151" s="145" t="s">
        <v>167</v>
      </c>
      <c r="D151" s="145" t="s">
        <v>190</v>
      </c>
      <c r="E151" s="145" t="s">
        <v>172</v>
      </c>
      <c r="F151" s="145" t="s">
        <v>191</v>
      </c>
      <c r="G151" s="145" t="s">
        <v>175</v>
      </c>
      <c r="H151" s="145" t="s">
        <v>193</v>
      </c>
      <c r="I151" s="145" t="s">
        <v>54</v>
      </c>
      <c r="J151" s="145">
        <v>10</v>
      </c>
      <c r="K151" s="146" t="s">
        <v>29</v>
      </c>
      <c r="L151" s="147" t="s">
        <v>178</v>
      </c>
      <c r="M151" s="148">
        <v>0</v>
      </c>
      <c r="N151" s="148"/>
      <c r="O151" s="148"/>
      <c r="P151" s="148"/>
      <c r="Q151" s="148"/>
      <c r="R151" s="148"/>
      <c r="S151" s="148">
        <v>0</v>
      </c>
      <c r="T151" s="148">
        <v>0</v>
      </c>
      <c r="U151" s="148">
        <v>0</v>
      </c>
      <c r="V151" s="150">
        <v>0</v>
      </c>
      <c r="W151" s="148">
        <v>0</v>
      </c>
      <c r="X151" s="148">
        <v>0</v>
      </c>
      <c r="Y151" s="150">
        <v>0</v>
      </c>
      <c r="Z151" s="148">
        <v>0</v>
      </c>
      <c r="AA151" s="148">
        <v>0</v>
      </c>
      <c r="AB151" s="150">
        <v>0</v>
      </c>
    </row>
    <row r="152" spans="1:28" ht="24.95" customHeight="1">
      <c r="A152" s="32" t="e">
        <v>#REF!</v>
      </c>
      <c r="B152" s="144" t="s">
        <v>488</v>
      </c>
      <c r="C152" s="145" t="s">
        <v>167</v>
      </c>
      <c r="D152" s="145" t="s">
        <v>190</v>
      </c>
      <c r="E152" s="145" t="s">
        <v>172</v>
      </c>
      <c r="F152" s="145" t="s">
        <v>191</v>
      </c>
      <c r="G152" s="145" t="s">
        <v>175</v>
      </c>
      <c r="H152" s="145" t="s">
        <v>193</v>
      </c>
      <c r="I152" s="145" t="s">
        <v>54</v>
      </c>
      <c r="J152" s="145">
        <v>11</v>
      </c>
      <c r="K152" s="146" t="s">
        <v>29</v>
      </c>
      <c r="L152" s="147" t="s">
        <v>178</v>
      </c>
      <c r="M152" s="148">
        <v>137428156966</v>
      </c>
      <c r="N152" s="148"/>
      <c r="O152" s="148"/>
      <c r="P152" s="148">
        <v>4894511104.0900002</v>
      </c>
      <c r="Q152" s="148">
        <v>10123827011.969999</v>
      </c>
      <c r="R152" s="148"/>
      <c r="S152" s="148">
        <v>132198841058.12</v>
      </c>
      <c r="T152" s="148">
        <v>93085002845.089996</v>
      </c>
      <c r="U152" s="148">
        <v>39113838213.029999</v>
      </c>
      <c r="V152" s="150">
        <v>0.7041287359256504</v>
      </c>
      <c r="W152" s="148">
        <v>57644692053.800003</v>
      </c>
      <c r="X152" s="148">
        <v>35440310791.289993</v>
      </c>
      <c r="Y152" s="150">
        <v>0.38073061941319347</v>
      </c>
      <c r="Z152" s="148">
        <v>57496745955.800003</v>
      </c>
      <c r="AA152" s="148">
        <v>147946098</v>
      </c>
      <c r="AB152" s="150">
        <v>0.6176800150233096</v>
      </c>
    </row>
    <row r="153" spans="1:28" ht="24.95" hidden="1" customHeight="1">
      <c r="A153" s="32" t="e">
        <v>#REF!</v>
      </c>
      <c r="B153" s="144" t="s">
        <v>491</v>
      </c>
      <c r="C153" s="145" t="s">
        <v>167</v>
      </c>
      <c r="D153" s="145" t="s">
        <v>190</v>
      </c>
      <c r="E153" s="145" t="s">
        <v>172</v>
      </c>
      <c r="F153" s="145" t="s">
        <v>191</v>
      </c>
      <c r="G153" s="145" t="s">
        <v>175</v>
      </c>
      <c r="H153" s="145" t="s">
        <v>193</v>
      </c>
      <c r="I153" s="145" t="s">
        <v>65</v>
      </c>
      <c r="J153" s="145">
        <v>10</v>
      </c>
      <c r="K153" s="146" t="s">
        <v>29</v>
      </c>
      <c r="L153" s="147" t="s">
        <v>127</v>
      </c>
      <c r="M153" s="148">
        <v>0</v>
      </c>
      <c r="N153" s="148"/>
      <c r="O153" s="148"/>
      <c r="P153" s="148"/>
      <c r="Q153" s="148"/>
      <c r="R153" s="148"/>
      <c r="S153" s="148">
        <v>0</v>
      </c>
      <c r="T153" s="148">
        <v>0</v>
      </c>
      <c r="U153" s="148">
        <v>0</v>
      </c>
      <c r="V153" s="150">
        <v>0</v>
      </c>
      <c r="W153" s="148">
        <v>0</v>
      </c>
      <c r="X153" s="148">
        <v>0</v>
      </c>
      <c r="Y153" s="150">
        <v>0</v>
      </c>
      <c r="Z153" s="148">
        <v>0</v>
      </c>
      <c r="AA153" s="148">
        <v>0</v>
      </c>
      <c r="AB153" s="150">
        <v>0</v>
      </c>
    </row>
    <row r="154" spans="1:28" ht="24.95" customHeight="1">
      <c r="A154" s="32" t="e">
        <v>#REF!</v>
      </c>
      <c r="B154" s="144" t="s">
        <v>491</v>
      </c>
      <c r="C154" s="145" t="s">
        <v>167</v>
      </c>
      <c r="D154" s="145" t="s">
        <v>190</v>
      </c>
      <c r="E154" s="145" t="s">
        <v>172</v>
      </c>
      <c r="F154" s="145" t="s">
        <v>191</v>
      </c>
      <c r="G154" s="145" t="s">
        <v>175</v>
      </c>
      <c r="H154" s="145" t="s">
        <v>193</v>
      </c>
      <c r="I154" s="145" t="s">
        <v>65</v>
      </c>
      <c r="J154" s="145" t="s">
        <v>144</v>
      </c>
      <c r="K154" s="146" t="s">
        <v>29</v>
      </c>
      <c r="L154" s="147" t="s">
        <v>127</v>
      </c>
      <c r="M154" s="148">
        <v>2261455416767</v>
      </c>
      <c r="N154" s="148"/>
      <c r="O154" s="148"/>
      <c r="P154" s="148">
        <v>26182181060.970001</v>
      </c>
      <c r="Q154" s="148">
        <v>4797897104.0900002</v>
      </c>
      <c r="R154" s="148"/>
      <c r="S154" s="148">
        <v>2282839700723.8804</v>
      </c>
      <c r="T154" s="148">
        <v>1924236119398</v>
      </c>
      <c r="U154" s="148">
        <v>358603581325.88037</v>
      </c>
      <c r="V154" s="150">
        <v>0.84291337617259399</v>
      </c>
      <c r="W154" s="148">
        <v>1924189449348</v>
      </c>
      <c r="X154" s="148">
        <v>46670050</v>
      </c>
      <c r="Y154" s="150">
        <v>2.4253806240057893E-5</v>
      </c>
      <c r="Z154" s="148">
        <v>1924189449348</v>
      </c>
      <c r="AA154" s="148">
        <v>0</v>
      </c>
      <c r="AB154" s="150">
        <v>0.99997574619375995</v>
      </c>
    </row>
    <row r="155" spans="1:28" ht="32.25" customHeight="1">
      <c r="A155" s="32" t="e">
        <v>#REF!</v>
      </c>
      <c r="B155" s="138" t="s">
        <v>494</v>
      </c>
      <c r="C155" s="139" t="s">
        <v>167</v>
      </c>
      <c r="D155" s="139" t="s">
        <v>190</v>
      </c>
      <c r="E155" s="139" t="s">
        <v>172</v>
      </c>
      <c r="F155" s="139" t="s">
        <v>191</v>
      </c>
      <c r="G155" s="139" t="s">
        <v>175</v>
      </c>
      <c r="H155" s="139">
        <v>4103009</v>
      </c>
      <c r="I155" s="139"/>
      <c r="J155" s="139">
        <v>10</v>
      </c>
      <c r="K155" s="140" t="s">
        <v>29</v>
      </c>
      <c r="L155" s="140" t="s">
        <v>195</v>
      </c>
      <c r="M155" s="141">
        <v>5264000000</v>
      </c>
      <c r="N155" s="142">
        <v>0</v>
      </c>
      <c r="O155" s="142">
        <v>0</v>
      </c>
      <c r="P155" s="142">
        <v>0</v>
      </c>
      <c r="Q155" s="141">
        <v>128968049</v>
      </c>
      <c r="R155" s="142">
        <v>0</v>
      </c>
      <c r="S155" s="141">
        <v>5135031951</v>
      </c>
      <c r="T155" s="141">
        <v>5135031951</v>
      </c>
      <c r="U155" s="141">
        <v>0</v>
      </c>
      <c r="V155" s="143">
        <v>1</v>
      </c>
      <c r="W155" s="141">
        <v>2824267573</v>
      </c>
      <c r="X155" s="141">
        <v>2310764378</v>
      </c>
      <c r="Y155" s="143">
        <v>0.45000000000973706</v>
      </c>
      <c r="Z155" s="141">
        <v>2824267573</v>
      </c>
      <c r="AA155" s="141">
        <v>0</v>
      </c>
      <c r="AB155" s="724">
        <v>0.54999999999026294</v>
      </c>
    </row>
    <row r="156" spans="1:28" ht="24.95" hidden="1" customHeight="1">
      <c r="A156" s="32" t="e">
        <v>#REF!</v>
      </c>
      <c r="B156" s="144" t="s">
        <v>496</v>
      </c>
      <c r="C156" s="145" t="s">
        <v>167</v>
      </c>
      <c r="D156" s="145" t="s">
        <v>190</v>
      </c>
      <c r="E156" s="145" t="s">
        <v>172</v>
      </c>
      <c r="F156" s="145" t="s">
        <v>191</v>
      </c>
      <c r="G156" s="145" t="s">
        <v>175</v>
      </c>
      <c r="H156" s="145">
        <v>4103009</v>
      </c>
      <c r="I156" s="145" t="s">
        <v>54</v>
      </c>
      <c r="J156" s="145">
        <v>10</v>
      </c>
      <c r="K156" s="146" t="s">
        <v>29</v>
      </c>
      <c r="L156" s="147" t="s">
        <v>178</v>
      </c>
      <c r="M156" s="148">
        <v>0</v>
      </c>
      <c r="N156" s="148"/>
      <c r="O156" s="148"/>
      <c r="P156" s="148"/>
      <c r="Q156" s="148"/>
      <c r="R156" s="148"/>
      <c r="S156" s="148">
        <v>0</v>
      </c>
      <c r="T156" s="148">
        <v>0</v>
      </c>
      <c r="U156" s="148">
        <v>0</v>
      </c>
      <c r="V156" s="150">
        <v>0</v>
      </c>
      <c r="W156" s="148">
        <v>0</v>
      </c>
      <c r="X156" s="148">
        <v>0</v>
      </c>
      <c r="Y156" s="150">
        <v>0</v>
      </c>
      <c r="Z156" s="148">
        <v>0</v>
      </c>
      <c r="AA156" s="148">
        <v>0</v>
      </c>
      <c r="AB156" s="150">
        <v>0</v>
      </c>
    </row>
    <row r="157" spans="1:28" ht="24.95" customHeight="1">
      <c r="A157" s="32" t="e">
        <v>#REF!</v>
      </c>
      <c r="B157" s="144" t="s">
        <v>496</v>
      </c>
      <c r="C157" s="145" t="s">
        <v>167</v>
      </c>
      <c r="D157" s="145" t="s">
        <v>190</v>
      </c>
      <c r="E157" s="145" t="s">
        <v>172</v>
      </c>
      <c r="F157" s="145" t="s">
        <v>191</v>
      </c>
      <c r="G157" s="145" t="s">
        <v>175</v>
      </c>
      <c r="H157" s="145">
        <v>4103009</v>
      </c>
      <c r="I157" s="145" t="s">
        <v>54</v>
      </c>
      <c r="J157" s="145">
        <v>11</v>
      </c>
      <c r="K157" s="146" t="s">
        <v>29</v>
      </c>
      <c r="L157" s="147" t="s">
        <v>178</v>
      </c>
      <c r="M157" s="148">
        <v>5264000000</v>
      </c>
      <c r="N157" s="148"/>
      <c r="O157" s="148"/>
      <c r="P157" s="148"/>
      <c r="Q157" s="148">
        <v>128968049</v>
      </c>
      <c r="R157" s="148"/>
      <c r="S157" s="148">
        <v>5135031951</v>
      </c>
      <c r="T157" s="148">
        <v>5135031951</v>
      </c>
      <c r="U157" s="148">
        <v>0</v>
      </c>
      <c r="V157" s="150">
        <v>1</v>
      </c>
      <c r="W157" s="148">
        <v>2824267573</v>
      </c>
      <c r="X157" s="148">
        <v>2310764378</v>
      </c>
      <c r="Y157" s="150">
        <v>0.45000000000973706</v>
      </c>
      <c r="Z157" s="148">
        <v>2824267573</v>
      </c>
      <c r="AA157" s="148">
        <v>0</v>
      </c>
      <c r="AB157" s="150">
        <v>0.54999999999026294</v>
      </c>
    </row>
    <row r="158" spans="1:28" ht="42" customHeight="1">
      <c r="A158" s="32" t="e">
        <v>#REF!</v>
      </c>
      <c r="B158" s="132" t="s">
        <v>298</v>
      </c>
      <c r="C158" s="133" t="s">
        <v>167</v>
      </c>
      <c r="D158" s="133" t="s">
        <v>190</v>
      </c>
      <c r="E158" s="133" t="s">
        <v>172</v>
      </c>
      <c r="F158" s="133" t="s">
        <v>22</v>
      </c>
      <c r="G158" s="133"/>
      <c r="H158" s="133"/>
      <c r="I158" s="133"/>
      <c r="J158" s="133"/>
      <c r="K158" s="134"/>
      <c r="L158" s="134" t="s">
        <v>264</v>
      </c>
      <c r="M158" s="135">
        <v>26000000000</v>
      </c>
      <c r="N158" s="136">
        <v>0</v>
      </c>
      <c r="O158" s="136">
        <v>0</v>
      </c>
      <c r="P158" s="136">
        <v>0</v>
      </c>
      <c r="Q158" s="136">
        <v>0</v>
      </c>
      <c r="R158" s="136">
        <v>0</v>
      </c>
      <c r="S158" s="135">
        <v>26000000000</v>
      </c>
      <c r="T158" s="135">
        <v>23848262499</v>
      </c>
      <c r="U158" s="135">
        <v>2151737501</v>
      </c>
      <c r="V158" s="137">
        <v>0.9172408653461539</v>
      </c>
      <c r="W158" s="135">
        <v>8607841096</v>
      </c>
      <c r="X158" s="135">
        <v>15240421403</v>
      </c>
      <c r="Y158" s="137">
        <v>0.63905793571498382</v>
      </c>
      <c r="Z158" s="135">
        <v>8545471723</v>
      </c>
      <c r="AA158" s="135">
        <v>62369373</v>
      </c>
      <c r="AB158" s="723">
        <v>0.35832680570998943</v>
      </c>
    </row>
    <row r="159" spans="1:28" ht="32.25" customHeight="1">
      <c r="A159" s="32" t="e">
        <v>#REF!</v>
      </c>
      <c r="B159" s="138" t="s">
        <v>500</v>
      </c>
      <c r="C159" s="139" t="s">
        <v>167</v>
      </c>
      <c r="D159" s="139" t="s">
        <v>190</v>
      </c>
      <c r="E159" s="139" t="s">
        <v>172</v>
      </c>
      <c r="F159" s="139" t="s">
        <v>22</v>
      </c>
      <c r="G159" s="139" t="s">
        <v>175</v>
      </c>
      <c r="H159" s="139" t="s">
        <v>197</v>
      </c>
      <c r="I159" s="139"/>
      <c r="J159" s="139">
        <v>11</v>
      </c>
      <c r="K159" s="140" t="s">
        <v>29</v>
      </c>
      <c r="L159" s="140" t="s">
        <v>198</v>
      </c>
      <c r="M159" s="141">
        <v>2722234333</v>
      </c>
      <c r="N159" s="142">
        <v>0</v>
      </c>
      <c r="O159" s="142">
        <v>0</v>
      </c>
      <c r="P159" s="142">
        <v>0</v>
      </c>
      <c r="Q159" s="142">
        <v>0</v>
      </c>
      <c r="R159" s="142">
        <v>0</v>
      </c>
      <c r="S159" s="141">
        <v>2722234333</v>
      </c>
      <c r="T159" s="141">
        <v>2457159000</v>
      </c>
      <c r="U159" s="141">
        <v>265075333</v>
      </c>
      <c r="V159" s="143">
        <v>0.90262582108136247</v>
      </c>
      <c r="W159" s="141">
        <v>2051168395</v>
      </c>
      <c r="X159" s="142">
        <v>405990605</v>
      </c>
      <c r="Y159" s="143">
        <v>0.16522764908579379</v>
      </c>
      <c r="Z159" s="141">
        <v>2051168395</v>
      </c>
      <c r="AA159" s="141">
        <v>0</v>
      </c>
      <c r="AB159" s="724">
        <v>0.83477235091420621</v>
      </c>
    </row>
    <row r="160" spans="1:28" ht="24.95" customHeight="1">
      <c r="A160" s="32" t="e">
        <v>#REF!</v>
      </c>
      <c r="B160" s="144" t="s">
        <v>501</v>
      </c>
      <c r="C160" s="145" t="s">
        <v>167</v>
      </c>
      <c r="D160" s="145" t="s">
        <v>190</v>
      </c>
      <c r="E160" s="145" t="s">
        <v>172</v>
      </c>
      <c r="F160" s="145" t="s">
        <v>22</v>
      </c>
      <c r="G160" s="145" t="s">
        <v>175</v>
      </c>
      <c r="H160" s="145" t="s">
        <v>197</v>
      </c>
      <c r="I160" s="145" t="s">
        <v>54</v>
      </c>
      <c r="J160" s="145">
        <v>11</v>
      </c>
      <c r="K160" s="146" t="s">
        <v>29</v>
      </c>
      <c r="L160" s="147" t="s">
        <v>178</v>
      </c>
      <c r="M160" s="148">
        <v>2722234333</v>
      </c>
      <c r="N160" s="148"/>
      <c r="O160" s="148"/>
      <c r="P160" s="148"/>
      <c r="Q160" s="148"/>
      <c r="R160" s="148"/>
      <c r="S160" s="148">
        <v>2722234333</v>
      </c>
      <c r="T160" s="148">
        <v>2457159000</v>
      </c>
      <c r="U160" s="148">
        <v>265075333</v>
      </c>
      <c r="V160" s="150">
        <v>0.90262582108136247</v>
      </c>
      <c r="W160" s="148">
        <v>2051168395</v>
      </c>
      <c r="X160" s="148">
        <v>405990605</v>
      </c>
      <c r="Y160" s="150">
        <v>0.16522764908579379</v>
      </c>
      <c r="Z160" s="148">
        <v>2051168395</v>
      </c>
      <c r="AA160" s="148">
        <v>0</v>
      </c>
      <c r="AB160" s="150">
        <v>0.83477235091420621</v>
      </c>
    </row>
    <row r="161" spans="1:28" ht="32.25" customHeight="1">
      <c r="A161" s="32" t="e">
        <v>#REF!</v>
      </c>
      <c r="B161" s="138" t="s">
        <v>502</v>
      </c>
      <c r="C161" s="139" t="s">
        <v>167</v>
      </c>
      <c r="D161" s="139" t="s">
        <v>190</v>
      </c>
      <c r="E161" s="139" t="s">
        <v>172</v>
      </c>
      <c r="F161" s="139" t="s">
        <v>22</v>
      </c>
      <c r="G161" s="139" t="s">
        <v>175</v>
      </c>
      <c r="H161" s="139" t="s">
        <v>199</v>
      </c>
      <c r="I161" s="139"/>
      <c r="J161" s="139">
        <v>11</v>
      </c>
      <c r="K161" s="140" t="s">
        <v>29</v>
      </c>
      <c r="L161" s="140" t="s">
        <v>200</v>
      </c>
      <c r="M161" s="141">
        <v>2304259288</v>
      </c>
      <c r="N161" s="142">
        <v>0</v>
      </c>
      <c r="O161" s="142">
        <v>0</v>
      </c>
      <c r="P161" s="142">
        <v>0</v>
      </c>
      <c r="Q161" s="142">
        <v>0</v>
      </c>
      <c r="R161" s="142">
        <v>0</v>
      </c>
      <c r="S161" s="141">
        <v>2304259288</v>
      </c>
      <c r="T161" s="141">
        <v>2079883932</v>
      </c>
      <c r="U161" s="141">
        <v>224375356</v>
      </c>
      <c r="V161" s="143">
        <v>0.90262582116149426</v>
      </c>
      <c r="W161" s="141">
        <v>759691998</v>
      </c>
      <c r="X161" s="142">
        <v>1320191934</v>
      </c>
      <c r="Y161" s="143">
        <v>0.63474308046147254</v>
      </c>
      <c r="Z161" s="141">
        <v>759691998</v>
      </c>
      <c r="AA161" s="141">
        <v>0</v>
      </c>
      <c r="AB161" s="724">
        <v>0.3652569195385274</v>
      </c>
    </row>
    <row r="162" spans="1:28" ht="24.95" customHeight="1">
      <c r="A162" s="32" t="e">
        <v>#REF!</v>
      </c>
      <c r="B162" s="144" t="s">
        <v>503</v>
      </c>
      <c r="C162" s="145" t="s">
        <v>167</v>
      </c>
      <c r="D162" s="145" t="s">
        <v>190</v>
      </c>
      <c r="E162" s="145" t="s">
        <v>172</v>
      </c>
      <c r="F162" s="145" t="s">
        <v>22</v>
      </c>
      <c r="G162" s="145" t="s">
        <v>175</v>
      </c>
      <c r="H162" s="145" t="s">
        <v>199</v>
      </c>
      <c r="I162" s="145" t="s">
        <v>54</v>
      </c>
      <c r="J162" s="145">
        <v>11</v>
      </c>
      <c r="K162" s="146" t="s">
        <v>29</v>
      </c>
      <c r="L162" s="147" t="s">
        <v>178</v>
      </c>
      <c r="M162" s="148">
        <v>2304259288</v>
      </c>
      <c r="N162" s="148"/>
      <c r="O162" s="148"/>
      <c r="P162" s="148"/>
      <c r="Q162" s="148"/>
      <c r="R162" s="148"/>
      <c r="S162" s="148">
        <v>2304259288</v>
      </c>
      <c r="T162" s="148">
        <v>2079883932</v>
      </c>
      <c r="U162" s="148">
        <v>224375356</v>
      </c>
      <c r="V162" s="150">
        <v>0.90262582116149426</v>
      </c>
      <c r="W162" s="148">
        <v>759691998</v>
      </c>
      <c r="X162" s="148">
        <v>1320191934</v>
      </c>
      <c r="Y162" s="150">
        <v>0.63474308046147254</v>
      </c>
      <c r="Z162" s="148">
        <v>759691998</v>
      </c>
      <c r="AA162" s="148">
        <v>0</v>
      </c>
      <c r="AB162" s="150">
        <v>0.3652569195385274</v>
      </c>
    </row>
    <row r="163" spans="1:28" ht="32.25" customHeight="1">
      <c r="A163" s="32" t="e">
        <v>#REF!</v>
      </c>
      <c r="B163" s="138" t="s">
        <v>504</v>
      </c>
      <c r="C163" s="139" t="s">
        <v>167</v>
      </c>
      <c r="D163" s="139" t="s">
        <v>190</v>
      </c>
      <c r="E163" s="139" t="s">
        <v>172</v>
      </c>
      <c r="F163" s="139" t="s">
        <v>22</v>
      </c>
      <c r="G163" s="139" t="s">
        <v>175</v>
      </c>
      <c r="H163" s="139" t="s">
        <v>201</v>
      </c>
      <c r="I163" s="139"/>
      <c r="J163" s="139">
        <v>11</v>
      </c>
      <c r="K163" s="140" t="s">
        <v>29</v>
      </c>
      <c r="L163" s="140" t="s">
        <v>202</v>
      </c>
      <c r="M163" s="141">
        <v>2444410079</v>
      </c>
      <c r="N163" s="142">
        <v>0</v>
      </c>
      <c r="O163" s="142">
        <v>0</v>
      </c>
      <c r="P163" s="142">
        <v>0</v>
      </c>
      <c r="Q163" s="142">
        <v>0</v>
      </c>
      <c r="R163" s="142">
        <v>0</v>
      </c>
      <c r="S163" s="141">
        <v>2444410079</v>
      </c>
      <c r="T163" s="141">
        <v>2349932143</v>
      </c>
      <c r="U163" s="141">
        <v>94477936</v>
      </c>
      <c r="V163" s="143">
        <v>0.96134939189963964</v>
      </c>
      <c r="W163" s="141">
        <v>1454095872</v>
      </c>
      <c r="X163" s="141">
        <v>895836271</v>
      </c>
      <c r="Y163" s="143">
        <v>0.38121793161922801</v>
      </c>
      <c r="Z163" s="141">
        <v>1391726499</v>
      </c>
      <c r="AA163" s="141">
        <v>62369373</v>
      </c>
      <c r="AB163" s="724">
        <v>0.59224114327968491</v>
      </c>
    </row>
    <row r="164" spans="1:28" ht="24.95" customHeight="1">
      <c r="A164" s="32" t="e">
        <v>#REF!</v>
      </c>
      <c r="B164" s="144" t="s">
        <v>505</v>
      </c>
      <c r="C164" s="145" t="s">
        <v>167</v>
      </c>
      <c r="D164" s="145" t="s">
        <v>190</v>
      </c>
      <c r="E164" s="145" t="s">
        <v>172</v>
      </c>
      <c r="F164" s="145" t="s">
        <v>22</v>
      </c>
      <c r="G164" s="145" t="s">
        <v>175</v>
      </c>
      <c r="H164" s="145" t="s">
        <v>201</v>
      </c>
      <c r="I164" s="145" t="s">
        <v>54</v>
      </c>
      <c r="J164" s="145">
        <v>11</v>
      </c>
      <c r="K164" s="146" t="s">
        <v>29</v>
      </c>
      <c r="L164" s="147" t="s">
        <v>178</v>
      </c>
      <c r="M164" s="148">
        <v>2444410079</v>
      </c>
      <c r="N164" s="148"/>
      <c r="O164" s="148"/>
      <c r="P164" s="148"/>
      <c r="Q164" s="148"/>
      <c r="R164" s="148"/>
      <c r="S164" s="148">
        <v>2444410079</v>
      </c>
      <c r="T164" s="148">
        <v>2349932143</v>
      </c>
      <c r="U164" s="148">
        <v>94477936</v>
      </c>
      <c r="V164" s="150">
        <v>0.96134939189963964</v>
      </c>
      <c r="W164" s="148">
        <v>1454095872</v>
      </c>
      <c r="X164" s="148">
        <v>895836271</v>
      </c>
      <c r="Y164" s="150">
        <v>0.38121793161922801</v>
      </c>
      <c r="Z164" s="148">
        <v>1391726499</v>
      </c>
      <c r="AA164" s="148">
        <v>62369373</v>
      </c>
      <c r="AB164" s="150">
        <v>0.59224114327968491</v>
      </c>
    </row>
    <row r="165" spans="1:28" ht="32.25" customHeight="1">
      <c r="A165" s="32" t="e">
        <v>#REF!</v>
      </c>
      <c r="B165" s="138" t="s">
        <v>506</v>
      </c>
      <c r="C165" s="139" t="s">
        <v>167</v>
      </c>
      <c r="D165" s="139" t="s">
        <v>190</v>
      </c>
      <c r="E165" s="139" t="s">
        <v>172</v>
      </c>
      <c r="F165" s="139" t="s">
        <v>22</v>
      </c>
      <c r="G165" s="139" t="s">
        <v>175</v>
      </c>
      <c r="H165" s="139" t="s">
        <v>203</v>
      </c>
      <c r="I165" s="139"/>
      <c r="J165" s="139">
        <v>11</v>
      </c>
      <c r="K165" s="140" t="s">
        <v>29</v>
      </c>
      <c r="L165" s="140" t="s">
        <v>204</v>
      </c>
      <c r="M165" s="141">
        <v>18529096300</v>
      </c>
      <c r="N165" s="142">
        <v>0</v>
      </c>
      <c r="O165" s="142">
        <v>0</v>
      </c>
      <c r="P165" s="142">
        <v>0</v>
      </c>
      <c r="Q165" s="142">
        <v>0</v>
      </c>
      <c r="R165" s="142">
        <v>0</v>
      </c>
      <c r="S165" s="141">
        <v>18529096300</v>
      </c>
      <c r="T165" s="141">
        <v>16961287424</v>
      </c>
      <c r="U165" s="141">
        <v>1567808876</v>
      </c>
      <c r="V165" s="143">
        <v>0.91538665185738177</v>
      </c>
      <c r="W165" s="141">
        <v>4342884831</v>
      </c>
      <c r="X165" s="141">
        <v>12618402593</v>
      </c>
      <c r="Y165" s="143">
        <v>0.74395311379165274</v>
      </c>
      <c r="Z165" s="141">
        <v>4342884831</v>
      </c>
      <c r="AA165" s="141">
        <v>0</v>
      </c>
      <c r="AB165" s="724">
        <v>0.25604688620834731</v>
      </c>
    </row>
    <row r="166" spans="1:28" ht="24.95" customHeight="1">
      <c r="A166" s="32" t="e">
        <v>#REF!</v>
      </c>
      <c r="B166" s="144" t="s">
        <v>507</v>
      </c>
      <c r="C166" s="145" t="s">
        <v>167</v>
      </c>
      <c r="D166" s="145" t="s">
        <v>190</v>
      </c>
      <c r="E166" s="145" t="s">
        <v>172</v>
      </c>
      <c r="F166" s="145" t="s">
        <v>22</v>
      </c>
      <c r="G166" s="145" t="s">
        <v>175</v>
      </c>
      <c r="H166" s="145" t="s">
        <v>203</v>
      </c>
      <c r="I166" s="145" t="s">
        <v>54</v>
      </c>
      <c r="J166" s="145">
        <v>11</v>
      </c>
      <c r="K166" s="146" t="s">
        <v>29</v>
      </c>
      <c r="L166" s="147" t="s">
        <v>178</v>
      </c>
      <c r="M166" s="148">
        <v>18529096300</v>
      </c>
      <c r="N166" s="148"/>
      <c r="O166" s="148"/>
      <c r="P166" s="148"/>
      <c r="Q166" s="148"/>
      <c r="R166" s="148"/>
      <c r="S166" s="148">
        <v>18529096300</v>
      </c>
      <c r="T166" s="148">
        <v>16961287424</v>
      </c>
      <c r="U166" s="148">
        <v>1567808876</v>
      </c>
      <c r="V166" s="150">
        <v>0.91538665185738177</v>
      </c>
      <c r="W166" s="148">
        <v>4342884831</v>
      </c>
      <c r="X166" s="148">
        <v>12618402593</v>
      </c>
      <c r="Y166" s="150">
        <v>0.74395311379165274</v>
      </c>
      <c r="Z166" s="148">
        <v>4342884831</v>
      </c>
      <c r="AA166" s="148">
        <v>0</v>
      </c>
      <c r="AB166" s="150">
        <v>0.25604688620834731</v>
      </c>
    </row>
    <row r="167" spans="1:28" ht="42" customHeight="1">
      <c r="A167" s="32" t="e">
        <v>#REF!</v>
      </c>
      <c r="B167" s="132" t="s">
        <v>299</v>
      </c>
      <c r="C167" s="133" t="s">
        <v>167</v>
      </c>
      <c r="D167" s="133" t="s">
        <v>190</v>
      </c>
      <c r="E167" s="133" t="s">
        <v>172</v>
      </c>
      <c r="F167" s="133" t="s">
        <v>205</v>
      </c>
      <c r="G167" s="133"/>
      <c r="H167" s="133"/>
      <c r="I167" s="133"/>
      <c r="J167" s="133"/>
      <c r="K167" s="134"/>
      <c r="L167" s="134" t="s">
        <v>265</v>
      </c>
      <c r="M167" s="135">
        <v>881000000000</v>
      </c>
      <c r="N167" s="135">
        <v>130000000000</v>
      </c>
      <c r="O167" s="136">
        <v>0</v>
      </c>
      <c r="P167" s="135">
        <v>44930364551.029991</v>
      </c>
      <c r="Q167" s="135">
        <v>69937503467.029999</v>
      </c>
      <c r="R167" s="135">
        <v>0</v>
      </c>
      <c r="S167" s="135">
        <v>985992861084</v>
      </c>
      <c r="T167" s="135">
        <v>771816644271.44995</v>
      </c>
      <c r="U167" s="135">
        <v>214176216812.55005</v>
      </c>
      <c r="V167" s="137">
        <v>0.78278116884428062</v>
      </c>
      <c r="W167" s="135">
        <v>132801379724.25999</v>
      </c>
      <c r="X167" s="135">
        <v>639015264547.19006</v>
      </c>
      <c r="Y167" s="137">
        <v>0.82793662107453425</v>
      </c>
      <c r="Z167" s="135">
        <v>128436860038.61998</v>
      </c>
      <c r="AA167" s="135">
        <v>4364519685.6400146</v>
      </c>
      <c r="AB167" s="723">
        <v>0.16640851294397377</v>
      </c>
    </row>
    <row r="168" spans="1:28" ht="45" hidden="1" customHeight="1">
      <c r="A168" s="32"/>
      <c r="B168" s="135"/>
      <c r="C168" s="133"/>
      <c r="D168" s="133"/>
      <c r="E168" s="133"/>
      <c r="F168" s="133"/>
      <c r="G168" s="133"/>
      <c r="H168" s="133"/>
      <c r="I168" s="133"/>
      <c r="J168" s="133"/>
      <c r="K168" s="134"/>
      <c r="L168" s="135"/>
      <c r="M168" s="729">
        <v>526000000000</v>
      </c>
      <c r="N168" s="135">
        <v>83311636267</v>
      </c>
      <c r="O168" s="136"/>
      <c r="P168" s="136"/>
      <c r="Q168" s="136"/>
      <c r="R168" s="729">
        <v>526000000000</v>
      </c>
      <c r="S168" s="135">
        <v>83311636267</v>
      </c>
      <c r="T168" s="135"/>
      <c r="U168" s="135">
        <v>83311636267</v>
      </c>
      <c r="V168" s="137"/>
      <c r="W168" s="135"/>
      <c r="X168" s="135">
        <v>0</v>
      </c>
      <c r="Y168" s="137"/>
      <c r="Z168" s="135"/>
      <c r="AA168" s="135">
        <v>0</v>
      </c>
      <c r="AB168" s="723"/>
    </row>
    <row r="169" spans="1:28" ht="32.25" customHeight="1">
      <c r="A169" s="32" t="e">
        <v>#REF!</v>
      </c>
      <c r="B169" s="138" t="s">
        <v>510</v>
      </c>
      <c r="C169" s="139" t="s">
        <v>167</v>
      </c>
      <c r="D169" s="139" t="s">
        <v>190</v>
      </c>
      <c r="E169" s="139" t="s">
        <v>172</v>
      </c>
      <c r="F169" s="139" t="s">
        <v>205</v>
      </c>
      <c r="G169" s="139" t="s">
        <v>175</v>
      </c>
      <c r="H169" s="139" t="s">
        <v>207</v>
      </c>
      <c r="I169" s="139"/>
      <c r="J169" s="139"/>
      <c r="K169" s="140"/>
      <c r="L169" s="140" t="s">
        <v>208</v>
      </c>
      <c r="M169" s="141">
        <v>331786185933</v>
      </c>
      <c r="N169" s="141">
        <v>46688363733</v>
      </c>
      <c r="O169" s="142">
        <v>0</v>
      </c>
      <c r="P169" s="141">
        <v>42498489043.509995</v>
      </c>
      <c r="Q169" s="141">
        <v>69937503467.029999</v>
      </c>
      <c r="R169" s="730">
        <v>-524769362581</v>
      </c>
      <c r="S169" s="141">
        <v>875804897823.47998</v>
      </c>
      <c r="T169" s="141">
        <v>751330531708.94995</v>
      </c>
      <c r="U169" s="141">
        <v>124474366114.53003</v>
      </c>
      <c r="V169" s="143">
        <v>0.85787432061196578</v>
      </c>
      <c r="W169" s="141">
        <v>117936810775.53</v>
      </c>
      <c r="X169" s="141">
        <v>633393720933.42004</v>
      </c>
      <c r="Y169" s="143">
        <v>0.84302939146200406</v>
      </c>
      <c r="Z169" s="141">
        <v>113689312126.88998</v>
      </c>
      <c r="AA169" s="141">
        <v>4247498648.6400146</v>
      </c>
      <c r="AB169" s="724">
        <v>0.15131730620383052</v>
      </c>
    </row>
    <row r="170" spans="1:28" ht="24.95" customHeight="1">
      <c r="A170" s="32" t="e">
        <v>#REF!</v>
      </c>
      <c r="B170" s="144" t="s">
        <v>511</v>
      </c>
      <c r="C170" s="145" t="s">
        <v>167</v>
      </c>
      <c r="D170" s="145" t="s">
        <v>190</v>
      </c>
      <c r="E170" s="145" t="s">
        <v>172</v>
      </c>
      <c r="F170" s="145" t="s">
        <v>205</v>
      </c>
      <c r="G170" s="145" t="s">
        <v>175</v>
      </c>
      <c r="H170" s="145" t="s">
        <v>207</v>
      </c>
      <c r="I170" s="145" t="s">
        <v>54</v>
      </c>
      <c r="J170" s="145">
        <v>11</v>
      </c>
      <c r="K170" s="146" t="s">
        <v>29</v>
      </c>
      <c r="L170" s="147" t="s">
        <v>178</v>
      </c>
      <c r="M170" s="148">
        <v>27122315285.709999</v>
      </c>
      <c r="N170" s="148"/>
      <c r="O170" s="148"/>
      <c r="P170" s="148">
        <v>36480846247.98999</v>
      </c>
      <c r="Q170" s="149">
        <v>6297642795.5200005</v>
      </c>
      <c r="R170" s="149">
        <v>-21957041177</v>
      </c>
      <c r="S170" s="148">
        <v>79262559915.179977</v>
      </c>
      <c r="T170" s="148">
        <v>64459227309.330002</v>
      </c>
      <c r="U170" s="148">
        <v>14803332605.849976</v>
      </c>
      <c r="V170" s="150">
        <v>0.81323675867028222</v>
      </c>
      <c r="W170" s="148">
        <v>18925724511.459999</v>
      </c>
      <c r="X170" s="148">
        <v>45533502797.870003</v>
      </c>
      <c r="Y170" s="150">
        <v>0.70639231493361943</v>
      </c>
      <c r="Z170" s="148">
        <v>18925724511.459999</v>
      </c>
      <c r="AA170" s="148">
        <v>0</v>
      </c>
      <c r="AB170" s="150">
        <v>0.29360768506638052</v>
      </c>
    </row>
    <row r="171" spans="1:28" ht="24.95" hidden="1" customHeight="1">
      <c r="A171" s="32" t="e">
        <v>#REF!</v>
      </c>
      <c r="B171" s="144" t="s">
        <v>514</v>
      </c>
      <c r="C171" s="145" t="s">
        <v>167</v>
      </c>
      <c r="D171" s="145" t="s">
        <v>190</v>
      </c>
      <c r="E171" s="145" t="s">
        <v>172</v>
      </c>
      <c r="F171" s="145" t="s">
        <v>205</v>
      </c>
      <c r="G171" s="145" t="s">
        <v>175</v>
      </c>
      <c r="H171" s="145" t="s">
        <v>207</v>
      </c>
      <c r="I171" s="145" t="s">
        <v>65</v>
      </c>
      <c r="J171" s="145" t="s">
        <v>28</v>
      </c>
      <c r="K171" s="146" t="s">
        <v>29</v>
      </c>
      <c r="L171" s="147" t="s">
        <v>127</v>
      </c>
      <c r="M171" s="148"/>
      <c r="N171" s="148"/>
      <c r="O171" s="148"/>
      <c r="P171" s="148"/>
      <c r="Q171" s="149"/>
      <c r="R171" s="149"/>
      <c r="S171" s="148">
        <v>0</v>
      </c>
      <c r="T171" s="148"/>
      <c r="U171" s="148">
        <v>0</v>
      </c>
      <c r="V171" s="150">
        <v>0</v>
      </c>
      <c r="W171" s="148"/>
      <c r="X171" s="148">
        <v>0</v>
      </c>
      <c r="Y171" s="150">
        <v>0</v>
      </c>
      <c r="Z171" s="148"/>
      <c r="AA171" s="148">
        <v>0</v>
      </c>
      <c r="AB171" s="150">
        <v>0</v>
      </c>
    </row>
    <row r="172" spans="1:28" ht="24.95" customHeight="1">
      <c r="A172" s="32" t="e">
        <v>#REF!</v>
      </c>
      <c r="B172" s="144" t="s">
        <v>514</v>
      </c>
      <c r="C172" s="145" t="s">
        <v>167</v>
      </c>
      <c r="D172" s="145" t="s">
        <v>190</v>
      </c>
      <c r="E172" s="145" t="s">
        <v>172</v>
      </c>
      <c r="F172" s="145" t="s">
        <v>205</v>
      </c>
      <c r="G172" s="145" t="s">
        <v>175</v>
      </c>
      <c r="H172" s="145" t="s">
        <v>207</v>
      </c>
      <c r="I172" s="145" t="s">
        <v>65</v>
      </c>
      <c r="J172" s="145">
        <v>11</v>
      </c>
      <c r="K172" s="146" t="s">
        <v>29</v>
      </c>
      <c r="L172" s="147" t="s">
        <v>127</v>
      </c>
      <c r="M172" s="148">
        <v>304663870647.28998</v>
      </c>
      <c r="N172" s="149">
        <v>46688363733</v>
      </c>
      <c r="O172" s="148"/>
      <c r="P172" s="148">
        <v>6017642795.5200005</v>
      </c>
      <c r="Q172" s="149">
        <v>63639860671.509995</v>
      </c>
      <c r="R172" s="149">
        <v>-502812321404</v>
      </c>
      <c r="S172" s="149">
        <v>796542337908.30005</v>
      </c>
      <c r="T172" s="148">
        <v>686871304399.62</v>
      </c>
      <c r="U172" s="148">
        <v>109671033508.68005</v>
      </c>
      <c r="V172" s="150">
        <v>0.86231612773192523</v>
      </c>
      <c r="W172" s="148">
        <v>99011086264.070007</v>
      </c>
      <c r="X172" s="148">
        <v>587860218135.55005</v>
      </c>
      <c r="Y172" s="150">
        <v>0.85585205608405279</v>
      </c>
      <c r="Z172" s="148">
        <v>94763587615.429993</v>
      </c>
      <c r="AA172" s="148">
        <v>4247498648.6400146</v>
      </c>
      <c r="AB172" s="150">
        <v>0.13796410915471405</v>
      </c>
    </row>
    <row r="173" spans="1:28" ht="32.25" customHeight="1">
      <c r="A173" s="32" t="e">
        <v>#REF!</v>
      </c>
      <c r="B173" s="138" t="s">
        <v>516</v>
      </c>
      <c r="C173" s="139" t="s">
        <v>167</v>
      </c>
      <c r="D173" s="139" t="s">
        <v>190</v>
      </c>
      <c r="E173" s="139" t="s">
        <v>172</v>
      </c>
      <c r="F173" s="139" t="s">
        <v>205</v>
      </c>
      <c r="G173" s="139" t="s">
        <v>175</v>
      </c>
      <c r="H173" s="139" t="s">
        <v>209</v>
      </c>
      <c r="I173" s="139"/>
      <c r="J173" s="139">
        <v>11</v>
      </c>
      <c r="K173" s="140" t="s">
        <v>29</v>
      </c>
      <c r="L173" s="140" t="s">
        <v>210</v>
      </c>
      <c r="M173" s="141">
        <v>23213814067</v>
      </c>
      <c r="N173" s="142">
        <v>0</v>
      </c>
      <c r="O173" s="142">
        <v>0</v>
      </c>
      <c r="P173" s="141">
        <v>2431875507.52</v>
      </c>
      <c r="Q173" s="142">
        <v>0</v>
      </c>
      <c r="R173" s="730">
        <v>-1230637419</v>
      </c>
      <c r="S173" s="141">
        <v>26876326993.52</v>
      </c>
      <c r="T173" s="141">
        <v>20486112562.5</v>
      </c>
      <c r="U173" s="141">
        <v>6390214431.0200005</v>
      </c>
      <c r="V173" s="143">
        <v>0.76223631924999613</v>
      </c>
      <c r="W173" s="141">
        <v>14864568948.73</v>
      </c>
      <c r="X173" s="141">
        <v>5621543613.7700005</v>
      </c>
      <c r="Y173" s="143">
        <v>0.27440753323108663</v>
      </c>
      <c r="Z173" s="141">
        <v>14747547911.73</v>
      </c>
      <c r="AA173" s="141">
        <v>117021037</v>
      </c>
      <c r="AB173" s="724">
        <v>0.71988025384208365</v>
      </c>
    </row>
    <row r="174" spans="1:28" ht="24.95" customHeight="1">
      <c r="A174" s="32" t="e">
        <v>#REF!</v>
      </c>
      <c r="B174" s="144" t="s">
        <v>517</v>
      </c>
      <c r="C174" s="145" t="s">
        <v>167</v>
      </c>
      <c r="D174" s="145" t="s">
        <v>190</v>
      </c>
      <c r="E174" s="145" t="s">
        <v>172</v>
      </c>
      <c r="F174" s="145" t="s">
        <v>205</v>
      </c>
      <c r="G174" s="145" t="s">
        <v>175</v>
      </c>
      <c r="H174" s="145" t="s">
        <v>209</v>
      </c>
      <c r="I174" s="145" t="s">
        <v>54</v>
      </c>
      <c r="J174" s="145">
        <v>11</v>
      </c>
      <c r="K174" s="146" t="s">
        <v>29</v>
      </c>
      <c r="L174" s="147" t="s">
        <v>178</v>
      </c>
      <c r="M174" s="148">
        <v>23213814067</v>
      </c>
      <c r="N174" s="148"/>
      <c r="O174" s="148"/>
      <c r="P174" s="148">
        <v>2431875507.52</v>
      </c>
      <c r="Q174" s="148"/>
      <c r="R174" s="148">
        <v>-1230637419</v>
      </c>
      <c r="S174" s="148">
        <v>26876326993.52</v>
      </c>
      <c r="T174" s="148">
        <v>20486112562.5</v>
      </c>
      <c r="U174" s="148">
        <v>6390214431.0200005</v>
      </c>
      <c r="V174" s="150">
        <v>0.76223631924999613</v>
      </c>
      <c r="W174" s="148">
        <v>14864568948.73</v>
      </c>
      <c r="X174" s="148">
        <v>5621543613.7700005</v>
      </c>
      <c r="Y174" s="150">
        <v>0.27440753323108663</v>
      </c>
      <c r="Z174" s="148">
        <v>14747547911.73</v>
      </c>
      <c r="AA174" s="148">
        <v>117021037</v>
      </c>
      <c r="AB174" s="150">
        <v>0.71988025384208365</v>
      </c>
    </row>
    <row r="175" spans="1:28" ht="38.25" customHeight="1">
      <c r="A175" s="32" t="e">
        <v>#REF!</v>
      </c>
      <c r="B175" s="132" t="s">
        <v>520</v>
      </c>
      <c r="C175" s="133" t="s">
        <v>167</v>
      </c>
      <c r="D175" s="133" t="s">
        <v>190</v>
      </c>
      <c r="E175" s="133" t="s">
        <v>172</v>
      </c>
      <c r="F175" s="133" t="s">
        <v>211</v>
      </c>
      <c r="G175" s="133"/>
      <c r="H175" s="133"/>
      <c r="I175" s="133"/>
      <c r="J175" s="133"/>
      <c r="K175" s="134"/>
      <c r="L175" s="134" t="s">
        <v>266</v>
      </c>
      <c r="M175" s="135">
        <v>1500000000</v>
      </c>
      <c r="N175" s="136">
        <v>0</v>
      </c>
      <c r="O175" s="136">
        <v>0</v>
      </c>
      <c r="P175" s="135">
        <v>595000000</v>
      </c>
      <c r="Q175" s="135">
        <v>595000000</v>
      </c>
      <c r="R175" s="136">
        <v>0</v>
      </c>
      <c r="S175" s="135">
        <v>1500000000</v>
      </c>
      <c r="T175" s="135">
        <v>500000000</v>
      </c>
      <c r="U175" s="135">
        <v>1000000000</v>
      </c>
      <c r="V175" s="137">
        <v>0.33333333333333331</v>
      </c>
      <c r="W175" s="135">
        <v>500000000</v>
      </c>
      <c r="X175" s="135">
        <v>0</v>
      </c>
      <c r="Y175" s="137">
        <v>0</v>
      </c>
      <c r="Z175" s="135">
        <v>500000000</v>
      </c>
      <c r="AA175" s="135">
        <v>0</v>
      </c>
      <c r="AB175" s="723">
        <v>1</v>
      </c>
    </row>
    <row r="176" spans="1:28" ht="32.25" customHeight="1">
      <c r="A176" s="32" t="e">
        <v>#REF!</v>
      </c>
      <c r="B176" s="138" t="s">
        <v>522</v>
      </c>
      <c r="C176" s="139" t="s">
        <v>167</v>
      </c>
      <c r="D176" s="139" t="s">
        <v>190</v>
      </c>
      <c r="E176" s="139" t="s">
        <v>172</v>
      </c>
      <c r="F176" s="139" t="s">
        <v>211</v>
      </c>
      <c r="G176" s="139" t="s">
        <v>175</v>
      </c>
      <c r="H176" s="139" t="s">
        <v>213</v>
      </c>
      <c r="I176" s="139"/>
      <c r="J176" s="139" t="s">
        <v>144</v>
      </c>
      <c r="K176" s="140" t="s">
        <v>29</v>
      </c>
      <c r="L176" s="140" t="s">
        <v>214</v>
      </c>
      <c r="M176" s="141">
        <v>1095000000</v>
      </c>
      <c r="N176" s="142">
        <v>0</v>
      </c>
      <c r="O176" s="142">
        <v>0</v>
      </c>
      <c r="P176" s="142">
        <v>0</v>
      </c>
      <c r="Q176" s="141">
        <v>595000000</v>
      </c>
      <c r="R176" s="142">
        <v>0</v>
      </c>
      <c r="S176" s="141">
        <v>500000000</v>
      </c>
      <c r="T176" s="141">
        <v>95000000</v>
      </c>
      <c r="U176" s="141">
        <v>405000000</v>
      </c>
      <c r="V176" s="143">
        <v>0.19</v>
      </c>
      <c r="W176" s="141">
        <v>95000000</v>
      </c>
      <c r="X176" s="142">
        <v>0</v>
      </c>
      <c r="Y176" s="143">
        <v>0</v>
      </c>
      <c r="Z176" s="141">
        <v>95000000</v>
      </c>
      <c r="AA176" s="141">
        <v>0</v>
      </c>
      <c r="AB176" s="724">
        <v>1</v>
      </c>
    </row>
    <row r="177" spans="1:28" ht="24.95" customHeight="1">
      <c r="A177" s="32" t="e">
        <v>#REF!</v>
      </c>
      <c r="B177" s="144" t="s">
        <v>524</v>
      </c>
      <c r="C177" s="145" t="s">
        <v>167</v>
      </c>
      <c r="D177" s="145" t="s">
        <v>190</v>
      </c>
      <c r="E177" s="145" t="s">
        <v>172</v>
      </c>
      <c r="F177" s="145" t="s">
        <v>211</v>
      </c>
      <c r="G177" s="145" t="s">
        <v>175</v>
      </c>
      <c r="H177" s="145" t="s">
        <v>213</v>
      </c>
      <c r="I177" s="145" t="s">
        <v>54</v>
      </c>
      <c r="J177" s="145" t="s">
        <v>144</v>
      </c>
      <c r="K177" s="146" t="s">
        <v>29</v>
      </c>
      <c r="L177" s="147" t="s">
        <v>178</v>
      </c>
      <c r="M177" s="148">
        <v>1095000000</v>
      </c>
      <c r="N177" s="148"/>
      <c r="O177" s="148"/>
      <c r="P177" s="148"/>
      <c r="Q177" s="149">
        <v>595000000</v>
      </c>
      <c r="R177" s="148"/>
      <c r="S177" s="148">
        <v>500000000</v>
      </c>
      <c r="T177" s="148">
        <v>95000000</v>
      </c>
      <c r="U177" s="148">
        <v>405000000</v>
      </c>
      <c r="V177" s="150">
        <v>0.19</v>
      </c>
      <c r="W177" s="148">
        <v>95000000</v>
      </c>
      <c r="X177" s="148">
        <v>0</v>
      </c>
      <c r="Y177" s="150">
        <v>0</v>
      </c>
      <c r="Z177" s="148">
        <v>95000000</v>
      </c>
      <c r="AA177" s="148">
        <v>0</v>
      </c>
      <c r="AB177" s="150">
        <v>1</v>
      </c>
    </row>
    <row r="178" spans="1:28" ht="32.25" customHeight="1">
      <c r="A178" s="32" t="e">
        <v>#REF!</v>
      </c>
      <c r="B178" s="138" t="s">
        <v>526</v>
      </c>
      <c r="C178" s="139" t="s">
        <v>167</v>
      </c>
      <c r="D178" s="139" t="s">
        <v>190</v>
      </c>
      <c r="E178" s="139" t="s">
        <v>172</v>
      </c>
      <c r="F178" s="139" t="s">
        <v>211</v>
      </c>
      <c r="G178" s="139" t="s">
        <v>175</v>
      </c>
      <c r="H178" s="139" t="s">
        <v>215</v>
      </c>
      <c r="I178" s="139"/>
      <c r="J178" s="139" t="s">
        <v>144</v>
      </c>
      <c r="K178" s="140" t="s">
        <v>29</v>
      </c>
      <c r="L178" s="140" t="s">
        <v>216</v>
      </c>
      <c r="M178" s="141">
        <v>405000000</v>
      </c>
      <c r="N178" s="142">
        <v>0</v>
      </c>
      <c r="O178" s="142">
        <v>0</v>
      </c>
      <c r="P178" s="141">
        <v>595000000</v>
      </c>
      <c r="Q178" s="142">
        <v>0</v>
      </c>
      <c r="R178" s="142">
        <v>0</v>
      </c>
      <c r="S178" s="141">
        <v>1000000000</v>
      </c>
      <c r="T178" s="141">
        <v>405000000</v>
      </c>
      <c r="U178" s="141">
        <v>595000000</v>
      </c>
      <c r="V178" s="143">
        <v>0.40500000000000003</v>
      </c>
      <c r="W178" s="141">
        <v>405000000</v>
      </c>
      <c r="X178" s="141">
        <v>0</v>
      </c>
      <c r="Y178" s="143">
        <v>0</v>
      </c>
      <c r="Z178" s="141">
        <v>405000000</v>
      </c>
      <c r="AA178" s="141">
        <v>0</v>
      </c>
      <c r="AB178" s="724">
        <v>1</v>
      </c>
    </row>
    <row r="179" spans="1:28" ht="24.95" customHeight="1">
      <c r="A179" s="32" t="e">
        <v>#REF!</v>
      </c>
      <c r="B179" s="144" t="s">
        <v>528</v>
      </c>
      <c r="C179" s="145" t="s">
        <v>167</v>
      </c>
      <c r="D179" s="145" t="s">
        <v>190</v>
      </c>
      <c r="E179" s="145" t="s">
        <v>172</v>
      </c>
      <c r="F179" s="145" t="s">
        <v>211</v>
      </c>
      <c r="G179" s="145" t="s">
        <v>175</v>
      </c>
      <c r="H179" s="145" t="s">
        <v>215</v>
      </c>
      <c r="I179" s="145" t="s">
        <v>54</v>
      </c>
      <c r="J179" s="145" t="s">
        <v>144</v>
      </c>
      <c r="K179" s="146" t="s">
        <v>29</v>
      </c>
      <c r="L179" s="147" t="s">
        <v>178</v>
      </c>
      <c r="M179" s="148">
        <v>405000000</v>
      </c>
      <c r="N179" s="148"/>
      <c r="O179" s="148"/>
      <c r="P179" s="149">
        <v>595000000</v>
      </c>
      <c r="Q179" s="148"/>
      <c r="R179" s="148"/>
      <c r="S179" s="148">
        <v>1000000000</v>
      </c>
      <c r="T179" s="148">
        <v>405000000</v>
      </c>
      <c r="U179" s="148">
        <v>595000000</v>
      </c>
      <c r="V179" s="150">
        <v>0.40500000000000003</v>
      </c>
      <c r="W179" s="148">
        <v>405000000</v>
      </c>
      <c r="X179" s="148">
        <v>0</v>
      </c>
      <c r="Y179" s="150">
        <v>0</v>
      </c>
      <c r="Z179" s="148">
        <v>405000000</v>
      </c>
      <c r="AA179" s="148">
        <v>0</v>
      </c>
      <c r="AB179" s="150">
        <v>1</v>
      </c>
    </row>
    <row r="180" spans="1:28" ht="49.5" customHeight="1">
      <c r="A180" s="32" t="e">
        <v>#REF!</v>
      </c>
      <c r="B180" s="132" t="s">
        <v>530</v>
      </c>
      <c r="C180" s="133" t="s">
        <v>167</v>
      </c>
      <c r="D180" s="133" t="s">
        <v>190</v>
      </c>
      <c r="E180" s="133" t="s">
        <v>172</v>
      </c>
      <c r="F180" s="133" t="s">
        <v>217</v>
      </c>
      <c r="G180" s="133"/>
      <c r="H180" s="133"/>
      <c r="I180" s="133"/>
      <c r="J180" s="133"/>
      <c r="K180" s="134"/>
      <c r="L180" s="134" t="s">
        <v>267</v>
      </c>
      <c r="M180" s="136">
        <v>0</v>
      </c>
      <c r="N180" s="136">
        <v>0</v>
      </c>
      <c r="O180" s="136">
        <v>0</v>
      </c>
      <c r="P180" s="135">
        <v>8981138916</v>
      </c>
      <c r="Q180" s="136">
        <v>0</v>
      </c>
      <c r="R180" s="136">
        <v>0</v>
      </c>
      <c r="S180" s="135">
        <v>8981138916</v>
      </c>
      <c r="T180" s="135">
        <v>5205720035</v>
      </c>
      <c r="U180" s="135">
        <v>3775418881</v>
      </c>
      <c r="V180" s="137">
        <v>0.5796280498151466</v>
      </c>
      <c r="W180" s="135">
        <v>4548386700</v>
      </c>
      <c r="X180" s="135">
        <v>657333335</v>
      </c>
      <c r="Y180" s="137">
        <v>0.12627135738773934</v>
      </c>
      <c r="Z180" s="135">
        <v>4548386700</v>
      </c>
      <c r="AA180" s="135">
        <v>0</v>
      </c>
      <c r="AB180" s="723">
        <v>0.87372864261226069</v>
      </c>
    </row>
    <row r="181" spans="1:28" ht="32.25" customHeight="1">
      <c r="A181" s="32" t="e">
        <v>#REF!</v>
      </c>
      <c r="B181" s="138" t="s">
        <v>531</v>
      </c>
      <c r="C181" s="139" t="s">
        <v>167</v>
      </c>
      <c r="D181" s="139" t="s">
        <v>190</v>
      </c>
      <c r="E181" s="139" t="s">
        <v>172</v>
      </c>
      <c r="F181" s="139" t="s">
        <v>217</v>
      </c>
      <c r="G181" s="139" t="s">
        <v>175</v>
      </c>
      <c r="H181" s="139" t="s">
        <v>219</v>
      </c>
      <c r="I181" s="139"/>
      <c r="J181" s="139">
        <v>11</v>
      </c>
      <c r="K181" s="140" t="s">
        <v>29</v>
      </c>
      <c r="L181" s="140" t="s">
        <v>220</v>
      </c>
      <c r="M181" s="142">
        <v>0</v>
      </c>
      <c r="N181" s="142">
        <v>0</v>
      </c>
      <c r="O181" s="142">
        <v>0</v>
      </c>
      <c r="P181" s="141">
        <v>1247691187</v>
      </c>
      <c r="Q181" s="142">
        <v>0</v>
      </c>
      <c r="R181" s="142">
        <v>0</v>
      </c>
      <c r="S181" s="141">
        <v>1247691187</v>
      </c>
      <c r="T181" s="141">
        <v>610647150</v>
      </c>
      <c r="U181" s="141">
        <v>637044037</v>
      </c>
      <c r="V181" s="143">
        <v>0.48942170655886824</v>
      </c>
      <c r="W181" s="141">
        <v>610647150</v>
      </c>
      <c r="X181" s="142">
        <v>0</v>
      </c>
      <c r="Y181" s="143">
        <v>0</v>
      </c>
      <c r="Z181" s="141">
        <v>610647150</v>
      </c>
      <c r="AA181" s="141">
        <v>0</v>
      </c>
      <c r="AB181" s="724">
        <v>1</v>
      </c>
    </row>
    <row r="182" spans="1:28" ht="24.95" customHeight="1">
      <c r="A182" s="32" t="e">
        <v>#REF!</v>
      </c>
      <c r="B182" s="144" t="s">
        <v>532</v>
      </c>
      <c r="C182" s="145" t="s">
        <v>167</v>
      </c>
      <c r="D182" s="145" t="s">
        <v>190</v>
      </c>
      <c r="E182" s="145" t="s">
        <v>172</v>
      </c>
      <c r="F182" s="145" t="s">
        <v>217</v>
      </c>
      <c r="G182" s="145" t="s">
        <v>175</v>
      </c>
      <c r="H182" s="145" t="s">
        <v>219</v>
      </c>
      <c r="I182" s="145" t="s">
        <v>54</v>
      </c>
      <c r="J182" s="145">
        <v>11</v>
      </c>
      <c r="K182" s="146" t="s">
        <v>29</v>
      </c>
      <c r="L182" s="147" t="s">
        <v>178</v>
      </c>
      <c r="M182" s="148"/>
      <c r="N182" s="148"/>
      <c r="O182" s="148"/>
      <c r="P182" s="148">
        <v>1247691187</v>
      </c>
      <c r="Q182" s="148"/>
      <c r="R182" s="148"/>
      <c r="S182" s="148">
        <v>1247691187</v>
      </c>
      <c r="T182" s="148">
        <v>610647150</v>
      </c>
      <c r="U182" s="148">
        <v>637044037</v>
      </c>
      <c r="V182" s="150">
        <v>0.48942170655886824</v>
      </c>
      <c r="W182" s="148">
        <v>610647150</v>
      </c>
      <c r="X182" s="148">
        <v>0</v>
      </c>
      <c r="Y182" s="150">
        <v>0</v>
      </c>
      <c r="Z182" s="148">
        <v>610647150</v>
      </c>
      <c r="AA182" s="148">
        <v>0</v>
      </c>
      <c r="AB182" s="150">
        <v>1</v>
      </c>
    </row>
    <row r="183" spans="1:28" ht="32.25" customHeight="1">
      <c r="A183" s="32" t="e">
        <v>#REF!</v>
      </c>
      <c r="B183" s="138" t="s">
        <v>533</v>
      </c>
      <c r="C183" s="139" t="s">
        <v>167</v>
      </c>
      <c r="D183" s="139" t="s">
        <v>190</v>
      </c>
      <c r="E183" s="139" t="s">
        <v>172</v>
      </c>
      <c r="F183" s="139" t="s">
        <v>217</v>
      </c>
      <c r="G183" s="139" t="s">
        <v>175</v>
      </c>
      <c r="H183" s="139" t="s">
        <v>221</v>
      </c>
      <c r="I183" s="139"/>
      <c r="J183" s="139">
        <v>11</v>
      </c>
      <c r="K183" s="140" t="s">
        <v>29</v>
      </c>
      <c r="L183" s="140" t="s">
        <v>222</v>
      </c>
      <c r="M183" s="142">
        <v>0</v>
      </c>
      <c r="N183" s="141">
        <v>0</v>
      </c>
      <c r="O183" s="141">
        <v>0</v>
      </c>
      <c r="P183" s="141">
        <v>5693924313</v>
      </c>
      <c r="Q183" s="142">
        <v>0</v>
      </c>
      <c r="R183" s="142">
        <v>0</v>
      </c>
      <c r="S183" s="141">
        <v>5693924313</v>
      </c>
      <c r="T183" s="141">
        <v>2555549469</v>
      </c>
      <c r="U183" s="141">
        <v>3138374844</v>
      </c>
      <c r="V183" s="143">
        <v>0.44882041427304092</v>
      </c>
      <c r="W183" s="141">
        <v>2403592434</v>
      </c>
      <c r="X183" s="141">
        <v>151957035</v>
      </c>
      <c r="Y183" s="143">
        <v>5.9461590097671477E-2</v>
      </c>
      <c r="Z183" s="141">
        <v>2403592434</v>
      </c>
      <c r="AA183" s="141">
        <v>0</v>
      </c>
      <c r="AB183" s="724">
        <v>0.94053840990232851</v>
      </c>
    </row>
    <row r="184" spans="1:28" ht="24.95" customHeight="1">
      <c r="A184" s="32" t="e">
        <v>#REF!</v>
      </c>
      <c r="B184" s="144" t="s">
        <v>534</v>
      </c>
      <c r="C184" s="145" t="s">
        <v>167</v>
      </c>
      <c r="D184" s="145" t="s">
        <v>190</v>
      </c>
      <c r="E184" s="145" t="s">
        <v>172</v>
      </c>
      <c r="F184" s="145" t="s">
        <v>217</v>
      </c>
      <c r="G184" s="145" t="s">
        <v>175</v>
      </c>
      <c r="H184" s="145" t="s">
        <v>221</v>
      </c>
      <c r="I184" s="145" t="s">
        <v>54</v>
      </c>
      <c r="J184" s="145">
        <v>11</v>
      </c>
      <c r="K184" s="146" t="s">
        <v>29</v>
      </c>
      <c r="L184" s="147" t="s">
        <v>178</v>
      </c>
      <c r="M184" s="148"/>
      <c r="N184" s="148"/>
      <c r="O184" s="148"/>
      <c r="P184" s="148">
        <v>756091390</v>
      </c>
      <c r="Q184" s="148"/>
      <c r="R184" s="148"/>
      <c r="S184" s="148">
        <v>756091390</v>
      </c>
      <c r="T184" s="148">
        <v>388286850</v>
      </c>
      <c r="U184" s="148">
        <v>367804540</v>
      </c>
      <c r="V184" s="150">
        <v>0.51354486393503307</v>
      </c>
      <c r="W184" s="148">
        <v>388286850</v>
      </c>
      <c r="X184" s="148">
        <v>0</v>
      </c>
      <c r="Y184" s="150">
        <v>0</v>
      </c>
      <c r="Z184" s="148">
        <v>388286850</v>
      </c>
      <c r="AA184" s="148">
        <v>0</v>
      </c>
      <c r="AB184" s="150">
        <v>1</v>
      </c>
    </row>
    <row r="185" spans="1:28" ht="24.95" customHeight="1">
      <c r="A185" s="32" t="e">
        <v>#REF!</v>
      </c>
      <c r="B185" s="144" t="s">
        <v>535</v>
      </c>
      <c r="C185" s="145" t="s">
        <v>167</v>
      </c>
      <c r="D185" s="145" t="s">
        <v>190</v>
      </c>
      <c r="E185" s="145" t="s">
        <v>172</v>
      </c>
      <c r="F185" s="145" t="s">
        <v>217</v>
      </c>
      <c r="G185" s="145" t="s">
        <v>175</v>
      </c>
      <c r="H185" s="145" t="s">
        <v>221</v>
      </c>
      <c r="I185" s="145" t="s">
        <v>65</v>
      </c>
      <c r="J185" s="145">
        <v>11</v>
      </c>
      <c r="K185" s="146" t="s">
        <v>29</v>
      </c>
      <c r="L185" s="147" t="s">
        <v>127</v>
      </c>
      <c r="M185" s="148"/>
      <c r="N185" s="148"/>
      <c r="O185" s="148"/>
      <c r="P185" s="148">
        <v>4937832923</v>
      </c>
      <c r="Q185" s="148"/>
      <c r="R185" s="148"/>
      <c r="S185" s="148">
        <v>4937832923</v>
      </c>
      <c r="T185" s="148">
        <v>2167262619</v>
      </c>
      <c r="U185" s="148">
        <v>2770570304</v>
      </c>
      <c r="V185" s="150">
        <v>0.43890967005081877</v>
      </c>
      <c r="W185" s="148">
        <v>2015305584</v>
      </c>
      <c r="X185" s="148">
        <v>151957035</v>
      </c>
      <c r="Y185" s="150">
        <v>7.0114730751972609E-2</v>
      </c>
      <c r="Z185" s="148">
        <v>2015305584</v>
      </c>
      <c r="AA185" s="148">
        <v>0</v>
      </c>
      <c r="AB185" s="150">
        <v>0.92988526924802739</v>
      </c>
    </row>
    <row r="186" spans="1:28" ht="32.25" customHeight="1">
      <c r="A186" s="32" t="e">
        <v>#REF!</v>
      </c>
      <c r="B186" s="138" t="s">
        <v>536</v>
      </c>
      <c r="C186" s="139" t="s">
        <v>167</v>
      </c>
      <c r="D186" s="139" t="s">
        <v>190</v>
      </c>
      <c r="E186" s="139" t="s">
        <v>172</v>
      </c>
      <c r="F186" s="139" t="s">
        <v>217</v>
      </c>
      <c r="G186" s="139" t="s">
        <v>175</v>
      </c>
      <c r="H186" s="139" t="s">
        <v>223</v>
      </c>
      <c r="I186" s="139"/>
      <c r="J186" s="139">
        <v>11</v>
      </c>
      <c r="K186" s="140" t="s">
        <v>29</v>
      </c>
      <c r="L186" s="140" t="s">
        <v>224</v>
      </c>
      <c r="M186" s="142">
        <v>0</v>
      </c>
      <c r="N186" s="141">
        <v>0</v>
      </c>
      <c r="O186" s="141">
        <v>0</v>
      </c>
      <c r="P186" s="141">
        <v>1818499224</v>
      </c>
      <c r="Q186" s="142">
        <v>0</v>
      </c>
      <c r="R186" s="142">
        <v>0</v>
      </c>
      <c r="S186" s="141">
        <v>1818499224</v>
      </c>
      <c r="T186" s="141">
        <v>1818499224</v>
      </c>
      <c r="U186" s="141">
        <v>0</v>
      </c>
      <c r="V186" s="143">
        <v>1</v>
      </c>
      <c r="W186" s="141">
        <v>1313122924</v>
      </c>
      <c r="X186" s="141">
        <v>505376300</v>
      </c>
      <c r="Y186" s="143">
        <v>0.27790844963264061</v>
      </c>
      <c r="Z186" s="141">
        <v>1313122924</v>
      </c>
      <c r="AA186" s="141">
        <v>0</v>
      </c>
      <c r="AB186" s="724">
        <v>0.72209155036735939</v>
      </c>
    </row>
    <row r="187" spans="1:28" ht="24.95" customHeight="1">
      <c r="A187" s="32" t="e">
        <v>#REF!</v>
      </c>
      <c r="B187" s="144" t="s">
        <v>537</v>
      </c>
      <c r="C187" s="145" t="s">
        <v>167</v>
      </c>
      <c r="D187" s="145" t="s">
        <v>190</v>
      </c>
      <c r="E187" s="145" t="s">
        <v>172</v>
      </c>
      <c r="F187" s="145" t="s">
        <v>217</v>
      </c>
      <c r="G187" s="145" t="s">
        <v>175</v>
      </c>
      <c r="H187" s="145" t="s">
        <v>223</v>
      </c>
      <c r="I187" s="145" t="s">
        <v>54</v>
      </c>
      <c r="J187" s="145">
        <v>11</v>
      </c>
      <c r="K187" s="146" t="s">
        <v>29</v>
      </c>
      <c r="L187" s="147" t="s">
        <v>178</v>
      </c>
      <c r="M187" s="148"/>
      <c r="N187" s="148"/>
      <c r="O187" s="148"/>
      <c r="P187" s="148">
        <v>259599224</v>
      </c>
      <c r="Q187" s="148"/>
      <c r="R187" s="148"/>
      <c r="S187" s="148">
        <v>259599224</v>
      </c>
      <c r="T187" s="148">
        <v>259599224</v>
      </c>
      <c r="U187" s="148">
        <v>0</v>
      </c>
      <c r="V187" s="150">
        <v>1</v>
      </c>
      <c r="W187" s="148">
        <v>259599224</v>
      </c>
      <c r="X187" s="148">
        <v>0</v>
      </c>
      <c r="Y187" s="150">
        <v>0</v>
      </c>
      <c r="Z187" s="148">
        <v>259599224</v>
      </c>
      <c r="AA187" s="148">
        <v>0</v>
      </c>
      <c r="AB187" s="150">
        <v>1</v>
      </c>
    </row>
    <row r="188" spans="1:28" ht="24.95" customHeight="1">
      <c r="A188" s="32" t="e">
        <v>#REF!</v>
      </c>
      <c r="B188" s="144" t="s">
        <v>539</v>
      </c>
      <c r="C188" s="145" t="s">
        <v>167</v>
      </c>
      <c r="D188" s="145" t="s">
        <v>190</v>
      </c>
      <c r="E188" s="145" t="s">
        <v>172</v>
      </c>
      <c r="F188" s="145" t="s">
        <v>217</v>
      </c>
      <c r="G188" s="145" t="s">
        <v>175</v>
      </c>
      <c r="H188" s="145" t="s">
        <v>223</v>
      </c>
      <c r="I188" s="145" t="s">
        <v>65</v>
      </c>
      <c r="J188" s="145">
        <v>11</v>
      </c>
      <c r="K188" s="146" t="s">
        <v>29</v>
      </c>
      <c r="L188" s="147" t="s">
        <v>127</v>
      </c>
      <c r="M188" s="148"/>
      <c r="N188" s="148"/>
      <c r="O188" s="148"/>
      <c r="P188" s="148">
        <v>1558900000</v>
      </c>
      <c r="Q188" s="148"/>
      <c r="R188" s="148"/>
      <c r="S188" s="148">
        <v>1558900000</v>
      </c>
      <c r="T188" s="148">
        <v>1558900000</v>
      </c>
      <c r="U188" s="148">
        <v>0</v>
      </c>
      <c r="V188" s="150">
        <v>1</v>
      </c>
      <c r="W188" s="148">
        <v>1053523700</v>
      </c>
      <c r="X188" s="148">
        <v>505376300</v>
      </c>
      <c r="Y188" s="150">
        <v>0.32418776060042337</v>
      </c>
      <c r="Z188" s="148">
        <v>1053523700</v>
      </c>
      <c r="AA188" s="148">
        <v>0</v>
      </c>
      <c r="AB188" s="150">
        <v>0.67581223939957658</v>
      </c>
    </row>
    <row r="189" spans="1:28" ht="32.25" customHeight="1">
      <c r="A189" s="32" t="e">
        <v>#REF!</v>
      </c>
      <c r="B189" s="138" t="s">
        <v>540</v>
      </c>
      <c r="C189" s="139" t="s">
        <v>167</v>
      </c>
      <c r="D189" s="139" t="s">
        <v>190</v>
      </c>
      <c r="E189" s="139" t="s">
        <v>172</v>
      </c>
      <c r="F189" s="139" t="s">
        <v>217</v>
      </c>
      <c r="G189" s="139" t="s">
        <v>175</v>
      </c>
      <c r="H189" s="139" t="s">
        <v>225</v>
      </c>
      <c r="I189" s="139"/>
      <c r="J189" s="139">
        <v>11</v>
      </c>
      <c r="K189" s="140" t="s">
        <v>29</v>
      </c>
      <c r="L189" s="140" t="s">
        <v>226</v>
      </c>
      <c r="M189" s="142">
        <v>0</v>
      </c>
      <c r="N189" s="142">
        <v>0</v>
      </c>
      <c r="O189" s="142">
        <v>0</v>
      </c>
      <c r="P189" s="141">
        <v>221024192</v>
      </c>
      <c r="Q189" s="142">
        <v>0</v>
      </c>
      <c r="R189" s="142">
        <v>0</v>
      </c>
      <c r="S189" s="141">
        <v>221024192</v>
      </c>
      <c r="T189" s="141">
        <v>221024192</v>
      </c>
      <c r="U189" s="141">
        <v>0</v>
      </c>
      <c r="V189" s="143">
        <v>1</v>
      </c>
      <c r="W189" s="141">
        <v>221024192</v>
      </c>
      <c r="X189" s="142">
        <v>0</v>
      </c>
      <c r="Y189" s="143">
        <v>0</v>
      </c>
      <c r="Z189" s="141">
        <v>221024192</v>
      </c>
      <c r="AA189" s="141">
        <v>0</v>
      </c>
      <c r="AB189" s="724">
        <v>1</v>
      </c>
    </row>
    <row r="190" spans="1:28" ht="24.95" customHeight="1">
      <c r="A190" s="32" t="e">
        <v>#REF!</v>
      </c>
      <c r="B190" s="144" t="s">
        <v>541</v>
      </c>
      <c r="C190" s="145" t="s">
        <v>167</v>
      </c>
      <c r="D190" s="145" t="s">
        <v>190</v>
      </c>
      <c r="E190" s="145" t="s">
        <v>172</v>
      </c>
      <c r="F190" s="145" t="s">
        <v>217</v>
      </c>
      <c r="G190" s="145" t="s">
        <v>175</v>
      </c>
      <c r="H190" s="145" t="s">
        <v>225</v>
      </c>
      <c r="I190" s="145" t="s">
        <v>54</v>
      </c>
      <c r="J190" s="145">
        <v>11</v>
      </c>
      <c r="K190" s="146" t="s">
        <v>29</v>
      </c>
      <c r="L190" s="147" t="s">
        <v>178</v>
      </c>
      <c r="M190" s="148"/>
      <c r="N190" s="148"/>
      <c r="O190" s="148"/>
      <c r="P190" s="148">
        <v>221024192</v>
      </c>
      <c r="Q190" s="148"/>
      <c r="R190" s="148"/>
      <c r="S190" s="148">
        <v>221024192</v>
      </c>
      <c r="T190" s="148">
        <v>221024192</v>
      </c>
      <c r="U190" s="148">
        <v>0</v>
      </c>
      <c r="V190" s="150">
        <v>1</v>
      </c>
      <c r="W190" s="148">
        <v>221024192</v>
      </c>
      <c r="X190" s="148">
        <v>0</v>
      </c>
      <c r="Y190" s="150">
        <v>0</v>
      </c>
      <c r="Z190" s="148">
        <v>221024192</v>
      </c>
      <c r="AA190" s="148">
        <v>0</v>
      </c>
      <c r="AB190" s="150">
        <v>1</v>
      </c>
    </row>
    <row r="191" spans="1:28" ht="49.5" hidden="1" customHeight="1">
      <c r="A191" s="32" t="e">
        <v>#REF!</v>
      </c>
      <c r="B191" s="32"/>
      <c r="C191" s="133" t="s">
        <v>167</v>
      </c>
      <c r="D191" s="133" t="s">
        <v>190</v>
      </c>
      <c r="E191" s="133" t="s">
        <v>172</v>
      </c>
      <c r="F191" s="133">
        <v>18</v>
      </c>
      <c r="G191" s="133"/>
      <c r="H191" s="133"/>
      <c r="I191" s="133"/>
      <c r="J191" s="133"/>
      <c r="K191" s="134"/>
      <c r="L191" s="134" t="s">
        <v>268</v>
      </c>
      <c r="M191" s="135">
        <v>0</v>
      </c>
      <c r="N191" s="136">
        <v>0</v>
      </c>
      <c r="O191" s="136">
        <v>0</v>
      </c>
      <c r="P191" s="136">
        <v>0</v>
      </c>
      <c r="Q191" s="136">
        <v>0</v>
      </c>
      <c r="R191" s="136">
        <v>0</v>
      </c>
      <c r="S191" s="135">
        <v>0</v>
      </c>
      <c r="T191" s="135">
        <v>0</v>
      </c>
      <c r="U191" s="135">
        <v>0</v>
      </c>
      <c r="V191" s="137">
        <v>0</v>
      </c>
      <c r="W191" s="135">
        <v>0</v>
      </c>
      <c r="X191" s="136">
        <v>0</v>
      </c>
      <c r="Y191" s="137">
        <v>0</v>
      </c>
      <c r="Z191" s="135">
        <v>0</v>
      </c>
      <c r="AA191" s="135">
        <v>0</v>
      </c>
      <c r="AB191" s="723">
        <v>0</v>
      </c>
    </row>
    <row r="192" spans="1:28" ht="32.25" hidden="1" customHeight="1">
      <c r="A192" s="32" t="e">
        <v>#REF!</v>
      </c>
      <c r="B192" s="32"/>
      <c r="C192" s="139" t="s">
        <v>167</v>
      </c>
      <c r="D192" s="139" t="s">
        <v>190</v>
      </c>
      <c r="E192" s="139" t="s">
        <v>172</v>
      </c>
      <c r="F192" s="139">
        <v>18</v>
      </c>
      <c r="G192" s="139" t="s">
        <v>175</v>
      </c>
      <c r="H192" s="139">
        <v>4103050</v>
      </c>
      <c r="I192" s="139"/>
      <c r="J192" s="139">
        <v>11</v>
      </c>
      <c r="K192" s="140" t="s">
        <v>29</v>
      </c>
      <c r="L192" s="140" t="s">
        <v>269</v>
      </c>
      <c r="M192" s="141">
        <v>0</v>
      </c>
      <c r="N192" s="142">
        <v>0</v>
      </c>
      <c r="O192" s="142">
        <v>0</v>
      </c>
      <c r="P192" s="142">
        <v>0</v>
      </c>
      <c r="Q192" s="142">
        <v>0</v>
      </c>
      <c r="R192" s="142">
        <v>0</v>
      </c>
      <c r="S192" s="141">
        <v>0</v>
      </c>
      <c r="T192" s="141">
        <v>0</v>
      </c>
      <c r="U192" s="141">
        <v>0</v>
      </c>
      <c r="V192" s="143">
        <v>0</v>
      </c>
      <c r="W192" s="141">
        <v>0</v>
      </c>
      <c r="X192" s="142">
        <v>0</v>
      </c>
      <c r="Y192" s="143">
        <v>0</v>
      </c>
      <c r="Z192" s="141">
        <v>0</v>
      </c>
      <c r="AA192" s="141">
        <v>0</v>
      </c>
      <c r="AB192" s="724">
        <v>0</v>
      </c>
    </row>
    <row r="193" spans="1:28" ht="24.95" hidden="1" customHeight="1">
      <c r="A193" s="32" t="e">
        <v>#REF!</v>
      </c>
      <c r="B193" s="32"/>
      <c r="C193" s="145" t="s">
        <v>167</v>
      </c>
      <c r="D193" s="145" t="s">
        <v>190</v>
      </c>
      <c r="E193" s="145" t="s">
        <v>172</v>
      </c>
      <c r="F193" s="145">
        <v>18</v>
      </c>
      <c r="G193" s="145" t="s">
        <v>175</v>
      </c>
      <c r="H193" s="145">
        <v>4103050</v>
      </c>
      <c r="I193" s="145" t="s">
        <v>54</v>
      </c>
      <c r="J193" s="145">
        <v>11</v>
      </c>
      <c r="K193" s="146" t="s">
        <v>29</v>
      </c>
      <c r="L193" s="147" t="s">
        <v>178</v>
      </c>
      <c r="M193" s="148"/>
      <c r="N193" s="148"/>
      <c r="O193" s="148"/>
      <c r="P193" s="148"/>
      <c r="Q193" s="148"/>
      <c r="R193" s="148"/>
      <c r="S193" s="148">
        <v>0</v>
      </c>
      <c r="T193" s="148"/>
      <c r="U193" s="148">
        <v>0</v>
      </c>
      <c r="V193" s="150">
        <v>0</v>
      </c>
      <c r="W193" s="148"/>
      <c r="X193" s="148">
        <v>0</v>
      </c>
      <c r="Y193" s="150">
        <v>0</v>
      </c>
      <c r="Z193" s="148"/>
      <c r="AA193" s="148">
        <v>0</v>
      </c>
      <c r="AB193" s="150">
        <v>0</v>
      </c>
    </row>
    <row r="194" spans="1:28" ht="41.25" customHeight="1">
      <c r="A194" s="32" t="e">
        <v>#REF!</v>
      </c>
      <c r="B194" s="132" t="s">
        <v>664</v>
      </c>
      <c r="C194" s="133" t="s">
        <v>167</v>
      </c>
      <c r="D194" s="133" t="s">
        <v>190</v>
      </c>
      <c r="E194" s="133" t="s">
        <v>172</v>
      </c>
      <c r="F194" s="133">
        <v>19</v>
      </c>
      <c r="G194" s="133"/>
      <c r="H194" s="133"/>
      <c r="I194" s="133"/>
      <c r="J194" s="133"/>
      <c r="K194" s="134"/>
      <c r="L194" s="134" t="s">
        <v>270</v>
      </c>
      <c r="M194" s="135">
        <v>12733806741</v>
      </c>
      <c r="N194" s="136">
        <v>0</v>
      </c>
      <c r="O194" s="136">
        <v>0</v>
      </c>
      <c r="P194" s="135">
        <v>1842545742</v>
      </c>
      <c r="Q194" s="135">
        <v>82545742</v>
      </c>
      <c r="R194" s="136">
        <v>0</v>
      </c>
      <c r="S194" s="135">
        <v>14493806741</v>
      </c>
      <c r="T194" s="135">
        <v>13868013403.950001</v>
      </c>
      <c r="U194" s="135">
        <v>625793337.04999924</v>
      </c>
      <c r="V194" s="137">
        <v>0.95682339717696396</v>
      </c>
      <c r="W194" s="135">
        <v>4646190210.5799999</v>
      </c>
      <c r="X194" s="135">
        <v>9221823193.3700008</v>
      </c>
      <c r="Y194" s="137">
        <v>0.6649707441689785</v>
      </c>
      <c r="Z194" s="135">
        <v>4467492031.5799999</v>
      </c>
      <c r="AA194" s="135">
        <v>178698179</v>
      </c>
      <c r="AB194" s="723">
        <v>0.32214361938152819</v>
      </c>
    </row>
    <row r="195" spans="1:28" ht="32.25" customHeight="1">
      <c r="A195" s="32" t="e">
        <v>#REF!</v>
      </c>
      <c r="B195" s="138" t="s">
        <v>666</v>
      </c>
      <c r="C195" s="139" t="s">
        <v>167</v>
      </c>
      <c r="D195" s="139" t="s">
        <v>190</v>
      </c>
      <c r="E195" s="139" t="s">
        <v>172</v>
      </c>
      <c r="F195" s="139">
        <v>19</v>
      </c>
      <c r="G195" s="139" t="s">
        <v>175</v>
      </c>
      <c r="H195" s="139">
        <v>4103049</v>
      </c>
      <c r="I195" s="139"/>
      <c r="J195" s="139">
        <v>11</v>
      </c>
      <c r="K195" s="140" t="s">
        <v>29</v>
      </c>
      <c r="L195" s="140" t="s">
        <v>228</v>
      </c>
      <c r="M195" s="141">
        <v>380000000</v>
      </c>
      <c r="N195" s="142">
        <v>0</v>
      </c>
      <c r="O195" s="142">
        <v>0</v>
      </c>
      <c r="P195" s="142">
        <v>0</v>
      </c>
      <c r="Q195" s="141">
        <v>82545742</v>
      </c>
      <c r="R195" s="142">
        <v>0</v>
      </c>
      <c r="S195" s="141">
        <v>297454258</v>
      </c>
      <c r="T195" s="141">
        <v>273593730</v>
      </c>
      <c r="U195" s="141">
        <v>23860528</v>
      </c>
      <c r="V195" s="143">
        <v>0.91978421098950947</v>
      </c>
      <c r="W195" s="141">
        <v>227970168</v>
      </c>
      <c r="X195" s="141">
        <v>45623562</v>
      </c>
      <c r="Y195" s="143">
        <v>0.16675660659328706</v>
      </c>
      <c r="Z195" s="141">
        <v>223693608</v>
      </c>
      <c r="AA195" s="141">
        <v>4276560</v>
      </c>
      <c r="AB195" s="724">
        <v>0.81761233344053608</v>
      </c>
    </row>
    <row r="196" spans="1:28" ht="24.95" customHeight="1">
      <c r="A196" s="32" t="e">
        <v>#REF!</v>
      </c>
      <c r="B196" s="144" t="s">
        <v>668</v>
      </c>
      <c r="C196" s="145" t="s">
        <v>167</v>
      </c>
      <c r="D196" s="145" t="s">
        <v>190</v>
      </c>
      <c r="E196" s="145" t="s">
        <v>172</v>
      </c>
      <c r="F196" s="145">
        <v>19</v>
      </c>
      <c r="G196" s="145" t="s">
        <v>175</v>
      </c>
      <c r="H196" s="145">
        <v>4103049</v>
      </c>
      <c r="I196" s="145" t="s">
        <v>54</v>
      </c>
      <c r="J196" s="145">
        <v>11</v>
      </c>
      <c r="K196" s="146" t="s">
        <v>29</v>
      </c>
      <c r="L196" s="147" t="s">
        <v>178</v>
      </c>
      <c r="M196" s="148">
        <v>380000000</v>
      </c>
      <c r="N196" s="148"/>
      <c r="O196" s="148"/>
      <c r="P196" s="148"/>
      <c r="Q196" s="148">
        <v>82545742</v>
      </c>
      <c r="R196" s="148"/>
      <c r="S196" s="148">
        <v>297454258</v>
      </c>
      <c r="T196" s="148">
        <v>273593730</v>
      </c>
      <c r="U196" s="148">
        <v>23860528</v>
      </c>
      <c r="V196" s="150">
        <v>0.91978421098950947</v>
      </c>
      <c r="W196" s="148">
        <v>227970168</v>
      </c>
      <c r="X196" s="148">
        <v>45623562</v>
      </c>
      <c r="Y196" s="150">
        <v>0.16675660659328706</v>
      </c>
      <c r="Z196" s="148">
        <v>223693608</v>
      </c>
      <c r="AA196" s="148">
        <v>4276560</v>
      </c>
      <c r="AB196" s="150">
        <v>0.81761233344053608</v>
      </c>
    </row>
    <row r="197" spans="1:28" ht="32.25" customHeight="1">
      <c r="A197" s="32" t="e">
        <v>#REF!</v>
      </c>
      <c r="B197" s="138" t="s">
        <v>670</v>
      </c>
      <c r="C197" s="139" t="s">
        <v>167</v>
      </c>
      <c r="D197" s="139" t="s">
        <v>190</v>
      </c>
      <c r="E197" s="139" t="s">
        <v>172</v>
      </c>
      <c r="F197" s="139">
        <v>19</v>
      </c>
      <c r="G197" s="139" t="s">
        <v>175</v>
      </c>
      <c r="H197" s="139">
        <v>4103052</v>
      </c>
      <c r="I197" s="139"/>
      <c r="J197" s="139">
        <v>11</v>
      </c>
      <c r="K197" s="140" t="s">
        <v>29</v>
      </c>
      <c r="L197" s="140" t="s">
        <v>229</v>
      </c>
      <c r="M197" s="141">
        <v>12353806741</v>
      </c>
      <c r="N197" s="142">
        <v>0</v>
      </c>
      <c r="O197" s="142">
        <v>0</v>
      </c>
      <c r="P197" s="141">
        <v>1842545742</v>
      </c>
      <c r="Q197" s="142">
        <v>0</v>
      </c>
      <c r="R197" s="142">
        <v>0</v>
      </c>
      <c r="S197" s="141">
        <v>14196352483</v>
      </c>
      <c r="T197" s="141">
        <v>13594419673.950001</v>
      </c>
      <c r="U197" s="141">
        <v>601932809.04999924</v>
      </c>
      <c r="V197" s="143">
        <v>0.95759947424728931</v>
      </c>
      <c r="W197" s="141">
        <v>4418220042.5799999</v>
      </c>
      <c r="X197" s="141">
        <v>9176199631.3700008</v>
      </c>
      <c r="Y197" s="143">
        <v>0.67499752482657904</v>
      </c>
      <c r="Z197" s="141">
        <v>4243798423.5799999</v>
      </c>
      <c r="AA197" s="141">
        <v>174421619</v>
      </c>
      <c r="AB197" s="724">
        <v>0.31217209159079312</v>
      </c>
    </row>
    <row r="198" spans="1:28" ht="24.95" customHeight="1">
      <c r="A198" s="32" t="e">
        <v>#REF!</v>
      </c>
      <c r="B198" s="144" t="s">
        <v>672</v>
      </c>
      <c r="C198" s="145" t="s">
        <v>167</v>
      </c>
      <c r="D198" s="145" t="s">
        <v>190</v>
      </c>
      <c r="E198" s="145" t="s">
        <v>172</v>
      </c>
      <c r="F198" s="145">
        <v>19</v>
      </c>
      <c r="G198" s="145" t="s">
        <v>175</v>
      </c>
      <c r="H198" s="145">
        <v>4103052</v>
      </c>
      <c r="I198" s="145" t="s">
        <v>54</v>
      </c>
      <c r="J198" s="145">
        <v>11</v>
      </c>
      <c r="K198" s="146" t="s">
        <v>29</v>
      </c>
      <c r="L198" s="147" t="s">
        <v>178</v>
      </c>
      <c r="M198" s="148">
        <v>12353806741</v>
      </c>
      <c r="N198" s="148"/>
      <c r="O198" s="148"/>
      <c r="P198" s="148">
        <v>1842545742</v>
      </c>
      <c r="Q198" s="148"/>
      <c r="R198" s="148"/>
      <c r="S198" s="148">
        <v>14196352483</v>
      </c>
      <c r="T198" s="148">
        <v>13594419673.950001</v>
      </c>
      <c r="U198" s="148">
        <v>601932809.04999924</v>
      </c>
      <c r="V198" s="150">
        <v>0.95759947424728931</v>
      </c>
      <c r="W198" s="148">
        <v>4418220042.5799999</v>
      </c>
      <c r="X198" s="148">
        <v>9176199631.3700008</v>
      </c>
      <c r="Y198" s="150">
        <v>0.67499752482657904</v>
      </c>
      <c r="Z198" s="148">
        <v>4243798423.5799999</v>
      </c>
      <c r="AA198" s="148">
        <v>174421619</v>
      </c>
      <c r="AB198" s="150">
        <v>0.31217209159079312</v>
      </c>
    </row>
    <row r="199" spans="1:28" ht="32.25" hidden="1" customHeight="1">
      <c r="A199" s="32" t="e">
        <v>#REF!</v>
      </c>
      <c r="B199" s="32"/>
      <c r="C199" s="139" t="s">
        <v>167</v>
      </c>
      <c r="D199" s="139" t="s">
        <v>190</v>
      </c>
      <c r="E199" s="139" t="s">
        <v>172</v>
      </c>
      <c r="F199" s="139">
        <v>19</v>
      </c>
      <c r="G199" s="139" t="s">
        <v>175</v>
      </c>
      <c r="H199" s="139">
        <v>4103060</v>
      </c>
      <c r="I199" s="139"/>
      <c r="J199" s="139">
        <v>11</v>
      </c>
      <c r="K199" s="140" t="s">
        <v>29</v>
      </c>
      <c r="L199" s="140" t="s">
        <v>216</v>
      </c>
      <c r="M199" s="141">
        <v>0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1">
        <v>0</v>
      </c>
      <c r="T199" s="141">
        <v>0</v>
      </c>
      <c r="U199" s="141">
        <v>0</v>
      </c>
      <c r="V199" s="143">
        <v>0</v>
      </c>
      <c r="W199" s="141">
        <v>0</v>
      </c>
      <c r="X199" s="142">
        <v>0</v>
      </c>
      <c r="Y199" s="143">
        <v>0</v>
      </c>
      <c r="Z199" s="141">
        <v>0</v>
      </c>
      <c r="AA199" s="141">
        <v>0</v>
      </c>
      <c r="AB199" s="724">
        <v>0</v>
      </c>
    </row>
    <row r="200" spans="1:28" ht="24.95" hidden="1" customHeight="1">
      <c r="A200" s="32" t="e">
        <v>#REF!</v>
      </c>
      <c r="B200" s="32"/>
      <c r="C200" s="145" t="s">
        <v>167</v>
      </c>
      <c r="D200" s="145" t="s">
        <v>190</v>
      </c>
      <c r="E200" s="145" t="s">
        <v>172</v>
      </c>
      <c r="F200" s="145">
        <v>19</v>
      </c>
      <c r="G200" s="145" t="s">
        <v>175</v>
      </c>
      <c r="H200" s="145">
        <v>4103060</v>
      </c>
      <c r="I200" s="145" t="s">
        <v>54</v>
      </c>
      <c r="J200" s="145">
        <v>11</v>
      </c>
      <c r="K200" s="146" t="s">
        <v>29</v>
      </c>
      <c r="L200" s="147" t="s">
        <v>178</v>
      </c>
      <c r="M200" s="148"/>
      <c r="N200" s="148"/>
      <c r="O200" s="148"/>
      <c r="P200" s="148"/>
      <c r="Q200" s="148"/>
      <c r="R200" s="148"/>
      <c r="S200" s="148">
        <v>0</v>
      </c>
      <c r="T200" s="148">
        <v>0</v>
      </c>
      <c r="U200" s="148">
        <v>0</v>
      </c>
      <c r="V200" s="150">
        <v>0</v>
      </c>
      <c r="W200" s="148">
        <v>0</v>
      </c>
      <c r="X200" s="148">
        <v>0</v>
      </c>
      <c r="Y200" s="150">
        <v>0</v>
      </c>
      <c r="Z200" s="148">
        <v>0</v>
      </c>
      <c r="AA200" s="148">
        <v>0</v>
      </c>
      <c r="AB200" s="150">
        <v>0</v>
      </c>
    </row>
    <row r="201" spans="1:28" ht="49.5" customHeight="1">
      <c r="A201" s="32" t="e">
        <v>#REF!</v>
      </c>
      <c r="B201" s="132" t="s">
        <v>678</v>
      </c>
      <c r="C201" s="133" t="s">
        <v>167</v>
      </c>
      <c r="D201" s="133" t="s">
        <v>190</v>
      </c>
      <c r="E201" s="133" t="s">
        <v>172</v>
      </c>
      <c r="F201" s="133">
        <v>20</v>
      </c>
      <c r="G201" s="133"/>
      <c r="H201" s="133"/>
      <c r="I201" s="133"/>
      <c r="J201" s="133"/>
      <c r="K201" s="134"/>
      <c r="L201" s="134" t="s">
        <v>271</v>
      </c>
      <c r="M201" s="135">
        <v>960000000000</v>
      </c>
      <c r="N201" s="136">
        <v>0</v>
      </c>
      <c r="O201" s="136">
        <v>0</v>
      </c>
      <c r="P201" s="136">
        <v>0</v>
      </c>
      <c r="Q201" s="135">
        <v>1760000000</v>
      </c>
      <c r="R201" s="136">
        <v>0</v>
      </c>
      <c r="S201" s="135">
        <v>958240000000</v>
      </c>
      <c r="T201" s="135">
        <v>898940211287.28003</v>
      </c>
      <c r="U201" s="135">
        <v>59299788712.720001</v>
      </c>
      <c r="V201" s="137">
        <v>0.93811593263407922</v>
      </c>
      <c r="W201" s="135">
        <v>885795218642.22998</v>
      </c>
      <c r="X201" s="135">
        <v>13144992645.049999</v>
      </c>
      <c r="Y201" s="137">
        <v>1.4622766319715973E-2</v>
      </c>
      <c r="Z201" s="135">
        <v>885770896284.22998</v>
      </c>
      <c r="AA201" s="135">
        <v>24322358</v>
      </c>
      <c r="AB201" s="723">
        <v>0.98535017697763061</v>
      </c>
    </row>
    <row r="202" spans="1:28" ht="32.25" customHeight="1">
      <c r="A202" s="32" t="e">
        <v>#REF!</v>
      </c>
      <c r="B202" s="138" t="s">
        <v>680</v>
      </c>
      <c r="C202" s="139" t="s">
        <v>167</v>
      </c>
      <c r="D202" s="139" t="s">
        <v>190</v>
      </c>
      <c r="E202" s="139" t="s">
        <v>172</v>
      </c>
      <c r="F202" s="139">
        <v>20</v>
      </c>
      <c r="G202" s="139" t="s">
        <v>175</v>
      </c>
      <c r="H202" s="139">
        <v>4103061</v>
      </c>
      <c r="I202" s="139"/>
      <c r="J202" s="139">
        <v>11</v>
      </c>
      <c r="K202" s="140" t="s">
        <v>29</v>
      </c>
      <c r="L202" s="140" t="s">
        <v>231</v>
      </c>
      <c r="M202" s="141">
        <v>960000000000</v>
      </c>
      <c r="N202" s="142">
        <v>0</v>
      </c>
      <c r="O202" s="142">
        <v>0</v>
      </c>
      <c r="P202" s="142">
        <v>0</v>
      </c>
      <c r="Q202" s="141">
        <v>1760000000</v>
      </c>
      <c r="R202" s="142">
        <v>0</v>
      </c>
      <c r="S202" s="141">
        <v>958240000000</v>
      </c>
      <c r="T202" s="141">
        <v>898940211287.28003</v>
      </c>
      <c r="U202" s="141">
        <v>59299788712.720001</v>
      </c>
      <c r="V202" s="143">
        <v>0.93811593263407922</v>
      </c>
      <c r="W202" s="141">
        <v>885795218642.22998</v>
      </c>
      <c r="X202" s="141">
        <v>13144992645.049999</v>
      </c>
      <c r="Y202" s="143">
        <v>1.4622766319715973E-2</v>
      </c>
      <c r="Z202" s="141">
        <v>885770896284.22998</v>
      </c>
      <c r="AA202" s="141">
        <v>24322358</v>
      </c>
      <c r="AB202" s="724">
        <v>0.98535017697763061</v>
      </c>
    </row>
    <row r="203" spans="1:28" ht="24.95" customHeight="1">
      <c r="A203" s="32" t="e">
        <v>#REF!</v>
      </c>
      <c r="B203" s="144" t="s">
        <v>682</v>
      </c>
      <c r="C203" s="145" t="s">
        <v>167</v>
      </c>
      <c r="D203" s="145" t="s">
        <v>190</v>
      </c>
      <c r="E203" s="145" t="s">
        <v>172</v>
      </c>
      <c r="F203" s="145">
        <v>20</v>
      </c>
      <c r="G203" s="145" t="s">
        <v>175</v>
      </c>
      <c r="H203" s="145">
        <v>4103061</v>
      </c>
      <c r="I203" s="145" t="s">
        <v>54</v>
      </c>
      <c r="J203" s="145">
        <v>11</v>
      </c>
      <c r="K203" s="146" t="s">
        <v>29</v>
      </c>
      <c r="L203" s="147" t="s">
        <v>178</v>
      </c>
      <c r="M203" s="148">
        <v>52278387000</v>
      </c>
      <c r="N203" s="148"/>
      <c r="O203" s="148"/>
      <c r="P203" s="148"/>
      <c r="Q203" s="148">
        <v>1760000000</v>
      </c>
      <c r="R203" s="148"/>
      <c r="S203" s="148">
        <v>50518387000</v>
      </c>
      <c r="T203" s="148">
        <v>35700671287.279999</v>
      </c>
      <c r="U203" s="148">
        <v>14817715712.720001</v>
      </c>
      <c r="V203" s="150">
        <v>0.70668668196551876</v>
      </c>
      <c r="W203" s="148">
        <v>22555678642.23</v>
      </c>
      <c r="X203" s="148">
        <v>13144992645.049999</v>
      </c>
      <c r="Y203" s="150">
        <v>0.36820015341654111</v>
      </c>
      <c r="Z203" s="148">
        <v>22531356284.23</v>
      </c>
      <c r="AA203" s="148">
        <v>24322358</v>
      </c>
      <c r="AB203" s="150">
        <v>0.63111856085064233</v>
      </c>
    </row>
    <row r="204" spans="1:28" ht="24.95" customHeight="1">
      <c r="A204" s="32" t="e">
        <v>#REF!</v>
      </c>
      <c r="B204" s="144" t="s">
        <v>684</v>
      </c>
      <c r="C204" s="145" t="s">
        <v>167</v>
      </c>
      <c r="D204" s="145" t="s">
        <v>190</v>
      </c>
      <c r="E204" s="145" t="s">
        <v>172</v>
      </c>
      <c r="F204" s="145">
        <v>20</v>
      </c>
      <c r="G204" s="145" t="s">
        <v>175</v>
      </c>
      <c r="H204" s="145">
        <v>4103061</v>
      </c>
      <c r="I204" s="145" t="s">
        <v>65</v>
      </c>
      <c r="J204" s="145">
        <v>11</v>
      </c>
      <c r="K204" s="146" t="s">
        <v>29</v>
      </c>
      <c r="L204" s="147" t="s">
        <v>127</v>
      </c>
      <c r="M204" s="148">
        <v>907721613000</v>
      </c>
      <c r="N204" s="148"/>
      <c r="O204" s="148"/>
      <c r="P204" s="148"/>
      <c r="Q204" s="148"/>
      <c r="R204" s="148"/>
      <c r="S204" s="148">
        <v>907721613000</v>
      </c>
      <c r="T204" s="148">
        <v>863239540000</v>
      </c>
      <c r="U204" s="148">
        <v>44482073000</v>
      </c>
      <c r="V204" s="150">
        <v>0.95099590847794435</v>
      </c>
      <c r="W204" s="148">
        <v>863239540000</v>
      </c>
      <c r="X204" s="148">
        <v>0</v>
      </c>
      <c r="Y204" s="150">
        <v>0</v>
      </c>
      <c r="Z204" s="148">
        <v>863239540000</v>
      </c>
      <c r="AA204" s="148">
        <v>0</v>
      </c>
      <c r="AB204" s="150">
        <v>1</v>
      </c>
    </row>
    <row r="205" spans="1:28" ht="42" customHeight="1">
      <c r="A205" s="32" t="e">
        <v>#REF!</v>
      </c>
      <c r="B205" s="132" t="s">
        <v>692</v>
      </c>
      <c r="C205" s="133" t="s">
        <v>167</v>
      </c>
      <c r="D205" s="133">
        <v>4103</v>
      </c>
      <c r="E205" s="133" t="s">
        <v>172</v>
      </c>
      <c r="F205" s="133">
        <v>21</v>
      </c>
      <c r="G205" s="133"/>
      <c r="H205" s="133"/>
      <c r="I205" s="133"/>
      <c r="J205" s="133"/>
      <c r="K205" s="134"/>
      <c r="L205" s="134" t="s">
        <v>272</v>
      </c>
      <c r="M205" s="135">
        <v>25000000000</v>
      </c>
      <c r="N205" s="135">
        <v>0</v>
      </c>
      <c r="O205" s="135">
        <v>0</v>
      </c>
      <c r="P205" s="135">
        <v>16740482418</v>
      </c>
      <c r="Q205" s="135">
        <v>16740482418</v>
      </c>
      <c r="R205" s="135">
        <v>0</v>
      </c>
      <c r="S205" s="135">
        <v>25000000000</v>
      </c>
      <c r="T205" s="135">
        <v>17164477160</v>
      </c>
      <c r="U205" s="135">
        <v>7835522840</v>
      </c>
      <c r="V205" s="137">
        <v>0.68657908639999998</v>
      </c>
      <c r="W205" s="135">
        <v>11172483177</v>
      </c>
      <c r="X205" s="135">
        <v>5991993983</v>
      </c>
      <c r="Y205" s="137">
        <v>0.34909271789319096</v>
      </c>
      <c r="Z205" s="135">
        <v>11128303507</v>
      </c>
      <c r="AA205" s="135">
        <v>44179670</v>
      </c>
      <c r="AB205" s="723">
        <v>0.64833338081123348</v>
      </c>
    </row>
    <row r="206" spans="1:28" ht="32.25" customHeight="1">
      <c r="A206" s="32" t="e">
        <v>#REF!</v>
      </c>
      <c r="B206" s="138" t="s">
        <v>693</v>
      </c>
      <c r="C206" s="139" t="s">
        <v>167</v>
      </c>
      <c r="D206" s="139">
        <v>4103</v>
      </c>
      <c r="E206" s="139" t="s">
        <v>172</v>
      </c>
      <c r="F206" s="139">
        <v>21</v>
      </c>
      <c r="G206" s="139" t="s">
        <v>175</v>
      </c>
      <c r="H206" s="139" t="s">
        <v>219</v>
      </c>
      <c r="I206" s="139"/>
      <c r="J206" s="139" t="s">
        <v>144</v>
      </c>
      <c r="K206" s="140" t="s">
        <v>29</v>
      </c>
      <c r="L206" s="140" t="s">
        <v>233</v>
      </c>
      <c r="M206" s="141">
        <v>2606454177</v>
      </c>
      <c r="N206" s="142">
        <v>0</v>
      </c>
      <c r="O206" s="142">
        <v>0</v>
      </c>
      <c r="P206" s="141">
        <v>130864071</v>
      </c>
      <c r="Q206" s="141">
        <v>261728142</v>
      </c>
      <c r="R206" s="142">
        <v>0</v>
      </c>
      <c r="S206" s="141">
        <v>2475590106</v>
      </c>
      <c r="T206" s="141">
        <v>2475590106</v>
      </c>
      <c r="U206" s="141">
        <v>0</v>
      </c>
      <c r="V206" s="143">
        <v>1</v>
      </c>
      <c r="W206" s="141">
        <v>2429900306</v>
      </c>
      <c r="X206" s="141">
        <v>45689800</v>
      </c>
      <c r="Y206" s="143">
        <v>1.8456124820204787E-2</v>
      </c>
      <c r="Z206" s="141">
        <v>2429900306</v>
      </c>
      <c r="AA206" s="141">
        <v>0</v>
      </c>
      <c r="AB206" s="724">
        <v>0.98154387517979524</v>
      </c>
    </row>
    <row r="207" spans="1:28" ht="24.95" customHeight="1">
      <c r="A207" s="32" t="e">
        <v>#REF!</v>
      </c>
      <c r="B207" s="144" t="s">
        <v>694</v>
      </c>
      <c r="C207" s="145" t="s">
        <v>167</v>
      </c>
      <c r="D207" s="145">
        <v>4103</v>
      </c>
      <c r="E207" s="145" t="s">
        <v>172</v>
      </c>
      <c r="F207" s="145">
        <v>21</v>
      </c>
      <c r="G207" s="145" t="s">
        <v>175</v>
      </c>
      <c r="H207" s="145" t="s">
        <v>219</v>
      </c>
      <c r="I207" s="145" t="s">
        <v>54</v>
      </c>
      <c r="J207" s="145" t="s">
        <v>144</v>
      </c>
      <c r="K207" s="146" t="s">
        <v>29</v>
      </c>
      <c r="L207" s="147" t="s">
        <v>178</v>
      </c>
      <c r="M207" s="148">
        <v>2606454177</v>
      </c>
      <c r="N207" s="148"/>
      <c r="O207" s="148"/>
      <c r="P207" s="148">
        <v>130864071</v>
      </c>
      <c r="Q207" s="148">
        <v>261728142</v>
      </c>
      <c r="R207" s="148"/>
      <c r="S207" s="148">
        <v>2475590106</v>
      </c>
      <c r="T207" s="148">
        <v>2475590106</v>
      </c>
      <c r="U207" s="148">
        <v>0</v>
      </c>
      <c r="V207" s="150">
        <v>1</v>
      </c>
      <c r="W207" s="148">
        <v>2429900306</v>
      </c>
      <c r="X207" s="148">
        <v>45689800</v>
      </c>
      <c r="Y207" s="150">
        <v>1.8456124820204787E-2</v>
      </c>
      <c r="Z207" s="148">
        <v>2429900306</v>
      </c>
      <c r="AA207" s="148">
        <v>0</v>
      </c>
      <c r="AB207" s="150">
        <v>0.98154387517979524</v>
      </c>
    </row>
    <row r="208" spans="1:28" ht="32.25" customHeight="1">
      <c r="A208" s="32" t="e">
        <v>#REF!</v>
      </c>
      <c r="B208" s="138" t="s">
        <v>695</v>
      </c>
      <c r="C208" s="139" t="s">
        <v>167</v>
      </c>
      <c r="D208" s="139">
        <v>4103</v>
      </c>
      <c r="E208" s="139" t="s">
        <v>172</v>
      </c>
      <c r="F208" s="139">
        <v>21</v>
      </c>
      <c r="G208" s="139" t="s">
        <v>175</v>
      </c>
      <c r="H208" s="139" t="s">
        <v>234</v>
      </c>
      <c r="I208" s="139"/>
      <c r="J208" s="139" t="s">
        <v>144</v>
      </c>
      <c r="K208" s="140" t="s">
        <v>29</v>
      </c>
      <c r="L208" s="140" t="s">
        <v>235</v>
      </c>
      <c r="M208" s="141">
        <v>1252740115</v>
      </c>
      <c r="N208" s="142">
        <v>0</v>
      </c>
      <c r="O208" s="142">
        <v>0</v>
      </c>
      <c r="P208" s="141">
        <v>139030957</v>
      </c>
      <c r="Q208" s="141">
        <v>278061914</v>
      </c>
      <c r="R208" s="142">
        <v>0</v>
      </c>
      <c r="S208" s="141">
        <v>1113709158</v>
      </c>
      <c r="T208" s="141">
        <v>1113709158</v>
      </c>
      <c r="U208" s="141">
        <v>0</v>
      </c>
      <c r="V208" s="143">
        <v>1</v>
      </c>
      <c r="W208" s="141">
        <v>1113709158</v>
      </c>
      <c r="X208" s="142">
        <v>0</v>
      </c>
      <c r="Y208" s="143">
        <v>0</v>
      </c>
      <c r="Z208" s="141">
        <v>1113709158</v>
      </c>
      <c r="AA208" s="141">
        <v>0</v>
      </c>
      <c r="AB208" s="724">
        <v>1</v>
      </c>
    </row>
    <row r="209" spans="1:28" ht="24.95" customHeight="1">
      <c r="A209" s="32" t="e">
        <v>#REF!</v>
      </c>
      <c r="B209" s="144" t="s">
        <v>696</v>
      </c>
      <c r="C209" s="145" t="s">
        <v>167</v>
      </c>
      <c r="D209" s="145">
        <v>4103</v>
      </c>
      <c r="E209" s="145" t="s">
        <v>172</v>
      </c>
      <c r="F209" s="145">
        <v>21</v>
      </c>
      <c r="G209" s="145" t="s">
        <v>175</v>
      </c>
      <c r="H209" s="145" t="s">
        <v>234</v>
      </c>
      <c r="I209" s="145" t="s">
        <v>54</v>
      </c>
      <c r="J209" s="145" t="s">
        <v>144</v>
      </c>
      <c r="K209" s="146" t="s">
        <v>29</v>
      </c>
      <c r="L209" s="147" t="s">
        <v>178</v>
      </c>
      <c r="M209" s="148">
        <v>1252740115</v>
      </c>
      <c r="N209" s="148"/>
      <c r="O209" s="148"/>
      <c r="P209" s="148">
        <v>139030957</v>
      </c>
      <c r="Q209" s="148">
        <v>278061914</v>
      </c>
      <c r="R209" s="148"/>
      <c r="S209" s="148">
        <v>1113709158</v>
      </c>
      <c r="T209" s="148">
        <v>1113709158</v>
      </c>
      <c r="U209" s="148">
        <v>0</v>
      </c>
      <c r="V209" s="150">
        <v>1</v>
      </c>
      <c r="W209" s="148">
        <v>1113709158</v>
      </c>
      <c r="X209" s="148">
        <v>0</v>
      </c>
      <c r="Y209" s="150">
        <v>0</v>
      </c>
      <c r="Z209" s="148">
        <v>1113709158</v>
      </c>
      <c r="AA209" s="148">
        <v>0</v>
      </c>
      <c r="AB209" s="150">
        <v>1</v>
      </c>
    </row>
    <row r="210" spans="1:28" ht="32.25" customHeight="1">
      <c r="A210" s="32" t="e">
        <v>#REF!</v>
      </c>
      <c r="B210" s="138" t="s">
        <v>697</v>
      </c>
      <c r="C210" s="139" t="s">
        <v>167</v>
      </c>
      <c r="D210" s="139">
        <v>4103</v>
      </c>
      <c r="E210" s="139" t="s">
        <v>172</v>
      </c>
      <c r="F210" s="139">
        <v>21</v>
      </c>
      <c r="G210" s="139" t="s">
        <v>175</v>
      </c>
      <c r="H210" s="139" t="s">
        <v>197</v>
      </c>
      <c r="I210" s="139"/>
      <c r="J210" s="139" t="s">
        <v>144</v>
      </c>
      <c r="K210" s="140" t="s">
        <v>29</v>
      </c>
      <c r="L210" s="140" t="s">
        <v>236</v>
      </c>
      <c r="M210" s="141">
        <v>1722076323</v>
      </c>
      <c r="N210" s="142">
        <v>0</v>
      </c>
      <c r="O210" s="142">
        <v>0</v>
      </c>
      <c r="P210" s="141">
        <v>185321568</v>
      </c>
      <c r="Q210" s="141">
        <v>370643136</v>
      </c>
      <c r="R210" s="142">
        <v>0</v>
      </c>
      <c r="S210" s="141">
        <v>1536754755</v>
      </c>
      <c r="T210" s="141">
        <v>1536754755</v>
      </c>
      <c r="U210" s="141">
        <v>0</v>
      </c>
      <c r="V210" s="143">
        <v>1</v>
      </c>
      <c r="W210" s="141">
        <v>54674042</v>
      </c>
      <c r="X210" s="141">
        <v>1482080713</v>
      </c>
      <c r="Y210" s="143">
        <v>0.96442240258433432</v>
      </c>
      <c r="Z210" s="141">
        <v>54674042</v>
      </c>
      <c r="AA210" s="141">
        <v>0</v>
      </c>
      <c r="AB210" s="724">
        <v>3.5577597415665713E-2</v>
      </c>
    </row>
    <row r="211" spans="1:28" ht="24.95" customHeight="1">
      <c r="A211" s="32" t="e">
        <v>#REF!</v>
      </c>
      <c r="B211" s="144" t="s">
        <v>698</v>
      </c>
      <c r="C211" s="145" t="s">
        <v>167</v>
      </c>
      <c r="D211" s="145">
        <v>4103</v>
      </c>
      <c r="E211" s="145" t="s">
        <v>172</v>
      </c>
      <c r="F211" s="145">
        <v>21</v>
      </c>
      <c r="G211" s="145" t="s">
        <v>175</v>
      </c>
      <c r="H211" s="145" t="s">
        <v>197</v>
      </c>
      <c r="I211" s="145" t="s">
        <v>54</v>
      </c>
      <c r="J211" s="145" t="s">
        <v>144</v>
      </c>
      <c r="K211" s="146" t="s">
        <v>29</v>
      </c>
      <c r="L211" s="147" t="s">
        <v>178</v>
      </c>
      <c r="M211" s="148">
        <v>1722076323</v>
      </c>
      <c r="N211" s="148"/>
      <c r="O211" s="148"/>
      <c r="P211" s="148">
        <v>185321568</v>
      </c>
      <c r="Q211" s="148">
        <v>370643136</v>
      </c>
      <c r="R211" s="148"/>
      <c r="S211" s="148">
        <v>1536754755</v>
      </c>
      <c r="T211" s="148">
        <v>1536754755</v>
      </c>
      <c r="U211" s="148">
        <v>0</v>
      </c>
      <c r="V211" s="150">
        <v>1</v>
      </c>
      <c r="W211" s="148">
        <v>54674042</v>
      </c>
      <c r="X211" s="148">
        <v>1482080713</v>
      </c>
      <c r="Y211" s="150">
        <v>0.96442240258433432</v>
      </c>
      <c r="Z211" s="148">
        <v>54674042</v>
      </c>
      <c r="AA211" s="148">
        <v>0</v>
      </c>
      <c r="AB211" s="150">
        <v>3.5577597415665713E-2</v>
      </c>
    </row>
    <row r="212" spans="1:28" ht="32.25" customHeight="1">
      <c r="A212" s="32" t="e">
        <v>#REF!</v>
      </c>
      <c r="B212" s="138" t="s">
        <v>699</v>
      </c>
      <c r="C212" s="139" t="s">
        <v>167</v>
      </c>
      <c r="D212" s="139">
        <v>4103</v>
      </c>
      <c r="E212" s="139" t="s">
        <v>172</v>
      </c>
      <c r="F212" s="139">
        <v>21</v>
      </c>
      <c r="G212" s="139" t="s">
        <v>175</v>
      </c>
      <c r="H212" s="139" t="s">
        <v>203</v>
      </c>
      <c r="I212" s="139"/>
      <c r="J212" s="139" t="s">
        <v>144</v>
      </c>
      <c r="K212" s="140" t="s">
        <v>29</v>
      </c>
      <c r="L212" s="140" t="s">
        <v>237</v>
      </c>
      <c r="M212" s="141">
        <v>4822978569</v>
      </c>
      <c r="N212" s="142">
        <v>0</v>
      </c>
      <c r="O212" s="142">
        <v>0</v>
      </c>
      <c r="P212" s="141">
        <v>259693938</v>
      </c>
      <c r="Q212" s="141">
        <v>519387876</v>
      </c>
      <c r="R212" s="142">
        <v>0</v>
      </c>
      <c r="S212" s="141">
        <v>4563284631</v>
      </c>
      <c r="T212" s="141">
        <v>3960721124</v>
      </c>
      <c r="U212" s="141">
        <v>602563507</v>
      </c>
      <c r="V212" s="143">
        <v>0.86795399460586486</v>
      </c>
      <c r="W212" s="141">
        <v>268698000</v>
      </c>
      <c r="X212" s="141">
        <v>3692023124</v>
      </c>
      <c r="Y212" s="143">
        <v>0.93215932362119014</v>
      </c>
      <c r="Z212" s="141">
        <v>268698000</v>
      </c>
      <c r="AA212" s="141">
        <v>0</v>
      </c>
      <c r="AB212" s="724">
        <v>6.7840676378809847E-2</v>
      </c>
    </row>
    <row r="213" spans="1:28" ht="24.95" customHeight="1">
      <c r="A213" s="32" t="e">
        <v>#REF!</v>
      </c>
      <c r="B213" s="144" t="s">
        <v>700</v>
      </c>
      <c r="C213" s="145" t="s">
        <v>167</v>
      </c>
      <c r="D213" s="145">
        <v>4103</v>
      </c>
      <c r="E213" s="145" t="s">
        <v>172</v>
      </c>
      <c r="F213" s="145">
        <v>21</v>
      </c>
      <c r="G213" s="145" t="s">
        <v>175</v>
      </c>
      <c r="H213" s="145" t="s">
        <v>203</v>
      </c>
      <c r="I213" s="145" t="s">
        <v>54</v>
      </c>
      <c r="J213" s="145" t="s">
        <v>144</v>
      </c>
      <c r="K213" s="146" t="s">
        <v>29</v>
      </c>
      <c r="L213" s="147" t="s">
        <v>178</v>
      </c>
      <c r="M213" s="148">
        <v>4822978569</v>
      </c>
      <c r="N213" s="148"/>
      <c r="O213" s="148"/>
      <c r="P213" s="148">
        <v>259693938</v>
      </c>
      <c r="Q213" s="148">
        <v>519387876</v>
      </c>
      <c r="R213" s="148"/>
      <c r="S213" s="148">
        <v>4563284631</v>
      </c>
      <c r="T213" s="148">
        <v>3960721124</v>
      </c>
      <c r="U213" s="148">
        <v>602563507</v>
      </c>
      <c r="V213" s="150">
        <v>0.86795399460586486</v>
      </c>
      <c r="W213" s="148">
        <v>268698000</v>
      </c>
      <c r="X213" s="148">
        <v>3692023124</v>
      </c>
      <c r="Y213" s="150">
        <v>0.93215932362119014</v>
      </c>
      <c r="Z213" s="148">
        <v>268698000</v>
      </c>
      <c r="AA213" s="148">
        <v>0</v>
      </c>
      <c r="AB213" s="150">
        <v>6.7840676378809847E-2</v>
      </c>
    </row>
    <row r="214" spans="1:28" ht="32.25" customHeight="1">
      <c r="A214" s="32" t="e">
        <v>#REF!</v>
      </c>
      <c r="B214" s="138" t="s">
        <v>701</v>
      </c>
      <c r="C214" s="139" t="s">
        <v>167</v>
      </c>
      <c r="D214" s="139">
        <v>4103</v>
      </c>
      <c r="E214" s="139" t="s">
        <v>172</v>
      </c>
      <c r="F214" s="139">
        <v>21</v>
      </c>
      <c r="G214" s="139" t="s">
        <v>175</v>
      </c>
      <c r="H214" s="139" t="s">
        <v>223</v>
      </c>
      <c r="I214" s="139"/>
      <c r="J214" s="139" t="s">
        <v>144</v>
      </c>
      <c r="K214" s="140" t="s">
        <v>29</v>
      </c>
      <c r="L214" s="140" t="s">
        <v>238</v>
      </c>
      <c r="M214" s="141">
        <v>14595750816</v>
      </c>
      <c r="N214" s="142">
        <v>0</v>
      </c>
      <c r="O214" s="142">
        <v>0</v>
      </c>
      <c r="P214" s="141">
        <v>16025571884</v>
      </c>
      <c r="Q214" s="141">
        <v>15310661350</v>
      </c>
      <c r="R214" s="142">
        <v>0</v>
      </c>
      <c r="S214" s="141">
        <v>15310661350</v>
      </c>
      <c r="T214" s="141">
        <v>8077702017</v>
      </c>
      <c r="U214" s="141">
        <v>7232959333</v>
      </c>
      <c r="V214" s="143">
        <v>0.52758674706106012</v>
      </c>
      <c r="W214" s="141">
        <v>7305501671</v>
      </c>
      <c r="X214" s="141">
        <v>772200346</v>
      </c>
      <c r="Y214" s="143">
        <v>9.5596537774587237E-2</v>
      </c>
      <c r="Z214" s="141">
        <v>7261322001</v>
      </c>
      <c r="AA214" s="141">
        <v>44179670</v>
      </c>
      <c r="AB214" s="724">
        <v>0.89893412578455112</v>
      </c>
    </row>
    <row r="215" spans="1:28" ht="24.95" customHeight="1">
      <c r="A215" s="32" t="e">
        <v>#REF!</v>
      </c>
      <c r="B215" s="144" t="s">
        <v>702</v>
      </c>
      <c r="C215" s="145" t="s">
        <v>167</v>
      </c>
      <c r="D215" s="145">
        <v>4103</v>
      </c>
      <c r="E215" s="145" t="s">
        <v>172</v>
      </c>
      <c r="F215" s="145">
        <v>21</v>
      </c>
      <c r="G215" s="145" t="s">
        <v>175</v>
      </c>
      <c r="H215" s="145" t="s">
        <v>223</v>
      </c>
      <c r="I215" s="145" t="s">
        <v>54</v>
      </c>
      <c r="J215" s="145" t="s">
        <v>144</v>
      </c>
      <c r="K215" s="146" t="s">
        <v>29</v>
      </c>
      <c r="L215" s="147" t="s">
        <v>178</v>
      </c>
      <c r="M215" s="148">
        <v>0</v>
      </c>
      <c r="N215" s="148"/>
      <c r="O215" s="148"/>
      <c r="P215" s="148">
        <v>16025571884</v>
      </c>
      <c r="Q215" s="148">
        <v>714910534</v>
      </c>
      <c r="R215" s="148"/>
      <c r="S215" s="148">
        <v>15310661350</v>
      </c>
      <c r="T215" s="148">
        <v>8077702017</v>
      </c>
      <c r="U215" s="148">
        <v>7232959333</v>
      </c>
      <c r="V215" s="150">
        <v>0.52758674706106012</v>
      </c>
      <c r="W215" s="148">
        <v>7305501671</v>
      </c>
      <c r="X215" s="148">
        <v>772200346</v>
      </c>
      <c r="Y215" s="150">
        <v>9.5596537774587237E-2</v>
      </c>
      <c r="Z215" s="148">
        <v>7261322001</v>
      </c>
      <c r="AA215" s="148">
        <v>44179670</v>
      </c>
      <c r="AB215" s="150">
        <v>0.89893412578455112</v>
      </c>
    </row>
    <row r="216" spans="1:28" ht="24.95" customHeight="1">
      <c r="A216" s="32" t="e">
        <v>#REF!</v>
      </c>
      <c r="B216" s="144" t="s">
        <v>703</v>
      </c>
      <c r="C216" s="145" t="s">
        <v>167</v>
      </c>
      <c r="D216" s="145">
        <v>4103</v>
      </c>
      <c r="E216" s="145" t="s">
        <v>172</v>
      </c>
      <c r="F216" s="145">
        <v>21</v>
      </c>
      <c r="G216" s="145" t="s">
        <v>175</v>
      </c>
      <c r="H216" s="145" t="s">
        <v>223</v>
      </c>
      <c r="I216" s="145" t="s">
        <v>65</v>
      </c>
      <c r="J216" s="145" t="s">
        <v>144</v>
      </c>
      <c r="K216" s="146" t="s">
        <v>29</v>
      </c>
      <c r="L216" s="147" t="s">
        <v>127</v>
      </c>
      <c r="M216" s="148">
        <v>14595750816</v>
      </c>
      <c r="N216" s="148"/>
      <c r="O216" s="148"/>
      <c r="P216" s="148"/>
      <c r="Q216" s="148">
        <v>14595750816</v>
      </c>
      <c r="R216" s="148"/>
      <c r="S216" s="148">
        <v>0</v>
      </c>
      <c r="T216" s="148">
        <v>0</v>
      </c>
      <c r="U216" s="148">
        <v>0</v>
      </c>
      <c r="V216" s="150">
        <v>0</v>
      </c>
      <c r="W216" s="148">
        <v>0</v>
      </c>
      <c r="X216" s="148">
        <v>0</v>
      </c>
      <c r="Y216" s="150">
        <v>0</v>
      </c>
      <c r="Z216" s="148">
        <v>0</v>
      </c>
      <c r="AA216" s="148">
        <v>0</v>
      </c>
      <c r="AB216" s="150">
        <v>0</v>
      </c>
    </row>
    <row r="217" spans="1:28" ht="49.5" customHeight="1">
      <c r="A217" s="32" t="e">
        <v>#REF!</v>
      </c>
      <c r="B217" s="132" t="s">
        <v>704</v>
      </c>
      <c r="C217" s="133" t="s">
        <v>167</v>
      </c>
      <c r="D217" s="133">
        <v>4103</v>
      </c>
      <c r="E217" s="133" t="s">
        <v>172</v>
      </c>
      <c r="F217" s="133">
        <v>22</v>
      </c>
      <c r="G217" s="133"/>
      <c r="H217" s="133"/>
      <c r="I217" s="133"/>
      <c r="J217" s="133"/>
      <c r="K217" s="134"/>
      <c r="L217" s="134" t="s">
        <v>239</v>
      </c>
      <c r="M217" s="135">
        <v>137284000000</v>
      </c>
      <c r="N217" s="136">
        <v>0</v>
      </c>
      <c r="O217" s="136">
        <v>0</v>
      </c>
      <c r="P217" s="135">
        <v>17906457845</v>
      </c>
      <c r="Q217" s="135">
        <v>17906457845</v>
      </c>
      <c r="R217" s="136">
        <v>0</v>
      </c>
      <c r="S217" s="135">
        <v>137284000000</v>
      </c>
      <c r="T217" s="135">
        <v>135969855330</v>
      </c>
      <c r="U217" s="135">
        <v>1314144670</v>
      </c>
      <c r="V217" s="137">
        <v>0.99042754676437161</v>
      </c>
      <c r="W217" s="135">
        <v>94649098149</v>
      </c>
      <c r="X217" s="135">
        <v>41320757181</v>
      </c>
      <c r="Y217" s="137">
        <v>0.30389645617195199</v>
      </c>
      <c r="Z217" s="135">
        <v>94597083996</v>
      </c>
      <c r="AA217" s="135">
        <v>52014153</v>
      </c>
      <c r="AB217" s="723">
        <v>0.69572100202954601</v>
      </c>
    </row>
    <row r="218" spans="1:28" ht="32.25" customHeight="1">
      <c r="A218" s="32" t="e">
        <v>#REF!</v>
      </c>
      <c r="B218" s="138" t="s">
        <v>705</v>
      </c>
      <c r="C218" s="139" t="s">
        <v>167</v>
      </c>
      <c r="D218" s="139">
        <v>4103</v>
      </c>
      <c r="E218" s="139" t="s">
        <v>172</v>
      </c>
      <c r="F218" s="139">
        <v>22</v>
      </c>
      <c r="G218" s="139" t="s">
        <v>175</v>
      </c>
      <c r="H218" s="139" t="s">
        <v>219</v>
      </c>
      <c r="I218" s="139"/>
      <c r="J218" s="139" t="s">
        <v>144</v>
      </c>
      <c r="K218" s="140" t="s">
        <v>29</v>
      </c>
      <c r="L218" s="140" t="s">
        <v>240</v>
      </c>
      <c r="M218" s="141">
        <v>8350333435</v>
      </c>
      <c r="N218" s="142">
        <v>0</v>
      </c>
      <c r="O218" s="142">
        <v>0</v>
      </c>
      <c r="P218" s="141">
        <v>681063106</v>
      </c>
      <c r="Q218" s="141">
        <v>0</v>
      </c>
      <c r="R218" s="142">
        <v>0</v>
      </c>
      <c r="S218" s="141">
        <v>9031396541</v>
      </c>
      <c r="T218" s="141">
        <v>9006185190</v>
      </c>
      <c r="U218" s="141">
        <v>25211351</v>
      </c>
      <c r="V218" s="143">
        <v>0.99720847701841597</v>
      </c>
      <c r="W218" s="141">
        <v>7414873850</v>
      </c>
      <c r="X218" s="141">
        <v>1591311340</v>
      </c>
      <c r="Y218" s="143">
        <v>0.17669094143954639</v>
      </c>
      <c r="Z218" s="141">
        <v>7414873850</v>
      </c>
      <c r="AA218" s="141">
        <v>0</v>
      </c>
      <c r="AB218" s="724">
        <v>0.82330905856045355</v>
      </c>
    </row>
    <row r="219" spans="1:28" ht="24.95" customHeight="1">
      <c r="A219" s="32" t="e">
        <v>#REF!</v>
      </c>
      <c r="B219" s="144" t="s">
        <v>706</v>
      </c>
      <c r="C219" s="145" t="s">
        <v>167</v>
      </c>
      <c r="D219" s="145">
        <v>4103</v>
      </c>
      <c r="E219" s="145" t="s">
        <v>172</v>
      </c>
      <c r="F219" s="145">
        <v>22</v>
      </c>
      <c r="G219" s="145" t="s">
        <v>175</v>
      </c>
      <c r="H219" s="145" t="s">
        <v>219</v>
      </c>
      <c r="I219" s="145" t="s">
        <v>54</v>
      </c>
      <c r="J219" s="145" t="s">
        <v>144</v>
      </c>
      <c r="K219" s="146" t="s">
        <v>29</v>
      </c>
      <c r="L219" s="147" t="s">
        <v>178</v>
      </c>
      <c r="M219" s="148">
        <v>8350333435</v>
      </c>
      <c r="N219" s="148"/>
      <c r="O219" s="148"/>
      <c r="P219" s="148">
        <v>681063106</v>
      </c>
      <c r="Q219" s="148"/>
      <c r="R219" s="148"/>
      <c r="S219" s="148">
        <v>9031396541</v>
      </c>
      <c r="T219" s="148">
        <v>9006185190</v>
      </c>
      <c r="U219" s="148">
        <v>25211351</v>
      </c>
      <c r="V219" s="150">
        <v>0.99720847701841597</v>
      </c>
      <c r="W219" s="148">
        <v>7414873850</v>
      </c>
      <c r="X219" s="148">
        <v>1591311340</v>
      </c>
      <c r="Y219" s="150">
        <v>0.17669094143954639</v>
      </c>
      <c r="Z219" s="148">
        <v>7414873850</v>
      </c>
      <c r="AA219" s="148">
        <v>0</v>
      </c>
      <c r="AB219" s="150">
        <v>0.82330905856045355</v>
      </c>
    </row>
    <row r="220" spans="1:28" ht="32.25" customHeight="1">
      <c r="A220" s="32" t="e">
        <v>#REF!</v>
      </c>
      <c r="B220" s="138" t="s">
        <v>707</v>
      </c>
      <c r="C220" s="139" t="s">
        <v>167</v>
      </c>
      <c r="D220" s="139">
        <v>4103</v>
      </c>
      <c r="E220" s="139" t="s">
        <v>172</v>
      </c>
      <c r="F220" s="139">
        <v>22</v>
      </c>
      <c r="G220" s="139" t="s">
        <v>175</v>
      </c>
      <c r="H220" s="139" t="s">
        <v>234</v>
      </c>
      <c r="I220" s="139"/>
      <c r="J220" s="139" t="s">
        <v>144</v>
      </c>
      <c r="K220" s="140" t="s">
        <v>29</v>
      </c>
      <c r="L220" s="140" t="s">
        <v>241</v>
      </c>
      <c r="M220" s="141">
        <v>8986673675</v>
      </c>
      <c r="N220" s="142">
        <v>0</v>
      </c>
      <c r="O220" s="142">
        <v>0</v>
      </c>
      <c r="P220" s="141">
        <v>417203180</v>
      </c>
      <c r="Q220" s="141">
        <v>3115663306</v>
      </c>
      <c r="R220" s="142">
        <v>0</v>
      </c>
      <c r="S220" s="141">
        <v>6288213549</v>
      </c>
      <c r="T220" s="141">
        <v>6025833579</v>
      </c>
      <c r="U220" s="141">
        <v>262379970</v>
      </c>
      <c r="V220" s="143">
        <v>0.95827432259489254</v>
      </c>
      <c r="W220" s="141">
        <v>659656489</v>
      </c>
      <c r="X220" s="141">
        <v>5366177090</v>
      </c>
      <c r="Y220" s="143">
        <v>0.89052859154642117</v>
      </c>
      <c r="Z220" s="141">
        <v>659656489</v>
      </c>
      <c r="AA220" s="141">
        <v>0</v>
      </c>
      <c r="AB220" s="724">
        <v>0.10947140845357886</v>
      </c>
    </row>
    <row r="221" spans="1:28" ht="24.95" customHeight="1">
      <c r="A221" s="32" t="e">
        <v>#REF!</v>
      </c>
      <c r="B221" s="144" t="s">
        <v>708</v>
      </c>
      <c r="C221" s="145" t="s">
        <v>167</v>
      </c>
      <c r="D221" s="145">
        <v>4103</v>
      </c>
      <c r="E221" s="145" t="s">
        <v>172</v>
      </c>
      <c r="F221" s="145">
        <v>22</v>
      </c>
      <c r="G221" s="145" t="s">
        <v>175</v>
      </c>
      <c r="H221" s="145" t="s">
        <v>234</v>
      </c>
      <c r="I221" s="145" t="s">
        <v>54</v>
      </c>
      <c r="J221" s="145" t="s">
        <v>144</v>
      </c>
      <c r="K221" s="146" t="s">
        <v>29</v>
      </c>
      <c r="L221" s="147" t="s">
        <v>178</v>
      </c>
      <c r="M221" s="148">
        <v>5871010369</v>
      </c>
      <c r="N221" s="148"/>
      <c r="O221" s="148"/>
      <c r="P221" s="148">
        <v>417203180</v>
      </c>
      <c r="Q221" s="148"/>
      <c r="R221" s="148"/>
      <c r="S221" s="148">
        <v>6288213549</v>
      </c>
      <c r="T221" s="148">
        <v>6025833579</v>
      </c>
      <c r="U221" s="148">
        <v>262379970</v>
      </c>
      <c r="V221" s="150">
        <v>0.95827432259489254</v>
      </c>
      <c r="W221" s="148">
        <v>659656489</v>
      </c>
      <c r="X221" s="148">
        <v>5366177090</v>
      </c>
      <c r="Y221" s="150">
        <v>0.89052859154642117</v>
      </c>
      <c r="Z221" s="148">
        <v>659656489</v>
      </c>
      <c r="AA221" s="148">
        <v>0</v>
      </c>
      <c r="AB221" s="150">
        <v>0.10947140845357886</v>
      </c>
    </row>
    <row r="222" spans="1:28" ht="24.95" customHeight="1">
      <c r="A222" s="32" t="e">
        <v>#REF!</v>
      </c>
      <c r="B222" s="144" t="s">
        <v>709</v>
      </c>
      <c r="C222" s="145" t="s">
        <v>167</v>
      </c>
      <c r="D222" s="145">
        <v>4103</v>
      </c>
      <c r="E222" s="145" t="s">
        <v>172</v>
      </c>
      <c r="F222" s="145">
        <v>22</v>
      </c>
      <c r="G222" s="145" t="s">
        <v>175</v>
      </c>
      <c r="H222" s="145" t="s">
        <v>234</v>
      </c>
      <c r="I222" s="145" t="s">
        <v>65</v>
      </c>
      <c r="J222" s="145" t="s">
        <v>144</v>
      </c>
      <c r="K222" s="146" t="s">
        <v>29</v>
      </c>
      <c r="L222" s="147" t="s">
        <v>127</v>
      </c>
      <c r="M222" s="148">
        <v>3115663306</v>
      </c>
      <c r="N222" s="148"/>
      <c r="O222" s="148"/>
      <c r="P222" s="148"/>
      <c r="Q222" s="148">
        <v>3115663306</v>
      </c>
      <c r="R222" s="148"/>
      <c r="S222" s="148">
        <v>0</v>
      </c>
      <c r="T222" s="148">
        <v>0</v>
      </c>
      <c r="U222" s="148">
        <v>0</v>
      </c>
      <c r="V222" s="150">
        <v>0</v>
      </c>
      <c r="W222" s="148">
        <v>0</v>
      </c>
      <c r="X222" s="148">
        <v>0</v>
      </c>
      <c r="Y222" s="150">
        <v>0</v>
      </c>
      <c r="Z222" s="148">
        <v>0</v>
      </c>
      <c r="AA222" s="148">
        <v>0</v>
      </c>
      <c r="AB222" s="150">
        <v>0</v>
      </c>
    </row>
    <row r="223" spans="1:28" ht="32.25" customHeight="1">
      <c r="A223" s="32" t="e">
        <v>#REF!</v>
      </c>
      <c r="B223" s="138" t="s">
        <v>710</v>
      </c>
      <c r="C223" s="139" t="s">
        <v>167</v>
      </c>
      <c r="D223" s="139">
        <v>4103</v>
      </c>
      <c r="E223" s="139" t="s">
        <v>172</v>
      </c>
      <c r="F223" s="139">
        <v>22</v>
      </c>
      <c r="G223" s="139" t="s">
        <v>175</v>
      </c>
      <c r="H223" s="139">
        <v>4103051</v>
      </c>
      <c r="I223" s="139"/>
      <c r="J223" s="139" t="s">
        <v>144</v>
      </c>
      <c r="K223" s="140" t="s">
        <v>29</v>
      </c>
      <c r="L223" s="140" t="s">
        <v>242</v>
      </c>
      <c r="M223" s="141">
        <v>1038023922</v>
      </c>
      <c r="N223" s="142">
        <v>0</v>
      </c>
      <c r="O223" s="142">
        <v>0</v>
      </c>
      <c r="P223" s="141">
        <v>2230593423</v>
      </c>
      <c r="Q223" s="141">
        <v>0</v>
      </c>
      <c r="R223" s="142">
        <v>0</v>
      </c>
      <c r="S223" s="141">
        <v>3268617345</v>
      </c>
      <c r="T223" s="141">
        <v>3268617345</v>
      </c>
      <c r="U223" s="141">
        <v>0</v>
      </c>
      <c r="V223" s="143">
        <v>1</v>
      </c>
      <c r="W223" s="141">
        <v>2445347431</v>
      </c>
      <c r="X223" s="142">
        <v>823269914</v>
      </c>
      <c r="Y223" s="143">
        <v>0.25187099837775595</v>
      </c>
      <c r="Z223" s="141">
        <v>2445347431</v>
      </c>
      <c r="AA223" s="141">
        <v>0</v>
      </c>
      <c r="AB223" s="724">
        <v>0.74812900162224405</v>
      </c>
    </row>
    <row r="224" spans="1:28" ht="24.95" customHeight="1">
      <c r="A224" s="32" t="e">
        <v>#REF!</v>
      </c>
      <c r="B224" s="144" t="s">
        <v>711</v>
      </c>
      <c r="C224" s="145" t="s">
        <v>167</v>
      </c>
      <c r="D224" s="145">
        <v>4103</v>
      </c>
      <c r="E224" s="145" t="s">
        <v>172</v>
      </c>
      <c r="F224" s="145">
        <v>22</v>
      </c>
      <c r="G224" s="145" t="s">
        <v>175</v>
      </c>
      <c r="H224" s="145">
        <v>4103051</v>
      </c>
      <c r="I224" s="145" t="s">
        <v>54</v>
      </c>
      <c r="J224" s="145" t="s">
        <v>144</v>
      </c>
      <c r="K224" s="146" t="s">
        <v>29</v>
      </c>
      <c r="L224" s="147" t="s">
        <v>178</v>
      </c>
      <c r="M224" s="148">
        <v>1038023922</v>
      </c>
      <c r="N224" s="148"/>
      <c r="O224" s="148"/>
      <c r="P224" s="148">
        <v>2230593423</v>
      </c>
      <c r="Q224" s="148"/>
      <c r="R224" s="148"/>
      <c r="S224" s="148">
        <v>3268617345</v>
      </c>
      <c r="T224" s="148">
        <v>3268617345</v>
      </c>
      <c r="U224" s="148">
        <v>0</v>
      </c>
      <c r="V224" s="150">
        <v>1</v>
      </c>
      <c r="W224" s="148">
        <v>2445347431</v>
      </c>
      <c r="X224" s="148">
        <v>823269914</v>
      </c>
      <c r="Y224" s="150">
        <v>0.25187099837775595</v>
      </c>
      <c r="Z224" s="148">
        <v>2445347431</v>
      </c>
      <c r="AA224" s="148">
        <v>0</v>
      </c>
      <c r="AB224" s="150">
        <v>0.74812900162224405</v>
      </c>
    </row>
    <row r="225" spans="1:28" ht="32.25" customHeight="1">
      <c r="A225" s="32" t="e">
        <v>#REF!</v>
      </c>
      <c r="B225" s="138" t="s">
        <v>712</v>
      </c>
      <c r="C225" s="139" t="s">
        <v>167</v>
      </c>
      <c r="D225" s="139">
        <v>4103</v>
      </c>
      <c r="E225" s="139" t="s">
        <v>172</v>
      </c>
      <c r="F225" s="139">
        <v>22</v>
      </c>
      <c r="G225" s="139" t="s">
        <v>175</v>
      </c>
      <c r="H225" s="139">
        <v>4103055</v>
      </c>
      <c r="I225" s="139"/>
      <c r="J225" s="139" t="s">
        <v>144</v>
      </c>
      <c r="K225" s="140" t="s">
        <v>29</v>
      </c>
      <c r="L225" s="140" t="s">
        <v>243</v>
      </c>
      <c r="M225" s="141">
        <v>4550769145</v>
      </c>
      <c r="N225" s="142">
        <v>0</v>
      </c>
      <c r="O225" s="142">
        <v>0</v>
      </c>
      <c r="P225" s="141">
        <v>12479945236</v>
      </c>
      <c r="Q225" s="141">
        <v>0</v>
      </c>
      <c r="R225" s="142">
        <v>0</v>
      </c>
      <c r="S225" s="141">
        <v>17030714381</v>
      </c>
      <c r="T225" s="141">
        <v>17030714381</v>
      </c>
      <c r="U225" s="141">
        <v>0</v>
      </c>
      <c r="V225" s="143">
        <v>1</v>
      </c>
      <c r="W225" s="141">
        <v>280990866</v>
      </c>
      <c r="X225" s="142">
        <v>16749723515</v>
      </c>
      <c r="Y225" s="143">
        <v>0.98350093485723167</v>
      </c>
      <c r="Z225" s="141">
        <v>280990866</v>
      </c>
      <c r="AA225" s="141">
        <v>0</v>
      </c>
      <c r="AB225" s="724">
        <v>1.6499065142768304E-2</v>
      </c>
    </row>
    <row r="226" spans="1:28" ht="24.95" customHeight="1">
      <c r="A226" s="32" t="e">
        <v>#REF!</v>
      </c>
      <c r="B226" s="144" t="s">
        <v>713</v>
      </c>
      <c r="C226" s="145" t="s">
        <v>167</v>
      </c>
      <c r="D226" s="145">
        <v>4103</v>
      </c>
      <c r="E226" s="145" t="s">
        <v>172</v>
      </c>
      <c r="F226" s="145">
        <v>22</v>
      </c>
      <c r="G226" s="145" t="s">
        <v>175</v>
      </c>
      <c r="H226" s="145" t="s">
        <v>203</v>
      </c>
      <c r="I226" s="145" t="s">
        <v>54</v>
      </c>
      <c r="J226" s="145" t="s">
        <v>144</v>
      </c>
      <c r="K226" s="146" t="s">
        <v>29</v>
      </c>
      <c r="L226" s="147" t="s">
        <v>178</v>
      </c>
      <c r="M226" s="148">
        <v>396551404</v>
      </c>
      <c r="N226" s="148"/>
      <c r="O226" s="148"/>
      <c r="P226" s="148">
        <v>118562977</v>
      </c>
      <c r="Q226" s="148"/>
      <c r="R226" s="148"/>
      <c r="S226" s="148">
        <v>515114381</v>
      </c>
      <c r="T226" s="148">
        <v>515114381</v>
      </c>
      <c r="U226" s="148">
        <v>0</v>
      </c>
      <c r="V226" s="150">
        <v>1</v>
      </c>
      <c r="W226" s="148">
        <v>280990866</v>
      </c>
      <c r="X226" s="148">
        <v>234123515</v>
      </c>
      <c r="Y226" s="150">
        <v>0.4545078212444626</v>
      </c>
      <c r="Z226" s="148">
        <v>280990866</v>
      </c>
      <c r="AA226" s="148">
        <v>0</v>
      </c>
      <c r="AB226" s="150">
        <v>0.54549217875553735</v>
      </c>
    </row>
    <row r="227" spans="1:28" ht="24.95" customHeight="1">
      <c r="A227" s="32" t="e">
        <v>#REF!</v>
      </c>
      <c r="B227" s="144" t="s">
        <v>714</v>
      </c>
      <c r="C227" s="145" t="s">
        <v>167</v>
      </c>
      <c r="D227" s="145">
        <v>4103</v>
      </c>
      <c r="E227" s="145" t="s">
        <v>172</v>
      </c>
      <c r="F227" s="145">
        <v>22</v>
      </c>
      <c r="G227" s="145" t="s">
        <v>175</v>
      </c>
      <c r="H227" s="145" t="s">
        <v>203</v>
      </c>
      <c r="I227" s="145" t="s">
        <v>65</v>
      </c>
      <c r="J227" s="145" t="s">
        <v>144</v>
      </c>
      <c r="K227" s="146" t="s">
        <v>29</v>
      </c>
      <c r="L227" s="147" t="s">
        <v>127</v>
      </c>
      <c r="M227" s="148">
        <v>4154217741</v>
      </c>
      <c r="N227" s="148"/>
      <c r="O227" s="148"/>
      <c r="P227" s="148">
        <v>12361382259</v>
      </c>
      <c r="Q227" s="148"/>
      <c r="R227" s="148"/>
      <c r="S227" s="148">
        <v>16515600000</v>
      </c>
      <c r="T227" s="148">
        <v>16515600000</v>
      </c>
      <c r="U227" s="148">
        <v>0</v>
      </c>
      <c r="V227" s="150">
        <v>1</v>
      </c>
      <c r="W227" s="148">
        <v>0</v>
      </c>
      <c r="X227" s="148">
        <v>16515600000</v>
      </c>
      <c r="Y227" s="150">
        <v>1</v>
      </c>
      <c r="Z227" s="148">
        <v>0</v>
      </c>
      <c r="AA227" s="148">
        <v>0</v>
      </c>
      <c r="AB227" s="150">
        <v>0</v>
      </c>
    </row>
    <row r="228" spans="1:28" ht="32.25" customHeight="1">
      <c r="A228" s="32" t="e">
        <v>#REF!</v>
      </c>
      <c r="B228" s="138" t="s">
        <v>715</v>
      </c>
      <c r="C228" s="139" t="s">
        <v>167</v>
      </c>
      <c r="D228" s="139">
        <v>4103</v>
      </c>
      <c r="E228" s="139" t="s">
        <v>172</v>
      </c>
      <c r="F228" s="139">
        <v>22</v>
      </c>
      <c r="G228" s="139" t="s">
        <v>175</v>
      </c>
      <c r="H228" s="139">
        <v>4103057</v>
      </c>
      <c r="I228" s="139"/>
      <c r="J228" s="139" t="s">
        <v>144</v>
      </c>
      <c r="K228" s="140" t="s">
        <v>29</v>
      </c>
      <c r="L228" s="140" t="s">
        <v>244</v>
      </c>
      <c r="M228" s="141">
        <v>102633231456</v>
      </c>
      <c r="N228" s="142">
        <v>0</v>
      </c>
      <c r="O228" s="142">
        <v>0</v>
      </c>
      <c r="P228" s="141">
        <v>202411169</v>
      </c>
      <c r="Q228" s="141">
        <v>4772206087</v>
      </c>
      <c r="R228" s="142">
        <v>0</v>
      </c>
      <c r="S228" s="141">
        <v>98063436538</v>
      </c>
      <c r="T228" s="141">
        <v>97036883189</v>
      </c>
      <c r="U228" s="141">
        <v>1026553349</v>
      </c>
      <c r="V228" s="143">
        <v>0.98953174205146066</v>
      </c>
      <c r="W228" s="141">
        <v>81153751906</v>
      </c>
      <c r="X228" s="141">
        <v>15883131283</v>
      </c>
      <c r="Y228" s="143">
        <v>0.16368138341855248</v>
      </c>
      <c r="Z228" s="141">
        <v>81101737753</v>
      </c>
      <c r="AA228" s="141">
        <v>52014153</v>
      </c>
      <c r="AB228" s="724">
        <v>0.83578259201748151</v>
      </c>
    </row>
    <row r="229" spans="1:28" ht="24.95" customHeight="1">
      <c r="A229" s="32" t="e">
        <v>#REF!</v>
      </c>
      <c r="B229" s="144" t="s">
        <v>716</v>
      </c>
      <c r="C229" s="145" t="s">
        <v>167</v>
      </c>
      <c r="D229" s="145">
        <v>4103</v>
      </c>
      <c r="E229" s="145" t="s">
        <v>172</v>
      </c>
      <c r="F229" s="145">
        <v>22</v>
      </c>
      <c r="G229" s="145" t="s">
        <v>175</v>
      </c>
      <c r="H229" s="145" t="s">
        <v>221</v>
      </c>
      <c r="I229" s="145" t="s">
        <v>54</v>
      </c>
      <c r="J229" s="145" t="s">
        <v>144</v>
      </c>
      <c r="K229" s="146" t="s">
        <v>29</v>
      </c>
      <c r="L229" s="147" t="s">
        <v>178</v>
      </c>
      <c r="M229" s="148">
        <v>6561199369</v>
      </c>
      <c r="N229" s="148"/>
      <c r="O229" s="148"/>
      <c r="P229" s="148">
        <v>202411169</v>
      </c>
      <c r="Q229" s="148"/>
      <c r="R229" s="148"/>
      <c r="S229" s="148">
        <v>6763610538</v>
      </c>
      <c r="T229" s="148">
        <v>5737057189</v>
      </c>
      <c r="U229" s="148">
        <v>1026553349</v>
      </c>
      <c r="V229" s="150">
        <v>0.84822405973370074</v>
      </c>
      <c r="W229" s="148">
        <v>5146876906</v>
      </c>
      <c r="X229" s="148">
        <v>590180283</v>
      </c>
      <c r="Y229" s="150">
        <v>0.10287160534700397</v>
      </c>
      <c r="Z229" s="148">
        <v>5094862753</v>
      </c>
      <c r="AA229" s="148">
        <v>52014153</v>
      </c>
      <c r="AB229" s="150">
        <v>0.8880620473452282</v>
      </c>
    </row>
    <row r="230" spans="1:28" ht="24.95" customHeight="1">
      <c r="A230" s="32" t="e">
        <v>#REF!</v>
      </c>
      <c r="B230" s="144" t="s">
        <v>717</v>
      </c>
      <c r="C230" s="145" t="s">
        <v>167</v>
      </c>
      <c r="D230" s="145">
        <v>4103</v>
      </c>
      <c r="E230" s="145" t="s">
        <v>172</v>
      </c>
      <c r="F230" s="145">
        <v>22</v>
      </c>
      <c r="G230" s="145" t="s">
        <v>175</v>
      </c>
      <c r="H230" s="145" t="s">
        <v>221</v>
      </c>
      <c r="I230" s="145" t="s">
        <v>65</v>
      </c>
      <c r="J230" s="145" t="s">
        <v>144</v>
      </c>
      <c r="K230" s="146" t="s">
        <v>29</v>
      </c>
      <c r="L230" s="147" t="s">
        <v>127</v>
      </c>
      <c r="M230" s="148">
        <v>96072032087</v>
      </c>
      <c r="N230" s="148"/>
      <c r="O230" s="148"/>
      <c r="P230" s="148"/>
      <c r="Q230" s="148">
        <v>4772206087</v>
      </c>
      <c r="R230" s="148"/>
      <c r="S230" s="148">
        <v>91299826000</v>
      </c>
      <c r="T230" s="148">
        <v>91299826000</v>
      </c>
      <c r="U230" s="148">
        <v>0</v>
      </c>
      <c r="V230" s="150">
        <v>1</v>
      </c>
      <c r="W230" s="148">
        <v>76006875000</v>
      </c>
      <c r="X230" s="148">
        <v>15292951000</v>
      </c>
      <c r="Y230" s="150">
        <v>0.16750252076055436</v>
      </c>
      <c r="Z230" s="148">
        <v>76006875000</v>
      </c>
      <c r="AA230" s="148">
        <v>0</v>
      </c>
      <c r="AB230" s="150">
        <v>0.83249747923944561</v>
      </c>
    </row>
    <row r="231" spans="1:28" ht="32.25" customHeight="1">
      <c r="A231" s="32" t="e">
        <v>#REF!</v>
      </c>
      <c r="B231" s="138" t="s">
        <v>718</v>
      </c>
      <c r="C231" s="139" t="s">
        <v>167</v>
      </c>
      <c r="D231" s="139">
        <v>4103</v>
      </c>
      <c r="E231" s="139" t="s">
        <v>172</v>
      </c>
      <c r="F231" s="139">
        <v>22</v>
      </c>
      <c r="G231" s="139" t="s">
        <v>175</v>
      </c>
      <c r="H231" s="139">
        <v>4103062</v>
      </c>
      <c r="I231" s="139"/>
      <c r="J231" s="139" t="s">
        <v>144</v>
      </c>
      <c r="K231" s="140" t="s">
        <v>29</v>
      </c>
      <c r="L231" s="140" t="s">
        <v>245</v>
      </c>
      <c r="M231" s="141">
        <v>11724968367</v>
      </c>
      <c r="N231" s="142">
        <v>0</v>
      </c>
      <c r="O231" s="142">
        <v>0</v>
      </c>
      <c r="P231" s="141">
        <v>1895241731</v>
      </c>
      <c r="Q231" s="141">
        <v>10018588452</v>
      </c>
      <c r="R231" s="142">
        <v>0</v>
      </c>
      <c r="S231" s="141">
        <v>3601621646</v>
      </c>
      <c r="T231" s="141">
        <v>3601621646</v>
      </c>
      <c r="U231" s="141">
        <v>0</v>
      </c>
      <c r="V231" s="143">
        <v>1</v>
      </c>
      <c r="W231" s="141">
        <v>2694477607</v>
      </c>
      <c r="X231" s="142">
        <v>907144039</v>
      </c>
      <c r="Y231" s="143">
        <v>0.25187099816758485</v>
      </c>
      <c r="Z231" s="141">
        <v>2694477607</v>
      </c>
      <c r="AA231" s="141">
        <v>0</v>
      </c>
      <c r="AB231" s="724">
        <v>0.74812900183241515</v>
      </c>
    </row>
    <row r="232" spans="1:28" ht="24.95" customHeight="1">
      <c r="A232" s="32" t="e">
        <v>#REF!</v>
      </c>
      <c r="B232" s="144" t="s">
        <v>719</v>
      </c>
      <c r="C232" s="145" t="s">
        <v>167</v>
      </c>
      <c r="D232" s="145">
        <v>4103</v>
      </c>
      <c r="E232" s="145" t="s">
        <v>172</v>
      </c>
      <c r="F232" s="145">
        <v>22</v>
      </c>
      <c r="G232" s="145" t="s">
        <v>175</v>
      </c>
      <c r="H232" s="145" t="s">
        <v>246</v>
      </c>
      <c r="I232" s="145" t="s">
        <v>54</v>
      </c>
      <c r="J232" s="145" t="s">
        <v>144</v>
      </c>
      <c r="K232" s="146" t="s">
        <v>29</v>
      </c>
      <c r="L232" s="147" t="s">
        <v>178</v>
      </c>
      <c r="M232" s="148">
        <v>1706379915</v>
      </c>
      <c r="N232" s="148"/>
      <c r="O232" s="148"/>
      <c r="P232" s="148">
        <v>1895241731</v>
      </c>
      <c r="Q232" s="148"/>
      <c r="R232" s="148"/>
      <c r="S232" s="148">
        <v>3601621646</v>
      </c>
      <c r="T232" s="148">
        <v>3601621646</v>
      </c>
      <c r="U232" s="148">
        <v>0</v>
      </c>
      <c r="V232" s="150">
        <v>1</v>
      </c>
      <c r="W232" s="148">
        <v>2694477607</v>
      </c>
      <c r="X232" s="148">
        <v>907144039</v>
      </c>
      <c r="Y232" s="150">
        <v>0.25187099816758485</v>
      </c>
      <c r="Z232" s="148">
        <v>2694477607</v>
      </c>
      <c r="AA232" s="148">
        <v>0</v>
      </c>
      <c r="AB232" s="150">
        <v>0.74812900183241515</v>
      </c>
    </row>
    <row r="233" spans="1:28" ht="24.95" customHeight="1">
      <c r="A233" s="32" t="e">
        <v>#REF!</v>
      </c>
      <c r="B233" s="144" t="s">
        <v>720</v>
      </c>
      <c r="C233" s="145" t="s">
        <v>167</v>
      </c>
      <c r="D233" s="145">
        <v>4103</v>
      </c>
      <c r="E233" s="145" t="s">
        <v>172</v>
      </c>
      <c r="F233" s="145">
        <v>22</v>
      </c>
      <c r="G233" s="145" t="s">
        <v>175</v>
      </c>
      <c r="H233" s="145" t="s">
        <v>246</v>
      </c>
      <c r="I233" s="145" t="s">
        <v>65</v>
      </c>
      <c r="J233" s="145" t="s">
        <v>144</v>
      </c>
      <c r="K233" s="146" t="s">
        <v>29</v>
      </c>
      <c r="L233" s="147" t="s">
        <v>127</v>
      </c>
      <c r="M233" s="148">
        <v>10018588452</v>
      </c>
      <c r="N233" s="148"/>
      <c r="O233" s="148"/>
      <c r="P233" s="148"/>
      <c r="Q233" s="148">
        <v>10018588452</v>
      </c>
      <c r="R233" s="148"/>
      <c r="S233" s="148">
        <v>0</v>
      </c>
      <c r="T233" s="148">
        <v>0</v>
      </c>
      <c r="U233" s="148">
        <v>0</v>
      </c>
      <c r="V233" s="150">
        <v>0</v>
      </c>
      <c r="W233" s="148">
        <v>0</v>
      </c>
      <c r="X233" s="148">
        <v>0</v>
      </c>
      <c r="Y233" s="150">
        <v>0</v>
      </c>
      <c r="Z233" s="148">
        <v>0</v>
      </c>
      <c r="AA233" s="148">
        <v>0</v>
      </c>
      <c r="AB233" s="150">
        <v>0</v>
      </c>
    </row>
    <row r="234" spans="1:28" ht="39.75" customHeight="1">
      <c r="A234" s="32"/>
      <c r="B234" s="132" t="s">
        <v>685</v>
      </c>
      <c r="C234" s="133" t="s">
        <v>167</v>
      </c>
      <c r="D234" s="133" t="s">
        <v>190</v>
      </c>
      <c r="E234" s="133" t="s">
        <v>172</v>
      </c>
      <c r="F234" s="133">
        <v>23</v>
      </c>
      <c r="G234" s="133"/>
      <c r="H234" s="133"/>
      <c r="I234" s="133"/>
      <c r="J234" s="133"/>
      <c r="K234" s="134"/>
      <c r="L234" s="134" t="s">
        <v>273</v>
      </c>
      <c r="M234" s="135">
        <v>1769368130080</v>
      </c>
      <c r="N234" s="136">
        <v>0</v>
      </c>
      <c r="O234" s="136">
        <v>0</v>
      </c>
      <c r="P234" s="135">
        <v>2000000000</v>
      </c>
      <c r="Q234" s="135">
        <v>2000000000</v>
      </c>
      <c r="R234" s="136">
        <v>0</v>
      </c>
      <c r="S234" s="135">
        <v>1769368130080</v>
      </c>
      <c r="T234" s="135">
        <v>1595894051911.3799</v>
      </c>
      <c r="U234" s="135">
        <v>173474078168.62</v>
      </c>
      <c r="V234" s="137">
        <v>0.90195704601010496</v>
      </c>
      <c r="W234" s="135">
        <v>1553158101817.1699</v>
      </c>
      <c r="X234" s="135">
        <v>42735950094.209999</v>
      </c>
      <c r="Y234" s="137">
        <v>2.6778688750061917E-2</v>
      </c>
      <c r="Z234" s="135">
        <v>1540846626817.1699</v>
      </c>
      <c r="AA234" s="135">
        <v>12311475000</v>
      </c>
      <c r="AB234" s="723">
        <v>0.9655068423694666</v>
      </c>
    </row>
    <row r="235" spans="1:28" ht="32.25" customHeight="1">
      <c r="A235" s="32"/>
      <c r="B235" s="138" t="s">
        <v>721</v>
      </c>
      <c r="C235" s="139" t="s">
        <v>167</v>
      </c>
      <c r="D235" s="139" t="s">
        <v>190</v>
      </c>
      <c r="E235" s="139" t="s">
        <v>172</v>
      </c>
      <c r="F235" s="139">
        <v>23</v>
      </c>
      <c r="G235" s="139" t="s">
        <v>175</v>
      </c>
      <c r="H235" s="139">
        <v>4103065</v>
      </c>
      <c r="I235" s="139"/>
      <c r="J235" s="139">
        <v>11</v>
      </c>
      <c r="K235" s="140" t="s">
        <v>29</v>
      </c>
      <c r="L235" s="140" t="s">
        <v>248</v>
      </c>
      <c r="M235" s="141">
        <v>1769368130080</v>
      </c>
      <c r="N235" s="142">
        <v>0</v>
      </c>
      <c r="O235" s="142">
        <v>0</v>
      </c>
      <c r="P235" s="141">
        <v>2000000000</v>
      </c>
      <c r="Q235" s="141">
        <v>2000000000</v>
      </c>
      <c r="R235" s="142">
        <v>0</v>
      </c>
      <c r="S235" s="141">
        <v>1769368130080</v>
      </c>
      <c r="T235" s="141">
        <v>1595894051911.3799</v>
      </c>
      <c r="U235" s="141">
        <v>173474078168.62</v>
      </c>
      <c r="V235" s="143">
        <v>0.90195704601010496</v>
      </c>
      <c r="W235" s="141">
        <v>1553158101817.1699</v>
      </c>
      <c r="X235" s="141">
        <v>42735950094.209999</v>
      </c>
      <c r="Y235" s="143">
        <v>2.6778688750061917E-2</v>
      </c>
      <c r="Z235" s="141">
        <v>1540846626817.1699</v>
      </c>
      <c r="AA235" s="141">
        <v>12311475000</v>
      </c>
      <c r="AB235" s="724">
        <v>0.9655068423694666</v>
      </c>
    </row>
    <row r="236" spans="1:28" ht="24.95" customHeight="1">
      <c r="A236" s="32"/>
      <c r="B236" s="144" t="s">
        <v>722</v>
      </c>
      <c r="C236" s="145" t="s">
        <v>167</v>
      </c>
      <c r="D236" s="145" t="s">
        <v>190</v>
      </c>
      <c r="E236" s="145" t="s">
        <v>172</v>
      </c>
      <c r="F236" s="145">
        <v>23</v>
      </c>
      <c r="G236" s="145" t="s">
        <v>175</v>
      </c>
      <c r="H236" s="145">
        <v>4103065</v>
      </c>
      <c r="I236" s="145" t="s">
        <v>54</v>
      </c>
      <c r="J236" s="145">
        <v>11</v>
      </c>
      <c r="K236" s="146" t="s">
        <v>29</v>
      </c>
      <c r="L236" s="147" t="s">
        <v>178</v>
      </c>
      <c r="M236" s="148">
        <v>19400000000</v>
      </c>
      <c r="N236" s="148"/>
      <c r="O236" s="148"/>
      <c r="P236" s="148">
        <v>2000000000</v>
      </c>
      <c r="Q236" s="148"/>
      <c r="R236" s="148"/>
      <c r="S236" s="148">
        <v>21400000000</v>
      </c>
      <c r="T236" s="148">
        <v>13711518777.09</v>
      </c>
      <c r="U236" s="148">
        <v>7688481222.9099998</v>
      </c>
      <c r="V236" s="150">
        <v>0.64072517649953276</v>
      </c>
      <c r="W236" s="148">
        <v>2271895633.1199999</v>
      </c>
      <c r="X236" s="148">
        <v>11439623143.970001</v>
      </c>
      <c r="Y236" s="150">
        <v>0.83430751399210323</v>
      </c>
      <c r="Z236" s="148">
        <v>2271895633.1199999</v>
      </c>
      <c r="AA236" s="148">
        <v>0</v>
      </c>
      <c r="AB236" s="150">
        <v>0.16569248600789685</v>
      </c>
    </row>
    <row r="237" spans="1:28" ht="24.95" customHeight="1">
      <c r="A237" s="32"/>
      <c r="B237" s="144" t="s">
        <v>722</v>
      </c>
      <c r="C237" s="145" t="s">
        <v>167</v>
      </c>
      <c r="D237" s="145" t="s">
        <v>190</v>
      </c>
      <c r="E237" s="145" t="s">
        <v>172</v>
      </c>
      <c r="F237" s="145">
        <v>23</v>
      </c>
      <c r="G237" s="145" t="s">
        <v>175</v>
      </c>
      <c r="H237" s="145">
        <v>4103065</v>
      </c>
      <c r="I237" s="145" t="s">
        <v>54</v>
      </c>
      <c r="J237" s="145">
        <v>16</v>
      </c>
      <c r="K237" s="146" t="s">
        <v>156</v>
      </c>
      <c r="L237" s="147" t="s">
        <v>178</v>
      </c>
      <c r="M237" s="148">
        <v>68256379176</v>
      </c>
      <c r="N237" s="148"/>
      <c r="O237" s="148"/>
      <c r="P237" s="148"/>
      <c r="Q237" s="148"/>
      <c r="R237" s="148"/>
      <c r="S237" s="148">
        <v>68256379176</v>
      </c>
      <c r="T237" s="148">
        <v>68045733134.290001</v>
      </c>
      <c r="U237" s="148">
        <v>210646041.70999908</v>
      </c>
      <c r="V237" s="150">
        <v>0.99691389956143373</v>
      </c>
      <c r="W237" s="148">
        <v>47261806184.050003</v>
      </c>
      <c r="X237" s="148">
        <v>20783926950.239998</v>
      </c>
      <c r="Y237" s="150">
        <v>0.30544056170608647</v>
      </c>
      <c r="Z237" s="148">
        <v>47261806184.050003</v>
      </c>
      <c r="AA237" s="148">
        <v>0</v>
      </c>
      <c r="AB237" s="150">
        <v>0.69455943829391353</v>
      </c>
    </row>
    <row r="238" spans="1:28" ht="24.95" customHeight="1">
      <c r="A238" s="32"/>
      <c r="B238" s="144" t="s">
        <v>723</v>
      </c>
      <c r="C238" s="145" t="s">
        <v>167</v>
      </c>
      <c r="D238" s="145" t="s">
        <v>190</v>
      </c>
      <c r="E238" s="145" t="s">
        <v>172</v>
      </c>
      <c r="F238" s="145">
        <v>23</v>
      </c>
      <c r="G238" s="145" t="s">
        <v>175</v>
      </c>
      <c r="H238" s="145">
        <v>4103065</v>
      </c>
      <c r="I238" s="145" t="s">
        <v>65</v>
      </c>
      <c r="J238" s="145">
        <v>11</v>
      </c>
      <c r="K238" s="146" t="s">
        <v>29</v>
      </c>
      <c r="L238" s="147" t="s">
        <v>127</v>
      </c>
      <c r="M238" s="148">
        <v>368600000000</v>
      </c>
      <c r="N238" s="148"/>
      <c r="O238" s="148"/>
      <c r="P238" s="148"/>
      <c r="Q238" s="148">
        <v>2000000000</v>
      </c>
      <c r="R238" s="148"/>
      <c r="S238" s="148">
        <v>366600000000</v>
      </c>
      <c r="T238" s="148">
        <v>362084400000</v>
      </c>
      <c r="U238" s="148">
        <v>4515600000</v>
      </c>
      <c r="V238" s="150">
        <v>0.98768248772504097</v>
      </c>
      <c r="W238" s="148">
        <v>351572000000</v>
      </c>
      <c r="X238" s="148">
        <v>10512400000</v>
      </c>
      <c r="Y238" s="150">
        <v>2.903300998330776E-2</v>
      </c>
      <c r="Z238" s="148">
        <v>351572000000</v>
      </c>
      <c r="AA238" s="148">
        <v>0</v>
      </c>
      <c r="AB238" s="150">
        <v>0.97096699001669229</v>
      </c>
    </row>
    <row r="239" spans="1:28" ht="24.95" customHeight="1">
      <c r="A239" s="32"/>
      <c r="B239" s="144" t="s">
        <v>723</v>
      </c>
      <c r="C239" s="145" t="s">
        <v>167</v>
      </c>
      <c r="D239" s="145" t="s">
        <v>190</v>
      </c>
      <c r="E239" s="145" t="s">
        <v>172</v>
      </c>
      <c r="F239" s="145">
        <v>23</v>
      </c>
      <c r="G239" s="145" t="s">
        <v>175</v>
      </c>
      <c r="H239" s="145">
        <v>4103065</v>
      </c>
      <c r="I239" s="145" t="s">
        <v>65</v>
      </c>
      <c r="J239" s="145">
        <v>16</v>
      </c>
      <c r="K239" s="146" t="s">
        <v>156</v>
      </c>
      <c r="L239" s="147" t="s">
        <v>127</v>
      </c>
      <c r="M239" s="148">
        <v>1313111750904</v>
      </c>
      <c r="N239" s="148"/>
      <c r="O239" s="148"/>
      <c r="P239" s="148"/>
      <c r="Q239" s="148"/>
      <c r="R239" s="148"/>
      <c r="S239" s="148">
        <v>1313111750904</v>
      </c>
      <c r="T239" s="148">
        <v>1152052400000</v>
      </c>
      <c r="U239" s="148">
        <v>161059350904</v>
      </c>
      <c r="V239" s="150">
        <v>0.87734528246120702</v>
      </c>
      <c r="W239" s="148">
        <v>1152052400000</v>
      </c>
      <c r="X239" s="148">
        <v>0</v>
      </c>
      <c r="Y239" s="150">
        <v>0</v>
      </c>
      <c r="Z239" s="148">
        <v>1139740925000</v>
      </c>
      <c r="AA239" s="148">
        <v>12311475000</v>
      </c>
      <c r="AB239" s="150">
        <v>0.98931344181913949</v>
      </c>
    </row>
    <row r="240" spans="1:28" ht="36.75" customHeight="1">
      <c r="A240" s="32" t="e">
        <v>#REF!</v>
      </c>
      <c r="B240" s="124" t="s">
        <v>544</v>
      </c>
      <c r="C240" s="123" t="s">
        <v>167</v>
      </c>
      <c r="D240" s="123">
        <v>4199</v>
      </c>
      <c r="E240" s="123"/>
      <c r="F240" s="123"/>
      <c r="G240" s="123"/>
      <c r="H240" s="123"/>
      <c r="I240" s="123"/>
      <c r="J240" s="124"/>
      <c r="K240" s="124"/>
      <c r="L240" s="124" t="s">
        <v>250</v>
      </c>
      <c r="M240" s="125">
        <v>3226548466</v>
      </c>
      <c r="N240" s="719">
        <v>0</v>
      </c>
      <c r="O240" s="719">
        <v>0</v>
      </c>
      <c r="P240" s="719">
        <v>0</v>
      </c>
      <c r="Q240" s="719">
        <v>0</v>
      </c>
      <c r="R240" s="719">
        <v>0</v>
      </c>
      <c r="S240" s="125">
        <v>3226548466</v>
      </c>
      <c r="T240" s="125">
        <v>2716150985.9400001</v>
      </c>
      <c r="U240" s="125">
        <v>510397480.05999994</v>
      </c>
      <c r="V240" s="126">
        <v>0.8418131680220049</v>
      </c>
      <c r="W240" s="125">
        <v>2586383534.5500002</v>
      </c>
      <c r="X240" s="125">
        <v>129767451.38999987</v>
      </c>
      <c r="Y240" s="126">
        <v>4.7776228958453945E-2</v>
      </c>
      <c r="Z240" s="125">
        <v>2586383534.5500002</v>
      </c>
      <c r="AA240" s="125">
        <v>0</v>
      </c>
      <c r="AB240" s="720">
        <v>0.9522237710415461</v>
      </c>
    </row>
    <row r="241" spans="1:51" ht="24" customHeight="1">
      <c r="A241" s="32" t="e">
        <v>#REF!</v>
      </c>
      <c r="B241" s="129" t="s">
        <v>300</v>
      </c>
      <c r="C241" s="128" t="s">
        <v>167</v>
      </c>
      <c r="D241" s="128">
        <v>4199</v>
      </c>
      <c r="E241" s="128">
        <v>1500</v>
      </c>
      <c r="F241" s="128"/>
      <c r="G241" s="128"/>
      <c r="H241" s="128"/>
      <c r="I241" s="128"/>
      <c r="J241" s="129"/>
      <c r="K241" s="129"/>
      <c r="L241" s="129" t="s">
        <v>170</v>
      </c>
      <c r="M241" s="130">
        <v>3226548466</v>
      </c>
      <c r="N241" s="721">
        <v>0</v>
      </c>
      <c r="O241" s="721">
        <v>0</v>
      </c>
      <c r="P241" s="721">
        <v>0</v>
      </c>
      <c r="Q241" s="721">
        <v>0</v>
      </c>
      <c r="R241" s="721">
        <v>0</v>
      </c>
      <c r="S241" s="130">
        <v>3226548466</v>
      </c>
      <c r="T241" s="130">
        <v>2716150985.9400001</v>
      </c>
      <c r="U241" s="130">
        <v>510397480.05999994</v>
      </c>
      <c r="V241" s="131">
        <v>0.8418131680220049</v>
      </c>
      <c r="W241" s="130">
        <v>2586383534.5500002</v>
      </c>
      <c r="X241" s="130">
        <v>129767451.38999987</v>
      </c>
      <c r="Y241" s="131">
        <v>4.7776228958453945E-2</v>
      </c>
      <c r="Z241" s="130">
        <v>2586383534.5500002</v>
      </c>
      <c r="AA241" s="130">
        <v>0</v>
      </c>
      <c r="AB241" s="722">
        <v>0.9522237710415461</v>
      </c>
    </row>
    <row r="242" spans="1:51" ht="37.5" customHeight="1">
      <c r="A242" s="32" t="e">
        <v>#REF!</v>
      </c>
      <c r="B242" s="132" t="s">
        <v>547</v>
      </c>
      <c r="C242" s="133" t="s">
        <v>167</v>
      </c>
      <c r="D242" s="133" t="s">
        <v>251</v>
      </c>
      <c r="E242" s="133" t="s">
        <v>172</v>
      </c>
      <c r="F242" s="133" t="s">
        <v>252</v>
      </c>
      <c r="G242" s="133"/>
      <c r="H242" s="133"/>
      <c r="I242" s="133"/>
      <c r="J242" s="133"/>
      <c r="K242" s="134"/>
      <c r="L242" s="134" t="s">
        <v>274</v>
      </c>
      <c r="M242" s="135">
        <v>3226548466</v>
      </c>
      <c r="N242" s="136">
        <v>0</v>
      </c>
      <c r="O242" s="136">
        <v>0</v>
      </c>
      <c r="P242" s="136">
        <v>0</v>
      </c>
      <c r="Q242" s="136">
        <v>0</v>
      </c>
      <c r="R242" s="136">
        <v>0</v>
      </c>
      <c r="S242" s="135">
        <v>3226548466</v>
      </c>
      <c r="T242" s="135">
        <v>2716150985.9400001</v>
      </c>
      <c r="U242" s="135">
        <v>510397480.05999994</v>
      </c>
      <c r="V242" s="137">
        <v>0.8418131680220049</v>
      </c>
      <c r="W242" s="135">
        <v>2586383534.5500002</v>
      </c>
      <c r="X242" s="135">
        <v>129767451.38999987</v>
      </c>
      <c r="Y242" s="137">
        <v>4.7776228958453945E-2</v>
      </c>
      <c r="Z242" s="135">
        <v>2586383534.5500002</v>
      </c>
      <c r="AA242" s="135">
        <v>0</v>
      </c>
      <c r="AB242" s="723">
        <v>0.9522237710415461</v>
      </c>
    </row>
    <row r="243" spans="1:51" ht="32.25" customHeight="1">
      <c r="A243" s="32" t="e">
        <v>#REF!</v>
      </c>
      <c r="B243" s="138" t="s">
        <v>548</v>
      </c>
      <c r="C243" s="139" t="s">
        <v>167</v>
      </c>
      <c r="D243" s="139" t="s">
        <v>251</v>
      </c>
      <c r="E243" s="139" t="s">
        <v>172</v>
      </c>
      <c r="F243" s="139" t="s">
        <v>252</v>
      </c>
      <c r="G243" s="139" t="s">
        <v>175</v>
      </c>
      <c r="H243" s="139" t="s">
        <v>254</v>
      </c>
      <c r="I243" s="139"/>
      <c r="J243" s="139">
        <v>11</v>
      </c>
      <c r="K243" s="140" t="s">
        <v>29</v>
      </c>
      <c r="L243" s="140" t="s">
        <v>255</v>
      </c>
      <c r="M243" s="141">
        <v>3226548466</v>
      </c>
      <c r="N243" s="142">
        <v>0</v>
      </c>
      <c r="O243" s="142">
        <v>0</v>
      </c>
      <c r="P243" s="142">
        <v>0</v>
      </c>
      <c r="Q243" s="142">
        <v>0</v>
      </c>
      <c r="R243" s="142">
        <v>0</v>
      </c>
      <c r="S243" s="141">
        <v>3226548466</v>
      </c>
      <c r="T243" s="141">
        <v>2716150985.9400001</v>
      </c>
      <c r="U243" s="141">
        <v>510397480.05999994</v>
      </c>
      <c r="V243" s="143">
        <v>0.8418131680220049</v>
      </c>
      <c r="W243" s="141">
        <v>2586383534.5500002</v>
      </c>
      <c r="X243" s="141">
        <v>129767451.38999987</v>
      </c>
      <c r="Y243" s="143">
        <v>4.7776228958453945E-2</v>
      </c>
      <c r="Z243" s="141">
        <v>2586383534.5500002</v>
      </c>
      <c r="AA243" s="141">
        <v>0</v>
      </c>
      <c r="AB243" s="724">
        <v>0.9522237710415461</v>
      </c>
    </row>
    <row r="244" spans="1:51" ht="24.95" customHeight="1">
      <c r="A244" s="32" t="e">
        <v>#REF!</v>
      </c>
      <c r="B244" s="144" t="s">
        <v>549</v>
      </c>
      <c r="C244" s="145" t="s">
        <v>167</v>
      </c>
      <c r="D244" s="145" t="s">
        <v>251</v>
      </c>
      <c r="E244" s="145" t="s">
        <v>172</v>
      </c>
      <c r="F244" s="145" t="s">
        <v>252</v>
      </c>
      <c r="G244" s="145" t="s">
        <v>175</v>
      </c>
      <c r="H244" s="145" t="s">
        <v>254</v>
      </c>
      <c r="I244" s="145" t="s">
        <v>54</v>
      </c>
      <c r="J244" s="145">
        <v>11</v>
      </c>
      <c r="K244" s="146" t="s">
        <v>29</v>
      </c>
      <c r="L244" s="147" t="s">
        <v>178</v>
      </c>
      <c r="M244" s="148">
        <v>3226548466</v>
      </c>
      <c r="N244" s="148"/>
      <c r="O244" s="148"/>
      <c r="P244" s="148"/>
      <c r="Q244" s="148"/>
      <c r="R244" s="148"/>
      <c r="S244" s="148">
        <v>3226548466</v>
      </c>
      <c r="T244" s="148">
        <v>2716150985.9400001</v>
      </c>
      <c r="U244" s="148">
        <v>510397480.05999994</v>
      </c>
      <c r="V244" s="150">
        <v>0.8418131680220049</v>
      </c>
      <c r="W244" s="148">
        <v>2586383534.5500002</v>
      </c>
      <c r="X244" s="148">
        <v>129767451.38999987</v>
      </c>
      <c r="Y244" s="150">
        <v>4.7776228958453945E-2</v>
      </c>
      <c r="Z244" s="148">
        <v>2586383534.5500002</v>
      </c>
      <c r="AA244" s="148">
        <v>0</v>
      </c>
      <c r="AB244" s="150">
        <v>0.9522237710415461</v>
      </c>
    </row>
    <row r="245" spans="1:51" ht="35.1" customHeight="1">
      <c r="A245" s="32"/>
      <c r="B245" s="118"/>
      <c r="C245" s="118"/>
      <c r="D245" s="119"/>
      <c r="E245" s="119"/>
      <c r="F245" s="119"/>
      <c r="G245" s="119"/>
      <c r="H245" s="119"/>
      <c r="I245" s="119"/>
      <c r="J245" s="119"/>
      <c r="K245" s="119"/>
      <c r="L245" s="119" t="s">
        <v>256</v>
      </c>
      <c r="M245" s="120">
        <v>6409808633098</v>
      </c>
      <c r="N245" s="120">
        <v>6045796693840</v>
      </c>
      <c r="O245" s="717">
        <v>0</v>
      </c>
      <c r="P245" s="120">
        <v>149409788510.22</v>
      </c>
      <c r="Q245" s="120">
        <v>149409788510.22</v>
      </c>
      <c r="R245" s="120">
        <v>13784531058</v>
      </c>
      <c r="S245" s="120">
        <v>12441820795880</v>
      </c>
      <c r="T245" s="120">
        <v>11062947971294.441</v>
      </c>
      <c r="U245" s="120">
        <v>1378872824585.5603</v>
      </c>
      <c r="V245" s="121">
        <v>0.88917435420367408</v>
      </c>
      <c r="W245" s="120">
        <v>10240533423159.82</v>
      </c>
      <c r="X245" s="120">
        <v>822414548134.62012</v>
      </c>
      <c r="Y245" s="121">
        <v>7.4339547674686562E-2</v>
      </c>
      <c r="Z245" s="120">
        <v>10223073496603.18</v>
      </c>
      <c r="AA245" s="120">
        <v>17459926556.640015</v>
      </c>
      <c r="AB245" s="718">
        <v>0.92408221778946043</v>
      </c>
    </row>
    <row r="246" spans="1:51" s="90" customFormat="1" ht="16.5">
      <c r="A246" s="32"/>
      <c r="B246" s="32"/>
      <c r="C246" s="82"/>
      <c r="D246" s="82"/>
      <c r="E246" s="82"/>
      <c r="F246" s="82"/>
      <c r="G246" s="82"/>
      <c r="H246" s="83"/>
      <c r="I246" s="84"/>
      <c r="J246" s="84"/>
      <c r="K246" s="85"/>
      <c r="L246" s="84"/>
      <c r="M246" s="86"/>
      <c r="N246" s="86"/>
      <c r="O246" s="86"/>
      <c r="P246" s="86"/>
      <c r="Q246" s="86"/>
      <c r="R246" s="86"/>
      <c r="S246" s="86"/>
      <c r="T246" s="86"/>
      <c r="U246" s="86"/>
      <c r="V246" s="87"/>
      <c r="W246" s="86"/>
      <c r="X246" s="86"/>
      <c r="Y246" s="87"/>
      <c r="Z246" s="86"/>
      <c r="AA246" s="86"/>
      <c r="AB246" s="89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</row>
    <row r="247" spans="1:51" s="8" customFormat="1" ht="16.5">
      <c r="A247" s="32" t="e">
        <v>#REF!</v>
      </c>
      <c r="B247" s="32"/>
      <c r="C247" s="91"/>
      <c r="D247" s="91"/>
      <c r="E247" s="91"/>
      <c r="F247" s="91"/>
      <c r="G247" s="91"/>
      <c r="H247" s="92"/>
      <c r="I247" s="93"/>
      <c r="J247" s="93"/>
      <c r="K247" s="94"/>
      <c r="L247" s="93"/>
      <c r="M247" s="95">
        <v>6409808633098</v>
      </c>
      <c r="N247" s="95">
        <v>6045796693840</v>
      </c>
      <c r="O247" s="95"/>
      <c r="P247" s="95">
        <v>149409788510.22</v>
      </c>
      <c r="Q247" s="95">
        <v>149409788510.22</v>
      </c>
      <c r="R247" s="95">
        <v>13784531058</v>
      </c>
      <c r="S247" s="95">
        <v>12441820795880</v>
      </c>
      <c r="T247" s="95">
        <v>11062947971294.439</v>
      </c>
      <c r="U247" s="95">
        <v>1378872824585.5586</v>
      </c>
      <c r="V247" s="361">
        <v>0.88917435420367408</v>
      </c>
      <c r="W247" s="95">
        <v>10240533423159.82</v>
      </c>
      <c r="X247" s="95">
        <v>822414548134.61914</v>
      </c>
      <c r="Y247" s="361">
        <v>7.4339547674686562E-2</v>
      </c>
      <c r="Z247" s="95">
        <v>10223073496603.18</v>
      </c>
      <c r="AA247" s="95">
        <v>17459926556.640625</v>
      </c>
      <c r="AB247" s="361">
        <v>0.92408221778946043</v>
      </c>
    </row>
    <row r="248" spans="1:51" s="8" customFormat="1" ht="16.5">
      <c r="A248" s="32"/>
      <c r="B248" s="32"/>
      <c r="C248" s="94"/>
      <c r="D248" s="93"/>
      <c r="E248" s="93"/>
      <c r="F248" s="93"/>
      <c r="G248" s="93"/>
      <c r="H248" s="93"/>
      <c r="I248" s="93"/>
      <c r="J248" s="93"/>
      <c r="K248" s="94"/>
      <c r="L248" s="97"/>
      <c r="M248" s="362">
        <v>0</v>
      </c>
      <c r="N248" s="362">
        <v>0</v>
      </c>
      <c r="O248" s="731"/>
      <c r="P248" s="362">
        <v>0</v>
      </c>
      <c r="Q248" s="362">
        <v>0</v>
      </c>
      <c r="R248" s="362">
        <v>0</v>
      </c>
      <c r="S248" s="362">
        <v>0</v>
      </c>
      <c r="T248" s="362">
        <v>0</v>
      </c>
      <c r="U248" s="362">
        <v>0</v>
      </c>
      <c r="V248" s="363"/>
      <c r="W248" s="362">
        <v>0</v>
      </c>
      <c r="X248" s="362">
        <v>9.765625E-4</v>
      </c>
      <c r="Y248" s="363"/>
      <c r="Z248" s="362">
        <v>0</v>
      </c>
      <c r="AA248" s="362">
        <v>-6.103515625E-4</v>
      </c>
      <c r="AB248" s="363"/>
    </row>
    <row r="249" spans="1:51" s="374" customFormat="1" ht="16.5">
      <c r="A249" s="369"/>
      <c r="B249" s="375"/>
      <c r="C249" s="370"/>
      <c r="D249" s="371"/>
      <c r="E249" s="371"/>
      <c r="F249" s="371"/>
      <c r="G249" s="371"/>
      <c r="H249" s="371"/>
      <c r="I249" s="371"/>
      <c r="J249" s="371"/>
      <c r="K249" s="370"/>
      <c r="L249" s="86"/>
      <c r="M249" s="359"/>
      <c r="N249" s="359"/>
      <c r="O249" s="359"/>
      <c r="P249" s="359"/>
      <c r="Q249" s="359"/>
      <c r="R249" s="359"/>
      <c r="S249" s="359"/>
      <c r="T249" s="359"/>
      <c r="U249" s="359"/>
      <c r="V249" s="372"/>
      <c r="W249" s="359"/>
      <c r="X249" s="359"/>
      <c r="Y249" s="372"/>
      <c r="Z249" s="359"/>
      <c r="AA249" s="359"/>
      <c r="AB249" s="37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</row>
    <row r="250" spans="1:51" ht="18">
      <c r="A250" s="30"/>
      <c r="B250" s="31"/>
      <c r="C250" s="312"/>
      <c r="D250" s="317"/>
      <c r="E250" s="312"/>
      <c r="F250" s="312"/>
      <c r="G250" s="312"/>
      <c r="H250" s="312"/>
      <c r="I250" s="312"/>
      <c r="J250" s="312"/>
      <c r="K250" s="317"/>
      <c r="L250" s="312"/>
      <c r="M250" s="335"/>
      <c r="N250" s="364"/>
      <c r="O250" s="332"/>
      <c r="P250" s="332"/>
      <c r="Q250" s="633"/>
      <c r="R250" s="633"/>
      <c r="S250" s="359"/>
      <c r="T250" s="332"/>
      <c r="U250" s="332"/>
      <c r="V250" s="333"/>
      <c r="W250" s="332"/>
      <c r="X250" s="332"/>
      <c r="Y250" s="333"/>
      <c r="Z250" s="332"/>
      <c r="AA250" s="332"/>
      <c r="AB250" s="333"/>
    </row>
    <row r="251" spans="1:51" ht="18">
      <c r="A251" s="30"/>
      <c r="B251" s="31"/>
      <c r="C251" s="312"/>
      <c r="D251" s="317"/>
      <c r="E251" s="312"/>
      <c r="F251" s="312"/>
      <c r="G251" s="312"/>
      <c r="H251" s="312"/>
      <c r="I251" s="312"/>
      <c r="J251" s="312"/>
      <c r="K251" s="317"/>
      <c r="L251" s="312"/>
      <c r="M251" s="332"/>
      <c r="N251" s="632"/>
      <c r="O251" s="332"/>
      <c r="P251" s="359"/>
      <c r="Q251" s="633"/>
      <c r="R251" s="633"/>
      <c r="S251" s="332"/>
      <c r="T251" s="332"/>
      <c r="U251" s="332"/>
      <c r="V251" s="333"/>
      <c r="W251" s="332"/>
      <c r="X251" s="332"/>
      <c r="Y251" s="333"/>
      <c r="Z251" s="332"/>
      <c r="AA251" s="332"/>
      <c r="AB251" s="333"/>
    </row>
    <row r="252" spans="1:51" ht="18">
      <c r="A252" s="1"/>
      <c r="B252" s="2"/>
      <c r="C252" s="312"/>
      <c r="D252" s="312"/>
      <c r="E252" s="312"/>
      <c r="F252" s="312"/>
      <c r="G252" s="312"/>
      <c r="H252" s="312"/>
      <c r="I252" s="312"/>
      <c r="J252" s="312"/>
      <c r="K252" s="317"/>
      <c r="L252" s="312"/>
      <c r="M252" s="332"/>
      <c r="N252" s="632"/>
      <c r="O252" s="332"/>
      <c r="P252" s="332"/>
      <c r="Q252" s="332"/>
      <c r="R252" s="332"/>
      <c r="S252" s="332"/>
      <c r="T252" s="332"/>
      <c r="U252" s="332"/>
      <c r="V252" s="333"/>
      <c r="W252" s="332"/>
      <c r="X252" s="631"/>
      <c r="Y252" s="333"/>
      <c r="Z252" s="332"/>
      <c r="AA252" s="332"/>
      <c r="AB252" s="333"/>
      <c r="AC252" s="315"/>
    </row>
    <row r="253" spans="1:51" ht="30">
      <c r="A253" s="1"/>
      <c r="B253" s="2"/>
      <c r="C253" s="318"/>
      <c r="D253" s="318"/>
      <c r="E253" s="318"/>
      <c r="F253" s="318"/>
      <c r="G253" s="318"/>
      <c r="H253" s="318"/>
      <c r="I253" s="312"/>
      <c r="J253" s="312"/>
      <c r="K253" s="317"/>
      <c r="L253" s="336" t="s">
        <v>738</v>
      </c>
      <c r="M253" s="628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20"/>
      <c r="Z253" s="376"/>
      <c r="AA253" s="319"/>
      <c r="AB253" s="319"/>
    </row>
    <row r="254" spans="1:51" ht="30">
      <c r="A254" s="1"/>
      <c r="B254" s="2"/>
      <c r="C254" s="321"/>
      <c r="D254" s="322"/>
      <c r="E254" s="322"/>
      <c r="F254" s="322"/>
      <c r="G254" s="322"/>
      <c r="H254" s="322"/>
      <c r="I254" s="322"/>
      <c r="J254" s="322"/>
      <c r="K254" s="321"/>
      <c r="L254" s="337" t="s">
        <v>739</v>
      </c>
      <c r="M254" s="628"/>
      <c r="O254" s="323"/>
      <c r="P254" s="323"/>
      <c r="Q254" s="323"/>
      <c r="R254" s="323"/>
      <c r="S254" s="360"/>
      <c r="T254" s="323"/>
      <c r="U254" s="323"/>
      <c r="V254" s="323"/>
      <c r="W254" s="323"/>
      <c r="X254" s="323"/>
      <c r="Y254" s="324"/>
      <c r="Z254" s="323"/>
      <c r="AA254" s="323"/>
      <c r="AB254" s="323"/>
    </row>
    <row r="255" spans="1:51" ht="30">
      <c r="A255" s="325"/>
      <c r="B255" s="313"/>
      <c r="C255" s="308"/>
      <c r="D255" s="308"/>
      <c r="E255" s="308"/>
      <c r="F255" s="308"/>
      <c r="G255" s="308"/>
      <c r="H255" s="308"/>
      <c r="I255" s="308"/>
      <c r="J255" s="308"/>
      <c r="K255" s="336"/>
      <c r="L255" s="308"/>
      <c r="M255" s="628"/>
      <c r="O255" s="309"/>
      <c r="P255" s="309"/>
      <c r="Q255" s="630"/>
      <c r="R255" s="630"/>
      <c r="S255" s="334"/>
      <c r="T255" s="334"/>
      <c r="U255" s="629"/>
      <c r="V255" s="329"/>
      <c r="W255" s="329"/>
      <c r="X255" s="329"/>
      <c r="Y255" s="329"/>
    </row>
    <row r="256" spans="1:51" ht="16.5">
      <c r="M256" s="628"/>
      <c r="N256" s="628"/>
    </row>
    <row r="257" spans="13:14" ht="16.5">
      <c r="M257" s="628"/>
      <c r="N257" s="628"/>
    </row>
    <row r="258" spans="13:14" ht="16.5">
      <c r="M258" s="628"/>
    </row>
    <row r="259" spans="13:14" ht="16.5">
      <c r="M259" s="628"/>
    </row>
    <row r="260" spans="13:14" ht="16.5">
      <c r="M260" s="628"/>
    </row>
  </sheetData>
  <sheetProtection selectLockedCells="1" selectUnlockedCells="1"/>
  <autoFilter ref="A6:AB248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9B9ED-535E-4ADD-9460-359C1542DAE2}">
  <sheetPr>
    <tabColor theme="7" tint="0.59999389629810485"/>
    <pageSetUpPr fitToPage="1"/>
  </sheetPr>
  <dimension ref="A1:AS24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3.85546875" style="9" customWidth="1"/>
    <col min="11" max="11" width="6.28515625" style="111" customWidth="1"/>
    <col min="12" max="12" width="68.7109375" style="9" customWidth="1"/>
    <col min="13" max="13" width="23.7109375" style="13" bestFit="1" customWidth="1"/>
    <col min="14" max="14" width="20.85546875" style="13" bestFit="1" customWidth="1"/>
    <col min="15" max="15" width="12.85546875" style="13" customWidth="1"/>
    <col min="16" max="16" width="20.7109375" style="13" bestFit="1" customWidth="1"/>
    <col min="17" max="18" width="20.7109375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5"/>
      <c r="R1" s="5">
        <v>16</v>
      </c>
      <c r="S1" s="7"/>
    </row>
    <row r="2" spans="1:19" ht="30">
      <c r="A2" s="1"/>
      <c r="B2" s="2"/>
      <c r="D2" s="10"/>
      <c r="E2" s="10"/>
      <c r="F2" s="10"/>
      <c r="G2" s="10"/>
      <c r="H2" s="10"/>
      <c r="I2" s="10"/>
      <c r="J2" s="10"/>
      <c r="K2" s="12"/>
      <c r="L2" s="305" t="s">
        <v>0</v>
      </c>
      <c r="M2" s="305"/>
      <c r="N2" s="305"/>
      <c r="O2" s="305"/>
      <c r="P2" s="305"/>
      <c r="Q2" s="305"/>
      <c r="R2" s="305"/>
      <c r="S2" s="305"/>
    </row>
    <row r="3" spans="1:19" ht="25.5">
      <c r="A3" s="1"/>
      <c r="B3" s="2"/>
      <c r="D3" s="14"/>
      <c r="E3" s="14"/>
      <c r="F3" s="14"/>
      <c r="G3" s="14"/>
      <c r="H3" s="14"/>
      <c r="I3" s="14"/>
      <c r="J3" s="14"/>
      <c r="K3" s="16"/>
      <c r="L3" s="304" t="s">
        <v>257</v>
      </c>
      <c r="M3" s="304"/>
      <c r="N3" s="304"/>
      <c r="O3" s="304"/>
      <c r="P3" s="304"/>
      <c r="Q3" s="304"/>
      <c r="R3" s="304"/>
      <c r="S3" s="304"/>
    </row>
    <row r="4" spans="1:19" ht="24.7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0"/>
      <c r="R4" s="20"/>
      <c r="S4" s="21"/>
    </row>
    <row r="5" spans="1:19" s="25" customFormat="1" ht="27" customHeight="1">
      <c r="A5" s="22"/>
      <c r="B5" s="579" t="s">
        <v>2</v>
      </c>
      <c r="C5" s="814" t="s">
        <v>2</v>
      </c>
      <c r="D5" s="814"/>
      <c r="E5" s="814"/>
      <c r="F5" s="814"/>
      <c r="G5" s="814"/>
      <c r="H5" s="814"/>
      <c r="I5" s="814"/>
      <c r="J5" s="577" t="s">
        <v>3</v>
      </c>
      <c r="K5" s="577" t="s">
        <v>4</v>
      </c>
      <c r="L5" s="578" t="s">
        <v>5</v>
      </c>
      <c r="M5" s="575" t="s">
        <v>6</v>
      </c>
      <c r="N5" s="806" t="s">
        <v>7</v>
      </c>
      <c r="O5" s="808"/>
      <c r="P5" s="809" t="s">
        <v>8</v>
      </c>
      <c r="Q5" s="823"/>
      <c r="R5" s="806" t="s">
        <v>9</v>
      </c>
      <c r="S5" s="808"/>
    </row>
    <row r="6" spans="1:19" s="25" customFormat="1" ht="48.75" customHeight="1">
      <c r="A6" s="22"/>
      <c r="B6" s="580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577" t="s">
        <v>866</v>
      </c>
      <c r="K6" s="577" t="s">
        <v>17</v>
      </c>
      <c r="L6" s="578" t="s">
        <v>5</v>
      </c>
      <c r="M6" s="576" t="s">
        <v>6</v>
      </c>
      <c r="N6" s="112" t="s">
        <v>18</v>
      </c>
      <c r="O6" s="115" t="s">
        <v>19</v>
      </c>
      <c r="P6" s="112" t="s">
        <v>18</v>
      </c>
      <c r="Q6" s="115" t="s">
        <v>815</v>
      </c>
      <c r="R6" s="114" t="s">
        <v>18</v>
      </c>
      <c r="S6" s="115" t="s">
        <v>816</v>
      </c>
    </row>
    <row r="7" spans="1:19" ht="35.1" customHeight="1">
      <c r="A7" s="32" t="e">
        <v>#REF!</v>
      </c>
      <c r="B7" s="117" t="s">
        <v>23</v>
      </c>
      <c r="C7" s="118" t="s">
        <v>23</v>
      </c>
      <c r="D7" s="119"/>
      <c r="E7" s="119"/>
      <c r="F7" s="119"/>
      <c r="G7" s="119"/>
      <c r="H7" s="119"/>
      <c r="I7" s="119"/>
      <c r="J7" s="119"/>
      <c r="K7" s="119"/>
      <c r="L7" s="119" t="s">
        <v>24</v>
      </c>
      <c r="M7" s="120">
        <v>8009652162782</v>
      </c>
      <c r="N7" s="120">
        <v>7874569863975.9404</v>
      </c>
      <c r="O7" s="121">
        <f>+N7/$M7</f>
        <v>0.98313506054186239</v>
      </c>
      <c r="P7" s="120">
        <v>7842695370991.8604</v>
      </c>
      <c r="Q7" s="121">
        <f>+P7/$M7</f>
        <v>0.97915555027895862</v>
      </c>
      <c r="R7" s="120">
        <v>7842695370991.8604</v>
      </c>
      <c r="S7" s="121">
        <f>+R7/$M7</f>
        <v>0.97915555027895862</v>
      </c>
    </row>
    <row r="8" spans="1:19" ht="24" customHeight="1">
      <c r="A8" s="32" t="e">
        <v>#REF!</v>
      </c>
      <c r="B8" s="122" t="s">
        <v>303</v>
      </c>
      <c r="C8" s="123" t="s">
        <v>23</v>
      </c>
      <c r="D8" s="123" t="s">
        <v>25</v>
      </c>
      <c r="E8" s="123"/>
      <c r="F8" s="123"/>
      <c r="G8" s="123"/>
      <c r="H8" s="123"/>
      <c r="I8" s="123"/>
      <c r="J8" s="124"/>
      <c r="K8" s="124"/>
      <c r="L8" s="124" t="s">
        <v>26</v>
      </c>
      <c r="M8" s="125">
        <v>105148000000</v>
      </c>
      <c r="N8" s="125">
        <v>101860328978</v>
      </c>
      <c r="O8" s="126">
        <f t="shared" ref="O8:Q71" si="0">+N8/$M8</f>
        <v>0.96873291910450032</v>
      </c>
      <c r="P8" s="125">
        <v>101855044497</v>
      </c>
      <c r="Q8" s="126">
        <f t="shared" si="0"/>
        <v>0.96868266155323923</v>
      </c>
      <c r="R8" s="125">
        <v>101855044497</v>
      </c>
      <c r="S8" s="126">
        <f t="shared" ref="S8" si="1">+R8/$M8</f>
        <v>0.96868266155323923</v>
      </c>
    </row>
    <row r="9" spans="1:19" ht="24" customHeight="1">
      <c r="A9" s="32" t="e">
        <v>#REF!</v>
      </c>
      <c r="B9" s="127" t="s">
        <v>305</v>
      </c>
      <c r="C9" s="128" t="s">
        <v>23</v>
      </c>
      <c r="D9" s="128" t="s">
        <v>25</v>
      </c>
      <c r="E9" s="128" t="s">
        <v>25</v>
      </c>
      <c r="F9" s="128"/>
      <c r="G9" s="128"/>
      <c r="H9" s="128"/>
      <c r="I9" s="128"/>
      <c r="J9" s="129"/>
      <c r="K9" s="129"/>
      <c r="L9" s="129" t="s">
        <v>27</v>
      </c>
      <c r="M9" s="130">
        <v>105148000000</v>
      </c>
      <c r="N9" s="130">
        <v>101860328978</v>
      </c>
      <c r="O9" s="131">
        <f t="shared" si="0"/>
        <v>0.96873291910450032</v>
      </c>
      <c r="P9" s="130">
        <v>101855044497</v>
      </c>
      <c r="Q9" s="131">
        <f t="shared" si="0"/>
        <v>0.96868266155323923</v>
      </c>
      <c r="R9" s="130">
        <v>101855044497</v>
      </c>
      <c r="S9" s="131">
        <f t="shared" ref="S9" si="2">+R9/$M9</f>
        <v>0.96868266155323923</v>
      </c>
    </row>
    <row r="10" spans="1:19" ht="24" customHeight="1">
      <c r="A10" s="32" t="e">
        <v>#REF!</v>
      </c>
      <c r="B10" s="132" t="s">
        <v>307</v>
      </c>
      <c r="C10" s="133" t="s">
        <v>23</v>
      </c>
      <c r="D10" s="133" t="s">
        <v>25</v>
      </c>
      <c r="E10" s="133" t="s">
        <v>25</v>
      </c>
      <c r="F10" s="133" t="s">
        <v>25</v>
      </c>
      <c r="G10" s="133"/>
      <c r="H10" s="133"/>
      <c r="I10" s="133"/>
      <c r="J10" s="133" t="s">
        <v>28</v>
      </c>
      <c r="K10" s="134" t="s">
        <v>29</v>
      </c>
      <c r="L10" s="134" t="s">
        <v>30</v>
      </c>
      <c r="M10" s="135">
        <v>68837000000</v>
      </c>
      <c r="N10" s="135">
        <v>68411268047</v>
      </c>
      <c r="O10" s="137">
        <f t="shared" si="0"/>
        <v>0.99381536160785622</v>
      </c>
      <c r="P10" s="135">
        <v>68408603597</v>
      </c>
      <c r="Q10" s="137">
        <f t="shared" si="0"/>
        <v>0.99377665495300493</v>
      </c>
      <c r="R10" s="135">
        <v>68408603597</v>
      </c>
      <c r="S10" s="137">
        <f t="shared" ref="S10" si="3">+R10/$M10</f>
        <v>0.99377665495300493</v>
      </c>
    </row>
    <row r="11" spans="1:19" ht="24.95" customHeight="1">
      <c r="A11" s="32" t="e">
        <v>#REF!</v>
      </c>
      <c r="B11" s="138" t="s">
        <v>309</v>
      </c>
      <c r="C11" s="139" t="s">
        <v>23</v>
      </c>
      <c r="D11" s="139" t="s">
        <v>25</v>
      </c>
      <c r="E11" s="139" t="s">
        <v>25</v>
      </c>
      <c r="F11" s="139" t="s">
        <v>25</v>
      </c>
      <c r="G11" s="139" t="s">
        <v>31</v>
      </c>
      <c r="H11" s="139"/>
      <c r="I11" s="139"/>
      <c r="J11" s="139" t="s">
        <v>28</v>
      </c>
      <c r="K11" s="140" t="s">
        <v>29</v>
      </c>
      <c r="L11" s="140" t="s">
        <v>32</v>
      </c>
      <c r="M11" s="141">
        <v>68837000000</v>
      </c>
      <c r="N11" s="141">
        <v>68411268047</v>
      </c>
      <c r="O11" s="143">
        <f t="shared" si="0"/>
        <v>0.99381536160785622</v>
      </c>
      <c r="P11" s="141">
        <v>68408603597</v>
      </c>
      <c r="Q11" s="143">
        <f t="shared" si="0"/>
        <v>0.99377665495300493</v>
      </c>
      <c r="R11" s="141">
        <v>68408603597</v>
      </c>
      <c r="S11" s="143">
        <f t="shared" ref="S11" si="4">+R11/$M11</f>
        <v>0.99377665495300493</v>
      </c>
    </row>
    <row r="12" spans="1:19" ht="24.95" customHeight="1">
      <c r="A12" s="32" t="e">
        <v>#REF!</v>
      </c>
      <c r="B12" s="144" t="s">
        <v>311</v>
      </c>
      <c r="C12" s="145" t="s">
        <v>23</v>
      </c>
      <c r="D12" s="145" t="s">
        <v>25</v>
      </c>
      <c r="E12" s="145" t="s">
        <v>25</v>
      </c>
      <c r="F12" s="145" t="s">
        <v>25</v>
      </c>
      <c r="G12" s="145" t="s">
        <v>31</v>
      </c>
      <c r="H12" s="145" t="s">
        <v>31</v>
      </c>
      <c r="I12" s="145"/>
      <c r="J12" s="145" t="s">
        <v>28</v>
      </c>
      <c r="K12" s="146" t="s">
        <v>29</v>
      </c>
      <c r="L12" s="147" t="s">
        <v>33</v>
      </c>
      <c r="M12" s="148">
        <v>55140000000</v>
      </c>
      <c r="N12" s="148">
        <v>54822861578</v>
      </c>
      <c r="O12" s="150">
        <f t="shared" si="0"/>
        <v>0.99424848708741387</v>
      </c>
      <c r="P12" s="148">
        <v>54822861578</v>
      </c>
      <c r="Q12" s="150">
        <f t="shared" si="0"/>
        <v>0.99424848708741387</v>
      </c>
      <c r="R12" s="148">
        <v>54822861578</v>
      </c>
      <c r="S12" s="150">
        <f t="shared" ref="S12" si="5">+R12/$M12</f>
        <v>0.99424848708741387</v>
      </c>
    </row>
    <row r="13" spans="1:19" ht="24.95" customHeight="1">
      <c r="A13" s="32" t="e">
        <v>#REF!</v>
      </c>
      <c r="B13" s="144" t="s">
        <v>313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34</v>
      </c>
      <c r="I13" s="145"/>
      <c r="J13" s="145" t="s">
        <v>28</v>
      </c>
      <c r="K13" s="146" t="s">
        <v>29</v>
      </c>
      <c r="L13" s="147" t="s">
        <v>35</v>
      </c>
      <c r="M13" s="148">
        <v>241000000</v>
      </c>
      <c r="N13" s="148">
        <v>235922977</v>
      </c>
      <c r="O13" s="150">
        <f t="shared" si="0"/>
        <v>0.97893351452282162</v>
      </c>
      <c r="P13" s="148">
        <v>235922977</v>
      </c>
      <c r="Q13" s="150">
        <f t="shared" si="0"/>
        <v>0.97893351452282162</v>
      </c>
      <c r="R13" s="148">
        <v>235922977</v>
      </c>
      <c r="S13" s="150">
        <f t="shared" ref="S13" si="6">+R13/$M13</f>
        <v>0.97893351452282162</v>
      </c>
    </row>
    <row r="14" spans="1:19" ht="24.95" customHeight="1">
      <c r="A14" s="32" t="e">
        <v>#REF!</v>
      </c>
      <c r="B14" s="144" t="s">
        <v>315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36</v>
      </c>
      <c r="I14" s="145"/>
      <c r="J14" s="145" t="s">
        <v>28</v>
      </c>
      <c r="K14" s="146" t="s">
        <v>29</v>
      </c>
      <c r="L14" s="147" t="s">
        <v>37</v>
      </c>
      <c r="M14" s="148">
        <v>530000000</v>
      </c>
      <c r="N14" s="148">
        <v>521723405</v>
      </c>
      <c r="O14" s="150">
        <f t="shared" si="0"/>
        <v>0.98438378301886797</v>
      </c>
      <c r="P14" s="148">
        <v>521723405</v>
      </c>
      <c r="Q14" s="150">
        <f t="shared" si="0"/>
        <v>0.98438378301886797</v>
      </c>
      <c r="R14" s="148">
        <v>521723405</v>
      </c>
      <c r="S14" s="150">
        <f t="shared" ref="S14" si="7">+R14/$M14</f>
        <v>0.98438378301886797</v>
      </c>
    </row>
    <row r="15" spans="1:19" ht="24.95" customHeight="1">
      <c r="A15" s="32" t="e">
        <v>#REF!</v>
      </c>
      <c r="B15" s="144" t="s">
        <v>317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38</v>
      </c>
      <c r="I15" s="145"/>
      <c r="J15" s="145" t="s">
        <v>28</v>
      </c>
      <c r="K15" s="146" t="s">
        <v>29</v>
      </c>
      <c r="L15" s="147" t="s">
        <v>39</v>
      </c>
      <c r="M15" s="148">
        <v>96000000</v>
      </c>
      <c r="N15" s="148">
        <v>92040683</v>
      </c>
      <c r="O15" s="150">
        <f t="shared" si="0"/>
        <v>0.95875711458333335</v>
      </c>
      <c r="P15" s="148">
        <v>92040683</v>
      </c>
      <c r="Q15" s="150">
        <f t="shared" si="0"/>
        <v>0.95875711458333335</v>
      </c>
      <c r="R15" s="148">
        <v>92040683</v>
      </c>
      <c r="S15" s="150">
        <f t="shared" ref="S15" si="8">+R15/$M15</f>
        <v>0.95875711458333335</v>
      </c>
    </row>
    <row r="16" spans="1:19" ht="24.95" customHeight="1">
      <c r="A16" s="32" t="e">
        <v>#REF!</v>
      </c>
      <c r="B16" s="144" t="s">
        <v>319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40</v>
      </c>
      <c r="I16" s="145"/>
      <c r="J16" s="145" t="s">
        <v>28</v>
      </c>
      <c r="K16" s="146" t="s">
        <v>29</v>
      </c>
      <c r="L16" s="147" t="s">
        <v>41</v>
      </c>
      <c r="M16" s="148">
        <v>105000000</v>
      </c>
      <c r="N16" s="148">
        <v>103086517</v>
      </c>
      <c r="O16" s="150">
        <f t="shared" si="0"/>
        <v>0.9817763523809524</v>
      </c>
      <c r="P16" s="148">
        <v>103086517</v>
      </c>
      <c r="Q16" s="150">
        <f t="shared" si="0"/>
        <v>0.9817763523809524</v>
      </c>
      <c r="R16" s="148">
        <v>103086517</v>
      </c>
      <c r="S16" s="150">
        <f t="shared" ref="S16" si="9">+R16/$M16</f>
        <v>0.9817763523809524</v>
      </c>
    </row>
    <row r="17" spans="1:45" ht="24.95" customHeight="1">
      <c r="A17" s="32" t="e">
        <v>#REF!</v>
      </c>
      <c r="B17" s="144" t="s">
        <v>321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42</v>
      </c>
      <c r="I17" s="145"/>
      <c r="J17" s="145" t="s">
        <v>28</v>
      </c>
      <c r="K17" s="146" t="s">
        <v>29</v>
      </c>
      <c r="L17" s="147" t="s">
        <v>43</v>
      </c>
      <c r="M17" s="148">
        <v>2568300000</v>
      </c>
      <c r="N17" s="148">
        <v>2565529747</v>
      </c>
      <c r="O17" s="150">
        <f t="shared" si="0"/>
        <v>0.99892136705213563</v>
      </c>
      <c r="P17" s="148">
        <v>2565529747</v>
      </c>
      <c r="Q17" s="150">
        <f t="shared" si="0"/>
        <v>0.99892136705213563</v>
      </c>
      <c r="R17" s="148">
        <v>2565529747</v>
      </c>
      <c r="S17" s="150">
        <f t="shared" ref="S17" si="10">+R17/$M17</f>
        <v>0.99892136705213563</v>
      </c>
    </row>
    <row r="18" spans="1:45" ht="24.95" customHeight="1">
      <c r="A18" s="32" t="e">
        <v>#REF!</v>
      </c>
      <c r="B18" s="144" t="s">
        <v>323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44</v>
      </c>
      <c r="I18" s="145"/>
      <c r="J18" s="145" t="s">
        <v>28</v>
      </c>
      <c r="K18" s="146" t="s">
        <v>29</v>
      </c>
      <c r="L18" s="147" t="s">
        <v>45</v>
      </c>
      <c r="M18" s="148">
        <v>1782500000</v>
      </c>
      <c r="N18" s="148">
        <v>1777388466</v>
      </c>
      <c r="O18" s="150">
        <f t="shared" si="0"/>
        <v>0.99713237924263676</v>
      </c>
      <c r="P18" s="148">
        <v>1776327956</v>
      </c>
      <c r="Q18" s="150">
        <f t="shared" si="0"/>
        <v>0.99653742272089763</v>
      </c>
      <c r="R18" s="148">
        <v>1776327956</v>
      </c>
      <c r="S18" s="150">
        <f t="shared" ref="S18" si="11">+R18/$M18</f>
        <v>0.99653742272089763</v>
      </c>
    </row>
    <row r="19" spans="1:45" ht="24.95" customHeight="1">
      <c r="A19" s="32" t="e">
        <v>#REF!</v>
      </c>
      <c r="B19" s="144" t="s">
        <v>325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46</v>
      </c>
      <c r="I19" s="145"/>
      <c r="J19" s="145" t="s">
        <v>28</v>
      </c>
      <c r="K19" s="146" t="s">
        <v>29</v>
      </c>
      <c r="L19" s="147" t="s">
        <v>47</v>
      </c>
      <c r="M19" s="148">
        <v>150000000</v>
      </c>
      <c r="N19" s="148">
        <v>110562834</v>
      </c>
      <c r="O19" s="150">
        <f t="shared" si="0"/>
        <v>0.73708556000000003</v>
      </c>
      <c r="P19" s="148">
        <v>110562834</v>
      </c>
      <c r="Q19" s="150">
        <f t="shared" si="0"/>
        <v>0.73708556000000003</v>
      </c>
      <c r="R19" s="148">
        <v>110562834</v>
      </c>
      <c r="S19" s="150">
        <f t="shared" ref="S19" si="12">+R19/$M19</f>
        <v>0.73708556000000003</v>
      </c>
    </row>
    <row r="20" spans="1:45" ht="24.95" customHeight="1">
      <c r="A20" s="32" t="e">
        <v>#REF!</v>
      </c>
      <c r="B20" s="144" t="s">
        <v>327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48</v>
      </c>
      <c r="I20" s="145"/>
      <c r="J20" s="145" t="s">
        <v>28</v>
      </c>
      <c r="K20" s="146" t="s">
        <v>29</v>
      </c>
      <c r="L20" s="147" t="s">
        <v>49</v>
      </c>
      <c r="M20" s="148">
        <v>5555500000</v>
      </c>
      <c r="N20" s="148">
        <v>5536168764</v>
      </c>
      <c r="O20" s="150">
        <f t="shared" si="0"/>
        <v>0.99652034272342727</v>
      </c>
      <c r="P20" s="148">
        <v>5536168764</v>
      </c>
      <c r="Q20" s="150">
        <f t="shared" si="0"/>
        <v>0.99652034272342727</v>
      </c>
      <c r="R20" s="148">
        <v>5536168764</v>
      </c>
      <c r="S20" s="150">
        <f t="shared" ref="S20" si="13">+R20/$M20</f>
        <v>0.99652034272342727</v>
      </c>
    </row>
    <row r="21" spans="1:45" ht="24.95" customHeight="1">
      <c r="A21" s="32" t="e">
        <v>#REF!</v>
      </c>
      <c r="B21" s="144" t="s">
        <v>329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50</v>
      </c>
      <c r="I21" s="145"/>
      <c r="J21" s="145" t="s">
        <v>28</v>
      </c>
      <c r="K21" s="146" t="s">
        <v>29</v>
      </c>
      <c r="L21" s="147" t="s">
        <v>51</v>
      </c>
      <c r="M21" s="148">
        <v>2636700000</v>
      </c>
      <c r="N21" s="148">
        <v>2616491766</v>
      </c>
      <c r="O21" s="150">
        <f t="shared" si="0"/>
        <v>0.99233578564114233</v>
      </c>
      <c r="P21" s="148">
        <v>2614887826</v>
      </c>
      <c r="Q21" s="150">
        <f t="shared" si="0"/>
        <v>0.99172747221906166</v>
      </c>
      <c r="R21" s="148">
        <v>2614887826</v>
      </c>
      <c r="S21" s="150">
        <f t="shared" ref="S21" si="14">+R21/$M21</f>
        <v>0.99172747221906166</v>
      </c>
    </row>
    <row r="22" spans="1:45" s="64" customFormat="1" ht="24.95" customHeight="1">
      <c r="A22" s="32" t="e">
        <v>#REF!</v>
      </c>
      <c r="B22" s="144" t="s">
        <v>553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51" t="s">
        <v>52</v>
      </c>
      <c r="I22" s="145"/>
      <c r="J22" s="145" t="s">
        <v>28</v>
      </c>
      <c r="K22" s="146" t="s">
        <v>29</v>
      </c>
      <c r="L22" s="147" t="s">
        <v>53</v>
      </c>
      <c r="M22" s="148">
        <v>32000000</v>
      </c>
      <c r="N22" s="148">
        <v>29491310</v>
      </c>
      <c r="O22" s="150">
        <f t="shared" si="0"/>
        <v>0.92160343749999996</v>
      </c>
      <c r="P22" s="148">
        <v>29491310</v>
      </c>
      <c r="Q22" s="150">
        <f t="shared" si="0"/>
        <v>0.92160343749999996</v>
      </c>
      <c r="R22" s="148">
        <v>29491310</v>
      </c>
      <c r="S22" s="150">
        <f t="shared" ref="S22" si="15">+R22/$M22</f>
        <v>0.92160343749999996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ht="24.95" customHeight="1">
      <c r="A23" s="32" t="e">
        <v>#REF!</v>
      </c>
      <c r="B23" s="132" t="s">
        <v>331</v>
      </c>
      <c r="C23" s="133" t="s">
        <v>23</v>
      </c>
      <c r="D23" s="133" t="s">
        <v>25</v>
      </c>
      <c r="E23" s="133" t="s">
        <v>25</v>
      </c>
      <c r="F23" s="133" t="s">
        <v>54</v>
      </c>
      <c r="G23" s="134"/>
      <c r="H23" s="134"/>
      <c r="I23" s="134"/>
      <c r="J23" s="133" t="s">
        <v>28</v>
      </c>
      <c r="K23" s="134" t="s">
        <v>29</v>
      </c>
      <c r="L23" s="134" t="s">
        <v>55</v>
      </c>
      <c r="M23" s="135">
        <v>27958000000</v>
      </c>
      <c r="N23" s="135">
        <v>25281701783</v>
      </c>
      <c r="O23" s="137">
        <f t="shared" si="0"/>
        <v>0.90427433231990839</v>
      </c>
      <c r="P23" s="135">
        <v>25281701783</v>
      </c>
      <c r="Q23" s="137">
        <f t="shared" si="0"/>
        <v>0.90427433231990839</v>
      </c>
      <c r="R23" s="135">
        <v>25281701783</v>
      </c>
      <c r="S23" s="137">
        <f t="shared" ref="S23" si="16">+R23/$M23</f>
        <v>0.90427433231990839</v>
      </c>
    </row>
    <row r="24" spans="1:45" ht="24.95" customHeight="1">
      <c r="A24" s="32" t="e">
        <v>#REF!</v>
      </c>
      <c r="B24" s="144" t="s">
        <v>333</v>
      </c>
      <c r="C24" s="145" t="s">
        <v>23</v>
      </c>
      <c r="D24" s="145" t="s">
        <v>25</v>
      </c>
      <c r="E24" s="145" t="s">
        <v>25</v>
      </c>
      <c r="F24" s="145" t="s">
        <v>54</v>
      </c>
      <c r="G24" s="145" t="s">
        <v>31</v>
      </c>
      <c r="H24" s="145"/>
      <c r="I24" s="145"/>
      <c r="J24" s="145" t="s">
        <v>28</v>
      </c>
      <c r="K24" s="146" t="s">
        <v>29</v>
      </c>
      <c r="L24" s="147" t="s">
        <v>56</v>
      </c>
      <c r="M24" s="148">
        <v>7690200000</v>
      </c>
      <c r="N24" s="148">
        <v>7515821132</v>
      </c>
      <c r="O24" s="150">
        <f t="shared" si="0"/>
        <v>0.97732453408233855</v>
      </c>
      <c r="P24" s="148">
        <v>7515821132</v>
      </c>
      <c r="Q24" s="150">
        <f t="shared" si="0"/>
        <v>0.97732453408233855</v>
      </c>
      <c r="R24" s="148">
        <v>7515821132</v>
      </c>
      <c r="S24" s="150">
        <f t="shared" ref="S24" si="17">+R24/$M24</f>
        <v>0.97732453408233855</v>
      </c>
    </row>
    <row r="25" spans="1:45" ht="24.95" customHeight="1">
      <c r="A25" s="32" t="e">
        <v>#REF!</v>
      </c>
      <c r="B25" s="144" t="s">
        <v>335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34</v>
      </c>
      <c r="H25" s="145"/>
      <c r="I25" s="145"/>
      <c r="J25" s="145" t="s">
        <v>28</v>
      </c>
      <c r="K25" s="146" t="s">
        <v>29</v>
      </c>
      <c r="L25" s="147" t="s">
        <v>57</v>
      </c>
      <c r="M25" s="148">
        <v>5447200000</v>
      </c>
      <c r="N25" s="148">
        <v>5226501653</v>
      </c>
      <c r="O25" s="150">
        <f t="shared" si="0"/>
        <v>0.95948407493758259</v>
      </c>
      <c r="P25" s="148">
        <v>5226501653</v>
      </c>
      <c r="Q25" s="150">
        <f t="shared" si="0"/>
        <v>0.95948407493758259</v>
      </c>
      <c r="R25" s="148">
        <v>5226501653</v>
      </c>
      <c r="S25" s="150">
        <f t="shared" ref="S25" si="18">+R25/$M25</f>
        <v>0.95948407493758259</v>
      </c>
    </row>
    <row r="26" spans="1:45" ht="24.95" customHeight="1">
      <c r="A26" s="32" t="e">
        <v>#REF!</v>
      </c>
      <c r="B26" s="144" t="s">
        <v>337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36</v>
      </c>
      <c r="H26" s="145"/>
      <c r="I26" s="145"/>
      <c r="J26" s="145" t="s">
        <v>28</v>
      </c>
      <c r="K26" s="146" t="s">
        <v>29</v>
      </c>
      <c r="L26" s="147" t="s">
        <v>58</v>
      </c>
      <c r="M26" s="148">
        <v>8075400000</v>
      </c>
      <c r="N26" s="148">
        <v>5973021598</v>
      </c>
      <c r="O26" s="150">
        <f t="shared" si="0"/>
        <v>0.73965643782351342</v>
      </c>
      <c r="P26" s="148">
        <v>5973021598</v>
      </c>
      <c r="Q26" s="150">
        <f t="shared" si="0"/>
        <v>0.73965643782351342</v>
      </c>
      <c r="R26" s="148">
        <v>5973021598</v>
      </c>
      <c r="S26" s="150">
        <f t="shared" ref="S26" si="19">+R26/$M26</f>
        <v>0.73965643782351342</v>
      </c>
    </row>
    <row r="27" spans="1:45" ht="24.95" customHeight="1">
      <c r="A27" s="32" t="e">
        <v>#REF!</v>
      </c>
      <c r="B27" s="144" t="s">
        <v>339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38</v>
      </c>
      <c r="H27" s="145"/>
      <c r="I27" s="145"/>
      <c r="J27" s="145" t="s">
        <v>28</v>
      </c>
      <c r="K27" s="146" t="s">
        <v>29</v>
      </c>
      <c r="L27" s="147" t="s">
        <v>59</v>
      </c>
      <c r="M27" s="148">
        <v>2732300000</v>
      </c>
      <c r="N27" s="148">
        <v>2673679100</v>
      </c>
      <c r="O27" s="150">
        <f t="shared" si="0"/>
        <v>0.97854521831424079</v>
      </c>
      <c r="P27" s="148">
        <v>2673679100</v>
      </c>
      <c r="Q27" s="150">
        <f t="shared" si="0"/>
        <v>0.97854521831424079</v>
      </c>
      <c r="R27" s="148">
        <v>2673679100</v>
      </c>
      <c r="S27" s="150">
        <f t="shared" ref="S27" si="20">+R27/$M27</f>
        <v>0.97854521831424079</v>
      </c>
    </row>
    <row r="28" spans="1:45" ht="24.95" customHeight="1">
      <c r="A28" s="32" t="e">
        <v>#REF!</v>
      </c>
      <c r="B28" s="144" t="s">
        <v>341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40</v>
      </c>
      <c r="H28" s="145"/>
      <c r="I28" s="145"/>
      <c r="J28" s="145" t="s">
        <v>28</v>
      </c>
      <c r="K28" s="146" t="s">
        <v>29</v>
      </c>
      <c r="L28" s="147" t="s">
        <v>60</v>
      </c>
      <c r="M28" s="148">
        <v>560000000</v>
      </c>
      <c r="N28" s="148">
        <v>549000900</v>
      </c>
      <c r="O28" s="150">
        <f t="shared" si="0"/>
        <v>0.98035874999999995</v>
      </c>
      <c r="P28" s="148">
        <v>549000900</v>
      </c>
      <c r="Q28" s="150">
        <f t="shared" si="0"/>
        <v>0.98035874999999995</v>
      </c>
      <c r="R28" s="148">
        <v>549000900</v>
      </c>
      <c r="S28" s="150">
        <f t="shared" ref="S28" si="21">+R28/$M28</f>
        <v>0.98035874999999995</v>
      </c>
    </row>
    <row r="29" spans="1:45" ht="24.95" customHeight="1">
      <c r="A29" s="32" t="e">
        <v>#REF!</v>
      </c>
      <c r="B29" s="144" t="s">
        <v>343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42</v>
      </c>
      <c r="H29" s="145"/>
      <c r="I29" s="145"/>
      <c r="J29" s="145" t="s">
        <v>28</v>
      </c>
      <c r="K29" s="146" t="s">
        <v>29</v>
      </c>
      <c r="L29" s="147" t="s">
        <v>61</v>
      </c>
      <c r="M29" s="148">
        <v>2071700000</v>
      </c>
      <c r="N29" s="148">
        <v>2005430400</v>
      </c>
      <c r="O29" s="150">
        <f t="shared" si="0"/>
        <v>0.96801197084519963</v>
      </c>
      <c r="P29" s="148">
        <v>2005430400</v>
      </c>
      <c r="Q29" s="150">
        <f t="shared" si="0"/>
        <v>0.96801197084519963</v>
      </c>
      <c r="R29" s="148">
        <v>2005430400</v>
      </c>
      <c r="S29" s="150">
        <f t="shared" ref="S29" si="22">+R29/$M29</f>
        <v>0.96801197084519963</v>
      </c>
    </row>
    <row r="30" spans="1:45" ht="24.95" customHeight="1">
      <c r="A30" s="32" t="e">
        <v>#REF!</v>
      </c>
      <c r="B30" s="144" t="s">
        <v>345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44</v>
      </c>
      <c r="H30" s="145"/>
      <c r="I30" s="145"/>
      <c r="J30" s="145" t="s">
        <v>28</v>
      </c>
      <c r="K30" s="146" t="s">
        <v>29</v>
      </c>
      <c r="L30" s="147" t="s">
        <v>62</v>
      </c>
      <c r="M30" s="148">
        <v>345300000</v>
      </c>
      <c r="N30" s="148">
        <v>334683900</v>
      </c>
      <c r="O30" s="150">
        <f t="shared" si="0"/>
        <v>0.96925543006081671</v>
      </c>
      <c r="P30" s="148">
        <v>334683900</v>
      </c>
      <c r="Q30" s="150">
        <f t="shared" si="0"/>
        <v>0.96925543006081671</v>
      </c>
      <c r="R30" s="148">
        <v>334683900</v>
      </c>
      <c r="S30" s="150">
        <f t="shared" ref="S30" si="23">+R30/$M30</f>
        <v>0.96925543006081671</v>
      </c>
    </row>
    <row r="31" spans="1:45" ht="24.95" customHeight="1">
      <c r="A31" s="32" t="e">
        <v>#REF!</v>
      </c>
      <c r="B31" s="144" t="s">
        <v>347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46</v>
      </c>
      <c r="H31" s="145"/>
      <c r="I31" s="145"/>
      <c r="J31" s="145" t="s">
        <v>28</v>
      </c>
      <c r="K31" s="146" t="s">
        <v>29</v>
      </c>
      <c r="L31" s="147" t="s">
        <v>63</v>
      </c>
      <c r="M31" s="148">
        <v>345300000</v>
      </c>
      <c r="N31" s="148">
        <v>334683900</v>
      </c>
      <c r="O31" s="150">
        <f t="shared" si="0"/>
        <v>0.96925543006081671</v>
      </c>
      <c r="P31" s="148">
        <v>334683900</v>
      </c>
      <c r="Q31" s="150">
        <f t="shared" si="0"/>
        <v>0.96925543006081671</v>
      </c>
      <c r="R31" s="148">
        <v>334683900</v>
      </c>
      <c r="S31" s="150">
        <f t="shared" ref="S31" si="24">+R31/$M31</f>
        <v>0.96925543006081671</v>
      </c>
    </row>
    <row r="32" spans="1:45" ht="24.75" customHeight="1">
      <c r="A32" s="32" t="e">
        <v>#REF!</v>
      </c>
      <c r="B32" s="144" t="s">
        <v>349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48</v>
      </c>
      <c r="H32" s="145"/>
      <c r="I32" s="145"/>
      <c r="J32" s="145" t="s">
        <v>28</v>
      </c>
      <c r="K32" s="146" t="s">
        <v>29</v>
      </c>
      <c r="L32" s="147" t="s">
        <v>64</v>
      </c>
      <c r="M32" s="148">
        <v>690600000</v>
      </c>
      <c r="N32" s="148">
        <v>668879200</v>
      </c>
      <c r="O32" s="150">
        <f t="shared" si="0"/>
        <v>0.96854792933680856</v>
      </c>
      <c r="P32" s="148">
        <v>668879200</v>
      </c>
      <c r="Q32" s="150">
        <f t="shared" si="0"/>
        <v>0.96854792933680856</v>
      </c>
      <c r="R32" s="148">
        <v>668879200</v>
      </c>
      <c r="S32" s="150">
        <f t="shared" ref="S32" si="25">+R32/$M32</f>
        <v>0.96854792933680856</v>
      </c>
    </row>
    <row r="33" spans="1:19" ht="24.95" customHeight="1">
      <c r="A33" s="32" t="e">
        <v>#REF!</v>
      </c>
      <c r="B33" s="132" t="s">
        <v>351</v>
      </c>
      <c r="C33" s="133" t="s">
        <v>23</v>
      </c>
      <c r="D33" s="133" t="s">
        <v>25</v>
      </c>
      <c r="E33" s="133" t="s">
        <v>25</v>
      </c>
      <c r="F33" s="133" t="s">
        <v>65</v>
      </c>
      <c r="G33" s="133"/>
      <c r="H33" s="134"/>
      <c r="I33" s="134"/>
      <c r="J33" s="133" t="s">
        <v>28</v>
      </c>
      <c r="K33" s="134" t="s">
        <v>29</v>
      </c>
      <c r="L33" s="134" t="s">
        <v>66</v>
      </c>
      <c r="M33" s="135">
        <v>8353000000</v>
      </c>
      <c r="N33" s="135">
        <v>8167359148</v>
      </c>
      <c r="O33" s="137">
        <f t="shared" si="0"/>
        <v>0.97777554746797557</v>
      </c>
      <c r="P33" s="135">
        <v>8164739117</v>
      </c>
      <c r="Q33" s="137">
        <f t="shared" si="0"/>
        <v>0.97746188399377465</v>
      </c>
      <c r="R33" s="135">
        <v>8164739117</v>
      </c>
      <c r="S33" s="137">
        <f t="shared" ref="S33" si="26">+R33/$M33</f>
        <v>0.97746188399377465</v>
      </c>
    </row>
    <row r="34" spans="1:19" ht="24.95" customHeight="1">
      <c r="A34" s="32" t="e">
        <v>#REF!</v>
      </c>
      <c r="B34" s="138" t="s">
        <v>353</v>
      </c>
      <c r="C34" s="139" t="s">
        <v>23</v>
      </c>
      <c r="D34" s="139" t="s">
        <v>25</v>
      </c>
      <c r="E34" s="139" t="s">
        <v>25</v>
      </c>
      <c r="F34" s="139" t="s">
        <v>65</v>
      </c>
      <c r="G34" s="139" t="s">
        <v>31</v>
      </c>
      <c r="H34" s="140"/>
      <c r="I34" s="140"/>
      <c r="J34" s="139" t="s">
        <v>28</v>
      </c>
      <c r="K34" s="140" t="s">
        <v>29</v>
      </c>
      <c r="L34" s="140" t="s">
        <v>67</v>
      </c>
      <c r="M34" s="141">
        <v>4216000000</v>
      </c>
      <c r="N34" s="141">
        <v>4103310312</v>
      </c>
      <c r="O34" s="143">
        <f t="shared" si="0"/>
        <v>0.97327094686907023</v>
      </c>
      <c r="P34" s="141">
        <v>4100690281</v>
      </c>
      <c r="Q34" s="143">
        <f t="shared" si="0"/>
        <v>0.97264949739089179</v>
      </c>
      <c r="R34" s="141">
        <v>4100690281</v>
      </c>
      <c r="S34" s="143">
        <f t="shared" ref="S34" si="27">+R34/$M34</f>
        <v>0.97264949739089179</v>
      </c>
    </row>
    <row r="35" spans="1:19" ht="24.95" customHeight="1">
      <c r="A35" s="32" t="e">
        <v>#REF!</v>
      </c>
      <c r="B35" s="144" t="s">
        <v>355</v>
      </c>
      <c r="C35" s="145" t="s">
        <v>23</v>
      </c>
      <c r="D35" s="145" t="s">
        <v>25</v>
      </c>
      <c r="E35" s="145" t="s">
        <v>25</v>
      </c>
      <c r="F35" s="145" t="s">
        <v>65</v>
      </c>
      <c r="G35" s="145" t="s">
        <v>31</v>
      </c>
      <c r="H35" s="145" t="s">
        <v>31</v>
      </c>
      <c r="I35" s="145"/>
      <c r="J35" s="145" t="s">
        <v>28</v>
      </c>
      <c r="K35" s="146" t="s">
        <v>29</v>
      </c>
      <c r="L35" s="147" t="s">
        <v>68</v>
      </c>
      <c r="M35" s="148">
        <v>3456000000</v>
      </c>
      <c r="N35" s="148">
        <v>3389282210</v>
      </c>
      <c r="O35" s="150">
        <f t="shared" si="0"/>
        <v>0.98069508391203708</v>
      </c>
      <c r="P35" s="148">
        <v>3389282210</v>
      </c>
      <c r="Q35" s="150">
        <f t="shared" si="0"/>
        <v>0.98069508391203708</v>
      </c>
      <c r="R35" s="148">
        <v>3389282210</v>
      </c>
      <c r="S35" s="150">
        <f t="shared" ref="S35" si="28">+R35/$M35</f>
        <v>0.98069508391203708</v>
      </c>
    </row>
    <row r="36" spans="1:19" ht="24.95" customHeight="1">
      <c r="A36" s="32" t="e">
        <v>#REF!</v>
      </c>
      <c r="B36" s="144" t="s">
        <v>357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34</v>
      </c>
      <c r="I36" s="145"/>
      <c r="J36" s="145" t="s">
        <v>28</v>
      </c>
      <c r="K36" s="146" t="s">
        <v>29</v>
      </c>
      <c r="L36" s="147" t="s">
        <v>69</v>
      </c>
      <c r="M36" s="148">
        <v>415000000</v>
      </c>
      <c r="N36" s="148">
        <v>393919682</v>
      </c>
      <c r="O36" s="150">
        <f t="shared" si="0"/>
        <v>0.94920405301204824</v>
      </c>
      <c r="P36" s="148">
        <v>391501653</v>
      </c>
      <c r="Q36" s="150">
        <f t="shared" si="0"/>
        <v>0.94337747710843378</v>
      </c>
      <c r="R36" s="148">
        <v>391501653</v>
      </c>
      <c r="S36" s="150">
        <f t="shared" ref="S36" si="29">+R36/$M36</f>
        <v>0.94337747710843378</v>
      </c>
    </row>
    <row r="37" spans="1:19" ht="24.95" customHeight="1">
      <c r="A37" s="32" t="e">
        <v>#REF!</v>
      </c>
      <c r="B37" s="144" t="s">
        <v>359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36</v>
      </c>
      <c r="I37" s="145"/>
      <c r="J37" s="145" t="s">
        <v>28</v>
      </c>
      <c r="K37" s="146" t="s">
        <v>29</v>
      </c>
      <c r="L37" s="147" t="s">
        <v>70</v>
      </c>
      <c r="M37" s="148">
        <v>345000000</v>
      </c>
      <c r="N37" s="148">
        <v>320108420</v>
      </c>
      <c r="O37" s="150">
        <f t="shared" si="0"/>
        <v>0.92785049275362319</v>
      </c>
      <c r="P37" s="148">
        <v>319906418</v>
      </c>
      <c r="Q37" s="150">
        <f t="shared" si="0"/>
        <v>0.92726497971014488</v>
      </c>
      <c r="R37" s="148">
        <v>319906418</v>
      </c>
      <c r="S37" s="150">
        <f t="shared" ref="S37" si="30">+R37/$M37</f>
        <v>0.92726497971014488</v>
      </c>
    </row>
    <row r="38" spans="1:19" ht="24.95" customHeight="1">
      <c r="A38" s="32" t="e">
        <v>#REF!</v>
      </c>
      <c r="B38" s="144" t="s">
        <v>361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34</v>
      </c>
      <c r="H38" s="145"/>
      <c r="I38" s="145"/>
      <c r="J38" s="145" t="s">
        <v>28</v>
      </c>
      <c r="K38" s="146" t="s">
        <v>29</v>
      </c>
      <c r="L38" s="147" t="s">
        <v>71</v>
      </c>
      <c r="M38" s="148">
        <v>2590000000</v>
      </c>
      <c r="N38" s="148">
        <v>2578575491</v>
      </c>
      <c r="O38" s="150">
        <f t="shared" si="0"/>
        <v>0.99558899266409262</v>
      </c>
      <c r="P38" s="148">
        <v>2578575491</v>
      </c>
      <c r="Q38" s="150">
        <f t="shared" si="0"/>
        <v>0.99558899266409262</v>
      </c>
      <c r="R38" s="148">
        <v>2578575491</v>
      </c>
      <c r="S38" s="150">
        <f t="shared" ref="S38" si="31">+R38/$M38</f>
        <v>0.99558899266409262</v>
      </c>
    </row>
    <row r="39" spans="1:19" ht="24.95" customHeight="1">
      <c r="A39" s="32" t="e">
        <v>#REF!</v>
      </c>
      <c r="B39" s="144" t="s">
        <v>363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40</v>
      </c>
      <c r="H39" s="145"/>
      <c r="I39" s="145"/>
      <c r="J39" s="145" t="s">
        <v>28</v>
      </c>
      <c r="K39" s="146" t="s">
        <v>29</v>
      </c>
      <c r="L39" s="147" t="s">
        <v>72</v>
      </c>
      <c r="M39" s="148">
        <v>12000000</v>
      </c>
      <c r="N39" s="148">
        <v>4016429</v>
      </c>
      <c r="O39" s="150">
        <f t="shared" si="0"/>
        <v>0.33470241666666667</v>
      </c>
      <c r="P39" s="148">
        <v>4016429</v>
      </c>
      <c r="Q39" s="150">
        <f t="shared" si="0"/>
        <v>0.33470241666666667</v>
      </c>
      <c r="R39" s="148">
        <v>4016429</v>
      </c>
      <c r="S39" s="150">
        <f t="shared" ref="S39" si="32">+R39/$M39</f>
        <v>0.33470241666666667</v>
      </c>
    </row>
    <row r="40" spans="1:19" ht="24.95" customHeight="1">
      <c r="A40" s="32" t="e">
        <v>#REF!</v>
      </c>
      <c r="B40" s="144" t="s">
        <v>366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74</v>
      </c>
      <c r="H40" s="145"/>
      <c r="I40" s="145"/>
      <c r="J40" s="145" t="s">
        <v>28</v>
      </c>
      <c r="K40" s="146" t="s">
        <v>29</v>
      </c>
      <c r="L40" s="147" t="s">
        <v>75</v>
      </c>
      <c r="M40" s="148">
        <v>30000000</v>
      </c>
      <c r="N40" s="148">
        <v>30000000</v>
      </c>
      <c r="O40" s="150">
        <f t="shared" si="0"/>
        <v>1</v>
      </c>
      <c r="P40" s="148">
        <v>30000000</v>
      </c>
      <c r="Q40" s="150">
        <f t="shared" si="0"/>
        <v>1</v>
      </c>
      <c r="R40" s="148">
        <v>30000000</v>
      </c>
      <c r="S40" s="150">
        <f t="shared" ref="S40" si="33">+R40/$M40</f>
        <v>1</v>
      </c>
    </row>
    <row r="41" spans="1:19" ht="24.95" customHeight="1">
      <c r="A41" s="32" t="e">
        <v>#REF!</v>
      </c>
      <c r="B41" s="144" t="s">
        <v>368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45" t="s">
        <v>76</v>
      </c>
      <c r="H41" s="145"/>
      <c r="I41" s="145"/>
      <c r="J41" s="145" t="s">
        <v>28</v>
      </c>
      <c r="K41" s="146" t="s">
        <v>29</v>
      </c>
      <c r="L41" s="147" t="s">
        <v>77</v>
      </c>
      <c r="M41" s="148">
        <v>870000000</v>
      </c>
      <c r="N41" s="148">
        <v>860714977</v>
      </c>
      <c r="O41" s="150">
        <f t="shared" si="0"/>
        <v>0.98932755977011499</v>
      </c>
      <c r="P41" s="148">
        <v>860714977</v>
      </c>
      <c r="Q41" s="150">
        <f t="shared" si="0"/>
        <v>0.98932755977011499</v>
      </c>
      <c r="R41" s="148">
        <v>860714977</v>
      </c>
      <c r="S41" s="150">
        <f t="shared" ref="S41" si="34">+R41/$M41</f>
        <v>0.98932755977011499</v>
      </c>
    </row>
    <row r="42" spans="1:19" ht="24.95" customHeight="1">
      <c r="A42" s="32" t="e">
        <v>#REF!</v>
      </c>
      <c r="B42" s="144" t="s">
        <v>370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78</v>
      </c>
      <c r="H42" s="145"/>
      <c r="I42" s="145"/>
      <c r="J42" s="145" t="s">
        <v>28</v>
      </c>
      <c r="K42" s="146" t="s">
        <v>29</v>
      </c>
      <c r="L42" s="147" t="s">
        <v>79</v>
      </c>
      <c r="M42" s="148">
        <v>635000000</v>
      </c>
      <c r="N42" s="148">
        <v>590741939</v>
      </c>
      <c r="O42" s="150">
        <f t="shared" si="0"/>
        <v>0.93030226614173228</v>
      </c>
      <c r="P42" s="148">
        <v>590741939</v>
      </c>
      <c r="Q42" s="150">
        <f t="shared" si="0"/>
        <v>0.93030226614173228</v>
      </c>
      <c r="R42" s="148">
        <v>590741939</v>
      </c>
      <c r="S42" s="150">
        <f t="shared" ref="S42" si="35">+R42/$M42</f>
        <v>0.93030226614173228</v>
      </c>
    </row>
    <row r="43" spans="1:19" ht="24" customHeight="1">
      <c r="A43" s="32" t="e">
        <v>#REF!</v>
      </c>
      <c r="B43" s="122" t="s">
        <v>372</v>
      </c>
      <c r="C43" s="123" t="s">
        <v>23</v>
      </c>
      <c r="D43" s="123" t="s">
        <v>54</v>
      </c>
      <c r="E43" s="123"/>
      <c r="F43" s="123"/>
      <c r="G43" s="123"/>
      <c r="H43" s="123"/>
      <c r="I43" s="123"/>
      <c r="J43" s="124"/>
      <c r="K43" s="124"/>
      <c r="L43" s="124" t="s">
        <v>80</v>
      </c>
      <c r="M43" s="125">
        <v>42288999999.999992</v>
      </c>
      <c r="N43" s="125">
        <v>41563525276.699997</v>
      </c>
      <c r="O43" s="126">
        <f t="shared" si="0"/>
        <v>0.98284483616779783</v>
      </c>
      <c r="P43" s="125">
        <v>41235928261.119995</v>
      </c>
      <c r="Q43" s="126">
        <f t="shared" si="0"/>
        <v>0.97509821138168329</v>
      </c>
      <c r="R43" s="125">
        <v>41235928261.119995</v>
      </c>
      <c r="S43" s="126">
        <f t="shared" ref="S43" si="36">+R43/$M43</f>
        <v>0.97509821138168329</v>
      </c>
    </row>
    <row r="44" spans="1:19" ht="24" customHeight="1">
      <c r="A44" s="32" t="e">
        <v>#REF!</v>
      </c>
      <c r="B44" s="127" t="s">
        <v>377</v>
      </c>
      <c r="C44" s="128" t="s">
        <v>23</v>
      </c>
      <c r="D44" s="128" t="s">
        <v>54</v>
      </c>
      <c r="E44" s="128" t="s">
        <v>54</v>
      </c>
      <c r="F44" s="128"/>
      <c r="G44" s="128"/>
      <c r="H44" s="128"/>
      <c r="I44" s="128"/>
      <c r="J44" s="129"/>
      <c r="K44" s="129"/>
      <c r="L44" s="129" t="s">
        <v>86</v>
      </c>
      <c r="M44" s="130">
        <v>42288999999.999992</v>
      </c>
      <c r="N44" s="130">
        <v>41563525276.699997</v>
      </c>
      <c r="O44" s="131">
        <f t="shared" si="0"/>
        <v>0.98284483616779783</v>
      </c>
      <c r="P44" s="130">
        <v>41235928261.119995</v>
      </c>
      <c r="Q44" s="131">
        <f t="shared" si="0"/>
        <v>0.97509821138168329</v>
      </c>
      <c r="R44" s="130">
        <v>41235928261.119995</v>
      </c>
      <c r="S44" s="131">
        <f t="shared" ref="S44" si="37">+R44/$M44</f>
        <v>0.97509821138168329</v>
      </c>
    </row>
    <row r="45" spans="1:19" ht="24.95" customHeight="1">
      <c r="A45" s="32" t="e">
        <v>#REF!</v>
      </c>
      <c r="B45" s="132" t="s">
        <v>379</v>
      </c>
      <c r="C45" s="133" t="s">
        <v>23</v>
      </c>
      <c r="D45" s="133" t="s">
        <v>54</v>
      </c>
      <c r="E45" s="133" t="s">
        <v>54</v>
      </c>
      <c r="F45" s="133" t="s">
        <v>25</v>
      </c>
      <c r="G45" s="133"/>
      <c r="H45" s="134"/>
      <c r="I45" s="134"/>
      <c r="J45" s="133" t="s">
        <v>28</v>
      </c>
      <c r="K45" s="134" t="s">
        <v>29</v>
      </c>
      <c r="L45" s="134" t="s">
        <v>87</v>
      </c>
      <c r="M45" s="135">
        <v>552783149.13</v>
      </c>
      <c r="N45" s="135">
        <v>445580800.40000004</v>
      </c>
      <c r="O45" s="137">
        <f t="shared" si="0"/>
        <v>0.80606798724107132</v>
      </c>
      <c r="P45" s="135">
        <v>417710820.51999998</v>
      </c>
      <c r="Q45" s="137">
        <f t="shared" si="0"/>
        <v>0.75565042309523334</v>
      </c>
      <c r="R45" s="135">
        <v>417710820.51999998</v>
      </c>
      <c r="S45" s="137">
        <f t="shared" ref="S45" si="38">+R45/$M45</f>
        <v>0.75565042309523334</v>
      </c>
    </row>
    <row r="46" spans="1:19" ht="24.95" customHeight="1">
      <c r="A46" s="32" t="e">
        <v>#REF!</v>
      </c>
      <c r="B46" s="138" t="s">
        <v>381</v>
      </c>
      <c r="C46" s="139" t="s">
        <v>23</v>
      </c>
      <c r="D46" s="139" t="s">
        <v>54</v>
      </c>
      <c r="E46" s="139" t="s">
        <v>54</v>
      </c>
      <c r="F46" s="139" t="s">
        <v>25</v>
      </c>
      <c r="G46" s="139" t="s">
        <v>31</v>
      </c>
      <c r="H46" s="140"/>
      <c r="I46" s="140"/>
      <c r="J46" s="139" t="s">
        <v>28</v>
      </c>
      <c r="K46" s="140" t="s">
        <v>29</v>
      </c>
      <c r="L46" s="140" t="s">
        <v>88</v>
      </c>
      <c r="M46" s="141">
        <v>22000000</v>
      </c>
      <c r="N46" s="141">
        <v>10999999.050000001</v>
      </c>
      <c r="O46" s="143">
        <f t="shared" si="0"/>
        <v>0.49999995681818188</v>
      </c>
      <c r="P46" s="141">
        <v>10999999.050000001</v>
      </c>
      <c r="Q46" s="143">
        <f t="shared" si="0"/>
        <v>0.49999995681818188</v>
      </c>
      <c r="R46" s="141">
        <v>10999999.050000001</v>
      </c>
      <c r="S46" s="143">
        <f t="shared" ref="S46" si="39">+R46/$M46</f>
        <v>0.49999995681818188</v>
      </c>
    </row>
    <row r="47" spans="1:19" ht="24.95" customHeight="1">
      <c r="A47" s="32" t="e">
        <v>#REF!</v>
      </c>
      <c r="B47" s="144" t="s">
        <v>555</v>
      </c>
      <c r="C47" s="145" t="s">
        <v>23</v>
      </c>
      <c r="D47" s="145" t="s">
        <v>54</v>
      </c>
      <c r="E47" s="145" t="s">
        <v>54</v>
      </c>
      <c r="F47" s="145" t="s">
        <v>25</v>
      </c>
      <c r="G47" s="145" t="s">
        <v>31</v>
      </c>
      <c r="H47" s="145" t="s">
        <v>40</v>
      </c>
      <c r="I47" s="145"/>
      <c r="J47" s="145">
        <v>10</v>
      </c>
      <c r="K47" s="146" t="s">
        <v>29</v>
      </c>
      <c r="L47" s="147" t="s">
        <v>89</v>
      </c>
      <c r="M47" s="148">
        <v>11000000</v>
      </c>
      <c r="N47" s="148">
        <v>10999999.050000001</v>
      </c>
      <c r="O47" s="150">
        <f t="shared" si="0"/>
        <v>0.99999991363636376</v>
      </c>
      <c r="P47" s="148">
        <v>10999999.050000001</v>
      </c>
      <c r="Q47" s="150">
        <f t="shared" si="0"/>
        <v>0.99999991363636376</v>
      </c>
      <c r="R47" s="148">
        <v>10999999.050000001</v>
      </c>
      <c r="S47" s="150">
        <f t="shared" ref="S47" si="40">+R47/$M47</f>
        <v>0.99999991363636376</v>
      </c>
    </row>
    <row r="48" spans="1:19" ht="24.95" customHeight="1">
      <c r="A48" s="32" t="e">
        <v>#REF!</v>
      </c>
      <c r="B48" s="144" t="s">
        <v>557</v>
      </c>
      <c r="C48" s="145" t="s">
        <v>23</v>
      </c>
      <c r="D48" s="145" t="s">
        <v>54</v>
      </c>
      <c r="E48" s="145" t="s">
        <v>54</v>
      </c>
      <c r="F48" s="145" t="s">
        <v>25</v>
      </c>
      <c r="G48" s="145" t="s">
        <v>31</v>
      </c>
      <c r="H48" s="145" t="s">
        <v>44</v>
      </c>
      <c r="I48" s="145"/>
      <c r="J48" s="145">
        <v>10</v>
      </c>
      <c r="K48" s="146" t="s">
        <v>29</v>
      </c>
      <c r="L48" s="147" t="s">
        <v>90</v>
      </c>
      <c r="M48" s="148">
        <v>11000000</v>
      </c>
      <c r="N48" s="148">
        <v>0</v>
      </c>
      <c r="O48" s="150">
        <f t="shared" si="0"/>
        <v>0</v>
      </c>
      <c r="P48" s="148">
        <v>0</v>
      </c>
      <c r="Q48" s="150">
        <f t="shared" si="0"/>
        <v>0</v>
      </c>
      <c r="R48" s="148">
        <v>0</v>
      </c>
      <c r="S48" s="150">
        <f t="shared" ref="S48" si="41">+R48/$M48</f>
        <v>0</v>
      </c>
    </row>
    <row r="49" spans="1:19" ht="24.95" customHeight="1">
      <c r="A49" s="32" t="e">
        <v>#REF!</v>
      </c>
      <c r="B49" s="138" t="s">
        <v>383</v>
      </c>
      <c r="C49" s="139" t="s">
        <v>23</v>
      </c>
      <c r="D49" s="139" t="s">
        <v>54</v>
      </c>
      <c r="E49" s="139" t="s">
        <v>54</v>
      </c>
      <c r="F49" s="139" t="s">
        <v>25</v>
      </c>
      <c r="G49" s="139" t="s">
        <v>34</v>
      </c>
      <c r="H49" s="140"/>
      <c r="I49" s="140"/>
      <c r="J49" s="139" t="s">
        <v>28</v>
      </c>
      <c r="K49" s="140" t="s">
        <v>29</v>
      </c>
      <c r="L49" s="140" t="s">
        <v>91</v>
      </c>
      <c r="M49" s="141">
        <v>68748515</v>
      </c>
      <c r="N49" s="141">
        <v>68637080.620000005</v>
      </c>
      <c r="O49" s="143">
        <f t="shared" si="0"/>
        <v>0.99837910127949681</v>
      </c>
      <c r="P49" s="141">
        <v>45600724.039999999</v>
      </c>
      <c r="Q49" s="143">
        <f t="shared" si="0"/>
        <v>0.6632975859914938</v>
      </c>
      <c r="R49" s="141">
        <v>45600724.039999999</v>
      </c>
      <c r="S49" s="143">
        <f t="shared" ref="S49" si="42">+R49/$M49</f>
        <v>0.6632975859914938</v>
      </c>
    </row>
    <row r="50" spans="1:19" ht="24.95" customHeight="1">
      <c r="A50" s="32" t="e">
        <v>#REF!</v>
      </c>
      <c r="B50" s="144" t="s">
        <v>559</v>
      </c>
      <c r="C50" s="145" t="s">
        <v>23</v>
      </c>
      <c r="D50" s="145" t="s">
        <v>54</v>
      </c>
      <c r="E50" s="145" t="s">
        <v>54</v>
      </c>
      <c r="F50" s="145" t="s">
        <v>25</v>
      </c>
      <c r="G50" s="145" t="s">
        <v>34</v>
      </c>
      <c r="H50" s="145" t="s">
        <v>46</v>
      </c>
      <c r="I50" s="145"/>
      <c r="J50" s="145">
        <v>10</v>
      </c>
      <c r="K50" s="146" t="s">
        <v>29</v>
      </c>
      <c r="L50" s="147" t="s">
        <v>92</v>
      </c>
      <c r="M50" s="148">
        <v>68748515</v>
      </c>
      <c r="N50" s="148">
        <v>68637080.620000005</v>
      </c>
      <c r="O50" s="150">
        <f t="shared" si="0"/>
        <v>0.99837910127949681</v>
      </c>
      <c r="P50" s="148">
        <v>45600724.039999999</v>
      </c>
      <c r="Q50" s="150">
        <f t="shared" si="0"/>
        <v>0.6632975859914938</v>
      </c>
      <c r="R50" s="148">
        <v>45600724.039999999</v>
      </c>
      <c r="S50" s="150">
        <f t="shared" ref="S50" si="43">+R50/$M50</f>
        <v>0.6632975859914938</v>
      </c>
    </row>
    <row r="51" spans="1:19" ht="24.95" customHeight="1">
      <c r="A51" s="32" t="e">
        <v>#REF!</v>
      </c>
      <c r="B51" s="138" t="s">
        <v>385</v>
      </c>
      <c r="C51" s="139" t="s">
        <v>23</v>
      </c>
      <c r="D51" s="139" t="s">
        <v>54</v>
      </c>
      <c r="E51" s="139" t="s">
        <v>54</v>
      </c>
      <c r="F51" s="139" t="s">
        <v>25</v>
      </c>
      <c r="G51" s="139" t="s">
        <v>36</v>
      </c>
      <c r="H51" s="140"/>
      <c r="I51" s="140"/>
      <c r="J51" s="139" t="s">
        <v>28</v>
      </c>
      <c r="K51" s="140" t="s">
        <v>29</v>
      </c>
      <c r="L51" s="140" t="s">
        <v>93</v>
      </c>
      <c r="M51" s="141">
        <v>334012249.13</v>
      </c>
      <c r="N51" s="141">
        <v>257963186.99000001</v>
      </c>
      <c r="O51" s="143">
        <f t="shared" si="0"/>
        <v>0.77231654725811827</v>
      </c>
      <c r="P51" s="141">
        <v>253129563.69</v>
      </c>
      <c r="Q51" s="143">
        <f t="shared" si="0"/>
        <v>0.75784515193477275</v>
      </c>
      <c r="R51" s="141">
        <v>253129563.69</v>
      </c>
      <c r="S51" s="143">
        <f t="shared" ref="S51" si="44">+R51/$M51</f>
        <v>0.75784515193477275</v>
      </c>
    </row>
    <row r="52" spans="1:19" ht="24.95" customHeight="1">
      <c r="A52" s="32" t="e">
        <v>#REF!</v>
      </c>
      <c r="B52" s="144" t="s">
        <v>561</v>
      </c>
      <c r="C52" s="145" t="s">
        <v>23</v>
      </c>
      <c r="D52" s="145" t="s">
        <v>54</v>
      </c>
      <c r="E52" s="145" t="s">
        <v>54</v>
      </c>
      <c r="F52" s="145" t="s">
        <v>25</v>
      </c>
      <c r="G52" s="145" t="s">
        <v>36</v>
      </c>
      <c r="H52" s="145" t="s">
        <v>34</v>
      </c>
      <c r="I52" s="145"/>
      <c r="J52" s="145">
        <v>10</v>
      </c>
      <c r="K52" s="146" t="s">
        <v>29</v>
      </c>
      <c r="L52" s="147" t="s">
        <v>94</v>
      </c>
      <c r="M52" s="148">
        <v>125013212</v>
      </c>
      <c r="N52" s="148">
        <v>123466003.31</v>
      </c>
      <c r="O52" s="150">
        <f t="shared" si="0"/>
        <v>0.98762363861189328</v>
      </c>
      <c r="P52" s="148">
        <v>123466003.31</v>
      </c>
      <c r="Q52" s="150">
        <f t="shared" si="0"/>
        <v>0.98762363861189328</v>
      </c>
      <c r="R52" s="148">
        <v>123466003.31</v>
      </c>
      <c r="S52" s="150">
        <f t="shared" ref="S52" si="45">+R52/$M52</f>
        <v>0.98762363861189328</v>
      </c>
    </row>
    <row r="53" spans="1:19" ht="24.95" customHeight="1">
      <c r="A53" s="32" t="e">
        <v>#REF!</v>
      </c>
      <c r="B53" s="144" t="s">
        <v>563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36</v>
      </c>
      <c r="H53" s="145" t="s">
        <v>36</v>
      </c>
      <c r="I53" s="145"/>
      <c r="J53" s="145">
        <v>10</v>
      </c>
      <c r="K53" s="146" t="s">
        <v>29</v>
      </c>
      <c r="L53" s="147" t="s">
        <v>95</v>
      </c>
      <c r="M53" s="148">
        <v>57510582</v>
      </c>
      <c r="N53" s="148">
        <v>57508729.979999997</v>
      </c>
      <c r="O53" s="150">
        <f t="shared" si="0"/>
        <v>0.99996779688301529</v>
      </c>
      <c r="P53" s="148">
        <v>52675106.68</v>
      </c>
      <c r="Q53" s="150">
        <f t="shared" si="0"/>
        <v>0.91592025064187321</v>
      </c>
      <c r="R53" s="148">
        <v>52675106.68</v>
      </c>
      <c r="S53" s="150">
        <f t="shared" ref="S53" si="46">+R53/$M53</f>
        <v>0.91592025064187321</v>
      </c>
    </row>
    <row r="54" spans="1:19" ht="24.95" customHeight="1">
      <c r="A54" s="32" t="e">
        <v>#REF!</v>
      </c>
      <c r="B54" s="144" t="s">
        <v>565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40</v>
      </c>
      <c r="I54" s="145"/>
      <c r="J54" s="145">
        <v>10</v>
      </c>
      <c r="K54" s="146" t="s">
        <v>29</v>
      </c>
      <c r="L54" s="147" t="s">
        <v>96</v>
      </c>
      <c r="M54" s="148">
        <v>66000000.129999995</v>
      </c>
      <c r="N54" s="148">
        <v>5999999.9699999997</v>
      </c>
      <c r="O54" s="150">
        <f t="shared" si="0"/>
        <v>9.0909090275482093E-2</v>
      </c>
      <c r="P54" s="148">
        <v>5999999.9699999997</v>
      </c>
      <c r="Q54" s="150">
        <f t="shared" si="0"/>
        <v>9.0909090275482093E-2</v>
      </c>
      <c r="R54" s="148">
        <v>5999999.9699999997</v>
      </c>
      <c r="S54" s="150">
        <f t="shared" ref="S54" si="47">+R54/$M54</f>
        <v>9.0909090275482093E-2</v>
      </c>
    </row>
    <row r="55" spans="1:19" ht="24.95" customHeight="1">
      <c r="A55" s="32" t="e">
        <v>#REF!</v>
      </c>
      <c r="B55" s="144" t="s">
        <v>567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42</v>
      </c>
      <c r="I55" s="145"/>
      <c r="J55" s="145">
        <v>10</v>
      </c>
      <c r="K55" s="146" t="s">
        <v>29</v>
      </c>
      <c r="L55" s="147" t="s">
        <v>97</v>
      </c>
      <c r="M55" s="148">
        <v>20000000</v>
      </c>
      <c r="N55" s="148">
        <v>19999999.109999999</v>
      </c>
      <c r="O55" s="150">
        <f t="shared" si="0"/>
        <v>0.99999995549999998</v>
      </c>
      <c r="P55" s="148">
        <v>19999999.109999999</v>
      </c>
      <c r="Q55" s="150">
        <f t="shared" si="0"/>
        <v>0.99999995549999998</v>
      </c>
      <c r="R55" s="148">
        <v>19999999.109999999</v>
      </c>
      <c r="S55" s="150">
        <f t="shared" ref="S55" si="48">+R55/$M55</f>
        <v>0.99999995549999998</v>
      </c>
    </row>
    <row r="56" spans="1:19" ht="24.95" hidden="1" customHeight="1">
      <c r="A56" s="32" t="e">
        <v>#REF!</v>
      </c>
      <c r="B56" s="144" t="s">
        <v>569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44</v>
      </c>
      <c r="I56" s="145"/>
      <c r="J56" s="145">
        <v>10</v>
      </c>
      <c r="K56" s="146" t="s">
        <v>29</v>
      </c>
      <c r="L56" s="147" t="s">
        <v>98</v>
      </c>
      <c r="M56" s="148">
        <v>0</v>
      </c>
      <c r="N56" s="148">
        <v>0</v>
      </c>
      <c r="O56" s="150" t="e">
        <f t="shared" si="0"/>
        <v>#DIV/0!</v>
      </c>
      <c r="P56" s="148">
        <v>0</v>
      </c>
      <c r="Q56" s="150" t="e">
        <f t="shared" si="0"/>
        <v>#DIV/0!</v>
      </c>
      <c r="R56" s="148">
        <v>0</v>
      </c>
      <c r="S56" s="150" t="e">
        <f t="shared" ref="S56" si="49">+R56/$M56</f>
        <v>#DIV/0!</v>
      </c>
    </row>
    <row r="57" spans="1:19" ht="24.95" customHeight="1">
      <c r="A57" s="32" t="e">
        <v>#REF!</v>
      </c>
      <c r="B57" s="144" t="s">
        <v>571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46</v>
      </c>
      <c r="I57" s="145"/>
      <c r="J57" s="145">
        <v>10</v>
      </c>
      <c r="K57" s="146" t="s">
        <v>29</v>
      </c>
      <c r="L57" s="147" t="s">
        <v>99</v>
      </c>
      <c r="M57" s="148">
        <v>65488455</v>
      </c>
      <c r="N57" s="148">
        <v>50988454.619999997</v>
      </c>
      <c r="O57" s="150">
        <f t="shared" si="0"/>
        <v>0.77858692222926917</v>
      </c>
      <c r="P57" s="148">
        <v>50988454.619999997</v>
      </c>
      <c r="Q57" s="150">
        <f t="shared" si="0"/>
        <v>0.77858692222926917</v>
      </c>
      <c r="R57" s="148">
        <v>50988454.619999997</v>
      </c>
      <c r="S57" s="150">
        <f t="shared" ref="S57" si="50">+R57/$M57</f>
        <v>0.77858692222926917</v>
      </c>
    </row>
    <row r="58" spans="1:19" ht="24.95" customHeight="1">
      <c r="A58" s="32" t="e">
        <v>#REF!</v>
      </c>
      <c r="B58" s="138" t="s">
        <v>387</v>
      </c>
      <c r="C58" s="139" t="s">
        <v>23</v>
      </c>
      <c r="D58" s="139" t="s">
        <v>54</v>
      </c>
      <c r="E58" s="139" t="s">
        <v>54</v>
      </c>
      <c r="F58" s="139" t="s">
        <v>25</v>
      </c>
      <c r="G58" s="139" t="s">
        <v>38</v>
      </c>
      <c r="H58" s="140"/>
      <c r="I58" s="140"/>
      <c r="J58" s="139" t="s">
        <v>28</v>
      </c>
      <c r="K58" s="140" t="s">
        <v>29</v>
      </c>
      <c r="L58" s="140" t="s">
        <v>100</v>
      </c>
      <c r="M58" s="141">
        <v>128022385</v>
      </c>
      <c r="N58" s="141">
        <v>107980533.73999999</v>
      </c>
      <c r="O58" s="143">
        <f t="shared" si="0"/>
        <v>0.84345041486299444</v>
      </c>
      <c r="P58" s="141">
        <v>107980533.73999999</v>
      </c>
      <c r="Q58" s="143">
        <f t="shared" si="0"/>
        <v>0.84345041486299444</v>
      </c>
      <c r="R58" s="141">
        <v>107980533.73999999</v>
      </c>
      <c r="S58" s="143">
        <f t="shared" ref="S58" si="51">+R58/$M58</f>
        <v>0.84345041486299444</v>
      </c>
    </row>
    <row r="59" spans="1:19" ht="24.95" customHeight="1">
      <c r="A59" s="32" t="e">
        <v>#REF!</v>
      </c>
      <c r="B59" s="144" t="s">
        <v>573</v>
      </c>
      <c r="C59" s="145" t="s">
        <v>23</v>
      </c>
      <c r="D59" s="145" t="s">
        <v>54</v>
      </c>
      <c r="E59" s="145" t="s">
        <v>54</v>
      </c>
      <c r="F59" s="145" t="s">
        <v>25</v>
      </c>
      <c r="G59" s="145" t="s">
        <v>38</v>
      </c>
      <c r="H59" s="145" t="s">
        <v>34</v>
      </c>
      <c r="I59" s="145"/>
      <c r="J59" s="145">
        <v>10</v>
      </c>
      <c r="K59" s="146" t="s">
        <v>29</v>
      </c>
      <c r="L59" s="147" t="s">
        <v>101</v>
      </c>
      <c r="M59" s="148">
        <v>23000000</v>
      </c>
      <c r="N59" s="148">
        <v>19999823.739999998</v>
      </c>
      <c r="O59" s="150">
        <f t="shared" si="0"/>
        <v>0.86955755391304346</v>
      </c>
      <c r="P59" s="148">
        <v>19999823.739999998</v>
      </c>
      <c r="Q59" s="150">
        <f t="shared" si="0"/>
        <v>0.86955755391304346</v>
      </c>
      <c r="R59" s="148">
        <v>19999823.739999998</v>
      </c>
      <c r="S59" s="150">
        <f t="shared" ref="S59" si="52">+R59/$M59</f>
        <v>0.86955755391304346</v>
      </c>
    </row>
    <row r="60" spans="1:19" ht="24.95" customHeight="1">
      <c r="A60" s="32" t="e">
        <v>#REF!</v>
      </c>
      <c r="B60" s="144" t="s">
        <v>575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40</v>
      </c>
      <c r="I60" s="145"/>
      <c r="J60" s="145">
        <v>10</v>
      </c>
      <c r="K60" s="146" t="s">
        <v>29</v>
      </c>
      <c r="L60" s="147" t="s">
        <v>102</v>
      </c>
      <c r="M60" s="148">
        <v>0</v>
      </c>
      <c r="N60" s="148">
        <v>0</v>
      </c>
      <c r="O60" s="150" t="e">
        <f t="shared" si="0"/>
        <v>#DIV/0!</v>
      </c>
      <c r="P60" s="148">
        <v>0</v>
      </c>
      <c r="Q60" s="150" t="e">
        <f t="shared" si="0"/>
        <v>#DIV/0!</v>
      </c>
      <c r="R60" s="148">
        <v>0</v>
      </c>
      <c r="S60" s="150" t="e">
        <f t="shared" ref="S60" si="53">+R60/$M60</f>
        <v>#DIV/0!</v>
      </c>
    </row>
    <row r="61" spans="1:19" ht="24.95" customHeight="1">
      <c r="A61" s="32" t="e">
        <v>#REF!</v>
      </c>
      <c r="B61" s="144" t="s">
        <v>577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42</v>
      </c>
      <c r="I61" s="145"/>
      <c r="J61" s="145">
        <v>10</v>
      </c>
      <c r="K61" s="146" t="s">
        <v>29</v>
      </c>
      <c r="L61" s="147" t="s">
        <v>84</v>
      </c>
      <c r="M61" s="148">
        <v>25041675</v>
      </c>
      <c r="N61" s="148">
        <v>8000000</v>
      </c>
      <c r="O61" s="150">
        <f t="shared" si="0"/>
        <v>0.31946744776457647</v>
      </c>
      <c r="P61" s="148">
        <v>8000000</v>
      </c>
      <c r="Q61" s="150">
        <f t="shared" si="0"/>
        <v>0.31946744776457647</v>
      </c>
      <c r="R61" s="148">
        <v>8000000</v>
      </c>
      <c r="S61" s="150">
        <f t="shared" ref="S61" si="54">+R61/$M61</f>
        <v>0.31946744776457647</v>
      </c>
    </row>
    <row r="62" spans="1:19" ht="24.95" customHeight="1">
      <c r="A62" s="32" t="e">
        <v>#REF!</v>
      </c>
      <c r="B62" s="144" t="s">
        <v>579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44</v>
      </c>
      <c r="I62" s="145"/>
      <c r="J62" s="145">
        <v>10</v>
      </c>
      <c r="K62" s="146" t="s">
        <v>29</v>
      </c>
      <c r="L62" s="147" t="s">
        <v>85</v>
      </c>
      <c r="M62" s="148">
        <v>79980710</v>
      </c>
      <c r="N62" s="148">
        <v>79980710</v>
      </c>
      <c r="O62" s="150">
        <f t="shared" si="0"/>
        <v>1</v>
      </c>
      <c r="P62" s="148">
        <v>79980710</v>
      </c>
      <c r="Q62" s="150">
        <f t="shared" si="0"/>
        <v>1</v>
      </c>
      <c r="R62" s="148">
        <v>79980710</v>
      </c>
      <c r="S62" s="150">
        <f t="shared" ref="S62" si="55">+R62/$M62</f>
        <v>1</v>
      </c>
    </row>
    <row r="63" spans="1:19" ht="24.95" hidden="1" customHeight="1">
      <c r="A63" s="32" t="e">
        <v>#REF!</v>
      </c>
      <c r="B63" s="32"/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46</v>
      </c>
      <c r="I63" s="145"/>
      <c r="J63" s="145">
        <v>10</v>
      </c>
      <c r="K63" s="146" t="s">
        <v>29</v>
      </c>
      <c r="L63" s="147" t="s">
        <v>258</v>
      </c>
      <c r="M63" s="148">
        <v>0</v>
      </c>
      <c r="N63" s="148">
        <v>0</v>
      </c>
      <c r="O63" s="150" t="e">
        <f t="shared" si="0"/>
        <v>#DIV/0!</v>
      </c>
      <c r="P63" s="148">
        <v>0</v>
      </c>
      <c r="Q63" s="150" t="e">
        <f t="shared" si="0"/>
        <v>#DIV/0!</v>
      </c>
      <c r="R63" s="148">
        <v>0</v>
      </c>
      <c r="S63" s="150" t="e">
        <f t="shared" ref="S63" si="56">+R63/$M63</f>
        <v>#DIV/0!</v>
      </c>
    </row>
    <row r="64" spans="1:19" ht="24.95" customHeight="1">
      <c r="A64" s="32" t="e">
        <v>#REF!</v>
      </c>
      <c r="B64" s="132" t="s">
        <v>389</v>
      </c>
      <c r="C64" s="133" t="s">
        <v>23</v>
      </c>
      <c r="D64" s="133" t="s">
        <v>54</v>
      </c>
      <c r="E64" s="133" t="s">
        <v>54</v>
      </c>
      <c r="F64" s="133" t="s">
        <v>54</v>
      </c>
      <c r="G64" s="133"/>
      <c r="H64" s="134"/>
      <c r="I64" s="134"/>
      <c r="J64" s="133" t="s">
        <v>28</v>
      </c>
      <c r="K64" s="134" t="s">
        <v>29</v>
      </c>
      <c r="L64" s="134" t="s">
        <v>103</v>
      </c>
      <c r="M64" s="135">
        <v>41736216850.869995</v>
      </c>
      <c r="N64" s="135">
        <v>41117944476.299995</v>
      </c>
      <c r="O64" s="137">
        <f t="shared" si="0"/>
        <v>0.98518619028698307</v>
      </c>
      <c r="P64" s="135">
        <v>40818217440.599998</v>
      </c>
      <c r="Q64" s="137">
        <f t="shared" si="0"/>
        <v>0.97800472875751654</v>
      </c>
      <c r="R64" s="135">
        <v>40818217440.599998</v>
      </c>
      <c r="S64" s="137">
        <f t="shared" ref="S64" si="57">+R64/$M64</f>
        <v>0.97800472875751654</v>
      </c>
    </row>
    <row r="65" spans="1:19" ht="31.5" customHeight="1">
      <c r="A65" s="32" t="e">
        <v>#REF!</v>
      </c>
      <c r="B65" s="138" t="s">
        <v>391</v>
      </c>
      <c r="C65" s="139" t="s">
        <v>23</v>
      </c>
      <c r="D65" s="139" t="s">
        <v>54</v>
      </c>
      <c r="E65" s="139" t="s">
        <v>54</v>
      </c>
      <c r="F65" s="139" t="s">
        <v>54</v>
      </c>
      <c r="G65" s="139" t="s">
        <v>42</v>
      </c>
      <c r="H65" s="140"/>
      <c r="I65" s="140"/>
      <c r="J65" s="139" t="s">
        <v>28</v>
      </c>
      <c r="K65" s="140" t="s">
        <v>29</v>
      </c>
      <c r="L65" s="140" t="s">
        <v>104</v>
      </c>
      <c r="M65" s="141">
        <v>4025793792</v>
      </c>
      <c r="N65" s="141">
        <v>3912623741.0999999</v>
      </c>
      <c r="O65" s="143">
        <f t="shared" si="0"/>
        <v>0.97188876113702349</v>
      </c>
      <c r="P65" s="141">
        <v>3880746855.0999999</v>
      </c>
      <c r="Q65" s="143">
        <f t="shared" si="0"/>
        <v>0.96397059949065567</v>
      </c>
      <c r="R65" s="141">
        <v>3880746855.0999999</v>
      </c>
      <c r="S65" s="143">
        <f t="shared" ref="S65" si="58">+R65/$M65</f>
        <v>0.96397059949065567</v>
      </c>
    </row>
    <row r="66" spans="1:19" ht="24.95" customHeight="1">
      <c r="A66" s="32" t="e">
        <v>#REF!</v>
      </c>
      <c r="B66" s="144" t="s">
        <v>583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36</v>
      </c>
      <c r="I66" s="145"/>
      <c r="J66" s="145">
        <v>10</v>
      </c>
      <c r="K66" s="146" t="s">
        <v>29</v>
      </c>
      <c r="L66" s="147" t="s">
        <v>105</v>
      </c>
      <c r="M66" s="148">
        <v>60471053</v>
      </c>
      <c r="N66" s="148">
        <v>40311880</v>
      </c>
      <c r="O66" s="150">
        <f t="shared" si="0"/>
        <v>0.6666310242687522</v>
      </c>
      <c r="P66" s="148">
        <v>40311880</v>
      </c>
      <c r="Q66" s="150">
        <f t="shared" si="0"/>
        <v>0.6666310242687522</v>
      </c>
      <c r="R66" s="148">
        <v>40311880</v>
      </c>
      <c r="S66" s="150">
        <f t="shared" ref="S66" si="59">+R66/$M66</f>
        <v>0.6666310242687522</v>
      </c>
    </row>
    <row r="67" spans="1:19" ht="24.95" customHeight="1">
      <c r="A67" s="32" t="e">
        <v>#REF!</v>
      </c>
      <c r="B67" s="144" t="s">
        <v>585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38</v>
      </c>
      <c r="I67" s="145"/>
      <c r="J67" s="145">
        <v>10</v>
      </c>
      <c r="K67" s="146" t="s">
        <v>29</v>
      </c>
      <c r="L67" s="147" t="s">
        <v>106</v>
      </c>
      <c r="M67" s="148">
        <v>1538596445</v>
      </c>
      <c r="N67" s="148">
        <v>1469675773</v>
      </c>
      <c r="O67" s="150">
        <f t="shared" si="0"/>
        <v>0.95520549119688103</v>
      </c>
      <c r="P67" s="148">
        <v>1467798887</v>
      </c>
      <c r="Q67" s="150">
        <f t="shared" si="0"/>
        <v>0.9539856222662727</v>
      </c>
      <c r="R67" s="148">
        <v>1467798887</v>
      </c>
      <c r="S67" s="150">
        <f t="shared" ref="S67" si="60">+R67/$M67</f>
        <v>0.9539856222662727</v>
      </c>
    </row>
    <row r="68" spans="1:19" ht="24.95" customHeight="1">
      <c r="A68" s="32" t="e">
        <v>#REF!</v>
      </c>
      <c r="B68" s="144" t="s">
        <v>587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40</v>
      </c>
      <c r="I68" s="145"/>
      <c r="J68" s="145">
        <v>10</v>
      </c>
      <c r="K68" s="146" t="s">
        <v>29</v>
      </c>
      <c r="L68" s="147" t="s">
        <v>107</v>
      </c>
      <c r="M68" s="148">
        <v>62000000</v>
      </c>
      <c r="N68" s="148">
        <v>49867904</v>
      </c>
      <c r="O68" s="150">
        <f t="shared" si="0"/>
        <v>0.80432103225806451</v>
      </c>
      <c r="P68" s="148">
        <v>49867904</v>
      </c>
      <c r="Q68" s="150">
        <f t="shared" si="0"/>
        <v>0.80432103225806451</v>
      </c>
      <c r="R68" s="148">
        <v>49867904</v>
      </c>
      <c r="S68" s="150">
        <f t="shared" ref="S68" si="61">+R68/$M68</f>
        <v>0.80432103225806451</v>
      </c>
    </row>
    <row r="69" spans="1:19" ht="24.95" hidden="1" customHeight="1">
      <c r="A69" s="32" t="e">
        <v>#REF!</v>
      </c>
      <c r="B69" s="144" t="s">
        <v>589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42</v>
      </c>
      <c r="I69" s="145"/>
      <c r="J69" s="145">
        <v>10</v>
      </c>
      <c r="K69" s="146" t="s">
        <v>29</v>
      </c>
      <c r="L69" s="147" t="s">
        <v>259</v>
      </c>
      <c r="M69" s="148">
        <v>0</v>
      </c>
      <c r="N69" s="148">
        <v>0</v>
      </c>
      <c r="O69" s="150" t="e">
        <f t="shared" si="0"/>
        <v>#DIV/0!</v>
      </c>
      <c r="P69" s="148">
        <v>0</v>
      </c>
      <c r="Q69" s="150" t="e">
        <f t="shared" si="0"/>
        <v>#DIV/0!</v>
      </c>
      <c r="R69" s="148">
        <v>0</v>
      </c>
      <c r="S69" s="150" t="e">
        <f t="shared" ref="S69" si="62">+R69/$M69</f>
        <v>#DIV/0!</v>
      </c>
    </row>
    <row r="70" spans="1:19" ht="24.95" customHeight="1">
      <c r="A70" s="32" t="e">
        <v>#REF!</v>
      </c>
      <c r="B70" s="144" t="s">
        <v>591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46</v>
      </c>
      <c r="I70" s="145"/>
      <c r="J70" s="145">
        <v>10</v>
      </c>
      <c r="K70" s="146" t="s">
        <v>29</v>
      </c>
      <c r="L70" s="147" t="s">
        <v>108</v>
      </c>
      <c r="M70" s="148">
        <v>1498418312</v>
      </c>
      <c r="N70" s="148">
        <v>1491537962</v>
      </c>
      <c r="O70" s="150">
        <f t="shared" si="0"/>
        <v>0.99540825819806189</v>
      </c>
      <c r="P70" s="148">
        <v>1461537962</v>
      </c>
      <c r="Q70" s="150">
        <f t="shared" si="0"/>
        <v>0.9753871467635935</v>
      </c>
      <c r="R70" s="148">
        <v>1461537962</v>
      </c>
      <c r="S70" s="150">
        <f t="shared" ref="S70" si="63">+R70/$M70</f>
        <v>0.9753871467635935</v>
      </c>
    </row>
    <row r="71" spans="1:19" ht="24.95" customHeight="1">
      <c r="A71" s="32" t="e">
        <v>#REF!</v>
      </c>
      <c r="B71" s="144" t="s">
        <v>593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42</v>
      </c>
      <c r="H71" s="145" t="s">
        <v>48</v>
      </c>
      <c r="I71" s="145"/>
      <c r="J71" s="145">
        <v>10</v>
      </c>
      <c r="K71" s="146" t="s">
        <v>29</v>
      </c>
      <c r="L71" s="147" t="s">
        <v>109</v>
      </c>
      <c r="M71" s="148">
        <v>866307982</v>
      </c>
      <c r="N71" s="148">
        <v>861230222.10000002</v>
      </c>
      <c r="O71" s="150">
        <f t="shared" si="0"/>
        <v>0.99413862043810652</v>
      </c>
      <c r="P71" s="148">
        <v>861230222.10000002</v>
      </c>
      <c r="Q71" s="150">
        <f t="shared" si="0"/>
        <v>0.99413862043810652</v>
      </c>
      <c r="R71" s="148">
        <v>861230222.10000002</v>
      </c>
      <c r="S71" s="150">
        <f t="shared" ref="S71" si="64">+R71/$M71</f>
        <v>0.99413862043810652</v>
      </c>
    </row>
    <row r="72" spans="1:19" ht="24.95" customHeight="1">
      <c r="A72" s="32" t="e">
        <v>#REF!</v>
      </c>
      <c r="B72" s="138" t="s">
        <v>393</v>
      </c>
      <c r="C72" s="139" t="s">
        <v>23</v>
      </c>
      <c r="D72" s="139" t="s">
        <v>54</v>
      </c>
      <c r="E72" s="139" t="s">
        <v>54</v>
      </c>
      <c r="F72" s="139" t="s">
        <v>54</v>
      </c>
      <c r="G72" s="139" t="s">
        <v>44</v>
      </c>
      <c r="H72" s="140"/>
      <c r="I72" s="140"/>
      <c r="J72" s="139" t="s">
        <v>28</v>
      </c>
      <c r="K72" s="140" t="s">
        <v>29</v>
      </c>
      <c r="L72" s="140" t="s">
        <v>110</v>
      </c>
      <c r="M72" s="141">
        <v>15483930581</v>
      </c>
      <c r="N72" s="141">
        <v>15449374736.040001</v>
      </c>
      <c r="O72" s="143">
        <f t="shared" ref="O72:Q135" si="65">+N72/$M72</f>
        <v>0.99776827693851833</v>
      </c>
      <c r="P72" s="141">
        <v>15449374736.040001</v>
      </c>
      <c r="Q72" s="143">
        <f t="shared" si="65"/>
        <v>0.99776827693851833</v>
      </c>
      <c r="R72" s="141">
        <v>15449374736.040001</v>
      </c>
      <c r="S72" s="143">
        <f t="shared" ref="S72" si="66">+R72/$M72</f>
        <v>0.99776827693851833</v>
      </c>
    </row>
    <row r="73" spans="1:19" ht="24.95" customHeight="1">
      <c r="A73" s="32" t="e">
        <v>#REF!</v>
      </c>
      <c r="B73" s="144" t="s">
        <v>595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44</v>
      </c>
      <c r="H73" s="145" t="s">
        <v>31</v>
      </c>
      <c r="I73" s="145"/>
      <c r="J73" s="145">
        <v>10</v>
      </c>
      <c r="K73" s="146" t="s">
        <v>29</v>
      </c>
      <c r="L73" s="147" t="s">
        <v>111</v>
      </c>
      <c r="M73" s="148">
        <v>923775914</v>
      </c>
      <c r="N73" s="148">
        <v>912075140.03999996</v>
      </c>
      <c r="O73" s="150">
        <f t="shared" si="65"/>
        <v>0.98733375293437231</v>
      </c>
      <c r="P73" s="148">
        <v>912075140.03999996</v>
      </c>
      <c r="Q73" s="150">
        <f t="shared" si="65"/>
        <v>0.98733375293437231</v>
      </c>
      <c r="R73" s="148">
        <v>912075140.03999996</v>
      </c>
      <c r="S73" s="150">
        <f t="shared" ref="S73" si="67">+R73/$M73</f>
        <v>0.98733375293437231</v>
      </c>
    </row>
    <row r="74" spans="1:19" ht="24.95" customHeight="1">
      <c r="A74" s="32" t="e">
        <v>#REF!</v>
      </c>
      <c r="B74" s="144" t="s">
        <v>597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44</v>
      </c>
      <c r="H74" s="145" t="s">
        <v>34</v>
      </c>
      <c r="I74" s="145"/>
      <c r="J74" s="145">
        <v>10</v>
      </c>
      <c r="K74" s="146" t="s">
        <v>29</v>
      </c>
      <c r="L74" s="147" t="s">
        <v>112</v>
      </c>
      <c r="M74" s="148">
        <v>14560154667</v>
      </c>
      <c r="N74" s="148">
        <v>14537299596</v>
      </c>
      <c r="O74" s="150">
        <f t="shared" si="65"/>
        <v>0.99843030025966684</v>
      </c>
      <c r="P74" s="148">
        <v>14537299596</v>
      </c>
      <c r="Q74" s="150">
        <f t="shared" si="65"/>
        <v>0.99843030025966684</v>
      </c>
      <c r="R74" s="148">
        <v>14537299596</v>
      </c>
      <c r="S74" s="150">
        <f t="shared" ref="S74" si="68">+R74/$M74</f>
        <v>0.99843030025966684</v>
      </c>
    </row>
    <row r="75" spans="1:19" ht="24.95" customHeight="1">
      <c r="A75" s="32" t="e">
        <v>#REF!</v>
      </c>
      <c r="B75" s="138" t="s">
        <v>395</v>
      </c>
      <c r="C75" s="139" t="s">
        <v>23</v>
      </c>
      <c r="D75" s="139" t="s">
        <v>54</v>
      </c>
      <c r="E75" s="139" t="s">
        <v>54</v>
      </c>
      <c r="F75" s="139" t="s">
        <v>54</v>
      </c>
      <c r="G75" s="139" t="s">
        <v>46</v>
      </c>
      <c r="H75" s="140"/>
      <c r="I75" s="140"/>
      <c r="J75" s="139" t="s">
        <v>28</v>
      </c>
      <c r="K75" s="140" t="s">
        <v>29</v>
      </c>
      <c r="L75" s="140" t="s">
        <v>113</v>
      </c>
      <c r="M75" s="141">
        <v>19398649003.869999</v>
      </c>
      <c r="N75" s="141">
        <v>19096914813.649998</v>
      </c>
      <c r="O75" s="143">
        <f t="shared" si="65"/>
        <v>0.98444560803384784</v>
      </c>
      <c r="P75" s="141">
        <v>18857477437.949997</v>
      </c>
      <c r="Q75" s="143">
        <f t="shared" si="65"/>
        <v>0.97210261571246337</v>
      </c>
      <c r="R75" s="141">
        <v>18857477437.949997</v>
      </c>
      <c r="S75" s="143">
        <f t="shared" ref="S75" si="69">+R75/$M75</f>
        <v>0.97210261571246337</v>
      </c>
    </row>
    <row r="76" spans="1:19" ht="24.95" customHeight="1">
      <c r="A76" s="32" t="e">
        <v>#REF!</v>
      </c>
      <c r="B76" s="144" t="s">
        <v>599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34</v>
      </c>
      <c r="I76" s="145"/>
      <c r="J76" s="145">
        <v>10</v>
      </c>
      <c r="K76" s="146" t="s">
        <v>29</v>
      </c>
      <c r="L76" s="147" t="s">
        <v>114</v>
      </c>
      <c r="M76" s="148">
        <v>24625950</v>
      </c>
      <c r="N76" s="148">
        <v>23816589</v>
      </c>
      <c r="O76" s="150">
        <f t="shared" si="65"/>
        <v>0.96713381615734617</v>
      </c>
      <c r="P76" s="148">
        <v>23196589</v>
      </c>
      <c r="Q76" s="150">
        <f t="shared" si="65"/>
        <v>0.94195712246634145</v>
      </c>
      <c r="R76" s="148">
        <v>23196589</v>
      </c>
      <c r="S76" s="150">
        <f t="shared" ref="S76" si="70">+R76/$M76</f>
        <v>0.94195712246634145</v>
      </c>
    </row>
    <row r="77" spans="1:19" ht="24.95" customHeight="1">
      <c r="A77" s="32" t="e">
        <v>#REF!</v>
      </c>
      <c r="B77" s="144" t="s">
        <v>601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36</v>
      </c>
      <c r="I77" s="145"/>
      <c r="J77" s="145">
        <v>10</v>
      </c>
      <c r="K77" s="146" t="s">
        <v>29</v>
      </c>
      <c r="L77" s="147" t="s">
        <v>115</v>
      </c>
      <c r="M77" s="148">
        <v>9893648221</v>
      </c>
      <c r="N77" s="148">
        <v>9893336351</v>
      </c>
      <c r="O77" s="150">
        <f t="shared" si="65"/>
        <v>0.99996847775532005</v>
      </c>
      <c r="P77" s="148">
        <v>9893336351</v>
      </c>
      <c r="Q77" s="150">
        <f t="shared" si="65"/>
        <v>0.99996847775532005</v>
      </c>
      <c r="R77" s="148">
        <v>9893336351</v>
      </c>
      <c r="S77" s="150">
        <f t="shared" ref="S77" si="71">+R77/$M77</f>
        <v>0.99996847775532005</v>
      </c>
    </row>
    <row r="78" spans="1:19" ht="24.95" customHeight="1">
      <c r="A78" s="32" t="e">
        <v>#REF!</v>
      </c>
      <c r="B78" s="144" t="s">
        <v>603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38</v>
      </c>
      <c r="I78" s="145"/>
      <c r="J78" s="145">
        <v>10</v>
      </c>
      <c r="K78" s="146" t="s">
        <v>29</v>
      </c>
      <c r="L78" s="147" t="s">
        <v>116</v>
      </c>
      <c r="M78" s="148">
        <v>2205961885.8699999</v>
      </c>
      <c r="N78" s="148">
        <v>2169566776.6900001</v>
      </c>
      <c r="O78" s="150">
        <f t="shared" si="65"/>
        <v>0.98350147869139359</v>
      </c>
      <c r="P78" s="148">
        <v>2166990402.8899999</v>
      </c>
      <c r="Q78" s="150">
        <f t="shared" si="65"/>
        <v>0.98233356467778221</v>
      </c>
      <c r="R78" s="148">
        <v>2166990402.8899999</v>
      </c>
      <c r="S78" s="150">
        <f t="shared" ref="S78" si="72">+R78/$M78</f>
        <v>0.98233356467778221</v>
      </c>
    </row>
    <row r="79" spans="1:19" ht="24.95" customHeight="1">
      <c r="A79" s="32" t="e">
        <v>#REF!</v>
      </c>
      <c r="B79" s="144" t="s">
        <v>605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40</v>
      </c>
      <c r="I79" s="145"/>
      <c r="J79" s="145">
        <v>10</v>
      </c>
      <c r="K79" s="146" t="s">
        <v>29</v>
      </c>
      <c r="L79" s="147" t="s">
        <v>117</v>
      </c>
      <c r="M79" s="148">
        <v>6586613354</v>
      </c>
      <c r="N79" s="148">
        <v>6358016979.54</v>
      </c>
      <c r="O79" s="150">
        <f t="shared" si="65"/>
        <v>0.96529379179040842</v>
      </c>
      <c r="P79" s="148">
        <v>6154521709.9399996</v>
      </c>
      <c r="Q79" s="150">
        <f t="shared" si="65"/>
        <v>0.93439851091341286</v>
      </c>
      <c r="R79" s="148">
        <v>6154521709.9399996</v>
      </c>
      <c r="S79" s="150">
        <f t="shared" ref="S79" si="73">+R79/$M79</f>
        <v>0.93439851091341286</v>
      </c>
    </row>
    <row r="80" spans="1:19" ht="24.95" customHeight="1">
      <c r="A80" s="32" t="e">
        <v>#REF!</v>
      </c>
      <c r="B80" s="144" t="s">
        <v>607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44</v>
      </c>
      <c r="I80" s="145"/>
      <c r="J80" s="145">
        <v>10</v>
      </c>
      <c r="K80" s="146" t="s">
        <v>29</v>
      </c>
      <c r="L80" s="147" t="s">
        <v>118</v>
      </c>
      <c r="M80" s="148">
        <v>564799593</v>
      </c>
      <c r="N80" s="148">
        <v>530324933.42000002</v>
      </c>
      <c r="O80" s="150">
        <f t="shared" si="65"/>
        <v>0.93896125279254583</v>
      </c>
      <c r="P80" s="148">
        <v>517811981.12</v>
      </c>
      <c r="Q80" s="150">
        <f t="shared" si="65"/>
        <v>0.91680657623986639</v>
      </c>
      <c r="R80" s="148">
        <v>517811981.12</v>
      </c>
      <c r="S80" s="150">
        <f t="shared" ref="S80" si="74">+R80/$M80</f>
        <v>0.91680657623986639</v>
      </c>
    </row>
    <row r="81" spans="1:19" ht="24.95" customHeight="1">
      <c r="A81" s="32" t="e">
        <v>#REF!</v>
      </c>
      <c r="B81" s="144" t="s">
        <v>609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46</v>
      </c>
      <c r="H81" s="145" t="s">
        <v>48</v>
      </c>
      <c r="I81" s="145"/>
      <c r="J81" s="145">
        <v>10</v>
      </c>
      <c r="K81" s="146" t="s">
        <v>29</v>
      </c>
      <c r="L81" s="147" t="s">
        <v>119</v>
      </c>
      <c r="M81" s="148">
        <v>123000000</v>
      </c>
      <c r="N81" s="148">
        <v>121853184</v>
      </c>
      <c r="O81" s="150">
        <f t="shared" si="65"/>
        <v>0.99067629268292678</v>
      </c>
      <c r="P81" s="148">
        <v>101620404</v>
      </c>
      <c r="Q81" s="150">
        <f t="shared" si="65"/>
        <v>0.82618214634146336</v>
      </c>
      <c r="R81" s="148">
        <v>101620404</v>
      </c>
      <c r="S81" s="150">
        <f t="shared" ref="S81" si="75">+R81/$M81</f>
        <v>0.82618214634146336</v>
      </c>
    </row>
    <row r="82" spans="1:19" ht="24.95" customHeight="1">
      <c r="A82" s="32" t="e">
        <v>#REF!</v>
      </c>
      <c r="B82" s="138" t="s">
        <v>397</v>
      </c>
      <c r="C82" s="139" t="s">
        <v>23</v>
      </c>
      <c r="D82" s="139" t="s">
        <v>54</v>
      </c>
      <c r="E82" s="139" t="s">
        <v>54</v>
      </c>
      <c r="F82" s="139" t="s">
        <v>54</v>
      </c>
      <c r="G82" s="139" t="s">
        <v>48</v>
      </c>
      <c r="H82" s="140"/>
      <c r="I82" s="140"/>
      <c r="J82" s="139" t="s">
        <v>28</v>
      </c>
      <c r="K82" s="140" t="s">
        <v>29</v>
      </c>
      <c r="L82" s="140" t="s">
        <v>120</v>
      </c>
      <c r="M82" s="141">
        <v>1900215638</v>
      </c>
      <c r="N82" s="141">
        <v>1870548465.51</v>
      </c>
      <c r="O82" s="143">
        <f t="shared" si="65"/>
        <v>0.98438747061295362</v>
      </c>
      <c r="P82" s="141">
        <v>1851429092.51</v>
      </c>
      <c r="Q82" s="143">
        <f t="shared" si="65"/>
        <v>0.97432578465602548</v>
      </c>
      <c r="R82" s="141">
        <v>1851429092.51</v>
      </c>
      <c r="S82" s="143">
        <f t="shared" ref="S82" si="76">+R82/$M82</f>
        <v>0.97432578465602548</v>
      </c>
    </row>
    <row r="83" spans="1:19" ht="24.95" customHeight="1">
      <c r="A83" s="32" t="e">
        <v>#REF!</v>
      </c>
      <c r="B83" s="144" t="s">
        <v>611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34</v>
      </c>
      <c r="I83" s="145"/>
      <c r="J83" s="145">
        <v>10</v>
      </c>
      <c r="K83" s="146" t="s">
        <v>29</v>
      </c>
      <c r="L83" s="147" t="s">
        <v>121</v>
      </c>
      <c r="M83" s="148">
        <v>753463026</v>
      </c>
      <c r="N83" s="148">
        <v>753463026</v>
      </c>
      <c r="O83" s="150">
        <f t="shared" si="65"/>
        <v>1</v>
      </c>
      <c r="P83" s="148">
        <v>753463026</v>
      </c>
      <c r="Q83" s="150">
        <f t="shared" si="65"/>
        <v>1</v>
      </c>
      <c r="R83" s="148">
        <v>753463026</v>
      </c>
      <c r="S83" s="150">
        <f t="shared" ref="S83" si="77">+R83/$M83</f>
        <v>1</v>
      </c>
    </row>
    <row r="84" spans="1:19" ht="24.95" customHeight="1">
      <c r="A84" s="32" t="e">
        <v>#REF!</v>
      </c>
      <c r="B84" s="144" t="s">
        <v>613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36</v>
      </c>
      <c r="I84" s="145"/>
      <c r="J84" s="145">
        <v>10</v>
      </c>
      <c r="K84" s="146" t="s">
        <v>29</v>
      </c>
      <c r="L84" s="147" t="s">
        <v>122</v>
      </c>
      <c r="M84" s="148">
        <v>216802199</v>
      </c>
      <c r="N84" s="148">
        <v>187797484</v>
      </c>
      <c r="O84" s="150">
        <f t="shared" si="65"/>
        <v>0.86621577117859394</v>
      </c>
      <c r="P84" s="148">
        <v>168678111</v>
      </c>
      <c r="Q84" s="150">
        <f t="shared" si="65"/>
        <v>0.77802767581707044</v>
      </c>
      <c r="R84" s="148">
        <v>168678111</v>
      </c>
      <c r="S84" s="150">
        <f t="shared" ref="S84" si="78">+R84/$M84</f>
        <v>0.77802767581707044</v>
      </c>
    </row>
    <row r="85" spans="1:19" ht="24.95" customHeight="1">
      <c r="A85" s="32" t="e">
        <v>#REF!</v>
      </c>
      <c r="B85" s="144" t="s">
        <v>615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38</v>
      </c>
      <c r="I85" s="145"/>
      <c r="J85" s="145">
        <v>10</v>
      </c>
      <c r="K85" s="146" t="s">
        <v>29</v>
      </c>
      <c r="L85" s="147" t="s">
        <v>123</v>
      </c>
      <c r="M85" s="148">
        <v>89000000</v>
      </c>
      <c r="N85" s="148">
        <v>88337545.620000005</v>
      </c>
      <c r="O85" s="150">
        <f t="shared" si="65"/>
        <v>0.99255669235955057</v>
      </c>
      <c r="P85" s="148">
        <v>88337545.620000005</v>
      </c>
      <c r="Q85" s="150">
        <f t="shared" si="65"/>
        <v>0.99255669235955057</v>
      </c>
      <c r="R85" s="148">
        <v>88337545.620000005</v>
      </c>
      <c r="S85" s="150">
        <f t="shared" ref="S85" si="79">+R85/$M85</f>
        <v>0.99255669235955057</v>
      </c>
    </row>
    <row r="86" spans="1:19" ht="24.95" customHeight="1">
      <c r="A86" s="32" t="e">
        <v>#REF!</v>
      </c>
      <c r="B86" s="144" t="s">
        <v>617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42</v>
      </c>
      <c r="I86" s="145"/>
      <c r="J86" s="145">
        <v>10</v>
      </c>
      <c r="K86" s="146" t="s">
        <v>29</v>
      </c>
      <c r="L86" s="147" t="s">
        <v>124</v>
      </c>
      <c r="M86" s="148">
        <v>825515972</v>
      </c>
      <c r="N86" s="148">
        <v>825515968.88999999</v>
      </c>
      <c r="O86" s="150">
        <f t="shared" si="65"/>
        <v>0.99999999623265923</v>
      </c>
      <c r="P86" s="148">
        <v>825515968.88999999</v>
      </c>
      <c r="Q86" s="150">
        <f t="shared" si="65"/>
        <v>0.99999999623265923</v>
      </c>
      <c r="R86" s="148">
        <v>825515968.88999999</v>
      </c>
      <c r="S86" s="150">
        <f t="shared" ref="S86" si="80">+R86/$M86</f>
        <v>0.99999999623265923</v>
      </c>
    </row>
    <row r="87" spans="1:19" ht="24.95" customHeight="1">
      <c r="A87" s="32" t="e">
        <v>#REF!</v>
      </c>
      <c r="B87" s="144" t="s">
        <v>619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48</v>
      </c>
      <c r="H87" s="145" t="s">
        <v>44</v>
      </c>
      <c r="I87" s="145"/>
      <c r="J87" s="145">
        <v>10</v>
      </c>
      <c r="K87" s="146" t="s">
        <v>29</v>
      </c>
      <c r="L87" s="147" t="s">
        <v>125</v>
      </c>
      <c r="M87" s="148">
        <v>15434441</v>
      </c>
      <c r="N87" s="148">
        <v>15434441</v>
      </c>
      <c r="O87" s="150">
        <f t="shared" si="65"/>
        <v>1</v>
      </c>
      <c r="P87" s="148">
        <v>15434441</v>
      </c>
      <c r="Q87" s="150">
        <f t="shared" si="65"/>
        <v>1</v>
      </c>
      <c r="R87" s="148">
        <v>15434441</v>
      </c>
      <c r="S87" s="150">
        <f t="shared" ref="S87" si="81">+R87/$M87</f>
        <v>1</v>
      </c>
    </row>
    <row r="88" spans="1:19" ht="24.95" customHeight="1">
      <c r="A88" s="32" t="e">
        <v>#REF!</v>
      </c>
      <c r="B88" s="144" t="s">
        <v>399</v>
      </c>
      <c r="C88" s="145" t="s">
        <v>23</v>
      </c>
      <c r="D88" s="145" t="s">
        <v>54</v>
      </c>
      <c r="E88" s="145" t="s">
        <v>54</v>
      </c>
      <c r="F88" s="145" t="s">
        <v>54</v>
      </c>
      <c r="G88" s="145" t="s">
        <v>50</v>
      </c>
      <c r="H88" s="145"/>
      <c r="I88" s="145"/>
      <c r="J88" s="145" t="s">
        <v>28</v>
      </c>
      <c r="K88" s="146" t="s">
        <v>29</v>
      </c>
      <c r="L88" s="152" t="s">
        <v>126</v>
      </c>
      <c r="M88" s="153">
        <v>927627836</v>
      </c>
      <c r="N88" s="153">
        <v>788482720</v>
      </c>
      <c r="O88" s="154">
        <f t="shared" si="65"/>
        <v>0.84999898601576673</v>
      </c>
      <c r="P88" s="153">
        <v>779189319</v>
      </c>
      <c r="Q88" s="154">
        <f t="shared" si="65"/>
        <v>0.83998052749249319</v>
      </c>
      <c r="R88" s="153">
        <v>779189319</v>
      </c>
      <c r="S88" s="154">
        <f t="shared" ref="S88" si="82">+R88/$M88</f>
        <v>0.83998052749249319</v>
      </c>
    </row>
    <row r="89" spans="1:19" ht="36" customHeight="1">
      <c r="A89" s="32" t="e">
        <v>#REF!</v>
      </c>
      <c r="B89" s="122" t="s">
        <v>401</v>
      </c>
      <c r="C89" s="123" t="s">
        <v>23</v>
      </c>
      <c r="D89" s="123" t="s">
        <v>65</v>
      </c>
      <c r="E89" s="123"/>
      <c r="F89" s="123"/>
      <c r="G89" s="123"/>
      <c r="H89" s="123"/>
      <c r="I89" s="123"/>
      <c r="J89" s="124"/>
      <c r="K89" s="124"/>
      <c r="L89" s="124" t="s">
        <v>127</v>
      </c>
      <c r="M89" s="125">
        <v>7847345693840</v>
      </c>
      <c r="N89" s="125">
        <v>7716318513284.4102</v>
      </c>
      <c r="O89" s="126">
        <f t="shared" si="65"/>
        <v>0.98330299369142826</v>
      </c>
      <c r="P89" s="125">
        <v>7684776901796.9102</v>
      </c>
      <c r="Q89" s="126">
        <f t="shared" si="65"/>
        <v>0.97928359493953443</v>
      </c>
      <c r="R89" s="125">
        <v>7684776901796.9102</v>
      </c>
      <c r="S89" s="126">
        <f t="shared" ref="S89" si="83">+R89/$M89</f>
        <v>0.97928359493953443</v>
      </c>
    </row>
    <row r="90" spans="1:19" ht="24" customHeight="1">
      <c r="A90" s="32" t="e">
        <v>#REF!</v>
      </c>
      <c r="B90" s="127" t="s">
        <v>621</v>
      </c>
      <c r="C90" s="128" t="s">
        <v>23</v>
      </c>
      <c r="D90" s="128" t="s">
        <v>65</v>
      </c>
      <c r="E90" s="128" t="s">
        <v>65</v>
      </c>
      <c r="F90" s="128"/>
      <c r="G90" s="128"/>
      <c r="H90" s="128"/>
      <c r="I90" s="128"/>
      <c r="J90" s="129"/>
      <c r="K90" s="129"/>
      <c r="L90" s="129" t="s">
        <v>128</v>
      </c>
      <c r="M90" s="130">
        <v>7844136693840</v>
      </c>
      <c r="N90" s="130">
        <v>7714132826738.4102</v>
      </c>
      <c r="O90" s="131">
        <f t="shared" si="65"/>
        <v>0.98342661886505855</v>
      </c>
      <c r="P90" s="130">
        <v>7682591215250.9102</v>
      </c>
      <c r="Q90" s="131">
        <f t="shared" si="65"/>
        <v>0.97940557579574672</v>
      </c>
      <c r="R90" s="130">
        <v>7682591215250.9102</v>
      </c>
      <c r="S90" s="131">
        <f t="shared" ref="S90" si="84">+R90/$M90</f>
        <v>0.97940557579574672</v>
      </c>
    </row>
    <row r="91" spans="1:19" ht="24" customHeight="1">
      <c r="A91" s="32" t="e">
        <v>#REF!</v>
      </c>
      <c r="B91" s="132" t="s">
        <v>623</v>
      </c>
      <c r="C91" s="133" t="s">
        <v>23</v>
      </c>
      <c r="D91" s="133" t="s">
        <v>65</v>
      </c>
      <c r="E91" s="133" t="s">
        <v>65</v>
      </c>
      <c r="F91" s="133" t="s">
        <v>25</v>
      </c>
      <c r="G91" s="133"/>
      <c r="H91" s="133"/>
      <c r="I91" s="133"/>
      <c r="J91" s="133"/>
      <c r="K91" s="134"/>
      <c r="L91" s="134" t="s">
        <v>129</v>
      </c>
      <c r="M91" s="135">
        <v>7844136693840</v>
      </c>
      <c r="N91" s="135">
        <v>7714132826738.4102</v>
      </c>
      <c r="O91" s="137">
        <f t="shared" si="65"/>
        <v>0.98342661886505855</v>
      </c>
      <c r="P91" s="135">
        <v>7682591215250.9102</v>
      </c>
      <c r="Q91" s="137">
        <f t="shared" si="65"/>
        <v>0.97940557579574672</v>
      </c>
      <c r="R91" s="135">
        <v>7682591215250.9102</v>
      </c>
      <c r="S91" s="137">
        <f t="shared" ref="S91" si="85">+R91/$M91</f>
        <v>0.97940557579574672</v>
      </c>
    </row>
    <row r="92" spans="1:19" ht="24.95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131</v>
      </c>
      <c r="M92" s="148">
        <v>14432339552</v>
      </c>
      <c r="N92" s="149">
        <v>11633514830</v>
      </c>
      <c r="O92" s="150">
        <f t="shared" si="65"/>
        <v>0.80607269445707119</v>
      </c>
      <c r="P92" s="148">
        <v>11510365369.5</v>
      </c>
      <c r="Q92" s="150">
        <f t="shared" si="65"/>
        <v>0.79753981175594779</v>
      </c>
      <c r="R92" s="148">
        <v>11510365369.5</v>
      </c>
      <c r="S92" s="150">
        <f t="shared" ref="S92" si="86">+R92/$M92</f>
        <v>0.79753981175594779</v>
      </c>
    </row>
    <row r="93" spans="1:19" ht="24.95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132</v>
      </c>
      <c r="M93" s="148">
        <v>7011989314288</v>
      </c>
      <c r="N93" s="149">
        <v>6884784271908.4102</v>
      </c>
      <c r="O93" s="150">
        <f t="shared" si="65"/>
        <v>0.98185892238592121</v>
      </c>
      <c r="P93" s="148">
        <v>6857045245808.4102</v>
      </c>
      <c r="Q93" s="150">
        <f t="shared" si="65"/>
        <v>0.97790297994837672</v>
      </c>
      <c r="R93" s="148">
        <v>6857045245808.4102</v>
      </c>
      <c r="S93" s="150">
        <f t="shared" ref="S93" si="87">+R93/$M93</f>
        <v>0.97790297994837672</v>
      </c>
    </row>
    <row r="94" spans="1:19" ht="24.95" customHeight="1">
      <c r="A94" s="32" t="e">
        <v>#REF!</v>
      </c>
      <c r="B94" s="144" t="s">
        <v>625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130</v>
      </c>
      <c r="H94" s="145"/>
      <c r="I94" s="145"/>
      <c r="J94" s="145">
        <v>54</v>
      </c>
      <c r="K94" s="146" t="s">
        <v>29</v>
      </c>
      <c r="L94" s="147" t="s">
        <v>133</v>
      </c>
      <c r="M94" s="148">
        <v>817715040000</v>
      </c>
      <c r="N94" s="149">
        <v>817715040000</v>
      </c>
      <c r="O94" s="150">
        <f t="shared" si="65"/>
        <v>1</v>
      </c>
      <c r="P94" s="148">
        <v>814035604073</v>
      </c>
      <c r="Q94" s="150">
        <f t="shared" si="65"/>
        <v>0.99550034456135228</v>
      </c>
      <c r="R94" s="148">
        <v>814035604073</v>
      </c>
      <c r="S94" s="150">
        <f t="shared" ref="S94" si="88">+R94/$M94</f>
        <v>0.99550034456135228</v>
      </c>
    </row>
    <row r="95" spans="1:19" ht="24.95" customHeight="1">
      <c r="A95" s="32" t="e">
        <v>#REF!</v>
      </c>
      <c r="B95" s="144" t="s">
        <v>627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134</v>
      </c>
      <c r="H95" s="145"/>
      <c r="I95" s="145"/>
      <c r="J95" s="145" t="s">
        <v>28</v>
      </c>
      <c r="K95" s="146" t="s">
        <v>29</v>
      </c>
      <c r="L95" s="147" t="s">
        <v>135</v>
      </c>
      <c r="M95" s="148">
        <v>0</v>
      </c>
      <c r="N95" s="149"/>
      <c r="O95" s="150" t="e">
        <f t="shared" si="65"/>
        <v>#DIV/0!</v>
      </c>
      <c r="P95" s="148"/>
      <c r="Q95" s="150" t="e">
        <f t="shared" si="65"/>
        <v>#DIV/0!</v>
      </c>
      <c r="R95" s="148"/>
      <c r="S95" s="150" t="e">
        <f t="shared" ref="S95" si="89">+R95/$M95</f>
        <v>#DIV/0!</v>
      </c>
    </row>
    <row r="96" spans="1:19" ht="24.95" customHeight="1">
      <c r="A96" s="32" t="e">
        <v>#REF!</v>
      </c>
      <c r="B96" s="144" t="s">
        <v>627</v>
      </c>
      <c r="C96" s="145" t="s">
        <v>23</v>
      </c>
      <c r="D96" s="145" t="s">
        <v>65</v>
      </c>
      <c r="E96" s="145" t="s">
        <v>65</v>
      </c>
      <c r="F96" s="145" t="s">
        <v>25</v>
      </c>
      <c r="G96" s="145" t="s">
        <v>134</v>
      </c>
      <c r="H96" s="145"/>
      <c r="I96" s="145"/>
      <c r="J96" s="145">
        <v>11</v>
      </c>
      <c r="K96" s="146" t="s">
        <v>29</v>
      </c>
      <c r="L96" s="147" t="s">
        <v>135</v>
      </c>
      <c r="M96" s="148">
        <v>0</v>
      </c>
      <c r="N96" s="148"/>
      <c r="O96" s="150" t="e">
        <f t="shared" si="65"/>
        <v>#DIV/0!</v>
      </c>
      <c r="P96" s="148"/>
      <c r="Q96" s="150" t="e">
        <f t="shared" si="65"/>
        <v>#DIV/0!</v>
      </c>
      <c r="R96" s="148"/>
      <c r="S96" s="150" t="e">
        <f t="shared" ref="S96" si="90">+R96/$M96</f>
        <v>#DIV/0!</v>
      </c>
    </row>
    <row r="97" spans="1:21" ht="24" customHeight="1">
      <c r="A97" s="32" t="e">
        <v>#REF!</v>
      </c>
      <c r="B97" s="127" t="s">
        <v>403</v>
      </c>
      <c r="C97" s="128" t="s">
        <v>23</v>
      </c>
      <c r="D97" s="128" t="s">
        <v>65</v>
      </c>
      <c r="E97" s="128" t="s">
        <v>136</v>
      </c>
      <c r="F97" s="128"/>
      <c r="G97" s="128"/>
      <c r="H97" s="128"/>
      <c r="I97" s="128"/>
      <c r="J97" s="129"/>
      <c r="K97" s="129"/>
      <c r="L97" s="129" t="s">
        <v>137</v>
      </c>
      <c r="M97" s="130">
        <v>534000000</v>
      </c>
      <c r="N97" s="130">
        <v>132162670</v>
      </c>
      <c r="O97" s="131">
        <f t="shared" si="65"/>
        <v>0.24749563670411984</v>
      </c>
      <c r="P97" s="130">
        <v>132162670</v>
      </c>
      <c r="Q97" s="131">
        <f t="shared" si="65"/>
        <v>0.24749563670411984</v>
      </c>
      <c r="R97" s="130">
        <v>132162670</v>
      </c>
      <c r="S97" s="131">
        <f t="shared" ref="S97" si="91">+R97/$M97</f>
        <v>0.24749563670411984</v>
      </c>
    </row>
    <row r="98" spans="1:21" ht="24" customHeight="1">
      <c r="A98" s="32" t="e">
        <v>#REF!</v>
      </c>
      <c r="B98" s="132" t="s">
        <v>405</v>
      </c>
      <c r="C98" s="133" t="s">
        <v>23</v>
      </c>
      <c r="D98" s="133" t="s">
        <v>65</v>
      </c>
      <c r="E98" s="133" t="s">
        <v>136</v>
      </c>
      <c r="F98" s="133" t="s">
        <v>54</v>
      </c>
      <c r="G98" s="133"/>
      <c r="H98" s="133"/>
      <c r="I98" s="133"/>
      <c r="J98" s="133" t="s">
        <v>28</v>
      </c>
      <c r="K98" s="134" t="s">
        <v>29</v>
      </c>
      <c r="L98" s="134" t="s">
        <v>138</v>
      </c>
      <c r="M98" s="135">
        <v>534000000</v>
      </c>
      <c r="N98" s="135">
        <v>132162670</v>
      </c>
      <c r="O98" s="137">
        <f t="shared" si="65"/>
        <v>0.24749563670411984</v>
      </c>
      <c r="P98" s="135">
        <v>132162670</v>
      </c>
      <c r="Q98" s="137">
        <f t="shared" si="65"/>
        <v>0.24749563670411984</v>
      </c>
      <c r="R98" s="135">
        <v>132162670</v>
      </c>
      <c r="S98" s="137">
        <f t="shared" ref="S98" si="92">+R98/$M98</f>
        <v>0.24749563670411984</v>
      </c>
    </row>
    <row r="99" spans="1:21" ht="24.95" customHeight="1">
      <c r="A99" s="32" t="e">
        <v>#REF!</v>
      </c>
      <c r="B99" s="138" t="s">
        <v>407</v>
      </c>
      <c r="C99" s="139" t="s">
        <v>23</v>
      </c>
      <c r="D99" s="139" t="s">
        <v>65</v>
      </c>
      <c r="E99" s="139" t="s">
        <v>136</v>
      </c>
      <c r="F99" s="139" t="s">
        <v>54</v>
      </c>
      <c r="G99" s="139" t="s">
        <v>52</v>
      </c>
      <c r="H99" s="139"/>
      <c r="I99" s="139"/>
      <c r="J99" s="139" t="s">
        <v>28</v>
      </c>
      <c r="K99" s="140" t="s">
        <v>29</v>
      </c>
      <c r="L99" s="140" t="s">
        <v>139</v>
      </c>
      <c r="M99" s="141">
        <v>534000000</v>
      </c>
      <c r="N99" s="141">
        <v>132162670</v>
      </c>
      <c r="O99" s="143">
        <f t="shared" si="65"/>
        <v>0.24749563670411984</v>
      </c>
      <c r="P99" s="141">
        <v>132162670</v>
      </c>
      <c r="Q99" s="143">
        <f t="shared" si="65"/>
        <v>0.24749563670411984</v>
      </c>
      <c r="R99" s="141">
        <v>132162670</v>
      </c>
      <c r="S99" s="143">
        <f t="shared" ref="S99" si="93">+R99/$M99</f>
        <v>0.24749563670411984</v>
      </c>
    </row>
    <row r="100" spans="1:21" ht="24.95" customHeight="1">
      <c r="A100" s="32" t="e">
        <v>#REF!</v>
      </c>
      <c r="B100" s="144" t="s">
        <v>409</v>
      </c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52</v>
      </c>
      <c r="H100" s="145" t="s">
        <v>31</v>
      </c>
      <c r="I100" s="145"/>
      <c r="J100" s="145" t="s">
        <v>28</v>
      </c>
      <c r="K100" s="146" t="s">
        <v>29</v>
      </c>
      <c r="L100" s="147" t="s">
        <v>140</v>
      </c>
      <c r="M100" s="148">
        <v>242000000</v>
      </c>
      <c r="N100" s="148">
        <v>94804938</v>
      </c>
      <c r="O100" s="150">
        <f t="shared" si="65"/>
        <v>0.39175594214876031</v>
      </c>
      <c r="P100" s="148">
        <v>94804938</v>
      </c>
      <c r="Q100" s="150">
        <f t="shared" si="65"/>
        <v>0.39175594214876031</v>
      </c>
      <c r="R100" s="148">
        <v>94804938</v>
      </c>
      <c r="S100" s="150">
        <f t="shared" ref="S100" si="94">+R100/$M100</f>
        <v>0.39175594214876031</v>
      </c>
    </row>
    <row r="101" spans="1:21" ht="24.95" customHeight="1">
      <c r="A101" s="32" t="e">
        <v>#REF!</v>
      </c>
      <c r="B101" s="144" t="s">
        <v>411</v>
      </c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52</v>
      </c>
      <c r="H101" s="145" t="s">
        <v>34</v>
      </c>
      <c r="I101" s="145"/>
      <c r="J101" s="145" t="s">
        <v>28</v>
      </c>
      <c r="K101" s="146" t="s">
        <v>29</v>
      </c>
      <c r="L101" s="147" t="s">
        <v>141</v>
      </c>
      <c r="M101" s="148">
        <v>292000000</v>
      </c>
      <c r="N101" s="148">
        <v>37357732</v>
      </c>
      <c r="O101" s="150">
        <f t="shared" si="65"/>
        <v>0.12793743835616439</v>
      </c>
      <c r="P101" s="148">
        <v>37357732</v>
      </c>
      <c r="Q101" s="150">
        <f t="shared" si="65"/>
        <v>0.12793743835616439</v>
      </c>
      <c r="R101" s="148">
        <v>37357732</v>
      </c>
      <c r="S101" s="150">
        <f t="shared" ref="S101" si="95">+R101/$M101</f>
        <v>0.12793743835616439</v>
      </c>
    </row>
    <row r="102" spans="1:21" ht="24.95" hidden="1" customHeight="1">
      <c r="A102" s="32" t="e">
        <v>#REF!</v>
      </c>
      <c r="B102" s="32"/>
      <c r="C102" s="145" t="s">
        <v>23</v>
      </c>
      <c r="D102" s="145" t="s">
        <v>65</v>
      </c>
      <c r="E102" s="145" t="s">
        <v>136</v>
      </c>
      <c r="F102" s="145" t="s">
        <v>54</v>
      </c>
      <c r="G102" s="145" t="s">
        <v>142</v>
      </c>
      <c r="H102" s="145"/>
      <c r="I102" s="145"/>
      <c r="J102" s="145" t="s">
        <v>28</v>
      </c>
      <c r="K102" s="146" t="s">
        <v>29</v>
      </c>
      <c r="L102" s="147" t="s">
        <v>260</v>
      </c>
      <c r="M102" s="148">
        <v>0</v>
      </c>
      <c r="N102" s="148">
        <v>0</v>
      </c>
      <c r="O102" s="150" t="e">
        <f t="shared" si="65"/>
        <v>#DIV/0!</v>
      </c>
      <c r="P102" s="148">
        <v>0</v>
      </c>
      <c r="Q102" s="150" t="e">
        <f t="shared" si="65"/>
        <v>#DIV/0!</v>
      </c>
      <c r="R102" s="148">
        <v>0</v>
      </c>
      <c r="S102" s="150" t="e">
        <f t="shared" ref="S102" si="96">+R102/$M102</f>
        <v>#DIV/0!</v>
      </c>
    </row>
    <row r="103" spans="1:21" ht="24" customHeight="1">
      <c r="A103" s="32" t="e">
        <v>#REF!</v>
      </c>
      <c r="B103" s="127" t="s">
        <v>415</v>
      </c>
      <c r="C103" s="128" t="s">
        <v>23</v>
      </c>
      <c r="D103" s="128" t="s">
        <v>65</v>
      </c>
      <c r="E103" s="128" t="s">
        <v>28</v>
      </c>
      <c r="F103" s="128"/>
      <c r="G103" s="128"/>
      <c r="H103" s="128"/>
      <c r="I103" s="128"/>
      <c r="J103" s="129"/>
      <c r="K103" s="129"/>
      <c r="L103" s="129" t="s">
        <v>143</v>
      </c>
      <c r="M103" s="130">
        <v>2675000000</v>
      </c>
      <c r="N103" s="130">
        <v>2053523876</v>
      </c>
      <c r="O103" s="131">
        <f t="shared" si="65"/>
        <v>0.76767247700934582</v>
      </c>
      <c r="P103" s="130">
        <v>2053523876</v>
      </c>
      <c r="Q103" s="131">
        <f t="shared" si="65"/>
        <v>0.76767247700934582</v>
      </c>
      <c r="R103" s="130">
        <v>2053523876</v>
      </c>
      <c r="S103" s="131">
        <f t="shared" ref="S103" si="97">+R103/$M103</f>
        <v>0.76767247700934582</v>
      </c>
    </row>
    <row r="104" spans="1:21" ht="24" customHeight="1">
      <c r="A104" s="32" t="e">
        <v>#REF!</v>
      </c>
      <c r="B104" s="132" t="s">
        <v>417</v>
      </c>
      <c r="C104" s="133" t="s">
        <v>23</v>
      </c>
      <c r="D104" s="133" t="s">
        <v>65</v>
      </c>
      <c r="E104" s="133" t="s">
        <v>28</v>
      </c>
      <c r="F104" s="133" t="s">
        <v>25</v>
      </c>
      <c r="G104" s="133"/>
      <c r="H104" s="133"/>
      <c r="I104" s="133"/>
      <c r="J104" s="133" t="s">
        <v>144</v>
      </c>
      <c r="K104" s="134" t="s">
        <v>29</v>
      </c>
      <c r="L104" s="134" t="s">
        <v>145</v>
      </c>
      <c r="M104" s="135">
        <v>2675000000</v>
      </c>
      <c r="N104" s="135">
        <v>2053523876</v>
      </c>
      <c r="O104" s="137">
        <f t="shared" si="65"/>
        <v>0.76767247700934582</v>
      </c>
      <c r="P104" s="135">
        <v>2053523876</v>
      </c>
      <c r="Q104" s="137">
        <f t="shared" si="65"/>
        <v>0.76767247700934582</v>
      </c>
      <c r="R104" s="135">
        <v>2053523876</v>
      </c>
      <c r="S104" s="137">
        <f t="shared" ref="S104" si="98">+R104/$M104</f>
        <v>0.76767247700934582</v>
      </c>
    </row>
    <row r="105" spans="1:21" ht="24.95" customHeight="1">
      <c r="A105" s="32" t="e">
        <v>#REF!</v>
      </c>
      <c r="B105" s="144" t="s">
        <v>418</v>
      </c>
      <c r="C105" s="145" t="s">
        <v>23</v>
      </c>
      <c r="D105" s="145" t="s">
        <v>65</v>
      </c>
      <c r="E105" s="145" t="s">
        <v>28</v>
      </c>
      <c r="F105" s="145" t="s">
        <v>25</v>
      </c>
      <c r="G105" s="145" t="s">
        <v>31</v>
      </c>
      <c r="H105" s="145"/>
      <c r="I105" s="145"/>
      <c r="J105" s="145">
        <v>10</v>
      </c>
      <c r="K105" s="146" t="s">
        <v>29</v>
      </c>
      <c r="L105" s="147" t="s">
        <v>146</v>
      </c>
      <c r="M105" s="148">
        <v>2675000000</v>
      </c>
      <c r="N105" s="149">
        <v>2053523876</v>
      </c>
      <c r="O105" s="150">
        <f t="shared" si="65"/>
        <v>0.76767247700934582</v>
      </c>
      <c r="P105" s="148">
        <v>2053523876</v>
      </c>
      <c r="Q105" s="150">
        <f t="shared" si="65"/>
        <v>0.76767247700934582</v>
      </c>
      <c r="R105" s="148">
        <v>2053523876</v>
      </c>
      <c r="S105" s="150">
        <f t="shared" ref="S105" si="99">+R105/$M105</f>
        <v>0.76767247700934582</v>
      </c>
    </row>
    <row r="106" spans="1:21" ht="24" customHeight="1">
      <c r="A106" s="32" t="e">
        <v>#REF!</v>
      </c>
      <c r="B106" s="122" t="s">
        <v>421</v>
      </c>
      <c r="C106" s="123" t="s">
        <v>23</v>
      </c>
      <c r="D106" s="123" t="s">
        <v>148</v>
      </c>
      <c r="E106" s="123"/>
      <c r="F106" s="123"/>
      <c r="G106" s="123"/>
      <c r="H106" s="123"/>
      <c r="I106" s="123"/>
      <c r="J106" s="124"/>
      <c r="K106" s="124"/>
      <c r="L106" s="124" t="s">
        <v>149</v>
      </c>
      <c r="M106" s="125">
        <v>14869468942</v>
      </c>
      <c r="N106" s="125">
        <v>14827496436.83</v>
      </c>
      <c r="O106" s="126">
        <f t="shared" si="65"/>
        <v>0.99717726938778251</v>
      </c>
      <c r="P106" s="125">
        <v>14827496436.83</v>
      </c>
      <c r="Q106" s="126">
        <f t="shared" si="65"/>
        <v>0.99717726938778251</v>
      </c>
      <c r="R106" s="125">
        <v>14827496436.83</v>
      </c>
      <c r="S106" s="126">
        <f t="shared" ref="S106" si="100">+R106/$M106</f>
        <v>0.99717726938778251</v>
      </c>
    </row>
    <row r="107" spans="1:21" ht="24" customHeight="1">
      <c r="A107" s="32" t="e">
        <v>#REF!</v>
      </c>
      <c r="B107" s="127" t="s">
        <v>423</v>
      </c>
      <c r="C107" s="128" t="s">
        <v>23</v>
      </c>
      <c r="D107" s="128" t="s">
        <v>148</v>
      </c>
      <c r="E107" s="128" t="s">
        <v>25</v>
      </c>
      <c r="F107" s="128"/>
      <c r="G107" s="128"/>
      <c r="H107" s="128"/>
      <c r="I107" s="128"/>
      <c r="J107" s="129"/>
      <c r="K107" s="129"/>
      <c r="L107" s="129" t="s">
        <v>150</v>
      </c>
      <c r="M107" s="130">
        <v>134000000</v>
      </c>
      <c r="N107" s="130">
        <v>92027494.829999998</v>
      </c>
      <c r="O107" s="131">
        <f t="shared" si="65"/>
        <v>0.6867723494776119</v>
      </c>
      <c r="P107" s="130">
        <v>92027494.829999998</v>
      </c>
      <c r="Q107" s="131">
        <f t="shared" si="65"/>
        <v>0.6867723494776119</v>
      </c>
      <c r="R107" s="130">
        <v>92027494.829999998</v>
      </c>
      <c r="S107" s="131">
        <f t="shared" ref="S107" si="101">+R107/$M107</f>
        <v>0.6867723494776119</v>
      </c>
    </row>
    <row r="108" spans="1:21" ht="24" customHeight="1">
      <c r="A108" s="32" t="e">
        <v>#REF!</v>
      </c>
      <c r="B108" s="132" t="s">
        <v>425</v>
      </c>
      <c r="C108" s="133" t="s">
        <v>23</v>
      </c>
      <c r="D108" s="133" t="s">
        <v>148</v>
      </c>
      <c r="E108" s="133" t="s">
        <v>25</v>
      </c>
      <c r="F108" s="133" t="s">
        <v>54</v>
      </c>
      <c r="G108" s="133"/>
      <c r="H108" s="133"/>
      <c r="I108" s="133"/>
      <c r="J108" s="133" t="s">
        <v>28</v>
      </c>
      <c r="K108" s="134" t="s">
        <v>29</v>
      </c>
      <c r="L108" s="134" t="s">
        <v>151</v>
      </c>
      <c r="M108" s="135">
        <v>134000000</v>
      </c>
      <c r="N108" s="135">
        <v>92027494.829999998</v>
      </c>
      <c r="O108" s="137">
        <f t="shared" si="65"/>
        <v>0.6867723494776119</v>
      </c>
      <c r="P108" s="135">
        <v>92027494.829999998</v>
      </c>
      <c r="Q108" s="137">
        <f t="shared" si="65"/>
        <v>0.6867723494776119</v>
      </c>
      <c r="R108" s="135">
        <v>92027494.829999998</v>
      </c>
      <c r="S108" s="137">
        <f t="shared" ref="S108" si="102">+R108/$M108</f>
        <v>0.6867723494776119</v>
      </c>
    </row>
    <row r="109" spans="1:21" ht="24.95" customHeight="1">
      <c r="A109" s="32" t="e">
        <v>#REF!</v>
      </c>
      <c r="B109" s="144" t="s">
        <v>427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31</v>
      </c>
      <c r="H109" s="145"/>
      <c r="I109" s="145"/>
      <c r="J109" s="145" t="s">
        <v>28</v>
      </c>
      <c r="K109" s="146" t="s">
        <v>29</v>
      </c>
      <c r="L109" s="147" t="s">
        <v>152</v>
      </c>
      <c r="M109" s="148">
        <v>60000000</v>
      </c>
      <c r="N109" s="148">
        <v>50544836</v>
      </c>
      <c r="O109" s="150">
        <f t="shared" si="65"/>
        <v>0.84241393333333336</v>
      </c>
      <c r="P109" s="148">
        <v>50544836</v>
      </c>
      <c r="Q109" s="150">
        <f t="shared" si="65"/>
        <v>0.84241393333333336</v>
      </c>
      <c r="R109" s="148">
        <v>50544836</v>
      </c>
      <c r="S109" s="150">
        <f t="shared" ref="S109" si="103">+R109/$M109</f>
        <v>0.84241393333333336</v>
      </c>
    </row>
    <row r="110" spans="1:21" ht="24.95" customHeight="1">
      <c r="A110" s="32" t="e">
        <v>#REF!</v>
      </c>
      <c r="B110" s="144" t="s">
        <v>429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38</v>
      </c>
      <c r="H110" s="145"/>
      <c r="I110" s="145"/>
      <c r="J110" s="145" t="s">
        <v>28</v>
      </c>
      <c r="K110" s="146" t="s">
        <v>29</v>
      </c>
      <c r="L110" s="147" t="s">
        <v>153</v>
      </c>
      <c r="M110" s="148">
        <v>59000000</v>
      </c>
      <c r="N110" s="148">
        <v>34537628.829999998</v>
      </c>
      <c r="O110" s="150">
        <f t="shared" si="65"/>
        <v>0.58538353949152544</v>
      </c>
      <c r="P110" s="148">
        <v>34537628.829999998</v>
      </c>
      <c r="Q110" s="150">
        <f t="shared" si="65"/>
        <v>0.58538353949152544</v>
      </c>
      <c r="R110" s="148">
        <v>34537628.829999998</v>
      </c>
      <c r="S110" s="150">
        <f t="shared" ref="S110" si="104">+R110/$M110</f>
        <v>0.58538353949152544</v>
      </c>
    </row>
    <row r="111" spans="1:21" ht="24.95" customHeight="1">
      <c r="A111" s="32" t="e">
        <v>#REF!</v>
      </c>
      <c r="B111" s="144" t="s">
        <v>431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42</v>
      </c>
      <c r="H111" s="145"/>
      <c r="I111" s="145"/>
      <c r="J111" s="145" t="s">
        <v>28</v>
      </c>
      <c r="K111" s="146" t="s">
        <v>29</v>
      </c>
      <c r="L111" s="147" t="s">
        <v>154</v>
      </c>
      <c r="M111" s="148">
        <v>15000000</v>
      </c>
      <c r="N111" s="148">
        <v>6945030</v>
      </c>
      <c r="O111" s="150">
        <f t="shared" si="65"/>
        <v>0.46300200000000002</v>
      </c>
      <c r="P111" s="148">
        <v>6945030</v>
      </c>
      <c r="Q111" s="150">
        <f t="shared" si="65"/>
        <v>0.46300200000000002</v>
      </c>
      <c r="R111" s="148">
        <v>6945030</v>
      </c>
      <c r="S111" s="150">
        <f t="shared" ref="S111" si="105">+R111/$M111</f>
        <v>0.46300200000000002</v>
      </c>
    </row>
    <row r="112" spans="1:21" ht="24" customHeight="1">
      <c r="A112" s="32" t="e">
        <v>#REF!</v>
      </c>
      <c r="B112" s="127" t="s">
        <v>432</v>
      </c>
      <c r="C112" s="128" t="s">
        <v>23</v>
      </c>
      <c r="D112" s="128" t="s">
        <v>148</v>
      </c>
      <c r="E112" s="128" t="s">
        <v>136</v>
      </c>
      <c r="F112" s="128"/>
      <c r="G112" s="128"/>
      <c r="H112" s="128"/>
      <c r="I112" s="128"/>
      <c r="J112" s="129"/>
      <c r="K112" s="129"/>
      <c r="L112" s="129" t="s">
        <v>155</v>
      </c>
      <c r="M112" s="130">
        <v>14735468942</v>
      </c>
      <c r="N112" s="130">
        <v>14735468942</v>
      </c>
      <c r="O112" s="131">
        <f t="shared" si="65"/>
        <v>1</v>
      </c>
      <c r="P112" s="130">
        <v>14735468942</v>
      </c>
      <c r="Q112" s="131">
        <f t="shared" si="65"/>
        <v>1</v>
      </c>
      <c r="R112" s="130">
        <v>14735468942</v>
      </c>
      <c r="S112" s="131">
        <f t="shared" ref="S112" si="106">+R112/$M112</f>
        <v>1</v>
      </c>
    </row>
    <row r="113" spans="1:19" ht="24.95" hidden="1" customHeight="1">
      <c r="A113" s="32"/>
      <c r="B113" s="32"/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>
        <v>10</v>
      </c>
      <c r="K113" s="146" t="s">
        <v>156</v>
      </c>
      <c r="L113" s="147" t="s">
        <v>157</v>
      </c>
      <c r="M113" s="148">
        <v>0</v>
      </c>
      <c r="N113" s="148">
        <v>0</v>
      </c>
      <c r="O113" s="150" t="e">
        <f t="shared" si="65"/>
        <v>#DIV/0!</v>
      </c>
      <c r="P113" s="148">
        <v>0</v>
      </c>
      <c r="Q113" s="150" t="e">
        <f t="shared" si="65"/>
        <v>#DIV/0!</v>
      </c>
      <c r="R113" s="148">
        <v>0</v>
      </c>
      <c r="S113" s="150" t="e">
        <f t="shared" ref="S113" si="107">+R113/$M113</f>
        <v>#DIV/0!</v>
      </c>
    </row>
    <row r="114" spans="1:19" ht="24.95" customHeight="1">
      <c r="A114" s="32" t="e">
        <v>#REF!</v>
      </c>
      <c r="B114" s="144" t="s">
        <v>434</v>
      </c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 t="s">
        <v>144</v>
      </c>
      <c r="K114" s="146" t="s">
        <v>29</v>
      </c>
      <c r="L114" s="147" t="s">
        <v>157</v>
      </c>
      <c r="M114" s="148">
        <v>0</v>
      </c>
      <c r="N114" s="149"/>
      <c r="O114" s="150" t="e">
        <f t="shared" si="65"/>
        <v>#DIV/0!</v>
      </c>
      <c r="P114" s="148"/>
      <c r="Q114" s="150" t="e">
        <f t="shared" si="65"/>
        <v>#DIV/0!</v>
      </c>
      <c r="R114" s="148"/>
      <c r="S114" s="150" t="e">
        <f t="shared" ref="S114" si="108">+R114/$M114</f>
        <v>#DIV/0!</v>
      </c>
    </row>
    <row r="115" spans="1:19" ht="24.95" customHeight="1">
      <c r="A115" s="32" t="e">
        <v>#REF!</v>
      </c>
      <c r="B115" s="144" t="s">
        <v>434</v>
      </c>
      <c r="C115" s="145" t="s">
        <v>23</v>
      </c>
      <c r="D115" s="145" t="s">
        <v>148</v>
      </c>
      <c r="E115" s="145" t="s">
        <v>136</v>
      </c>
      <c r="F115" s="145" t="s">
        <v>25</v>
      </c>
      <c r="G115" s="145"/>
      <c r="H115" s="145"/>
      <c r="I115" s="145"/>
      <c r="J115" s="145" t="s">
        <v>144</v>
      </c>
      <c r="K115" s="146" t="s">
        <v>156</v>
      </c>
      <c r="L115" s="147" t="s">
        <v>157</v>
      </c>
      <c r="M115" s="148">
        <v>14735468942</v>
      </c>
      <c r="N115" s="148">
        <v>14735468942</v>
      </c>
      <c r="O115" s="150">
        <f t="shared" si="65"/>
        <v>1</v>
      </c>
      <c r="P115" s="148">
        <v>14735468942</v>
      </c>
      <c r="Q115" s="150">
        <f t="shared" si="65"/>
        <v>1</v>
      </c>
      <c r="R115" s="148">
        <v>14735468942</v>
      </c>
      <c r="S115" s="150">
        <f t="shared" ref="S115" si="109">+R115/$M115</f>
        <v>1</v>
      </c>
    </row>
    <row r="116" spans="1:19" ht="35.1" customHeight="1">
      <c r="A116" s="32" t="e">
        <v>#REF!</v>
      </c>
      <c r="B116" s="117" t="s">
        <v>167</v>
      </c>
      <c r="C116" s="118" t="s">
        <v>167</v>
      </c>
      <c r="D116" s="119"/>
      <c r="E116" s="119"/>
      <c r="F116" s="119"/>
      <c r="G116" s="119"/>
      <c r="H116" s="119"/>
      <c r="I116" s="119"/>
      <c r="J116" s="119"/>
      <c r="K116" s="119"/>
      <c r="L116" s="119" t="s">
        <v>168</v>
      </c>
      <c r="M116" s="120">
        <v>6360508633098</v>
      </c>
      <c r="N116" s="120">
        <v>6148348446766.3604</v>
      </c>
      <c r="O116" s="121">
        <f t="shared" si="65"/>
        <v>0.9666441477293769</v>
      </c>
      <c r="P116" s="120">
        <v>5290694478029.1201</v>
      </c>
      <c r="Q116" s="121">
        <f t="shared" si="65"/>
        <v>0.83180367848226511</v>
      </c>
      <c r="R116" s="120">
        <v>5289320746197.3203</v>
      </c>
      <c r="S116" s="121">
        <f t="shared" ref="S116" si="110">+R116/$M116</f>
        <v>0.83158770018382344</v>
      </c>
    </row>
    <row r="117" spans="1:19" ht="27.75" customHeight="1">
      <c r="A117" s="32" t="e">
        <v>#REF!</v>
      </c>
      <c r="B117" s="122" t="s">
        <v>437</v>
      </c>
      <c r="C117" s="123" t="s">
        <v>167</v>
      </c>
      <c r="D117" s="123">
        <v>4101</v>
      </c>
      <c r="E117" s="123"/>
      <c r="F117" s="123"/>
      <c r="G117" s="123"/>
      <c r="H117" s="123"/>
      <c r="I117" s="123"/>
      <c r="J117" s="124"/>
      <c r="K117" s="124"/>
      <c r="L117" s="124" t="s">
        <v>169</v>
      </c>
      <c r="M117" s="125">
        <v>10248574078</v>
      </c>
      <c r="N117" s="125">
        <v>10248574078</v>
      </c>
      <c r="O117" s="126">
        <f t="shared" si="65"/>
        <v>1</v>
      </c>
      <c r="P117" s="125">
        <v>10248574078</v>
      </c>
      <c r="Q117" s="126">
        <f t="shared" si="65"/>
        <v>1</v>
      </c>
      <c r="R117" s="125">
        <v>10248574078</v>
      </c>
      <c r="S117" s="126">
        <f t="shared" ref="S117" si="111">+R117/$M117</f>
        <v>1</v>
      </c>
    </row>
    <row r="118" spans="1:19" ht="24" customHeight="1">
      <c r="A118" s="32" t="e">
        <v>#REF!</v>
      </c>
      <c r="B118" s="127" t="s">
        <v>295</v>
      </c>
      <c r="C118" s="128" t="s">
        <v>167</v>
      </c>
      <c r="D118" s="128">
        <v>4101</v>
      </c>
      <c r="E118" s="128">
        <v>1500</v>
      </c>
      <c r="F118" s="128"/>
      <c r="G118" s="128"/>
      <c r="H118" s="128"/>
      <c r="I118" s="128"/>
      <c r="J118" s="129"/>
      <c r="K118" s="129"/>
      <c r="L118" s="129" t="s">
        <v>170</v>
      </c>
      <c r="M118" s="130">
        <v>10248574078</v>
      </c>
      <c r="N118" s="130">
        <v>10248574078</v>
      </c>
      <c r="O118" s="131">
        <f t="shared" si="65"/>
        <v>1</v>
      </c>
      <c r="P118" s="130">
        <v>10248574078</v>
      </c>
      <c r="Q118" s="131">
        <f t="shared" si="65"/>
        <v>1</v>
      </c>
      <c r="R118" s="130">
        <v>10248574078</v>
      </c>
      <c r="S118" s="131">
        <f t="shared" ref="S118" si="112">+R118/$M118</f>
        <v>1</v>
      </c>
    </row>
    <row r="119" spans="1:19" ht="39.75" hidden="1" customHeight="1">
      <c r="A119" s="32" t="e">
        <v>#REF!</v>
      </c>
      <c r="B119" s="32"/>
      <c r="C119" s="133" t="s">
        <v>167</v>
      </c>
      <c r="D119" s="133" t="s">
        <v>171</v>
      </c>
      <c r="E119" s="133" t="s">
        <v>172</v>
      </c>
      <c r="F119" s="133" t="s">
        <v>261</v>
      </c>
      <c r="G119" s="133"/>
      <c r="H119" s="133"/>
      <c r="I119" s="133"/>
      <c r="J119" s="133"/>
      <c r="K119" s="134"/>
      <c r="L119" s="134" t="s">
        <v>262</v>
      </c>
      <c r="M119" s="136">
        <v>0</v>
      </c>
      <c r="N119" s="136">
        <v>0</v>
      </c>
      <c r="O119" s="137" t="e">
        <f t="shared" si="65"/>
        <v>#DIV/0!</v>
      </c>
      <c r="P119" s="136">
        <v>0</v>
      </c>
      <c r="Q119" s="137" t="e">
        <f t="shared" si="65"/>
        <v>#DIV/0!</v>
      </c>
      <c r="R119" s="136">
        <v>0</v>
      </c>
      <c r="S119" s="137" t="e">
        <f t="shared" ref="S119" si="113">+R119/$M119</f>
        <v>#DIV/0!</v>
      </c>
    </row>
    <row r="120" spans="1:19" ht="24.95" hidden="1" customHeight="1">
      <c r="A120" s="32" t="e">
        <v>#REF!</v>
      </c>
      <c r="B120" s="32"/>
      <c r="C120" s="139" t="s">
        <v>167</v>
      </c>
      <c r="D120" s="139" t="s">
        <v>171</v>
      </c>
      <c r="E120" s="139" t="s">
        <v>172</v>
      </c>
      <c r="F120" s="139" t="s">
        <v>261</v>
      </c>
      <c r="G120" s="139" t="s">
        <v>175</v>
      </c>
      <c r="H120" s="139" t="s">
        <v>176</v>
      </c>
      <c r="I120" s="139"/>
      <c r="J120" s="139">
        <v>11</v>
      </c>
      <c r="K120" s="140" t="s">
        <v>29</v>
      </c>
      <c r="L120" s="140" t="s">
        <v>177</v>
      </c>
      <c r="M120" s="142">
        <v>0</v>
      </c>
      <c r="N120" s="142">
        <v>0</v>
      </c>
      <c r="O120" s="143" t="e">
        <f t="shared" si="65"/>
        <v>#DIV/0!</v>
      </c>
      <c r="P120" s="142">
        <v>0</v>
      </c>
      <c r="Q120" s="143" t="e">
        <f t="shared" si="65"/>
        <v>#DIV/0!</v>
      </c>
      <c r="R120" s="142">
        <v>0</v>
      </c>
      <c r="S120" s="143" t="e">
        <f t="shared" ref="S120" si="114">+R120/$M120</f>
        <v>#DIV/0!</v>
      </c>
    </row>
    <row r="121" spans="1:19" ht="24.95" hidden="1" customHeight="1">
      <c r="A121" s="32" t="e">
        <v>#REF!</v>
      </c>
      <c r="B121" s="32"/>
      <c r="C121" s="145" t="s">
        <v>167</v>
      </c>
      <c r="D121" s="145" t="s">
        <v>171</v>
      </c>
      <c r="E121" s="145" t="s">
        <v>172</v>
      </c>
      <c r="F121" s="145" t="s">
        <v>261</v>
      </c>
      <c r="G121" s="145" t="s">
        <v>175</v>
      </c>
      <c r="H121" s="145" t="s">
        <v>176</v>
      </c>
      <c r="I121" s="145" t="s">
        <v>54</v>
      </c>
      <c r="J121" s="145">
        <v>11</v>
      </c>
      <c r="K121" s="146" t="s">
        <v>29</v>
      </c>
      <c r="L121" s="147" t="s">
        <v>178</v>
      </c>
      <c r="M121" s="148">
        <v>0</v>
      </c>
      <c r="N121" s="148"/>
      <c r="O121" s="150" t="e">
        <f t="shared" si="65"/>
        <v>#DIV/0!</v>
      </c>
      <c r="P121" s="148"/>
      <c r="Q121" s="150" t="e">
        <f t="shared" si="65"/>
        <v>#DIV/0!</v>
      </c>
      <c r="R121" s="148"/>
      <c r="S121" s="150" t="e">
        <f t="shared" ref="S121" si="115">+R121/$M121</f>
        <v>#DIV/0!</v>
      </c>
    </row>
    <row r="122" spans="1:19" ht="24.95" hidden="1" customHeight="1">
      <c r="A122" s="32" t="e">
        <v>#REF!</v>
      </c>
      <c r="B122" s="32"/>
      <c r="C122" s="139" t="s">
        <v>167</v>
      </c>
      <c r="D122" s="139" t="s">
        <v>171</v>
      </c>
      <c r="E122" s="139" t="s">
        <v>172</v>
      </c>
      <c r="F122" s="139" t="s">
        <v>261</v>
      </c>
      <c r="G122" s="139" t="s">
        <v>175</v>
      </c>
      <c r="H122" s="139" t="s">
        <v>179</v>
      </c>
      <c r="I122" s="139"/>
      <c r="J122" s="139">
        <v>11</v>
      </c>
      <c r="K122" s="140" t="s">
        <v>29</v>
      </c>
      <c r="L122" s="140" t="s">
        <v>180</v>
      </c>
      <c r="M122" s="141">
        <v>0</v>
      </c>
      <c r="N122" s="141">
        <v>0</v>
      </c>
      <c r="O122" s="143" t="e">
        <f t="shared" si="65"/>
        <v>#DIV/0!</v>
      </c>
      <c r="P122" s="141">
        <v>0</v>
      </c>
      <c r="Q122" s="143" t="e">
        <f t="shared" si="65"/>
        <v>#DIV/0!</v>
      </c>
      <c r="R122" s="141">
        <v>0</v>
      </c>
      <c r="S122" s="143" t="e">
        <f t="shared" ref="S122" si="116">+R122/$M122</f>
        <v>#DIV/0!</v>
      </c>
    </row>
    <row r="123" spans="1:19" ht="24.95" hidden="1" customHeight="1">
      <c r="A123" s="32" t="e">
        <v>#REF!</v>
      </c>
      <c r="B123" s="32"/>
      <c r="C123" s="145" t="s">
        <v>167</v>
      </c>
      <c r="D123" s="145" t="s">
        <v>171</v>
      </c>
      <c r="E123" s="145" t="s">
        <v>172</v>
      </c>
      <c r="F123" s="145">
        <v>5</v>
      </c>
      <c r="G123" s="145" t="s">
        <v>175</v>
      </c>
      <c r="H123" s="145" t="s">
        <v>179</v>
      </c>
      <c r="I123" s="145" t="s">
        <v>54</v>
      </c>
      <c r="J123" s="145">
        <v>11</v>
      </c>
      <c r="K123" s="146" t="s">
        <v>29</v>
      </c>
      <c r="L123" s="147" t="s">
        <v>178</v>
      </c>
      <c r="M123" s="148">
        <v>0</v>
      </c>
      <c r="N123" s="148"/>
      <c r="O123" s="150" t="e">
        <f t="shared" si="65"/>
        <v>#DIV/0!</v>
      </c>
      <c r="P123" s="148"/>
      <c r="Q123" s="150" t="e">
        <f t="shared" si="65"/>
        <v>#DIV/0!</v>
      </c>
      <c r="R123" s="148"/>
      <c r="S123" s="150" t="e">
        <f t="shared" ref="S123" si="117">+R123/$M123</f>
        <v>#DIV/0!</v>
      </c>
    </row>
    <row r="124" spans="1:19" ht="24.95" hidden="1" customHeight="1">
      <c r="A124" s="32" t="e">
        <v>#REF!</v>
      </c>
      <c r="B124" s="32"/>
      <c r="C124" s="139" t="s">
        <v>167</v>
      </c>
      <c r="D124" s="139" t="s">
        <v>171</v>
      </c>
      <c r="E124" s="139" t="s">
        <v>172</v>
      </c>
      <c r="F124" s="139" t="s">
        <v>261</v>
      </c>
      <c r="G124" s="139" t="s">
        <v>175</v>
      </c>
      <c r="H124" s="139" t="s">
        <v>181</v>
      </c>
      <c r="I124" s="139"/>
      <c r="J124" s="139">
        <v>11</v>
      </c>
      <c r="K124" s="140" t="s">
        <v>29</v>
      </c>
      <c r="L124" s="140" t="s">
        <v>182</v>
      </c>
      <c r="M124" s="141">
        <v>0</v>
      </c>
      <c r="N124" s="141">
        <v>0</v>
      </c>
      <c r="O124" s="143" t="e">
        <f t="shared" si="65"/>
        <v>#DIV/0!</v>
      </c>
      <c r="P124" s="141">
        <v>0</v>
      </c>
      <c r="Q124" s="143" t="e">
        <f t="shared" si="65"/>
        <v>#DIV/0!</v>
      </c>
      <c r="R124" s="141">
        <v>0</v>
      </c>
      <c r="S124" s="143" t="e">
        <f t="shared" ref="S124" si="118">+R124/$M124</f>
        <v>#DIV/0!</v>
      </c>
    </row>
    <row r="125" spans="1:19" ht="24.95" hidden="1" customHeight="1">
      <c r="A125" s="32" t="e">
        <v>#REF!</v>
      </c>
      <c r="B125" s="32"/>
      <c r="C125" s="145" t="s">
        <v>167</v>
      </c>
      <c r="D125" s="145" t="s">
        <v>171</v>
      </c>
      <c r="E125" s="145" t="s">
        <v>172</v>
      </c>
      <c r="F125" s="145" t="s">
        <v>261</v>
      </c>
      <c r="G125" s="145" t="s">
        <v>175</v>
      </c>
      <c r="H125" s="145" t="s">
        <v>181</v>
      </c>
      <c r="I125" s="145" t="s">
        <v>54</v>
      </c>
      <c r="J125" s="145">
        <v>11</v>
      </c>
      <c r="K125" s="146" t="s">
        <v>29</v>
      </c>
      <c r="L125" s="147" t="s">
        <v>178</v>
      </c>
      <c r="M125" s="148">
        <v>0</v>
      </c>
      <c r="N125" s="148"/>
      <c r="O125" s="150" t="e">
        <f t="shared" si="65"/>
        <v>#DIV/0!</v>
      </c>
      <c r="P125" s="148"/>
      <c r="Q125" s="150" t="e">
        <f t="shared" si="65"/>
        <v>#DIV/0!</v>
      </c>
      <c r="R125" s="148"/>
      <c r="S125" s="150" t="e">
        <f t="shared" ref="S125" si="119">+R125/$M125</f>
        <v>#DIV/0!</v>
      </c>
    </row>
    <row r="126" spans="1:19" ht="24.95" hidden="1" customHeight="1">
      <c r="A126" s="32" t="e">
        <v>#REF!</v>
      </c>
      <c r="B126" s="32"/>
      <c r="C126" s="139" t="s">
        <v>167</v>
      </c>
      <c r="D126" s="139" t="s">
        <v>171</v>
      </c>
      <c r="E126" s="139" t="s">
        <v>172</v>
      </c>
      <c r="F126" s="139" t="s">
        <v>261</v>
      </c>
      <c r="G126" s="139" t="s">
        <v>175</v>
      </c>
      <c r="H126" s="139" t="s">
        <v>183</v>
      </c>
      <c r="I126" s="139"/>
      <c r="J126" s="139">
        <v>11</v>
      </c>
      <c r="K126" s="140" t="s">
        <v>29</v>
      </c>
      <c r="L126" s="140" t="s">
        <v>184</v>
      </c>
      <c r="M126" s="141">
        <v>0</v>
      </c>
      <c r="N126" s="141">
        <v>0</v>
      </c>
      <c r="O126" s="143" t="e">
        <f t="shared" si="65"/>
        <v>#DIV/0!</v>
      </c>
      <c r="P126" s="141">
        <v>0</v>
      </c>
      <c r="Q126" s="143" t="e">
        <f t="shared" si="65"/>
        <v>#DIV/0!</v>
      </c>
      <c r="R126" s="141">
        <v>0</v>
      </c>
      <c r="S126" s="143" t="e">
        <f t="shared" ref="S126" si="120">+R126/$M126</f>
        <v>#DIV/0!</v>
      </c>
    </row>
    <row r="127" spans="1:19" ht="24.95" hidden="1" customHeight="1">
      <c r="A127" s="32" t="e">
        <v>#REF!</v>
      </c>
      <c r="B127" s="32"/>
      <c r="C127" s="145" t="s">
        <v>167</v>
      </c>
      <c r="D127" s="145" t="s">
        <v>171</v>
      </c>
      <c r="E127" s="145" t="s">
        <v>172</v>
      </c>
      <c r="F127" s="145" t="s">
        <v>261</v>
      </c>
      <c r="G127" s="145" t="s">
        <v>175</v>
      </c>
      <c r="H127" s="145" t="s">
        <v>183</v>
      </c>
      <c r="I127" s="145" t="s">
        <v>54</v>
      </c>
      <c r="J127" s="145">
        <v>11</v>
      </c>
      <c r="K127" s="146" t="s">
        <v>29</v>
      </c>
      <c r="L127" s="147" t="s">
        <v>178</v>
      </c>
      <c r="M127" s="148">
        <v>0</v>
      </c>
      <c r="N127" s="148"/>
      <c r="O127" s="150" t="e">
        <f t="shared" si="65"/>
        <v>#DIV/0!</v>
      </c>
      <c r="P127" s="148"/>
      <c r="Q127" s="150" t="e">
        <f t="shared" si="65"/>
        <v>#DIV/0!</v>
      </c>
      <c r="R127" s="148"/>
      <c r="S127" s="150" t="e">
        <f t="shared" ref="S127" si="121">+R127/$M127</f>
        <v>#DIV/0!</v>
      </c>
    </row>
    <row r="128" spans="1:19" ht="24.95" hidden="1" customHeight="1">
      <c r="A128" s="32" t="e">
        <v>#REF!</v>
      </c>
      <c r="B128" s="32"/>
      <c r="C128" s="139" t="s">
        <v>167</v>
      </c>
      <c r="D128" s="139" t="s">
        <v>171</v>
      </c>
      <c r="E128" s="139" t="s">
        <v>172</v>
      </c>
      <c r="F128" s="139" t="s">
        <v>261</v>
      </c>
      <c r="G128" s="139" t="s">
        <v>175</v>
      </c>
      <c r="H128" s="139" t="s">
        <v>185</v>
      </c>
      <c r="I128" s="139"/>
      <c r="J128" s="139">
        <v>11</v>
      </c>
      <c r="K128" s="140" t="s">
        <v>29</v>
      </c>
      <c r="L128" s="140" t="s">
        <v>186</v>
      </c>
      <c r="M128" s="141">
        <v>0</v>
      </c>
      <c r="N128" s="141">
        <v>0</v>
      </c>
      <c r="O128" s="143" t="e">
        <f t="shared" si="65"/>
        <v>#DIV/0!</v>
      </c>
      <c r="P128" s="141">
        <v>0</v>
      </c>
      <c r="Q128" s="143" t="e">
        <f t="shared" si="65"/>
        <v>#DIV/0!</v>
      </c>
      <c r="R128" s="141">
        <v>0</v>
      </c>
      <c r="S128" s="143" t="e">
        <f t="shared" ref="S128" si="122">+R128/$M128</f>
        <v>#DIV/0!</v>
      </c>
    </row>
    <row r="129" spans="1:19" ht="24.95" hidden="1" customHeight="1">
      <c r="A129" s="32" t="e">
        <v>#REF!</v>
      </c>
      <c r="B129" s="32"/>
      <c r="C129" s="145" t="s">
        <v>167</v>
      </c>
      <c r="D129" s="145" t="s">
        <v>171</v>
      </c>
      <c r="E129" s="145" t="s">
        <v>172</v>
      </c>
      <c r="F129" s="145">
        <v>5</v>
      </c>
      <c r="G129" s="145" t="s">
        <v>175</v>
      </c>
      <c r="H129" s="145" t="s">
        <v>185</v>
      </c>
      <c r="I129" s="145" t="s">
        <v>54</v>
      </c>
      <c r="J129" s="145">
        <v>11</v>
      </c>
      <c r="K129" s="146" t="s">
        <v>29</v>
      </c>
      <c r="L129" s="147" t="s">
        <v>178</v>
      </c>
      <c r="M129" s="148">
        <v>0</v>
      </c>
      <c r="N129" s="148"/>
      <c r="O129" s="150" t="e">
        <f t="shared" si="65"/>
        <v>#DIV/0!</v>
      </c>
      <c r="P129" s="148"/>
      <c r="Q129" s="150" t="e">
        <f t="shared" si="65"/>
        <v>#DIV/0!</v>
      </c>
      <c r="R129" s="148"/>
      <c r="S129" s="150" t="e">
        <f t="shared" ref="S129" si="123">+R129/$M129</f>
        <v>#DIV/0!</v>
      </c>
    </row>
    <row r="130" spans="1:19" ht="24.95" hidden="1" customHeight="1">
      <c r="A130" s="32" t="e">
        <v>#REF!</v>
      </c>
      <c r="B130" s="32"/>
      <c r="C130" s="139" t="s">
        <v>167</v>
      </c>
      <c r="D130" s="139" t="s">
        <v>171</v>
      </c>
      <c r="E130" s="139" t="s">
        <v>172</v>
      </c>
      <c r="F130" s="139" t="s">
        <v>261</v>
      </c>
      <c r="G130" s="139" t="s">
        <v>175</v>
      </c>
      <c r="H130" s="139" t="s">
        <v>187</v>
      </c>
      <c r="I130" s="139"/>
      <c r="J130" s="139">
        <v>11</v>
      </c>
      <c r="K130" s="140" t="s">
        <v>29</v>
      </c>
      <c r="L130" s="140" t="s">
        <v>188</v>
      </c>
      <c r="M130" s="141">
        <v>0</v>
      </c>
      <c r="N130" s="141">
        <v>0</v>
      </c>
      <c r="O130" s="143" t="e">
        <f t="shared" si="65"/>
        <v>#DIV/0!</v>
      </c>
      <c r="P130" s="141">
        <v>0</v>
      </c>
      <c r="Q130" s="143" t="e">
        <f t="shared" si="65"/>
        <v>#DIV/0!</v>
      </c>
      <c r="R130" s="141">
        <v>0</v>
      </c>
      <c r="S130" s="143" t="e">
        <f t="shared" ref="S130" si="124">+R130/$M130</f>
        <v>#DIV/0!</v>
      </c>
    </row>
    <row r="131" spans="1:19" ht="24.95" hidden="1" customHeight="1">
      <c r="A131" s="32" t="e">
        <v>#REF!</v>
      </c>
      <c r="B131" s="32"/>
      <c r="C131" s="145" t="s">
        <v>167</v>
      </c>
      <c r="D131" s="145" t="s">
        <v>171</v>
      </c>
      <c r="E131" s="145" t="s">
        <v>172</v>
      </c>
      <c r="F131" s="145" t="s">
        <v>261</v>
      </c>
      <c r="G131" s="145" t="s">
        <v>175</v>
      </c>
      <c r="H131" s="145" t="s">
        <v>187</v>
      </c>
      <c r="I131" s="145" t="s">
        <v>54</v>
      </c>
      <c r="J131" s="145">
        <v>11</v>
      </c>
      <c r="K131" s="146" t="s">
        <v>29</v>
      </c>
      <c r="L131" s="147" t="s">
        <v>178</v>
      </c>
      <c r="M131" s="148">
        <v>0</v>
      </c>
      <c r="N131" s="148"/>
      <c r="O131" s="150" t="e">
        <f t="shared" si="65"/>
        <v>#DIV/0!</v>
      </c>
      <c r="P131" s="148"/>
      <c r="Q131" s="150" t="e">
        <f t="shared" si="65"/>
        <v>#DIV/0!</v>
      </c>
      <c r="R131" s="148"/>
      <c r="S131" s="150" t="e">
        <f t="shared" ref="S131" si="125">+R131/$M131</f>
        <v>#DIV/0!</v>
      </c>
    </row>
    <row r="132" spans="1:19" ht="54.75" customHeight="1">
      <c r="A132" s="32" t="e">
        <v>#REF!</v>
      </c>
      <c r="B132" s="132" t="s">
        <v>454</v>
      </c>
      <c r="C132" s="133" t="s">
        <v>167</v>
      </c>
      <c r="D132" s="133" t="s">
        <v>171</v>
      </c>
      <c r="E132" s="133" t="s">
        <v>172</v>
      </c>
      <c r="F132" s="133" t="s">
        <v>173</v>
      </c>
      <c r="G132" s="133"/>
      <c r="H132" s="133"/>
      <c r="I132" s="133"/>
      <c r="J132" s="133"/>
      <c r="K132" s="134"/>
      <c r="L132" s="134" t="s">
        <v>174</v>
      </c>
      <c r="M132" s="135">
        <v>10248574078</v>
      </c>
      <c r="N132" s="135">
        <v>10248574078</v>
      </c>
      <c r="O132" s="137">
        <f t="shared" si="65"/>
        <v>1</v>
      </c>
      <c r="P132" s="135">
        <v>10248574078</v>
      </c>
      <c r="Q132" s="137">
        <f t="shared" si="65"/>
        <v>1</v>
      </c>
      <c r="R132" s="135">
        <v>10248574078</v>
      </c>
      <c r="S132" s="137">
        <f t="shared" ref="S132" si="126">+R132/$M132</f>
        <v>1</v>
      </c>
    </row>
    <row r="133" spans="1:19" ht="31.5" customHeight="1">
      <c r="A133" s="32" t="e">
        <v>#REF!</v>
      </c>
      <c r="B133" s="138" t="s">
        <v>456</v>
      </c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176</v>
      </c>
      <c r="I133" s="139"/>
      <c r="J133" s="139" t="s">
        <v>144</v>
      </c>
      <c r="K133" s="140" t="s">
        <v>29</v>
      </c>
      <c r="L133" s="140" t="s">
        <v>177</v>
      </c>
      <c r="M133" s="141">
        <v>1189683575</v>
      </c>
      <c r="N133" s="141">
        <v>1189683575</v>
      </c>
      <c r="O133" s="143">
        <f t="shared" si="65"/>
        <v>1</v>
      </c>
      <c r="P133" s="141">
        <v>1189683575</v>
      </c>
      <c r="Q133" s="143">
        <f t="shared" si="65"/>
        <v>1</v>
      </c>
      <c r="R133" s="141">
        <v>1189683575</v>
      </c>
      <c r="S133" s="143">
        <f t="shared" ref="S133" si="127">+R133/$M133</f>
        <v>1</v>
      </c>
    </row>
    <row r="134" spans="1:19" ht="24.95" customHeight="1">
      <c r="A134" s="32" t="e">
        <v>#REF!</v>
      </c>
      <c r="B134" s="144" t="s">
        <v>458</v>
      </c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176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1189683575</v>
      </c>
      <c r="N134" s="148">
        <v>1189683575</v>
      </c>
      <c r="O134" s="150">
        <f t="shared" si="65"/>
        <v>1</v>
      </c>
      <c r="P134" s="148">
        <v>1189683575</v>
      </c>
      <c r="Q134" s="150">
        <f t="shared" si="65"/>
        <v>1</v>
      </c>
      <c r="R134" s="148">
        <v>1189683575</v>
      </c>
      <c r="S134" s="150">
        <f t="shared" ref="S134" si="128">+R134/$M134</f>
        <v>1</v>
      </c>
    </row>
    <row r="135" spans="1:19" ht="31.5" customHeight="1">
      <c r="A135" s="32" t="e">
        <v>#REF!</v>
      </c>
      <c r="B135" s="138" t="s">
        <v>460</v>
      </c>
      <c r="C135" s="139" t="s">
        <v>167</v>
      </c>
      <c r="D135" s="139" t="s">
        <v>171</v>
      </c>
      <c r="E135" s="139" t="s">
        <v>172</v>
      </c>
      <c r="F135" s="139" t="s">
        <v>173</v>
      </c>
      <c r="G135" s="139" t="s">
        <v>175</v>
      </c>
      <c r="H135" s="139" t="s">
        <v>179</v>
      </c>
      <c r="I135" s="139"/>
      <c r="J135" s="139" t="s">
        <v>144</v>
      </c>
      <c r="K135" s="140" t="s">
        <v>29</v>
      </c>
      <c r="L135" s="140" t="s">
        <v>180</v>
      </c>
      <c r="M135" s="141">
        <v>115014864</v>
      </c>
      <c r="N135" s="141">
        <v>115014864</v>
      </c>
      <c r="O135" s="143">
        <f t="shared" si="65"/>
        <v>1</v>
      </c>
      <c r="P135" s="141">
        <v>115014864</v>
      </c>
      <c r="Q135" s="143">
        <f t="shared" si="65"/>
        <v>1</v>
      </c>
      <c r="R135" s="141">
        <v>115014864</v>
      </c>
      <c r="S135" s="143">
        <f t="shared" ref="S135" si="129">+R135/$M135</f>
        <v>1</v>
      </c>
    </row>
    <row r="136" spans="1:19" ht="24.95" customHeight="1">
      <c r="A136" s="32" t="e">
        <v>#REF!</v>
      </c>
      <c r="B136" s="144" t="s">
        <v>462</v>
      </c>
      <c r="C136" s="145" t="s">
        <v>167</v>
      </c>
      <c r="D136" s="145" t="s">
        <v>171</v>
      </c>
      <c r="E136" s="145" t="s">
        <v>172</v>
      </c>
      <c r="F136" s="145" t="s">
        <v>173</v>
      </c>
      <c r="G136" s="145" t="s">
        <v>175</v>
      </c>
      <c r="H136" s="145" t="s">
        <v>179</v>
      </c>
      <c r="I136" s="145" t="s">
        <v>54</v>
      </c>
      <c r="J136" s="145" t="s">
        <v>144</v>
      </c>
      <c r="K136" s="146" t="s">
        <v>29</v>
      </c>
      <c r="L136" s="147" t="s">
        <v>178</v>
      </c>
      <c r="M136" s="148">
        <v>115014864</v>
      </c>
      <c r="N136" s="148">
        <v>115014864</v>
      </c>
      <c r="O136" s="150">
        <f t="shared" ref="O136:Q199" si="130">+N136/$M136</f>
        <v>1</v>
      </c>
      <c r="P136" s="148">
        <v>115014864</v>
      </c>
      <c r="Q136" s="150">
        <f t="shared" si="130"/>
        <v>1</v>
      </c>
      <c r="R136" s="148">
        <v>115014864</v>
      </c>
      <c r="S136" s="150">
        <f t="shared" ref="S136" si="131">+R136/$M136</f>
        <v>1</v>
      </c>
    </row>
    <row r="137" spans="1:19" ht="31.5" hidden="1" customHeight="1">
      <c r="A137" s="32" t="e">
        <v>#REF!</v>
      </c>
      <c r="B137" s="144" t="s">
        <v>690</v>
      </c>
      <c r="C137" s="139" t="s">
        <v>167</v>
      </c>
      <c r="D137" s="139" t="s">
        <v>171</v>
      </c>
      <c r="E137" s="139" t="s">
        <v>172</v>
      </c>
      <c r="F137" s="139" t="s">
        <v>173</v>
      </c>
      <c r="G137" s="139" t="s">
        <v>175</v>
      </c>
      <c r="H137" s="139" t="s">
        <v>181</v>
      </c>
      <c r="I137" s="139"/>
      <c r="J137" s="139" t="s">
        <v>144</v>
      </c>
      <c r="K137" s="140" t="s">
        <v>29</v>
      </c>
      <c r="L137" s="140" t="s">
        <v>182</v>
      </c>
      <c r="M137" s="141">
        <v>0</v>
      </c>
      <c r="N137" s="141">
        <v>0</v>
      </c>
      <c r="O137" s="143" t="e">
        <f t="shared" si="130"/>
        <v>#DIV/0!</v>
      </c>
      <c r="P137" s="141">
        <v>0</v>
      </c>
      <c r="Q137" s="143" t="e">
        <f t="shared" si="130"/>
        <v>#DIV/0!</v>
      </c>
      <c r="R137" s="141">
        <v>0</v>
      </c>
      <c r="S137" s="143" t="e">
        <f t="shared" ref="S137" si="132">+R137/$M137</f>
        <v>#DIV/0!</v>
      </c>
    </row>
    <row r="138" spans="1:19" ht="24.95" hidden="1" customHeight="1">
      <c r="A138" s="32" t="e">
        <v>#REF!</v>
      </c>
      <c r="B138" s="144" t="s">
        <v>466</v>
      </c>
      <c r="C138" s="145" t="s">
        <v>167</v>
      </c>
      <c r="D138" s="145" t="s">
        <v>171</v>
      </c>
      <c r="E138" s="145" t="s">
        <v>172</v>
      </c>
      <c r="F138" s="145" t="s">
        <v>173</v>
      </c>
      <c r="G138" s="145" t="s">
        <v>175</v>
      </c>
      <c r="H138" s="145" t="s">
        <v>181</v>
      </c>
      <c r="I138" s="145" t="s">
        <v>54</v>
      </c>
      <c r="J138" s="145" t="s">
        <v>144</v>
      </c>
      <c r="K138" s="146" t="s">
        <v>29</v>
      </c>
      <c r="L138" s="147" t="s">
        <v>178</v>
      </c>
      <c r="M138" s="148">
        <v>0</v>
      </c>
      <c r="N138" s="148"/>
      <c r="O138" s="150" t="e">
        <f t="shared" si="130"/>
        <v>#DIV/0!</v>
      </c>
      <c r="P138" s="148"/>
      <c r="Q138" s="150" t="e">
        <f t="shared" si="130"/>
        <v>#DIV/0!</v>
      </c>
      <c r="R138" s="148"/>
      <c r="S138" s="150" t="e">
        <f t="shared" ref="S138" si="133">+R138/$M138</f>
        <v>#DIV/0!</v>
      </c>
    </row>
    <row r="139" spans="1:19" ht="31.5" hidden="1" customHeight="1">
      <c r="A139" s="32" t="e">
        <v>#REF!</v>
      </c>
      <c r="B139" s="144" t="s">
        <v>691</v>
      </c>
      <c r="C139" s="139" t="s">
        <v>167</v>
      </c>
      <c r="D139" s="139" t="s">
        <v>171</v>
      </c>
      <c r="E139" s="139" t="s">
        <v>172</v>
      </c>
      <c r="F139" s="139" t="s">
        <v>173</v>
      </c>
      <c r="G139" s="139" t="s">
        <v>175</v>
      </c>
      <c r="H139" s="139" t="s">
        <v>183</v>
      </c>
      <c r="I139" s="139"/>
      <c r="J139" s="139" t="s">
        <v>144</v>
      </c>
      <c r="K139" s="140" t="s">
        <v>29</v>
      </c>
      <c r="L139" s="140" t="s">
        <v>184</v>
      </c>
      <c r="M139" s="141">
        <v>0</v>
      </c>
      <c r="N139" s="141">
        <v>0</v>
      </c>
      <c r="O139" s="143" t="e">
        <f t="shared" si="130"/>
        <v>#DIV/0!</v>
      </c>
      <c r="P139" s="141">
        <v>0</v>
      </c>
      <c r="Q139" s="143" t="e">
        <f t="shared" si="130"/>
        <v>#DIV/0!</v>
      </c>
      <c r="R139" s="141">
        <v>0</v>
      </c>
      <c r="S139" s="143" t="e">
        <f t="shared" ref="S139" si="134">+R139/$M139</f>
        <v>#DIV/0!</v>
      </c>
    </row>
    <row r="140" spans="1:19" ht="24.95" hidden="1" customHeight="1">
      <c r="A140" s="32" t="e">
        <v>#REF!</v>
      </c>
      <c r="B140" s="144" t="s">
        <v>470</v>
      </c>
      <c r="C140" s="145" t="s">
        <v>167</v>
      </c>
      <c r="D140" s="145" t="s">
        <v>171</v>
      </c>
      <c r="E140" s="145" t="s">
        <v>172</v>
      </c>
      <c r="F140" s="145" t="s">
        <v>173</v>
      </c>
      <c r="G140" s="145" t="s">
        <v>175</v>
      </c>
      <c r="H140" s="145" t="s">
        <v>183</v>
      </c>
      <c r="I140" s="145" t="s">
        <v>54</v>
      </c>
      <c r="J140" s="145" t="s">
        <v>144</v>
      </c>
      <c r="K140" s="146" t="s">
        <v>29</v>
      </c>
      <c r="L140" s="147" t="s">
        <v>178</v>
      </c>
      <c r="M140" s="148">
        <v>0</v>
      </c>
      <c r="N140" s="148">
        <v>0</v>
      </c>
      <c r="O140" s="150" t="e">
        <f t="shared" si="130"/>
        <v>#DIV/0!</v>
      </c>
      <c r="P140" s="148">
        <v>0</v>
      </c>
      <c r="Q140" s="150" t="e">
        <f t="shared" si="130"/>
        <v>#DIV/0!</v>
      </c>
      <c r="R140" s="148">
        <v>0</v>
      </c>
      <c r="S140" s="150" t="e">
        <f t="shared" ref="S140" si="135">+R140/$M140</f>
        <v>#DIV/0!</v>
      </c>
    </row>
    <row r="141" spans="1:19" ht="31.5" customHeight="1">
      <c r="A141" s="32" t="e">
        <v>#REF!</v>
      </c>
      <c r="B141" s="138" t="s">
        <v>472</v>
      </c>
      <c r="C141" s="139" t="s">
        <v>167</v>
      </c>
      <c r="D141" s="139" t="s">
        <v>171</v>
      </c>
      <c r="E141" s="139" t="s">
        <v>172</v>
      </c>
      <c r="F141" s="139" t="s">
        <v>173</v>
      </c>
      <c r="G141" s="139" t="s">
        <v>175</v>
      </c>
      <c r="H141" s="139" t="s">
        <v>185</v>
      </c>
      <c r="I141" s="139"/>
      <c r="J141" s="139" t="s">
        <v>144</v>
      </c>
      <c r="K141" s="140" t="s">
        <v>29</v>
      </c>
      <c r="L141" s="140" t="s">
        <v>186</v>
      </c>
      <c r="M141" s="141">
        <v>8943875639</v>
      </c>
      <c r="N141" s="141">
        <v>8943875639</v>
      </c>
      <c r="O141" s="143">
        <f t="shared" si="130"/>
        <v>1</v>
      </c>
      <c r="P141" s="141">
        <v>8943875639</v>
      </c>
      <c r="Q141" s="143">
        <f t="shared" si="130"/>
        <v>1</v>
      </c>
      <c r="R141" s="141">
        <v>8943875639</v>
      </c>
      <c r="S141" s="143">
        <f t="shared" ref="S141" si="136">+R141/$M141</f>
        <v>1</v>
      </c>
    </row>
    <row r="142" spans="1:19" ht="24.95" customHeight="1">
      <c r="A142" s="32" t="e">
        <v>#REF!</v>
      </c>
      <c r="B142" s="144" t="s">
        <v>474</v>
      </c>
      <c r="C142" s="145" t="s">
        <v>167</v>
      </c>
      <c r="D142" s="145" t="s">
        <v>171</v>
      </c>
      <c r="E142" s="145" t="s">
        <v>172</v>
      </c>
      <c r="F142" s="145" t="s">
        <v>173</v>
      </c>
      <c r="G142" s="145" t="s">
        <v>175</v>
      </c>
      <c r="H142" s="145" t="s">
        <v>185</v>
      </c>
      <c r="I142" s="145" t="s">
        <v>54</v>
      </c>
      <c r="J142" s="145" t="s">
        <v>144</v>
      </c>
      <c r="K142" s="146" t="s">
        <v>29</v>
      </c>
      <c r="L142" s="147" t="s">
        <v>178</v>
      </c>
      <c r="M142" s="148">
        <v>8943875639</v>
      </c>
      <c r="N142" s="148">
        <v>8943875639</v>
      </c>
      <c r="O142" s="150">
        <f t="shared" si="130"/>
        <v>1</v>
      </c>
      <c r="P142" s="148">
        <v>8943875639</v>
      </c>
      <c r="Q142" s="150">
        <f t="shared" si="130"/>
        <v>1</v>
      </c>
      <c r="R142" s="148">
        <v>8943875639</v>
      </c>
      <c r="S142" s="150">
        <f t="shared" ref="S142" si="137">+R142/$M142</f>
        <v>1</v>
      </c>
    </row>
    <row r="143" spans="1:19" ht="31.5" hidden="1" customHeight="1">
      <c r="A143" s="32" t="e">
        <v>#REF!</v>
      </c>
      <c r="B143" s="32"/>
      <c r="C143" s="139" t="s">
        <v>167</v>
      </c>
      <c r="D143" s="139" t="s">
        <v>171</v>
      </c>
      <c r="E143" s="139" t="s">
        <v>172</v>
      </c>
      <c r="F143" s="139" t="s">
        <v>173</v>
      </c>
      <c r="G143" s="139" t="s">
        <v>175</v>
      </c>
      <c r="H143" s="139" t="s">
        <v>187</v>
      </c>
      <c r="I143" s="139"/>
      <c r="J143" s="139" t="s">
        <v>144</v>
      </c>
      <c r="K143" s="140" t="s">
        <v>29</v>
      </c>
      <c r="L143" s="140" t="s">
        <v>188</v>
      </c>
      <c r="M143" s="141">
        <v>0</v>
      </c>
      <c r="N143" s="141">
        <v>0</v>
      </c>
      <c r="O143" s="143" t="e">
        <f t="shared" si="130"/>
        <v>#DIV/0!</v>
      </c>
      <c r="P143" s="141">
        <v>0</v>
      </c>
      <c r="Q143" s="143" t="e">
        <f t="shared" si="130"/>
        <v>#DIV/0!</v>
      </c>
      <c r="R143" s="141">
        <v>0</v>
      </c>
      <c r="S143" s="143" t="e">
        <f t="shared" ref="S143" si="138">+R143/$M143</f>
        <v>#DIV/0!</v>
      </c>
    </row>
    <row r="144" spans="1:19" ht="24.95" hidden="1" customHeight="1">
      <c r="A144" s="32" t="e">
        <v>#REF!</v>
      </c>
      <c r="B144" s="32"/>
      <c r="C144" s="145" t="s">
        <v>167</v>
      </c>
      <c r="D144" s="145" t="s">
        <v>171</v>
      </c>
      <c r="E144" s="145" t="s">
        <v>172</v>
      </c>
      <c r="F144" s="145" t="s">
        <v>173</v>
      </c>
      <c r="G144" s="145" t="s">
        <v>175</v>
      </c>
      <c r="H144" s="145" t="s">
        <v>187</v>
      </c>
      <c r="I144" s="145" t="s">
        <v>54</v>
      </c>
      <c r="J144" s="145" t="s">
        <v>144</v>
      </c>
      <c r="K144" s="146" t="s">
        <v>29</v>
      </c>
      <c r="L144" s="147" t="s">
        <v>178</v>
      </c>
      <c r="M144" s="148">
        <v>0</v>
      </c>
      <c r="N144" s="148">
        <v>0</v>
      </c>
      <c r="O144" s="150" t="e">
        <f t="shared" si="130"/>
        <v>#DIV/0!</v>
      </c>
      <c r="P144" s="148">
        <v>0</v>
      </c>
      <c r="Q144" s="150" t="e">
        <f t="shared" si="130"/>
        <v>#DIV/0!</v>
      </c>
      <c r="R144" s="148">
        <v>0</v>
      </c>
      <c r="S144" s="150" t="e">
        <f t="shared" ref="S144" si="139">+R144/$M144</f>
        <v>#DIV/0!</v>
      </c>
    </row>
    <row r="145" spans="1:19" ht="24.95" hidden="1" customHeight="1">
      <c r="A145" s="32" t="e">
        <v>#REF!</v>
      </c>
      <c r="B145" s="32"/>
      <c r="C145" s="145" t="s">
        <v>167</v>
      </c>
      <c r="D145" s="145" t="s">
        <v>171</v>
      </c>
      <c r="E145" s="145" t="s">
        <v>172</v>
      </c>
      <c r="F145" s="145" t="s">
        <v>173</v>
      </c>
      <c r="G145" s="145" t="s">
        <v>175</v>
      </c>
      <c r="H145" s="145" t="s">
        <v>187</v>
      </c>
      <c r="I145" s="145" t="s">
        <v>65</v>
      </c>
      <c r="J145" s="145" t="s">
        <v>144</v>
      </c>
      <c r="K145" s="146" t="s">
        <v>29</v>
      </c>
      <c r="L145" s="147" t="s">
        <v>127</v>
      </c>
      <c r="M145" s="148">
        <v>0</v>
      </c>
      <c r="N145" s="148">
        <v>0</v>
      </c>
      <c r="O145" s="150" t="e">
        <f t="shared" si="130"/>
        <v>#DIV/0!</v>
      </c>
      <c r="P145" s="148">
        <v>0</v>
      </c>
      <c r="Q145" s="150" t="e">
        <f t="shared" si="130"/>
        <v>#DIV/0!</v>
      </c>
      <c r="R145" s="148">
        <v>0</v>
      </c>
      <c r="S145" s="150" t="e">
        <f t="shared" ref="S145" si="140">+R145/$M145</f>
        <v>#DIV/0!</v>
      </c>
    </row>
    <row r="146" spans="1:19" ht="35.25" customHeight="1">
      <c r="A146" s="32" t="e">
        <v>#REF!</v>
      </c>
      <c r="B146" s="122" t="s">
        <v>482</v>
      </c>
      <c r="C146" s="123" t="s">
        <v>167</v>
      </c>
      <c r="D146" s="123">
        <v>4103</v>
      </c>
      <c r="E146" s="123"/>
      <c r="F146" s="123"/>
      <c r="G146" s="123"/>
      <c r="H146" s="123"/>
      <c r="I146" s="123"/>
      <c r="J146" s="124"/>
      <c r="K146" s="124"/>
      <c r="L146" s="124" t="s">
        <v>189</v>
      </c>
      <c r="M146" s="125">
        <v>6347033510554</v>
      </c>
      <c r="N146" s="125">
        <v>6134873709535.3506</v>
      </c>
      <c r="O146" s="126">
        <f t="shared" si="130"/>
        <v>0.96657339201599224</v>
      </c>
      <c r="P146" s="125">
        <v>5277219740798.1104</v>
      </c>
      <c r="Q146" s="126">
        <f t="shared" si="130"/>
        <v>0.83144664858362927</v>
      </c>
      <c r="R146" s="125">
        <v>5275846008966.3105</v>
      </c>
      <c r="S146" s="126">
        <f t="shared" ref="S146" si="141">+R146/$M146</f>
        <v>0.83123021175065592</v>
      </c>
    </row>
    <row r="147" spans="1:19" ht="24" customHeight="1">
      <c r="A147" s="32" t="e">
        <v>#REF!</v>
      </c>
      <c r="B147" s="127" t="s">
        <v>296</v>
      </c>
      <c r="C147" s="128" t="s">
        <v>167</v>
      </c>
      <c r="D147" s="128">
        <v>4103</v>
      </c>
      <c r="E147" s="128">
        <v>1500</v>
      </c>
      <c r="F147" s="128"/>
      <c r="G147" s="128"/>
      <c r="H147" s="128"/>
      <c r="I147" s="128"/>
      <c r="J147" s="129"/>
      <c r="K147" s="129"/>
      <c r="L147" s="129" t="s">
        <v>170</v>
      </c>
      <c r="M147" s="130">
        <v>6347033510554</v>
      </c>
      <c r="N147" s="130">
        <v>6134873709535.3506</v>
      </c>
      <c r="O147" s="131">
        <f t="shared" si="130"/>
        <v>0.96657339201599224</v>
      </c>
      <c r="P147" s="130">
        <v>5277219740798.1104</v>
      </c>
      <c r="Q147" s="131">
        <f t="shared" si="130"/>
        <v>0.83144664858362927</v>
      </c>
      <c r="R147" s="130">
        <v>5275846008966.3105</v>
      </c>
      <c r="S147" s="131">
        <f t="shared" ref="S147" si="142">+R147/$M147</f>
        <v>0.83123021175065592</v>
      </c>
    </row>
    <row r="148" spans="1:19" ht="42.75" customHeight="1">
      <c r="A148" s="32" t="e">
        <v>#REF!</v>
      </c>
      <c r="B148" s="132" t="s">
        <v>297</v>
      </c>
      <c r="C148" s="133" t="s">
        <v>167</v>
      </c>
      <c r="D148" s="133" t="s">
        <v>190</v>
      </c>
      <c r="E148" s="133" t="s">
        <v>172</v>
      </c>
      <c r="F148" s="133" t="s">
        <v>191</v>
      </c>
      <c r="G148" s="133"/>
      <c r="H148" s="133"/>
      <c r="I148" s="133"/>
      <c r="J148" s="133"/>
      <c r="K148" s="134"/>
      <c r="L148" s="134" t="s">
        <v>263</v>
      </c>
      <c r="M148" s="135">
        <v>2503485210000</v>
      </c>
      <c r="N148" s="135">
        <v>2480696842244.54</v>
      </c>
      <c r="O148" s="137">
        <f t="shared" si="130"/>
        <v>0.99089734276662256</v>
      </c>
      <c r="P148" s="135">
        <v>2466148876400.5601</v>
      </c>
      <c r="Q148" s="137">
        <f t="shared" si="130"/>
        <v>0.98508625756992596</v>
      </c>
      <c r="R148" s="135">
        <v>2466148876400.5601</v>
      </c>
      <c r="S148" s="137">
        <f t="shared" ref="S148" si="143">+R148/$M148</f>
        <v>0.98508625756992596</v>
      </c>
    </row>
    <row r="149" spans="1:19" ht="30.75" customHeight="1">
      <c r="A149" s="32" t="e">
        <v>#REF!</v>
      </c>
      <c r="B149" s="138" t="s">
        <v>486</v>
      </c>
      <c r="C149" s="139" t="s">
        <v>167</v>
      </c>
      <c r="D149" s="139" t="s">
        <v>190</v>
      </c>
      <c r="E149" s="139" t="s">
        <v>172</v>
      </c>
      <c r="F149" s="139" t="s">
        <v>191</v>
      </c>
      <c r="G149" s="139" t="s">
        <v>175</v>
      </c>
      <c r="H149" s="139" t="s">
        <v>193</v>
      </c>
      <c r="I149" s="139"/>
      <c r="J149" s="139"/>
      <c r="K149" s="140"/>
      <c r="L149" s="140" t="s">
        <v>194</v>
      </c>
      <c r="M149" s="141">
        <v>2498350178049</v>
      </c>
      <c r="N149" s="141">
        <v>2475561810293.54</v>
      </c>
      <c r="O149" s="143">
        <f t="shared" si="130"/>
        <v>0.99087863344551008</v>
      </c>
      <c r="P149" s="141">
        <v>2461013844449.5601</v>
      </c>
      <c r="Q149" s="143">
        <f t="shared" si="130"/>
        <v>0.98505560432341133</v>
      </c>
      <c r="R149" s="141">
        <v>2461013844449.5601</v>
      </c>
      <c r="S149" s="143">
        <f t="shared" ref="S149" si="144">+R149/$M149</f>
        <v>0.98505560432341133</v>
      </c>
    </row>
    <row r="150" spans="1:19" ht="24.95" hidden="1" customHeight="1">
      <c r="A150" s="32" t="e">
        <v>#REF!</v>
      </c>
      <c r="B150" s="144" t="s">
        <v>488</v>
      </c>
      <c r="C150" s="145" t="s">
        <v>167</v>
      </c>
      <c r="D150" s="145" t="s">
        <v>190</v>
      </c>
      <c r="E150" s="145" t="s">
        <v>172</v>
      </c>
      <c r="F150" s="145" t="s">
        <v>191</v>
      </c>
      <c r="G150" s="145" t="s">
        <v>175</v>
      </c>
      <c r="H150" s="145" t="s">
        <v>193</v>
      </c>
      <c r="I150" s="145" t="s">
        <v>54</v>
      </c>
      <c r="J150" s="145">
        <v>10</v>
      </c>
      <c r="K150" s="146" t="s">
        <v>29</v>
      </c>
      <c r="L150" s="147" t="s">
        <v>178</v>
      </c>
      <c r="M150" s="148">
        <v>0</v>
      </c>
      <c r="N150" s="148">
        <v>0</v>
      </c>
      <c r="O150" s="150" t="e">
        <f t="shared" si="130"/>
        <v>#DIV/0!</v>
      </c>
      <c r="P150" s="148">
        <v>0</v>
      </c>
      <c r="Q150" s="150" t="e">
        <f t="shared" si="130"/>
        <v>#DIV/0!</v>
      </c>
      <c r="R150" s="148">
        <v>0</v>
      </c>
      <c r="S150" s="150" t="e">
        <f t="shared" ref="S150" si="145">+R150/$M150</f>
        <v>#DIV/0!</v>
      </c>
    </row>
    <row r="151" spans="1:19" ht="24.95" customHeight="1">
      <c r="A151" s="32" t="e">
        <v>#REF!</v>
      </c>
      <c r="B151" s="144" t="s">
        <v>488</v>
      </c>
      <c r="C151" s="145" t="s">
        <v>167</v>
      </c>
      <c r="D151" s="145" t="s">
        <v>190</v>
      </c>
      <c r="E151" s="145" t="s">
        <v>172</v>
      </c>
      <c r="F151" s="145" t="s">
        <v>191</v>
      </c>
      <c r="G151" s="145" t="s">
        <v>175</v>
      </c>
      <c r="H151" s="145" t="s">
        <v>193</v>
      </c>
      <c r="I151" s="145" t="s">
        <v>54</v>
      </c>
      <c r="J151" s="145">
        <v>11</v>
      </c>
      <c r="K151" s="146" t="s">
        <v>29</v>
      </c>
      <c r="L151" s="147" t="s">
        <v>178</v>
      </c>
      <c r="M151" s="148">
        <v>98339359628.299988</v>
      </c>
      <c r="N151" s="148">
        <v>94021297445.539993</v>
      </c>
      <c r="O151" s="150">
        <f t="shared" si="130"/>
        <v>0.9560901942103216</v>
      </c>
      <c r="P151" s="148">
        <v>79473331601.559998</v>
      </c>
      <c r="Q151" s="150">
        <f t="shared" si="130"/>
        <v>0.80815384503164134</v>
      </c>
      <c r="R151" s="148">
        <v>79473331601.559998</v>
      </c>
      <c r="S151" s="150">
        <f t="shared" ref="S151" si="146">+R151/$M151</f>
        <v>0.80815384503164134</v>
      </c>
    </row>
    <row r="152" spans="1:19" ht="24.95" hidden="1" customHeight="1">
      <c r="A152" s="32" t="e">
        <v>#REF!</v>
      </c>
      <c r="B152" s="144" t="s">
        <v>491</v>
      </c>
      <c r="C152" s="145" t="s">
        <v>167</v>
      </c>
      <c r="D152" s="145" t="s">
        <v>190</v>
      </c>
      <c r="E152" s="145" t="s">
        <v>172</v>
      </c>
      <c r="F152" s="145" t="s">
        <v>191</v>
      </c>
      <c r="G152" s="145" t="s">
        <v>175</v>
      </c>
      <c r="H152" s="145" t="s">
        <v>193</v>
      </c>
      <c r="I152" s="145" t="s">
        <v>65</v>
      </c>
      <c r="J152" s="145">
        <v>10</v>
      </c>
      <c r="K152" s="146" t="s">
        <v>29</v>
      </c>
      <c r="L152" s="147" t="s">
        <v>127</v>
      </c>
      <c r="M152" s="148">
        <v>0</v>
      </c>
      <c r="N152" s="148">
        <v>0</v>
      </c>
      <c r="O152" s="150" t="e">
        <f t="shared" si="130"/>
        <v>#DIV/0!</v>
      </c>
      <c r="P152" s="148">
        <v>0</v>
      </c>
      <c r="Q152" s="150" t="e">
        <f t="shared" si="130"/>
        <v>#DIV/0!</v>
      </c>
      <c r="R152" s="148">
        <v>0</v>
      </c>
      <c r="S152" s="150" t="e">
        <f t="shared" ref="S152" si="147">+R152/$M152</f>
        <v>#DIV/0!</v>
      </c>
    </row>
    <row r="153" spans="1:19" ht="24.95" customHeight="1">
      <c r="A153" s="32" t="e">
        <v>#REF!</v>
      </c>
      <c r="B153" s="144" t="s">
        <v>491</v>
      </c>
      <c r="C153" s="145" t="s">
        <v>167</v>
      </c>
      <c r="D153" s="145" t="s">
        <v>190</v>
      </c>
      <c r="E153" s="145" t="s">
        <v>172</v>
      </c>
      <c r="F153" s="145" t="s">
        <v>191</v>
      </c>
      <c r="G153" s="145" t="s">
        <v>175</v>
      </c>
      <c r="H153" s="145" t="s">
        <v>193</v>
      </c>
      <c r="I153" s="145" t="s">
        <v>65</v>
      </c>
      <c r="J153" s="145" t="s">
        <v>144</v>
      </c>
      <c r="K153" s="146" t="s">
        <v>29</v>
      </c>
      <c r="L153" s="147" t="s">
        <v>127</v>
      </c>
      <c r="M153" s="148">
        <v>2400010818420.7002</v>
      </c>
      <c r="N153" s="148">
        <v>2381540512848</v>
      </c>
      <c r="O153" s="150">
        <f t="shared" si="130"/>
        <v>0.99230407403544352</v>
      </c>
      <c r="P153" s="148">
        <v>2381540512848</v>
      </c>
      <c r="Q153" s="150">
        <f t="shared" si="130"/>
        <v>0.99230407403544352</v>
      </c>
      <c r="R153" s="148">
        <v>2381540512848</v>
      </c>
      <c r="S153" s="150">
        <f t="shared" ref="S153" si="148">+R153/$M153</f>
        <v>0.99230407403544352</v>
      </c>
    </row>
    <row r="154" spans="1:19" ht="32.25" customHeight="1">
      <c r="A154" s="32" t="e">
        <v>#REF!</v>
      </c>
      <c r="B154" s="138" t="s">
        <v>494</v>
      </c>
      <c r="C154" s="139" t="s">
        <v>167</v>
      </c>
      <c r="D154" s="139" t="s">
        <v>190</v>
      </c>
      <c r="E154" s="139" t="s">
        <v>172</v>
      </c>
      <c r="F154" s="139" t="s">
        <v>191</v>
      </c>
      <c r="G154" s="139" t="s">
        <v>175</v>
      </c>
      <c r="H154" s="139">
        <v>4103009</v>
      </c>
      <c r="I154" s="139"/>
      <c r="J154" s="139">
        <v>10</v>
      </c>
      <c r="K154" s="140" t="s">
        <v>29</v>
      </c>
      <c r="L154" s="140" t="s">
        <v>195</v>
      </c>
      <c r="M154" s="141">
        <v>5135031951</v>
      </c>
      <c r="N154" s="141">
        <v>5135031951</v>
      </c>
      <c r="O154" s="143">
        <f t="shared" si="130"/>
        <v>1</v>
      </c>
      <c r="P154" s="141">
        <v>5135031951</v>
      </c>
      <c r="Q154" s="143">
        <f t="shared" si="130"/>
        <v>1</v>
      </c>
      <c r="R154" s="141">
        <v>5135031951</v>
      </c>
      <c r="S154" s="143">
        <f t="shared" ref="S154" si="149">+R154/$M154</f>
        <v>1</v>
      </c>
    </row>
    <row r="155" spans="1:19" ht="24.95" hidden="1" customHeight="1">
      <c r="A155" s="32" t="e">
        <v>#REF!</v>
      </c>
      <c r="B155" s="144" t="s">
        <v>496</v>
      </c>
      <c r="C155" s="145" t="s">
        <v>167</v>
      </c>
      <c r="D155" s="145" t="s">
        <v>190</v>
      </c>
      <c r="E155" s="145" t="s">
        <v>172</v>
      </c>
      <c r="F155" s="145" t="s">
        <v>191</v>
      </c>
      <c r="G155" s="145" t="s">
        <v>175</v>
      </c>
      <c r="H155" s="145">
        <v>4103009</v>
      </c>
      <c r="I155" s="145" t="s">
        <v>54</v>
      </c>
      <c r="J155" s="145">
        <v>10</v>
      </c>
      <c r="K155" s="146" t="s">
        <v>29</v>
      </c>
      <c r="L155" s="147" t="s">
        <v>178</v>
      </c>
      <c r="M155" s="148">
        <v>0</v>
      </c>
      <c r="N155" s="148">
        <v>0</v>
      </c>
      <c r="O155" s="150" t="e">
        <f t="shared" si="130"/>
        <v>#DIV/0!</v>
      </c>
      <c r="P155" s="148">
        <v>0</v>
      </c>
      <c r="Q155" s="150" t="e">
        <f t="shared" si="130"/>
        <v>#DIV/0!</v>
      </c>
      <c r="R155" s="148">
        <v>0</v>
      </c>
      <c r="S155" s="150" t="e">
        <f t="shared" ref="S155" si="150">+R155/$M155</f>
        <v>#DIV/0!</v>
      </c>
    </row>
    <row r="156" spans="1:19" ht="24.95" customHeight="1">
      <c r="A156" s="32" t="e">
        <v>#REF!</v>
      </c>
      <c r="B156" s="144" t="s">
        <v>496</v>
      </c>
      <c r="C156" s="145" t="s">
        <v>167</v>
      </c>
      <c r="D156" s="145" t="s">
        <v>190</v>
      </c>
      <c r="E156" s="145" t="s">
        <v>172</v>
      </c>
      <c r="F156" s="145" t="s">
        <v>191</v>
      </c>
      <c r="G156" s="145" t="s">
        <v>175</v>
      </c>
      <c r="H156" s="145">
        <v>4103009</v>
      </c>
      <c r="I156" s="145" t="s">
        <v>54</v>
      </c>
      <c r="J156" s="145">
        <v>11</v>
      </c>
      <c r="K156" s="146" t="s">
        <v>29</v>
      </c>
      <c r="L156" s="147" t="s">
        <v>178</v>
      </c>
      <c r="M156" s="148">
        <v>5135031951</v>
      </c>
      <c r="N156" s="148">
        <v>5135031951</v>
      </c>
      <c r="O156" s="150">
        <f t="shared" si="130"/>
        <v>1</v>
      </c>
      <c r="P156" s="148">
        <v>5135031951</v>
      </c>
      <c r="Q156" s="150">
        <f t="shared" si="130"/>
        <v>1</v>
      </c>
      <c r="R156" s="148">
        <v>5135031951</v>
      </c>
      <c r="S156" s="150">
        <f t="shared" ref="S156" si="151">+R156/$M156</f>
        <v>1</v>
      </c>
    </row>
    <row r="157" spans="1:19" ht="42" customHeight="1">
      <c r="A157" s="32" t="e">
        <v>#REF!</v>
      </c>
      <c r="B157" s="132" t="s">
        <v>298</v>
      </c>
      <c r="C157" s="133" t="s">
        <v>167</v>
      </c>
      <c r="D157" s="133" t="s">
        <v>190</v>
      </c>
      <c r="E157" s="133" t="s">
        <v>172</v>
      </c>
      <c r="F157" s="133" t="s">
        <v>22</v>
      </c>
      <c r="G157" s="133"/>
      <c r="H157" s="133"/>
      <c r="I157" s="133"/>
      <c r="J157" s="133"/>
      <c r="K157" s="134"/>
      <c r="L157" s="134" t="s">
        <v>264</v>
      </c>
      <c r="M157" s="135">
        <v>27000000000</v>
      </c>
      <c r="N157" s="135">
        <v>26899411841</v>
      </c>
      <c r="O157" s="137">
        <f t="shared" si="130"/>
        <v>0.99627451262962963</v>
      </c>
      <c r="P157" s="135">
        <v>24456495363</v>
      </c>
      <c r="Q157" s="137">
        <f t="shared" si="130"/>
        <v>0.90579612455555558</v>
      </c>
      <c r="R157" s="135">
        <v>24456495363</v>
      </c>
      <c r="S157" s="137">
        <f t="shared" ref="S157" si="152">+R157/$M157</f>
        <v>0.90579612455555558</v>
      </c>
    </row>
    <row r="158" spans="1:19" ht="32.25" customHeight="1">
      <c r="A158" s="32" t="e">
        <v>#REF!</v>
      </c>
      <c r="B158" s="138" t="s">
        <v>500</v>
      </c>
      <c r="C158" s="139" t="s">
        <v>167</v>
      </c>
      <c r="D158" s="139" t="s">
        <v>190</v>
      </c>
      <c r="E158" s="139" t="s">
        <v>172</v>
      </c>
      <c r="F158" s="139" t="s">
        <v>22</v>
      </c>
      <c r="G158" s="139" t="s">
        <v>175</v>
      </c>
      <c r="H158" s="139" t="s">
        <v>197</v>
      </c>
      <c r="I158" s="139"/>
      <c r="J158" s="139">
        <v>11</v>
      </c>
      <c r="K158" s="140" t="s">
        <v>29</v>
      </c>
      <c r="L158" s="140" t="s">
        <v>198</v>
      </c>
      <c r="M158" s="141">
        <v>2847234333</v>
      </c>
      <c r="N158" s="141">
        <v>2847234333</v>
      </c>
      <c r="O158" s="143">
        <f t="shared" si="130"/>
        <v>1</v>
      </c>
      <c r="P158" s="141">
        <v>2582159000</v>
      </c>
      <c r="Q158" s="143">
        <f t="shared" si="130"/>
        <v>0.90690076685022891</v>
      </c>
      <c r="R158" s="141">
        <v>2582159000</v>
      </c>
      <c r="S158" s="143">
        <f t="shared" ref="S158" si="153">+R158/$M158</f>
        <v>0.90690076685022891</v>
      </c>
    </row>
    <row r="159" spans="1:19" ht="24.95" customHeight="1">
      <c r="A159" s="32" t="e">
        <v>#REF!</v>
      </c>
      <c r="B159" s="144" t="s">
        <v>501</v>
      </c>
      <c r="C159" s="145" t="s">
        <v>167</v>
      </c>
      <c r="D159" s="145" t="s">
        <v>190</v>
      </c>
      <c r="E159" s="145" t="s">
        <v>172</v>
      </c>
      <c r="F159" s="145" t="s">
        <v>22</v>
      </c>
      <c r="G159" s="145" t="s">
        <v>175</v>
      </c>
      <c r="H159" s="145" t="s">
        <v>197</v>
      </c>
      <c r="I159" s="145" t="s">
        <v>54</v>
      </c>
      <c r="J159" s="145">
        <v>11</v>
      </c>
      <c r="K159" s="146" t="s">
        <v>29</v>
      </c>
      <c r="L159" s="147" t="s">
        <v>178</v>
      </c>
      <c r="M159" s="148">
        <v>2847234333</v>
      </c>
      <c r="N159" s="148">
        <v>2847234333</v>
      </c>
      <c r="O159" s="150">
        <f t="shared" si="130"/>
        <v>1</v>
      </c>
      <c r="P159" s="148">
        <v>2582159000</v>
      </c>
      <c r="Q159" s="150">
        <f t="shared" si="130"/>
        <v>0.90690076685022891</v>
      </c>
      <c r="R159" s="148">
        <v>2582159000</v>
      </c>
      <c r="S159" s="150">
        <f t="shared" ref="S159" si="154">+R159/$M159</f>
        <v>0.90690076685022891</v>
      </c>
    </row>
    <row r="160" spans="1:19" ht="32.25" customHeight="1">
      <c r="A160" s="32" t="e">
        <v>#REF!</v>
      </c>
      <c r="B160" s="138" t="s">
        <v>502</v>
      </c>
      <c r="C160" s="139" t="s">
        <v>167</v>
      </c>
      <c r="D160" s="139" t="s">
        <v>190</v>
      </c>
      <c r="E160" s="139" t="s">
        <v>172</v>
      </c>
      <c r="F160" s="139" t="s">
        <v>22</v>
      </c>
      <c r="G160" s="139" t="s">
        <v>175</v>
      </c>
      <c r="H160" s="139" t="s">
        <v>199</v>
      </c>
      <c r="I160" s="139"/>
      <c r="J160" s="139">
        <v>11</v>
      </c>
      <c r="K160" s="140" t="s">
        <v>29</v>
      </c>
      <c r="L160" s="140" t="s">
        <v>200</v>
      </c>
      <c r="M160" s="141">
        <v>2304259288</v>
      </c>
      <c r="N160" s="141">
        <v>2304259288</v>
      </c>
      <c r="O160" s="143">
        <f t="shared" si="130"/>
        <v>1</v>
      </c>
      <c r="P160" s="141">
        <v>2027880969</v>
      </c>
      <c r="Q160" s="143">
        <f t="shared" si="130"/>
        <v>0.8800576304761758</v>
      </c>
      <c r="R160" s="141">
        <v>2027880969</v>
      </c>
      <c r="S160" s="143">
        <f t="shared" ref="S160" si="155">+R160/$M160</f>
        <v>0.8800576304761758</v>
      </c>
    </row>
    <row r="161" spans="1:19" ht="24.95" customHeight="1">
      <c r="A161" s="32" t="e">
        <v>#REF!</v>
      </c>
      <c r="B161" s="144" t="s">
        <v>503</v>
      </c>
      <c r="C161" s="145" t="s">
        <v>167</v>
      </c>
      <c r="D161" s="145" t="s">
        <v>190</v>
      </c>
      <c r="E161" s="145" t="s">
        <v>172</v>
      </c>
      <c r="F161" s="145" t="s">
        <v>22</v>
      </c>
      <c r="G161" s="145" t="s">
        <v>175</v>
      </c>
      <c r="H161" s="145" t="s">
        <v>199</v>
      </c>
      <c r="I161" s="145" t="s">
        <v>54</v>
      </c>
      <c r="J161" s="145">
        <v>11</v>
      </c>
      <c r="K161" s="146" t="s">
        <v>29</v>
      </c>
      <c r="L161" s="147" t="s">
        <v>178</v>
      </c>
      <c r="M161" s="148">
        <v>2304259288</v>
      </c>
      <c r="N161" s="148">
        <v>2304259288</v>
      </c>
      <c r="O161" s="150">
        <f t="shared" si="130"/>
        <v>1</v>
      </c>
      <c r="P161" s="148">
        <v>2027880969</v>
      </c>
      <c r="Q161" s="150">
        <f t="shared" si="130"/>
        <v>0.8800576304761758</v>
      </c>
      <c r="R161" s="148">
        <v>2027880969</v>
      </c>
      <c r="S161" s="150">
        <f t="shared" ref="S161" si="156">+R161/$M161</f>
        <v>0.8800576304761758</v>
      </c>
    </row>
    <row r="162" spans="1:19" ht="32.25" customHeight="1">
      <c r="A162" s="32" t="e">
        <v>#REF!</v>
      </c>
      <c r="B162" s="138" t="s">
        <v>504</v>
      </c>
      <c r="C162" s="139" t="s">
        <v>167</v>
      </c>
      <c r="D162" s="139" t="s">
        <v>190</v>
      </c>
      <c r="E162" s="139" t="s">
        <v>172</v>
      </c>
      <c r="F162" s="139" t="s">
        <v>22</v>
      </c>
      <c r="G162" s="139" t="s">
        <v>175</v>
      </c>
      <c r="H162" s="139" t="s">
        <v>201</v>
      </c>
      <c r="I162" s="139"/>
      <c r="J162" s="139">
        <v>11</v>
      </c>
      <c r="K162" s="140" t="s">
        <v>29</v>
      </c>
      <c r="L162" s="140" t="s">
        <v>202</v>
      </c>
      <c r="M162" s="141">
        <v>2719410079</v>
      </c>
      <c r="N162" s="141">
        <v>2620669269</v>
      </c>
      <c r="O162" s="143">
        <f t="shared" si="130"/>
        <v>0.96369035668342096</v>
      </c>
      <c r="P162" s="141">
        <v>2287015319</v>
      </c>
      <c r="Q162" s="143">
        <f t="shared" si="130"/>
        <v>0.8409968532002341</v>
      </c>
      <c r="R162" s="141">
        <v>2287015319</v>
      </c>
      <c r="S162" s="143">
        <f t="shared" ref="S162" si="157">+R162/$M162</f>
        <v>0.8409968532002341</v>
      </c>
    </row>
    <row r="163" spans="1:19" ht="24.95" customHeight="1">
      <c r="A163" s="32" t="e">
        <v>#REF!</v>
      </c>
      <c r="B163" s="144" t="s">
        <v>505</v>
      </c>
      <c r="C163" s="145" t="s">
        <v>167</v>
      </c>
      <c r="D163" s="145" t="s">
        <v>190</v>
      </c>
      <c r="E163" s="145" t="s">
        <v>172</v>
      </c>
      <c r="F163" s="145" t="s">
        <v>22</v>
      </c>
      <c r="G163" s="145" t="s">
        <v>175</v>
      </c>
      <c r="H163" s="145" t="s">
        <v>201</v>
      </c>
      <c r="I163" s="145" t="s">
        <v>54</v>
      </c>
      <c r="J163" s="145">
        <v>11</v>
      </c>
      <c r="K163" s="146" t="s">
        <v>29</v>
      </c>
      <c r="L163" s="147" t="s">
        <v>178</v>
      </c>
      <c r="M163" s="148">
        <v>2719410079</v>
      </c>
      <c r="N163" s="148">
        <v>2620669269</v>
      </c>
      <c r="O163" s="150">
        <f t="shared" si="130"/>
        <v>0.96369035668342096</v>
      </c>
      <c r="P163" s="148">
        <v>2287015319</v>
      </c>
      <c r="Q163" s="150">
        <f t="shared" si="130"/>
        <v>0.8409968532002341</v>
      </c>
      <c r="R163" s="148">
        <v>2287015319</v>
      </c>
      <c r="S163" s="150">
        <f t="shared" ref="S163" si="158">+R163/$M163</f>
        <v>0.8409968532002341</v>
      </c>
    </row>
    <row r="164" spans="1:19" ht="32.25" customHeight="1">
      <c r="A164" s="32" t="e">
        <v>#REF!</v>
      </c>
      <c r="B164" s="138" t="s">
        <v>506</v>
      </c>
      <c r="C164" s="139" t="s">
        <v>167</v>
      </c>
      <c r="D164" s="139" t="s">
        <v>190</v>
      </c>
      <c r="E164" s="139" t="s">
        <v>172</v>
      </c>
      <c r="F164" s="139" t="s">
        <v>22</v>
      </c>
      <c r="G164" s="139" t="s">
        <v>175</v>
      </c>
      <c r="H164" s="139" t="s">
        <v>203</v>
      </c>
      <c r="I164" s="139"/>
      <c r="J164" s="139">
        <v>11</v>
      </c>
      <c r="K164" s="140" t="s">
        <v>29</v>
      </c>
      <c r="L164" s="140" t="s">
        <v>204</v>
      </c>
      <c r="M164" s="141">
        <v>19129096300</v>
      </c>
      <c r="N164" s="141">
        <v>19127248951</v>
      </c>
      <c r="O164" s="143">
        <f t="shared" si="130"/>
        <v>0.99990342727272485</v>
      </c>
      <c r="P164" s="141">
        <v>17559440075</v>
      </c>
      <c r="Q164" s="143">
        <f t="shared" si="130"/>
        <v>0.91794404710064637</v>
      </c>
      <c r="R164" s="141">
        <v>17559440075</v>
      </c>
      <c r="S164" s="143">
        <f t="shared" ref="S164" si="159">+R164/$M164</f>
        <v>0.91794404710064637</v>
      </c>
    </row>
    <row r="165" spans="1:19" ht="24.95" customHeight="1">
      <c r="A165" s="32" t="e">
        <v>#REF!</v>
      </c>
      <c r="B165" s="144" t="s">
        <v>507</v>
      </c>
      <c r="C165" s="145" t="s">
        <v>167</v>
      </c>
      <c r="D165" s="145" t="s">
        <v>190</v>
      </c>
      <c r="E165" s="145" t="s">
        <v>172</v>
      </c>
      <c r="F165" s="145" t="s">
        <v>22</v>
      </c>
      <c r="G165" s="145" t="s">
        <v>175</v>
      </c>
      <c r="H165" s="145" t="s">
        <v>203</v>
      </c>
      <c r="I165" s="145" t="s">
        <v>54</v>
      </c>
      <c r="J165" s="145">
        <v>11</v>
      </c>
      <c r="K165" s="146" t="s">
        <v>29</v>
      </c>
      <c r="L165" s="147" t="s">
        <v>178</v>
      </c>
      <c r="M165" s="148">
        <v>19129096300</v>
      </c>
      <c r="N165" s="148">
        <v>19127248951</v>
      </c>
      <c r="O165" s="150">
        <f t="shared" si="130"/>
        <v>0.99990342727272485</v>
      </c>
      <c r="P165" s="148">
        <v>17559440075</v>
      </c>
      <c r="Q165" s="150">
        <f t="shared" si="130"/>
        <v>0.91794404710064637</v>
      </c>
      <c r="R165" s="148">
        <v>17559440075</v>
      </c>
      <c r="S165" s="150">
        <f t="shared" ref="S165" si="160">+R165/$M165</f>
        <v>0.91794404710064637</v>
      </c>
    </row>
    <row r="166" spans="1:19" ht="42" customHeight="1">
      <c r="A166" s="32" t="e">
        <v>#REF!</v>
      </c>
      <c r="B166" s="132" t="s">
        <v>299</v>
      </c>
      <c r="C166" s="133" t="s">
        <v>167</v>
      </c>
      <c r="D166" s="133" t="s">
        <v>190</v>
      </c>
      <c r="E166" s="133" t="s">
        <v>172</v>
      </c>
      <c r="F166" s="133" t="s">
        <v>205</v>
      </c>
      <c r="G166" s="133"/>
      <c r="H166" s="133"/>
      <c r="I166" s="133"/>
      <c r="J166" s="133"/>
      <c r="K166" s="134"/>
      <c r="L166" s="134" t="s">
        <v>265</v>
      </c>
      <c r="M166" s="135">
        <v>902681224817</v>
      </c>
      <c r="N166" s="135">
        <v>879031426217.26001</v>
      </c>
      <c r="O166" s="137">
        <f t="shared" si="130"/>
        <v>0.97380049795038714</v>
      </c>
      <c r="P166" s="135">
        <v>182520958824.63</v>
      </c>
      <c r="Q166" s="137">
        <f t="shared" si="130"/>
        <v>0.20219868742881228</v>
      </c>
      <c r="R166" s="135">
        <v>181285228012.83002</v>
      </c>
      <c r="S166" s="137">
        <f t="shared" ref="S166" si="161">+R166/$M166</f>
        <v>0.20082973150303626</v>
      </c>
    </row>
    <row r="167" spans="1:19" ht="45" hidden="1" customHeight="1">
      <c r="A167" s="32"/>
      <c r="B167" s="135"/>
      <c r="C167" s="133"/>
      <c r="D167" s="133"/>
      <c r="E167" s="133"/>
      <c r="F167" s="133"/>
      <c r="G167" s="133"/>
      <c r="H167" s="133"/>
      <c r="I167" s="133"/>
      <c r="J167" s="133"/>
      <c r="K167" s="134"/>
      <c r="L167" s="135"/>
      <c r="M167" s="135">
        <v>0</v>
      </c>
      <c r="N167" s="135"/>
      <c r="O167" s="137" t="e">
        <f t="shared" si="130"/>
        <v>#DIV/0!</v>
      </c>
      <c r="P167" s="135"/>
      <c r="Q167" s="137" t="e">
        <f t="shared" si="130"/>
        <v>#DIV/0!</v>
      </c>
      <c r="R167" s="135"/>
      <c r="S167" s="137" t="e">
        <f t="shared" ref="S167" si="162">+R167/$M167</f>
        <v>#DIV/0!</v>
      </c>
    </row>
    <row r="168" spans="1:19" ht="32.25" customHeight="1">
      <c r="A168" s="32" t="e">
        <v>#REF!</v>
      </c>
      <c r="B168" s="138" t="s">
        <v>510</v>
      </c>
      <c r="C168" s="139" t="s">
        <v>167</v>
      </c>
      <c r="D168" s="139" t="s">
        <v>190</v>
      </c>
      <c r="E168" s="139" t="s">
        <v>172</v>
      </c>
      <c r="F168" s="139" t="s">
        <v>205</v>
      </c>
      <c r="G168" s="139" t="s">
        <v>175</v>
      </c>
      <c r="H168" s="139" t="s">
        <v>207</v>
      </c>
      <c r="I168" s="139"/>
      <c r="J168" s="139"/>
      <c r="K168" s="140"/>
      <c r="L168" s="140" t="s">
        <v>208</v>
      </c>
      <c r="M168" s="141">
        <v>879038768752.47998</v>
      </c>
      <c r="N168" s="141">
        <v>855723605794.64001</v>
      </c>
      <c r="O168" s="143">
        <f t="shared" si="130"/>
        <v>0.97347652482844582</v>
      </c>
      <c r="P168" s="141">
        <v>162533262002.10001</v>
      </c>
      <c r="Q168" s="143">
        <f t="shared" si="130"/>
        <v>0.18489885518105764</v>
      </c>
      <c r="R168" s="141">
        <v>161297531190.30002</v>
      </c>
      <c r="S168" s="143">
        <f t="shared" ref="S168" si="163">+R168/$M168</f>
        <v>0.18349308008247611</v>
      </c>
    </row>
    <row r="169" spans="1:19" ht="24.95" customHeight="1">
      <c r="A169" s="32" t="e">
        <v>#REF!</v>
      </c>
      <c r="B169" s="144" t="s">
        <v>511</v>
      </c>
      <c r="C169" s="145" t="s">
        <v>167</v>
      </c>
      <c r="D169" s="145" t="s">
        <v>190</v>
      </c>
      <c r="E169" s="145" t="s">
        <v>172</v>
      </c>
      <c r="F169" s="145" t="s">
        <v>205</v>
      </c>
      <c r="G169" s="145" t="s">
        <v>175</v>
      </c>
      <c r="H169" s="145" t="s">
        <v>207</v>
      </c>
      <c r="I169" s="145" t="s">
        <v>54</v>
      </c>
      <c r="J169" s="145">
        <v>11</v>
      </c>
      <c r="K169" s="146" t="s">
        <v>29</v>
      </c>
      <c r="L169" s="147" t="s">
        <v>178</v>
      </c>
      <c r="M169" s="148">
        <v>68978581412.999985</v>
      </c>
      <c r="N169" s="148">
        <v>68366071947.160004</v>
      </c>
      <c r="O169" s="150">
        <f t="shared" si="130"/>
        <v>0.99112029483220798</v>
      </c>
      <c r="P169" s="148">
        <v>24475963874.23</v>
      </c>
      <c r="Q169" s="150">
        <f t="shared" si="130"/>
        <v>0.35483425974917426</v>
      </c>
      <c r="R169" s="148">
        <v>24475963874.23</v>
      </c>
      <c r="S169" s="150">
        <f t="shared" ref="S169" si="164">+R169/$M169</f>
        <v>0.35483425974917426</v>
      </c>
    </row>
    <row r="170" spans="1:19" ht="24.95" hidden="1" customHeight="1">
      <c r="A170" s="32" t="e">
        <v>#REF!</v>
      </c>
      <c r="B170" s="144" t="s">
        <v>514</v>
      </c>
      <c r="C170" s="145" t="s">
        <v>167</v>
      </c>
      <c r="D170" s="145" t="s">
        <v>190</v>
      </c>
      <c r="E170" s="145" t="s">
        <v>172</v>
      </c>
      <c r="F170" s="145" t="s">
        <v>205</v>
      </c>
      <c r="G170" s="145" t="s">
        <v>175</v>
      </c>
      <c r="H170" s="145" t="s">
        <v>207</v>
      </c>
      <c r="I170" s="145" t="s">
        <v>65</v>
      </c>
      <c r="J170" s="145" t="s">
        <v>28</v>
      </c>
      <c r="K170" s="146" t="s">
        <v>29</v>
      </c>
      <c r="L170" s="147" t="s">
        <v>127</v>
      </c>
      <c r="M170" s="148">
        <v>0</v>
      </c>
      <c r="N170" s="148"/>
      <c r="O170" s="150" t="e">
        <f t="shared" si="130"/>
        <v>#DIV/0!</v>
      </c>
      <c r="P170" s="148"/>
      <c r="Q170" s="150" t="e">
        <f t="shared" si="130"/>
        <v>#DIV/0!</v>
      </c>
      <c r="R170" s="148"/>
      <c r="S170" s="150" t="e">
        <f t="shared" ref="S170" si="165">+R170/$M170</f>
        <v>#DIV/0!</v>
      </c>
    </row>
    <row r="171" spans="1:19" ht="24.95" customHeight="1">
      <c r="A171" s="32" t="e">
        <v>#REF!</v>
      </c>
      <c r="B171" s="144" t="s">
        <v>514</v>
      </c>
      <c r="C171" s="145" t="s">
        <v>167</v>
      </c>
      <c r="D171" s="145" t="s">
        <v>190</v>
      </c>
      <c r="E171" s="145" t="s">
        <v>172</v>
      </c>
      <c r="F171" s="145" t="s">
        <v>205</v>
      </c>
      <c r="G171" s="145" t="s">
        <v>175</v>
      </c>
      <c r="H171" s="145" t="s">
        <v>207</v>
      </c>
      <c r="I171" s="145" t="s">
        <v>65</v>
      </c>
      <c r="J171" s="145">
        <v>11</v>
      </c>
      <c r="K171" s="146" t="s">
        <v>29</v>
      </c>
      <c r="L171" s="147" t="s">
        <v>127</v>
      </c>
      <c r="M171" s="149">
        <v>810060187339.47998</v>
      </c>
      <c r="N171" s="148">
        <v>787357533847.47998</v>
      </c>
      <c r="O171" s="150">
        <f t="shared" si="130"/>
        <v>0.97197411519931198</v>
      </c>
      <c r="P171" s="148">
        <v>138057298127.87</v>
      </c>
      <c r="Q171" s="150">
        <f t="shared" si="130"/>
        <v>0.17042844505332164</v>
      </c>
      <c r="R171" s="148">
        <v>136821567316.07001</v>
      </c>
      <c r="S171" s="150">
        <f t="shared" ref="S171" si="166">+R171/$M171</f>
        <v>0.1689029648098615</v>
      </c>
    </row>
    <row r="172" spans="1:19" ht="32.25" customHeight="1">
      <c r="A172" s="32" t="e">
        <v>#REF!</v>
      </c>
      <c r="B172" s="138" t="s">
        <v>516</v>
      </c>
      <c r="C172" s="139" t="s">
        <v>167</v>
      </c>
      <c r="D172" s="139" t="s">
        <v>190</v>
      </c>
      <c r="E172" s="139" t="s">
        <v>172</v>
      </c>
      <c r="F172" s="139" t="s">
        <v>205</v>
      </c>
      <c r="G172" s="139" t="s">
        <v>175</v>
      </c>
      <c r="H172" s="139" t="s">
        <v>209</v>
      </c>
      <c r="I172" s="139"/>
      <c r="J172" s="139">
        <v>11</v>
      </c>
      <c r="K172" s="140" t="s">
        <v>29</v>
      </c>
      <c r="L172" s="140" t="s">
        <v>210</v>
      </c>
      <c r="M172" s="141">
        <v>23642456064.52</v>
      </c>
      <c r="N172" s="141">
        <v>23307820422.619999</v>
      </c>
      <c r="O172" s="143">
        <f t="shared" si="130"/>
        <v>0.98584598651735744</v>
      </c>
      <c r="P172" s="141">
        <v>19987696822.529999</v>
      </c>
      <c r="Q172" s="143">
        <f t="shared" si="130"/>
        <v>0.84541541572431378</v>
      </c>
      <c r="R172" s="141">
        <v>19987696822.529999</v>
      </c>
      <c r="S172" s="143">
        <f t="shared" ref="S172" si="167">+R172/$M172</f>
        <v>0.84541541572431378</v>
      </c>
    </row>
    <row r="173" spans="1:19" ht="24.95" customHeight="1">
      <c r="A173" s="32" t="e">
        <v>#REF!</v>
      </c>
      <c r="B173" s="144" t="s">
        <v>517</v>
      </c>
      <c r="C173" s="145" t="s">
        <v>167</v>
      </c>
      <c r="D173" s="145" t="s">
        <v>190</v>
      </c>
      <c r="E173" s="145" t="s">
        <v>172</v>
      </c>
      <c r="F173" s="145" t="s">
        <v>205</v>
      </c>
      <c r="G173" s="145" t="s">
        <v>175</v>
      </c>
      <c r="H173" s="145" t="s">
        <v>209</v>
      </c>
      <c r="I173" s="145" t="s">
        <v>54</v>
      </c>
      <c r="J173" s="145">
        <v>11</v>
      </c>
      <c r="K173" s="146" t="s">
        <v>29</v>
      </c>
      <c r="L173" s="147" t="s">
        <v>178</v>
      </c>
      <c r="M173" s="148">
        <v>23642456064.52</v>
      </c>
      <c r="N173" s="148">
        <v>23307820422.619999</v>
      </c>
      <c r="O173" s="150">
        <f t="shared" si="130"/>
        <v>0.98584598651735744</v>
      </c>
      <c r="P173" s="148">
        <v>19987696822.529999</v>
      </c>
      <c r="Q173" s="150">
        <f t="shared" si="130"/>
        <v>0.84541541572431378</v>
      </c>
      <c r="R173" s="148">
        <v>19987696822.529999</v>
      </c>
      <c r="S173" s="150">
        <f t="shared" ref="S173" si="168">+R173/$M173</f>
        <v>0.84541541572431378</v>
      </c>
    </row>
    <row r="174" spans="1:19" ht="38.25" customHeight="1">
      <c r="A174" s="32" t="e">
        <v>#REF!</v>
      </c>
      <c r="B174" s="132" t="s">
        <v>520</v>
      </c>
      <c r="C174" s="133" t="s">
        <v>167</v>
      </c>
      <c r="D174" s="133" t="s">
        <v>190</v>
      </c>
      <c r="E174" s="133" t="s">
        <v>172</v>
      </c>
      <c r="F174" s="133" t="s">
        <v>211</v>
      </c>
      <c r="G174" s="133"/>
      <c r="H174" s="133"/>
      <c r="I174" s="133"/>
      <c r="J174" s="133"/>
      <c r="K174" s="134"/>
      <c r="L174" s="134" t="s">
        <v>266</v>
      </c>
      <c r="M174" s="135">
        <v>500000000</v>
      </c>
      <c r="N174" s="135">
        <v>500000000</v>
      </c>
      <c r="O174" s="137">
        <f t="shared" si="130"/>
        <v>1</v>
      </c>
      <c r="P174" s="135">
        <v>500000000</v>
      </c>
      <c r="Q174" s="137">
        <f t="shared" si="130"/>
        <v>1</v>
      </c>
      <c r="R174" s="135">
        <v>500000000</v>
      </c>
      <c r="S174" s="137">
        <f t="shared" ref="S174" si="169">+R174/$M174</f>
        <v>1</v>
      </c>
    </row>
    <row r="175" spans="1:19" ht="32.25" customHeight="1">
      <c r="A175" s="32" t="e">
        <v>#REF!</v>
      </c>
      <c r="B175" s="138" t="s">
        <v>522</v>
      </c>
      <c r="C175" s="139" t="s">
        <v>167</v>
      </c>
      <c r="D175" s="139" t="s">
        <v>190</v>
      </c>
      <c r="E175" s="139" t="s">
        <v>172</v>
      </c>
      <c r="F175" s="139" t="s">
        <v>211</v>
      </c>
      <c r="G175" s="139" t="s">
        <v>175</v>
      </c>
      <c r="H175" s="139" t="s">
        <v>213</v>
      </c>
      <c r="I175" s="139"/>
      <c r="J175" s="139" t="s">
        <v>144</v>
      </c>
      <c r="K175" s="140" t="s">
        <v>29</v>
      </c>
      <c r="L175" s="140" t="s">
        <v>214</v>
      </c>
      <c r="M175" s="141">
        <v>95000000</v>
      </c>
      <c r="N175" s="141">
        <v>95000000</v>
      </c>
      <c r="O175" s="143">
        <f t="shared" si="130"/>
        <v>1</v>
      </c>
      <c r="P175" s="141">
        <v>95000000</v>
      </c>
      <c r="Q175" s="143">
        <f t="shared" si="130"/>
        <v>1</v>
      </c>
      <c r="R175" s="141">
        <v>95000000</v>
      </c>
      <c r="S175" s="143">
        <f t="shared" ref="S175" si="170">+R175/$M175</f>
        <v>1</v>
      </c>
    </row>
    <row r="176" spans="1:19" ht="24.95" customHeight="1">
      <c r="A176" s="32" t="e">
        <v>#REF!</v>
      </c>
      <c r="B176" s="144" t="s">
        <v>524</v>
      </c>
      <c r="C176" s="145" t="s">
        <v>167</v>
      </c>
      <c r="D176" s="145" t="s">
        <v>190</v>
      </c>
      <c r="E176" s="145" t="s">
        <v>172</v>
      </c>
      <c r="F176" s="145" t="s">
        <v>211</v>
      </c>
      <c r="G176" s="145" t="s">
        <v>175</v>
      </c>
      <c r="H176" s="145" t="s">
        <v>213</v>
      </c>
      <c r="I176" s="145" t="s">
        <v>54</v>
      </c>
      <c r="J176" s="145" t="s">
        <v>144</v>
      </c>
      <c r="K176" s="146" t="s">
        <v>29</v>
      </c>
      <c r="L176" s="147" t="s">
        <v>178</v>
      </c>
      <c r="M176" s="148">
        <v>95000000</v>
      </c>
      <c r="N176" s="148">
        <v>95000000</v>
      </c>
      <c r="O176" s="150">
        <f t="shared" si="130"/>
        <v>1</v>
      </c>
      <c r="P176" s="148">
        <v>95000000</v>
      </c>
      <c r="Q176" s="150">
        <f t="shared" si="130"/>
        <v>1</v>
      </c>
      <c r="R176" s="148">
        <v>95000000</v>
      </c>
      <c r="S176" s="150">
        <f t="shared" ref="S176" si="171">+R176/$M176</f>
        <v>1</v>
      </c>
    </row>
    <row r="177" spans="1:19" ht="32.25" customHeight="1">
      <c r="A177" s="32" t="e">
        <v>#REF!</v>
      </c>
      <c r="B177" s="138" t="s">
        <v>526</v>
      </c>
      <c r="C177" s="139" t="s">
        <v>167</v>
      </c>
      <c r="D177" s="139" t="s">
        <v>190</v>
      </c>
      <c r="E177" s="139" t="s">
        <v>172</v>
      </c>
      <c r="F177" s="139" t="s">
        <v>211</v>
      </c>
      <c r="G177" s="139" t="s">
        <v>175</v>
      </c>
      <c r="H177" s="139" t="s">
        <v>215</v>
      </c>
      <c r="I177" s="139"/>
      <c r="J177" s="139" t="s">
        <v>144</v>
      </c>
      <c r="K177" s="140" t="s">
        <v>29</v>
      </c>
      <c r="L177" s="140" t="s">
        <v>216</v>
      </c>
      <c r="M177" s="141">
        <v>405000000</v>
      </c>
      <c r="N177" s="141">
        <v>405000000</v>
      </c>
      <c r="O177" s="143">
        <f t="shared" si="130"/>
        <v>1</v>
      </c>
      <c r="P177" s="141">
        <v>405000000</v>
      </c>
      <c r="Q177" s="143">
        <f t="shared" si="130"/>
        <v>1</v>
      </c>
      <c r="R177" s="141">
        <v>405000000</v>
      </c>
      <c r="S177" s="143">
        <f t="shared" ref="S177" si="172">+R177/$M177</f>
        <v>1</v>
      </c>
    </row>
    <row r="178" spans="1:19" ht="24.95" customHeight="1">
      <c r="A178" s="32" t="e">
        <v>#REF!</v>
      </c>
      <c r="B178" s="144" t="s">
        <v>528</v>
      </c>
      <c r="C178" s="145" t="s">
        <v>167</v>
      </c>
      <c r="D178" s="145" t="s">
        <v>190</v>
      </c>
      <c r="E178" s="145" t="s">
        <v>172</v>
      </c>
      <c r="F178" s="145" t="s">
        <v>211</v>
      </c>
      <c r="G178" s="145" t="s">
        <v>175</v>
      </c>
      <c r="H178" s="145" t="s">
        <v>215</v>
      </c>
      <c r="I178" s="145" t="s">
        <v>54</v>
      </c>
      <c r="J178" s="145" t="s">
        <v>144</v>
      </c>
      <c r="K178" s="146" t="s">
        <v>29</v>
      </c>
      <c r="L178" s="147" t="s">
        <v>178</v>
      </c>
      <c r="M178" s="148">
        <v>405000000</v>
      </c>
      <c r="N178" s="148">
        <v>405000000</v>
      </c>
      <c r="O178" s="150">
        <f t="shared" si="130"/>
        <v>1</v>
      </c>
      <c r="P178" s="148">
        <v>405000000</v>
      </c>
      <c r="Q178" s="150">
        <f t="shared" si="130"/>
        <v>1</v>
      </c>
      <c r="R178" s="148">
        <v>405000000</v>
      </c>
      <c r="S178" s="150">
        <f t="shared" ref="S178" si="173">+R178/$M178</f>
        <v>1</v>
      </c>
    </row>
    <row r="179" spans="1:19" ht="49.5" customHeight="1">
      <c r="A179" s="32" t="e">
        <v>#REF!</v>
      </c>
      <c r="B179" s="132" t="s">
        <v>530</v>
      </c>
      <c r="C179" s="133" t="s">
        <v>167</v>
      </c>
      <c r="D179" s="133" t="s">
        <v>190</v>
      </c>
      <c r="E179" s="133" t="s">
        <v>172</v>
      </c>
      <c r="F179" s="133" t="s">
        <v>217</v>
      </c>
      <c r="G179" s="133"/>
      <c r="H179" s="133"/>
      <c r="I179" s="133"/>
      <c r="J179" s="133"/>
      <c r="K179" s="134"/>
      <c r="L179" s="134" t="s">
        <v>267</v>
      </c>
      <c r="M179" s="135">
        <v>8981138916</v>
      </c>
      <c r="N179" s="135">
        <v>8920720035</v>
      </c>
      <c r="O179" s="137">
        <f t="shared" si="130"/>
        <v>0.99327269274363816</v>
      </c>
      <c r="P179" s="135">
        <v>5859786700</v>
      </c>
      <c r="Q179" s="137">
        <f t="shared" si="130"/>
        <v>0.65245474486100241</v>
      </c>
      <c r="R179" s="135">
        <v>5859786700</v>
      </c>
      <c r="S179" s="137">
        <f t="shared" ref="S179" si="174">+R179/$M179</f>
        <v>0.65245474486100241</v>
      </c>
    </row>
    <row r="180" spans="1:19" ht="32.25" customHeight="1">
      <c r="A180" s="32" t="e">
        <v>#REF!</v>
      </c>
      <c r="B180" s="138" t="s">
        <v>531</v>
      </c>
      <c r="C180" s="139" t="s">
        <v>167</v>
      </c>
      <c r="D180" s="139" t="s">
        <v>190</v>
      </c>
      <c r="E180" s="139" t="s">
        <v>172</v>
      </c>
      <c r="F180" s="139" t="s">
        <v>217</v>
      </c>
      <c r="G180" s="139" t="s">
        <v>175</v>
      </c>
      <c r="H180" s="139" t="s">
        <v>219</v>
      </c>
      <c r="I180" s="139"/>
      <c r="J180" s="139">
        <v>11</v>
      </c>
      <c r="K180" s="140" t="s">
        <v>29</v>
      </c>
      <c r="L180" s="140" t="s">
        <v>220</v>
      </c>
      <c r="M180" s="141">
        <v>1247691187</v>
      </c>
      <c r="N180" s="141">
        <v>1239287616</v>
      </c>
      <c r="O180" s="143">
        <f t="shared" si="130"/>
        <v>0.99326470276655088</v>
      </c>
      <c r="P180" s="141">
        <v>1176584044</v>
      </c>
      <c r="Q180" s="143">
        <f t="shared" si="130"/>
        <v>0.9430090203883118</v>
      </c>
      <c r="R180" s="141">
        <v>1176584044</v>
      </c>
      <c r="S180" s="143">
        <f t="shared" ref="S180" si="175">+R180/$M180</f>
        <v>0.9430090203883118</v>
      </c>
    </row>
    <row r="181" spans="1:19" ht="24.95" customHeight="1">
      <c r="A181" s="32" t="e">
        <v>#REF!</v>
      </c>
      <c r="B181" s="144" t="s">
        <v>532</v>
      </c>
      <c r="C181" s="145" t="s">
        <v>167</v>
      </c>
      <c r="D181" s="145" t="s">
        <v>190</v>
      </c>
      <c r="E181" s="145" t="s">
        <v>172</v>
      </c>
      <c r="F181" s="145" t="s">
        <v>217</v>
      </c>
      <c r="G181" s="145" t="s">
        <v>175</v>
      </c>
      <c r="H181" s="145" t="s">
        <v>219</v>
      </c>
      <c r="I181" s="145" t="s">
        <v>54</v>
      </c>
      <c r="J181" s="145">
        <v>11</v>
      </c>
      <c r="K181" s="146" t="s">
        <v>29</v>
      </c>
      <c r="L181" s="147" t="s">
        <v>178</v>
      </c>
      <c r="M181" s="148">
        <v>1247691187</v>
      </c>
      <c r="N181" s="148">
        <v>1239287616</v>
      </c>
      <c r="O181" s="150">
        <f t="shared" si="130"/>
        <v>0.99326470276655088</v>
      </c>
      <c r="P181" s="148">
        <v>1176584044</v>
      </c>
      <c r="Q181" s="150">
        <f t="shared" si="130"/>
        <v>0.9430090203883118</v>
      </c>
      <c r="R181" s="148">
        <v>1176584044</v>
      </c>
      <c r="S181" s="150">
        <f t="shared" ref="S181" si="176">+R181/$M181</f>
        <v>0.9430090203883118</v>
      </c>
    </row>
    <row r="182" spans="1:19" ht="32.25" customHeight="1">
      <c r="A182" s="32" t="e">
        <v>#REF!</v>
      </c>
      <c r="B182" s="138" t="s">
        <v>533</v>
      </c>
      <c r="C182" s="139" t="s">
        <v>167</v>
      </c>
      <c r="D182" s="139" t="s">
        <v>190</v>
      </c>
      <c r="E182" s="139" t="s">
        <v>172</v>
      </c>
      <c r="F182" s="139" t="s">
        <v>217</v>
      </c>
      <c r="G182" s="139" t="s">
        <v>175</v>
      </c>
      <c r="H182" s="139" t="s">
        <v>221</v>
      </c>
      <c r="I182" s="139"/>
      <c r="J182" s="139">
        <v>11</v>
      </c>
      <c r="K182" s="140" t="s">
        <v>29</v>
      </c>
      <c r="L182" s="140" t="s">
        <v>222</v>
      </c>
      <c r="M182" s="141">
        <v>5693924313</v>
      </c>
      <c r="N182" s="141">
        <v>5641909003</v>
      </c>
      <c r="O182" s="143">
        <f t="shared" si="130"/>
        <v>0.9908647696841979</v>
      </c>
      <c r="P182" s="141">
        <v>3149055540</v>
      </c>
      <c r="Q182" s="143">
        <f t="shared" si="130"/>
        <v>0.55305539148286176</v>
      </c>
      <c r="R182" s="141">
        <v>3149055540</v>
      </c>
      <c r="S182" s="143">
        <f t="shared" ref="S182" si="177">+R182/$M182</f>
        <v>0.55305539148286176</v>
      </c>
    </row>
    <row r="183" spans="1:19" ht="24.95" customHeight="1">
      <c r="A183" s="32" t="e">
        <v>#REF!</v>
      </c>
      <c r="B183" s="144" t="s">
        <v>534</v>
      </c>
      <c r="C183" s="145" t="s">
        <v>167</v>
      </c>
      <c r="D183" s="145" t="s">
        <v>190</v>
      </c>
      <c r="E183" s="145" t="s">
        <v>172</v>
      </c>
      <c r="F183" s="145" t="s">
        <v>217</v>
      </c>
      <c r="G183" s="145" t="s">
        <v>175</v>
      </c>
      <c r="H183" s="145" t="s">
        <v>221</v>
      </c>
      <c r="I183" s="145" t="s">
        <v>54</v>
      </c>
      <c r="J183" s="145">
        <v>11</v>
      </c>
      <c r="K183" s="146" t="s">
        <v>29</v>
      </c>
      <c r="L183" s="147" t="s">
        <v>178</v>
      </c>
      <c r="M183" s="148">
        <v>756091390</v>
      </c>
      <c r="N183" s="148">
        <v>751494961</v>
      </c>
      <c r="O183" s="150">
        <f t="shared" si="130"/>
        <v>0.99392080235168401</v>
      </c>
      <c r="P183" s="148">
        <v>717198533</v>
      </c>
      <c r="Q183" s="150">
        <f t="shared" si="130"/>
        <v>0.94856064026863207</v>
      </c>
      <c r="R183" s="148">
        <v>717198533</v>
      </c>
      <c r="S183" s="150">
        <f t="shared" ref="S183" si="178">+R183/$M183</f>
        <v>0.94856064026863207</v>
      </c>
    </row>
    <row r="184" spans="1:19" ht="24.95" customHeight="1">
      <c r="A184" s="32" t="e">
        <v>#REF!</v>
      </c>
      <c r="B184" s="144" t="s">
        <v>535</v>
      </c>
      <c r="C184" s="145" t="s">
        <v>167</v>
      </c>
      <c r="D184" s="145" t="s">
        <v>190</v>
      </c>
      <c r="E184" s="145" t="s">
        <v>172</v>
      </c>
      <c r="F184" s="145" t="s">
        <v>217</v>
      </c>
      <c r="G184" s="145" t="s">
        <v>175</v>
      </c>
      <c r="H184" s="145" t="s">
        <v>221</v>
      </c>
      <c r="I184" s="145" t="s">
        <v>65</v>
      </c>
      <c r="J184" s="145">
        <v>11</v>
      </c>
      <c r="K184" s="146" t="s">
        <v>29</v>
      </c>
      <c r="L184" s="147" t="s">
        <v>127</v>
      </c>
      <c r="M184" s="148">
        <v>4937832923</v>
      </c>
      <c r="N184" s="148">
        <v>4890414042</v>
      </c>
      <c r="O184" s="150">
        <f t="shared" si="130"/>
        <v>0.99039682351763525</v>
      </c>
      <c r="P184" s="148">
        <v>2431857007</v>
      </c>
      <c r="Q184" s="150">
        <f t="shared" si="130"/>
        <v>0.49249479375306926</v>
      </c>
      <c r="R184" s="148">
        <v>2431857007</v>
      </c>
      <c r="S184" s="150">
        <f t="shared" ref="S184" si="179">+R184/$M184</f>
        <v>0.49249479375306926</v>
      </c>
    </row>
    <row r="185" spans="1:19" ht="32.25" customHeight="1">
      <c r="A185" s="32" t="e">
        <v>#REF!</v>
      </c>
      <c r="B185" s="138" t="s">
        <v>536</v>
      </c>
      <c r="C185" s="139" t="s">
        <v>167</v>
      </c>
      <c r="D185" s="139" t="s">
        <v>190</v>
      </c>
      <c r="E185" s="139" t="s">
        <v>172</v>
      </c>
      <c r="F185" s="139" t="s">
        <v>217</v>
      </c>
      <c r="G185" s="139" t="s">
        <v>175</v>
      </c>
      <c r="H185" s="139" t="s">
        <v>223</v>
      </c>
      <c r="I185" s="139"/>
      <c r="J185" s="139">
        <v>11</v>
      </c>
      <c r="K185" s="140" t="s">
        <v>29</v>
      </c>
      <c r="L185" s="140" t="s">
        <v>224</v>
      </c>
      <c r="M185" s="141">
        <v>1818499224</v>
      </c>
      <c r="N185" s="141">
        <v>1818499224</v>
      </c>
      <c r="O185" s="143">
        <f t="shared" si="130"/>
        <v>1</v>
      </c>
      <c r="P185" s="141">
        <v>1313122924</v>
      </c>
      <c r="Q185" s="143">
        <f t="shared" si="130"/>
        <v>0.72209155036735939</v>
      </c>
      <c r="R185" s="141">
        <v>1313122924</v>
      </c>
      <c r="S185" s="143">
        <f t="shared" ref="S185" si="180">+R185/$M185</f>
        <v>0.72209155036735939</v>
      </c>
    </row>
    <row r="186" spans="1:19" ht="24.95" customHeight="1">
      <c r="A186" s="32" t="e">
        <v>#REF!</v>
      </c>
      <c r="B186" s="144" t="s">
        <v>537</v>
      </c>
      <c r="C186" s="145" t="s">
        <v>167</v>
      </c>
      <c r="D186" s="145" t="s">
        <v>190</v>
      </c>
      <c r="E186" s="145" t="s">
        <v>172</v>
      </c>
      <c r="F186" s="145" t="s">
        <v>217</v>
      </c>
      <c r="G186" s="145" t="s">
        <v>175</v>
      </c>
      <c r="H186" s="145" t="s">
        <v>223</v>
      </c>
      <c r="I186" s="145" t="s">
        <v>54</v>
      </c>
      <c r="J186" s="145">
        <v>11</v>
      </c>
      <c r="K186" s="146" t="s">
        <v>29</v>
      </c>
      <c r="L186" s="147" t="s">
        <v>178</v>
      </c>
      <c r="M186" s="148">
        <v>259599224</v>
      </c>
      <c r="N186" s="148">
        <v>259599224</v>
      </c>
      <c r="O186" s="150">
        <f t="shared" si="130"/>
        <v>1</v>
      </c>
      <c r="P186" s="148">
        <v>259599224</v>
      </c>
      <c r="Q186" s="150">
        <f t="shared" si="130"/>
        <v>1</v>
      </c>
      <c r="R186" s="148">
        <v>259599224</v>
      </c>
      <c r="S186" s="150">
        <f t="shared" ref="S186" si="181">+R186/$M186</f>
        <v>1</v>
      </c>
    </row>
    <row r="187" spans="1:19" ht="24.95" customHeight="1">
      <c r="A187" s="32" t="e">
        <v>#REF!</v>
      </c>
      <c r="B187" s="144" t="s">
        <v>539</v>
      </c>
      <c r="C187" s="145" t="s">
        <v>167</v>
      </c>
      <c r="D187" s="145" t="s">
        <v>190</v>
      </c>
      <c r="E187" s="145" t="s">
        <v>172</v>
      </c>
      <c r="F187" s="145" t="s">
        <v>217</v>
      </c>
      <c r="G187" s="145" t="s">
        <v>175</v>
      </c>
      <c r="H187" s="145" t="s">
        <v>223</v>
      </c>
      <c r="I187" s="145" t="s">
        <v>65</v>
      </c>
      <c r="J187" s="145">
        <v>11</v>
      </c>
      <c r="K187" s="146" t="s">
        <v>29</v>
      </c>
      <c r="L187" s="147" t="s">
        <v>127</v>
      </c>
      <c r="M187" s="148">
        <v>1558900000</v>
      </c>
      <c r="N187" s="148">
        <v>1558900000</v>
      </c>
      <c r="O187" s="150">
        <f t="shared" si="130"/>
        <v>1</v>
      </c>
      <c r="P187" s="148">
        <v>1053523700</v>
      </c>
      <c r="Q187" s="150">
        <f t="shared" si="130"/>
        <v>0.67581223939957658</v>
      </c>
      <c r="R187" s="148">
        <v>1053523700</v>
      </c>
      <c r="S187" s="150">
        <f t="shared" ref="S187" si="182">+R187/$M187</f>
        <v>0.67581223939957658</v>
      </c>
    </row>
    <row r="188" spans="1:19" ht="32.25" customHeight="1">
      <c r="A188" s="32" t="e">
        <v>#REF!</v>
      </c>
      <c r="B188" s="138" t="s">
        <v>540</v>
      </c>
      <c r="C188" s="139" t="s">
        <v>167</v>
      </c>
      <c r="D188" s="139" t="s">
        <v>190</v>
      </c>
      <c r="E188" s="139" t="s">
        <v>172</v>
      </c>
      <c r="F188" s="139" t="s">
        <v>217</v>
      </c>
      <c r="G188" s="139" t="s">
        <v>175</v>
      </c>
      <c r="H188" s="139" t="s">
        <v>225</v>
      </c>
      <c r="I188" s="139"/>
      <c r="J188" s="139">
        <v>11</v>
      </c>
      <c r="K188" s="140" t="s">
        <v>29</v>
      </c>
      <c r="L188" s="140" t="s">
        <v>226</v>
      </c>
      <c r="M188" s="141">
        <v>221024192</v>
      </c>
      <c r="N188" s="141">
        <v>221024192</v>
      </c>
      <c r="O188" s="143">
        <f t="shared" si="130"/>
        <v>1</v>
      </c>
      <c r="P188" s="141">
        <v>221024192</v>
      </c>
      <c r="Q188" s="143">
        <f t="shared" si="130"/>
        <v>1</v>
      </c>
      <c r="R188" s="141">
        <v>221024192</v>
      </c>
      <c r="S188" s="143">
        <f t="shared" ref="S188" si="183">+R188/$M188</f>
        <v>1</v>
      </c>
    </row>
    <row r="189" spans="1:19" ht="24.95" customHeight="1">
      <c r="A189" s="32" t="e">
        <v>#REF!</v>
      </c>
      <c r="B189" s="144" t="s">
        <v>541</v>
      </c>
      <c r="C189" s="145" t="s">
        <v>167</v>
      </c>
      <c r="D189" s="145" t="s">
        <v>190</v>
      </c>
      <c r="E189" s="145" t="s">
        <v>172</v>
      </c>
      <c r="F189" s="145" t="s">
        <v>217</v>
      </c>
      <c r="G189" s="145" t="s">
        <v>175</v>
      </c>
      <c r="H189" s="145" t="s">
        <v>225</v>
      </c>
      <c r="I189" s="145" t="s">
        <v>54</v>
      </c>
      <c r="J189" s="145">
        <v>11</v>
      </c>
      <c r="K189" s="146" t="s">
        <v>29</v>
      </c>
      <c r="L189" s="147" t="s">
        <v>178</v>
      </c>
      <c r="M189" s="148">
        <v>221024192</v>
      </c>
      <c r="N189" s="148">
        <v>221024192</v>
      </c>
      <c r="O189" s="150">
        <f t="shared" si="130"/>
        <v>1</v>
      </c>
      <c r="P189" s="148">
        <v>221024192</v>
      </c>
      <c r="Q189" s="150">
        <f t="shared" si="130"/>
        <v>1</v>
      </c>
      <c r="R189" s="148">
        <v>221024192</v>
      </c>
      <c r="S189" s="150">
        <f t="shared" ref="S189" si="184">+R189/$M189</f>
        <v>1</v>
      </c>
    </row>
    <row r="190" spans="1:19" ht="49.5" hidden="1" customHeight="1">
      <c r="A190" s="32" t="e">
        <v>#REF!</v>
      </c>
      <c r="B190" s="32"/>
      <c r="C190" s="133" t="s">
        <v>167</v>
      </c>
      <c r="D190" s="133" t="s">
        <v>190</v>
      </c>
      <c r="E190" s="133" t="s">
        <v>172</v>
      </c>
      <c r="F190" s="133">
        <v>18</v>
      </c>
      <c r="G190" s="133"/>
      <c r="H190" s="133"/>
      <c r="I190" s="133"/>
      <c r="J190" s="133"/>
      <c r="K190" s="134"/>
      <c r="L190" s="134" t="s">
        <v>268</v>
      </c>
      <c r="M190" s="135">
        <v>0</v>
      </c>
      <c r="N190" s="135">
        <v>0</v>
      </c>
      <c r="O190" s="137" t="e">
        <f t="shared" si="130"/>
        <v>#DIV/0!</v>
      </c>
      <c r="P190" s="135">
        <v>0</v>
      </c>
      <c r="Q190" s="137" t="e">
        <f t="shared" si="130"/>
        <v>#DIV/0!</v>
      </c>
      <c r="R190" s="135">
        <v>0</v>
      </c>
      <c r="S190" s="137" t="e">
        <f t="shared" ref="S190" si="185">+R190/$M190</f>
        <v>#DIV/0!</v>
      </c>
    </row>
    <row r="191" spans="1:19" ht="32.25" hidden="1" customHeight="1">
      <c r="A191" s="32" t="e">
        <v>#REF!</v>
      </c>
      <c r="B191" s="32"/>
      <c r="C191" s="139" t="s">
        <v>167</v>
      </c>
      <c r="D191" s="139" t="s">
        <v>190</v>
      </c>
      <c r="E191" s="139" t="s">
        <v>172</v>
      </c>
      <c r="F191" s="139">
        <v>18</v>
      </c>
      <c r="G191" s="139" t="s">
        <v>175</v>
      </c>
      <c r="H191" s="139">
        <v>4103050</v>
      </c>
      <c r="I191" s="139"/>
      <c r="J191" s="139">
        <v>11</v>
      </c>
      <c r="K191" s="140" t="s">
        <v>29</v>
      </c>
      <c r="L191" s="140" t="s">
        <v>269</v>
      </c>
      <c r="M191" s="141">
        <v>0</v>
      </c>
      <c r="N191" s="141">
        <v>0</v>
      </c>
      <c r="O191" s="143" t="e">
        <f t="shared" si="130"/>
        <v>#DIV/0!</v>
      </c>
      <c r="P191" s="141">
        <v>0</v>
      </c>
      <c r="Q191" s="143" t="e">
        <f t="shared" si="130"/>
        <v>#DIV/0!</v>
      </c>
      <c r="R191" s="141">
        <v>0</v>
      </c>
      <c r="S191" s="143" t="e">
        <f t="shared" ref="S191" si="186">+R191/$M191</f>
        <v>#DIV/0!</v>
      </c>
    </row>
    <row r="192" spans="1:19" ht="24.95" hidden="1" customHeight="1">
      <c r="A192" s="32" t="e">
        <v>#REF!</v>
      </c>
      <c r="B192" s="32"/>
      <c r="C192" s="145" t="s">
        <v>167</v>
      </c>
      <c r="D192" s="145" t="s">
        <v>190</v>
      </c>
      <c r="E192" s="145" t="s">
        <v>172</v>
      </c>
      <c r="F192" s="145">
        <v>18</v>
      </c>
      <c r="G192" s="145" t="s">
        <v>175</v>
      </c>
      <c r="H192" s="145">
        <v>4103050</v>
      </c>
      <c r="I192" s="145" t="s">
        <v>54</v>
      </c>
      <c r="J192" s="145">
        <v>11</v>
      </c>
      <c r="K192" s="146" t="s">
        <v>29</v>
      </c>
      <c r="L192" s="147" t="s">
        <v>178</v>
      </c>
      <c r="M192" s="148">
        <v>0</v>
      </c>
      <c r="N192" s="148"/>
      <c r="O192" s="150" t="e">
        <f t="shared" si="130"/>
        <v>#DIV/0!</v>
      </c>
      <c r="P192" s="148"/>
      <c r="Q192" s="150" t="e">
        <f t="shared" si="130"/>
        <v>#DIV/0!</v>
      </c>
      <c r="R192" s="148"/>
      <c r="S192" s="150" t="e">
        <f t="shared" ref="S192" si="187">+R192/$M192</f>
        <v>#DIV/0!</v>
      </c>
    </row>
    <row r="193" spans="1:19" ht="41.25" customHeight="1">
      <c r="A193" s="32" t="e">
        <v>#REF!</v>
      </c>
      <c r="B193" s="132" t="s">
        <v>664</v>
      </c>
      <c r="C193" s="133" t="s">
        <v>167</v>
      </c>
      <c r="D193" s="133" t="s">
        <v>190</v>
      </c>
      <c r="E193" s="133" t="s">
        <v>172</v>
      </c>
      <c r="F193" s="133">
        <v>19</v>
      </c>
      <c r="G193" s="133"/>
      <c r="H193" s="133"/>
      <c r="I193" s="133"/>
      <c r="J193" s="133"/>
      <c r="K193" s="134"/>
      <c r="L193" s="134" t="s">
        <v>270</v>
      </c>
      <c r="M193" s="135">
        <v>14493806741</v>
      </c>
      <c r="N193" s="135">
        <v>14252037933.77</v>
      </c>
      <c r="O193" s="137">
        <f t="shared" si="130"/>
        <v>0.9833191644161996</v>
      </c>
      <c r="P193" s="135">
        <v>6557313829.5200005</v>
      </c>
      <c r="Q193" s="137">
        <f t="shared" si="130"/>
        <v>0.45242177894995023</v>
      </c>
      <c r="R193" s="135">
        <v>6557313829.5200005</v>
      </c>
      <c r="S193" s="137">
        <f t="shared" ref="S193" si="188">+R193/$M193</f>
        <v>0.45242177894995023</v>
      </c>
    </row>
    <row r="194" spans="1:19" ht="32.25" customHeight="1">
      <c r="A194" s="32" t="e">
        <v>#REF!</v>
      </c>
      <c r="B194" s="138" t="s">
        <v>666</v>
      </c>
      <c r="C194" s="139" t="s">
        <v>167</v>
      </c>
      <c r="D194" s="139" t="s">
        <v>190</v>
      </c>
      <c r="E194" s="139" t="s">
        <v>172</v>
      </c>
      <c r="F194" s="139">
        <v>19</v>
      </c>
      <c r="G194" s="139" t="s">
        <v>175</v>
      </c>
      <c r="H194" s="139">
        <v>4103049</v>
      </c>
      <c r="I194" s="139"/>
      <c r="J194" s="139">
        <v>11</v>
      </c>
      <c r="K194" s="140" t="s">
        <v>29</v>
      </c>
      <c r="L194" s="140" t="s">
        <v>228</v>
      </c>
      <c r="M194" s="141">
        <v>297454258</v>
      </c>
      <c r="N194" s="141">
        <v>273593730</v>
      </c>
      <c r="O194" s="143">
        <f t="shared" si="130"/>
        <v>0.91978421098950947</v>
      </c>
      <c r="P194" s="141">
        <v>273593730</v>
      </c>
      <c r="Q194" s="143">
        <f t="shared" si="130"/>
        <v>0.91978421098950947</v>
      </c>
      <c r="R194" s="141">
        <v>273593730</v>
      </c>
      <c r="S194" s="143">
        <f t="shared" ref="S194" si="189">+R194/$M194</f>
        <v>0.91978421098950947</v>
      </c>
    </row>
    <row r="195" spans="1:19" ht="24.95" customHeight="1">
      <c r="A195" s="32" t="e">
        <v>#REF!</v>
      </c>
      <c r="B195" s="144" t="s">
        <v>668</v>
      </c>
      <c r="C195" s="145" t="s">
        <v>167</v>
      </c>
      <c r="D195" s="145" t="s">
        <v>190</v>
      </c>
      <c r="E195" s="145" t="s">
        <v>172</v>
      </c>
      <c r="F195" s="145">
        <v>19</v>
      </c>
      <c r="G195" s="145" t="s">
        <v>175</v>
      </c>
      <c r="H195" s="145">
        <v>4103049</v>
      </c>
      <c r="I195" s="145" t="s">
        <v>54</v>
      </c>
      <c r="J195" s="145">
        <v>11</v>
      </c>
      <c r="K195" s="146" t="s">
        <v>29</v>
      </c>
      <c r="L195" s="147" t="s">
        <v>178</v>
      </c>
      <c r="M195" s="148">
        <v>297454258</v>
      </c>
      <c r="N195" s="148">
        <v>273593730</v>
      </c>
      <c r="O195" s="150">
        <f t="shared" si="130"/>
        <v>0.91978421098950947</v>
      </c>
      <c r="P195" s="148">
        <v>273593730</v>
      </c>
      <c r="Q195" s="150">
        <f t="shared" si="130"/>
        <v>0.91978421098950947</v>
      </c>
      <c r="R195" s="148">
        <v>273593730</v>
      </c>
      <c r="S195" s="150">
        <f t="shared" ref="S195" si="190">+R195/$M195</f>
        <v>0.91978421098950947</v>
      </c>
    </row>
    <row r="196" spans="1:19" ht="32.25" customHeight="1">
      <c r="A196" s="32" t="e">
        <v>#REF!</v>
      </c>
      <c r="B196" s="138" t="s">
        <v>670</v>
      </c>
      <c r="C196" s="139" t="s">
        <v>167</v>
      </c>
      <c r="D196" s="139" t="s">
        <v>190</v>
      </c>
      <c r="E196" s="139" t="s">
        <v>172</v>
      </c>
      <c r="F196" s="139">
        <v>19</v>
      </c>
      <c r="G196" s="139" t="s">
        <v>175</v>
      </c>
      <c r="H196" s="139">
        <v>4103052</v>
      </c>
      <c r="I196" s="139"/>
      <c r="J196" s="139">
        <v>11</v>
      </c>
      <c r="K196" s="140" t="s">
        <v>29</v>
      </c>
      <c r="L196" s="140" t="s">
        <v>229</v>
      </c>
      <c r="M196" s="141">
        <v>14196352483</v>
      </c>
      <c r="N196" s="141">
        <v>13978444203.77</v>
      </c>
      <c r="O196" s="143">
        <f t="shared" si="130"/>
        <v>0.98465040372229817</v>
      </c>
      <c r="P196" s="141">
        <v>6283720099.5200005</v>
      </c>
      <c r="Q196" s="143">
        <f t="shared" si="130"/>
        <v>0.44262919697469449</v>
      </c>
      <c r="R196" s="141">
        <v>6283720099.5200005</v>
      </c>
      <c r="S196" s="143">
        <f t="shared" ref="S196" si="191">+R196/$M196</f>
        <v>0.44262919697469449</v>
      </c>
    </row>
    <row r="197" spans="1:19" ht="24.95" customHeight="1">
      <c r="A197" s="32" t="e">
        <v>#REF!</v>
      </c>
      <c r="B197" s="144" t="s">
        <v>672</v>
      </c>
      <c r="C197" s="145" t="s">
        <v>167</v>
      </c>
      <c r="D197" s="145" t="s">
        <v>190</v>
      </c>
      <c r="E197" s="145" t="s">
        <v>172</v>
      </c>
      <c r="F197" s="145">
        <v>19</v>
      </c>
      <c r="G197" s="145" t="s">
        <v>175</v>
      </c>
      <c r="H197" s="145">
        <v>4103052</v>
      </c>
      <c r="I197" s="145" t="s">
        <v>54</v>
      </c>
      <c r="J197" s="145">
        <v>11</v>
      </c>
      <c r="K197" s="146" t="s">
        <v>29</v>
      </c>
      <c r="L197" s="147" t="s">
        <v>178</v>
      </c>
      <c r="M197" s="148">
        <v>14196352483</v>
      </c>
      <c r="N197" s="148">
        <v>13978444203.77</v>
      </c>
      <c r="O197" s="150">
        <f t="shared" si="130"/>
        <v>0.98465040372229817</v>
      </c>
      <c r="P197" s="148">
        <v>6283720099.5200005</v>
      </c>
      <c r="Q197" s="150">
        <f t="shared" si="130"/>
        <v>0.44262919697469449</v>
      </c>
      <c r="R197" s="148">
        <v>6283720099.5200005</v>
      </c>
      <c r="S197" s="150">
        <f t="shared" ref="S197" si="192">+R197/$M197</f>
        <v>0.44262919697469449</v>
      </c>
    </row>
    <row r="198" spans="1:19" ht="32.25" hidden="1" customHeight="1">
      <c r="A198" s="32" t="e">
        <v>#REF!</v>
      </c>
      <c r="B198" s="32"/>
      <c r="C198" s="139" t="s">
        <v>167</v>
      </c>
      <c r="D198" s="139" t="s">
        <v>190</v>
      </c>
      <c r="E198" s="139" t="s">
        <v>172</v>
      </c>
      <c r="F198" s="139">
        <v>19</v>
      </c>
      <c r="G198" s="139" t="s">
        <v>175</v>
      </c>
      <c r="H198" s="139">
        <v>4103060</v>
      </c>
      <c r="I198" s="139"/>
      <c r="J198" s="139">
        <v>11</v>
      </c>
      <c r="K198" s="140" t="s">
        <v>29</v>
      </c>
      <c r="L198" s="140" t="s">
        <v>216</v>
      </c>
      <c r="M198" s="141">
        <v>0</v>
      </c>
      <c r="N198" s="141">
        <v>0</v>
      </c>
      <c r="O198" s="143" t="e">
        <f t="shared" si="130"/>
        <v>#DIV/0!</v>
      </c>
      <c r="P198" s="141">
        <v>0</v>
      </c>
      <c r="Q198" s="143" t="e">
        <f t="shared" si="130"/>
        <v>#DIV/0!</v>
      </c>
      <c r="R198" s="141">
        <v>0</v>
      </c>
      <c r="S198" s="143" t="e">
        <f t="shared" ref="S198" si="193">+R198/$M198</f>
        <v>#DIV/0!</v>
      </c>
    </row>
    <row r="199" spans="1:19" ht="24.95" hidden="1" customHeight="1">
      <c r="A199" s="32" t="e">
        <v>#REF!</v>
      </c>
      <c r="B199" s="32"/>
      <c r="C199" s="145" t="s">
        <v>167</v>
      </c>
      <c r="D199" s="145" t="s">
        <v>190</v>
      </c>
      <c r="E199" s="145" t="s">
        <v>172</v>
      </c>
      <c r="F199" s="145">
        <v>19</v>
      </c>
      <c r="G199" s="145" t="s">
        <v>175</v>
      </c>
      <c r="H199" s="145">
        <v>4103060</v>
      </c>
      <c r="I199" s="145" t="s">
        <v>54</v>
      </c>
      <c r="J199" s="145">
        <v>11</v>
      </c>
      <c r="K199" s="146" t="s">
        <v>29</v>
      </c>
      <c r="L199" s="147" t="s">
        <v>178</v>
      </c>
      <c r="M199" s="148">
        <v>0</v>
      </c>
      <c r="N199" s="148">
        <v>0</v>
      </c>
      <c r="O199" s="150" t="e">
        <f t="shared" si="130"/>
        <v>#DIV/0!</v>
      </c>
      <c r="P199" s="148">
        <v>0</v>
      </c>
      <c r="Q199" s="150" t="e">
        <f t="shared" si="130"/>
        <v>#DIV/0!</v>
      </c>
      <c r="R199" s="148">
        <v>0</v>
      </c>
      <c r="S199" s="150" t="e">
        <f t="shared" ref="S199" si="194">+R199/$M199</f>
        <v>#DIV/0!</v>
      </c>
    </row>
    <row r="200" spans="1:19" ht="49.5" customHeight="1">
      <c r="A200" s="32" t="e">
        <v>#REF!</v>
      </c>
      <c r="B200" s="132" t="s">
        <v>678</v>
      </c>
      <c r="C200" s="133" t="s">
        <v>167</v>
      </c>
      <c r="D200" s="133" t="s">
        <v>190</v>
      </c>
      <c r="E200" s="133" t="s">
        <v>172</v>
      </c>
      <c r="F200" s="133">
        <v>20</v>
      </c>
      <c r="G200" s="133"/>
      <c r="H200" s="133"/>
      <c r="I200" s="133"/>
      <c r="J200" s="133"/>
      <c r="K200" s="134"/>
      <c r="L200" s="134" t="s">
        <v>271</v>
      </c>
      <c r="M200" s="135">
        <v>958240000000</v>
      </c>
      <c r="N200" s="135">
        <v>943425405379.22998</v>
      </c>
      <c r="O200" s="137">
        <f t="shared" ref="O200:Q244" si="195">+N200/$M200</f>
        <v>0.98453978687930999</v>
      </c>
      <c r="P200" s="135">
        <v>870894454179.22998</v>
      </c>
      <c r="Q200" s="137">
        <f t="shared" si="195"/>
        <v>0.90884794433464478</v>
      </c>
      <c r="R200" s="135">
        <v>870894454179.22998</v>
      </c>
      <c r="S200" s="137">
        <f t="shared" ref="S200" si="196">+R200/$M200</f>
        <v>0.90884794433464478</v>
      </c>
    </row>
    <row r="201" spans="1:19" ht="32.25" customHeight="1">
      <c r="A201" s="32" t="e">
        <v>#REF!</v>
      </c>
      <c r="B201" s="138" t="s">
        <v>680</v>
      </c>
      <c r="C201" s="139" t="s">
        <v>167</v>
      </c>
      <c r="D201" s="139" t="s">
        <v>190</v>
      </c>
      <c r="E201" s="139" t="s">
        <v>172</v>
      </c>
      <c r="F201" s="139">
        <v>20</v>
      </c>
      <c r="G201" s="139" t="s">
        <v>175</v>
      </c>
      <c r="H201" s="139">
        <v>4103061</v>
      </c>
      <c r="I201" s="139"/>
      <c r="J201" s="139">
        <v>11</v>
      </c>
      <c r="K201" s="140" t="s">
        <v>29</v>
      </c>
      <c r="L201" s="140" t="s">
        <v>231</v>
      </c>
      <c r="M201" s="141">
        <v>958240000000</v>
      </c>
      <c r="N201" s="141">
        <v>943425405379.22998</v>
      </c>
      <c r="O201" s="143">
        <f t="shared" si="195"/>
        <v>0.98453978687930999</v>
      </c>
      <c r="P201" s="141">
        <v>870894454179.22998</v>
      </c>
      <c r="Q201" s="143">
        <f t="shared" si="195"/>
        <v>0.90884794433464478</v>
      </c>
      <c r="R201" s="141">
        <v>870894454179.22998</v>
      </c>
      <c r="S201" s="143">
        <f t="shared" ref="S201" si="197">+R201/$M201</f>
        <v>0.90884794433464478</v>
      </c>
    </row>
    <row r="202" spans="1:19" ht="24.95" customHeight="1">
      <c r="A202" s="32" t="e">
        <v>#REF!</v>
      </c>
      <c r="B202" s="144" t="s">
        <v>682</v>
      </c>
      <c r="C202" s="145" t="s">
        <v>167</v>
      </c>
      <c r="D202" s="145" t="s">
        <v>190</v>
      </c>
      <c r="E202" s="145" t="s">
        <v>172</v>
      </c>
      <c r="F202" s="145">
        <v>20</v>
      </c>
      <c r="G202" s="145" t="s">
        <v>175</v>
      </c>
      <c r="H202" s="145">
        <v>4103061</v>
      </c>
      <c r="I202" s="145" t="s">
        <v>54</v>
      </c>
      <c r="J202" s="145">
        <v>11</v>
      </c>
      <c r="K202" s="146" t="s">
        <v>29</v>
      </c>
      <c r="L202" s="147" t="s">
        <v>178</v>
      </c>
      <c r="M202" s="148">
        <v>50518387000</v>
      </c>
      <c r="N202" s="148">
        <v>35703792379.230003</v>
      </c>
      <c r="O202" s="150">
        <f t="shared" si="195"/>
        <v>0.70674846327199647</v>
      </c>
      <c r="P202" s="148">
        <v>27671034179.23</v>
      </c>
      <c r="Q202" s="150">
        <f t="shared" si="195"/>
        <v>0.54774183861472059</v>
      </c>
      <c r="R202" s="148">
        <v>27671034179.23</v>
      </c>
      <c r="S202" s="150">
        <f t="shared" ref="S202" si="198">+R202/$M202</f>
        <v>0.54774183861472059</v>
      </c>
    </row>
    <row r="203" spans="1:19" ht="24.95" customHeight="1">
      <c r="A203" s="32" t="e">
        <v>#REF!</v>
      </c>
      <c r="B203" s="144" t="s">
        <v>684</v>
      </c>
      <c r="C203" s="145" t="s">
        <v>167</v>
      </c>
      <c r="D203" s="145" t="s">
        <v>190</v>
      </c>
      <c r="E203" s="145" t="s">
        <v>172</v>
      </c>
      <c r="F203" s="145">
        <v>20</v>
      </c>
      <c r="G203" s="145" t="s">
        <v>175</v>
      </c>
      <c r="H203" s="145">
        <v>4103061</v>
      </c>
      <c r="I203" s="145" t="s">
        <v>65</v>
      </c>
      <c r="J203" s="145">
        <v>11</v>
      </c>
      <c r="K203" s="146" t="s">
        <v>29</v>
      </c>
      <c r="L203" s="147" t="s">
        <v>127</v>
      </c>
      <c r="M203" s="148">
        <v>907721613000</v>
      </c>
      <c r="N203" s="148">
        <v>907721613000</v>
      </c>
      <c r="O203" s="150">
        <f t="shared" si="195"/>
        <v>1</v>
      </c>
      <c r="P203" s="148">
        <v>843223420000</v>
      </c>
      <c r="Q203" s="150">
        <f t="shared" si="195"/>
        <v>0.92894496277682004</v>
      </c>
      <c r="R203" s="148">
        <v>843223420000</v>
      </c>
      <c r="S203" s="150">
        <f t="shared" ref="S203" si="199">+R203/$M203</f>
        <v>0.92894496277682004</v>
      </c>
    </row>
    <row r="204" spans="1:19" ht="42" customHeight="1">
      <c r="A204" s="32" t="e">
        <v>#REF!</v>
      </c>
      <c r="B204" s="132" t="s">
        <v>692</v>
      </c>
      <c r="C204" s="133" t="s">
        <v>167</v>
      </c>
      <c r="D204" s="133">
        <v>4103</v>
      </c>
      <c r="E204" s="133" t="s">
        <v>172</v>
      </c>
      <c r="F204" s="133">
        <v>21</v>
      </c>
      <c r="G204" s="133"/>
      <c r="H204" s="133"/>
      <c r="I204" s="133"/>
      <c r="J204" s="133"/>
      <c r="K204" s="134"/>
      <c r="L204" s="134" t="s">
        <v>272</v>
      </c>
      <c r="M204" s="135">
        <v>25000000000</v>
      </c>
      <c r="N204" s="135">
        <v>24965995697.889999</v>
      </c>
      <c r="O204" s="137">
        <f t="shared" si="195"/>
        <v>0.99863982791560002</v>
      </c>
      <c r="P204" s="135">
        <v>17211080322.889999</v>
      </c>
      <c r="Q204" s="137">
        <f t="shared" si="195"/>
        <v>0.68844321291559996</v>
      </c>
      <c r="R204" s="135">
        <v>17073079302.889999</v>
      </c>
      <c r="S204" s="137">
        <f t="shared" ref="S204" si="200">+R204/$M204</f>
        <v>0.68292317211559994</v>
      </c>
    </row>
    <row r="205" spans="1:19" ht="32.25" customHeight="1">
      <c r="A205" s="32" t="e">
        <v>#REF!</v>
      </c>
      <c r="B205" s="138" t="s">
        <v>693</v>
      </c>
      <c r="C205" s="139" t="s">
        <v>167</v>
      </c>
      <c r="D205" s="139">
        <v>4103</v>
      </c>
      <c r="E205" s="139" t="s">
        <v>172</v>
      </c>
      <c r="F205" s="139">
        <v>21</v>
      </c>
      <c r="G205" s="139" t="s">
        <v>175</v>
      </c>
      <c r="H205" s="139" t="s">
        <v>219</v>
      </c>
      <c r="I205" s="139"/>
      <c r="J205" s="139" t="s">
        <v>144</v>
      </c>
      <c r="K205" s="140" t="s">
        <v>29</v>
      </c>
      <c r="L205" s="140" t="s">
        <v>233</v>
      </c>
      <c r="M205" s="141">
        <v>2475590106</v>
      </c>
      <c r="N205" s="141">
        <v>2475590106</v>
      </c>
      <c r="O205" s="143">
        <f t="shared" si="195"/>
        <v>1</v>
      </c>
      <c r="P205" s="141">
        <v>2475590106</v>
      </c>
      <c r="Q205" s="143">
        <f t="shared" si="195"/>
        <v>1</v>
      </c>
      <c r="R205" s="141">
        <v>2475590106</v>
      </c>
      <c r="S205" s="143">
        <f t="shared" ref="S205" si="201">+R205/$M205</f>
        <v>1</v>
      </c>
    </row>
    <row r="206" spans="1:19" ht="24.95" customHeight="1">
      <c r="A206" s="32" t="e">
        <v>#REF!</v>
      </c>
      <c r="B206" s="144" t="s">
        <v>694</v>
      </c>
      <c r="C206" s="145" t="s">
        <v>167</v>
      </c>
      <c r="D206" s="145">
        <v>4103</v>
      </c>
      <c r="E206" s="145" t="s">
        <v>172</v>
      </c>
      <c r="F206" s="145">
        <v>21</v>
      </c>
      <c r="G206" s="145" t="s">
        <v>175</v>
      </c>
      <c r="H206" s="145" t="s">
        <v>219</v>
      </c>
      <c r="I206" s="145" t="s">
        <v>54</v>
      </c>
      <c r="J206" s="145" t="s">
        <v>144</v>
      </c>
      <c r="K206" s="146" t="s">
        <v>29</v>
      </c>
      <c r="L206" s="147" t="s">
        <v>178</v>
      </c>
      <c r="M206" s="148">
        <v>2475590106</v>
      </c>
      <c r="N206" s="148">
        <v>2475590106</v>
      </c>
      <c r="O206" s="150">
        <f t="shared" si="195"/>
        <v>1</v>
      </c>
      <c r="P206" s="148">
        <v>2475590106</v>
      </c>
      <c r="Q206" s="150">
        <f t="shared" si="195"/>
        <v>1</v>
      </c>
      <c r="R206" s="148">
        <v>2475590106</v>
      </c>
      <c r="S206" s="150">
        <f t="shared" ref="S206" si="202">+R206/$M206</f>
        <v>1</v>
      </c>
    </row>
    <row r="207" spans="1:19" ht="32.25" customHeight="1">
      <c r="A207" s="32" t="e">
        <v>#REF!</v>
      </c>
      <c r="B207" s="138" t="s">
        <v>695</v>
      </c>
      <c r="C207" s="139" t="s">
        <v>167</v>
      </c>
      <c r="D207" s="139">
        <v>4103</v>
      </c>
      <c r="E207" s="139" t="s">
        <v>172</v>
      </c>
      <c r="F207" s="139">
        <v>21</v>
      </c>
      <c r="G207" s="139" t="s">
        <v>175</v>
      </c>
      <c r="H207" s="139" t="s">
        <v>234</v>
      </c>
      <c r="I207" s="139"/>
      <c r="J207" s="139" t="s">
        <v>144</v>
      </c>
      <c r="K207" s="140" t="s">
        <v>29</v>
      </c>
      <c r="L207" s="140" t="s">
        <v>235</v>
      </c>
      <c r="M207" s="141">
        <v>1113709158</v>
      </c>
      <c r="N207" s="141">
        <v>1113709158</v>
      </c>
      <c r="O207" s="143">
        <f t="shared" si="195"/>
        <v>1</v>
      </c>
      <c r="P207" s="141">
        <v>1113709158</v>
      </c>
      <c r="Q207" s="143">
        <f t="shared" si="195"/>
        <v>1</v>
      </c>
      <c r="R207" s="141">
        <v>1113709158</v>
      </c>
      <c r="S207" s="143">
        <f t="shared" ref="S207" si="203">+R207/$M207</f>
        <v>1</v>
      </c>
    </row>
    <row r="208" spans="1:19" ht="24.95" customHeight="1">
      <c r="A208" s="32" t="e">
        <v>#REF!</v>
      </c>
      <c r="B208" s="144" t="s">
        <v>696</v>
      </c>
      <c r="C208" s="145" t="s">
        <v>167</v>
      </c>
      <c r="D208" s="145">
        <v>4103</v>
      </c>
      <c r="E208" s="145" t="s">
        <v>172</v>
      </c>
      <c r="F208" s="145">
        <v>21</v>
      </c>
      <c r="G208" s="145" t="s">
        <v>175</v>
      </c>
      <c r="H208" s="145" t="s">
        <v>234</v>
      </c>
      <c r="I208" s="145" t="s">
        <v>54</v>
      </c>
      <c r="J208" s="145" t="s">
        <v>144</v>
      </c>
      <c r="K208" s="146" t="s">
        <v>29</v>
      </c>
      <c r="L208" s="147" t="s">
        <v>178</v>
      </c>
      <c r="M208" s="148">
        <v>1113709158</v>
      </c>
      <c r="N208" s="148">
        <v>1113709158</v>
      </c>
      <c r="O208" s="150">
        <f t="shared" si="195"/>
        <v>1</v>
      </c>
      <c r="P208" s="148">
        <v>1113709158</v>
      </c>
      <c r="Q208" s="150">
        <f t="shared" si="195"/>
        <v>1</v>
      </c>
      <c r="R208" s="148">
        <v>1113709158</v>
      </c>
      <c r="S208" s="150">
        <f t="shared" ref="S208" si="204">+R208/$M208</f>
        <v>1</v>
      </c>
    </row>
    <row r="209" spans="1:19" ht="32.25" customHeight="1">
      <c r="A209" s="32" t="e">
        <v>#REF!</v>
      </c>
      <c r="B209" s="138" t="s">
        <v>697</v>
      </c>
      <c r="C209" s="139" t="s">
        <v>167</v>
      </c>
      <c r="D209" s="139">
        <v>4103</v>
      </c>
      <c r="E209" s="139" t="s">
        <v>172</v>
      </c>
      <c r="F209" s="139">
        <v>21</v>
      </c>
      <c r="G209" s="139" t="s">
        <v>175</v>
      </c>
      <c r="H209" s="139" t="s">
        <v>197</v>
      </c>
      <c r="I209" s="139"/>
      <c r="J209" s="139" t="s">
        <v>144</v>
      </c>
      <c r="K209" s="140" t="s">
        <v>29</v>
      </c>
      <c r="L209" s="140" t="s">
        <v>236</v>
      </c>
      <c r="M209" s="141">
        <v>1536754755</v>
      </c>
      <c r="N209" s="141">
        <v>1536754755</v>
      </c>
      <c r="O209" s="143">
        <f t="shared" si="195"/>
        <v>1</v>
      </c>
      <c r="P209" s="141">
        <v>1536754755</v>
      </c>
      <c r="Q209" s="143">
        <f t="shared" si="195"/>
        <v>1</v>
      </c>
      <c r="R209" s="141">
        <v>1536754755</v>
      </c>
      <c r="S209" s="143">
        <f t="shared" ref="S209" si="205">+R209/$M209</f>
        <v>1</v>
      </c>
    </row>
    <row r="210" spans="1:19" ht="24.95" customHeight="1">
      <c r="A210" s="32" t="e">
        <v>#REF!</v>
      </c>
      <c r="B210" s="144" t="s">
        <v>698</v>
      </c>
      <c r="C210" s="145" t="s">
        <v>167</v>
      </c>
      <c r="D210" s="145">
        <v>4103</v>
      </c>
      <c r="E210" s="145" t="s">
        <v>172</v>
      </c>
      <c r="F210" s="145">
        <v>21</v>
      </c>
      <c r="G210" s="145" t="s">
        <v>175</v>
      </c>
      <c r="H210" s="145" t="s">
        <v>197</v>
      </c>
      <c r="I210" s="145" t="s">
        <v>54</v>
      </c>
      <c r="J210" s="145" t="s">
        <v>144</v>
      </c>
      <c r="K210" s="146" t="s">
        <v>29</v>
      </c>
      <c r="L210" s="147" t="s">
        <v>178</v>
      </c>
      <c r="M210" s="148">
        <v>1536754755</v>
      </c>
      <c r="N210" s="148">
        <v>1536754755</v>
      </c>
      <c r="O210" s="150">
        <f t="shared" si="195"/>
        <v>1</v>
      </c>
      <c r="P210" s="148">
        <v>1536754755</v>
      </c>
      <c r="Q210" s="150">
        <f t="shared" si="195"/>
        <v>1</v>
      </c>
      <c r="R210" s="148">
        <v>1536754755</v>
      </c>
      <c r="S210" s="150">
        <f t="shared" ref="S210" si="206">+R210/$M210</f>
        <v>1</v>
      </c>
    </row>
    <row r="211" spans="1:19" ht="32.25" customHeight="1">
      <c r="A211" s="32" t="e">
        <v>#REF!</v>
      </c>
      <c r="B211" s="138" t="s">
        <v>699</v>
      </c>
      <c r="C211" s="139" t="s">
        <v>167</v>
      </c>
      <c r="D211" s="139">
        <v>4103</v>
      </c>
      <c r="E211" s="139" t="s">
        <v>172</v>
      </c>
      <c r="F211" s="139">
        <v>21</v>
      </c>
      <c r="G211" s="139" t="s">
        <v>175</v>
      </c>
      <c r="H211" s="139" t="s">
        <v>203</v>
      </c>
      <c r="I211" s="139"/>
      <c r="J211" s="139" t="s">
        <v>144</v>
      </c>
      <c r="K211" s="140" t="s">
        <v>29</v>
      </c>
      <c r="L211" s="140" t="s">
        <v>237</v>
      </c>
      <c r="M211" s="141">
        <v>4563284631</v>
      </c>
      <c r="N211" s="141">
        <v>4563284630</v>
      </c>
      <c r="O211" s="143">
        <f t="shared" si="195"/>
        <v>0.99999999978085963</v>
      </c>
      <c r="P211" s="141">
        <v>3960721124</v>
      </c>
      <c r="Q211" s="143">
        <f t="shared" si="195"/>
        <v>0.86795399460586486</v>
      </c>
      <c r="R211" s="141">
        <v>3960721124</v>
      </c>
      <c r="S211" s="143">
        <f t="shared" ref="S211" si="207">+R211/$M211</f>
        <v>0.86795399460586486</v>
      </c>
    </row>
    <row r="212" spans="1:19" ht="24.95" customHeight="1">
      <c r="A212" s="32" t="e">
        <v>#REF!</v>
      </c>
      <c r="B212" s="144" t="s">
        <v>700</v>
      </c>
      <c r="C212" s="145" t="s">
        <v>167</v>
      </c>
      <c r="D212" s="145">
        <v>4103</v>
      </c>
      <c r="E212" s="145" t="s">
        <v>172</v>
      </c>
      <c r="F212" s="145">
        <v>21</v>
      </c>
      <c r="G212" s="145" t="s">
        <v>175</v>
      </c>
      <c r="H212" s="145" t="s">
        <v>203</v>
      </c>
      <c r="I212" s="145" t="s">
        <v>54</v>
      </c>
      <c r="J212" s="145" t="s">
        <v>144</v>
      </c>
      <c r="K212" s="146" t="s">
        <v>29</v>
      </c>
      <c r="L212" s="147" t="s">
        <v>178</v>
      </c>
      <c r="M212" s="148">
        <v>4563284631</v>
      </c>
      <c r="N212" s="148">
        <v>4563284630</v>
      </c>
      <c r="O212" s="150">
        <f t="shared" si="195"/>
        <v>0.99999999978085963</v>
      </c>
      <c r="P212" s="148">
        <v>3960721124</v>
      </c>
      <c r="Q212" s="150">
        <f t="shared" si="195"/>
        <v>0.86795399460586486</v>
      </c>
      <c r="R212" s="148">
        <v>3960721124</v>
      </c>
      <c r="S212" s="150">
        <f t="shared" ref="S212" si="208">+R212/$M212</f>
        <v>0.86795399460586486</v>
      </c>
    </row>
    <row r="213" spans="1:19" ht="32.25" customHeight="1">
      <c r="A213" s="32" t="e">
        <v>#REF!</v>
      </c>
      <c r="B213" s="138" t="s">
        <v>701</v>
      </c>
      <c r="C213" s="139" t="s">
        <v>167</v>
      </c>
      <c r="D213" s="139">
        <v>4103</v>
      </c>
      <c r="E213" s="139" t="s">
        <v>172</v>
      </c>
      <c r="F213" s="139">
        <v>21</v>
      </c>
      <c r="G213" s="139" t="s">
        <v>175</v>
      </c>
      <c r="H213" s="139" t="s">
        <v>223</v>
      </c>
      <c r="I213" s="139"/>
      <c r="J213" s="139" t="s">
        <v>144</v>
      </c>
      <c r="K213" s="140" t="s">
        <v>29</v>
      </c>
      <c r="L213" s="140" t="s">
        <v>238</v>
      </c>
      <c r="M213" s="141">
        <v>15310661350</v>
      </c>
      <c r="N213" s="141">
        <v>15276657048.889999</v>
      </c>
      <c r="O213" s="143">
        <f t="shared" si="195"/>
        <v>0.99777904426643194</v>
      </c>
      <c r="P213" s="141">
        <v>8124305179.8900003</v>
      </c>
      <c r="Q213" s="143">
        <f t="shared" si="195"/>
        <v>0.53063058441234479</v>
      </c>
      <c r="R213" s="141">
        <v>7986304159.8900003</v>
      </c>
      <c r="S213" s="143">
        <f t="shared" ref="S213" si="209">+R213/$M213</f>
        <v>0.52161719061796119</v>
      </c>
    </row>
    <row r="214" spans="1:19" ht="24.95" customHeight="1">
      <c r="A214" s="32" t="e">
        <v>#REF!</v>
      </c>
      <c r="B214" s="144" t="s">
        <v>702</v>
      </c>
      <c r="C214" s="145" t="s">
        <v>167</v>
      </c>
      <c r="D214" s="145">
        <v>4103</v>
      </c>
      <c r="E214" s="145" t="s">
        <v>172</v>
      </c>
      <c r="F214" s="145">
        <v>21</v>
      </c>
      <c r="G214" s="145" t="s">
        <v>175</v>
      </c>
      <c r="H214" s="145" t="s">
        <v>223</v>
      </c>
      <c r="I214" s="145" t="s">
        <v>54</v>
      </c>
      <c r="J214" s="145" t="s">
        <v>144</v>
      </c>
      <c r="K214" s="146" t="s">
        <v>29</v>
      </c>
      <c r="L214" s="147" t="s">
        <v>178</v>
      </c>
      <c r="M214" s="148">
        <v>15310661350</v>
      </c>
      <c r="N214" s="148">
        <v>15276657048.889999</v>
      </c>
      <c r="O214" s="150">
        <f t="shared" si="195"/>
        <v>0.99777904426643194</v>
      </c>
      <c r="P214" s="148">
        <v>8124305179.8900003</v>
      </c>
      <c r="Q214" s="150">
        <f t="shared" si="195"/>
        <v>0.53063058441234479</v>
      </c>
      <c r="R214" s="148">
        <v>7986304159.8900003</v>
      </c>
      <c r="S214" s="150">
        <f t="shared" ref="S214" si="210">+R214/$M214</f>
        <v>0.52161719061796119</v>
      </c>
    </row>
    <row r="215" spans="1:19" ht="24.95" customHeight="1">
      <c r="A215" s="32" t="e">
        <v>#REF!</v>
      </c>
      <c r="B215" s="144" t="s">
        <v>703</v>
      </c>
      <c r="C215" s="145" t="s">
        <v>167</v>
      </c>
      <c r="D215" s="145">
        <v>4103</v>
      </c>
      <c r="E215" s="145" t="s">
        <v>172</v>
      </c>
      <c r="F215" s="145">
        <v>21</v>
      </c>
      <c r="G215" s="145" t="s">
        <v>175</v>
      </c>
      <c r="H215" s="145" t="s">
        <v>223</v>
      </c>
      <c r="I215" s="145" t="s">
        <v>65</v>
      </c>
      <c r="J215" s="145" t="s">
        <v>144</v>
      </c>
      <c r="K215" s="146" t="s">
        <v>29</v>
      </c>
      <c r="L215" s="147" t="s">
        <v>127</v>
      </c>
      <c r="M215" s="148">
        <v>0</v>
      </c>
      <c r="N215" s="148">
        <v>0</v>
      </c>
      <c r="O215" s="150" t="e">
        <f t="shared" si="195"/>
        <v>#DIV/0!</v>
      </c>
      <c r="P215" s="148">
        <v>0</v>
      </c>
      <c r="Q215" s="150" t="e">
        <f t="shared" si="195"/>
        <v>#DIV/0!</v>
      </c>
      <c r="R215" s="148">
        <v>0</v>
      </c>
      <c r="S215" s="150" t="e">
        <f t="shared" ref="S215" si="211">+R215/$M215</f>
        <v>#DIV/0!</v>
      </c>
    </row>
    <row r="216" spans="1:19" ht="49.5" customHeight="1">
      <c r="A216" s="32" t="e">
        <v>#REF!</v>
      </c>
      <c r="B216" s="132" t="s">
        <v>704</v>
      </c>
      <c r="C216" s="133" t="s">
        <v>167</v>
      </c>
      <c r="D216" s="133">
        <v>4103</v>
      </c>
      <c r="E216" s="133" t="s">
        <v>172</v>
      </c>
      <c r="F216" s="133">
        <v>22</v>
      </c>
      <c r="G216" s="133"/>
      <c r="H216" s="133"/>
      <c r="I216" s="133"/>
      <c r="J216" s="133"/>
      <c r="K216" s="134"/>
      <c r="L216" s="134" t="s">
        <v>239</v>
      </c>
      <c r="M216" s="135">
        <v>137284000000</v>
      </c>
      <c r="N216" s="135">
        <v>136828216462.57001</v>
      </c>
      <c r="O216" s="137">
        <f t="shared" si="195"/>
        <v>0.99667999521116812</v>
      </c>
      <c r="P216" s="135">
        <v>102848711903</v>
      </c>
      <c r="Q216" s="137">
        <f t="shared" si="195"/>
        <v>0.74916750606771365</v>
      </c>
      <c r="R216" s="135">
        <v>102848711903</v>
      </c>
      <c r="S216" s="137">
        <f t="shared" ref="S216" si="212">+R216/$M216</f>
        <v>0.74916750606771365</v>
      </c>
    </row>
    <row r="217" spans="1:19" ht="32.25" customHeight="1">
      <c r="A217" s="32" t="e">
        <v>#REF!</v>
      </c>
      <c r="B217" s="138" t="s">
        <v>705</v>
      </c>
      <c r="C217" s="139" t="s">
        <v>167</v>
      </c>
      <c r="D217" s="139">
        <v>4103</v>
      </c>
      <c r="E217" s="139" t="s">
        <v>172</v>
      </c>
      <c r="F217" s="139">
        <v>22</v>
      </c>
      <c r="G217" s="139" t="s">
        <v>175</v>
      </c>
      <c r="H217" s="139" t="s">
        <v>219</v>
      </c>
      <c r="I217" s="139"/>
      <c r="J217" s="139" t="s">
        <v>144</v>
      </c>
      <c r="K217" s="140" t="s">
        <v>29</v>
      </c>
      <c r="L217" s="140" t="s">
        <v>240</v>
      </c>
      <c r="M217" s="141">
        <v>9031396541</v>
      </c>
      <c r="N217" s="141">
        <v>9031396511</v>
      </c>
      <c r="O217" s="143">
        <f t="shared" si="195"/>
        <v>0.99999999667825457</v>
      </c>
      <c r="P217" s="141">
        <v>8058673960</v>
      </c>
      <c r="Q217" s="143">
        <f t="shared" si="195"/>
        <v>0.8922954410667151</v>
      </c>
      <c r="R217" s="141">
        <v>8058673960</v>
      </c>
      <c r="S217" s="143">
        <f t="shared" ref="S217" si="213">+R217/$M217</f>
        <v>0.8922954410667151</v>
      </c>
    </row>
    <row r="218" spans="1:19" ht="24.95" customHeight="1">
      <c r="A218" s="32" t="e">
        <v>#REF!</v>
      </c>
      <c r="B218" s="144" t="s">
        <v>706</v>
      </c>
      <c r="C218" s="145" t="s">
        <v>167</v>
      </c>
      <c r="D218" s="145">
        <v>4103</v>
      </c>
      <c r="E218" s="145" t="s">
        <v>172</v>
      </c>
      <c r="F218" s="145">
        <v>22</v>
      </c>
      <c r="G218" s="145" t="s">
        <v>175</v>
      </c>
      <c r="H218" s="145" t="s">
        <v>219</v>
      </c>
      <c r="I218" s="145" t="s">
        <v>54</v>
      </c>
      <c r="J218" s="145" t="s">
        <v>144</v>
      </c>
      <c r="K218" s="146" t="s">
        <v>29</v>
      </c>
      <c r="L218" s="147" t="s">
        <v>178</v>
      </c>
      <c r="M218" s="148">
        <v>9031396541</v>
      </c>
      <c r="N218" s="148">
        <v>9031396511</v>
      </c>
      <c r="O218" s="150">
        <f t="shared" si="195"/>
        <v>0.99999999667825457</v>
      </c>
      <c r="P218" s="148">
        <v>8058673960</v>
      </c>
      <c r="Q218" s="150">
        <f t="shared" si="195"/>
        <v>0.8922954410667151</v>
      </c>
      <c r="R218" s="148">
        <v>8058673960</v>
      </c>
      <c r="S218" s="150">
        <f t="shared" ref="S218" si="214">+R218/$M218</f>
        <v>0.8922954410667151</v>
      </c>
    </row>
    <row r="219" spans="1:19" ht="32.25" customHeight="1">
      <c r="A219" s="32" t="e">
        <v>#REF!</v>
      </c>
      <c r="B219" s="138" t="s">
        <v>707</v>
      </c>
      <c r="C219" s="139" t="s">
        <v>167</v>
      </c>
      <c r="D219" s="139">
        <v>4103</v>
      </c>
      <c r="E219" s="139" t="s">
        <v>172</v>
      </c>
      <c r="F219" s="139">
        <v>22</v>
      </c>
      <c r="G219" s="139" t="s">
        <v>175</v>
      </c>
      <c r="H219" s="139" t="s">
        <v>234</v>
      </c>
      <c r="I219" s="139"/>
      <c r="J219" s="139" t="s">
        <v>144</v>
      </c>
      <c r="K219" s="140" t="s">
        <v>29</v>
      </c>
      <c r="L219" s="140" t="s">
        <v>241</v>
      </c>
      <c r="M219" s="141">
        <v>6288213549</v>
      </c>
      <c r="N219" s="141">
        <v>6009094079.5699997</v>
      </c>
      <c r="O219" s="143">
        <f t="shared" si="195"/>
        <v>0.95561227886823463</v>
      </c>
      <c r="P219" s="141">
        <v>1870825834</v>
      </c>
      <c r="Q219" s="143">
        <f t="shared" si="195"/>
        <v>0.29751308848242169</v>
      </c>
      <c r="R219" s="141">
        <v>1870825834</v>
      </c>
      <c r="S219" s="143">
        <f t="shared" ref="S219" si="215">+R219/$M219</f>
        <v>0.29751308848242169</v>
      </c>
    </row>
    <row r="220" spans="1:19" ht="24.95" customHeight="1">
      <c r="A220" s="32" t="e">
        <v>#REF!</v>
      </c>
      <c r="B220" s="144" t="s">
        <v>708</v>
      </c>
      <c r="C220" s="145" t="s">
        <v>167</v>
      </c>
      <c r="D220" s="145">
        <v>4103</v>
      </c>
      <c r="E220" s="145" t="s">
        <v>172</v>
      </c>
      <c r="F220" s="145">
        <v>22</v>
      </c>
      <c r="G220" s="145" t="s">
        <v>175</v>
      </c>
      <c r="H220" s="145" t="s">
        <v>234</v>
      </c>
      <c r="I220" s="145" t="s">
        <v>54</v>
      </c>
      <c r="J220" s="145" t="s">
        <v>144</v>
      </c>
      <c r="K220" s="146" t="s">
        <v>29</v>
      </c>
      <c r="L220" s="147" t="s">
        <v>178</v>
      </c>
      <c r="M220" s="148">
        <v>6288213549</v>
      </c>
      <c r="N220" s="148">
        <v>6009094079.5699997</v>
      </c>
      <c r="O220" s="150">
        <f t="shared" si="195"/>
        <v>0.95561227886823463</v>
      </c>
      <c r="P220" s="148">
        <v>1870825834</v>
      </c>
      <c r="Q220" s="150">
        <f t="shared" si="195"/>
        <v>0.29751308848242169</v>
      </c>
      <c r="R220" s="148">
        <v>1870825834</v>
      </c>
      <c r="S220" s="150">
        <f t="shared" ref="S220" si="216">+R220/$M220</f>
        <v>0.29751308848242169</v>
      </c>
    </row>
    <row r="221" spans="1:19" ht="24.95" customHeight="1">
      <c r="A221" s="32" t="e">
        <v>#REF!</v>
      </c>
      <c r="B221" s="144" t="s">
        <v>709</v>
      </c>
      <c r="C221" s="145" t="s">
        <v>167</v>
      </c>
      <c r="D221" s="145">
        <v>4103</v>
      </c>
      <c r="E221" s="145" t="s">
        <v>172</v>
      </c>
      <c r="F221" s="145">
        <v>22</v>
      </c>
      <c r="G221" s="145" t="s">
        <v>175</v>
      </c>
      <c r="H221" s="145" t="s">
        <v>234</v>
      </c>
      <c r="I221" s="145" t="s">
        <v>65</v>
      </c>
      <c r="J221" s="145" t="s">
        <v>144</v>
      </c>
      <c r="K221" s="146" t="s">
        <v>29</v>
      </c>
      <c r="L221" s="147" t="s">
        <v>127</v>
      </c>
      <c r="M221" s="148">
        <v>0</v>
      </c>
      <c r="N221" s="148">
        <v>0</v>
      </c>
      <c r="O221" s="150" t="e">
        <f t="shared" si="195"/>
        <v>#DIV/0!</v>
      </c>
      <c r="P221" s="148">
        <v>0</v>
      </c>
      <c r="Q221" s="150" t="e">
        <f t="shared" si="195"/>
        <v>#DIV/0!</v>
      </c>
      <c r="R221" s="148">
        <v>0</v>
      </c>
      <c r="S221" s="150" t="e">
        <f t="shared" ref="S221" si="217">+R221/$M221</f>
        <v>#DIV/0!</v>
      </c>
    </row>
    <row r="222" spans="1:19" ht="32.25" customHeight="1">
      <c r="A222" s="32" t="e">
        <v>#REF!</v>
      </c>
      <c r="B222" s="138" t="s">
        <v>710</v>
      </c>
      <c r="C222" s="139" t="s">
        <v>167</v>
      </c>
      <c r="D222" s="139">
        <v>4103</v>
      </c>
      <c r="E222" s="139" t="s">
        <v>172</v>
      </c>
      <c r="F222" s="139">
        <v>22</v>
      </c>
      <c r="G222" s="139" t="s">
        <v>175</v>
      </c>
      <c r="H222" s="139">
        <v>4103051</v>
      </c>
      <c r="I222" s="139"/>
      <c r="J222" s="139" t="s">
        <v>144</v>
      </c>
      <c r="K222" s="140" t="s">
        <v>29</v>
      </c>
      <c r="L222" s="140" t="s">
        <v>242</v>
      </c>
      <c r="M222" s="141">
        <v>3268617345</v>
      </c>
      <c r="N222" s="141">
        <v>3268617345</v>
      </c>
      <c r="O222" s="143">
        <f t="shared" si="195"/>
        <v>1</v>
      </c>
      <c r="P222" s="141">
        <v>3268617345</v>
      </c>
      <c r="Q222" s="143">
        <f t="shared" si="195"/>
        <v>1</v>
      </c>
      <c r="R222" s="141">
        <v>3268617345</v>
      </c>
      <c r="S222" s="143">
        <f t="shared" ref="S222" si="218">+R222/$M222</f>
        <v>1</v>
      </c>
    </row>
    <row r="223" spans="1:19" ht="24.95" customHeight="1">
      <c r="A223" s="32" t="e">
        <v>#REF!</v>
      </c>
      <c r="B223" s="144" t="s">
        <v>711</v>
      </c>
      <c r="C223" s="145" t="s">
        <v>167</v>
      </c>
      <c r="D223" s="145">
        <v>4103</v>
      </c>
      <c r="E223" s="145" t="s">
        <v>172</v>
      </c>
      <c r="F223" s="145">
        <v>22</v>
      </c>
      <c r="G223" s="145" t="s">
        <v>175</v>
      </c>
      <c r="H223" s="145">
        <v>4103051</v>
      </c>
      <c r="I223" s="145" t="s">
        <v>54</v>
      </c>
      <c r="J223" s="145" t="s">
        <v>144</v>
      </c>
      <c r="K223" s="146" t="s">
        <v>29</v>
      </c>
      <c r="L223" s="147" t="s">
        <v>178</v>
      </c>
      <c r="M223" s="148">
        <v>3268617345</v>
      </c>
      <c r="N223" s="148">
        <v>3268617345</v>
      </c>
      <c r="O223" s="150">
        <f t="shared" si="195"/>
        <v>1</v>
      </c>
      <c r="P223" s="148">
        <v>3268617345</v>
      </c>
      <c r="Q223" s="150">
        <f t="shared" si="195"/>
        <v>1</v>
      </c>
      <c r="R223" s="148">
        <v>3268617345</v>
      </c>
      <c r="S223" s="150">
        <f t="shared" ref="S223" si="219">+R223/$M223</f>
        <v>1</v>
      </c>
    </row>
    <row r="224" spans="1:19" ht="32.25" customHeight="1">
      <c r="A224" s="32" t="e">
        <v>#REF!</v>
      </c>
      <c r="B224" s="138" t="s">
        <v>712</v>
      </c>
      <c r="C224" s="139" t="s">
        <v>167</v>
      </c>
      <c r="D224" s="139">
        <v>4103</v>
      </c>
      <c r="E224" s="139" t="s">
        <v>172</v>
      </c>
      <c r="F224" s="139">
        <v>22</v>
      </c>
      <c r="G224" s="139" t="s">
        <v>175</v>
      </c>
      <c r="H224" s="139">
        <v>4103055</v>
      </c>
      <c r="I224" s="139"/>
      <c r="J224" s="139" t="s">
        <v>144</v>
      </c>
      <c r="K224" s="140" t="s">
        <v>29</v>
      </c>
      <c r="L224" s="140" t="s">
        <v>243</v>
      </c>
      <c r="M224" s="141">
        <v>17030714381</v>
      </c>
      <c r="N224" s="141">
        <v>17030714381</v>
      </c>
      <c r="O224" s="143">
        <f t="shared" si="195"/>
        <v>1</v>
      </c>
      <c r="P224" s="141">
        <v>4341371893</v>
      </c>
      <c r="Q224" s="143">
        <f t="shared" si="195"/>
        <v>0.25491425643561794</v>
      </c>
      <c r="R224" s="141">
        <v>4341371893</v>
      </c>
      <c r="S224" s="143">
        <f t="shared" ref="S224" si="220">+R224/$M224</f>
        <v>0.25491425643561794</v>
      </c>
    </row>
    <row r="225" spans="1:19" ht="24.95" customHeight="1">
      <c r="A225" s="32" t="e">
        <v>#REF!</v>
      </c>
      <c r="B225" s="144" t="s">
        <v>713</v>
      </c>
      <c r="C225" s="145" t="s">
        <v>167</v>
      </c>
      <c r="D225" s="145">
        <v>4103</v>
      </c>
      <c r="E225" s="145" t="s">
        <v>172</v>
      </c>
      <c r="F225" s="145">
        <v>22</v>
      </c>
      <c r="G225" s="145" t="s">
        <v>175</v>
      </c>
      <c r="H225" s="145" t="s">
        <v>203</v>
      </c>
      <c r="I225" s="145" t="s">
        <v>54</v>
      </c>
      <c r="J225" s="145" t="s">
        <v>144</v>
      </c>
      <c r="K225" s="146" t="s">
        <v>29</v>
      </c>
      <c r="L225" s="147" t="s">
        <v>178</v>
      </c>
      <c r="M225" s="148">
        <v>515114381</v>
      </c>
      <c r="N225" s="148">
        <v>515114381</v>
      </c>
      <c r="O225" s="150">
        <f t="shared" si="195"/>
        <v>1</v>
      </c>
      <c r="P225" s="148">
        <v>515114381</v>
      </c>
      <c r="Q225" s="150">
        <f t="shared" si="195"/>
        <v>1</v>
      </c>
      <c r="R225" s="148">
        <v>515114381</v>
      </c>
      <c r="S225" s="150">
        <f t="shared" ref="S225" si="221">+R225/$M225</f>
        <v>1</v>
      </c>
    </row>
    <row r="226" spans="1:19" ht="24.95" customHeight="1">
      <c r="A226" s="32" t="e">
        <v>#REF!</v>
      </c>
      <c r="B226" s="144" t="s">
        <v>714</v>
      </c>
      <c r="C226" s="145" t="s">
        <v>167</v>
      </c>
      <c r="D226" s="145">
        <v>4103</v>
      </c>
      <c r="E226" s="145" t="s">
        <v>172</v>
      </c>
      <c r="F226" s="145">
        <v>22</v>
      </c>
      <c r="G226" s="145" t="s">
        <v>175</v>
      </c>
      <c r="H226" s="145" t="s">
        <v>203</v>
      </c>
      <c r="I226" s="145" t="s">
        <v>65</v>
      </c>
      <c r="J226" s="145" t="s">
        <v>144</v>
      </c>
      <c r="K226" s="146" t="s">
        <v>29</v>
      </c>
      <c r="L226" s="147" t="s">
        <v>127</v>
      </c>
      <c r="M226" s="148">
        <v>16515600000</v>
      </c>
      <c r="N226" s="148">
        <v>16515600000</v>
      </c>
      <c r="O226" s="150">
        <f t="shared" si="195"/>
        <v>1</v>
      </c>
      <c r="P226" s="148">
        <v>3826257512</v>
      </c>
      <c r="Q226" s="150">
        <f t="shared" si="195"/>
        <v>0.23167535614812662</v>
      </c>
      <c r="R226" s="148">
        <v>3826257512</v>
      </c>
      <c r="S226" s="150">
        <f t="shared" ref="S226" si="222">+R226/$M226</f>
        <v>0.23167535614812662</v>
      </c>
    </row>
    <row r="227" spans="1:19" ht="32.25" customHeight="1">
      <c r="A227" s="32" t="e">
        <v>#REF!</v>
      </c>
      <c r="B227" s="138" t="s">
        <v>715</v>
      </c>
      <c r="C227" s="139" t="s">
        <v>167</v>
      </c>
      <c r="D227" s="139">
        <v>4103</v>
      </c>
      <c r="E227" s="139" t="s">
        <v>172</v>
      </c>
      <c r="F227" s="139">
        <v>22</v>
      </c>
      <c r="G227" s="139" t="s">
        <v>175</v>
      </c>
      <c r="H227" s="139">
        <v>4103057</v>
      </c>
      <c r="I227" s="139"/>
      <c r="J227" s="139" t="s">
        <v>144</v>
      </c>
      <c r="K227" s="140" t="s">
        <v>29</v>
      </c>
      <c r="L227" s="140" t="s">
        <v>244</v>
      </c>
      <c r="M227" s="141">
        <v>98063436538</v>
      </c>
      <c r="N227" s="141">
        <v>97886772500</v>
      </c>
      <c r="O227" s="143">
        <f t="shared" si="195"/>
        <v>0.99819847188476263</v>
      </c>
      <c r="P227" s="141">
        <v>81707601225</v>
      </c>
      <c r="Q227" s="143">
        <f t="shared" si="195"/>
        <v>0.83321168530880474</v>
      </c>
      <c r="R227" s="141">
        <v>81707601225</v>
      </c>
      <c r="S227" s="143">
        <f t="shared" ref="S227" si="223">+R227/$M227</f>
        <v>0.83321168530880474</v>
      </c>
    </row>
    <row r="228" spans="1:19" ht="24.95" customHeight="1">
      <c r="A228" s="32" t="e">
        <v>#REF!</v>
      </c>
      <c r="B228" s="144" t="s">
        <v>716</v>
      </c>
      <c r="C228" s="145" t="s">
        <v>167</v>
      </c>
      <c r="D228" s="145">
        <v>4103</v>
      </c>
      <c r="E228" s="145" t="s">
        <v>172</v>
      </c>
      <c r="F228" s="145">
        <v>22</v>
      </c>
      <c r="G228" s="145" t="s">
        <v>175</v>
      </c>
      <c r="H228" s="145" t="s">
        <v>221</v>
      </c>
      <c r="I228" s="145" t="s">
        <v>54</v>
      </c>
      <c r="J228" s="145" t="s">
        <v>144</v>
      </c>
      <c r="K228" s="146" t="s">
        <v>29</v>
      </c>
      <c r="L228" s="147" t="s">
        <v>178</v>
      </c>
      <c r="M228" s="148">
        <v>6763610538</v>
      </c>
      <c r="N228" s="148">
        <v>6586946500</v>
      </c>
      <c r="O228" s="150">
        <f t="shared" si="195"/>
        <v>0.97388021722903051</v>
      </c>
      <c r="P228" s="148">
        <v>5700726225</v>
      </c>
      <c r="Q228" s="150">
        <f t="shared" si="195"/>
        <v>0.84285252572891411</v>
      </c>
      <c r="R228" s="148">
        <v>5700726225</v>
      </c>
      <c r="S228" s="150">
        <f t="shared" ref="S228" si="224">+R228/$M228</f>
        <v>0.84285252572891411</v>
      </c>
    </row>
    <row r="229" spans="1:19" ht="24.95" customHeight="1">
      <c r="A229" s="32" t="e">
        <v>#REF!</v>
      </c>
      <c r="B229" s="144" t="s">
        <v>717</v>
      </c>
      <c r="C229" s="145" t="s">
        <v>167</v>
      </c>
      <c r="D229" s="145">
        <v>4103</v>
      </c>
      <c r="E229" s="145" t="s">
        <v>172</v>
      </c>
      <c r="F229" s="145">
        <v>22</v>
      </c>
      <c r="G229" s="145" t="s">
        <v>175</v>
      </c>
      <c r="H229" s="145" t="s">
        <v>221</v>
      </c>
      <c r="I229" s="145" t="s">
        <v>65</v>
      </c>
      <c r="J229" s="145" t="s">
        <v>144</v>
      </c>
      <c r="K229" s="146" t="s">
        <v>29</v>
      </c>
      <c r="L229" s="147" t="s">
        <v>127</v>
      </c>
      <c r="M229" s="148">
        <v>91299826000</v>
      </c>
      <c r="N229" s="148">
        <v>91299826000</v>
      </c>
      <c r="O229" s="150">
        <f t="shared" si="195"/>
        <v>1</v>
      </c>
      <c r="P229" s="148">
        <v>76006875000</v>
      </c>
      <c r="Q229" s="150">
        <f t="shared" si="195"/>
        <v>0.83249747923944561</v>
      </c>
      <c r="R229" s="148">
        <v>76006875000</v>
      </c>
      <c r="S229" s="150">
        <f t="shared" ref="S229" si="225">+R229/$M229</f>
        <v>0.83249747923944561</v>
      </c>
    </row>
    <row r="230" spans="1:19" ht="32.25" customHeight="1">
      <c r="A230" s="32" t="e">
        <v>#REF!</v>
      </c>
      <c r="B230" s="138" t="s">
        <v>718</v>
      </c>
      <c r="C230" s="139" t="s">
        <v>167</v>
      </c>
      <c r="D230" s="139">
        <v>4103</v>
      </c>
      <c r="E230" s="139" t="s">
        <v>172</v>
      </c>
      <c r="F230" s="139">
        <v>22</v>
      </c>
      <c r="G230" s="139" t="s">
        <v>175</v>
      </c>
      <c r="H230" s="139">
        <v>4103062</v>
      </c>
      <c r="I230" s="139"/>
      <c r="J230" s="139" t="s">
        <v>144</v>
      </c>
      <c r="K230" s="140" t="s">
        <v>29</v>
      </c>
      <c r="L230" s="140" t="s">
        <v>245</v>
      </c>
      <c r="M230" s="141">
        <v>3601621646</v>
      </c>
      <c r="N230" s="141">
        <v>3601621646</v>
      </c>
      <c r="O230" s="143">
        <f t="shared" si="195"/>
        <v>1</v>
      </c>
      <c r="P230" s="141">
        <v>3601621646</v>
      </c>
      <c r="Q230" s="143">
        <f t="shared" si="195"/>
        <v>1</v>
      </c>
      <c r="R230" s="141">
        <v>3601621646</v>
      </c>
      <c r="S230" s="143">
        <f t="shared" ref="S230" si="226">+R230/$M230</f>
        <v>1</v>
      </c>
    </row>
    <row r="231" spans="1:19" ht="24.95" customHeight="1">
      <c r="A231" s="32" t="e">
        <v>#REF!</v>
      </c>
      <c r="B231" s="144" t="s">
        <v>719</v>
      </c>
      <c r="C231" s="145" t="s">
        <v>167</v>
      </c>
      <c r="D231" s="145">
        <v>4103</v>
      </c>
      <c r="E231" s="145" t="s">
        <v>172</v>
      </c>
      <c r="F231" s="145">
        <v>22</v>
      </c>
      <c r="G231" s="145" t="s">
        <v>175</v>
      </c>
      <c r="H231" s="145" t="s">
        <v>246</v>
      </c>
      <c r="I231" s="145" t="s">
        <v>54</v>
      </c>
      <c r="J231" s="145" t="s">
        <v>144</v>
      </c>
      <c r="K231" s="146" t="s">
        <v>29</v>
      </c>
      <c r="L231" s="147" t="s">
        <v>178</v>
      </c>
      <c r="M231" s="148">
        <v>3601621646</v>
      </c>
      <c r="N231" s="148">
        <v>3601621646</v>
      </c>
      <c r="O231" s="150">
        <f t="shared" si="195"/>
        <v>1</v>
      </c>
      <c r="P231" s="148">
        <v>3601621646</v>
      </c>
      <c r="Q231" s="150">
        <f t="shared" si="195"/>
        <v>1</v>
      </c>
      <c r="R231" s="148">
        <v>3601621646</v>
      </c>
      <c r="S231" s="150">
        <f t="shared" ref="S231" si="227">+R231/$M231</f>
        <v>1</v>
      </c>
    </row>
    <row r="232" spans="1:19" ht="24.95" customHeight="1">
      <c r="A232" s="32" t="e">
        <v>#REF!</v>
      </c>
      <c r="B232" s="144" t="s">
        <v>720</v>
      </c>
      <c r="C232" s="145" t="s">
        <v>167</v>
      </c>
      <c r="D232" s="145">
        <v>4103</v>
      </c>
      <c r="E232" s="145" t="s">
        <v>172</v>
      </c>
      <c r="F232" s="145">
        <v>22</v>
      </c>
      <c r="G232" s="145" t="s">
        <v>175</v>
      </c>
      <c r="H232" s="145" t="s">
        <v>246</v>
      </c>
      <c r="I232" s="145" t="s">
        <v>65</v>
      </c>
      <c r="J232" s="145" t="s">
        <v>144</v>
      </c>
      <c r="K232" s="146" t="s">
        <v>29</v>
      </c>
      <c r="L232" s="147" t="s">
        <v>127</v>
      </c>
      <c r="M232" s="148">
        <v>0</v>
      </c>
      <c r="N232" s="148">
        <v>0</v>
      </c>
      <c r="O232" s="150" t="e">
        <f t="shared" si="195"/>
        <v>#DIV/0!</v>
      </c>
      <c r="P232" s="148">
        <v>0</v>
      </c>
      <c r="Q232" s="150" t="e">
        <f t="shared" si="195"/>
        <v>#DIV/0!</v>
      </c>
      <c r="R232" s="148">
        <v>0</v>
      </c>
      <c r="S232" s="150" t="e">
        <f t="shared" ref="S232" si="228">+R232/$M232</f>
        <v>#DIV/0!</v>
      </c>
    </row>
    <row r="233" spans="1:19" ht="39.75" customHeight="1">
      <c r="A233" s="32"/>
      <c r="B233" s="132" t="s">
        <v>685</v>
      </c>
      <c r="C233" s="133" t="s">
        <v>167</v>
      </c>
      <c r="D233" s="133" t="s">
        <v>190</v>
      </c>
      <c r="E233" s="133" t="s">
        <v>172</v>
      </c>
      <c r="F233" s="133">
        <v>23</v>
      </c>
      <c r="G233" s="133"/>
      <c r="H233" s="133"/>
      <c r="I233" s="133"/>
      <c r="J233" s="133"/>
      <c r="K233" s="134"/>
      <c r="L233" s="134" t="s">
        <v>273</v>
      </c>
      <c r="M233" s="135">
        <v>1769368130080</v>
      </c>
      <c r="N233" s="135">
        <v>1619353653724.0901</v>
      </c>
      <c r="O233" s="137">
        <f t="shared" si="195"/>
        <v>0.9152157915554141</v>
      </c>
      <c r="P233" s="135">
        <v>1600222063275.28</v>
      </c>
      <c r="Q233" s="137">
        <f t="shared" si="195"/>
        <v>0.90440312339237616</v>
      </c>
      <c r="R233" s="135">
        <v>1600222063275.28</v>
      </c>
      <c r="S233" s="137">
        <f t="shared" ref="S233" si="229">+R233/$M233</f>
        <v>0.90440312339237616</v>
      </c>
    </row>
    <row r="234" spans="1:19" ht="32.25" customHeight="1">
      <c r="A234" s="32"/>
      <c r="B234" s="138" t="s">
        <v>721</v>
      </c>
      <c r="C234" s="139" t="s">
        <v>167</v>
      </c>
      <c r="D234" s="139" t="s">
        <v>190</v>
      </c>
      <c r="E234" s="139" t="s">
        <v>172</v>
      </c>
      <c r="F234" s="139">
        <v>23</v>
      </c>
      <c r="G234" s="139" t="s">
        <v>175</v>
      </c>
      <c r="H234" s="139">
        <v>4103065</v>
      </c>
      <c r="I234" s="139"/>
      <c r="J234" s="139">
        <v>11</v>
      </c>
      <c r="K234" s="140" t="s">
        <v>29</v>
      </c>
      <c r="L234" s="140" t="s">
        <v>248</v>
      </c>
      <c r="M234" s="141">
        <v>1769368130080</v>
      </c>
      <c r="N234" s="141">
        <v>1619353653724.0901</v>
      </c>
      <c r="O234" s="143">
        <f t="shared" si="195"/>
        <v>0.9152157915554141</v>
      </c>
      <c r="P234" s="141">
        <v>1600222063275.28</v>
      </c>
      <c r="Q234" s="143">
        <f t="shared" si="195"/>
        <v>0.90440312339237616</v>
      </c>
      <c r="R234" s="141">
        <v>1600222063275.28</v>
      </c>
      <c r="S234" s="143">
        <f t="shared" ref="S234" si="230">+R234/$M234</f>
        <v>0.90440312339237616</v>
      </c>
    </row>
    <row r="235" spans="1:19" ht="24.95" customHeight="1">
      <c r="A235" s="32"/>
      <c r="B235" s="144" t="s">
        <v>722</v>
      </c>
      <c r="C235" s="145" t="s">
        <v>167</v>
      </c>
      <c r="D235" s="145" t="s">
        <v>190</v>
      </c>
      <c r="E235" s="145" t="s">
        <v>172</v>
      </c>
      <c r="F235" s="145">
        <v>23</v>
      </c>
      <c r="G235" s="145" t="s">
        <v>175</v>
      </c>
      <c r="H235" s="145">
        <v>4103065</v>
      </c>
      <c r="I235" s="145" t="s">
        <v>54</v>
      </c>
      <c r="J235" s="145">
        <v>11</v>
      </c>
      <c r="K235" s="146" t="s">
        <v>29</v>
      </c>
      <c r="L235" s="147" t="s">
        <v>178</v>
      </c>
      <c r="M235" s="148">
        <v>13747392441.09</v>
      </c>
      <c r="N235" s="148">
        <v>13710507091.73</v>
      </c>
      <c r="O235" s="150">
        <f t="shared" si="195"/>
        <v>0.99731692031648467</v>
      </c>
      <c r="P235" s="148">
        <v>13710507091.73</v>
      </c>
      <c r="Q235" s="150">
        <f t="shared" si="195"/>
        <v>0.99731692031648467</v>
      </c>
      <c r="R235" s="148">
        <v>13710507091.73</v>
      </c>
      <c r="S235" s="150">
        <f t="shared" ref="S235" si="231">+R235/$M235</f>
        <v>0.99731692031648467</v>
      </c>
    </row>
    <row r="236" spans="1:19" ht="24.95" customHeight="1">
      <c r="A236" s="32"/>
      <c r="B236" s="144" t="s">
        <v>722</v>
      </c>
      <c r="C236" s="145" t="s">
        <v>167</v>
      </c>
      <c r="D236" s="145" t="s">
        <v>190</v>
      </c>
      <c r="E236" s="145" t="s">
        <v>172</v>
      </c>
      <c r="F236" s="145">
        <v>23</v>
      </c>
      <c r="G236" s="145" t="s">
        <v>175</v>
      </c>
      <c r="H236" s="145">
        <v>4103065</v>
      </c>
      <c r="I236" s="145" t="s">
        <v>54</v>
      </c>
      <c r="J236" s="145">
        <v>16</v>
      </c>
      <c r="K236" s="146" t="s">
        <v>156</v>
      </c>
      <c r="L236" s="147" t="s">
        <v>178</v>
      </c>
      <c r="M236" s="148">
        <v>68256379176</v>
      </c>
      <c r="N236" s="148">
        <v>66393396632.860001</v>
      </c>
      <c r="O236" s="150">
        <f t="shared" si="195"/>
        <v>0.97270610358137699</v>
      </c>
      <c r="P236" s="148">
        <v>47261806184.050003</v>
      </c>
      <c r="Q236" s="150">
        <f t="shared" si="195"/>
        <v>0.69241595810678436</v>
      </c>
      <c r="R236" s="148">
        <v>47261806184.050003</v>
      </c>
      <c r="S236" s="150">
        <f t="shared" ref="S236" si="232">+R236/$M236</f>
        <v>0.69241595810678436</v>
      </c>
    </row>
    <row r="237" spans="1:19" ht="24.95" customHeight="1">
      <c r="A237" s="32"/>
      <c r="B237" s="144" t="s">
        <v>723</v>
      </c>
      <c r="C237" s="145" t="s">
        <v>167</v>
      </c>
      <c r="D237" s="145" t="s">
        <v>190</v>
      </c>
      <c r="E237" s="145" t="s">
        <v>172</v>
      </c>
      <c r="F237" s="145">
        <v>23</v>
      </c>
      <c r="G237" s="145" t="s">
        <v>175</v>
      </c>
      <c r="H237" s="145">
        <v>4103065</v>
      </c>
      <c r="I237" s="145" t="s">
        <v>65</v>
      </c>
      <c r="J237" s="145">
        <v>11</v>
      </c>
      <c r="K237" s="146" t="s">
        <v>29</v>
      </c>
      <c r="L237" s="147" t="s">
        <v>127</v>
      </c>
      <c r="M237" s="148">
        <v>374252607558.90997</v>
      </c>
      <c r="N237" s="148">
        <v>374252607558.90997</v>
      </c>
      <c r="O237" s="150">
        <f t="shared" si="195"/>
        <v>1</v>
      </c>
      <c r="P237" s="148">
        <v>374252607558.90997</v>
      </c>
      <c r="Q237" s="150">
        <f t="shared" si="195"/>
        <v>1</v>
      </c>
      <c r="R237" s="148">
        <v>374252607558.90997</v>
      </c>
      <c r="S237" s="150">
        <f t="shared" ref="S237" si="233">+R237/$M237</f>
        <v>1</v>
      </c>
    </row>
    <row r="238" spans="1:19" ht="24.95" customHeight="1">
      <c r="A238" s="32"/>
      <c r="B238" s="144" t="s">
        <v>723</v>
      </c>
      <c r="C238" s="145" t="s">
        <v>167</v>
      </c>
      <c r="D238" s="145" t="s">
        <v>190</v>
      </c>
      <c r="E238" s="145" t="s">
        <v>172</v>
      </c>
      <c r="F238" s="145">
        <v>23</v>
      </c>
      <c r="G238" s="145" t="s">
        <v>175</v>
      </c>
      <c r="H238" s="145">
        <v>4103065</v>
      </c>
      <c r="I238" s="145" t="s">
        <v>65</v>
      </c>
      <c r="J238" s="145">
        <v>16</v>
      </c>
      <c r="K238" s="146" t="s">
        <v>156</v>
      </c>
      <c r="L238" s="147" t="s">
        <v>127</v>
      </c>
      <c r="M238" s="148">
        <v>1313111750904</v>
      </c>
      <c r="N238" s="148">
        <v>1164997142440.5901</v>
      </c>
      <c r="O238" s="150">
        <f t="shared" si="195"/>
        <v>0.88720334856386618</v>
      </c>
      <c r="P238" s="148">
        <v>1164997142440.5901</v>
      </c>
      <c r="Q238" s="150">
        <f t="shared" si="195"/>
        <v>0.88720334856386618</v>
      </c>
      <c r="R238" s="148">
        <v>1164997142440.5901</v>
      </c>
      <c r="S238" s="150">
        <f t="shared" ref="S238" si="234">+R238/$M238</f>
        <v>0.88720334856386618</v>
      </c>
    </row>
    <row r="239" spans="1:19" ht="36.75" customHeight="1">
      <c r="A239" s="32" t="e">
        <v>#REF!</v>
      </c>
      <c r="B239" s="124" t="s">
        <v>544</v>
      </c>
      <c r="C239" s="123" t="s">
        <v>167</v>
      </c>
      <c r="D239" s="123">
        <v>4199</v>
      </c>
      <c r="E239" s="123"/>
      <c r="F239" s="123"/>
      <c r="G239" s="123"/>
      <c r="H239" s="123"/>
      <c r="I239" s="123"/>
      <c r="J239" s="124"/>
      <c r="K239" s="124"/>
      <c r="L239" s="124" t="s">
        <v>250</v>
      </c>
      <c r="M239" s="125">
        <v>3226548466</v>
      </c>
      <c r="N239" s="125">
        <v>3226163153.0100002</v>
      </c>
      <c r="O239" s="126">
        <f t="shared" si="195"/>
        <v>0.99988058044251926</v>
      </c>
      <c r="P239" s="125">
        <v>3226163153.0100002</v>
      </c>
      <c r="Q239" s="126">
        <f t="shared" si="195"/>
        <v>0.99988058044251926</v>
      </c>
      <c r="R239" s="125">
        <v>3226163153.0100002</v>
      </c>
      <c r="S239" s="126">
        <f t="shared" ref="S239" si="235">+R239/$M239</f>
        <v>0.99988058044251926</v>
      </c>
    </row>
    <row r="240" spans="1:19" ht="24" customHeight="1">
      <c r="A240" s="32" t="e">
        <v>#REF!</v>
      </c>
      <c r="B240" s="129" t="s">
        <v>300</v>
      </c>
      <c r="C240" s="128" t="s">
        <v>167</v>
      </c>
      <c r="D240" s="128">
        <v>4199</v>
      </c>
      <c r="E240" s="128">
        <v>1500</v>
      </c>
      <c r="F240" s="128"/>
      <c r="G240" s="128"/>
      <c r="H240" s="128"/>
      <c r="I240" s="128"/>
      <c r="J240" s="129"/>
      <c r="K240" s="129"/>
      <c r="L240" s="129" t="s">
        <v>170</v>
      </c>
      <c r="M240" s="130">
        <v>3226548466</v>
      </c>
      <c r="N240" s="130">
        <v>3226163153.0100002</v>
      </c>
      <c r="O240" s="131">
        <f t="shared" si="195"/>
        <v>0.99988058044251926</v>
      </c>
      <c r="P240" s="130">
        <v>3226163153.0100002</v>
      </c>
      <c r="Q240" s="131">
        <f t="shared" si="195"/>
        <v>0.99988058044251926</v>
      </c>
      <c r="R240" s="130">
        <v>3226163153.0100002</v>
      </c>
      <c r="S240" s="131">
        <f t="shared" ref="S240" si="236">+R240/$M240</f>
        <v>0.99988058044251926</v>
      </c>
    </row>
    <row r="241" spans="1:19" ht="37.5" customHeight="1">
      <c r="A241" s="32" t="e">
        <v>#REF!</v>
      </c>
      <c r="B241" s="132" t="s">
        <v>547</v>
      </c>
      <c r="C241" s="133" t="s">
        <v>167</v>
      </c>
      <c r="D241" s="133" t="s">
        <v>251</v>
      </c>
      <c r="E241" s="133" t="s">
        <v>172</v>
      </c>
      <c r="F241" s="133" t="s">
        <v>252</v>
      </c>
      <c r="G241" s="133"/>
      <c r="H241" s="133"/>
      <c r="I241" s="133"/>
      <c r="J241" s="133"/>
      <c r="K241" s="134"/>
      <c r="L241" s="134" t="s">
        <v>274</v>
      </c>
      <c r="M241" s="135">
        <v>3226548466</v>
      </c>
      <c r="N241" s="135">
        <v>3226163153.0100002</v>
      </c>
      <c r="O241" s="137">
        <f t="shared" si="195"/>
        <v>0.99988058044251926</v>
      </c>
      <c r="P241" s="135">
        <v>3226163153.0100002</v>
      </c>
      <c r="Q241" s="137">
        <f t="shared" si="195"/>
        <v>0.99988058044251926</v>
      </c>
      <c r="R241" s="135">
        <v>3226163153.0100002</v>
      </c>
      <c r="S241" s="137">
        <f t="shared" ref="S241" si="237">+R241/$M241</f>
        <v>0.99988058044251926</v>
      </c>
    </row>
    <row r="242" spans="1:19" ht="32.25" customHeight="1">
      <c r="A242" s="32" t="e">
        <v>#REF!</v>
      </c>
      <c r="B242" s="138" t="s">
        <v>548</v>
      </c>
      <c r="C242" s="139" t="s">
        <v>167</v>
      </c>
      <c r="D242" s="139" t="s">
        <v>251</v>
      </c>
      <c r="E242" s="139" t="s">
        <v>172</v>
      </c>
      <c r="F242" s="139" t="s">
        <v>252</v>
      </c>
      <c r="G242" s="139" t="s">
        <v>175</v>
      </c>
      <c r="H242" s="139" t="s">
        <v>254</v>
      </c>
      <c r="I242" s="139"/>
      <c r="J242" s="139">
        <v>11</v>
      </c>
      <c r="K242" s="140" t="s">
        <v>29</v>
      </c>
      <c r="L242" s="140" t="s">
        <v>255</v>
      </c>
      <c r="M242" s="141">
        <v>3226548466</v>
      </c>
      <c r="N242" s="141">
        <v>3226163153.0100002</v>
      </c>
      <c r="O242" s="143">
        <f t="shared" si="195"/>
        <v>0.99988058044251926</v>
      </c>
      <c r="P242" s="141">
        <v>3226163153.0100002</v>
      </c>
      <c r="Q242" s="143">
        <f t="shared" si="195"/>
        <v>0.99988058044251926</v>
      </c>
      <c r="R242" s="141">
        <v>3226163153.0100002</v>
      </c>
      <c r="S242" s="143">
        <f t="shared" ref="S242" si="238">+R242/$M242</f>
        <v>0.99988058044251926</v>
      </c>
    </row>
    <row r="243" spans="1:19" ht="24.95" customHeight="1">
      <c r="A243" s="32" t="e">
        <v>#REF!</v>
      </c>
      <c r="B243" s="144" t="s">
        <v>549</v>
      </c>
      <c r="C243" s="145" t="s">
        <v>167</v>
      </c>
      <c r="D243" s="145" t="s">
        <v>251</v>
      </c>
      <c r="E243" s="145" t="s">
        <v>172</v>
      </c>
      <c r="F243" s="145" t="s">
        <v>252</v>
      </c>
      <c r="G243" s="145" t="s">
        <v>175</v>
      </c>
      <c r="H243" s="145" t="s">
        <v>254</v>
      </c>
      <c r="I243" s="145" t="s">
        <v>54</v>
      </c>
      <c r="J243" s="145">
        <v>11</v>
      </c>
      <c r="K243" s="146" t="s">
        <v>29</v>
      </c>
      <c r="L243" s="147" t="s">
        <v>178</v>
      </c>
      <c r="M243" s="148">
        <v>3226548466</v>
      </c>
      <c r="N243" s="148">
        <v>3226163153.0100002</v>
      </c>
      <c r="O243" s="150">
        <f t="shared" si="195"/>
        <v>0.99988058044251926</v>
      </c>
      <c r="P243" s="148">
        <v>3226163153.0100002</v>
      </c>
      <c r="Q243" s="150">
        <f t="shared" si="195"/>
        <v>0.99988058044251926</v>
      </c>
      <c r="R243" s="148">
        <v>3226163153.0100002</v>
      </c>
      <c r="S243" s="150">
        <f t="shared" ref="S243" si="239">+R243/$M243</f>
        <v>0.99988058044251926</v>
      </c>
    </row>
    <row r="244" spans="1:19" ht="35.1" customHeight="1">
      <c r="A244" s="32"/>
      <c r="B244" s="118"/>
      <c r="C244" s="118"/>
      <c r="D244" s="119"/>
      <c r="E244" s="119"/>
      <c r="F244" s="119"/>
      <c r="G244" s="119"/>
      <c r="H244" s="119"/>
      <c r="I244" s="119"/>
      <c r="J244" s="119"/>
      <c r="K244" s="119"/>
      <c r="L244" s="119" t="s">
        <v>256</v>
      </c>
      <c r="M244" s="120">
        <v>14370160795880</v>
      </c>
      <c r="N244" s="120">
        <v>14022918310742.301</v>
      </c>
      <c r="O244" s="121">
        <f t="shared" si="195"/>
        <v>0.97583586641304287</v>
      </c>
      <c r="P244" s="120">
        <v>13133389849020.98</v>
      </c>
      <c r="Q244" s="121">
        <f t="shared" si="195"/>
        <v>0.91393478720059917</v>
      </c>
      <c r="R244" s="120">
        <v>13132016117189.18</v>
      </c>
      <c r="S244" s="121">
        <f t="shared" ref="S244" si="240">+R244/$M244</f>
        <v>0.91383919106557232</v>
      </c>
    </row>
    <row r="247" spans="1:19">
      <c r="M247" s="315">
        <f>+M244-'VIG_2020-IVTrim'!N204</f>
        <v>5127355389713</v>
      </c>
    </row>
  </sheetData>
  <sheetProtection selectLockedCells="1" selectUnlockedCells="1"/>
  <autoFilter ref="A6:S244" xr:uid="{00000000-0009-0000-0000-000002000000}"/>
  <mergeCells count="4">
    <mergeCell ref="R5:S5"/>
    <mergeCell ref="P5:Q5"/>
    <mergeCell ref="N5:O5"/>
    <mergeCell ref="C5:I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98A1E-F186-476B-9FF3-9FE388D78EFA}">
  <sheetPr>
    <tabColor rgb="FF00B0F0"/>
    <pageSetUpPr fitToPage="1"/>
  </sheetPr>
  <dimension ref="A1:BB244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88.1406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0.7109375" style="13" bestFit="1" customWidth="1"/>
    <col min="24" max="24" width="18.2851562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30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25.5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925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24.7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926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3200000</v>
      </c>
      <c r="Q8" s="120">
        <v>3200000</v>
      </c>
      <c r="R8" s="120">
        <v>10390000000</v>
      </c>
      <c r="S8" s="120">
        <v>180813900000</v>
      </c>
      <c r="T8" s="120">
        <v>29020362651.279999</v>
      </c>
      <c r="U8" s="120">
        <v>151793537348.72</v>
      </c>
      <c r="V8" s="121">
        <v>0.16049851616098099</v>
      </c>
      <c r="W8" s="120">
        <v>8437600232.0100002</v>
      </c>
      <c r="X8" s="120">
        <v>20582762419.269997</v>
      </c>
      <c r="Y8" s="121">
        <v>0.70925241929608185</v>
      </c>
      <c r="Z8" s="120">
        <v>8435311776.0100002</v>
      </c>
      <c r="AA8" s="120">
        <v>2288456</v>
      </c>
      <c r="AB8" s="718">
        <v>0.29066872379825154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125">
        <v>0</v>
      </c>
      <c r="Q9" s="125">
        <v>0</v>
      </c>
      <c r="R9" s="719">
        <v>0</v>
      </c>
      <c r="S9" s="125">
        <v>118340000000</v>
      </c>
      <c r="T9" s="125">
        <v>11508944390</v>
      </c>
      <c r="U9" s="125">
        <v>106831055610</v>
      </c>
      <c r="V9" s="126">
        <v>9.7253205932060161E-2</v>
      </c>
      <c r="W9" s="125">
        <v>6943117156</v>
      </c>
      <c r="X9" s="125">
        <v>4565827234</v>
      </c>
      <c r="Y9" s="126">
        <v>0.39671989708866773</v>
      </c>
      <c r="Z9" s="125">
        <v>6943117156</v>
      </c>
      <c r="AA9" s="125">
        <v>0</v>
      </c>
      <c r="AB9" s="720">
        <v>0.60328010291133227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130">
        <v>0</v>
      </c>
      <c r="Q10" s="130">
        <v>0</v>
      </c>
      <c r="R10" s="721">
        <v>0</v>
      </c>
      <c r="S10" s="130">
        <v>118340000000</v>
      </c>
      <c r="T10" s="130">
        <v>11508944390</v>
      </c>
      <c r="U10" s="130">
        <v>106831055610</v>
      </c>
      <c r="V10" s="131">
        <v>9.7253205932060161E-2</v>
      </c>
      <c r="W10" s="130">
        <v>6943117156</v>
      </c>
      <c r="X10" s="130">
        <v>4565827234</v>
      </c>
      <c r="Y10" s="131">
        <v>0.39671989708866773</v>
      </c>
      <c r="Z10" s="130">
        <v>6943117156</v>
      </c>
      <c r="AA10" s="130">
        <v>0</v>
      </c>
      <c r="AB10" s="722">
        <v>0.60328010291133227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5">
        <v>0</v>
      </c>
      <c r="Q11" s="135">
        <v>0</v>
      </c>
      <c r="R11" s="136">
        <v>0</v>
      </c>
      <c r="S11" s="135">
        <v>81484000000</v>
      </c>
      <c r="T11" s="135">
        <v>4587037637</v>
      </c>
      <c r="U11" s="135">
        <v>76896962363</v>
      </c>
      <c r="V11" s="137">
        <v>5.6293721920867901E-2</v>
      </c>
      <c r="W11" s="135">
        <v>4587037637</v>
      </c>
      <c r="X11" s="135">
        <v>0</v>
      </c>
      <c r="Y11" s="137">
        <v>0</v>
      </c>
      <c r="Z11" s="135">
        <v>4587037637</v>
      </c>
      <c r="AA11" s="135">
        <v>0</v>
      </c>
      <c r="AB11" s="723">
        <v>1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1">
        <v>0</v>
      </c>
      <c r="Q12" s="141">
        <v>0</v>
      </c>
      <c r="R12" s="142">
        <v>0</v>
      </c>
      <c r="S12" s="141">
        <v>81484000000</v>
      </c>
      <c r="T12" s="141">
        <v>4587037637</v>
      </c>
      <c r="U12" s="141">
        <v>76896962363</v>
      </c>
      <c r="V12" s="143">
        <v>5.6293721920867901E-2</v>
      </c>
      <c r="W12" s="141">
        <v>4587037637</v>
      </c>
      <c r="X12" s="141">
        <v>0</v>
      </c>
      <c r="Y12" s="143">
        <v>0</v>
      </c>
      <c r="Z12" s="141">
        <v>4587037637</v>
      </c>
      <c r="AA12" s="141">
        <v>0</v>
      </c>
      <c r="AB12" s="724">
        <v>1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4229308521</v>
      </c>
      <c r="U13" s="148">
        <v>62845691479</v>
      </c>
      <c r="V13" s="150">
        <v>6.3053425583302278E-2</v>
      </c>
      <c r="W13" s="148">
        <v>4229308521</v>
      </c>
      <c r="X13" s="148">
        <v>0</v>
      </c>
      <c r="Y13" s="150">
        <v>0</v>
      </c>
      <c r="Z13" s="148">
        <v>4229308521</v>
      </c>
      <c r="AA13" s="148">
        <v>0</v>
      </c>
      <c r="AB13" s="150">
        <v>1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23581585</v>
      </c>
      <c r="U14" s="148">
        <v>274418415</v>
      </c>
      <c r="V14" s="150">
        <v>7.9132835570469795E-2</v>
      </c>
      <c r="W14" s="148">
        <v>23581585</v>
      </c>
      <c r="X14" s="148">
        <v>0</v>
      </c>
      <c r="Y14" s="150">
        <v>0</v>
      </c>
      <c r="Z14" s="148">
        <v>23581585</v>
      </c>
      <c r="AA14" s="148">
        <v>0</v>
      </c>
      <c r="AB14" s="150">
        <v>1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36826370</v>
      </c>
      <c r="U15" s="148">
        <v>503173630</v>
      </c>
      <c r="V15" s="150">
        <v>6.8196981481481483E-2</v>
      </c>
      <c r="W15" s="148">
        <v>36826370</v>
      </c>
      <c r="X15" s="148">
        <v>0</v>
      </c>
      <c r="Y15" s="150">
        <v>0</v>
      </c>
      <c r="Z15" s="148">
        <v>36826370</v>
      </c>
      <c r="AA15" s="148">
        <v>0</v>
      </c>
      <c r="AB15" s="150">
        <v>1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6698746</v>
      </c>
      <c r="U16" s="148">
        <v>89301254</v>
      </c>
      <c r="V16" s="150">
        <v>6.9778604166666661E-2</v>
      </c>
      <c r="W16" s="148">
        <v>6698746</v>
      </c>
      <c r="X16" s="148">
        <v>0</v>
      </c>
      <c r="Y16" s="150">
        <v>0</v>
      </c>
      <c r="Z16" s="148">
        <v>6698746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11092287</v>
      </c>
      <c r="U17" s="148">
        <v>88907713</v>
      </c>
      <c r="V17" s="150">
        <v>0.11092287000000001</v>
      </c>
      <c r="W17" s="148">
        <v>11092287</v>
      </c>
      <c r="X17" s="148">
        <v>0</v>
      </c>
      <c r="Y17" s="150">
        <v>0</v>
      </c>
      <c r="Z17" s="148">
        <v>11092287</v>
      </c>
      <c r="AA17" s="148">
        <v>0</v>
      </c>
      <c r="AB17" s="150">
        <v>1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/>
      <c r="Q18" s="148"/>
      <c r="R18" s="148"/>
      <c r="S18" s="148">
        <v>2650000000</v>
      </c>
      <c r="T18" s="148">
        <v>5433992</v>
      </c>
      <c r="U18" s="148">
        <v>2644566008</v>
      </c>
      <c r="V18" s="150">
        <v>2.0505630188679246E-3</v>
      </c>
      <c r="W18" s="148">
        <v>5433992</v>
      </c>
      <c r="X18" s="148">
        <v>0</v>
      </c>
      <c r="Y18" s="150">
        <v>0</v>
      </c>
      <c r="Z18" s="148">
        <v>5433992</v>
      </c>
      <c r="AA18" s="148">
        <v>0</v>
      </c>
      <c r="AB18" s="150">
        <v>1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184178169</v>
      </c>
      <c r="U19" s="148">
        <v>1665821831</v>
      </c>
      <c r="V19" s="150">
        <v>9.9555767027027023E-2</v>
      </c>
      <c r="W19" s="148">
        <v>184178169</v>
      </c>
      <c r="X19" s="148">
        <v>0</v>
      </c>
      <c r="Y19" s="150">
        <v>0</v>
      </c>
      <c r="Z19" s="148">
        <v>184178169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0</v>
      </c>
      <c r="U20" s="148">
        <v>140000000</v>
      </c>
      <c r="V20" s="150">
        <v>0</v>
      </c>
      <c r="W20" s="148">
        <v>0</v>
      </c>
      <c r="X20" s="148">
        <v>0</v>
      </c>
      <c r="Y20" s="150">
        <v>0</v>
      </c>
      <c r="Z20" s="148">
        <v>0</v>
      </c>
      <c r="AA20" s="148">
        <v>0</v>
      </c>
      <c r="AB20" s="150">
        <v>0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/>
      <c r="R21" s="148"/>
      <c r="S21" s="148">
        <v>5900000000</v>
      </c>
      <c r="T21" s="148">
        <v>582603</v>
      </c>
      <c r="U21" s="148">
        <v>5899417397</v>
      </c>
      <c r="V21" s="150">
        <v>9.8746271186440674E-5</v>
      </c>
      <c r="W21" s="148">
        <v>582603</v>
      </c>
      <c r="X21" s="148">
        <v>0</v>
      </c>
      <c r="Y21" s="150">
        <v>0</v>
      </c>
      <c r="Z21" s="148">
        <v>582603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86038924</v>
      </c>
      <c r="U22" s="148">
        <v>2713961076</v>
      </c>
      <c r="V22" s="150">
        <v>3.0728187142857143E-2</v>
      </c>
      <c r="W22" s="148">
        <v>86038924</v>
      </c>
      <c r="X22" s="148">
        <v>0</v>
      </c>
      <c r="Y22" s="150">
        <v>0</v>
      </c>
      <c r="Z22" s="148">
        <v>86038924</v>
      </c>
      <c r="AA22" s="148">
        <v>0</v>
      </c>
      <c r="AB22" s="150">
        <v>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3296440</v>
      </c>
      <c r="U23" s="148">
        <v>31703560</v>
      </c>
      <c r="V23" s="150">
        <v>9.4184000000000004E-2</v>
      </c>
      <c r="W23" s="148">
        <v>3296440</v>
      </c>
      <c r="X23" s="148">
        <v>0</v>
      </c>
      <c r="Y23" s="150">
        <v>0</v>
      </c>
      <c r="Z23" s="148">
        <v>3296440</v>
      </c>
      <c r="AA23" s="148">
        <v>0</v>
      </c>
      <c r="AB23" s="150">
        <v>1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29242000000</v>
      </c>
      <c r="T24" s="135">
        <v>6524055100</v>
      </c>
      <c r="U24" s="135">
        <v>22717944900</v>
      </c>
      <c r="V24" s="137">
        <v>0.223105639149169</v>
      </c>
      <c r="W24" s="135">
        <v>1958227866</v>
      </c>
      <c r="X24" s="135">
        <v>4565827234</v>
      </c>
      <c r="Y24" s="137">
        <v>0.69984498352872582</v>
      </c>
      <c r="Z24" s="135">
        <v>1958227866</v>
      </c>
      <c r="AA24" s="136">
        <v>0</v>
      </c>
      <c r="AB24" s="723">
        <v>0.30015501647127413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616599700</v>
      </c>
      <c r="U25" s="148">
        <v>8280800300</v>
      </c>
      <c r="V25" s="150">
        <v>6.930111043675681E-2</v>
      </c>
      <c r="W25" s="148">
        <v>616599700</v>
      </c>
      <c r="X25" s="148">
        <v>0</v>
      </c>
      <c r="Y25" s="150">
        <v>0</v>
      </c>
      <c r="Z25" s="148">
        <v>616599700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438673100</v>
      </c>
      <c r="U26" s="148">
        <v>5863726900</v>
      </c>
      <c r="V26" s="150">
        <v>6.9604134932724035E-2</v>
      </c>
      <c r="W26" s="148">
        <v>438673100</v>
      </c>
      <c r="X26" s="148">
        <v>0</v>
      </c>
      <c r="Y26" s="150">
        <v>0</v>
      </c>
      <c r="Z26" s="148">
        <v>438673100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434172766</v>
      </c>
      <c r="X27" s="148">
        <v>4565827234</v>
      </c>
      <c r="Y27" s="150">
        <v>0.9131654468</v>
      </c>
      <c r="Z27" s="148">
        <v>434172766</v>
      </c>
      <c r="AA27" s="148">
        <v>0</v>
      </c>
      <c r="AB27" s="150">
        <v>8.6834553199999998E-2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188448500</v>
      </c>
      <c r="U28" s="148">
        <v>2999251500</v>
      </c>
      <c r="V28" s="150">
        <v>5.9117388712865072E-2</v>
      </c>
      <c r="W28" s="148">
        <v>188448500</v>
      </c>
      <c r="X28" s="148">
        <v>0</v>
      </c>
      <c r="Y28" s="150">
        <v>0</v>
      </c>
      <c r="Z28" s="148">
        <v>188448500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44625200</v>
      </c>
      <c r="U29" s="148">
        <v>675374800</v>
      </c>
      <c r="V29" s="150">
        <v>6.1979444444444441E-2</v>
      </c>
      <c r="W29" s="148">
        <v>44625200</v>
      </c>
      <c r="X29" s="148">
        <v>0</v>
      </c>
      <c r="Y29" s="150">
        <v>0</v>
      </c>
      <c r="Z29" s="148">
        <v>44625200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141351500</v>
      </c>
      <c r="U30" s="148">
        <v>2273448500</v>
      </c>
      <c r="V30" s="150">
        <v>5.8535489481530562E-2</v>
      </c>
      <c r="W30" s="148">
        <v>141351500</v>
      </c>
      <c r="X30" s="148">
        <v>0</v>
      </c>
      <c r="Y30" s="150">
        <v>0</v>
      </c>
      <c r="Z30" s="148">
        <v>141351500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23595800</v>
      </c>
      <c r="U31" s="148">
        <v>378904200</v>
      </c>
      <c r="V31" s="150">
        <v>5.8623105590062112E-2</v>
      </c>
      <c r="W31" s="148">
        <v>23595800</v>
      </c>
      <c r="X31" s="148">
        <v>0</v>
      </c>
      <c r="Y31" s="150">
        <v>0</v>
      </c>
      <c r="Z31" s="148">
        <v>23595800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23595800</v>
      </c>
      <c r="U32" s="148">
        <v>378904200</v>
      </c>
      <c r="V32" s="150">
        <v>5.8623105590062112E-2</v>
      </c>
      <c r="W32" s="148">
        <v>23595800</v>
      </c>
      <c r="X32" s="148">
        <v>0</v>
      </c>
      <c r="Y32" s="150">
        <v>0</v>
      </c>
      <c r="Z32" s="148">
        <v>23595800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47165500</v>
      </c>
      <c r="U33" s="148">
        <v>757834500</v>
      </c>
      <c r="V33" s="150">
        <v>5.8590683229813666E-2</v>
      </c>
      <c r="W33" s="148">
        <v>47165500</v>
      </c>
      <c r="X33" s="148">
        <v>0</v>
      </c>
      <c r="Y33" s="150">
        <v>0</v>
      </c>
      <c r="Z33" s="148">
        <v>47165500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5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7614000000</v>
      </c>
      <c r="T34" s="135">
        <v>397851653</v>
      </c>
      <c r="U34" s="135">
        <v>7216148347</v>
      </c>
      <c r="V34" s="137">
        <v>5.2252646834778038E-2</v>
      </c>
      <c r="W34" s="135">
        <v>397851653</v>
      </c>
      <c r="X34" s="135">
        <v>0</v>
      </c>
      <c r="Y34" s="137">
        <v>0</v>
      </c>
      <c r="Z34" s="135">
        <v>397851653</v>
      </c>
      <c r="AA34" s="136">
        <v>0</v>
      </c>
      <c r="AB34" s="723">
        <v>1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1">
        <v>0</v>
      </c>
      <c r="Q35" s="141">
        <v>0</v>
      </c>
      <c r="R35" s="142">
        <v>0</v>
      </c>
      <c r="S35" s="141">
        <v>3537000000</v>
      </c>
      <c r="T35" s="141">
        <v>131601075</v>
      </c>
      <c r="U35" s="141">
        <v>3405398925</v>
      </c>
      <c r="V35" s="143">
        <v>3.7206976251060224E-2</v>
      </c>
      <c r="W35" s="141">
        <v>131601075</v>
      </c>
      <c r="X35" s="142">
        <v>0</v>
      </c>
      <c r="Y35" s="143">
        <v>0</v>
      </c>
      <c r="Z35" s="141">
        <v>131601075</v>
      </c>
      <c r="AA35" s="142">
        <v>0</v>
      </c>
      <c r="AB35" s="724">
        <v>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108445198</v>
      </c>
      <c r="U36" s="148">
        <v>2628554802</v>
      </c>
      <c r="V36" s="150">
        <v>3.9621921081476066E-2</v>
      </c>
      <c r="W36" s="148">
        <v>108445198</v>
      </c>
      <c r="X36" s="148">
        <v>0</v>
      </c>
      <c r="Y36" s="150">
        <v>0</v>
      </c>
      <c r="Z36" s="148">
        <v>108445198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12512685</v>
      </c>
      <c r="U37" s="148">
        <v>437487315</v>
      </c>
      <c r="V37" s="150">
        <v>2.7805966666666668E-2</v>
      </c>
      <c r="W37" s="148">
        <v>12512685</v>
      </c>
      <c r="X37" s="148">
        <v>0</v>
      </c>
      <c r="Y37" s="150">
        <v>0</v>
      </c>
      <c r="Z37" s="148">
        <v>12512685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10643192</v>
      </c>
      <c r="U38" s="148">
        <v>339356808</v>
      </c>
      <c r="V38" s="150">
        <v>3.0409120000000001E-2</v>
      </c>
      <c r="W38" s="148">
        <v>10643192</v>
      </c>
      <c r="X38" s="148">
        <v>0</v>
      </c>
      <c r="Y38" s="150">
        <v>0</v>
      </c>
      <c r="Z38" s="148">
        <v>10643192</v>
      </c>
      <c r="AA38" s="148">
        <v>0</v>
      </c>
      <c r="AB38" s="150">
        <v>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199963782</v>
      </c>
      <c r="U39" s="148">
        <v>2400036218</v>
      </c>
      <c r="V39" s="150">
        <v>7.6909146923076918E-2</v>
      </c>
      <c r="W39" s="148">
        <v>199963782</v>
      </c>
      <c r="X39" s="148">
        <v>0</v>
      </c>
      <c r="Y39" s="150">
        <v>0</v>
      </c>
      <c r="Z39" s="148">
        <v>199963782</v>
      </c>
      <c r="AA39" s="148">
        <v>0</v>
      </c>
      <c r="AB39" s="150">
        <v>1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357545</v>
      </c>
      <c r="U40" s="148">
        <v>11642455</v>
      </c>
      <c r="V40" s="150">
        <v>2.9795416666666668E-2</v>
      </c>
      <c r="W40" s="148">
        <v>357545</v>
      </c>
      <c r="X40" s="148">
        <v>0</v>
      </c>
      <c r="Y40" s="150">
        <v>0</v>
      </c>
      <c r="Z40" s="148">
        <v>357545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65929251</v>
      </c>
      <c r="U43" s="148">
        <v>774070749</v>
      </c>
      <c r="V43" s="150">
        <v>7.8487203571428577E-2</v>
      </c>
      <c r="W43" s="148">
        <v>65929251</v>
      </c>
      <c r="X43" s="148">
        <v>0</v>
      </c>
      <c r="Y43" s="150">
        <v>0</v>
      </c>
      <c r="Z43" s="148">
        <v>65929251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0</v>
      </c>
      <c r="U44" s="148">
        <v>590000000</v>
      </c>
      <c r="V44" s="150">
        <v>0</v>
      </c>
      <c r="W44" s="148">
        <v>0</v>
      </c>
      <c r="X44" s="148">
        <v>0</v>
      </c>
      <c r="Y44" s="150">
        <v>0</v>
      </c>
      <c r="Z44" s="148">
        <v>0</v>
      </c>
      <c r="AA44" s="148">
        <v>0</v>
      </c>
      <c r="AB44" s="150">
        <v>0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19">
        <v>0</v>
      </c>
      <c r="O45" s="719">
        <v>0</v>
      </c>
      <c r="P45" s="725">
        <v>3200000</v>
      </c>
      <c r="Q45" s="725">
        <v>3200000</v>
      </c>
      <c r="R45" s="719">
        <v>0</v>
      </c>
      <c r="S45" s="125">
        <v>42290000000</v>
      </c>
      <c r="T45" s="125">
        <v>17447780863.279999</v>
      </c>
      <c r="U45" s="125">
        <v>24842219136.720001</v>
      </c>
      <c r="V45" s="126">
        <v>0.4125746243386143</v>
      </c>
      <c r="W45" s="125">
        <v>1449504261.01</v>
      </c>
      <c r="X45" s="125">
        <v>15998276602.269999</v>
      </c>
      <c r="Y45" s="126">
        <v>0.91692328827555503</v>
      </c>
      <c r="Z45" s="125">
        <v>1447228594.01</v>
      </c>
      <c r="AA45" s="125">
        <v>2275667</v>
      </c>
      <c r="AB45" s="720">
        <v>8.2946284421521341E-2</v>
      </c>
    </row>
    <row r="46" spans="1:28" ht="24" customHeight="1">
      <c r="A46" s="32" t="e">
        <v>#REF!</v>
      </c>
      <c r="B46" s="127" t="s">
        <v>377</v>
      </c>
      <c r="C46" s="128" t="s">
        <v>23</v>
      </c>
      <c r="D46" s="128" t="s">
        <v>54</v>
      </c>
      <c r="E46" s="128" t="s">
        <v>54</v>
      </c>
      <c r="F46" s="128"/>
      <c r="G46" s="128"/>
      <c r="H46" s="128"/>
      <c r="I46" s="128"/>
      <c r="J46" s="129"/>
      <c r="K46" s="129"/>
      <c r="L46" s="129" t="s">
        <v>86</v>
      </c>
      <c r="M46" s="130">
        <v>42290000000</v>
      </c>
      <c r="N46" s="721">
        <v>0</v>
      </c>
      <c r="O46" s="721">
        <v>0</v>
      </c>
      <c r="P46" s="726">
        <v>3200000</v>
      </c>
      <c r="Q46" s="726">
        <v>3200000</v>
      </c>
      <c r="R46" s="721">
        <v>0</v>
      </c>
      <c r="S46" s="130">
        <v>42290000000</v>
      </c>
      <c r="T46" s="130">
        <v>17447780863.279999</v>
      </c>
      <c r="U46" s="130">
        <v>24842219136.720001</v>
      </c>
      <c r="V46" s="131">
        <v>0.4125746243386143</v>
      </c>
      <c r="W46" s="130">
        <v>1449504261.01</v>
      </c>
      <c r="X46" s="130">
        <v>15998276602.269999</v>
      </c>
      <c r="Y46" s="131">
        <v>0.91692328827555503</v>
      </c>
      <c r="Z46" s="130">
        <v>1447228594.01</v>
      </c>
      <c r="AA46" s="130">
        <v>2275667</v>
      </c>
      <c r="AB46" s="722">
        <v>8.2946284421521341E-2</v>
      </c>
    </row>
    <row r="47" spans="1:28" ht="24.95" customHeight="1">
      <c r="A47" s="32" t="e">
        <v>#REF!</v>
      </c>
      <c r="B47" s="132" t="s">
        <v>379</v>
      </c>
      <c r="C47" s="133" t="s">
        <v>23</v>
      </c>
      <c r="D47" s="133" t="s">
        <v>54</v>
      </c>
      <c r="E47" s="133" t="s">
        <v>54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87</v>
      </c>
      <c r="M47" s="135">
        <v>979241390</v>
      </c>
      <c r="N47" s="136">
        <v>0</v>
      </c>
      <c r="O47" s="136">
        <v>0</v>
      </c>
      <c r="P47" s="727">
        <v>0</v>
      </c>
      <c r="Q47" s="727">
        <v>0</v>
      </c>
      <c r="R47" s="136">
        <v>0</v>
      </c>
      <c r="S47" s="135">
        <v>979241390</v>
      </c>
      <c r="T47" s="135">
        <v>33610108</v>
      </c>
      <c r="U47" s="135">
        <v>945631282</v>
      </c>
      <c r="V47" s="137">
        <v>3.4322597413902207E-2</v>
      </c>
      <c r="W47" s="135">
        <v>0</v>
      </c>
      <c r="X47" s="135">
        <v>33610108</v>
      </c>
      <c r="Y47" s="137">
        <v>1</v>
      </c>
      <c r="Z47" s="135">
        <v>0</v>
      </c>
      <c r="AA47" s="135">
        <v>0</v>
      </c>
      <c r="AB47" s="723">
        <v>0</v>
      </c>
    </row>
    <row r="48" spans="1:28" ht="24.95" customHeight="1">
      <c r="A48" s="32" t="e">
        <v>#REF!</v>
      </c>
      <c r="B48" s="138" t="s">
        <v>381</v>
      </c>
      <c r="C48" s="139" t="s">
        <v>23</v>
      </c>
      <c r="D48" s="139" t="s">
        <v>54</v>
      </c>
      <c r="E48" s="139" t="s">
        <v>54</v>
      </c>
      <c r="F48" s="139" t="s">
        <v>25</v>
      </c>
      <c r="G48" s="139" t="s">
        <v>31</v>
      </c>
      <c r="H48" s="140"/>
      <c r="I48" s="140"/>
      <c r="J48" s="139" t="s">
        <v>28</v>
      </c>
      <c r="K48" s="140" t="s">
        <v>29</v>
      </c>
      <c r="L48" s="140" t="s">
        <v>88</v>
      </c>
      <c r="M48" s="141">
        <v>23000000</v>
      </c>
      <c r="N48" s="142">
        <v>0</v>
      </c>
      <c r="O48" s="142">
        <v>0</v>
      </c>
      <c r="P48" s="728">
        <v>0</v>
      </c>
      <c r="Q48" s="728">
        <v>0</v>
      </c>
      <c r="R48" s="142">
        <v>0</v>
      </c>
      <c r="S48" s="141">
        <v>23000000</v>
      </c>
      <c r="T48" s="141">
        <v>0</v>
      </c>
      <c r="U48" s="141">
        <v>23000000</v>
      </c>
      <c r="V48" s="143">
        <v>0</v>
      </c>
      <c r="W48" s="141">
        <v>0</v>
      </c>
      <c r="X48" s="141">
        <v>0</v>
      </c>
      <c r="Y48" s="143">
        <v>0</v>
      </c>
      <c r="Z48" s="141">
        <v>0</v>
      </c>
      <c r="AA48" s="141">
        <v>0</v>
      </c>
      <c r="AB48" s="724">
        <v>0</v>
      </c>
    </row>
    <row r="49" spans="1:28" ht="24.95" customHeight="1">
      <c r="A49" s="32" t="e">
        <v>#REF!</v>
      </c>
      <c r="B49" s="144" t="s">
        <v>555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40</v>
      </c>
      <c r="I49" s="145"/>
      <c r="J49" s="145">
        <v>10</v>
      </c>
      <c r="K49" s="146" t="s">
        <v>29</v>
      </c>
      <c r="L49" s="147" t="s">
        <v>89</v>
      </c>
      <c r="M49" s="148">
        <v>13000000</v>
      </c>
      <c r="N49" s="148"/>
      <c r="O49" s="148"/>
      <c r="P49" s="148"/>
      <c r="Q49" s="148"/>
      <c r="R49" s="148"/>
      <c r="S49" s="148">
        <v>13000000</v>
      </c>
      <c r="T49" s="148">
        <v>0</v>
      </c>
      <c r="U49" s="148">
        <v>13000000</v>
      </c>
      <c r="V49" s="150">
        <v>0</v>
      </c>
      <c r="W49" s="148">
        <v>0</v>
      </c>
      <c r="X49" s="148">
        <v>0</v>
      </c>
      <c r="Y49" s="150">
        <v>0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44" t="s">
        <v>557</v>
      </c>
      <c r="C50" s="145" t="s">
        <v>23</v>
      </c>
      <c r="D50" s="145" t="s">
        <v>54</v>
      </c>
      <c r="E50" s="145" t="s">
        <v>54</v>
      </c>
      <c r="F50" s="145" t="s">
        <v>25</v>
      </c>
      <c r="G50" s="145" t="s">
        <v>31</v>
      </c>
      <c r="H50" s="145" t="s">
        <v>44</v>
      </c>
      <c r="I50" s="145"/>
      <c r="J50" s="145">
        <v>10</v>
      </c>
      <c r="K50" s="146" t="s">
        <v>29</v>
      </c>
      <c r="L50" s="147" t="s">
        <v>90</v>
      </c>
      <c r="M50" s="148">
        <v>10000000</v>
      </c>
      <c r="N50" s="148"/>
      <c r="O50" s="148"/>
      <c r="P50" s="149"/>
      <c r="Q50" s="148"/>
      <c r="R50" s="148"/>
      <c r="S50" s="148">
        <v>10000000</v>
      </c>
      <c r="T50" s="148">
        <v>0</v>
      </c>
      <c r="U50" s="148">
        <v>10000000</v>
      </c>
      <c r="V50" s="150">
        <v>0</v>
      </c>
      <c r="W50" s="148">
        <v>0</v>
      </c>
      <c r="X50" s="148">
        <v>0</v>
      </c>
      <c r="Y50" s="150">
        <v>0</v>
      </c>
      <c r="Z50" s="148">
        <v>0</v>
      </c>
      <c r="AA50" s="148">
        <v>0</v>
      </c>
      <c r="AB50" s="150">
        <v>0</v>
      </c>
    </row>
    <row r="51" spans="1:28" ht="24.95" customHeight="1">
      <c r="A51" s="32" t="e">
        <v>#REF!</v>
      </c>
      <c r="B51" s="138" t="s">
        <v>383</v>
      </c>
      <c r="C51" s="139" t="s">
        <v>23</v>
      </c>
      <c r="D51" s="139" t="s">
        <v>54</v>
      </c>
      <c r="E51" s="139" t="s">
        <v>54</v>
      </c>
      <c r="F51" s="139" t="s">
        <v>25</v>
      </c>
      <c r="G51" s="139" t="s">
        <v>34</v>
      </c>
      <c r="H51" s="140"/>
      <c r="I51" s="140"/>
      <c r="J51" s="139" t="s">
        <v>28</v>
      </c>
      <c r="K51" s="140" t="s">
        <v>29</v>
      </c>
      <c r="L51" s="140" t="s">
        <v>91</v>
      </c>
      <c r="M51" s="141">
        <v>130000000</v>
      </c>
      <c r="N51" s="142">
        <v>0</v>
      </c>
      <c r="O51" s="142">
        <v>0</v>
      </c>
      <c r="P51" s="141">
        <v>0</v>
      </c>
      <c r="Q51" s="142">
        <v>0</v>
      </c>
      <c r="R51" s="142">
        <v>0</v>
      </c>
      <c r="S51" s="141">
        <v>130000000</v>
      </c>
      <c r="T51" s="141">
        <v>0</v>
      </c>
      <c r="U51" s="141">
        <v>130000000</v>
      </c>
      <c r="V51" s="143">
        <v>0</v>
      </c>
      <c r="W51" s="141">
        <v>0</v>
      </c>
      <c r="X51" s="141">
        <v>0</v>
      </c>
      <c r="Y51" s="141">
        <v>0</v>
      </c>
      <c r="Z51" s="141">
        <v>0</v>
      </c>
      <c r="AA51" s="142">
        <v>0</v>
      </c>
      <c r="AB51" s="724">
        <v>0</v>
      </c>
    </row>
    <row r="52" spans="1:28" ht="24.95" customHeight="1">
      <c r="A52" s="32" t="e">
        <v>#REF!</v>
      </c>
      <c r="B52" s="144" t="s">
        <v>559</v>
      </c>
      <c r="C52" s="145" t="s">
        <v>23</v>
      </c>
      <c r="D52" s="145" t="s">
        <v>54</v>
      </c>
      <c r="E52" s="145" t="s">
        <v>54</v>
      </c>
      <c r="F52" s="145" t="s">
        <v>25</v>
      </c>
      <c r="G52" s="145" t="s">
        <v>34</v>
      </c>
      <c r="H52" s="145" t="s">
        <v>46</v>
      </c>
      <c r="I52" s="145"/>
      <c r="J52" s="145">
        <v>10</v>
      </c>
      <c r="K52" s="146" t="s">
        <v>29</v>
      </c>
      <c r="L52" s="147" t="s">
        <v>92</v>
      </c>
      <c r="M52" s="148">
        <v>130000000</v>
      </c>
      <c r="N52" s="148"/>
      <c r="O52" s="148"/>
      <c r="P52" s="149"/>
      <c r="Q52" s="148"/>
      <c r="R52" s="148"/>
      <c r="S52" s="148">
        <v>130000000</v>
      </c>
      <c r="T52" s="148">
        <v>0</v>
      </c>
      <c r="U52" s="148">
        <v>130000000</v>
      </c>
      <c r="V52" s="150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0</v>
      </c>
      <c r="AB52" s="150">
        <v>0</v>
      </c>
    </row>
    <row r="53" spans="1:28" ht="24.95" customHeight="1">
      <c r="A53" s="32" t="e">
        <v>#REF!</v>
      </c>
      <c r="B53" s="138" t="s">
        <v>385</v>
      </c>
      <c r="C53" s="139" t="s">
        <v>23</v>
      </c>
      <c r="D53" s="139" t="s">
        <v>54</v>
      </c>
      <c r="E53" s="139" t="s">
        <v>54</v>
      </c>
      <c r="F53" s="139" t="s">
        <v>25</v>
      </c>
      <c r="G53" s="139" t="s">
        <v>36</v>
      </c>
      <c r="H53" s="140"/>
      <c r="I53" s="140"/>
      <c r="J53" s="139" t="s">
        <v>28</v>
      </c>
      <c r="K53" s="140" t="s">
        <v>29</v>
      </c>
      <c r="L53" s="140" t="s">
        <v>93</v>
      </c>
      <c r="M53" s="141">
        <v>617241390</v>
      </c>
      <c r="N53" s="142">
        <v>0</v>
      </c>
      <c r="O53" s="142">
        <v>0</v>
      </c>
      <c r="P53" s="141">
        <v>0</v>
      </c>
      <c r="Q53" s="141">
        <v>0</v>
      </c>
      <c r="R53" s="142">
        <v>0</v>
      </c>
      <c r="S53" s="141">
        <v>617241390</v>
      </c>
      <c r="T53" s="141">
        <v>33610108</v>
      </c>
      <c r="U53" s="141">
        <v>583631282</v>
      </c>
      <c r="V53" s="143">
        <v>5.4452129336303903E-2</v>
      </c>
      <c r="W53" s="141">
        <v>0</v>
      </c>
      <c r="X53" s="141">
        <v>33610108</v>
      </c>
      <c r="Y53" s="143">
        <v>1</v>
      </c>
      <c r="Z53" s="141">
        <v>0</v>
      </c>
      <c r="AA53" s="142">
        <v>0</v>
      </c>
      <c r="AB53" s="724">
        <v>0</v>
      </c>
    </row>
    <row r="54" spans="1:28" ht="24.95" customHeight="1">
      <c r="A54" s="32" t="e">
        <v>#REF!</v>
      </c>
      <c r="B54" s="144" t="s">
        <v>561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34</v>
      </c>
      <c r="I54" s="145"/>
      <c r="J54" s="145">
        <v>10</v>
      </c>
      <c r="K54" s="146" t="s">
        <v>29</v>
      </c>
      <c r="L54" s="147" t="s">
        <v>94</v>
      </c>
      <c r="M54" s="148">
        <v>245100000</v>
      </c>
      <c r="N54" s="148"/>
      <c r="O54" s="148"/>
      <c r="P54" s="148"/>
      <c r="Q54" s="148"/>
      <c r="R54" s="148"/>
      <c r="S54" s="148">
        <v>245100000</v>
      </c>
      <c r="T54" s="148">
        <v>0</v>
      </c>
      <c r="U54" s="148">
        <v>245100000</v>
      </c>
      <c r="V54" s="150">
        <v>0</v>
      </c>
      <c r="W54" s="148">
        <v>0</v>
      </c>
      <c r="X54" s="148">
        <v>0</v>
      </c>
      <c r="Y54" s="150">
        <v>0</v>
      </c>
      <c r="Z54" s="148">
        <v>0</v>
      </c>
      <c r="AA54" s="148">
        <v>0</v>
      </c>
      <c r="AB54" s="150">
        <v>0</v>
      </c>
    </row>
    <row r="55" spans="1:28" ht="24.95" customHeight="1">
      <c r="A55" s="32" t="e">
        <v>#REF!</v>
      </c>
      <c r="B55" s="144" t="s">
        <v>563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36</v>
      </c>
      <c r="I55" s="145"/>
      <c r="J55" s="145">
        <v>10</v>
      </c>
      <c r="K55" s="146" t="s">
        <v>29</v>
      </c>
      <c r="L55" s="147" t="s">
        <v>95</v>
      </c>
      <c r="M55" s="148">
        <v>57946108</v>
      </c>
      <c r="N55" s="148"/>
      <c r="O55" s="148"/>
      <c r="P55" s="148"/>
      <c r="Q55" s="148"/>
      <c r="R55" s="148"/>
      <c r="S55" s="148">
        <v>57946108</v>
      </c>
      <c r="T55" s="148">
        <v>33610108</v>
      </c>
      <c r="U55" s="148">
        <v>24336000</v>
      </c>
      <c r="V55" s="150">
        <v>0.58002356258335763</v>
      </c>
      <c r="W55" s="148">
        <v>0</v>
      </c>
      <c r="X55" s="148">
        <v>33610108</v>
      </c>
      <c r="Y55" s="150">
        <v>1</v>
      </c>
      <c r="Z55" s="148">
        <v>0</v>
      </c>
      <c r="AA55" s="148">
        <v>0</v>
      </c>
      <c r="AB55" s="150">
        <v>0</v>
      </c>
    </row>
    <row r="56" spans="1:28" ht="24.95" customHeight="1">
      <c r="A56" s="32" t="e">
        <v>#REF!</v>
      </c>
      <c r="B56" s="144" t="s">
        <v>565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40</v>
      </c>
      <c r="I56" s="145"/>
      <c r="J56" s="145">
        <v>10</v>
      </c>
      <c r="K56" s="146" t="s">
        <v>29</v>
      </c>
      <c r="L56" s="147" t="s">
        <v>96</v>
      </c>
      <c r="M56" s="148">
        <v>47000000</v>
      </c>
      <c r="N56" s="148"/>
      <c r="O56" s="148"/>
      <c r="P56" s="148"/>
      <c r="Q56" s="148"/>
      <c r="R56" s="148"/>
      <c r="S56" s="148">
        <v>47000000</v>
      </c>
      <c r="T56" s="148">
        <v>0</v>
      </c>
      <c r="U56" s="148">
        <v>47000000</v>
      </c>
      <c r="V56" s="150">
        <v>0</v>
      </c>
      <c r="W56" s="148">
        <v>0</v>
      </c>
      <c r="X56" s="148">
        <v>0</v>
      </c>
      <c r="Y56" s="150">
        <v>0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44" t="s">
        <v>567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42</v>
      </c>
      <c r="I57" s="145"/>
      <c r="J57" s="145">
        <v>10</v>
      </c>
      <c r="K57" s="146" t="s">
        <v>29</v>
      </c>
      <c r="L57" s="147" t="s">
        <v>97</v>
      </c>
      <c r="M57" s="148">
        <v>123000000</v>
      </c>
      <c r="N57" s="148"/>
      <c r="O57" s="148"/>
      <c r="P57" s="148"/>
      <c r="Q57" s="148"/>
      <c r="R57" s="148"/>
      <c r="S57" s="148">
        <v>123000000</v>
      </c>
      <c r="T57" s="148">
        <v>0</v>
      </c>
      <c r="U57" s="148">
        <v>123000000</v>
      </c>
      <c r="V57" s="150">
        <v>0</v>
      </c>
      <c r="W57" s="148">
        <v>0</v>
      </c>
      <c r="X57" s="148">
        <v>0</v>
      </c>
      <c r="Y57" s="150">
        <v>0</v>
      </c>
      <c r="Z57" s="148">
        <v>0</v>
      </c>
      <c r="AA57" s="148">
        <v>0</v>
      </c>
      <c r="AB57" s="150">
        <v>0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144195282</v>
      </c>
      <c r="N58" s="148"/>
      <c r="O58" s="148"/>
      <c r="P58" s="148"/>
      <c r="Q58" s="148"/>
      <c r="R58" s="148"/>
      <c r="S58" s="148">
        <v>144195282</v>
      </c>
      <c r="T58" s="148">
        <v>0</v>
      </c>
      <c r="U58" s="148">
        <v>144195282</v>
      </c>
      <c r="V58" s="150">
        <v>0</v>
      </c>
      <c r="W58" s="148">
        <v>0</v>
      </c>
      <c r="X58" s="148">
        <v>0</v>
      </c>
      <c r="Y58" s="150">
        <v>0</v>
      </c>
      <c r="Z58" s="148">
        <v>0</v>
      </c>
      <c r="AA58" s="148">
        <v>0</v>
      </c>
      <c r="AB58" s="150">
        <v>0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209000000</v>
      </c>
      <c r="N59" s="142">
        <v>0</v>
      </c>
      <c r="O59" s="142">
        <v>0</v>
      </c>
      <c r="P59" s="141">
        <v>0</v>
      </c>
      <c r="Q59" s="141">
        <v>0</v>
      </c>
      <c r="R59" s="142">
        <v>0</v>
      </c>
      <c r="S59" s="141">
        <v>209000000</v>
      </c>
      <c r="T59" s="141">
        <v>0</v>
      </c>
      <c r="U59" s="141">
        <v>209000000</v>
      </c>
      <c r="V59" s="143">
        <v>0</v>
      </c>
      <c r="W59" s="141">
        <v>0</v>
      </c>
      <c r="X59" s="141">
        <v>0</v>
      </c>
      <c r="Y59" s="143">
        <v>0</v>
      </c>
      <c r="Z59" s="141">
        <v>0</v>
      </c>
      <c r="AA59" s="142">
        <v>0</v>
      </c>
      <c r="AB59" s="724">
        <v>0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>
        <v>28000000</v>
      </c>
      <c r="N60" s="148"/>
      <c r="O60" s="148"/>
      <c r="P60" s="149"/>
      <c r="Q60" s="148"/>
      <c r="R60" s="148"/>
      <c r="S60" s="148">
        <v>28000000</v>
      </c>
      <c r="T60" s="148">
        <v>0</v>
      </c>
      <c r="U60" s="148">
        <v>28000000</v>
      </c>
      <c r="V60" s="150">
        <v>0</v>
      </c>
      <c r="W60" s="148">
        <v>0</v>
      </c>
      <c r="X60" s="148">
        <v>0</v>
      </c>
      <c r="Y60" s="150">
        <v>0</v>
      </c>
      <c r="Z60" s="148">
        <v>0</v>
      </c>
      <c r="AA60" s="148">
        <v>0</v>
      </c>
      <c r="AB60" s="150">
        <v>0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/>
      <c r="R61" s="148"/>
      <c r="S61" s="148">
        <v>10000000</v>
      </c>
      <c r="T61" s="148">
        <v>0</v>
      </c>
      <c r="U61" s="148">
        <v>10000000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108000000</v>
      </c>
      <c r="N62" s="148"/>
      <c r="O62" s="148"/>
      <c r="P62" s="148"/>
      <c r="Q62" s="148"/>
      <c r="R62" s="148"/>
      <c r="S62" s="148">
        <v>108000000</v>
      </c>
      <c r="T62" s="148">
        <v>0</v>
      </c>
      <c r="U62" s="148">
        <v>108000000</v>
      </c>
      <c r="V62" s="150">
        <v>0</v>
      </c>
      <c r="W62" s="148">
        <v>0</v>
      </c>
      <c r="X62" s="148">
        <v>0</v>
      </c>
      <c r="Y62" s="150">
        <v>0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63000000</v>
      </c>
      <c r="N63" s="148"/>
      <c r="O63" s="148"/>
      <c r="P63" s="149"/>
      <c r="Q63" s="148"/>
      <c r="R63" s="148"/>
      <c r="S63" s="148">
        <v>63000000</v>
      </c>
      <c r="T63" s="148">
        <v>0</v>
      </c>
      <c r="U63" s="148">
        <v>63000000</v>
      </c>
      <c r="V63" s="150">
        <v>0</v>
      </c>
      <c r="W63" s="148">
        <v>0</v>
      </c>
      <c r="X63" s="148">
        <v>0</v>
      </c>
      <c r="Y63" s="150">
        <v>0</v>
      </c>
      <c r="Z63" s="148">
        <v>0</v>
      </c>
      <c r="AA63" s="148">
        <v>0</v>
      </c>
      <c r="AB63" s="150">
        <v>0</v>
      </c>
    </row>
    <row r="64" spans="1:28" ht="24.95" customHeight="1">
      <c r="A64" s="32" t="e">
        <v>#REF!</v>
      </c>
      <c r="B64" s="132" t="s">
        <v>389</v>
      </c>
      <c r="C64" s="133" t="s">
        <v>23</v>
      </c>
      <c r="D64" s="133" t="s">
        <v>54</v>
      </c>
      <c r="E64" s="133" t="s">
        <v>54</v>
      </c>
      <c r="F64" s="133" t="s">
        <v>54</v>
      </c>
      <c r="G64" s="133"/>
      <c r="H64" s="134"/>
      <c r="I64" s="134"/>
      <c r="J64" s="133" t="s">
        <v>28</v>
      </c>
      <c r="K64" s="134" t="s">
        <v>29</v>
      </c>
      <c r="L64" s="134" t="s">
        <v>103</v>
      </c>
      <c r="M64" s="135">
        <v>41310758610</v>
      </c>
      <c r="N64" s="136">
        <v>0</v>
      </c>
      <c r="O64" s="136">
        <v>0</v>
      </c>
      <c r="P64" s="727">
        <v>3200000</v>
      </c>
      <c r="Q64" s="727">
        <v>3200000</v>
      </c>
      <c r="R64" s="136">
        <v>0</v>
      </c>
      <c r="S64" s="135">
        <v>41310758610</v>
      </c>
      <c r="T64" s="135">
        <v>17414170755.279999</v>
      </c>
      <c r="U64" s="135">
        <v>23896587854.720001</v>
      </c>
      <c r="V64" s="137">
        <v>0.42154081264110677</v>
      </c>
      <c r="W64" s="135">
        <v>1449504261.01</v>
      </c>
      <c r="X64" s="135">
        <v>15964666494.269999</v>
      </c>
      <c r="Y64" s="137">
        <v>0.91676294660367286</v>
      </c>
      <c r="Z64" s="135">
        <v>1447228594.01</v>
      </c>
      <c r="AA64" s="135">
        <v>2275667</v>
      </c>
      <c r="AB64" s="723">
        <v>8.3106374363028368E-2</v>
      </c>
    </row>
    <row r="65" spans="1:28" ht="31.5" customHeight="1">
      <c r="A65" s="32" t="e">
        <v>#REF!</v>
      </c>
      <c r="B65" s="138" t="s">
        <v>391</v>
      </c>
      <c r="C65" s="139" t="s">
        <v>23</v>
      </c>
      <c r="D65" s="139" t="s">
        <v>54</v>
      </c>
      <c r="E65" s="139" t="s">
        <v>54</v>
      </c>
      <c r="F65" s="139" t="s">
        <v>54</v>
      </c>
      <c r="G65" s="139" t="s">
        <v>42</v>
      </c>
      <c r="H65" s="140"/>
      <c r="I65" s="140"/>
      <c r="J65" s="139" t="s">
        <v>28</v>
      </c>
      <c r="K65" s="140" t="s">
        <v>29</v>
      </c>
      <c r="L65" s="140" t="s">
        <v>104</v>
      </c>
      <c r="M65" s="141">
        <v>6238453772</v>
      </c>
      <c r="N65" s="142">
        <v>0</v>
      </c>
      <c r="O65" s="142">
        <v>0</v>
      </c>
      <c r="P65" s="141">
        <v>0</v>
      </c>
      <c r="Q65" s="141">
        <v>0</v>
      </c>
      <c r="R65" s="142">
        <v>0</v>
      </c>
      <c r="S65" s="141">
        <v>6238453772</v>
      </c>
      <c r="T65" s="141">
        <v>4047109901</v>
      </c>
      <c r="U65" s="141">
        <v>2191343871</v>
      </c>
      <c r="V65" s="143">
        <v>0.64873605686790681</v>
      </c>
      <c r="W65" s="141">
        <v>99160811.790000007</v>
      </c>
      <c r="X65" s="141">
        <v>3947949089.21</v>
      </c>
      <c r="Y65" s="143">
        <v>0.97549836445867255</v>
      </c>
      <c r="Z65" s="141">
        <v>97761021.790000007</v>
      </c>
      <c r="AA65" s="141">
        <v>1399790</v>
      </c>
      <c r="AB65" s="724">
        <v>2.4155761563540504E-2</v>
      </c>
    </row>
    <row r="66" spans="1:28" ht="24.95" customHeight="1">
      <c r="A66" s="32" t="e">
        <v>#REF!</v>
      </c>
      <c r="B66" s="144" t="s">
        <v>583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36</v>
      </c>
      <c r="I66" s="145"/>
      <c r="J66" s="145">
        <v>10</v>
      </c>
      <c r="K66" s="146" t="s">
        <v>29</v>
      </c>
      <c r="L66" s="147" t="s">
        <v>105</v>
      </c>
      <c r="M66" s="148">
        <v>120448180</v>
      </c>
      <c r="N66" s="148"/>
      <c r="O66" s="148"/>
      <c r="P66" s="148"/>
      <c r="Q66" s="148"/>
      <c r="R66" s="148"/>
      <c r="S66" s="148">
        <v>120448180</v>
      </c>
      <c r="T66" s="148">
        <v>27589357</v>
      </c>
      <c r="U66" s="148">
        <v>92858823</v>
      </c>
      <c r="V66" s="150">
        <v>0.22905582301036015</v>
      </c>
      <c r="W66" s="148">
        <v>0</v>
      </c>
      <c r="X66" s="148">
        <v>27589357</v>
      </c>
      <c r="Y66" s="150">
        <v>1</v>
      </c>
      <c r="Z66" s="148">
        <v>0</v>
      </c>
      <c r="AA66" s="148">
        <v>0</v>
      </c>
      <c r="AB66" s="150">
        <v>0</v>
      </c>
    </row>
    <row r="67" spans="1:28" ht="24.95" customHeight="1">
      <c r="A67" s="32" t="e">
        <v>#REF!</v>
      </c>
      <c r="B67" s="144" t="s">
        <v>585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38</v>
      </c>
      <c r="I67" s="145"/>
      <c r="J67" s="145">
        <v>10</v>
      </c>
      <c r="K67" s="146" t="s">
        <v>29</v>
      </c>
      <c r="L67" s="147" t="s">
        <v>106</v>
      </c>
      <c r="M67" s="148">
        <v>2721505592</v>
      </c>
      <c r="N67" s="148"/>
      <c r="O67" s="148"/>
      <c r="P67" s="148"/>
      <c r="Q67" s="148"/>
      <c r="R67" s="148"/>
      <c r="S67" s="148">
        <v>2721505592</v>
      </c>
      <c r="T67" s="148">
        <v>1772526969</v>
      </c>
      <c r="U67" s="148">
        <v>948978623</v>
      </c>
      <c r="V67" s="150">
        <v>0.65130381293737938</v>
      </c>
      <c r="W67" s="148">
        <v>15284182</v>
      </c>
      <c r="X67" s="148">
        <v>1757242787</v>
      </c>
      <c r="Y67" s="150">
        <v>0.99137717943517512</v>
      </c>
      <c r="Z67" s="148">
        <v>15284182</v>
      </c>
      <c r="AA67" s="148">
        <v>0</v>
      </c>
      <c r="AB67" s="150">
        <v>8.6228205648249297E-3</v>
      </c>
    </row>
    <row r="68" spans="1:28" ht="24.95" customHeight="1">
      <c r="A68" s="32" t="e">
        <v>#REF!</v>
      </c>
      <c r="B68" s="144" t="s">
        <v>587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40</v>
      </c>
      <c r="I68" s="145"/>
      <c r="J68" s="145">
        <v>10</v>
      </c>
      <c r="K68" s="146" t="s">
        <v>29</v>
      </c>
      <c r="L68" s="147" t="s">
        <v>107</v>
      </c>
      <c r="M68" s="148">
        <v>50000000</v>
      </c>
      <c r="N68" s="148"/>
      <c r="O68" s="148"/>
      <c r="P68" s="148"/>
      <c r="Q68" s="148"/>
      <c r="R68" s="148"/>
      <c r="S68" s="148">
        <v>50000000</v>
      </c>
      <c r="T68" s="148">
        <v>0</v>
      </c>
      <c r="U68" s="148">
        <v>50000000</v>
      </c>
      <c r="V68" s="150">
        <v>0</v>
      </c>
      <c r="W68" s="148">
        <v>0</v>
      </c>
      <c r="X68" s="148">
        <v>0</v>
      </c>
      <c r="Y68" s="150">
        <v>0</v>
      </c>
      <c r="Z68" s="148">
        <v>0</v>
      </c>
      <c r="AA68" s="148">
        <v>0</v>
      </c>
      <c r="AB68" s="150">
        <v>0</v>
      </c>
    </row>
    <row r="69" spans="1:28" ht="24.95" customHeight="1">
      <c r="A69" s="32" t="e">
        <v>#REF!</v>
      </c>
      <c r="B69" s="144" t="s">
        <v>591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46</v>
      </c>
      <c r="I69" s="145"/>
      <c r="J69" s="145">
        <v>10</v>
      </c>
      <c r="K69" s="146" t="s">
        <v>29</v>
      </c>
      <c r="L69" s="147" t="s">
        <v>108</v>
      </c>
      <c r="M69" s="148">
        <v>2216500000</v>
      </c>
      <c r="N69" s="148"/>
      <c r="O69" s="148"/>
      <c r="P69" s="148"/>
      <c r="Q69" s="148"/>
      <c r="R69" s="148"/>
      <c r="S69" s="148">
        <v>2216500000</v>
      </c>
      <c r="T69" s="148">
        <v>2163000000</v>
      </c>
      <c r="U69" s="148">
        <v>53500000</v>
      </c>
      <c r="V69" s="150">
        <v>0.97586284683058877</v>
      </c>
      <c r="W69" s="148">
        <v>0</v>
      </c>
      <c r="X69" s="148">
        <v>2163000000</v>
      </c>
      <c r="Y69" s="150">
        <v>1</v>
      </c>
      <c r="Z69" s="148">
        <v>0</v>
      </c>
      <c r="AA69" s="148">
        <v>0</v>
      </c>
      <c r="AB69" s="150">
        <v>0</v>
      </c>
    </row>
    <row r="70" spans="1:28" ht="24.95" customHeight="1">
      <c r="A70" s="32" t="e">
        <v>#REF!</v>
      </c>
      <c r="B70" s="144" t="s">
        <v>593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48</v>
      </c>
      <c r="I70" s="145"/>
      <c r="J70" s="145">
        <v>10</v>
      </c>
      <c r="K70" s="146" t="s">
        <v>29</v>
      </c>
      <c r="L70" s="147" t="s">
        <v>109</v>
      </c>
      <c r="M70" s="148">
        <v>1130000000</v>
      </c>
      <c r="N70" s="148"/>
      <c r="O70" s="148"/>
      <c r="P70" s="148"/>
      <c r="Q70" s="148"/>
      <c r="R70" s="148"/>
      <c r="S70" s="148">
        <v>1130000000</v>
      </c>
      <c r="T70" s="148">
        <v>83993575</v>
      </c>
      <c r="U70" s="148">
        <v>1046006425</v>
      </c>
      <c r="V70" s="150">
        <v>7.433059734513274E-2</v>
      </c>
      <c r="W70" s="148">
        <v>83876629.790000007</v>
      </c>
      <c r="X70" s="148">
        <v>116945.20999999344</v>
      </c>
      <c r="Y70" s="150">
        <v>1.3923113761974465E-3</v>
      </c>
      <c r="Z70" s="148">
        <v>82476839.790000007</v>
      </c>
      <c r="AA70" s="148">
        <v>1399790</v>
      </c>
      <c r="AB70" s="150">
        <v>0.98194224724926882</v>
      </c>
    </row>
    <row r="71" spans="1:28" ht="24.95" customHeight="1">
      <c r="A71" s="32" t="e">
        <v>#REF!</v>
      </c>
      <c r="B71" s="138" t="s">
        <v>393</v>
      </c>
      <c r="C71" s="139" t="s">
        <v>23</v>
      </c>
      <c r="D71" s="139" t="s">
        <v>54</v>
      </c>
      <c r="E71" s="139" t="s">
        <v>54</v>
      </c>
      <c r="F71" s="139" t="s">
        <v>54</v>
      </c>
      <c r="G71" s="139" t="s">
        <v>44</v>
      </c>
      <c r="H71" s="140"/>
      <c r="I71" s="140"/>
      <c r="J71" s="139" t="s">
        <v>28</v>
      </c>
      <c r="K71" s="140" t="s">
        <v>29</v>
      </c>
      <c r="L71" s="140" t="s">
        <v>110</v>
      </c>
      <c r="M71" s="141">
        <v>15484127230</v>
      </c>
      <c r="N71" s="142">
        <v>0</v>
      </c>
      <c r="O71" s="142">
        <v>0</v>
      </c>
      <c r="P71" s="141">
        <v>3200000</v>
      </c>
      <c r="Q71" s="141">
        <v>0</v>
      </c>
      <c r="R71" s="142">
        <v>0</v>
      </c>
      <c r="S71" s="141">
        <v>15487327230</v>
      </c>
      <c r="T71" s="141">
        <v>7405873034</v>
      </c>
      <c r="U71" s="141">
        <v>8081454196</v>
      </c>
      <c r="V71" s="143">
        <v>0.47818922684440496</v>
      </c>
      <c r="W71" s="141">
        <v>1206293317</v>
      </c>
      <c r="X71" s="141">
        <v>6199579717</v>
      </c>
      <c r="Y71" s="143">
        <v>0.83711666248368466</v>
      </c>
      <c r="Z71" s="141">
        <v>1206293317</v>
      </c>
      <c r="AA71" s="141">
        <v>0</v>
      </c>
      <c r="AB71" s="724">
        <v>0.16288333751631529</v>
      </c>
    </row>
    <row r="72" spans="1:28" ht="24.95" customHeight="1">
      <c r="A72" s="32" t="e">
        <v>#REF!</v>
      </c>
      <c r="B72" s="144" t="s">
        <v>595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31</v>
      </c>
      <c r="I72" s="145"/>
      <c r="J72" s="145">
        <v>10</v>
      </c>
      <c r="K72" s="146" t="s">
        <v>29</v>
      </c>
      <c r="L72" s="147" t="s">
        <v>111</v>
      </c>
      <c r="M72" s="148">
        <v>260000000</v>
      </c>
      <c r="N72" s="148"/>
      <c r="O72" s="148"/>
      <c r="P72" s="148">
        <v>3200000</v>
      </c>
      <c r="Q72" s="148"/>
      <c r="R72" s="148"/>
      <c r="S72" s="148">
        <v>263200000</v>
      </c>
      <c r="T72" s="148">
        <v>0</v>
      </c>
      <c r="U72" s="148">
        <v>263200000</v>
      </c>
      <c r="V72" s="150">
        <v>0</v>
      </c>
      <c r="W72" s="148">
        <v>0</v>
      </c>
      <c r="X72" s="148">
        <v>0</v>
      </c>
      <c r="Y72" s="150">
        <v>0</v>
      </c>
      <c r="Z72" s="148">
        <v>0</v>
      </c>
      <c r="AA72" s="148">
        <v>0</v>
      </c>
      <c r="AB72" s="150">
        <v>0</v>
      </c>
    </row>
    <row r="73" spans="1:28" ht="24.95" customHeight="1">
      <c r="A73" s="32" t="e">
        <v>#REF!</v>
      </c>
      <c r="B73" s="144" t="s">
        <v>597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44</v>
      </c>
      <c r="H73" s="145" t="s">
        <v>34</v>
      </c>
      <c r="I73" s="145"/>
      <c r="J73" s="145">
        <v>10</v>
      </c>
      <c r="K73" s="146" t="s">
        <v>29</v>
      </c>
      <c r="L73" s="147" t="s">
        <v>112</v>
      </c>
      <c r="M73" s="148">
        <v>15224127230</v>
      </c>
      <c r="N73" s="148"/>
      <c r="O73" s="148"/>
      <c r="P73" s="148"/>
      <c r="Q73" s="148"/>
      <c r="R73" s="148"/>
      <c r="S73" s="148">
        <v>15224127230</v>
      </c>
      <c r="T73" s="148">
        <v>7405873034</v>
      </c>
      <c r="U73" s="148">
        <v>7818254196</v>
      </c>
      <c r="V73" s="150">
        <v>0.48645632830802349</v>
      </c>
      <c r="W73" s="148">
        <v>1206293317</v>
      </c>
      <c r="X73" s="148">
        <v>6199579717</v>
      </c>
      <c r="Y73" s="150">
        <v>0.83711666248368466</v>
      </c>
      <c r="Z73" s="148">
        <v>1206293317</v>
      </c>
      <c r="AA73" s="148">
        <v>0</v>
      </c>
      <c r="AB73" s="150">
        <v>0.16288333751631529</v>
      </c>
    </row>
    <row r="74" spans="1:28" ht="24.95" customHeight="1">
      <c r="A74" s="32" t="e">
        <v>#REF!</v>
      </c>
      <c r="B74" s="138" t="s">
        <v>395</v>
      </c>
      <c r="C74" s="139" t="s">
        <v>23</v>
      </c>
      <c r="D74" s="139" t="s">
        <v>54</v>
      </c>
      <c r="E74" s="139" t="s">
        <v>54</v>
      </c>
      <c r="F74" s="139" t="s">
        <v>54</v>
      </c>
      <c r="G74" s="139" t="s">
        <v>46</v>
      </c>
      <c r="H74" s="140"/>
      <c r="I74" s="140"/>
      <c r="J74" s="139" t="s">
        <v>28</v>
      </c>
      <c r="K74" s="140" t="s">
        <v>29</v>
      </c>
      <c r="L74" s="140" t="s">
        <v>113</v>
      </c>
      <c r="M74" s="141">
        <v>15733677608</v>
      </c>
      <c r="N74" s="142">
        <v>0</v>
      </c>
      <c r="O74" s="142">
        <v>0</v>
      </c>
      <c r="P74" s="141">
        <v>0</v>
      </c>
      <c r="Q74" s="141">
        <v>3200000</v>
      </c>
      <c r="R74" s="142">
        <v>0</v>
      </c>
      <c r="S74" s="141">
        <v>15730477608</v>
      </c>
      <c r="T74" s="141">
        <v>5773232454.2799997</v>
      </c>
      <c r="U74" s="141">
        <v>9957245153.7200012</v>
      </c>
      <c r="V74" s="143">
        <v>0.367009355859858</v>
      </c>
      <c r="W74" s="141">
        <v>141029326</v>
      </c>
      <c r="X74" s="141">
        <v>5632203128.2799997</v>
      </c>
      <c r="Y74" s="143">
        <v>0.97557186080469571</v>
      </c>
      <c r="Z74" s="141">
        <v>140256283</v>
      </c>
      <c r="AA74" s="141">
        <v>773043</v>
      </c>
      <c r="AB74" s="724">
        <v>2.429423795260845E-2</v>
      </c>
    </row>
    <row r="75" spans="1:28" ht="24.95" customHeight="1">
      <c r="A75" s="32" t="e">
        <v>#REF!</v>
      </c>
      <c r="B75" s="144" t="s">
        <v>599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34</v>
      </c>
      <c r="I75" s="145"/>
      <c r="J75" s="145">
        <v>10</v>
      </c>
      <c r="K75" s="146" t="s">
        <v>29</v>
      </c>
      <c r="L75" s="147" t="s">
        <v>114</v>
      </c>
      <c r="M75" s="148">
        <v>50358513</v>
      </c>
      <c r="N75" s="148"/>
      <c r="O75" s="148"/>
      <c r="P75" s="148"/>
      <c r="Q75" s="148"/>
      <c r="R75" s="148"/>
      <c r="S75" s="148">
        <v>50358513</v>
      </c>
      <c r="T75" s="148">
        <v>0</v>
      </c>
      <c r="U75" s="148">
        <v>50358513</v>
      </c>
      <c r="V75" s="150">
        <v>0</v>
      </c>
      <c r="W75" s="148">
        <v>0</v>
      </c>
      <c r="X75" s="148">
        <v>0</v>
      </c>
      <c r="Y75" s="150">
        <v>0</v>
      </c>
      <c r="Z75" s="148">
        <v>0</v>
      </c>
      <c r="AA75" s="148">
        <v>0</v>
      </c>
      <c r="AB75" s="150">
        <v>0</v>
      </c>
    </row>
    <row r="76" spans="1:28" ht="24.95" customHeight="1">
      <c r="A76" s="32" t="e">
        <v>#REF!</v>
      </c>
      <c r="B76" s="144" t="s">
        <v>601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36</v>
      </c>
      <c r="I76" s="145"/>
      <c r="J76" s="145">
        <v>10</v>
      </c>
      <c r="K76" s="146" t="s">
        <v>29</v>
      </c>
      <c r="L76" s="147" t="s">
        <v>115</v>
      </c>
      <c r="M76" s="148">
        <v>6350236530</v>
      </c>
      <c r="N76" s="148"/>
      <c r="O76" s="148"/>
      <c r="P76" s="148"/>
      <c r="Q76" s="148"/>
      <c r="R76" s="148"/>
      <c r="S76" s="148">
        <v>6350236530</v>
      </c>
      <c r="T76" s="148">
        <v>1727727524</v>
      </c>
      <c r="U76" s="148">
        <v>4622509006</v>
      </c>
      <c r="V76" s="150">
        <v>0.27207294024999096</v>
      </c>
      <c r="W76" s="148">
        <v>0</v>
      </c>
      <c r="X76" s="148">
        <v>1727727524</v>
      </c>
      <c r="Y76" s="150">
        <v>1</v>
      </c>
      <c r="Z76" s="148">
        <v>0</v>
      </c>
      <c r="AA76" s="148">
        <v>0</v>
      </c>
      <c r="AB76" s="150">
        <v>0</v>
      </c>
    </row>
    <row r="77" spans="1:28" ht="24.95" customHeight="1">
      <c r="A77" s="32" t="e">
        <v>#REF!</v>
      </c>
      <c r="B77" s="144" t="s">
        <v>603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38</v>
      </c>
      <c r="I77" s="145"/>
      <c r="J77" s="145">
        <v>10</v>
      </c>
      <c r="K77" s="146" t="s">
        <v>29</v>
      </c>
      <c r="L77" s="147" t="s">
        <v>116</v>
      </c>
      <c r="M77" s="148">
        <v>2503588821</v>
      </c>
      <c r="N77" s="148"/>
      <c r="O77" s="148"/>
      <c r="P77" s="148"/>
      <c r="Q77" s="148"/>
      <c r="R77" s="148"/>
      <c r="S77" s="148">
        <v>2503588821</v>
      </c>
      <c r="T77" s="148">
        <v>321607464.89999998</v>
      </c>
      <c r="U77" s="148">
        <v>2181981356.0999999</v>
      </c>
      <c r="V77" s="150">
        <v>0.12845858002015739</v>
      </c>
      <c r="W77" s="148">
        <v>141029326</v>
      </c>
      <c r="X77" s="148">
        <v>180578138.89999998</v>
      </c>
      <c r="Y77" s="150">
        <v>0.56148615504353605</v>
      </c>
      <c r="Z77" s="148">
        <v>140256283</v>
      </c>
      <c r="AA77" s="148">
        <v>773043</v>
      </c>
      <c r="AB77" s="150">
        <v>0.43611016007856357</v>
      </c>
    </row>
    <row r="78" spans="1:28" ht="24.95" customHeight="1">
      <c r="A78" s="32" t="e">
        <v>#REF!</v>
      </c>
      <c r="B78" s="144" t="s">
        <v>605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40</v>
      </c>
      <c r="I78" s="145"/>
      <c r="J78" s="145">
        <v>10</v>
      </c>
      <c r="K78" s="146" t="s">
        <v>29</v>
      </c>
      <c r="L78" s="147" t="s">
        <v>117</v>
      </c>
      <c r="M78" s="148">
        <v>5781495027</v>
      </c>
      <c r="N78" s="148"/>
      <c r="O78" s="148"/>
      <c r="P78" s="148"/>
      <c r="Q78" s="148">
        <v>3200000</v>
      </c>
      <c r="R78" s="148"/>
      <c r="S78" s="148">
        <v>5778295027</v>
      </c>
      <c r="T78" s="148">
        <v>3515235469.3299999</v>
      </c>
      <c r="U78" s="148">
        <v>2263059557.6700001</v>
      </c>
      <c r="V78" s="150">
        <v>0.60835167690547209</v>
      </c>
      <c r="W78" s="148">
        <v>0</v>
      </c>
      <c r="X78" s="148">
        <v>3515235469.3299999</v>
      </c>
      <c r="Y78" s="150">
        <v>1</v>
      </c>
      <c r="Z78" s="148">
        <v>0</v>
      </c>
      <c r="AA78" s="148">
        <v>0</v>
      </c>
      <c r="AB78" s="150">
        <v>0</v>
      </c>
    </row>
    <row r="79" spans="1:28" ht="24.95" customHeight="1">
      <c r="A79" s="32" t="e">
        <v>#REF!</v>
      </c>
      <c r="B79" s="144" t="s">
        <v>607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44</v>
      </c>
      <c r="I79" s="145"/>
      <c r="J79" s="145">
        <v>10</v>
      </c>
      <c r="K79" s="146" t="s">
        <v>29</v>
      </c>
      <c r="L79" s="147" t="s">
        <v>118</v>
      </c>
      <c r="M79" s="148">
        <v>729998717</v>
      </c>
      <c r="N79" s="148"/>
      <c r="O79" s="148"/>
      <c r="P79" s="148"/>
      <c r="Q79" s="149"/>
      <c r="R79" s="148"/>
      <c r="S79" s="148">
        <v>729998717</v>
      </c>
      <c r="T79" s="148">
        <v>68661996.049999997</v>
      </c>
      <c r="U79" s="148">
        <v>661336720.95000005</v>
      </c>
      <c r="V79" s="150">
        <v>9.4057694145235043E-2</v>
      </c>
      <c r="W79" s="148">
        <v>0</v>
      </c>
      <c r="X79" s="148">
        <v>68661996.049999997</v>
      </c>
      <c r="Y79" s="150">
        <v>1</v>
      </c>
      <c r="Z79" s="148">
        <v>0</v>
      </c>
      <c r="AA79" s="148">
        <v>0</v>
      </c>
      <c r="AB79" s="150">
        <v>0</v>
      </c>
    </row>
    <row r="80" spans="1:28" ht="24.95" customHeight="1">
      <c r="A80" s="32" t="e">
        <v>#REF!</v>
      </c>
      <c r="B80" s="144" t="s">
        <v>609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48</v>
      </c>
      <c r="I80" s="145"/>
      <c r="J80" s="145">
        <v>10</v>
      </c>
      <c r="K80" s="146" t="s">
        <v>29</v>
      </c>
      <c r="L80" s="147" t="s">
        <v>119</v>
      </c>
      <c r="M80" s="148">
        <v>318000000</v>
      </c>
      <c r="N80" s="148"/>
      <c r="O80" s="148"/>
      <c r="P80" s="148"/>
      <c r="Q80" s="148"/>
      <c r="R80" s="148"/>
      <c r="S80" s="148">
        <v>318000000</v>
      </c>
      <c r="T80" s="148">
        <v>140000000</v>
      </c>
      <c r="U80" s="148">
        <v>178000000</v>
      </c>
      <c r="V80" s="150">
        <v>0.44025157232704404</v>
      </c>
      <c r="W80" s="148">
        <v>0</v>
      </c>
      <c r="X80" s="148">
        <v>140000000</v>
      </c>
      <c r="Y80" s="150">
        <v>1</v>
      </c>
      <c r="Z80" s="148">
        <v>0</v>
      </c>
      <c r="AA80" s="148">
        <v>0</v>
      </c>
      <c r="AB80" s="150">
        <v>0</v>
      </c>
    </row>
    <row r="81" spans="1:28" ht="24.95" customHeight="1">
      <c r="A81" s="32" t="e">
        <v>#REF!</v>
      </c>
      <c r="B81" s="138" t="s">
        <v>397</v>
      </c>
      <c r="C81" s="139" t="s">
        <v>23</v>
      </c>
      <c r="D81" s="139" t="s">
        <v>54</v>
      </c>
      <c r="E81" s="139" t="s">
        <v>54</v>
      </c>
      <c r="F81" s="139" t="s">
        <v>54</v>
      </c>
      <c r="G81" s="139" t="s">
        <v>48</v>
      </c>
      <c r="H81" s="140"/>
      <c r="I81" s="140"/>
      <c r="J81" s="139" t="s">
        <v>28</v>
      </c>
      <c r="K81" s="140" t="s">
        <v>29</v>
      </c>
      <c r="L81" s="140" t="s">
        <v>120</v>
      </c>
      <c r="M81" s="141">
        <v>2932500000</v>
      </c>
      <c r="N81" s="142">
        <v>0</v>
      </c>
      <c r="O81" s="142">
        <v>0</v>
      </c>
      <c r="P81" s="141">
        <v>0</v>
      </c>
      <c r="Q81" s="141">
        <v>0</v>
      </c>
      <c r="R81" s="142">
        <v>0</v>
      </c>
      <c r="S81" s="141">
        <v>2932500000</v>
      </c>
      <c r="T81" s="141">
        <v>125574890</v>
      </c>
      <c r="U81" s="141">
        <v>2806925110</v>
      </c>
      <c r="V81" s="143">
        <v>4.2821786871270244E-2</v>
      </c>
      <c r="W81" s="141">
        <v>3020806.22</v>
      </c>
      <c r="X81" s="141">
        <v>122554083.78</v>
      </c>
      <c r="Y81" s="143">
        <v>0.97594418581612929</v>
      </c>
      <c r="Z81" s="141">
        <v>2917972.22</v>
      </c>
      <c r="AA81" s="141">
        <v>102834</v>
      </c>
      <c r="AB81" s="724">
        <v>2.3236908429702788E-2</v>
      </c>
    </row>
    <row r="82" spans="1:28" ht="24.95" customHeight="1">
      <c r="A82" s="32" t="e">
        <v>#REF!</v>
      </c>
      <c r="B82" s="144" t="s">
        <v>611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34</v>
      </c>
      <c r="I82" s="145"/>
      <c r="J82" s="145">
        <v>10</v>
      </c>
      <c r="K82" s="146" t="s">
        <v>29</v>
      </c>
      <c r="L82" s="147" t="s">
        <v>121</v>
      </c>
      <c r="M82" s="148">
        <v>1250000000</v>
      </c>
      <c r="N82" s="148"/>
      <c r="O82" s="148"/>
      <c r="P82" s="148"/>
      <c r="Q82" s="148"/>
      <c r="R82" s="148"/>
      <c r="S82" s="148">
        <v>1250000000</v>
      </c>
      <c r="T82" s="148">
        <v>0</v>
      </c>
      <c r="U82" s="148">
        <v>1250000000</v>
      </c>
      <c r="V82" s="150">
        <v>0</v>
      </c>
      <c r="W82" s="148">
        <v>0</v>
      </c>
      <c r="X82" s="148">
        <v>0</v>
      </c>
      <c r="Y82" s="150">
        <v>0</v>
      </c>
      <c r="Z82" s="148">
        <v>0</v>
      </c>
      <c r="AA82" s="148">
        <v>0</v>
      </c>
      <c r="AB82" s="150">
        <v>0</v>
      </c>
    </row>
    <row r="83" spans="1:28" ht="24.95" customHeight="1">
      <c r="A83" s="32" t="e">
        <v>#REF!</v>
      </c>
      <c r="B83" s="144" t="s">
        <v>613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36</v>
      </c>
      <c r="I83" s="145"/>
      <c r="J83" s="145">
        <v>10</v>
      </c>
      <c r="K83" s="146" t="s">
        <v>29</v>
      </c>
      <c r="L83" s="147" t="s">
        <v>122</v>
      </c>
      <c r="M83" s="148">
        <v>300000000</v>
      </c>
      <c r="N83" s="148"/>
      <c r="O83" s="148"/>
      <c r="P83" s="148"/>
      <c r="Q83" s="148"/>
      <c r="R83" s="148"/>
      <c r="S83" s="148">
        <v>300000000</v>
      </c>
      <c r="T83" s="148">
        <v>122398700</v>
      </c>
      <c r="U83" s="148">
        <v>177601300</v>
      </c>
      <c r="V83" s="150">
        <v>0.40799566666666665</v>
      </c>
      <c r="W83" s="148">
        <v>0</v>
      </c>
      <c r="X83" s="148">
        <v>122398700</v>
      </c>
      <c r="Y83" s="150">
        <v>1</v>
      </c>
      <c r="Z83" s="148">
        <v>0</v>
      </c>
      <c r="AA83" s="148">
        <v>0</v>
      </c>
      <c r="AB83" s="150">
        <v>0</v>
      </c>
    </row>
    <row r="84" spans="1:28" ht="24.95" customHeight="1">
      <c r="A84" s="32" t="e">
        <v>#REF!</v>
      </c>
      <c r="B84" s="144" t="s">
        <v>615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38</v>
      </c>
      <c r="I84" s="145"/>
      <c r="J84" s="145">
        <v>10</v>
      </c>
      <c r="K84" s="146" t="s">
        <v>29</v>
      </c>
      <c r="L84" s="147" t="s">
        <v>123</v>
      </c>
      <c r="M84" s="148">
        <v>87500000</v>
      </c>
      <c r="N84" s="148"/>
      <c r="O84" s="148"/>
      <c r="P84" s="148"/>
      <c r="Q84" s="148"/>
      <c r="R84" s="148"/>
      <c r="S84" s="148">
        <v>87500000</v>
      </c>
      <c r="T84" s="148">
        <v>3176190</v>
      </c>
      <c r="U84" s="148">
        <v>84323810</v>
      </c>
      <c r="V84" s="150">
        <v>3.6299314285714285E-2</v>
      </c>
      <c r="W84" s="148">
        <v>3020806.22</v>
      </c>
      <c r="X84" s="148">
        <v>155383.7799999998</v>
      </c>
      <c r="Y84" s="150">
        <v>4.8921437319555755E-2</v>
      </c>
      <c r="Z84" s="148">
        <v>2917972.22</v>
      </c>
      <c r="AA84" s="148">
        <v>102834</v>
      </c>
      <c r="AB84" s="150">
        <v>0.91870203608726186</v>
      </c>
    </row>
    <row r="85" spans="1:28" ht="24.95" customHeight="1">
      <c r="A85" s="32" t="e">
        <v>#REF!</v>
      </c>
      <c r="B85" s="144" t="s">
        <v>617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42</v>
      </c>
      <c r="I85" s="145"/>
      <c r="J85" s="145">
        <v>10</v>
      </c>
      <c r="K85" s="146" t="s">
        <v>29</v>
      </c>
      <c r="L85" s="147" t="s">
        <v>124</v>
      </c>
      <c r="M85" s="148">
        <v>1250000000</v>
      </c>
      <c r="N85" s="148"/>
      <c r="O85" s="148"/>
      <c r="P85" s="148"/>
      <c r="Q85" s="148"/>
      <c r="R85" s="148"/>
      <c r="S85" s="148">
        <v>1250000000</v>
      </c>
      <c r="T85" s="148">
        <v>0</v>
      </c>
      <c r="U85" s="148">
        <v>1250000000</v>
      </c>
      <c r="V85" s="150">
        <v>0</v>
      </c>
      <c r="W85" s="148">
        <v>0</v>
      </c>
      <c r="X85" s="148">
        <v>0</v>
      </c>
      <c r="Y85" s="150">
        <v>0</v>
      </c>
      <c r="Z85" s="148">
        <v>0</v>
      </c>
      <c r="AA85" s="148">
        <v>0</v>
      </c>
      <c r="AB85" s="150">
        <v>0</v>
      </c>
    </row>
    <row r="86" spans="1:28" ht="24.95" customHeight="1">
      <c r="A86" s="32" t="e">
        <v>#REF!</v>
      </c>
      <c r="B86" s="144" t="s">
        <v>619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44</v>
      </c>
      <c r="I86" s="145"/>
      <c r="J86" s="145">
        <v>10</v>
      </c>
      <c r="K86" s="146" t="s">
        <v>29</v>
      </c>
      <c r="L86" s="147" t="s">
        <v>125</v>
      </c>
      <c r="M86" s="148">
        <v>45000000</v>
      </c>
      <c r="N86" s="148"/>
      <c r="O86" s="148"/>
      <c r="P86" s="149"/>
      <c r="Q86" s="148"/>
      <c r="R86" s="148"/>
      <c r="S86" s="148">
        <v>45000000</v>
      </c>
      <c r="T86" s="148">
        <v>0</v>
      </c>
      <c r="U86" s="148">
        <v>45000000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399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50</v>
      </c>
      <c r="H87" s="145"/>
      <c r="I87" s="145"/>
      <c r="J87" s="145" t="s">
        <v>28</v>
      </c>
      <c r="K87" s="146" t="s">
        <v>29</v>
      </c>
      <c r="L87" s="152" t="s">
        <v>126</v>
      </c>
      <c r="M87" s="153">
        <v>922000000</v>
      </c>
      <c r="N87" s="153"/>
      <c r="O87" s="153"/>
      <c r="P87" s="153"/>
      <c r="Q87" s="153"/>
      <c r="R87" s="153"/>
      <c r="S87" s="153">
        <v>922000000</v>
      </c>
      <c r="T87" s="153">
        <v>62380476</v>
      </c>
      <c r="U87" s="153">
        <v>859619524</v>
      </c>
      <c r="V87" s="154">
        <v>6.7657783080260298E-2</v>
      </c>
      <c r="W87" s="153">
        <v>0</v>
      </c>
      <c r="X87" s="153">
        <v>62380476</v>
      </c>
      <c r="Y87" s="154">
        <v>1</v>
      </c>
      <c r="Z87" s="153">
        <v>0</v>
      </c>
      <c r="AA87" s="148">
        <v>0</v>
      </c>
      <c r="AB87" s="150">
        <v>0</v>
      </c>
    </row>
    <row r="88" spans="1:28" ht="36" customHeight="1">
      <c r="A88" s="32" t="e">
        <v>#REF!</v>
      </c>
      <c r="B88" s="122" t="s">
        <v>401</v>
      </c>
      <c r="C88" s="123" t="s">
        <v>23</v>
      </c>
      <c r="D88" s="123" t="s">
        <v>65</v>
      </c>
      <c r="E88" s="123"/>
      <c r="F88" s="123"/>
      <c r="G88" s="123"/>
      <c r="H88" s="123"/>
      <c r="I88" s="123"/>
      <c r="J88" s="124"/>
      <c r="K88" s="124"/>
      <c r="L88" s="124" t="s">
        <v>127</v>
      </c>
      <c r="M88" s="125">
        <v>13468000000</v>
      </c>
      <c r="N88" s="125">
        <v>0</v>
      </c>
      <c r="O88" s="719">
        <v>0</v>
      </c>
      <c r="P88" s="125">
        <v>0</v>
      </c>
      <c r="Q88" s="125">
        <v>0</v>
      </c>
      <c r="R88" s="125">
        <v>10390000000</v>
      </c>
      <c r="S88" s="125">
        <v>3078000000</v>
      </c>
      <c r="T88" s="125">
        <v>60434321</v>
      </c>
      <c r="U88" s="125">
        <v>3017565679</v>
      </c>
      <c r="V88" s="126">
        <v>1.9634282326185835E-2</v>
      </c>
      <c r="W88" s="125">
        <v>41775738</v>
      </c>
      <c r="X88" s="125">
        <v>18658583</v>
      </c>
      <c r="Y88" s="126">
        <v>0.30874150137303602</v>
      </c>
      <c r="Z88" s="125">
        <v>41775738</v>
      </c>
      <c r="AA88" s="125">
        <v>0</v>
      </c>
      <c r="AB88" s="720">
        <v>0.69125849862696398</v>
      </c>
    </row>
    <row r="89" spans="1:28" ht="24" customHeight="1">
      <c r="A89" s="32" t="e">
        <v>#REF!</v>
      </c>
      <c r="B89" s="127" t="s">
        <v>621</v>
      </c>
      <c r="C89" s="128" t="s">
        <v>23</v>
      </c>
      <c r="D89" s="128" t="s">
        <v>65</v>
      </c>
      <c r="E89" s="128" t="s">
        <v>65</v>
      </c>
      <c r="F89" s="128"/>
      <c r="G89" s="128"/>
      <c r="H89" s="128"/>
      <c r="I89" s="128"/>
      <c r="J89" s="129"/>
      <c r="K89" s="129"/>
      <c r="L89" s="129" t="s">
        <v>128</v>
      </c>
      <c r="M89" s="130">
        <v>10390000000</v>
      </c>
      <c r="N89" s="130">
        <v>0</v>
      </c>
      <c r="O89" s="721">
        <v>0</v>
      </c>
      <c r="P89" s="130">
        <v>0</v>
      </c>
      <c r="Q89" s="130">
        <v>0</v>
      </c>
      <c r="R89" s="130">
        <v>10390000000</v>
      </c>
      <c r="S89" s="130">
        <v>0</v>
      </c>
      <c r="T89" s="130">
        <v>0</v>
      </c>
      <c r="U89" s="130">
        <v>0</v>
      </c>
      <c r="V89" s="131">
        <v>0</v>
      </c>
      <c r="W89" s="130">
        <v>0</v>
      </c>
      <c r="X89" s="130">
        <v>0</v>
      </c>
      <c r="Y89" s="131">
        <v>0</v>
      </c>
      <c r="Z89" s="130">
        <v>0</v>
      </c>
      <c r="AA89" s="130">
        <v>0</v>
      </c>
      <c r="AB89" s="722">
        <v>0</v>
      </c>
    </row>
    <row r="90" spans="1:28" ht="24" customHeight="1">
      <c r="A90" s="32" t="e">
        <v>#REF!</v>
      </c>
      <c r="B90" s="132" t="s">
        <v>623</v>
      </c>
      <c r="C90" s="133" t="s">
        <v>23</v>
      </c>
      <c r="D90" s="133" t="s">
        <v>65</v>
      </c>
      <c r="E90" s="133" t="s">
        <v>65</v>
      </c>
      <c r="F90" s="133" t="s">
        <v>25</v>
      </c>
      <c r="G90" s="133"/>
      <c r="H90" s="133"/>
      <c r="I90" s="133"/>
      <c r="J90" s="133"/>
      <c r="K90" s="134"/>
      <c r="L90" s="134" t="s">
        <v>129</v>
      </c>
      <c r="M90" s="135">
        <v>10390000000</v>
      </c>
      <c r="N90" s="135">
        <v>0</v>
      </c>
      <c r="O90" s="136">
        <v>0</v>
      </c>
      <c r="P90" s="136">
        <v>0</v>
      </c>
      <c r="Q90" s="135">
        <v>0</v>
      </c>
      <c r="R90" s="135">
        <v>10390000000</v>
      </c>
      <c r="S90" s="135">
        <v>0</v>
      </c>
      <c r="T90" s="135">
        <v>0</v>
      </c>
      <c r="U90" s="135">
        <v>0</v>
      </c>
      <c r="V90" s="137">
        <v>0</v>
      </c>
      <c r="W90" s="135">
        <v>0</v>
      </c>
      <c r="X90" s="135">
        <v>0</v>
      </c>
      <c r="Y90" s="137">
        <v>0</v>
      </c>
      <c r="Z90" s="135">
        <v>0</v>
      </c>
      <c r="AA90" s="135">
        <v>0</v>
      </c>
      <c r="AB90" s="723">
        <v>0</v>
      </c>
    </row>
    <row r="91" spans="1:28" ht="24.95" hidden="1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131</v>
      </c>
      <c r="M91" s="148"/>
      <c r="N91" s="148"/>
      <c r="O91" s="148"/>
      <c r="P91" s="148"/>
      <c r="Q91" s="148"/>
      <c r="R91" s="148"/>
      <c r="S91" s="148">
        <v>0</v>
      </c>
      <c r="T91" s="149"/>
      <c r="U91" s="148">
        <v>0</v>
      </c>
      <c r="V91" s="150">
        <v>0</v>
      </c>
      <c r="W91" s="148"/>
      <c r="X91" s="148">
        <v>0</v>
      </c>
      <c r="Y91" s="150">
        <v>0</v>
      </c>
      <c r="Z91" s="148"/>
      <c r="AA91" s="148">
        <v>0</v>
      </c>
      <c r="AB91" s="150">
        <v>0</v>
      </c>
    </row>
    <row r="92" spans="1:28" ht="24.95" hidden="1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132</v>
      </c>
      <c r="M92" s="148"/>
      <c r="N92" s="149"/>
      <c r="O92" s="148"/>
      <c r="P92" s="148"/>
      <c r="Q92" s="148"/>
      <c r="R92" s="148"/>
      <c r="S92" s="148">
        <v>0</v>
      </c>
      <c r="T92" s="149"/>
      <c r="U92" s="148">
        <v>0</v>
      </c>
      <c r="V92" s="150">
        <v>0</v>
      </c>
      <c r="W92" s="148"/>
      <c r="X92" s="148">
        <v>0</v>
      </c>
      <c r="Y92" s="150">
        <v>0</v>
      </c>
      <c r="Z92" s="148"/>
      <c r="AA92" s="148">
        <v>0</v>
      </c>
      <c r="AB92" s="150">
        <v>0</v>
      </c>
    </row>
    <row r="93" spans="1:28" ht="24.95" hidden="1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133</v>
      </c>
      <c r="M93" s="148"/>
      <c r="N93" s="149"/>
      <c r="O93" s="148"/>
      <c r="P93" s="148"/>
      <c r="Q93" s="148"/>
      <c r="R93" s="148"/>
      <c r="S93" s="148">
        <v>0</v>
      </c>
      <c r="T93" s="149"/>
      <c r="U93" s="148">
        <v>0</v>
      </c>
      <c r="V93" s="150">
        <v>0</v>
      </c>
      <c r="W93" s="148"/>
      <c r="X93" s="148">
        <v>0</v>
      </c>
      <c r="Y93" s="150">
        <v>0</v>
      </c>
      <c r="Z93" s="148"/>
      <c r="AA93" s="148">
        <v>0</v>
      </c>
      <c r="AB93" s="150">
        <v>0</v>
      </c>
    </row>
    <row r="94" spans="1:28" ht="24.95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 t="s">
        <v>28</v>
      </c>
      <c r="K94" s="146" t="s">
        <v>29</v>
      </c>
      <c r="L94" s="147" t="s">
        <v>135</v>
      </c>
      <c r="M94" s="149">
        <v>10390000000</v>
      </c>
      <c r="N94" s="148"/>
      <c r="O94" s="148"/>
      <c r="P94" s="148"/>
      <c r="Q94" s="148"/>
      <c r="R94" s="149">
        <v>10390000000</v>
      </c>
      <c r="S94" s="148">
        <v>0</v>
      </c>
      <c r="T94" s="149"/>
      <c r="U94" s="148">
        <v>0</v>
      </c>
      <c r="V94" s="150">
        <v>0</v>
      </c>
      <c r="W94" s="148"/>
      <c r="X94" s="148">
        <v>0</v>
      </c>
      <c r="Y94" s="150">
        <v>0</v>
      </c>
      <c r="Z94" s="148"/>
      <c r="AA94" s="148">
        <v>0</v>
      </c>
      <c r="AB94" s="150">
        <v>0</v>
      </c>
    </row>
    <row r="95" spans="1:28" ht="24.95" hidden="1" customHeight="1">
      <c r="A95" s="32" t="e">
        <v>#REF!</v>
      </c>
      <c r="B95" s="144" t="s">
        <v>627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134</v>
      </c>
      <c r="H95" s="145"/>
      <c r="I95" s="145"/>
      <c r="J95" s="145">
        <v>11</v>
      </c>
      <c r="K95" s="146" t="s">
        <v>29</v>
      </c>
      <c r="L95" s="147" t="s">
        <v>135</v>
      </c>
      <c r="M95" s="148"/>
      <c r="N95" s="148"/>
      <c r="O95" s="148"/>
      <c r="P95" s="148"/>
      <c r="Q95" s="148"/>
      <c r="R95" s="148"/>
      <c r="S95" s="148">
        <v>0</v>
      </c>
      <c r="T95" s="148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" customHeight="1">
      <c r="A96" s="32" t="e">
        <v>#REF!</v>
      </c>
      <c r="B96" s="127" t="s">
        <v>403</v>
      </c>
      <c r="C96" s="128" t="s">
        <v>23</v>
      </c>
      <c r="D96" s="128" t="s">
        <v>65</v>
      </c>
      <c r="E96" s="128" t="s">
        <v>136</v>
      </c>
      <c r="F96" s="128"/>
      <c r="G96" s="128"/>
      <c r="H96" s="128"/>
      <c r="I96" s="128"/>
      <c r="J96" s="129"/>
      <c r="K96" s="129"/>
      <c r="L96" s="129" t="s">
        <v>137</v>
      </c>
      <c r="M96" s="130">
        <v>719000000</v>
      </c>
      <c r="N96" s="721">
        <v>0</v>
      </c>
      <c r="O96" s="721">
        <v>0</v>
      </c>
      <c r="P96" s="130">
        <v>0</v>
      </c>
      <c r="Q96" s="130">
        <v>0</v>
      </c>
      <c r="R96" s="721">
        <v>0</v>
      </c>
      <c r="S96" s="130">
        <v>719000000</v>
      </c>
      <c r="T96" s="130">
        <v>60434321</v>
      </c>
      <c r="U96" s="130">
        <v>658565679</v>
      </c>
      <c r="V96" s="131">
        <v>8.4053297635605012E-2</v>
      </c>
      <c r="W96" s="130">
        <v>41775738</v>
      </c>
      <c r="X96" s="130">
        <v>18658583</v>
      </c>
      <c r="Y96" s="131">
        <v>0.30874150137303602</v>
      </c>
      <c r="Z96" s="130">
        <v>41775738</v>
      </c>
      <c r="AA96" s="721">
        <v>0</v>
      </c>
      <c r="AB96" s="722">
        <v>0.69125849862696398</v>
      </c>
    </row>
    <row r="97" spans="1:30" ht="24" customHeight="1">
      <c r="A97" s="32" t="e">
        <v>#REF!</v>
      </c>
      <c r="B97" s="132" t="s">
        <v>405</v>
      </c>
      <c r="C97" s="133" t="s">
        <v>23</v>
      </c>
      <c r="D97" s="133" t="s">
        <v>65</v>
      </c>
      <c r="E97" s="133" t="s">
        <v>136</v>
      </c>
      <c r="F97" s="133" t="s">
        <v>54</v>
      </c>
      <c r="G97" s="133"/>
      <c r="H97" s="133"/>
      <c r="I97" s="133"/>
      <c r="J97" s="133" t="s">
        <v>28</v>
      </c>
      <c r="K97" s="134" t="s">
        <v>29</v>
      </c>
      <c r="L97" s="134" t="s">
        <v>138</v>
      </c>
      <c r="M97" s="135">
        <v>719000000</v>
      </c>
      <c r="N97" s="136">
        <v>0</v>
      </c>
      <c r="O97" s="136">
        <v>0</v>
      </c>
      <c r="P97" s="135">
        <v>0</v>
      </c>
      <c r="Q97" s="135">
        <v>0</v>
      </c>
      <c r="R97" s="136">
        <v>0</v>
      </c>
      <c r="S97" s="135">
        <v>719000000</v>
      </c>
      <c r="T97" s="135">
        <v>60434321</v>
      </c>
      <c r="U97" s="135">
        <v>658565679</v>
      </c>
      <c r="V97" s="137">
        <v>8.4053297635605012E-2</v>
      </c>
      <c r="W97" s="135">
        <v>41775738</v>
      </c>
      <c r="X97" s="135">
        <v>18658583</v>
      </c>
      <c r="Y97" s="137">
        <v>0.30874150137303602</v>
      </c>
      <c r="Z97" s="135">
        <v>41775738</v>
      </c>
      <c r="AA97" s="136">
        <v>0</v>
      </c>
      <c r="AB97" s="723">
        <v>0.69125849862696398</v>
      </c>
    </row>
    <row r="98" spans="1:30" ht="24.95" customHeight="1">
      <c r="A98" s="32" t="e">
        <v>#REF!</v>
      </c>
      <c r="B98" s="138" t="s">
        <v>407</v>
      </c>
      <c r="C98" s="139" t="s">
        <v>23</v>
      </c>
      <c r="D98" s="139" t="s">
        <v>65</v>
      </c>
      <c r="E98" s="139" t="s">
        <v>136</v>
      </c>
      <c r="F98" s="139" t="s">
        <v>54</v>
      </c>
      <c r="G98" s="139" t="s">
        <v>52</v>
      </c>
      <c r="H98" s="139"/>
      <c r="I98" s="139"/>
      <c r="J98" s="139" t="s">
        <v>28</v>
      </c>
      <c r="K98" s="140" t="s">
        <v>29</v>
      </c>
      <c r="L98" s="140" t="s">
        <v>139</v>
      </c>
      <c r="M98" s="141">
        <v>719000000</v>
      </c>
      <c r="N98" s="142">
        <v>0</v>
      </c>
      <c r="O98" s="142">
        <v>0</v>
      </c>
      <c r="P98" s="141">
        <v>0</v>
      </c>
      <c r="Q98" s="141">
        <v>0</v>
      </c>
      <c r="R98" s="142">
        <v>0</v>
      </c>
      <c r="S98" s="141">
        <v>719000000</v>
      </c>
      <c r="T98" s="141">
        <v>60434321</v>
      </c>
      <c r="U98" s="141">
        <v>658565679</v>
      </c>
      <c r="V98" s="143">
        <v>8.4053297635605012E-2</v>
      </c>
      <c r="W98" s="141">
        <v>41775738</v>
      </c>
      <c r="X98" s="141">
        <v>18658583</v>
      </c>
      <c r="Y98" s="143">
        <v>0.30874150137303602</v>
      </c>
      <c r="Z98" s="141">
        <v>41775738</v>
      </c>
      <c r="AA98" s="142">
        <v>0</v>
      </c>
      <c r="AB98" s="724">
        <v>0.69125849862696398</v>
      </c>
    </row>
    <row r="99" spans="1:30" ht="24.95" customHeight="1">
      <c r="A99" s="32" t="e">
        <v>#REF!</v>
      </c>
      <c r="B99" s="144" t="s">
        <v>409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31</v>
      </c>
      <c r="I99" s="145"/>
      <c r="J99" s="145" t="s">
        <v>28</v>
      </c>
      <c r="K99" s="146" t="s">
        <v>29</v>
      </c>
      <c r="L99" s="147" t="s">
        <v>140</v>
      </c>
      <c r="M99" s="148">
        <v>359500000</v>
      </c>
      <c r="N99" s="148"/>
      <c r="O99" s="148"/>
      <c r="P99" s="148"/>
      <c r="Q99" s="149"/>
      <c r="R99" s="148"/>
      <c r="S99" s="148">
        <v>359500000</v>
      </c>
      <c r="T99" s="148">
        <v>20585851</v>
      </c>
      <c r="U99" s="148">
        <v>338914149</v>
      </c>
      <c r="V99" s="150">
        <v>5.7262450625869266E-2</v>
      </c>
      <c r="W99" s="148">
        <v>18681206</v>
      </c>
      <c r="X99" s="148">
        <v>1904645</v>
      </c>
      <c r="Y99" s="150">
        <v>9.2522043417102365E-2</v>
      </c>
      <c r="Z99" s="148">
        <v>18681206</v>
      </c>
      <c r="AA99" s="148">
        <v>0</v>
      </c>
      <c r="AB99" s="150">
        <v>0.90747795658289765</v>
      </c>
    </row>
    <row r="100" spans="1:30" ht="24.95" customHeight="1">
      <c r="A100" s="32" t="e">
        <v>#REF!</v>
      </c>
      <c r="B100" s="144" t="s">
        <v>411</v>
      </c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52</v>
      </c>
      <c r="H100" s="145" t="s">
        <v>34</v>
      </c>
      <c r="I100" s="145"/>
      <c r="J100" s="145" t="s">
        <v>28</v>
      </c>
      <c r="K100" s="146" t="s">
        <v>29</v>
      </c>
      <c r="L100" s="147" t="s">
        <v>141</v>
      </c>
      <c r="M100" s="148">
        <v>359500000</v>
      </c>
      <c r="N100" s="148"/>
      <c r="O100" s="148"/>
      <c r="P100" s="149"/>
      <c r="Q100" s="148"/>
      <c r="R100" s="148"/>
      <c r="S100" s="148">
        <v>359500000</v>
      </c>
      <c r="T100" s="148">
        <v>39848470</v>
      </c>
      <c r="U100" s="148">
        <v>319651530</v>
      </c>
      <c r="V100" s="150">
        <v>0.11084414464534074</v>
      </c>
      <c r="W100" s="148">
        <v>23094532</v>
      </c>
      <c r="X100" s="148">
        <v>16753938</v>
      </c>
      <c r="Y100" s="150">
        <v>0.42044118632409222</v>
      </c>
      <c r="Z100" s="148">
        <v>23094532</v>
      </c>
      <c r="AA100" s="148">
        <v>0</v>
      </c>
      <c r="AB100" s="150">
        <v>0.57955881367590778</v>
      </c>
    </row>
    <row r="101" spans="1:30" ht="24.95" hidden="1" customHeight="1">
      <c r="A101" s="32" t="e">
        <v>#REF!</v>
      </c>
      <c r="B101" s="32"/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142</v>
      </c>
      <c r="H101" s="145"/>
      <c r="I101" s="145"/>
      <c r="J101" s="145" t="s">
        <v>28</v>
      </c>
      <c r="K101" s="146" t="s">
        <v>29</v>
      </c>
      <c r="L101" s="147" t="s">
        <v>260</v>
      </c>
      <c r="M101" s="148">
        <v>0</v>
      </c>
      <c r="N101" s="148"/>
      <c r="O101" s="148"/>
      <c r="P101" s="148"/>
      <c r="Q101" s="148"/>
      <c r="R101" s="148"/>
      <c r="S101" s="148">
        <v>0</v>
      </c>
      <c r="T101" s="148">
        <v>0</v>
      </c>
      <c r="U101" s="148">
        <v>0</v>
      </c>
      <c r="V101" s="150">
        <v>0</v>
      </c>
      <c r="W101" s="148">
        <v>0</v>
      </c>
      <c r="X101" s="148">
        <v>0</v>
      </c>
      <c r="Y101" s="150">
        <v>0</v>
      </c>
      <c r="Z101" s="148">
        <v>0</v>
      </c>
      <c r="AA101" s="148">
        <v>0</v>
      </c>
      <c r="AB101" s="150">
        <v>0</v>
      </c>
    </row>
    <row r="102" spans="1:30" ht="24" customHeight="1">
      <c r="A102" s="32" t="e">
        <v>#REF!</v>
      </c>
      <c r="B102" s="127" t="s">
        <v>415</v>
      </c>
      <c r="C102" s="128" t="s">
        <v>23</v>
      </c>
      <c r="D102" s="128" t="s">
        <v>65</v>
      </c>
      <c r="E102" s="128" t="s">
        <v>28</v>
      </c>
      <c r="F102" s="128"/>
      <c r="G102" s="128"/>
      <c r="H102" s="128"/>
      <c r="I102" s="128"/>
      <c r="J102" s="129"/>
      <c r="K102" s="129"/>
      <c r="L102" s="129" t="s">
        <v>143</v>
      </c>
      <c r="M102" s="130">
        <v>2359000000</v>
      </c>
      <c r="N102" s="721">
        <v>0</v>
      </c>
      <c r="O102" s="721">
        <v>0</v>
      </c>
      <c r="P102" s="721">
        <v>0</v>
      </c>
      <c r="Q102" s="721">
        <v>0</v>
      </c>
      <c r="R102" s="721">
        <v>0</v>
      </c>
      <c r="S102" s="130">
        <v>2359000000</v>
      </c>
      <c r="T102" s="130">
        <v>0</v>
      </c>
      <c r="U102" s="130">
        <v>2359000000</v>
      </c>
      <c r="V102" s="131">
        <v>0</v>
      </c>
      <c r="W102" s="130">
        <v>0</v>
      </c>
      <c r="X102" s="130">
        <v>0</v>
      </c>
      <c r="Y102" s="131">
        <v>0</v>
      </c>
      <c r="Z102" s="130">
        <v>0</v>
      </c>
      <c r="AA102" s="130">
        <v>0</v>
      </c>
      <c r="AB102" s="722">
        <v>0</v>
      </c>
    </row>
    <row r="103" spans="1:30" ht="24" hidden="1" customHeight="1">
      <c r="A103" s="32" t="e">
        <v>#REF!</v>
      </c>
      <c r="B103" s="132" t="s">
        <v>417</v>
      </c>
      <c r="C103" s="133" t="s">
        <v>23</v>
      </c>
      <c r="D103" s="133" t="s">
        <v>65</v>
      </c>
      <c r="E103" s="133" t="s">
        <v>28</v>
      </c>
      <c r="F103" s="133" t="s">
        <v>25</v>
      </c>
      <c r="G103" s="133"/>
      <c r="H103" s="133"/>
      <c r="I103" s="133"/>
      <c r="J103" s="133" t="s">
        <v>144</v>
      </c>
      <c r="K103" s="134" t="s">
        <v>29</v>
      </c>
      <c r="L103" s="134" t="s">
        <v>145</v>
      </c>
      <c r="M103" s="135">
        <v>2359000000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5">
        <v>2359000000</v>
      </c>
      <c r="T103" s="135">
        <v>0</v>
      </c>
      <c r="U103" s="135">
        <v>2359000000</v>
      </c>
      <c r="V103" s="137">
        <v>0</v>
      </c>
      <c r="W103" s="135">
        <v>0</v>
      </c>
      <c r="X103" s="136">
        <v>0</v>
      </c>
      <c r="Y103" s="137">
        <v>0</v>
      </c>
      <c r="Z103" s="135">
        <v>0</v>
      </c>
      <c r="AA103" s="135">
        <v>0</v>
      </c>
      <c r="AB103" s="723">
        <v>0</v>
      </c>
    </row>
    <row r="104" spans="1:30" ht="24.95" hidden="1" customHeight="1">
      <c r="A104" s="32" t="e">
        <v>#REF!</v>
      </c>
      <c r="B104" s="144" t="s">
        <v>418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45" t="s">
        <v>31</v>
      </c>
      <c r="H104" s="145"/>
      <c r="I104" s="145"/>
      <c r="J104" s="145">
        <v>10</v>
      </c>
      <c r="K104" s="146" t="s">
        <v>29</v>
      </c>
      <c r="L104" s="147" t="s">
        <v>146</v>
      </c>
      <c r="M104" s="149">
        <v>2359000000</v>
      </c>
      <c r="N104" s="148"/>
      <c r="O104" s="148"/>
      <c r="P104" s="148"/>
      <c r="Q104" s="148"/>
      <c r="R104" s="148"/>
      <c r="S104" s="148">
        <v>2359000000</v>
      </c>
      <c r="T104" s="149"/>
      <c r="U104" s="148">
        <v>2359000000</v>
      </c>
      <c r="V104" s="150">
        <v>0</v>
      </c>
      <c r="W104" s="148"/>
      <c r="X104" s="148">
        <v>0</v>
      </c>
      <c r="Y104" s="150">
        <v>0</v>
      </c>
      <c r="Z104" s="148"/>
      <c r="AA104" s="148">
        <v>0</v>
      </c>
      <c r="AB104" s="150">
        <v>0</v>
      </c>
    </row>
    <row r="105" spans="1:30" ht="24" customHeight="1">
      <c r="A105" s="32" t="e">
        <v>#REF!</v>
      </c>
      <c r="B105" s="122" t="s">
        <v>421</v>
      </c>
      <c r="C105" s="123" t="s">
        <v>23</v>
      </c>
      <c r="D105" s="123" t="s">
        <v>148</v>
      </c>
      <c r="E105" s="123"/>
      <c r="F105" s="123"/>
      <c r="G105" s="123"/>
      <c r="H105" s="123"/>
      <c r="I105" s="123"/>
      <c r="J105" s="124"/>
      <c r="K105" s="124"/>
      <c r="L105" s="124" t="s">
        <v>149</v>
      </c>
      <c r="M105" s="125">
        <v>17105900000</v>
      </c>
      <c r="N105" s="719">
        <v>0</v>
      </c>
      <c r="O105" s="719">
        <v>0</v>
      </c>
      <c r="P105" s="125">
        <v>0</v>
      </c>
      <c r="Q105" s="125">
        <v>0</v>
      </c>
      <c r="R105" s="719">
        <v>0</v>
      </c>
      <c r="S105" s="125">
        <v>17105900000</v>
      </c>
      <c r="T105" s="125">
        <v>3203077</v>
      </c>
      <c r="U105" s="125">
        <v>17102696923</v>
      </c>
      <c r="V105" s="126">
        <v>1.8724983777527053E-4</v>
      </c>
      <c r="W105" s="125">
        <v>3203077</v>
      </c>
      <c r="X105" s="125">
        <v>0</v>
      </c>
      <c r="Y105" s="126">
        <v>0</v>
      </c>
      <c r="Z105" s="125">
        <v>3190288</v>
      </c>
      <c r="AA105" s="125">
        <v>12789</v>
      </c>
      <c r="AB105" s="720">
        <v>0.9960072767529472</v>
      </c>
    </row>
    <row r="106" spans="1:30" ht="24" customHeight="1">
      <c r="A106" s="32" t="e">
        <v>#REF!</v>
      </c>
      <c r="B106" s="127" t="s">
        <v>423</v>
      </c>
      <c r="C106" s="128" t="s">
        <v>23</v>
      </c>
      <c r="D106" s="128" t="s">
        <v>148</v>
      </c>
      <c r="E106" s="128" t="s">
        <v>25</v>
      </c>
      <c r="F106" s="128"/>
      <c r="G106" s="128"/>
      <c r="H106" s="128"/>
      <c r="I106" s="128"/>
      <c r="J106" s="129"/>
      <c r="K106" s="129"/>
      <c r="L106" s="129" t="s">
        <v>150</v>
      </c>
      <c r="M106" s="130">
        <v>137900000</v>
      </c>
      <c r="N106" s="721">
        <v>0</v>
      </c>
      <c r="O106" s="721">
        <v>0</v>
      </c>
      <c r="P106" s="721">
        <v>0</v>
      </c>
      <c r="Q106" s="721">
        <v>0</v>
      </c>
      <c r="R106" s="721">
        <v>0</v>
      </c>
      <c r="S106" s="130">
        <v>137900000</v>
      </c>
      <c r="T106" s="130">
        <v>3203077</v>
      </c>
      <c r="U106" s="130">
        <v>134696923</v>
      </c>
      <c r="V106" s="131">
        <v>2.3227534445250182E-2</v>
      </c>
      <c r="W106" s="130">
        <v>3203077</v>
      </c>
      <c r="X106" s="130">
        <v>0</v>
      </c>
      <c r="Y106" s="131">
        <v>0</v>
      </c>
      <c r="Z106" s="130">
        <v>3190288</v>
      </c>
      <c r="AA106" s="130">
        <v>12789</v>
      </c>
      <c r="AB106" s="722">
        <v>0.9960072767529472</v>
      </c>
    </row>
    <row r="107" spans="1:30" ht="24" customHeight="1">
      <c r="A107" s="32" t="e">
        <v>#REF!</v>
      </c>
      <c r="B107" s="132" t="s">
        <v>425</v>
      </c>
      <c r="C107" s="133" t="s">
        <v>23</v>
      </c>
      <c r="D107" s="133" t="s">
        <v>148</v>
      </c>
      <c r="E107" s="133" t="s">
        <v>25</v>
      </c>
      <c r="F107" s="133" t="s">
        <v>54</v>
      </c>
      <c r="G107" s="133"/>
      <c r="H107" s="133"/>
      <c r="I107" s="133"/>
      <c r="J107" s="133" t="s">
        <v>28</v>
      </c>
      <c r="K107" s="134" t="s">
        <v>29</v>
      </c>
      <c r="L107" s="134" t="s">
        <v>151</v>
      </c>
      <c r="M107" s="135">
        <v>137900000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5">
        <v>137900000</v>
      </c>
      <c r="T107" s="135">
        <v>3203077</v>
      </c>
      <c r="U107" s="135">
        <v>134696923</v>
      </c>
      <c r="V107" s="137">
        <v>2.3227534445250182E-2</v>
      </c>
      <c r="W107" s="135">
        <v>3203077</v>
      </c>
      <c r="X107" s="136">
        <v>0</v>
      </c>
      <c r="Y107" s="137">
        <v>0</v>
      </c>
      <c r="Z107" s="135">
        <v>3190288</v>
      </c>
      <c r="AA107" s="135">
        <v>12789</v>
      </c>
      <c r="AB107" s="723">
        <v>0.9960072767529472</v>
      </c>
    </row>
    <row r="108" spans="1:30" ht="24.95" customHeight="1">
      <c r="A108" s="32" t="e">
        <v>#REF!</v>
      </c>
      <c r="B108" s="144" t="s">
        <v>427</v>
      </c>
      <c r="C108" s="145" t="s">
        <v>23</v>
      </c>
      <c r="D108" s="145" t="s">
        <v>148</v>
      </c>
      <c r="E108" s="145" t="s">
        <v>25</v>
      </c>
      <c r="F108" s="145" t="s">
        <v>54</v>
      </c>
      <c r="G108" s="145" t="s">
        <v>31</v>
      </c>
      <c r="H108" s="145"/>
      <c r="I108" s="145"/>
      <c r="J108" s="145" t="s">
        <v>28</v>
      </c>
      <c r="K108" s="146" t="s">
        <v>29</v>
      </c>
      <c r="L108" s="147" t="s">
        <v>152</v>
      </c>
      <c r="M108" s="148">
        <v>61800000</v>
      </c>
      <c r="N108" s="148">
        <v>0</v>
      </c>
      <c r="O108" s="148"/>
      <c r="P108" s="148"/>
      <c r="Q108" s="148"/>
      <c r="R108" s="148"/>
      <c r="S108" s="148">
        <v>61800000</v>
      </c>
      <c r="T108" s="148">
        <v>0</v>
      </c>
      <c r="U108" s="148">
        <v>61800000</v>
      </c>
      <c r="V108" s="150">
        <v>0</v>
      </c>
      <c r="W108" s="148">
        <v>0</v>
      </c>
      <c r="X108" s="148">
        <v>0</v>
      </c>
      <c r="Y108" s="150">
        <v>0</v>
      </c>
      <c r="Z108" s="148">
        <v>0</v>
      </c>
      <c r="AA108" s="148">
        <v>0</v>
      </c>
      <c r="AB108" s="150">
        <v>0</v>
      </c>
    </row>
    <row r="109" spans="1:30" ht="24.95" customHeight="1">
      <c r="A109" s="32" t="e">
        <v>#REF!</v>
      </c>
      <c r="B109" s="144" t="s">
        <v>429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38</v>
      </c>
      <c r="H109" s="145"/>
      <c r="I109" s="145"/>
      <c r="J109" s="145" t="s">
        <v>28</v>
      </c>
      <c r="K109" s="146" t="s">
        <v>29</v>
      </c>
      <c r="L109" s="147" t="s">
        <v>153</v>
      </c>
      <c r="M109" s="148">
        <v>50000000</v>
      </c>
      <c r="N109" s="148"/>
      <c r="O109" s="148"/>
      <c r="P109" s="148"/>
      <c r="Q109" s="148"/>
      <c r="R109" s="148"/>
      <c r="S109" s="148">
        <v>50000000</v>
      </c>
      <c r="T109" s="148">
        <v>3203077</v>
      </c>
      <c r="U109" s="148">
        <v>46796923</v>
      </c>
      <c r="V109" s="150">
        <v>6.406154E-2</v>
      </c>
      <c r="W109" s="148">
        <v>3203077</v>
      </c>
      <c r="X109" s="148">
        <v>0</v>
      </c>
      <c r="Y109" s="150">
        <v>0</v>
      </c>
      <c r="Z109" s="148">
        <v>3190288</v>
      </c>
      <c r="AA109" s="148">
        <v>12789</v>
      </c>
      <c r="AB109" s="150">
        <v>0.9960072767529472</v>
      </c>
    </row>
    <row r="110" spans="1:30" ht="24.95" customHeight="1">
      <c r="A110" s="32" t="e">
        <v>#REF!</v>
      </c>
      <c r="B110" s="144" t="s">
        <v>431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42</v>
      </c>
      <c r="H110" s="145"/>
      <c r="I110" s="145"/>
      <c r="J110" s="145" t="s">
        <v>28</v>
      </c>
      <c r="K110" s="146" t="s">
        <v>29</v>
      </c>
      <c r="L110" s="147" t="s">
        <v>154</v>
      </c>
      <c r="M110" s="148">
        <v>26100000</v>
      </c>
      <c r="N110" s="148">
        <v>0</v>
      </c>
      <c r="O110" s="148"/>
      <c r="P110" s="148"/>
      <c r="Q110" s="148"/>
      <c r="R110" s="148"/>
      <c r="S110" s="148">
        <v>26100000</v>
      </c>
      <c r="T110" s="148">
        <v>0</v>
      </c>
      <c r="U110" s="148">
        <v>26100000</v>
      </c>
      <c r="V110" s="150">
        <v>0</v>
      </c>
      <c r="W110" s="148">
        <v>0</v>
      </c>
      <c r="X110" s="148">
        <v>0</v>
      </c>
      <c r="Y110" s="150">
        <v>0</v>
      </c>
      <c r="Z110" s="148">
        <v>0</v>
      </c>
      <c r="AA110" s="148">
        <v>0</v>
      </c>
      <c r="AB110" s="150">
        <v>0</v>
      </c>
    </row>
    <row r="111" spans="1:30" ht="24" customHeight="1">
      <c r="A111" s="32" t="e">
        <v>#REF!</v>
      </c>
      <c r="B111" s="127" t="s">
        <v>432</v>
      </c>
      <c r="C111" s="128" t="s">
        <v>23</v>
      </c>
      <c r="D111" s="128" t="s">
        <v>148</v>
      </c>
      <c r="E111" s="128" t="s">
        <v>136</v>
      </c>
      <c r="F111" s="128"/>
      <c r="G111" s="128"/>
      <c r="H111" s="128"/>
      <c r="I111" s="128"/>
      <c r="J111" s="129"/>
      <c r="K111" s="129"/>
      <c r="L111" s="129" t="s">
        <v>155</v>
      </c>
      <c r="M111" s="130">
        <v>16968000000</v>
      </c>
      <c r="N111" s="721">
        <v>0</v>
      </c>
      <c r="O111" s="721">
        <v>0</v>
      </c>
      <c r="P111" s="130">
        <v>0</v>
      </c>
      <c r="Q111" s="130">
        <v>0</v>
      </c>
      <c r="R111" s="721">
        <v>0</v>
      </c>
      <c r="S111" s="130">
        <v>16968000000</v>
      </c>
      <c r="T111" s="130">
        <v>0</v>
      </c>
      <c r="U111" s="130">
        <v>16968000000</v>
      </c>
      <c r="V111" s="131">
        <v>0</v>
      </c>
      <c r="W111" s="130">
        <v>0</v>
      </c>
      <c r="X111" s="130">
        <v>0</v>
      </c>
      <c r="Y111" s="131">
        <v>0</v>
      </c>
      <c r="Z111" s="130">
        <v>0</v>
      </c>
      <c r="AA111" s="130">
        <v>0</v>
      </c>
      <c r="AB111" s="722">
        <v>0</v>
      </c>
    </row>
    <row r="112" spans="1:30" ht="24.95" hidden="1" customHeight="1">
      <c r="A112" s="32"/>
      <c r="B112" s="32"/>
      <c r="C112" s="145" t="s">
        <v>23</v>
      </c>
      <c r="D112" s="145" t="s">
        <v>148</v>
      </c>
      <c r="E112" s="145" t="s">
        <v>136</v>
      </c>
      <c r="F112" s="145" t="s">
        <v>25</v>
      </c>
      <c r="G112" s="145"/>
      <c r="H112" s="145"/>
      <c r="I112" s="145"/>
      <c r="J112" s="145">
        <v>10</v>
      </c>
      <c r="K112" s="146" t="s">
        <v>156</v>
      </c>
      <c r="L112" s="147" t="s">
        <v>157</v>
      </c>
      <c r="M112" s="148">
        <v>0</v>
      </c>
      <c r="N112" s="148"/>
      <c r="O112" s="148"/>
      <c r="P112" s="148"/>
      <c r="Q112" s="148"/>
      <c r="R112" s="148"/>
      <c r="S112" s="148">
        <v>0</v>
      </c>
      <c r="T112" s="148">
        <v>0</v>
      </c>
      <c r="U112" s="148">
        <v>0</v>
      </c>
      <c r="V112" s="150">
        <v>0</v>
      </c>
      <c r="W112" s="148">
        <v>0</v>
      </c>
      <c r="X112" s="148">
        <v>0</v>
      </c>
      <c r="Y112" s="150">
        <v>0</v>
      </c>
      <c r="Z112" s="148">
        <v>0</v>
      </c>
      <c r="AA112" s="148">
        <v>0</v>
      </c>
      <c r="AB112" s="150">
        <v>0</v>
      </c>
    </row>
    <row r="113" spans="1:28" ht="24.95" customHeight="1">
      <c r="A113" s="32" t="e">
        <v>#REF!</v>
      </c>
      <c r="B113" s="144" t="s">
        <v>434</v>
      </c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 t="s">
        <v>144</v>
      </c>
      <c r="K113" s="146" t="s">
        <v>156</v>
      </c>
      <c r="L113" s="147" t="s">
        <v>157</v>
      </c>
      <c r="M113" s="149">
        <v>16968000000</v>
      </c>
      <c r="N113" s="148"/>
      <c r="O113" s="148"/>
      <c r="P113" s="148"/>
      <c r="Q113" s="148"/>
      <c r="R113" s="148"/>
      <c r="S113" s="148">
        <v>16968000000</v>
      </c>
      <c r="T113" s="148">
        <v>0</v>
      </c>
      <c r="U113" s="148">
        <v>16968000000</v>
      </c>
      <c r="V113" s="150">
        <v>0</v>
      </c>
      <c r="W113" s="148"/>
      <c r="X113" s="148">
        <v>0</v>
      </c>
      <c r="Y113" s="150">
        <v>0</v>
      </c>
      <c r="Z113" s="148"/>
      <c r="AA113" s="148">
        <v>0</v>
      </c>
      <c r="AB113" s="150">
        <v>0</v>
      </c>
    </row>
    <row r="114" spans="1:28" ht="35.1" customHeight="1">
      <c r="A114" s="32" t="e">
        <v>#REF!</v>
      </c>
      <c r="B114" s="117" t="s">
        <v>162</v>
      </c>
      <c r="C114" s="118" t="s">
        <v>162</v>
      </c>
      <c r="D114" s="119"/>
      <c r="E114" s="119"/>
      <c r="F114" s="119"/>
      <c r="G114" s="119"/>
      <c r="H114" s="119"/>
      <c r="I114" s="119"/>
      <c r="J114" s="119"/>
      <c r="K114" s="119"/>
      <c r="L114" s="119" t="s">
        <v>163</v>
      </c>
      <c r="M114" s="120">
        <v>381865302</v>
      </c>
      <c r="N114" s="120">
        <v>0</v>
      </c>
      <c r="O114" s="120">
        <v>0</v>
      </c>
      <c r="P114" s="120">
        <v>0</v>
      </c>
      <c r="Q114" s="120">
        <v>0</v>
      </c>
      <c r="R114" s="120">
        <v>0</v>
      </c>
      <c r="S114" s="120">
        <v>381865302</v>
      </c>
      <c r="T114" s="120">
        <v>0</v>
      </c>
      <c r="U114" s="120">
        <v>381865302</v>
      </c>
      <c r="V114" s="121">
        <v>0</v>
      </c>
      <c r="W114" s="120">
        <v>0</v>
      </c>
      <c r="X114" s="120">
        <v>0</v>
      </c>
      <c r="Y114" s="121">
        <v>0</v>
      </c>
      <c r="Z114" s="120">
        <v>0</v>
      </c>
      <c r="AA114" s="120">
        <v>0</v>
      </c>
      <c r="AB114" s="718">
        <v>0</v>
      </c>
    </row>
    <row r="115" spans="1:28" ht="24" customHeight="1">
      <c r="A115" s="32" t="e">
        <v>#REF!</v>
      </c>
      <c r="B115" s="122" t="s">
        <v>729</v>
      </c>
      <c r="C115" s="123" t="s">
        <v>162</v>
      </c>
      <c r="D115" s="123">
        <v>10</v>
      </c>
      <c r="E115" s="123"/>
      <c r="F115" s="123"/>
      <c r="G115" s="123"/>
      <c r="H115" s="123"/>
      <c r="I115" s="123"/>
      <c r="J115" s="124"/>
      <c r="K115" s="124"/>
      <c r="L115" s="124" t="s">
        <v>164</v>
      </c>
      <c r="M115" s="125">
        <v>381865302</v>
      </c>
      <c r="N115" s="719">
        <v>0</v>
      </c>
      <c r="O115" s="719">
        <v>0</v>
      </c>
      <c r="P115" s="125">
        <v>0</v>
      </c>
      <c r="Q115" s="125">
        <v>0</v>
      </c>
      <c r="R115" s="719">
        <v>0</v>
      </c>
      <c r="S115" s="125">
        <v>381865302</v>
      </c>
      <c r="T115" s="125">
        <v>0</v>
      </c>
      <c r="U115" s="125">
        <v>381865302</v>
      </c>
      <c r="V115" s="126">
        <v>0</v>
      </c>
      <c r="W115" s="125">
        <v>0</v>
      </c>
      <c r="X115" s="125">
        <v>0</v>
      </c>
      <c r="Y115" s="126">
        <v>0</v>
      </c>
      <c r="Z115" s="125">
        <v>0</v>
      </c>
      <c r="AA115" s="125">
        <v>0</v>
      </c>
      <c r="AB115" s="720">
        <v>0</v>
      </c>
    </row>
    <row r="116" spans="1:28" ht="24" customHeight="1">
      <c r="A116" s="32" t="e">
        <v>#REF!</v>
      </c>
      <c r="B116" s="127" t="s">
        <v>730</v>
      </c>
      <c r="C116" s="128" t="s">
        <v>162</v>
      </c>
      <c r="D116" s="128">
        <v>10</v>
      </c>
      <c r="E116" s="128" t="s">
        <v>136</v>
      </c>
      <c r="F116" s="128"/>
      <c r="G116" s="128"/>
      <c r="H116" s="128"/>
      <c r="I116" s="128"/>
      <c r="J116" s="129"/>
      <c r="K116" s="129"/>
      <c r="L116" s="129" t="s">
        <v>165</v>
      </c>
      <c r="M116" s="130">
        <v>381865302</v>
      </c>
      <c r="N116" s="130">
        <v>0</v>
      </c>
      <c r="O116" s="130">
        <v>0</v>
      </c>
      <c r="P116" s="130">
        <v>0</v>
      </c>
      <c r="Q116" s="130">
        <v>0</v>
      </c>
      <c r="R116" s="130">
        <v>0</v>
      </c>
      <c r="S116" s="130">
        <v>381865302</v>
      </c>
      <c r="T116" s="130">
        <v>0</v>
      </c>
      <c r="U116" s="130">
        <v>381865302</v>
      </c>
      <c r="V116" s="131">
        <v>0</v>
      </c>
      <c r="W116" s="130">
        <v>0</v>
      </c>
      <c r="X116" s="130">
        <v>0</v>
      </c>
      <c r="Y116" s="131">
        <v>0</v>
      </c>
      <c r="Z116" s="130">
        <v>0</v>
      </c>
      <c r="AA116" s="130">
        <v>0</v>
      </c>
      <c r="AB116" s="722">
        <v>0</v>
      </c>
    </row>
    <row r="117" spans="1:28" ht="24.95" customHeight="1">
      <c r="A117" s="32" t="e">
        <v>#REF!</v>
      </c>
      <c r="B117" s="144" t="s">
        <v>731</v>
      </c>
      <c r="C117" s="145" t="s">
        <v>162</v>
      </c>
      <c r="D117" s="145">
        <v>10</v>
      </c>
      <c r="E117" s="145" t="s">
        <v>136</v>
      </c>
      <c r="F117" s="145" t="s">
        <v>25</v>
      </c>
      <c r="G117" s="145"/>
      <c r="H117" s="145"/>
      <c r="I117" s="145"/>
      <c r="J117" s="145" t="s">
        <v>144</v>
      </c>
      <c r="K117" s="146" t="s">
        <v>29</v>
      </c>
      <c r="L117" s="147" t="s">
        <v>166</v>
      </c>
      <c r="M117" s="149">
        <v>381865302</v>
      </c>
      <c r="N117" s="148"/>
      <c r="O117" s="148"/>
      <c r="P117" s="148"/>
      <c r="Q117" s="148"/>
      <c r="R117" s="148"/>
      <c r="S117" s="148">
        <v>381865302</v>
      </c>
      <c r="T117" s="149"/>
      <c r="U117" s="148">
        <v>381865302</v>
      </c>
      <c r="V117" s="150">
        <v>0</v>
      </c>
      <c r="W117" s="148"/>
      <c r="X117" s="148">
        <v>0</v>
      </c>
      <c r="Y117" s="150">
        <v>0</v>
      </c>
      <c r="Z117" s="148"/>
      <c r="AA117" s="148">
        <v>0</v>
      </c>
      <c r="AB117" s="150">
        <v>0</v>
      </c>
    </row>
    <row r="118" spans="1:28" ht="35.1" customHeight="1">
      <c r="A118" s="32" t="e">
        <v>#REF!</v>
      </c>
      <c r="B118" s="117" t="s">
        <v>167</v>
      </c>
      <c r="C118" s="118" t="s">
        <v>167</v>
      </c>
      <c r="D118" s="119"/>
      <c r="E118" s="119"/>
      <c r="F118" s="119"/>
      <c r="G118" s="119"/>
      <c r="H118" s="119"/>
      <c r="I118" s="119"/>
      <c r="J118" s="119"/>
      <c r="K118" s="119"/>
      <c r="L118" s="119" t="s">
        <v>168</v>
      </c>
      <c r="M118" s="120">
        <v>12916249110989</v>
      </c>
      <c r="N118" s="120">
        <v>0</v>
      </c>
      <c r="O118" s="717">
        <v>0</v>
      </c>
      <c r="P118" s="120">
        <v>38386938409.32</v>
      </c>
      <c r="Q118" s="120">
        <v>38386938409.32</v>
      </c>
      <c r="R118" s="120">
        <v>0</v>
      </c>
      <c r="S118" s="120">
        <v>12916249110989</v>
      </c>
      <c r="T118" s="120">
        <v>949415029039</v>
      </c>
      <c r="U118" s="120">
        <v>11966834081950</v>
      </c>
      <c r="V118" s="121">
        <v>7.350547522587253E-2</v>
      </c>
      <c r="W118" s="120">
        <v>4848667</v>
      </c>
      <c r="X118" s="120">
        <v>949410180372</v>
      </c>
      <c r="Y118" s="121">
        <v>0.99999489299531641</v>
      </c>
      <c r="Z118" s="120">
        <v>0</v>
      </c>
      <c r="AA118" s="120">
        <v>4848667</v>
      </c>
      <c r="AB118" s="718">
        <v>0</v>
      </c>
    </row>
    <row r="119" spans="1:28" ht="27.75" hidden="1" customHeight="1">
      <c r="A119" s="32" t="e">
        <v>#REF!</v>
      </c>
      <c r="B119" s="122" t="s">
        <v>437</v>
      </c>
      <c r="C119" s="123" t="s">
        <v>167</v>
      </c>
      <c r="D119" s="123">
        <v>4101</v>
      </c>
      <c r="E119" s="123"/>
      <c r="F119" s="123"/>
      <c r="G119" s="123"/>
      <c r="H119" s="123"/>
      <c r="I119" s="123"/>
      <c r="J119" s="124"/>
      <c r="K119" s="124"/>
      <c r="L119" s="124" t="s">
        <v>169</v>
      </c>
      <c r="M119" s="125">
        <v>0</v>
      </c>
      <c r="N119" s="719">
        <v>0</v>
      </c>
      <c r="O119" s="719">
        <v>0</v>
      </c>
      <c r="P119" s="719">
        <v>0</v>
      </c>
      <c r="Q119" s="719">
        <v>0</v>
      </c>
      <c r="R119" s="719">
        <v>0</v>
      </c>
      <c r="S119" s="125">
        <v>0</v>
      </c>
      <c r="T119" s="125">
        <v>0</v>
      </c>
      <c r="U119" s="125">
        <v>0</v>
      </c>
      <c r="V119" s="126">
        <v>0</v>
      </c>
      <c r="W119" s="125">
        <v>0</v>
      </c>
      <c r="X119" s="125">
        <v>0</v>
      </c>
      <c r="Y119" s="126">
        <v>0</v>
      </c>
      <c r="Z119" s="125">
        <v>0</v>
      </c>
      <c r="AA119" s="125">
        <v>0</v>
      </c>
      <c r="AB119" s="720">
        <v>0</v>
      </c>
    </row>
    <row r="120" spans="1:28" ht="24" hidden="1" customHeight="1">
      <c r="A120" s="32" t="e">
        <v>#REF!</v>
      </c>
      <c r="B120" s="127" t="s">
        <v>295</v>
      </c>
      <c r="C120" s="128" t="s">
        <v>167</v>
      </c>
      <c r="D120" s="128">
        <v>4101</v>
      </c>
      <c r="E120" s="128">
        <v>1500</v>
      </c>
      <c r="F120" s="128"/>
      <c r="G120" s="128"/>
      <c r="H120" s="128"/>
      <c r="I120" s="128"/>
      <c r="J120" s="129"/>
      <c r="K120" s="129"/>
      <c r="L120" s="129" t="s">
        <v>170</v>
      </c>
      <c r="M120" s="130"/>
      <c r="N120" s="721"/>
      <c r="O120" s="721"/>
      <c r="P120" s="721"/>
      <c r="Q120" s="721"/>
      <c r="R120" s="721"/>
      <c r="S120" s="130"/>
      <c r="T120" s="130"/>
      <c r="U120" s="721"/>
      <c r="V120" s="131">
        <v>0</v>
      </c>
      <c r="W120" s="130"/>
      <c r="X120" s="721"/>
      <c r="Y120" s="131">
        <v>0</v>
      </c>
      <c r="Z120" s="130"/>
      <c r="AA120" s="721"/>
      <c r="AB120" s="722">
        <v>0</v>
      </c>
    </row>
    <row r="121" spans="1:28" ht="54.75" hidden="1" customHeight="1">
      <c r="A121" s="32" t="e">
        <v>#REF!</v>
      </c>
      <c r="B121" s="132" t="s">
        <v>454</v>
      </c>
      <c r="C121" s="133" t="s">
        <v>167</v>
      </c>
      <c r="D121" s="133" t="s">
        <v>171</v>
      </c>
      <c r="E121" s="133" t="s">
        <v>172</v>
      </c>
      <c r="F121" s="133" t="s">
        <v>173</v>
      </c>
      <c r="G121" s="133"/>
      <c r="H121" s="133"/>
      <c r="I121" s="133"/>
      <c r="J121" s="133"/>
      <c r="K121" s="134"/>
      <c r="L121" s="134" t="s">
        <v>174</v>
      </c>
      <c r="M121" s="135">
        <v>0</v>
      </c>
      <c r="N121" s="136">
        <v>0</v>
      </c>
      <c r="O121" s="136">
        <v>0</v>
      </c>
      <c r="P121" s="136">
        <v>0</v>
      </c>
      <c r="Q121" s="136">
        <v>0</v>
      </c>
      <c r="R121" s="136">
        <v>0</v>
      </c>
      <c r="S121" s="135">
        <v>0</v>
      </c>
      <c r="T121" s="135">
        <v>0</v>
      </c>
      <c r="U121" s="135">
        <v>0</v>
      </c>
      <c r="V121" s="137">
        <v>0</v>
      </c>
      <c r="W121" s="135">
        <v>0</v>
      </c>
      <c r="X121" s="136">
        <v>0</v>
      </c>
      <c r="Y121" s="137">
        <v>0</v>
      </c>
      <c r="Z121" s="135">
        <v>0</v>
      </c>
      <c r="AA121" s="135">
        <v>0</v>
      </c>
      <c r="AB121" s="723">
        <v>0</v>
      </c>
    </row>
    <row r="122" spans="1:28" ht="31.5" hidden="1" customHeight="1">
      <c r="A122" s="32" t="e">
        <v>#REF!</v>
      </c>
      <c r="B122" s="138" t="s">
        <v>456</v>
      </c>
      <c r="C122" s="139" t="s">
        <v>167</v>
      </c>
      <c r="D122" s="139" t="s">
        <v>171</v>
      </c>
      <c r="E122" s="139" t="s">
        <v>172</v>
      </c>
      <c r="F122" s="139" t="s">
        <v>173</v>
      </c>
      <c r="G122" s="139" t="s">
        <v>175</v>
      </c>
      <c r="H122" s="139" t="s">
        <v>176</v>
      </c>
      <c r="I122" s="139"/>
      <c r="J122" s="139" t="s">
        <v>144</v>
      </c>
      <c r="K122" s="140" t="s">
        <v>29</v>
      </c>
      <c r="L122" s="140" t="s">
        <v>177</v>
      </c>
      <c r="M122" s="141">
        <v>0</v>
      </c>
      <c r="N122" s="142">
        <v>0</v>
      </c>
      <c r="O122" s="142">
        <v>0</v>
      </c>
      <c r="P122" s="142">
        <v>0</v>
      </c>
      <c r="Q122" s="142">
        <v>0</v>
      </c>
      <c r="R122" s="142">
        <v>0</v>
      </c>
      <c r="S122" s="141">
        <v>0</v>
      </c>
      <c r="T122" s="141">
        <v>0</v>
      </c>
      <c r="U122" s="141">
        <v>0</v>
      </c>
      <c r="V122" s="143">
        <v>0</v>
      </c>
      <c r="W122" s="141">
        <v>0</v>
      </c>
      <c r="X122" s="142">
        <v>0</v>
      </c>
      <c r="Y122" s="143">
        <v>0</v>
      </c>
      <c r="Z122" s="141">
        <v>0</v>
      </c>
      <c r="AA122" s="141">
        <v>0</v>
      </c>
      <c r="AB122" s="724">
        <v>0</v>
      </c>
    </row>
    <row r="123" spans="1:28" ht="24.95" hidden="1" customHeight="1">
      <c r="A123" s="32" t="e">
        <v>#REF!</v>
      </c>
      <c r="B123" s="144" t="s">
        <v>458</v>
      </c>
      <c r="C123" s="145" t="s">
        <v>167</v>
      </c>
      <c r="D123" s="145" t="s">
        <v>171</v>
      </c>
      <c r="E123" s="145" t="s">
        <v>172</v>
      </c>
      <c r="F123" s="145" t="s">
        <v>173</v>
      </c>
      <c r="G123" s="145" t="s">
        <v>175</v>
      </c>
      <c r="H123" s="145" t="s">
        <v>176</v>
      </c>
      <c r="I123" s="145" t="s">
        <v>54</v>
      </c>
      <c r="J123" s="145" t="s">
        <v>144</v>
      </c>
      <c r="K123" s="146" t="s">
        <v>29</v>
      </c>
      <c r="L123" s="147" t="s">
        <v>178</v>
      </c>
      <c r="M123" s="148"/>
      <c r="N123" s="148"/>
      <c r="O123" s="148"/>
      <c r="P123" s="148"/>
      <c r="Q123" s="148"/>
      <c r="R123" s="148"/>
      <c r="S123" s="148">
        <v>0</v>
      </c>
      <c r="T123" s="148"/>
      <c r="U123" s="148">
        <v>0</v>
      </c>
      <c r="V123" s="150">
        <v>0</v>
      </c>
      <c r="W123" s="148"/>
      <c r="X123" s="148">
        <v>0</v>
      </c>
      <c r="Y123" s="150">
        <v>0</v>
      </c>
      <c r="Z123" s="148"/>
      <c r="AA123" s="148">
        <v>0</v>
      </c>
      <c r="AB123" s="150">
        <v>0</v>
      </c>
    </row>
    <row r="124" spans="1:28" ht="31.5" hidden="1" customHeight="1">
      <c r="A124" s="32" t="e">
        <v>#REF!</v>
      </c>
      <c r="B124" s="138" t="s">
        <v>460</v>
      </c>
      <c r="C124" s="139" t="s">
        <v>167</v>
      </c>
      <c r="D124" s="139" t="s">
        <v>171</v>
      </c>
      <c r="E124" s="139" t="s">
        <v>172</v>
      </c>
      <c r="F124" s="139" t="s">
        <v>173</v>
      </c>
      <c r="G124" s="139" t="s">
        <v>175</v>
      </c>
      <c r="H124" s="139" t="s">
        <v>179</v>
      </c>
      <c r="I124" s="139"/>
      <c r="J124" s="139" t="s">
        <v>144</v>
      </c>
      <c r="K124" s="140" t="s">
        <v>29</v>
      </c>
      <c r="L124" s="140" t="s">
        <v>180</v>
      </c>
      <c r="M124" s="141">
        <v>0</v>
      </c>
      <c r="N124" s="142">
        <v>0</v>
      </c>
      <c r="O124" s="142">
        <v>0</v>
      </c>
      <c r="P124" s="142">
        <v>0</v>
      </c>
      <c r="Q124" s="142">
        <v>0</v>
      </c>
      <c r="R124" s="142">
        <v>0</v>
      </c>
      <c r="S124" s="141">
        <v>0</v>
      </c>
      <c r="T124" s="141">
        <v>0</v>
      </c>
      <c r="U124" s="141">
        <v>0</v>
      </c>
      <c r="V124" s="143">
        <v>0</v>
      </c>
      <c r="W124" s="141">
        <v>0</v>
      </c>
      <c r="X124" s="142">
        <v>0</v>
      </c>
      <c r="Y124" s="143">
        <v>0</v>
      </c>
      <c r="Z124" s="141">
        <v>0</v>
      </c>
      <c r="AA124" s="141">
        <v>0</v>
      </c>
      <c r="AB124" s="724">
        <v>0</v>
      </c>
    </row>
    <row r="125" spans="1:28" ht="24.95" hidden="1" customHeight="1">
      <c r="A125" s="32" t="e">
        <v>#REF!</v>
      </c>
      <c r="B125" s="144" t="s">
        <v>462</v>
      </c>
      <c r="C125" s="145" t="s">
        <v>167</v>
      </c>
      <c r="D125" s="145" t="s">
        <v>171</v>
      </c>
      <c r="E125" s="145" t="s">
        <v>172</v>
      </c>
      <c r="F125" s="145" t="s">
        <v>173</v>
      </c>
      <c r="G125" s="145" t="s">
        <v>175</v>
      </c>
      <c r="H125" s="145" t="s">
        <v>179</v>
      </c>
      <c r="I125" s="145" t="s">
        <v>54</v>
      </c>
      <c r="J125" s="145" t="s">
        <v>144</v>
      </c>
      <c r="K125" s="146" t="s">
        <v>29</v>
      </c>
      <c r="L125" s="147" t="s">
        <v>178</v>
      </c>
      <c r="M125" s="148"/>
      <c r="N125" s="148"/>
      <c r="O125" s="148"/>
      <c r="P125" s="148"/>
      <c r="Q125" s="148"/>
      <c r="R125" s="148"/>
      <c r="S125" s="148">
        <v>0</v>
      </c>
      <c r="T125" s="148"/>
      <c r="U125" s="148">
        <v>0</v>
      </c>
      <c r="V125" s="150">
        <v>0</v>
      </c>
      <c r="W125" s="148"/>
      <c r="X125" s="148">
        <v>0</v>
      </c>
      <c r="Y125" s="150">
        <v>0</v>
      </c>
      <c r="Z125" s="148"/>
      <c r="AA125" s="148">
        <v>0</v>
      </c>
      <c r="AB125" s="150">
        <v>0</v>
      </c>
    </row>
    <row r="126" spans="1:28" ht="31.5" hidden="1" customHeight="1">
      <c r="A126" s="32" t="e">
        <v>#REF!</v>
      </c>
      <c r="B126" s="144" t="s">
        <v>690</v>
      </c>
      <c r="C126" s="139" t="s">
        <v>167</v>
      </c>
      <c r="D126" s="139" t="s">
        <v>171</v>
      </c>
      <c r="E126" s="139" t="s">
        <v>172</v>
      </c>
      <c r="F126" s="139" t="s">
        <v>173</v>
      </c>
      <c r="G126" s="139" t="s">
        <v>175</v>
      </c>
      <c r="H126" s="139" t="s">
        <v>181</v>
      </c>
      <c r="I126" s="139"/>
      <c r="J126" s="139" t="s">
        <v>144</v>
      </c>
      <c r="K126" s="140" t="s">
        <v>29</v>
      </c>
      <c r="L126" s="140" t="s">
        <v>182</v>
      </c>
      <c r="M126" s="141">
        <v>0</v>
      </c>
      <c r="N126" s="142">
        <v>0</v>
      </c>
      <c r="O126" s="142">
        <v>0</v>
      </c>
      <c r="P126" s="142">
        <v>0</v>
      </c>
      <c r="Q126" s="142">
        <v>0</v>
      </c>
      <c r="R126" s="142">
        <v>0</v>
      </c>
      <c r="S126" s="141">
        <v>0</v>
      </c>
      <c r="T126" s="141">
        <v>0</v>
      </c>
      <c r="U126" s="141">
        <v>0</v>
      </c>
      <c r="V126" s="143">
        <v>0</v>
      </c>
      <c r="W126" s="141">
        <v>0</v>
      </c>
      <c r="X126" s="142">
        <v>0</v>
      </c>
      <c r="Y126" s="143">
        <v>0</v>
      </c>
      <c r="Z126" s="141">
        <v>0</v>
      </c>
      <c r="AA126" s="141">
        <v>0</v>
      </c>
      <c r="AB126" s="724">
        <v>0</v>
      </c>
    </row>
    <row r="127" spans="1:28" ht="24.95" hidden="1" customHeight="1">
      <c r="A127" s="32" t="e">
        <v>#REF!</v>
      </c>
      <c r="B127" s="144" t="s">
        <v>466</v>
      </c>
      <c r="C127" s="145" t="s">
        <v>167</v>
      </c>
      <c r="D127" s="145" t="s">
        <v>171</v>
      </c>
      <c r="E127" s="145" t="s">
        <v>172</v>
      </c>
      <c r="F127" s="145" t="s">
        <v>173</v>
      </c>
      <c r="G127" s="145" t="s">
        <v>175</v>
      </c>
      <c r="H127" s="145" t="s">
        <v>181</v>
      </c>
      <c r="I127" s="145" t="s">
        <v>54</v>
      </c>
      <c r="J127" s="145" t="s">
        <v>144</v>
      </c>
      <c r="K127" s="146" t="s">
        <v>29</v>
      </c>
      <c r="L127" s="147" t="s">
        <v>178</v>
      </c>
      <c r="M127" s="148"/>
      <c r="N127" s="148"/>
      <c r="O127" s="148"/>
      <c r="P127" s="148"/>
      <c r="Q127" s="148"/>
      <c r="R127" s="148"/>
      <c r="S127" s="148">
        <v>0</v>
      </c>
      <c r="T127" s="148"/>
      <c r="U127" s="148">
        <v>0</v>
      </c>
      <c r="V127" s="150">
        <v>0</v>
      </c>
      <c r="W127" s="148"/>
      <c r="X127" s="148">
        <v>0</v>
      </c>
      <c r="Y127" s="150">
        <v>0</v>
      </c>
      <c r="Z127" s="148"/>
      <c r="AA127" s="148">
        <v>0</v>
      </c>
      <c r="AB127" s="150">
        <v>0</v>
      </c>
    </row>
    <row r="128" spans="1:28" ht="31.5" hidden="1" customHeight="1">
      <c r="A128" s="32" t="e">
        <v>#REF!</v>
      </c>
      <c r="B128" s="144" t="s">
        <v>691</v>
      </c>
      <c r="C128" s="139" t="s">
        <v>167</v>
      </c>
      <c r="D128" s="139" t="s">
        <v>171</v>
      </c>
      <c r="E128" s="139" t="s">
        <v>172</v>
      </c>
      <c r="F128" s="139" t="s">
        <v>173</v>
      </c>
      <c r="G128" s="139" t="s">
        <v>175</v>
      </c>
      <c r="H128" s="139" t="s">
        <v>183</v>
      </c>
      <c r="I128" s="139"/>
      <c r="J128" s="139" t="s">
        <v>144</v>
      </c>
      <c r="K128" s="140" t="s">
        <v>29</v>
      </c>
      <c r="L128" s="140" t="s">
        <v>184</v>
      </c>
      <c r="M128" s="141">
        <v>0</v>
      </c>
      <c r="N128" s="142">
        <v>0</v>
      </c>
      <c r="O128" s="142">
        <v>0</v>
      </c>
      <c r="P128" s="142">
        <v>0</v>
      </c>
      <c r="Q128" s="142">
        <v>0</v>
      </c>
      <c r="R128" s="142">
        <v>0</v>
      </c>
      <c r="S128" s="141">
        <v>0</v>
      </c>
      <c r="T128" s="141">
        <v>0</v>
      </c>
      <c r="U128" s="141">
        <v>0</v>
      </c>
      <c r="V128" s="143">
        <v>0</v>
      </c>
      <c r="W128" s="141">
        <v>0</v>
      </c>
      <c r="X128" s="142">
        <v>0</v>
      </c>
      <c r="Y128" s="143">
        <v>0</v>
      </c>
      <c r="Z128" s="141">
        <v>0</v>
      </c>
      <c r="AA128" s="141">
        <v>0</v>
      </c>
      <c r="AB128" s="724">
        <v>0</v>
      </c>
    </row>
    <row r="129" spans="1:28" ht="24.95" hidden="1" customHeight="1">
      <c r="A129" s="32" t="e">
        <v>#REF!</v>
      </c>
      <c r="B129" s="144" t="s">
        <v>470</v>
      </c>
      <c r="C129" s="145" t="s">
        <v>167</v>
      </c>
      <c r="D129" s="145" t="s">
        <v>171</v>
      </c>
      <c r="E129" s="145" t="s">
        <v>172</v>
      </c>
      <c r="F129" s="145" t="s">
        <v>173</v>
      </c>
      <c r="G129" s="145" t="s">
        <v>175</v>
      </c>
      <c r="H129" s="145" t="s">
        <v>183</v>
      </c>
      <c r="I129" s="145" t="s">
        <v>54</v>
      </c>
      <c r="J129" s="145" t="s">
        <v>144</v>
      </c>
      <c r="K129" s="146" t="s">
        <v>29</v>
      </c>
      <c r="L129" s="147" t="s">
        <v>178</v>
      </c>
      <c r="M129" s="148">
        <v>0</v>
      </c>
      <c r="N129" s="148"/>
      <c r="O129" s="148"/>
      <c r="P129" s="148"/>
      <c r="Q129" s="148"/>
      <c r="R129" s="148"/>
      <c r="S129" s="148">
        <v>0</v>
      </c>
      <c r="T129" s="148">
        <v>0</v>
      </c>
      <c r="U129" s="148">
        <v>0</v>
      </c>
      <c r="V129" s="150">
        <v>0</v>
      </c>
      <c r="W129" s="148">
        <v>0</v>
      </c>
      <c r="X129" s="148">
        <v>0</v>
      </c>
      <c r="Y129" s="150">
        <v>0</v>
      </c>
      <c r="Z129" s="148">
        <v>0</v>
      </c>
      <c r="AA129" s="148">
        <v>0</v>
      </c>
      <c r="AB129" s="150">
        <v>0</v>
      </c>
    </row>
    <row r="130" spans="1:28" ht="31.5" hidden="1" customHeight="1">
      <c r="A130" s="32" t="e">
        <v>#REF!</v>
      </c>
      <c r="B130" s="138" t="s">
        <v>472</v>
      </c>
      <c r="C130" s="139" t="s">
        <v>167</v>
      </c>
      <c r="D130" s="139" t="s">
        <v>171</v>
      </c>
      <c r="E130" s="139" t="s">
        <v>172</v>
      </c>
      <c r="F130" s="139" t="s">
        <v>173</v>
      </c>
      <c r="G130" s="139" t="s">
        <v>175</v>
      </c>
      <c r="H130" s="139" t="s">
        <v>185</v>
      </c>
      <c r="I130" s="139"/>
      <c r="J130" s="139" t="s">
        <v>144</v>
      </c>
      <c r="K130" s="140" t="s">
        <v>29</v>
      </c>
      <c r="L130" s="140" t="s">
        <v>186</v>
      </c>
      <c r="M130" s="141">
        <v>0</v>
      </c>
      <c r="N130" s="142">
        <v>0</v>
      </c>
      <c r="O130" s="142">
        <v>0</v>
      </c>
      <c r="P130" s="142">
        <v>0</v>
      </c>
      <c r="Q130" s="142">
        <v>0</v>
      </c>
      <c r="R130" s="142">
        <v>0</v>
      </c>
      <c r="S130" s="141">
        <v>0</v>
      </c>
      <c r="T130" s="141">
        <v>0</v>
      </c>
      <c r="U130" s="141">
        <v>0</v>
      </c>
      <c r="V130" s="143">
        <v>0</v>
      </c>
      <c r="W130" s="141">
        <v>0</v>
      </c>
      <c r="X130" s="142">
        <v>0</v>
      </c>
      <c r="Y130" s="143">
        <v>0</v>
      </c>
      <c r="Z130" s="141">
        <v>0</v>
      </c>
      <c r="AA130" s="141">
        <v>0</v>
      </c>
      <c r="AB130" s="724">
        <v>0</v>
      </c>
    </row>
    <row r="131" spans="1:28" ht="24.95" hidden="1" customHeight="1">
      <c r="A131" s="32" t="e">
        <v>#REF!</v>
      </c>
      <c r="B131" s="144" t="s">
        <v>474</v>
      </c>
      <c r="C131" s="145" t="s">
        <v>167</v>
      </c>
      <c r="D131" s="145" t="s">
        <v>171</v>
      </c>
      <c r="E131" s="145" t="s">
        <v>172</v>
      </c>
      <c r="F131" s="145" t="s">
        <v>173</v>
      </c>
      <c r="G131" s="145" t="s">
        <v>175</v>
      </c>
      <c r="H131" s="145" t="s">
        <v>185</v>
      </c>
      <c r="I131" s="145" t="s">
        <v>54</v>
      </c>
      <c r="J131" s="145" t="s">
        <v>144</v>
      </c>
      <c r="K131" s="146" t="s">
        <v>29</v>
      </c>
      <c r="L131" s="147" t="s">
        <v>178</v>
      </c>
      <c r="M131" s="148"/>
      <c r="N131" s="148"/>
      <c r="O131" s="148"/>
      <c r="P131" s="148"/>
      <c r="Q131" s="148"/>
      <c r="R131" s="148"/>
      <c r="S131" s="148">
        <v>0</v>
      </c>
      <c r="T131" s="148"/>
      <c r="U131" s="148">
        <v>0</v>
      </c>
      <c r="V131" s="150">
        <v>0</v>
      </c>
      <c r="W131" s="148"/>
      <c r="X131" s="148">
        <v>0</v>
      </c>
      <c r="Y131" s="150">
        <v>0</v>
      </c>
      <c r="Z131" s="148"/>
      <c r="AA131" s="148">
        <v>0</v>
      </c>
      <c r="AB131" s="150">
        <v>0</v>
      </c>
    </row>
    <row r="132" spans="1:28" ht="31.5" hidden="1" customHeight="1">
      <c r="A132" s="32" t="e">
        <v>#REF!</v>
      </c>
      <c r="B132" s="32"/>
      <c r="C132" s="139" t="s">
        <v>167</v>
      </c>
      <c r="D132" s="139" t="s">
        <v>171</v>
      </c>
      <c r="E132" s="139" t="s">
        <v>172</v>
      </c>
      <c r="F132" s="139" t="s">
        <v>173</v>
      </c>
      <c r="G132" s="139" t="s">
        <v>175</v>
      </c>
      <c r="H132" s="139" t="s">
        <v>187</v>
      </c>
      <c r="I132" s="139"/>
      <c r="J132" s="139" t="s">
        <v>144</v>
      </c>
      <c r="K132" s="140" t="s">
        <v>29</v>
      </c>
      <c r="L132" s="140" t="s">
        <v>188</v>
      </c>
      <c r="M132" s="141">
        <v>0</v>
      </c>
      <c r="N132" s="142">
        <v>0</v>
      </c>
      <c r="O132" s="142">
        <v>0</v>
      </c>
      <c r="P132" s="142">
        <v>0</v>
      </c>
      <c r="Q132" s="142">
        <v>0</v>
      </c>
      <c r="R132" s="142">
        <v>0</v>
      </c>
      <c r="S132" s="141">
        <v>0</v>
      </c>
      <c r="T132" s="141">
        <v>0</v>
      </c>
      <c r="U132" s="141">
        <v>0</v>
      </c>
      <c r="V132" s="143">
        <v>0</v>
      </c>
      <c r="W132" s="141">
        <v>0</v>
      </c>
      <c r="X132" s="142">
        <v>0</v>
      </c>
      <c r="Y132" s="143">
        <v>0</v>
      </c>
      <c r="Z132" s="141">
        <v>0</v>
      </c>
      <c r="AA132" s="141">
        <v>0</v>
      </c>
      <c r="AB132" s="724">
        <v>0</v>
      </c>
    </row>
    <row r="133" spans="1:28" ht="24.95" hidden="1" customHeight="1">
      <c r="A133" s="32" t="e">
        <v>#REF!</v>
      </c>
      <c r="B133" s="32"/>
      <c r="C133" s="145" t="s">
        <v>167</v>
      </c>
      <c r="D133" s="145" t="s">
        <v>171</v>
      </c>
      <c r="E133" s="145" t="s">
        <v>172</v>
      </c>
      <c r="F133" s="145" t="s">
        <v>173</v>
      </c>
      <c r="G133" s="145" t="s">
        <v>175</v>
      </c>
      <c r="H133" s="145" t="s">
        <v>187</v>
      </c>
      <c r="I133" s="145" t="s">
        <v>54</v>
      </c>
      <c r="J133" s="145" t="s">
        <v>144</v>
      </c>
      <c r="K133" s="146" t="s">
        <v>29</v>
      </c>
      <c r="L133" s="147" t="s">
        <v>178</v>
      </c>
      <c r="M133" s="148">
        <v>0</v>
      </c>
      <c r="N133" s="148"/>
      <c r="O133" s="148"/>
      <c r="P133" s="148"/>
      <c r="Q133" s="148"/>
      <c r="R133" s="148"/>
      <c r="S133" s="148">
        <v>0</v>
      </c>
      <c r="T133" s="148">
        <v>0</v>
      </c>
      <c r="U133" s="148">
        <v>0</v>
      </c>
      <c r="V133" s="150">
        <v>0</v>
      </c>
      <c r="W133" s="148">
        <v>0</v>
      </c>
      <c r="X133" s="148">
        <v>0</v>
      </c>
      <c r="Y133" s="150">
        <v>0</v>
      </c>
      <c r="Z133" s="148">
        <v>0</v>
      </c>
      <c r="AA133" s="148">
        <v>0</v>
      </c>
      <c r="AB133" s="150">
        <v>0</v>
      </c>
    </row>
    <row r="134" spans="1:28" ht="24.95" hidden="1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65</v>
      </c>
      <c r="J134" s="145" t="s">
        <v>144</v>
      </c>
      <c r="K134" s="146" t="s">
        <v>29</v>
      </c>
      <c r="L134" s="147" t="s">
        <v>127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35.25" customHeight="1">
      <c r="A135" s="32" t="e">
        <v>#REF!</v>
      </c>
      <c r="B135" s="122" t="s">
        <v>482</v>
      </c>
      <c r="C135" s="123" t="s">
        <v>167</v>
      </c>
      <c r="D135" s="123">
        <v>4103</v>
      </c>
      <c r="E135" s="123"/>
      <c r="F135" s="123"/>
      <c r="G135" s="123"/>
      <c r="H135" s="123"/>
      <c r="I135" s="123"/>
      <c r="J135" s="124"/>
      <c r="K135" s="124"/>
      <c r="L135" s="124" t="s">
        <v>189</v>
      </c>
      <c r="M135" s="125">
        <v>12911249110989</v>
      </c>
      <c r="N135" s="125">
        <v>0</v>
      </c>
      <c r="O135" s="719">
        <v>0</v>
      </c>
      <c r="P135" s="125">
        <v>38386938409.32</v>
      </c>
      <c r="Q135" s="125">
        <v>38386938409.32</v>
      </c>
      <c r="R135" s="125">
        <v>0</v>
      </c>
      <c r="S135" s="125">
        <v>12911249110989</v>
      </c>
      <c r="T135" s="125">
        <v>948808764773</v>
      </c>
      <c r="U135" s="125">
        <v>11962440346216</v>
      </c>
      <c r="V135" s="126">
        <v>7.3486984614482539E-2</v>
      </c>
      <c r="W135" s="125">
        <v>4848667</v>
      </c>
      <c r="X135" s="125">
        <v>948803916106</v>
      </c>
      <c r="Y135" s="126">
        <v>0.9999948897320724</v>
      </c>
      <c r="Z135" s="125">
        <v>0</v>
      </c>
      <c r="AA135" s="125">
        <v>4848667</v>
      </c>
      <c r="AB135" s="720">
        <v>0</v>
      </c>
    </row>
    <row r="136" spans="1:28" ht="24" customHeight="1">
      <c r="A136" s="32" t="e">
        <v>#REF!</v>
      </c>
      <c r="B136" s="127" t="s">
        <v>296</v>
      </c>
      <c r="C136" s="128" t="s">
        <v>167</v>
      </c>
      <c r="D136" s="128">
        <v>4103</v>
      </c>
      <c r="E136" s="128">
        <v>1500</v>
      </c>
      <c r="F136" s="128"/>
      <c r="G136" s="128"/>
      <c r="H136" s="128"/>
      <c r="I136" s="128"/>
      <c r="J136" s="129"/>
      <c r="K136" s="129"/>
      <c r="L136" s="129" t="s">
        <v>170</v>
      </c>
      <c r="M136" s="130">
        <v>12911249110989</v>
      </c>
      <c r="N136" s="130">
        <v>0</v>
      </c>
      <c r="O136" s="130">
        <v>0</v>
      </c>
      <c r="P136" s="130">
        <v>38386938409.32</v>
      </c>
      <c r="Q136" s="130">
        <v>38386938409.32</v>
      </c>
      <c r="R136" s="130">
        <v>0</v>
      </c>
      <c r="S136" s="130">
        <v>12911249110989</v>
      </c>
      <c r="T136" s="130">
        <v>948808764773</v>
      </c>
      <c r="U136" s="130">
        <v>11962440346216</v>
      </c>
      <c r="V136" s="131">
        <v>7.3486984614482539E-2</v>
      </c>
      <c r="W136" s="130">
        <v>4848667</v>
      </c>
      <c r="X136" s="130">
        <v>948803916106</v>
      </c>
      <c r="Y136" s="131">
        <v>0.9999948897320724</v>
      </c>
      <c r="Z136" s="130">
        <v>0</v>
      </c>
      <c r="AA136" s="130">
        <v>4848667</v>
      </c>
      <c r="AB136" s="722">
        <v>0</v>
      </c>
    </row>
    <row r="137" spans="1:28" ht="42.75" customHeight="1">
      <c r="A137" s="32" t="e">
        <v>#REF!</v>
      </c>
      <c r="B137" s="132" t="s">
        <v>297</v>
      </c>
      <c r="C137" s="133" t="s">
        <v>167</v>
      </c>
      <c r="D137" s="133" t="s">
        <v>190</v>
      </c>
      <c r="E137" s="133" t="s">
        <v>172</v>
      </c>
      <c r="F137" s="133" t="s">
        <v>191</v>
      </c>
      <c r="G137" s="133"/>
      <c r="H137" s="133"/>
      <c r="I137" s="133"/>
      <c r="J137" s="133"/>
      <c r="K137" s="134"/>
      <c r="L137" s="134" t="s">
        <v>263</v>
      </c>
      <c r="M137" s="135">
        <v>2205025363612</v>
      </c>
      <c r="N137" s="135">
        <v>0</v>
      </c>
      <c r="O137" s="135">
        <v>0</v>
      </c>
      <c r="P137" s="135">
        <v>9542441106</v>
      </c>
      <c r="Q137" s="135">
        <v>9542441106</v>
      </c>
      <c r="R137" s="135">
        <v>0</v>
      </c>
      <c r="S137" s="135">
        <v>2205025363612</v>
      </c>
      <c r="T137" s="135">
        <v>13336933668</v>
      </c>
      <c r="U137" s="135">
        <v>2191688429944</v>
      </c>
      <c r="V137" s="137">
        <v>6.0484264208884577E-3</v>
      </c>
      <c r="W137" s="135">
        <v>4848667</v>
      </c>
      <c r="X137" s="135">
        <v>13332085001</v>
      </c>
      <c r="Y137" s="137">
        <v>0.99963644814312647</v>
      </c>
      <c r="Z137" s="135">
        <v>0</v>
      </c>
      <c r="AA137" s="135">
        <v>4848667</v>
      </c>
      <c r="AB137" s="723">
        <v>0</v>
      </c>
    </row>
    <row r="138" spans="1:28" ht="30.75" customHeight="1">
      <c r="A138" s="32" t="e">
        <v>#REF!</v>
      </c>
      <c r="B138" s="138" t="s">
        <v>486</v>
      </c>
      <c r="C138" s="139" t="s">
        <v>167</v>
      </c>
      <c r="D138" s="139" t="s">
        <v>190</v>
      </c>
      <c r="E138" s="139" t="s">
        <v>172</v>
      </c>
      <c r="F138" s="139" t="s">
        <v>191</v>
      </c>
      <c r="G138" s="139" t="s">
        <v>175</v>
      </c>
      <c r="H138" s="139" t="s">
        <v>193</v>
      </c>
      <c r="I138" s="139"/>
      <c r="J138" s="139"/>
      <c r="K138" s="140"/>
      <c r="L138" s="140" t="s">
        <v>194</v>
      </c>
      <c r="M138" s="141">
        <v>2199003443612</v>
      </c>
      <c r="N138" s="142">
        <v>0</v>
      </c>
      <c r="O138" s="142">
        <v>0</v>
      </c>
      <c r="P138" s="141">
        <v>9542441106</v>
      </c>
      <c r="Q138" s="141">
        <v>9542441106</v>
      </c>
      <c r="R138" s="141">
        <v>0</v>
      </c>
      <c r="S138" s="141">
        <v>2199003443612</v>
      </c>
      <c r="T138" s="141">
        <v>13336933668</v>
      </c>
      <c r="U138" s="141">
        <v>2185666509944</v>
      </c>
      <c r="V138" s="143">
        <v>6.0649898965566221E-3</v>
      </c>
      <c r="W138" s="141">
        <v>4848667</v>
      </c>
      <c r="X138" s="141">
        <v>13332085001</v>
      </c>
      <c r="Y138" s="143">
        <v>0.99963644814312647</v>
      </c>
      <c r="Z138" s="141">
        <v>0</v>
      </c>
      <c r="AA138" s="141">
        <v>4848667</v>
      </c>
      <c r="AB138" s="724">
        <v>0</v>
      </c>
    </row>
    <row r="139" spans="1:28" ht="24.95" customHeight="1">
      <c r="A139" s="32" t="e">
        <v>#REF!</v>
      </c>
      <c r="B139" s="144" t="s">
        <v>488</v>
      </c>
      <c r="C139" s="145" t="s">
        <v>167</v>
      </c>
      <c r="D139" s="145" t="s">
        <v>190</v>
      </c>
      <c r="E139" s="145" t="s">
        <v>172</v>
      </c>
      <c r="F139" s="145" t="s">
        <v>191</v>
      </c>
      <c r="G139" s="145" t="s">
        <v>175</v>
      </c>
      <c r="H139" s="145" t="s">
        <v>193</v>
      </c>
      <c r="I139" s="145" t="s">
        <v>54</v>
      </c>
      <c r="J139" s="145">
        <v>11</v>
      </c>
      <c r="K139" s="146" t="s">
        <v>29</v>
      </c>
      <c r="L139" s="147" t="s">
        <v>178</v>
      </c>
      <c r="M139" s="148">
        <v>92687031389</v>
      </c>
      <c r="N139" s="148"/>
      <c r="O139" s="148"/>
      <c r="P139" s="148">
        <v>9542441106</v>
      </c>
      <c r="Q139" s="148"/>
      <c r="R139" s="148"/>
      <c r="S139" s="148">
        <v>102229472495</v>
      </c>
      <c r="T139" s="148">
        <v>13336933668</v>
      </c>
      <c r="U139" s="148">
        <v>88892538827</v>
      </c>
      <c r="V139" s="150">
        <v>0.13046075013888292</v>
      </c>
      <c r="W139" s="148">
        <v>4848667</v>
      </c>
      <c r="X139" s="148">
        <v>13332085001</v>
      </c>
      <c r="Y139" s="150">
        <v>0.99963644814312647</v>
      </c>
      <c r="Z139" s="148">
        <v>0</v>
      </c>
      <c r="AA139" s="148">
        <v>4848667</v>
      </c>
      <c r="AB139" s="150">
        <v>0</v>
      </c>
    </row>
    <row r="140" spans="1:28" ht="24.95" customHeight="1">
      <c r="A140" s="32" t="e">
        <v>#REF!</v>
      </c>
      <c r="B140" s="144" t="s">
        <v>491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65</v>
      </c>
      <c r="J140" s="145" t="s">
        <v>144</v>
      </c>
      <c r="K140" s="146" t="s">
        <v>29</v>
      </c>
      <c r="L140" s="147" t="s">
        <v>127</v>
      </c>
      <c r="M140" s="148">
        <v>240070263035</v>
      </c>
      <c r="N140" s="148"/>
      <c r="O140" s="148"/>
      <c r="P140" s="148"/>
      <c r="Q140" s="148">
        <v>9542441106</v>
      </c>
      <c r="R140" s="148"/>
      <c r="S140" s="148">
        <v>230527821929</v>
      </c>
      <c r="T140" s="148"/>
      <c r="U140" s="148">
        <v>230527821929</v>
      </c>
      <c r="V140" s="150">
        <v>0</v>
      </c>
      <c r="W140" s="148"/>
      <c r="X140" s="148">
        <v>0</v>
      </c>
      <c r="Y140" s="150">
        <v>0</v>
      </c>
      <c r="Z140" s="148"/>
      <c r="AA140" s="148">
        <v>0</v>
      </c>
      <c r="AB140" s="150">
        <v>0</v>
      </c>
    </row>
    <row r="141" spans="1:28" ht="24.95" customHeight="1">
      <c r="A141" s="32" t="e">
        <v>#REF!</v>
      </c>
      <c r="B141" s="144" t="s">
        <v>491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65</v>
      </c>
      <c r="J141" s="145">
        <v>13</v>
      </c>
      <c r="K141" s="146" t="s">
        <v>29</v>
      </c>
      <c r="L141" s="147" t="s">
        <v>127</v>
      </c>
      <c r="M141" s="148">
        <v>1866246149188</v>
      </c>
      <c r="N141" s="148"/>
      <c r="O141" s="148"/>
      <c r="P141" s="148"/>
      <c r="Q141" s="148"/>
      <c r="R141" s="148"/>
      <c r="S141" s="148">
        <v>1866246149188</v>
      </c>
      <c r="T141" s="148"/>
      <c r="U141" s="148">
        <v>1866246149188</v>
      </c>
      <c r="V141" s="150">
        <v>0</v>
      </c>
      <c r="W141" s="148"/>
      <c r="X141" s="148">
        <v>0</v>
      </c>
      <c r="Y141" s="150">
        <v>0</v>
      </c>
      <c r="Z141" s="148"/>
      <c r="AA141" s="148">
        <v>0</v>
      </c>
      <c r="AB141" s="150">
        <v>0</v>
      </c>
    </row>
    <row r="142" spans="1:28" ht="32.25" customHeight="1">
      <c r="A142" s="32" t="e">
        <v>#REF!</v>
      </c>
      <c r="B142" s="138" t="s">
        <v>494</v>
      </c>
      <c r="C142" s="139" t="s">
        <v>167</v>
      </c>
      <c r="D142" s="139" t="s">
        <v>190</v>
      </c>
      <c r="E142" s="139" t="s">
        <v>172</v>
      </c>
      <c r="F142" s="139" t="s">
        <v>191</v>
      </c>
      <c r="G142" s="139" t="s">
        <v>175</v>
      </c>
      <c r="H142" s="139">
        <v>4103009</v>
      </c>
      <c r="I142" s="139"/>
      <c r="J142" s="139"/>
      <c r="K142" s="140" t="s">
        <v>29</v>
      </c>
      <c r="L142" s="140" t="s">
        <v>195</v>
      </c>
      <c r="M142" s="141">
        <v>5421920000</v>
      </c>
      <c r="N142" s="142">
        <v>0</v>
      </c>
      <c r="O142" s="142">
        <v>0</v>
      </c>
      <c r="P142" s="142">
        <v>0</v>
      </c>
      <c r="Q142" s="141">
        <v>0</v>
      </c>
      <c r="R142" s="142">
        <v>0</v>
      </c>
      <c r="S142" s="141">
        <v>5421920000</v>
      </c>
      <c r="T142" s="141">
        <v>0</v>
      </c>
      <c r="U142" s="141">
        <v>5421920000</v>
      </c>
      <c r="V142" s="143">
        <v>0</v>
      </c>
      <c r="W142" s="141">
        <v>0</v>
      </c>
      <c r="X142" s="141">
        <v>0</v>
      </c>
      <c r="Y142" s="143">
        <v>0</v>
      </c>
      <c r="Z142" s="141">
        <v>0</v>
      </c>
      <c r="AA142" s="141">
        <v>0</v>
      </c>
      <c r="AB142" s="724">
        <v>0</v>
      </c>
    </row>
    <row r="143" spans="1:28" ht="24.95" customHeight="1">
      <c r="A143" s="32" t="e">
        <v>#REF!</v>
      </c>
      <c r="B143" s="144" t="s">
        <v>496</v>
      </c>
      <c r="C143" s="145" t="s">
        <v>167</v>
      </c>
      <c r="D143" s="145" t="s">
        <v>190</v>
      </c>
      <c r="E143" s="145" t="s">
        <v>172</v>
      </c>
      <c r="F143" s="145" t="s">
        <v>191</v>
      </c>
      <c r="G143" s="145" t="s">
        <v>175</v>
      </c>
      <c r="H143" s="145">
        <v>4103009</v>
      </c>
      <c r="I143" s="145" t="s">
        <v>54</v>
      </c>
      <c r="J143" s="145">
        <v>11</v>
      </c>
      <c r="K143" s="146" t="s">
        <v>29</v>
      </c>
      <c r="L143" s="147" t="s">
        <v>178</v>
      </c>
      <c r="M143" s="148">
        <v>5421920000</v>
      </c>
      <c r="N143" s="148"/>
      <c r="O143" s="148"/>
      <c r="P143" s="148"/>
      <c r="Q143" s="148"/>
      <c r="R143" s="148"/>
      <c r="S143" s="148">
        <v>5421920000</v>
      </c>
      <c r="T143" s="148">
        <v>0</v>
      </c>
      <c r="U143" s="148">
        <v>5421920000</v>
      </c>
      <c r="V143" s="150">
        <v>0</v>
      </c>
      <c r="W143" s="148">
        <v>0</v>
      </c>
      <c r="X143" s="148">
        <v>0</v>
      </c>
      <c r="Y143" s="150">
        <v>0</v>
      </c>
      <c r="Z143" s="148">
        <v>0</v>
      </c>
      <c r="AA143" s="148">
        <v>0</v>
      </c>
      <c r="AB143" s="150">
        <v>0</v>
      </c>
    </row>
    <row r="144" spans="1:28" ht="32.25" customHeight="1">
      <c r="A144" s="32" t="e">
        <v>#REF!</v>
      </c>
      <c r="B144" s="138" t="s">
        <v>497</v>
      </c>
      <c r="C144" s="139" t="s">
        <v>167</v>
      </c>
      <c r="D144" s="139" t="s">
        <v>190</v>
      </c>
      <c r="E144" s="139" t="s">
        <v>172</v>
      </c>
      <c r="F144" s="139" t="s">
        <v>191</v>
      </c>
      <c r="G144" s="139" t="s">
        <v>175</v>
      </c>
      <c r="H144" s="139">
        <v>4103047</v>
      </c>
      <c r="I144" s="139"/>
      <c r="J144" s="139">
        <v>11</v>
      </c>
      <c r="K144" s="140" t="s">
        <v>29</v>
      </c>
      <c r="L144" s="140" t="s">
        <v>195</v>
      </c>
      <c r="M144" s="141">
        <v>600000000</v>
      </c>
      <c r="N144" s="142">
        <v>0</v>
      </c>
      <c r="O144" s="142">
        <v>0</v>
      </c>
      <c r="P144" s="142">
        <v>0</v>
      </c>
      <c r="Q144" s="141">
        <v>0</v>
      </c>
      <c r="R144" s="142">
        <v>0</v>
      </c>
      <c r="S144" s="141">
        <v>600000000</v>
      </c>
      <c r="T144" s="141">
        <v>0</v>
      </c>
      <c r="U144" s="141">
        <v>600000000</v>
      </c>
      <c r="V144" s="143">
        <v>0</v>
      </c>
      <c r="W144" s="141">
        <v>0</v>
      </c>
      <c r="X144" s="141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customHeight="1">
      <c r="A145" s="32" t="e">
        <v>#REF!</v>
      </c>
      <c r="B145" s="144" t="s">
        <v>498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>
        <v>4103047</v>
      </c>
      <c r="I145" s="145" t="s">
        <v>54</v>
      </c>
      <c r="J145" s="145">
        <v>11</v>
      </c>
      <c r="K145" s="146" t="s">
        <v>29</v>
      </c>
      <c r="L145" s="147" t="s">
        <v>178</v>
      </c>
      <c r="M145" s="148">
        <v>600000000</v>
      </c>
      <c r="N145" s="148"/>
      <c r="O145" s="148"/>
      <c r="P145" s="148"/>
      <c r="Q145" s="148"/>
      <c r="R145" s="148"/>
      <c r="S145" s="148">
        <v>600000000</v>
      </c>
      <c r="T145" s="148">
        <v>0</v>
      </c>
      <c r="U145" s="148">
        <v>600000000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42" customHeight="1">
      <c r="A146" s="32" t="e">
        <v>#REF!</v>
      </c>
      <c r="B146" s="132" t="s">
        <v>298</v>
      </c>
      <c r="C146" s="133" t="s">
        <v>167</v>
      </c>
      <c r="D146" s="133" t="s">
        <v>190</v>
      </c>
      <c r="E146" s="133" t="s">
        <v>172</v>
      </c>
      <c r="F146" s="133" t="s">
        <v>22</v>
      </c>
      <c r="G146" s="133"/>
      <c r="H146" s="133"/>
      <c r="I146" s="133"/>
      <c r="J146" s="133"/>
      <c r="K146" s="134"/>
      <c r="L146" s="134" t="s">
        <v>264</v>
      </c>
      <c r="M146" s="135">
        <v>127000000000</v>
      </c>
      <c r="N146" s="136">
        <v>0</v>
      </c>
      <c r="O146" s="136">
        <v>0</v>
      </c>
      <c r="P146" s="135">
        <v>0</v>
      </c>
      <c r="Q146" s="136">
        <v>0</v>
      </c>
      <c r="R146" s="136">
        <v>0</v>
      </c>
      <c r="S146" s="135">
        <v>127000000000</v>
      </c>
      <c r="T146" s="135">
        <v>116156184193</v>
      </c>
      <c r="U146" s="135">
        <v>10843815807</v>
      </c>
      <c r="V146" s="137">
        <v>0.91461562356692916</v>
      </c>
      <c r="W146" s="135">
        <v>0</v>
      </c>
      <c r="X146" s="135">
        <v>116156184193</v>
      </c>
      <c r="Y146" s="137">
        <v>1</v>
      </c>
      <c r="Z146" s="135">
        <v>0</v>
      </c>
      <c r="AA146" s="135">
        <v>0</v>
      </c>
      <c r="AB146" s="723">
        <v>0</v>
      </c>
    </row>
    <row r="147" spans="1:28" ht="32.25" customHeight="1">
      <c r="A147" s="32" t="e">
        <v>#REF!</v>
      </c>
      <c r="B147" s="138" t="s">
        <v>500</v>
      </c>
      <c r="C147" s="139" t="s">
        <v>167</v>
      </c>
      <c r="D147" s="139" t="s">
        <v>190</v>
      </c>
      <c r="E147" s="139" t="s">
        <v>172</v>
      </c>
      <c r="F147" s="139" t="s">
        <v>22</v>
      </c>
      <c r="G147" s="139" t="s">
        <v>175</v>
      </c>
      <c r="H147" s="139" t="s">
        <v>197</v>
      </c>
      <c r="I147" s="139"/>
      <c r="J147" s="139">
        <v>13</v>
      </c>
      <c r="K147" s="140" t="s">
        <v>29</v>
      </c>
      <c r="L147" s="140" t="s">
        <v>198</v>
      </c>
      <c r="M147" s="141">
        <v>12543853246</v>
      </c>
      <c r="N147" s="142">
        <v>0</v>
      </c>
      <c r="O147" s="142">
        <v>0</v>
      </c>
      <c r="P147" s="141">
        <v>0</v>
      </c>
      <c r="Q147" s="142">
        <v>0</v>
      </c>
      <c r="R147" s="142">
        <v>0</v>
      </c>
      <c r="S147" s="141">
        <v>12543853246</v>
      </c>
      <c r="T147" s="141">
        <v>12497150539</v>
      </c>
      <c r="U147" s="141">
        <v>46702707</v>
      </c>
      <c r="V147" s="143">
        <v>0.99627684523374882</v>
      </c>
      <c r="W147" s="141">
        <v>0</v>
      </c>
      <c r="X147" s="142">
        <v>12497150539</v>
      </c>
      <c r="Y147" s="143">
        <v>1</v>
      </c>
      <c r="Z147" s="141">
        <v>0</v>
      </c>
      <c r="AA147" s="141">
        <v>0</v>
      </c>
      <c r="AB147" s="724">
        <v>0</v>
      </c>
    </row>
    <row r="148" spans="1:28" ht="24.95" customHeight="1">
      <c r="A148" s="32" t="e">
        <v>#REF!</v>
      </c>
      <c r="B148" s="144" t="s">
        <v>501</v>
      </c>
      <c r="C148" s="145" t="s">
        <v>167</v>
      </c>
      <c r="D148" s="145" t="s">
        <v>190</v>
      </c>
      <c r="E148" s="145" t="s">
        <v>172</v>
      </c>
      <c r="F148" s="145" t="s">
        <v>22</v>
      </c>
      <c r="G148" s="145" t="s">
        <v>175</v>
      </c>
      <c r="H148" s="145" t="s">
        <v>197</v>
      </c>
      <c r="I148" s="145" t="s">
        <v>54</v>
      </c>
      <c r="J148" s="145">
        <v>13</v>
      </c>
      <c r="K148" s="146" t="s">
        <v>29</v>
      </c>
      <c r="L148" s="147" t="s">
        <v>178</v>
      </c>
      <c r="M148" s="148">
        <v>12543853246</v>
      </c>
      <c r="N148" s="148"/>
      <c r="O148" s="148"/>
      <c r="P148" s="149"/>
      <c r="Q148" s="148"/>
      <c r="R148" s="148"/>
      <c r="S148" s="148">
        <v>12543853246</v>
      </c>
      <c r="T148" s="148">
        <v>12497150539</v>
      </c>
      <c r="U148" s="148">
        <v>46702707</v>
      </c>
      <c r="V148" s="150">
        <v>0.99627684523374882</v>
      </c>
      <c r="W148" s="148"/>
      <c r="X148" s="148">
        <v>12497150539</v>
      </c>
      <c r="Y148" s="150">
        <v>1</v>
      </c>
      <c r="Z148" s="148"/>
      <c r="AA148" s="148">
        <v>0</v>
      </c>
      <c r="AB148" s="150">
        <v>0</v>
      </c>
    </row>
    <row r="149" spans="1:28" ht="32.25" customHeight="1">
      <c r="A149" s="32" t="e">
        <v>#REF!</v>
      </c>
      <c r="B149" s="138" t="s">
        <v>502</v>
      </c>
      <c r="C149" s="139" t="s">
        <v>167</v>
      </c>
      <c r="D149" s="139" t="s">
        <v>190</v>
      </c>
      <c r="E149" s="139" t="s">
        <v>172</v>
      </c>
      <c r="F149" s="139" t="s">
        <v>22</v>
      </c>
      <c r="G149" s="139" t="s">
        <v>175</v>
      </c>
      <c r="H149" s="139" t="s">
        <v>199</v>
      </c>
      <c r="I149" s="139"/>
      <c r="J149" s="139">
        <v>13</v>
      </c>
      <c r="K149" s="140" t="s">
        <v>29</v>
      </c>
      <c r="L149" s="140" t="s">
        <v>200</v>
      </c>
      <c r="M149" s="141">
        <v>6747471657</v>
      </c>
      <c r="N149" s="142">
        <v>0</v>
      </c>
      <c r="O149" s="142">
        <v>0</v>
      </c>
      <c r="P149" s="142">
        <v>0</v>
      </c>
      <c r="Q149" s="142">
        <v>0</v>
      </c>
      <c r="R149" s="142">
        <v>0</v>
      </c>
      <c r="S149" s="141">
        <v>6747471657</v>
      </c>
      <c r="T149" s="141">
        <v>5632124153</v>
      </c>
      <c r="U149" s="141">
        <v>1115347504</v>
      </c>
      <c r="V149" s="143">
        <v>0.83470141696069078</v>
      </c>
      <c r="W149" s="141">
        <v>0</v>
      </c>
      <c r="X149" s="142">
        <v>5632124153</v>
      </c>
      <c r="Y149" s="143">
        <v>1</v>
      </c>
      <c r="Z149" s="141">
        <v>0</v>
      </c>
      <c r="AA149" s="141">
        <v>0</v>
      </c>
      <c r="AB149" s="724">
        <v>0</v>
      </c>
    </row>
    <row r="150" spans="1:28" ht="24.95" customHeight="1">
      <c r="A150" s="32" t="e">
        <v>#REF!</v>
      </c>
      <c r="B150" s="144" t="s">
        <v>503</v>
      </c>
      <c r="C150" s="145" t="s">
        <v>167</v>
      </c>
      <c r="D150" s="145" t="s">
        <v>190</v>
      </c>
      <c r="E150" s="145" t="s">
        <v>172</v>
      </c>
      <c r="F150" s="145" t="s">
        <v>22</v>
      </c>
      <c r="G150" s="145" t="s">
        <v>175</v>
      </c>
      <c r="H150" s="145" t="s">
        <v>199</v>
      </c>
      <c r="I150" s="145" t="s">
        <v>54</v>
      </c>
      <c r="J150" s="145">
        <v>13</v>
      </c>
      <c r="K150" s="146" t="s">
        <v>29</v>
      </c>
      <c r="L150" s="147" t="s">
        <v>178</v>
      </c>
      <c r="M150" s="148">
        <v>6747471657</v>
      </c>
      <c r="N150" s="148"/>
      <c r="O150" s="148"/>
      <c r="P150" s="148"/>
      <c r="Q150" s="148"/>
      <c r="R150" s="148"/>
      <c r="S150" s="148">
        <v>6747471657</v>
      </c>
      <c r="T150" s="148">
        <v>5632124153</v>
      </c>
      <c r="U150" s="148">
        <v>1115347504</v>
      </c>
      <c r="V150" s="150">
        <v>0.83470141696069078</v>
      </c>
      <c r="W150" s="148"/>
      <c r="X150" s="148">
        <v>5632124153</v>
      </c>
      <c r="Y150" s="150">
        <v>1</v>
      </c>
      <c r="Z150" s="148"/>
      <c r="AA150" s="148">
        <v>0</v>
      </c>
      <c r="AB150" s="150">
        <v>0</v>
      </c>
    </row>
    <row r="151" spans="1:28" ht="32.25" customHeight="1">
      <c r="A151" s="32" t="e">
        <v>#REF!</v>
      </c>
      <c r="B151" s="138" t="s">
        <v>504</v>
      </c>
      <c r="C151" s="139" t="s">
        <v>167</v>
      </c>
      <c r="D151" s="139" t="s">
        <v>190</v>
      </c>
      <c r="E151" s="139" t="s">
        <v>172</v>
      </c>
      <c r="F151" s="139" t="s">
        <v>22</v>
      </c>
      <c r="G151" s="139" t="s">
        <v>175</v>
      </c>
      <c r="H151" s="139" t="s">
        <v>201</v>
      </c>
      <c r="I151" s="139"/>
      <c r="J151" s="139">
        <v>13</v>
      </c>
      <c r="K151" s="140" t="s">
        <v>29</v>
      </c>
      <c r="L151" s="140" t="s">
        <v>202</v>
      </c>
      <c r="M151" s="141">
        <v>11231519737</v>
      </c>
      <c r="N151" s="142">
        <v>0</v>
      </c>
      <c r="O151" s="142">
        <v>0</v>
      </c>
      <c r="P151" s="141">
        <v>0</v>
      </c>
      <c r="Q151" s="142">
        <v>0</v>
      </c>
      <c r="R151" s="142">
        <v>0</v>
      </c>
      <c r="S151" s="141">
        <v>11231519737</v>
      </c>
      <c r="T151" s="141">
        <v>7314628645</v>
      </c>
      <c r="U151" s="141">
        <v>3916891092</v>
      </c>
      <c r="V151" s="143">
        <v>0.65125902961318904</v>
      </c>
      <c r="W151" s="141">
        <v>0</v>
      </c>
      <c r="X151" s="141">
        <v>7314628645</v>
      </c>
      <c r="Y151" s="143">
        <v>1</v>
      </c>
      <c r="Z151" s="141">
        <v>0</v>
      </c>
      <c r="AA151" s="141">
        <v>0</v>
      </c>
      <c r="AB151" s="724">
        <v>0</v>
      </c>
    </row>
    <row r="152" spans="1:28" ht="24.95" customHeight="1">
      <c r="A152" s="32" t="e">
        <v>#REF!</v>
      </c>
      <c r="B152" s="144" t="s">
        <v>505</v>
      </c>
      <c r="C152" s="145" t="s">
        <v>167</v>
      </c>
      <c r="D152" s="145" t="s">
        <v>190</v>
      </c>
      <c r="E152" s="145" t="s">
        <v>172</v>
      </c>
      <c r="F152" s="145" t="s">
        <v>22</v>
      </c>
      <c r="G152" s="145" t="s">
        <v>175</v>
      </c>
      <c r="H152" s="145" t="s">
        <v>201</v>
      </c>
      <c r="I152" s="145" t="s">
        <v>54</v>
      </c>
      <c r="J152" s="145">
        <v>13</v>
      </c>
      <c r="K152" s="146" t="s">
        <v>29</v>
      </c>
      <c r="L152" s="147" t="s">
        <v>178</v>
      </c>
      <c r="M152" s="148">
        <v>11231519737</v>
      </c>
      <c r="N152" s="148"/>
      <c r="O152" s="148"/>
      <c r="P152" s="149"/>
      <c r="Q152" s="148"/>
      <c r="R152" s="148"/>
      <c r="S152" s="148">
        <v>11231519737</v>
      </c>
      <c r="T152" s="148">
        <v>7314628645</v>
      </c>
      <c r="U152" s="148">
        <v>3916891092</v>
      </c>
      <c r="V152" s="150">
        <v>0.65125902961318904</v>
      </c>
      <c r="W152" s="148"/>
      <c r="X152" s="148">
        <v>7314628645</v>
      </c>
      <c r="Y152" s="150">
        <v>1</v>
      </c>
      <c r="Z152" s="148"/>
      <c r="AA152" s="148">
        <v>0</v>
      </c>
      <c r="AB152" s="150">
        <v>0</v>
      </c>
    </row>
    <row r="153" spans="1:28" ht="32.25" customHeight="1">
      <c r="A153" s="32" t="e">
        <v>#REF!</v>
      </c>
      <c r="B153" s="138" t="s">
        <v>506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203</v>
      </c>
      <c r="I153" s="139"/>
      <c r="J153" s="139">
        <v>13</v>
      </c>
      <c r="K153" s="140" t="s">
        <v>29</v>
      </c>
      <c r="L153" s="140" t="s">
        <v>204</v>
      </c>
      <c r="M153" s="141">
        <v>96477155360</v>
      </c>
      <c r="N153" s="142">
        <v>0</v>
      </c>
      <c r="O153" s="142">
        <v>0</v>
      </c>
      <c r="P153" s="141">
        <v>0</v>
      </c>
      <c r="Q153" s="142">
        <v>0</v>
      </c>
      <c r="R153" s="142">
        <v>0</v>
      </c>
      <c r="S153" s="141">
        <v>96477155360</v>
      </c>
      <c r="T153" s="141">
        <v>90712280856</v>
      </c>
      <c r="U153" s="141">
        <v>5764874504</v>
      </c>
      <c r="V153" s="143">
        <v>0.94024622220163268</v>
      </c>
      <c r="W153" s="141">
        <v>0</v>
      </c>
      <c r="X153" s="141">
        <v>90712280856</v>
      </c>
      <c r="Y153" s="143">
        <v>1</v>
      </c>
      <c r="Z153" s="141">
        <v>0</v>
      </c>
      <c r="AA153" s="141">
        <v>0</v>
      </c>
      <c r="AB153" s="724">
        <v>0</v>
      </c>
    </row>
    <row r="154" spans="1:28" ht="24.95" customHeight="1">
      <c r="A154" s="32" t="e">
        <v>#REF!</v>
      </c>
      <c r="B154" s="144" t="s">
        <v>507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203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96477155360</v>
      </c>
      <c r="N154" s="148"/>
      <c r="O154" s="148"/>
      <c r="P154" s="149"/>
      <c r="Q154" s="148"/>
      <c r="R154" s="148"/>
      <c r="S154" s="148">
        <v>96477155360</v>
      </c>
      <c r="T154" s="148">
        <v>90712280856</v>
      </c>
      <c r="U154" s="148">
        <v>5764874504</v>
      </c>
      <c r="V154" s="150">
        <v>0.94024622220163268</v>
      </c>
      <c r="W154" s="148"/>
      <c r="X154" s="148">
        <v>90712280856</v>
      </c>
      <c r="Y154" s="150">
        <v>1</v>
      </c>
      <c r="Z154" s="148"/>
      <c r="AA154" s="148">
        <v>0</v>
      </c>
      <c r="AB154" s="150">
        <v>0</v>
      </c>
    </row>
    <row r="155" spans="1:28" ht="42" customHeight="1">
      <c r="A155" s="32" t="e">
        <v>#REF!</v>
      </c>
      <c r="B155" s="132" t="s">
        <v>299</v>
      </c>
      <c r="C155" s="133" t="s">
        <v>167</v>
      </c>
      <c r="D155" s="133" t="s">
        <v>190</v>
      </c>
      <c r="E155" s="133" t="s">
        <v>172</v>
      </c>
      <c r="F155" s="133" t="s">
        <v>205</v>
      </c>
      <c r="G155" s="133"/>
      <c r="H155" s="133"/>
      <c r="I155" s="133"/>
      <c r="J155" s="133"/>
      <c r="K155" s="134"/>
      <c r="L155" s="134" t="s">
        <v>265</v>
      </c>
      <c r="M155" s="135">
        <v>662805945958</v>
      </c>
      <c r="N155" s="135">
        <v>0</v>
      </c>
      <c r="O155" s="136">
        <v>0</v>
      </c>
      <c r="P155" s="135">
        <v>0</v>
      </c>
      <c r="Q155" s="135">
        <v>0</v>
      </c>
      <c r="R155" s="135">
        <v>0</v>
      </c>
      <c r="S155" s="135">
        <v>662805945958</v>
      </c>
      <c r="T155" s="135">
        <v>609622046605</v>
      </c>
      <c r="U155" s="135">
        <v>53183899353</v>
      </c>
      <c r="V155" s="137">
        <v>0.91975947156579962</v>
      </c>
      <c r="W155" s="135">
        <v>0</v>
      </c>
      <c r="X155" s="135">
        <v>609622046605</v>
      </c>
      <c r="Y155" s="137">
        <v>1</v>
      </c>
      <c r="Z155" s="135">
        <v>0</v>
      </c>
      <c r="AA155" s="135">
        <v>0</v>
      </c>
      <c r="AB155" s="723">
        <v>0</v>
      </c>
    </row>
    <row r="156" spans="1:28" ht="30.75" hidden="1" customHeight="1">
      <c r="A156" s="32"/>
      <c r="B156" s="135"/>
      <c r="C156" s="133"/>
      <c r="D156" s="133"/>
      <c r="E156" s="133"/>
      <c r="F156" s="133"/>
      <c r="G156" s="133"/>
      <c r="H156" s="133"/>
      <c r="I156" s="133"/>
      <c r="J156" s="133"/>
      <c r="K156" s="134"/>
      <c r="L156" s="135"/>
      <c r="M156" s="729"/>
      <c r="N156" s="135"/>
      <c r="O156" s="135"/>
      <c r="P156" s="136"/>
      <c r="Q156" s="135"/>
      <c r="R156" s="729"/>
      <c r="S156" s="135">
        <v>0</v>
      </c>
      <c r="T156" s="135"/>
      <c r="U156" s="135">
        <v>0</v>
      </c>
      <c r="V156" s="137"/>
      <c r="W156" s="135"/>
      <c r="X156" s="135">
        <v>0</v>
      </c>
      <c r="Y156" s="137"/>
      <c r="Z156" s="135"/>
      <c r="AA156" s="135">
        <v>0</v>
      </c>
      <c r="AB156" s="723"/>
    </row>
    <row r="157" spans="1:28" ht="32.25" customHeight="1">
      <c r="A157" s="32" t="e">
        <v>#REF!</v>
      </c>
      <c r="B157" s="138" t="s">
        <v>510</v>
      </c>
      <c r="C157" s="139" t="s">
        <v>167</v>
      </c>
      <c r="D157" s="139" t="s">
        <v>190</v>
      </c>
      <c r="E157" s="139" t="s">
        <v>172</v>
      </c>
      <c r="F157" s="139" t="s">
        <v>205</v>
      </c>
      <c r="G157" s="139" t="s">
        <v>175</v>
      </c>
      <c r="H157" s="139" t="s">
        <v>207</v>
      </c>
      <c r="I157" s="139"/>
      <c r="J157" s="139"/>
      <c r="K157" s="140"/>
      <c r="L157" s="140" t="s">
        <v>208</v>
      </c>
      <c r="M157" s="141">
        <v>633930608285</v>
      </c>
      <c r="N157" s="141">
        <v>0</v>
      </c>
      <c r="O157" s="141">
        <v>0</v>
      </c>
      <c r="P157" s="141">
        <v>0</v>
      </c>
      <c r="Q157" s="141">
        <v>0</v>
      </c>
      <c r="R157" s="141">
        <v>0</v>
      </c>
      <c r="S157" s="141">
        <v>633930608285</v>
      </c>
      <c r="T157" s="141">
        <v>590010223651.09998</v>
      </c>
      <c r="U157" s="141">
        <v>43920384633.900002</v>
      </c>
      <c r="V157" s="143">
        <v>0.93071736234235514</v>
      </c>
      <c r="W157" s="141">
        <v>0</v>
      </c>
      <c r="X157" s="141">
        <v>590010223651.09998</v>
      </c>
      <c r="Y157" s="143">
        <v>1</v>
      </c>
      <c r="Z157" s="141">
        <v>0</v>
      </c>
      <c r="AA157" s="141">
        <v>0</v>
      </c>
      <c r="AB157" s="724">
        <v>0</v>
      </c>
    </row>
    <row r="158" spans="1:28" ht="24.95" customHeight="1">
      <c r="A158" s="32" t="e">
        <v>#REF!</v>
      </c>
      <c r="B158" s="144" t="s">
        <v>511</v>
      </c>
      <c r="C158" s="145" t="s">
        <v>167</v>
      </c>
      <c r="D158" s="145" t="s">
        <v>190</v>
      </c>
      <c r="E158" s="145" t="s">
        <v>172</v>
      </c>
      <c r="F158" s="145" t="s">
        <v>205</v>
      </c>
      <c r="G158" s="145" t="s">
        <v>175</v>
      </c>
      <c r="H158" s="145" t="s">
        <v>207</v>
      </c>
      <c r="I158" s="145" t="s">
        <v>54</v>
      </c>
      <c r="J158" s="145">
        <v>13</v>
      </c>
      <c r="K158" s="146" t="s">
        <v>29</v>
      </c>
      <c r="L158" s="147" t="s">
        <v>178</v>
      </c>
      <c r="M158" s="148">
        <v>74930114899</v>
      </c>
      <c r="N158" s="148"/>
      <c r="O158" s="148"/>
      <c r="P158" s="148"/>
      <c r="Q158" s="149"/>
      <c r="R158" s="149"/>
      <c r="S158" s="148">
        <v>74930114899</v>
      </c>
      <c r="T158" s="148">
        <v>63615571483.099998</v>
      </c>
      <c r="U158" s="148">
        <v>11314543415.900002</v>
      </c>
      <c r="V158" s="150">
        <v>0.84899871792334591</v>
      </c>
      <c r="W158" s="148"/>
      <c r="X158" s="148">
        <v>63615571483.099998</v>
      </c>
      <c r="Y158" s="150">
        <v>1</v>
      </c>
      <c r="Z158" s="148"/>
      <c r="AA158" s="148">
        <v>0</v>
      </c>
      <c r="AB158" s="150">
        <v>0</v>
      </c>
    </row>
    <row r="159" spans="1:28" ht="24.95" customHeight="1">
      <c r="A159" s="32" t="e">
        <v>#REF!</v>
      </c>
      <c r="B159" s="144" t="s">
        <v>514</v>
      </c>
      <c r="C159" s="145" t="s">
        <v>167</v>
      </c>
      <c r="D159" s="145" t="s">
        <v>190</v>
      </c>
      <c r="E159" s="145" t="s">
        <v>172</v>
      </c>
      <c r="F159" s="145" t="s">
        <v>205</v>
      </c>
      <c r="G159" s="145" t="s">
        <v>175</v>
      </c>
      <c r="H159" s="145" t="s">
        <v>207</v>
      </c>
      <c r="I159" s="145" t="s">
        <v>65</v>
      </c>
      <c r="J159" s="145">
        <v>13</v>
      </c>
      <c r="K159" s="146" t="s">
        <v>29</v>
      </c>
      <c r="L159" s="147" t="s">
        <v>127</v>
      </c>
      <c r="M159" s="148">
        <v>559000493386</v>
      </c>
      <c r="N159" s="149"/>
      <c r="O159" s="148"/>
      <c r="P159" s="148"/>
      <c r="Q159" s="149"/>
      <c r="R159" s="149"/>
      <c r="S159" s="149">
        <v>559000493386</v>
      </c>
      <c r="T159" s="148">
        <v>526394652168</v>
      </c>
      <c r="U159" s="148">
        <v>32605841218</v>
      </c>
      <c r="V159" s="150">
        <v>0.94167117631596597</v>
      </c>
      <c r="W159" s="148"/>
      <c r="X159" s="148">
        <v>526394652168</v>
      </c>
      <c r="Y159" s="150">
        <v>1</v>
      </c>
      <c r="Z159" s="148"/>
      <c r="AA159" s="148">
        <v>0</v>
      </c>
      <c r="AB159" s="150">
        <v>0</v>
      </c>
    </row>
    <row r="160" spans="1:28" ht="32.25" customHeight="1">
      <c r="A160" s="32" t="e">
        <v>#REF!</v>
      </c>
      <c r="B160" s="138" t="s">
        <v>516</v>
      </c>
      <c r="C160" s="139" t="s">
        <v>167</v>
      </c>
      <c r="D160" s="139" t="s">
        <v>190</v>
      </c>
      <c r="E160" s="139" t="s">
        <v>172</v>
      </c>
      <c r="F160" s="139" t="s">
        <v>205</v>
      </c>
      <c r="G160" s="139" t="s">
        <v>175</v>
      </c>
      <c r="H160" s="139" t="s">
        <v>209</v>
      </c>
      <c r="I160" s="139"/>
      <c r="J160" s="139">
        <v>11</v>
      </c>
      <c r="K160" s="140" t="s">
        <v>29</v>
      </c>
      <c r="L160" s="140" t="s">
        <v>210</v>
      </c>
      <c r="M160" s="141">
        <v>28875337673</v>
      </c>
      <c r="N160" s="141">
        <v>0</v>
      </c>
      <c r="O160" s="141">
        <v>0</v>
      </c>
      <c r="P160" s="141">
        <v>0</v>
      </c>
      <c r="Q160" s="141">
        <v>0</v>
      </c>
      <c r="R160" s="141">
        <v>0</v>
      </c>
      <c r="S160" s="141">
        <v>28875337673</v>
      </c>
      <c r="T160" s="141">
        <v>19611822953.900002</v>
      </c>
      <c r="U160" s="141">
        <v>9263514719.1000004</v>
      </c>
      <c r="V160" s="143">
        <v>0.67918938909026561</v>
      </c>
      <c r="W160" s="141">
        <v>0</v>
      </c>
      <c r="X160" s="141">
        <v>19611822953.900002</v>
      </c>
      <c r="Y160" s="143">
        <v>1</v>
      </c>
      <c r="Z160" s="141">
        <v>0</v>
      </c>
      <c r="AA160" s="141">
        <v>0</v>
      </c>
      <c r="AB160" s="724">
        <v>0</v>
      </c>
    </row>
    <row r="161" spans="1:28" ht="24.95" customHeight="1">
      <c r="A161" s="32" t="e">
        <v>#REF!</v>
      </c>
      <c r="B161" s="144" t="s">
        <v>517</v>
      </c>
      <c r="C161" s="145" t="s">
        <v>167</v>
      </c>
      <c r="D161" s="145" t="s">
        <v>190</v>
      </c>
      <c r="E161" s="145" t="s">
        <v>172</v>
      </c>
      <c r="F161" s="145" t="s">
        <v>205</v>
      </c>
      <c r="G161" s="145" t="s">
        <v>175</v>
      </c>
      <c r="H161" s="145" t="s">
        <v>209</v>
      </c>
      <c r="I161" s="145" t="s">
        <v>54</v>
      </c>
      <c r="J161" s="145">
        <v>11</v>
      </c>
      <c r="K161" s="146" t="s">
        <v>29</v>
      </c>
      <c r="L161" s="147" t="s">
        <v>178</v>
      </c>
      <c r="M161" s="148">
        <v>17101987014</v>
      </c>
      <c r="N161" s="148"/>
      <c r="O161" s="148"/>
      <c r="P161" s="148"/>
      <c r="Q161" s="149"/>
      <c r="R161" s="148"/>
      <c r="S161" s="148">
        <v>17101987014</v>
      </c>
      <c r="T161" s="148">
        <v>13582509524</v>
      </c>
      <c r="U161" s="148">
        <v>3519477490</v>
      </c>
      <c r="V161" s="150">
        <v>0.7942065160546028</v>
      </c>
      <c r="W161" s="148"/>
      <c r="X161" s="148">
        <v>13582509524</v>
      </c>
      <c r="Y161" s="150">
        <v>1</v>
      </c>
      <c r="Z161" s="148"/>
      <c r="AA161" s="148">
        <v>0</v>
      </c>
      <c r="AB161" s="150">
        <v>0</v>
      </c>
    </row>
    <row r="162" spans="1:28" ht="24.95" customHeight="1">
      <c r="A162" s="32" t="e">
        <v>#REF!</v>
      </c>
      <c r="B162" s="144" t="s">
        <v>517</v>
      </c>
      <c r="C162" s="145" t="s">
        <v>167</v>
      </c>
      <c r="D162" s="145" t="s">
        <v>190</v>
      </c>
      <c r="E162" s="145" t="s">
        <v>172</v>
      </c>
      <c r="F162" s="145" t="s">
        <v>205</v>
      </c>
      <c r="G162" s="145" t="s">
        <v>175</v>
      </c>
      <c r="H162" s="145" t="s">
        <v>209</v>
      </c>
      <c r="I162" s="145" t="s">
        <v>54</v>
      </c>
      <c r="J162" s="145">
        <v>13</v>
      </c>
      <c r="K162" s="146" t="s">
        <v>29</v>
      </c>
      <c r="L162" s="147" t="s">
        <v>178</v>
      </c>
      <c r="M162" s="148">
        <v>11773350659</v>
      </c>
      <c r="N162" s="148"/>
      <c r="O162" s="148"/>
      <c r="P162" s="148"/>
      <c r="Q162" s="149"/>
      <c r="R162" s="148"/>
      <c r="S162" s="148">
        <v>11773350659</v>
      </c>
      <c r="T162" s="148">
        <v>6029313429.8999996</v>
      </c>
      <c r="U162" s="148">
        <v>5744037229.1000004</v>
      </c>
      <c r="V162" s="150">
        <v>0.51211533611215099</v>
      </c>
      <c r="W162" s="148"/>
      <c r="X162" s="148">
        <v>6029313429.8999996</v>
      </c>
      <c r="Y162" s="150">
        <v>1</v>
      </c>
      <c r="Z162" s="148"/>
      <c r="AA162" s="148">
        <v>0</v>
      </c>
      <c r="AB162" s="150">
        <v>0</v>
      </c>
    </row>
    <row r="163" spans="1:28" ht="38.25" customHeight="1">
      <c r="A163" s="32" t="e">
        <v>#REF!</v>
      </c>
      <c r="B163" s="132" t="s">
        <v>520</v>
      </c>
      <c r="C163" s="133" t="s">
        <v>167</v>
      </c>
      <c r="D163" s="133" t="s">
        <v>190</v>
      </c>
      <c r="E163" s="133" t="s">
        <v>172</v>
      </c>
      <c r="F163" s="133" t="s">
        <v>211</v>
      </c>
      <c r="G163" s="133"/>
      <c r="H163" s="133"/>
      <c r="I163" s="133"/>
      <c r="J163" s="133"/>
      <c r="K163" s="134"/>
      <c r="L163" s="134" t="s">
        <v>266</v>
      </c>
      <c r="M163" s="135">
        <v>1000000000</v>
      </c>
      <c r="N163" s="136">
        <v>0</v>
      </c>
      <c r="O163" s="136">
        <v>0</v>
      </c>
      <c r="P163" s="135">
        <v>0</v>
      </c>
      <c r="Q163" s="135">
        <v>0</v>
      </c>
      <c r="R163" s="136">
        <v>0</v>
      </c>
      <c r="S163" s="135">
        <v>1000000000</v>
      </c>
      <c r="T163" s="135">
        <v>0</v>
      </c>
      <c r="U163" s="135">
        <v>1000000000</v>
      </c>
      <c r="V163" s="137">
        <v>0</v>
      </c>
      <c r="W163" s="135">
        <v>0</v>
      </c>
      <c r="X163" s="135">
        <v>0</v>
      </c>
      <c r="Y163" s="137">
        <v>0</v>
      </c>
      <c r="Z163" s="135">
        <v>0</v>
      </c>
      <c r="AA163" s="135">
        <v>0</v>
      </c>
      <c r="AB163" s="723">
        <v>0</v>
      </c>
    </row>
    <row r="164" spans="1:28" ht="32.25" customHeight="1">
      <c r="A164" s="32" t="e">
        <v>#REF!</v>
      </c>
      <c r="B164" s="138" t="s">
        <v>522</v>
      </c>
      <c r="C164" s="139" t="s">
        <v>167</v>
      </c>
      <c r="D164" s="139" t="s">
        <v>190</v>
      </c>
      <c r="E164" s="139" t="s">
        <v>172</v>
      </c>
      <c r="F164" s="139" t="s">
        <v>211</v>
      </c>
      <c r="G164" s="139" t="s">
        <v>175</v>
      </c>
      <c r="H164" s="139" t="s">
        <v>213</v>
      </c>
      <c r="I164" s="139"/>
      <c r="J164" s="139" t="s">
        <v>144</v>
      </c>
      <c r="K164" s="140" t="s">
        <v>29</v>
      </c>
      <c r="L164" s="140" t="s">
        <v>214</v>
      </c>
      <c r="M164" s="141">
        <v>820000000</v>
      </c>
      <c r="N164" s="142">
        <v>0</v>
      </c>
      <c r="O164" s="142">
        <v>0</v>
      </c>
      <c r="P164" s="142">
        <v>0</v>
      </c>
      <c r="Q164" s="141">
        <v>0</v>
      </c>
      <c r="R164" s="142">
        <v>0</v>
      </c>
      <c r="S164" s="141">
        <v>820000000</v>
      </c>
      <c r="T164" s="141">
        <v>0</v>
      </c>
      <c r="U164" s="141">
        <v>820000000</v>
      </c>
      <c r="V164" s="143">
        <v>0</v>
      </c>
      <c r="W164" s="141">
        <v>0</v>
      </c>
      <c r="X164" s="142">
        <v>0</v>
      </c>
      <c r="Y164" s="143">
        <v>0</v>
      </c>
      <c r="Z164" s="141">
        <v>0</v>
      </c>
      <c r="AA164" s="141">
        <v>0</v>
      </c>
      <c r="AB164" s="724">
        <v>0</v>
      </c>
    </row>
    <row r="165" spans="1:28" ht="24.95" customHeight="1">
      <c r="A165" s="32" t="e">
        <v>#REF!</v>
      </c>
      <c r="B165" s="144" t="s">
        <v>524</v>
      </c>
      <c r="C165" s="145" t="s">
        <v>167</v>
      </c>
      <c r="D165" s="145" t="s">
        <v>190</v>
      </c>
      <c r="E165" s="145" t="s">
        <v>172</v>
      </c>
      <c r="F165" s="145" t="s">
        <v>211</v>
      </c>
      <c r="G165" s="145" t="s">
        <v>175</v>
      </c>
      <c r="H165" s="145" t="s">
        <v>213</v>
      </c>
      <c r="I165" s="145" t="s">
        <v>54</v>
      </c>
      <c r="J165" s="145">
        <v>13</v>
      </c>
      <c r="K165" s="146" t="s">
        <v>29</v>
      </c>
      <c r="L165" s="147" t="s">
        <v>178</v>
      </c>
      <c r="M165" s="148">
        <v>820000000</v>
      </c>
      <c r="N165" s="148"/>
      <c r="O165" s="148"/>
      <c r="P165" s="148"/>
      <c r="Q165" s="149"/>
      <c r="R165" s="148"/>
      <c r="S165" s="148">
        <v>820000000</v>
      </c>
      <c r="T165" s="148"/>
      <c r="U165" s="148">
        <v>820000000</v>
      </c>
      <c r="V165" s="150">
        <v>0</v>
      </c>
      <c r="W165" s="148"/>
      <c r="X165" s="148">
        <v>0</v>
      </c>
      <c r="Y165" s="150">
        <v>0</v>
      </c>
      <c r="Z165" s="148"/>
      <c r="AA165" s="148">
        <v>0</v>
      </c>
      <c r="AB165" s="150">
        <v>0</v>
      </c>
    </row>
    <row r="166" spans="1:28" ht="32.25" customHeight="1">
      <c r="A166" s="32" t="e">
        <v>#REF!</v>
      </c>
      <c r="B166" s="138" t="s">
        <v>526</v>
      </c>
      <c r="C166" s="139" t="s">
        <v>167</v>
      </c>
      <c r="D166" s="139" t="s">
        <v>190</v>
      </c>
      <c r="E166" s="139" t="s">
        <v>172</v>
      </c>
      <c r="F166" s="139" t="s">
        <v>211</v>
      </c>
      <c r="G166" s="139" t="s">
        <v>175</v>
      </c>
      <c r="H166" s="139" t="s">
        <v>215</v>
      </c>
      <c r="I166" s="139"/>
      <c r="J166" s="139" t="s">
        <v>144</v>
      </c>
      <c r="K166" s="140" t="s">
        <v>29</v>
      </c>
      <c r="L166" s="140" t="s">
        <v>216</v>
      </c>
      <c r="M166" s="141">
        <v>180000000</v>
      </c>
      <c r="N166" s="142">
        <v>0</v>
      </c>
      <c r="O166" s="142">
        <v>0</v>
      </c>
      <c r="P166" s="141">
        <v>0</v>
      </c>
      <c r="Q166" s="141">
        <v>0</v>
      </c>
      <c r="R166" s="142">
        <v>0</v>
      </c>
      <c r="S166" s="141">
        <v>180000000</v>
      </c>
      <c r="T166" s="141">
        <v>0</v>
      </c>
      <c r="U166" s="141">
        <v>180000000</v>
      </c>
      <c r="V166" s="143">
        <v>0</v>
      </c>
      <c r="W166" s="141">
        <v>0</v>
      </c>
      <c r="X166" s="141">
        <v>0</v>
      </c>
      <c r="Y166" s="143">
        <v>0</v>
      </c>
      <c r="Z166" s="141">
        <v>0</v>
      </c>
      <c r="AA166" s="141">
        <v>0</v>
      </c>
      <c r="AB166" s="724">
        <v>0</v>
      </c>
    </row>
    <row r="167" spans="1:28" ht="24.95" customHeight="1">
      <c r="A167" s="32" t="e">
        <v>#REF!</v>
      </c>
      <c r="B167" s="144" t="s">
        <v>528</v>
      </c>
      <c r="C167" s="145" t="s">
        <v>167</v>
      </c>
      <c r="D167" s="145" t="s">
        <v>190</v>
      </c>
      <c r="E167" s="145" t="s">
        <v>172</v>
      </c>
      <c r="F167" s="145" t="s">
        <v>211</v>
      </c>
      <c r="G167" s="145" t="s">
        <v>175</v>
      </c>
      <c r="H167" s="145" t="s">
        <v>215</v>
      </c>
      <c r="I167" s="145" t="s">
        <v>54</v>
      </c>
      <c r="J167" s="145">
        <v>13</v>
      </c>
      <c r="K167" s="146" t="s">
        <v>29</v>
      </c>
      <c r="L167" s="147" t="s">
        <v>178</v>
      </c>
      <c r="M167" s="148">
        <v>180000000</v>
      </c>
      <c r="N167" s="148"/>
      <c r="O167" s="148"/>
      <c r="P167" s="149"/>
      <c r="Q167" s="149"/>
      <c r="R167" s="148"/>
      <c r="S167" s="148">
        <v>180000000</v>
      </c>
      <c r="T167" s="148"/>
      <c r="U167" s="148">
        <v>180000000</v>
      </c>
      <c r="V167" s="150">
        <v>0</v>
      </c>
      <c r="W167" s="148"/>
      <c r="X167" s="148">
        <v>0</v>
      </c>
      <c r="Y167" s="150">
        <v>0</v>
      </c>
      <c r="Z167" s="148"/>
      <c r="AA167" s="148">
        <v>0</v>
      </c>
      <c r="AB167" s="150">
        <v>0</v>
      </c>
    </row>
    <row r="168" spans="1:28" ht="49.5" customHeight="1">
      <c r="A168" s="32" t="e">
        <v>#REF!</v>
      </c>
      <c r="B168" s="132" t="s">
        <v>530</v>
      </c>
      <c r="C168" s="133" t="s">
        <v>167</v>
      </c>
      <c r="D168" s="133" t="s">
        <v>190</v>
      </c>
      <c r="E168" s="133" t="s">
        <v>172</v>
      </c>
      <c r="F168" s="133" t="s">
        <v>217</v>
      </c>
      <c r="G168" s="133"/>
      <c r="H168" s="133"/>
      <c r="I168" s="133"/>
      <c r="J168" s="133"/>
      <c r="K168" s="134"/>
      <c r="L168" s="134" t="s">
        <v>267</v>
      </c>
      <c r="M168" s="135">
        <v>20000000000</v>
      </c>
      <c r="N168" s="136">
        <v>0</v>
      </c>
      <c r="O168" s="136">
        <v>0</v>
      </c>
      <c r="P168" s="135">
        <v>0</v>
      </c>
      <c r="Q168" s="136">
        <v>0</v>
      </c>
      <c r="R168" s="136">
        <v>0</v>
      </c>
      <c r="S168" s="135">
        <v>20000000000</v>
      </c>
      <c r="T168" s="135">
        <v>793893586</v>
      </c>
      <c r="U168" s="135">
        <v>19206106414</v>
      </c>
      <c r="V168" s="137">
        <v>3.9694679300000001E-2</v>
      </c>
      <c r="W168" s="135">
        <v>0</v>
      </c>
      <c r="X168" s="135">
        <v>793893586</v>
      </c>
      <c r="Y168" s="137">
        <v>1</v>
      </c>
      <c r="Z168" s="135">
        <v>0</v>
      </c>
      <c r="AA168" s="135">
        <v>0</v>
      </c>
      <c r="AB168" s="723">
        <v>0</v>
      </c>
    </row>
    <row r="169" spans="1:28" ht="32.25" customHeight="1">
      <c r="A169" s="32" t="e">
        <v>#REF!</v>
      </c>
      <c r="B169" s="138" t="s">
        <v>531</v>
      </c>
      <c r="C169" s="139" t="s">
        <v>167</v>
      </c>
      <c r="D169" s="139" t="s">
        <v>190</v>
      </c>
      <c r="E169" s="139" t="s">
        <v>172</v>
      </c>
      <c r="F169" s="139" t="s">
        <v>217</v>
      </c>
      <c r="G169" s="139" t="s">
        <v>175</v>
      </c>
      <c r="H169" s="139" t="s">
        <v>219</v>
      </c>
      <c r="I169" s="139"/>
      <c r="J169" s="139">
        <v>11</v>
      </c>
      <c r="K169" s="140" t="s">
        <v>29</v>
      </c>
      <c r="L169" s="140" t="s">
        <v>220</v>
      </c>
      <c r="M169" s="141">
        <v>4242894515</v>
      </c>
      <c r="N169" s="142">
        <v>0</v>
      </c>
      <c r="O169" s="142">
        <v>0</v>
      </c>
      <c r="P169" s="141">
        <v>0</v>
      </c>
      <c r="Q169" s="142">
        <v>0</v>
      </c>
      <c r="R169" s="142">
        <v>0</v>
      </c>
      <c r="S169" s="141">
        <v>4242894515</v>
      </c>
      <c r="T169" s="141">
        <v>793893586</v>
      </c>
      <c r="U169" s="141">
        <v>3449000929</v>
      </c>
      <c r="V169" s="143">
        <v>0.18711131827419472</v>
      </c>
      <c r="W169" s="141">
        <v>0</v>
      </c>
      <c r="X169" s="142">
        <v>793893586</v>
      </c>
      <c r="Y169" s="143">
        <v>1</v>
      </c>
      <c r="Z169" s="141">
        <v>0</v>
      </c>
      <c r="AA169" s="141">
        <v>0</v>
      </c>
      <c r="AB169" s="724">
        <v>0</v>
      </c>
    </row>
    <row r="170" spans="1:28" ht="24.95" customHeight="1">
      <c r="A170" s="32" t="e">
        <v>#REF!</v>
      </c>
      <c r="B170" s="144" t="s">
        <v>532</v>
      </c>
      <c r="C170" s="145" t="s">
        <v>167</v>
      </c>
      <c r="D170" s="145" t="s">
        <v>190</v>
      </c>
      <c r="E170" s="145" t="s">
        <v>172</v>
      </c>
      <c r="F170" s="145" t="s">
        <v>217</v>
      </c>
      <c r="G170" s="145" t="s">
        <v>175</v>
      </c>
      <c r="H170" s="145" t="s">
        <v>219</v>
      </c>
      <c r="I170" s="145" t="s">
        <v>54</v>
      </c>
      <c r="J170" s="145">
        <v>13</v>
      </c>
      <c r="K170" s="146" t="s">
        <v>29</v>
      </c>
      <c r="L170" s="147" t="s">
        <v>178</v>
      </c>
      <c r="M170" s="148">
        <v>4242894515</v>
      </c>
      <c r="N170" s="148"/>
      <c r="O170" s="148"/>
      <c r="P170" s="148"/>
      <c r="Q170" s="148"/>
      <c r="R170" s="148"/>
      <c r="S170" s="148">
        <v>4242894515</v>
      </c>
      <c r="T170" s="148">
        <v>793893586</v>
      </c>
      <c r="U170" s="148">
        <v>3449000929</v>
      </c>
      <c r="V170" s="150">
        <v>0.18711131827419472</v>
      </c>
      <c r="W170" s="148"/>
      <c r="X170" s="148">
        <v>793893586</v>
      </c>
      <c r="Y170" s="150">
        <v>1</v>
      </c>
      <c r="Z170" s="148"/>
      <c r="AA170" s="148">
        <v>0</v>
      </c>
      <c r="AB170" s="150">
        <v>0</v>
      </c>
    </row>
    <row r="171" spans="1:28" ht="32.25" customHeight="1">
      <c r="A171" s="32" t="e">
        <v>#REF!</v>
      </c>
      <c r="B171" s="138" t="s">
        <v>533</v>
      </c>
      <c r="C171" s="139" t="s">
        <v>167</v>
      </c>
      <c r="D171" s="139" t="s">
        <v>190</v>
      </c>
      <c r="E171" s="139" t="s">
        <v>172</v>
      </c>
      <c r="F171" s="139" t="s">
        <v>217</v>
      </c>
      <c r="G171" s="139" t="s">
        <v>175</v>
      </c>
      <c r="H171" s="139" t="s">
        <v>221</v>
      </c>
      <c r="I171" s="139"/>
      <c r="J171" s="139">
        <v>11</v>
      </c>
      <c r="K171" s="140" t="s">
        <v>29</v>
      </c>
      <c r="L171" s="140" t="s">
        <v>222</v>
      </c>
      <c r="M171" s="141">
        <v>15757105485</v>
      </c>
      <c r="N171" s="141">
        <v>0</v>
      </c>
      <c r="O171" s="141">
        <v>0</v>
      </c>
      <c r="P171" s="141">
        <v>0</v>
      </c>
      <c r="Q171" s="142">
        <v>0</v>
      </c>
      <c r="R171" s="142">
        <v>0</v>
      </c>
      <c r="S171" s="141">
        <v>15757105485</v>
      </c>
      <c r="T171" s="141">
        <v>0</v>
      </c>
      <c r="U171" s="141">
        <v>15757105485</v>
      </c>
      <c r="V171" s="143">
        <v>0</v>
      </c>
      <c r="W171" s="141">
        <v>0</v>
      </c>
      <c r="X171" s="141">
        <v>0</v>
      </c>
      <c r="Y171" s="143">
        <v>0</v>
      </c>
      <c r="Z171" s="141">
        <v>0</v>
      </c>
      <c r="AA171" s="141">
        <v>0</v>
      </c>
      <c r="AB171" s="724">
        <v>0</v>
      </c>
    </row>
    <row r="172" spans="1:28" ht="24.95" customHeight="1">
      <c r="A172" s="32" t="e">
        <v>#REF!</v>
      </c>
      <c r="B172" s="144" t="s">
        <v>534</v>
      </c>
      <c r="C172" s="145" t="s">
        <v>167</v>
      </c>
      <c r="D172" s="145" t="s">
        <v>190</v>
      </c>
      <c r="E172" s="145" t="s">
        <v>172</v>
      </c>
      <c r="F172" s="145" t="s">
        <v>217</v>
      </c>
      <c r="G172" s="145" t="s">
        <v>175</v>
      </c>
      <c r="H172" s="145" t="s">
        <v>221</v>
      </c>
      <c r="I172" s="145" t="s">
        <v>54</v>
      </c>
      <c r="J172" s="145">
        <v>13</v>
      </c>
      <c r="K172" s="146" t="s">
        <v>29</v>
      </c>
      <c r="L172" s="147" t="s">
        <v>178</v>
      </c>
      <c r="M172" s="148">
        <v>15757105485</v>
      </c>
      <c r="N172" s="148"/>
      <c r="O172" s="148"/>
      <c r="P172" s="148"/>
      <c r="Q172" s="148"/>
      <c r="R172" s="148"/>
      <c r="S172" s="148">
        <v>15757105485</v>
      </c>
      <c r="T172" s="148"/>
      <c r="U172" s="148">
        <v>15757105485</v>
      </c>
      <c r="V172" s="150">
        <v>0</v>
      </c>
      <c r="W172" s="148"/>
      <c r="X172" s="148">
        <v>0</v>
      </c>
      <c r="Y172" s="150">
        <v>0</v>
      </c>
      <c r="Z172" s="148"/>
      <c r="AA172" s="148">
        <v>0</v>
      </c>
      <c r="AB172" s="150">
        <v>0</v>
      </c>
    </row>
    <row r="173" spans="1:28" ht="32.25" hidden="1" customHeight="1">
      <c r="A173" s="32" t="e">
        <v>#REF!</v>
      </c>
      <c r="B173" s="138" t="s">
        <v>536</v>
      </c>
      <c r="C173" s="139" t="s">
        <v>167</v>
      </c>
      <c r="D173" s="139" t="s">
        <v>190</v>
      </c>
      <c r="E173" s="139" t="s">
        <v>172</v>
      </c>
      <c r="F173" s="139" t="s">
        <v>217</v>
      </c>
      <c r="G173" s="139" t="s">
        <v>175</v>
      </c>
      <c r="H173" s="139" t="s">
        <v>223</v>
      </c>
      <c r="I173" s="139"/>
      <c r="J173" s="139">
        <v>11</v>
      </c>
      <c r="K173" s="140" t="s">
        <v>29</v>
      </c>
      <c r="L173" s="140" t="s">
        <v>224</v>
      </c>
      <c r="M173" s="142">
        <v>0</v>
      </c>
      <c r="N173" s="141">
        <v>0</v>
      </c>
      <c r="O173" s="141">
        <v>0</v>
      </c>
      <c r="P173" s="141">
        <v>0</v>
      </c>
      <c r="Q173" s="142">
        <v>0</v>
      </c>
      <c r="R173" s="142">
        <v>0</v>
      </c>
      <c r="S173" s="141">
        <v>0</v>
      </c>
      <c r="T173" s="141">
        <v>0</v>
      </c>
      <c r="U173" s="141">
        <v>0</v>
      </c>
      <c r="V173" s="143">
        <v>0</v>
      </c>
      <c r="W173" s="141">
        <v>0</v>
      </c>
      <c r="X173" s="141">
        <v>0</v>
      </c>
      <c r="Y173" s="143">
        <v>0</v>
      </c>
      <c r="Z173" s="141">
        <v>0</v>
      </c>
      <c r="AA173" s="141">
        <v>0</v>
      </c>
      <c r="AB173" s="724">
        <v>0</v>
      </c>
    </row>
    <row r="174" spans="1:28" ht="24.95" hidden="1" customHeight="1">
      <c r="A174" s="32" t="e">
        <v>#REF!</v>
      </c>
      <c r="B174" s="144" t="s">
        <v>537</v>
      </c>
      <c r="C174" s="145" t="s">
        <v>167</v>
      </c>
      <c r="D174" s="145" t="s">
        <v>190</v>
      </c>
      <c r="E174" s="145" t="s">
        <v>172</v>
      </c>
      <c r="F174" s="145" t="s">
        <v>217</v>
      </c>
      <c r="G174" s="145" t="s">
        <v>175</v>
      </c>
      <c r="H174" s="145" t="s">
        <v>223</v>
      </c>
      <c r="I174" s="145" t="s">
        <v>54</v>
      </c>
      <c r="J174" s="145">
        <v>11</v>
      </c>
      <c r="K174" s="146" t="s">
        <v>29</v>
      </c>
      <c r="L174" s="147" t="s">
        <v>178</v>
      </c>
      <c r="M174" s="148"/>
      <c r="N174" s="148"/>
      <c r="O174" s="148"/>
      <c r="P174" s="148"/>
      <c r="Q174" s="148"/>
      <c r="R174" s="148"/>
      <c r="S174" s="148">
        <v>0</v>
      </c>
      <c r="T174" s="148"/>
      <c r="U174" s="148">
        <v>0</v>
      </c>
      <c r="V174" s="150">
        <v>0</v>
      </c>
      <c r="W174" s="148"/>
      <c r="X174" s="148">
        <v>0</v>
      </c>
      <c r="Y174" s="150">
        <v>0</v>
      </c>
      <c r="Z174" s="148"/>
      <c r="AA174" s="148">
        <v>0</v>
      </c>
      <c r="AB174" s="150">
        <v>0</v>
      </c>
    </row>
    <row r="175" spans="1:28" ht="24.95" hidden="1" customHeight="1">
      <c r="A175" s="32" t="e">
        <v>#REF!</v>
      </c>
      <c r="B175" s="144" t="s">
        <v>539</v>
      </c>
      <c r="C175" s="145" t="s">
        <v>167</v>
      </c>
      <c r="D175" s="145" t="s">
        <v>190</v>
      </c>
      <c r="E175" s="145" t="s">
        <v>172</v>
      </c>
      <c r="F175" s="145" t="s">
        <v>217</v>
      </c>
      <c r="G175" s="145" t="s">
        <v>175</v>
      </c>
      <c r="H175" s="145" t="s">
        <v>223</v>
      </c>
      <c r="I175" s="145" t="s">
        <v>65</v>
      </c>
      <c r="J175" s="145">
        <v>11</v>
      </c>
      <c r="K175" s="146" t="s">
        <v>29</v>
      </c>
      <c r="L175" s="147" t="s">
        <v>127</v>
      </c>
      <c r="M175" s="148"/>
      <c r="N175" s="148"/>
      <c r="O175" s="148"/>
      <c r="P175" s="148"/>
      <c r="Q175" s="148"/>
      <c r="R175" s="148"/>
      <c r="S175" s="148">
        <v>0</v>
      </c>
      <c r="T175" s="148"/>
      <c r="U175" s="148">
        <v>0</v>
      </c>
      <c r="V175" s="150">
        <v>0</v>
      </c>
      <c r="W175" s="148"/>
      <c r="X175" s="148">
        <v>0</v>
      </c>
      <c r="Y175" s="150">
        <v>0</v>
      </c>
      <c r="Z175" s="148"/>
      <c r="AA175" s="148">
        <v>0</v>
      </c>
      <c r="AB175" s="150">
        <v>0</v>
      </c>
    </row>
    <row r="176" spans="1:28" ht="32.25" hidden="1" customHeight="1">
      <c r="A176" s="32" t="e">
        <v>#REF!</v>
      </c>
      <c r="B176" s="138" t="s">
        <v>540</v>
      </c>
      <c r="C176" s="139" t="s">
        <v>167</v>
      </c>
      <c r="D176" s="139" t="s">
        <v>190</v>
      </c>
      <c r="E176" s="139" t="s">
        <v>172</v>
      </c>
      <c r="F176" s="139" t="s">
        <v>217</v>
      </c>
      <c r="G176" s="139" t="s">
        <v>175</v>
      </c>
      <c r="H176" s="139" t="s">
        <v>225</v>
      </c>
      <c r="I176" s="139"/>
      <c r="J176" s="139">
        <v>11</v>
      </c>
      <c r="K176" s="140" t="s">
        <v>29</v>
      </c>
      <c r="L176" s="140" t="s">
        <v>226</v>
      </c>
      <c r="M176" s="142">
        <v>0</v>
      </c>
      <c r="N176" s="142">
        <v>0</v>
      </c>
      <c r="O176" s="142">
        <v>0</v>
      </c>
      <c r="P176" s="141">
        <v>0</v>
      </c>
      <c r="Q176" s="142">
        <v>0</v>
      </c>
      <c r="R176" s="142">
        <v>0</v>
      </c>
      <c r="S176" s="141">
        <v>0</v>
      </c>
      <c r="T176" s="141">
        <v>0</v>
      </c>
      <c r="U176" s="141">
        <v>0</v>
      </c>
      <c r="V176" s="143">
        <v>0</v>
      </c>
      <c r="W176" s="141">
        <v>0</v>
      </c>
      <c r="X176" s="142">
        <v>0</v>
      </c>
      <c r="Y176" s="143">
        <v>0</v>
      </c>
      <c r="Z176" s="141">
        <v>0</v>
      </c>
      <c r="AA176" s="141">
        <v>0</v>
      </c>
      <c r="AB176" s="724">
        <v>0</v>
      </c>
    </row>
    <row r="177" spans="1:28" ht="24.95" hidden="1" customHeight="1">
      <c r="A177" s="32" t="e">
        <v>#REF!</v>
      </c>
      <c r="B177" s="144" t="s">
        <v>541</v>
      </c>
      <c r="C177" s="145" t="s">
        <v>167</v>
      </c>
      <c r="D177" s="145" t="s">
        <v>190</v>
      </c>
      <c r="E177" s="145" t="s">
        <v>172</v>
      </c>
      <c r="F177" s="145" t="s">
        <v>217</v>
      </c>
      <c r="G177" s="145" t="s">
        <v>175</v>
      </c>
      <c r="H177" s="145" t="s">
        <v>225</v>
      </c>
      <c r="I177" s="145" t="s">
        <v>54</v>
      </c>
      <c r="J177" s="145">
        <v>11</v>
      </c>
      <c r="K177" s="146" t="s">
        <v>29</v>
      </c>
      <c r="L177" s="147" t="s">
        <v>178</v>
      </c>
      <c r="M177" s="148"/>
      <c r="N177" s="148"/>
      <c r="O177" s="148"/>
      <c r="P177" s="148"/>
      <c r="Q177" s="148"/>
      <c r="R177" s="148"/>
      <c r="S177" s="148">
        <v>0</v>
      </c>
      <c r="T177" s="148"/>
      <c r="U177" s="148">
        <v>0</v>
      </c>
      <c r="V177" s="150">
        <v>0</v>
      </c>
      <c r="W177" s="148"/>
      <c r="X177" s="148">
        <v>0</v>
      </c>
      <c r="Y177" s="150">
        <v>0</v>
      </c>
      <c r="Z177" s="148"/>
      <c r="AA177" s="148">
        <v>0</v>
      </c>
      <c r="AB177" s="150">
        <v>0</v>
      </c>
    </row>
    <row r="178" spans="1:28" ht="41.25" customHeight="1">
      <c r="A178" s="32" t="e">
        <v>#REF!</v>
      </c>
      <c r="B178" s="132" t="s">
        <v>664</v>
      </c>
      <c r="C178" s="133" t="s">
        <v>167</v>
      </c>
      <c r="D178" s="133" t="s">
        <v>190</v>
      </c>
      <c r="E178" s="133" t="s">
        <v>172</v>
      </c>
      <c r="F178" s="133">
        <v>19</v>
      </c>
      <c r="G178" s="133"/>
      <c r="H178" s="133"/>
      <c r="I178" s="133"/>
      <c r="J178" s="133"/>
      <c r="K178" s="134"/>
      <c r="L178" s="134" t="s">
        <v>270</v>
      </c>
      <c r="M178" s="135">
        <v>12800000000</v>
      </c>
      <c r="N178" s="135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12800000000</v>
      </c>
      <c r="T178" s="135">
        <v>10159013084</v>
      </c>
      <c r="U178" s="135">
        <v>2640986916</v>
      </c>
      <c r="V178" s="137">
        <v>0.7936728971875</v>
      </c>
      <c r="W178" s="135">
        <v>0</v>
      </c>
      <c r="X178" s="135">
        <v>10159013084</v>
      </c>
      <c r="Y178" s="137">
        <v>1</v>
      </c>
      <c r="Z178" s="135">
        <v>0</v>
      </c>
      <c r="AA178" s="135">
        <v>0</v>
      </c>
      <c r="AB178" s="723">
        <v>0</v>
      </c>
    </row>
    <row r="179" spans="1:28" ht="32.25" customHeight="1">
      <c r="A179" s="32" t="e">
        <v>#REF!</v>
      </c>
      <c r="B179" s="138" t="s">
        <v>666</v>
      </c>
      <c r="C179" s="139" t="s">
        <v>167</v>
      </c>
      <c r="D179" s="139" t="s">
        <v>190</v>
      </c>
      <c r="E179" s="139" t="s">
        <v>172</v>
      </c>
      <c r="F179" s="139">
        <v>19</v>
      </c>
      <c r="G179" s="139" t="s">
        <v>175</v>
      </c>
      <c r="H179" s="139">
        <v>4103049</v>
      </c>
      <c r="I179" s="139"/>
      <c r="J179" s="139">
        <v>13</v>
      </c>
      <c r="K179" s="140" t="s">
        <v>29</v>
      </c>
      <c r="L179" s="140" t="s">
        <v>228</v>
      </c>
      <c r="M179" s="141">
        <v>321785352</v>
      </c>
      <c r="N179" s="142">
        <v>0</v>
      </c>
      <c r="O179" s="142">
        <v>0</v>
      </c>
      <c r="P179" s="142">
        <v>0</v>
      </c>
      <c r="Q179" s="141">
        <v>0</v>
      </c>
      <c r="R179" s="142">
        <v>0</v>
      </c>
      <c r="S179" s="141">
        <v>321785352</v>
      </c>
      <c r="T179" s="141">
        <v>0</v>
      </c>
      <c r="U179" s="141">
        <v>321785352</v>
      </c>
      <c r="V179" s="143">
        <v>0</v>
      </c>
      <c r="W179" s="141">
        <v>0</v>
      </c>
      <c r="X179" s="141">
        <v>0</v>
      </c>
      <c r="Y179" s="143">
        <v>0</v>
      </c>
      <c r="Z179" s="141">
        <v>0</v>
      </c>
      <c r="AA179" s="141">
        <v>0</v>
      </c>
      <c r="AB179" s="724">
        <v>0</v>
      </c>
    </row>
    <row r="180" spans="1:28" ht="24.95" customHeight="1">
      <c r="A180" s="32" t="e">
        <v>#REF!</v>
      </c>
      <c r="B180" s="144" t="s">
        <v>668</v>
      </c>
      <c r="C180" s="145" t="s">
        <v>167</v>
      </c>
      <c r="D180" s="145" t="s">
        <v>190</v>
      </c>
      <c r="E180" s="145" t="s">
        <v>172</v>
      </c>
      <c r="F180" s="145">
        <v>19</v>
      </c>
      <c r="G180" s="145" t="s">
        <v>175</v>
      </c>
      <c r="H180" s="145">
        <v>4103049</v>
      </c>
      <c r="I180" s="145" t="s">
        <v>54</v>
      </c>
      <c r="J180" s="145">
        <v>13</v>
      </c>
      <c r="K180" s="146" t="s">
        <v>29</v>
      </c>
      <c r="L180" s="147" t="s">
        <v>178</v>
      </c>
      <c r="M180" s="148">
        <v>321785352</v>
      </c>
      <c r="N180" s="148"/>
      <c r="O180" s="148"/>
      <c r="P180" s="148"/>
      <c r="Q180" s="148"/>
      <c r="R180" s="148"/>
      <c r="S180" s="148">
        <v>321785352</v>
      </c>
      <c r="T180" s="148"/>
      <c r="U180" s="148">
        <v>321785352</v>
      </c>
      <c r="V180" s="150">
        <v>0</v>
      </c>
      <c r="W180" s="148"/>
      <c r="X180" s="148">
        <v>0</v>
      </c>
      <c r="Y180" s="150">
        <v>0</v>
      </c>
      <c r="Z180" s="148"/>
      <c r="AA180" s="148">
        <v>0</v>
      </c>
      <c r="AB180" s="150">
        <v>0</v>
      </c>
    </row>
    <row r="181" spans="1:28" ht="32.25" customHeight="1">
      <c r="A181" s="32" t="e">
        <v>#REF!</v>
      </c>
      <c r="B181" s="138" t="s">
        <v>670</v>
      </c>
      <c r="C181" s="139" t="s">
        <v>167</v>
      </c>
      <c r="D181" s="139" t="s">
        <v>190</v>
      </c>
      <c r="E181" s="139" t="s">
        <v>172</v>
      </c>
      <c r="F181" s="139">
        <v>19</v>
      </c>
      <c r="G181" s="139" t="s">
        <v>175</v>
      </c>
      <c r="H181" s="139">
        <v>4103052</v>
      </c>
      <c r="I181" s="139"/>
      <c r="J181" s="139">
        <v>13</v>
      </c>
      <c r="K181" s="140" t="s">
        <v>29</v>
      </c>
      <c r="L181" s="140" t="s">
        <v>229</v>
      </c>
      <c r="M181" s="141">
        <v>12478214648</v>
      </c>
      <c r="N181" s="142">
        <v>0</v>
      </c>
      <c r="O181" s="142">
        <v>0</v>
      </c>
      <c r="P181" s="141">
        <v>0</v>
      </c>
      <c r="Q181" s="142">
        <v>0</v>
      </c>
      <c r="R181" s="142">
        <v>0</v>
      </c>
      <c r="S181" s="141">
        <v>12478214648</v>
      </c>
      <c r="T181" s="141">
        <v>10159013084</v>
      </c>
      <c r="U181" s="141">
        <v>2319201564</v>
      </c>
      <c r="V181" s="143">
        <v>0.81413995275584394</v>
      </c>
      <c r="W181" s="141">
        <v>0</v>
      </c>
      <c r="X181" s="141">
        <v>10159013084</v>
      </c>
      <c r="Y181" s="143">
        <v>1</v>
      </c>
      <c r="Z181" s="141">
        <v>0</v>
      </c>
      <c r="AA181" s="141">
        <v>0</v>
      </c>
      <c r="AB181" s="724">
        <v>0</v>
      </c>
    </row>
    <row r="182" spans="1:28" ht="24.95" customHeight="1">
      <c r="A182" s="32" t="e">
        <v>#REF!</v>
      </c>
      <c r="B182" s="144" t="s">
        <v>672</v>
      </c>
      <c r="C182" s="145" t="s">
        <v>167</v>
      </c>
      <c r="D182" s="145" t="s">
        <v>190</v>
      </c>
      <c r="E182" s="145" t="s">
        <v>172</v>
      </c>
      <c r="F182" s="145">
        <v>19</v>
      </c>
      <c r="G182" s="145" t="s">
        <v>175</v>
      </c>
      <c r="H182" s="145">
        <v>4103052</v>
      </c>
      <c r="I182" s="145" t="s">
        <v>54</v>
      </c>
      <c r="J182" s="145">
        <v>13</v>
      </c>
      <c r="K182" s="146" t="s">
        <v>29</v>
      </c>
      <c r="L182" s="147" t="s">
        <v>178</v>
      </c>
      <c r="M182" s="148">
        <v>12478214648</v>
      </c>
      <c r="N182" s="148"/>
      <c r="O182" s="148"/>
      <c r="P182" s="148"/>
      <c r="Q182" s="148"/>
      <c r="R182" s="148"/>
      <c r="S182" s="148">
        <v>12478214648</v>
      </c>
      <c r="T182" s="148">
        <v>10159013084</v>
      </c>
      <c r="U182" s="148">
        <v>2319201564</v>
      </c>
      <c r="V182" s="150">
        <v>0.81413995275584394</v>
      </c>
      <c r="W182" s="148"/>
      <c r="X182" s="148">
        <v>10159013084</v>
      </c>
      <c r="Y182" s="150">
        <v>1</v>
      </c>
      <c r="Z182" s="148"/>
      <c r="AA182" s="148">
        <v>0</v>
      </c>
      <c r="AB182" s="150">
        <v>0</v>
      </c>
    </row>
    <row r="183" spans="1:28" ht="49.5" customHeight="1">
      <c r="A183" s="32" t="e">
        <v>#REF!</v>
      </c>
      <c r="B183" s="132" t="s">
        <v>678</v>
      </c>
      <c r="C183" s="133" t="s">
        <v>167</v>
      </c>
      <c r="D183" s="133" t="s">
        <v>190</v>
      </c>
      <c r="E183" s="133" t="s">
        <v>172</v>
      </c>
      <c r="F183" s="133">
        <v>20</v>
      </c>
      <c r="G183" s="133"/>
      <c r="H183" s="133"/>
      <c r="I183" s="133"/>
      <c r="J183" s="133"/>
      <c r="K183" s="134"/>
      <c r="L183" s="134" t="s">
        <v>271</v>
      </c>
      <c r="M183" s="135">
        <v>839954000000</v>
      </c>
      <c r="N183" s="136">
        <v>0</v>
      </c>
      <c r="O183" s="136">
        <v>0</v>
      </c>
      <c r="P183" s="135">
        <v>185554780.13999999</v>
      </c>
      <c r="Q183" s="135">
        <v>185554780.13999999</v>
      </c>
      <c r="R183" s="136">
        <v>0</v>
      </c>
      <c r="S183" s="135">
        <v>839954000000</v>
      </c>
      <c r="T183" s="135">
        <v>1339861331</v>
      </c>
      <c r="U183" s="135">
        <v>838614138669</v>
      </c>
      <c r="V183" s="137">
        <v>1.595160367115342E-3</v>
      </c>
      <c r="W183" s="135">
        <v>0</v>
      </c>
      <c r="X183" s="135">
        <v>1339861331</v>
      </c>
      <c r="Y183" s="137">
        <v>1</v>
      </c>
      <c r="Z183" s="135">
        <v>0</v>
      </c>
      <c r="AA183" s="135">
        <v>0</v>
      </c>
      <c r="AB183" s="723">
        <v>0</v>
      </c>
    </row>
    <row r="184" spans="1:28" ht="32.25" customHeight="1">
      <c r="A184" s="32" t="e">
        <v>#REF!</v>
      </c>
      <c r="B184" s="138" t="s">
        <v>680</v>
      </c>
      <c r="C184" s="139" t="s">
        <v>167</v>
      </c>
      <c r="D184" s="139" t="s">
        <v>190</v>
      </c>
      <c r="E184" s="139" t="s">
        <v>172</v>
      </c>
      <c r="F184" s="139">
        <v>20</v>
      </c>
      <c r="G184" s="139" t="s">
        <v>175</v>
      </c>
      <c r="H184" s="139">
        <v>4103061</v>
      </c>
      <c r="I184" s="139"/>
      <c r="J184" s="139">
        <v>11</v>
      </c>
      <c r="K184" s="140" t="s">
        <v>29</v>
      </c>
      <c r="L184" s="140" t="s">
        <v>231</v>
      </c>
      <c r="M184" s="141">
        <v>839954000000</v>
      </c>
      <c r="N184" s="142">
        <v>0</v>
      </c>
      <c r="O184" s="142">
        <v>0</v>
      </c>
      <c r="P184" s="141">
        <v>185554780.13999999</v>
      </c>
      <c r="Q184" s="141">
        <v>185554780.13999999</v>
      </c>
      <c r="R184" s="142">
        <v>0</v>
      </c>
      <c r="S184" s="141">
        <v>839954000000</v>
      </c>
      <c r="T184" s="141">
        <v>1339861331</v>
      </c>
      <c r="U184" s="141">
        <v>838614138669</v>
      </c>
      <c r="V184" s="143">
        <v>1.595160367115342E-3</v>
      </c>
      <c r="W184" s="141">
        <v>0</v>
      </c>
      <c r="X184" s="141">
        <v>1339861331</v>
      </c>
      <c r="Y184" s="143">
        <v>1</v>
      </c>
      <c r="Z184" s="141">
        <v>0</v>
      </c>
      <c r="AA184" s="141">
        <v>0</v>
      </c>
      <c r="AB184" s="724">
        <v>0</v>
      </c>
    </row>
    <row r="185" spans="1:28" ht="24.95" customHeight="1">
      <c r="A185" s="32" t="e">
        <v>#REF!</v>
      </c>
      <c r="B185" s="144" t="s">
        <v>682</v>
      </c>
      <c r="C185" s="145" t="s">
        <v>167</v>
      </c>
      <c r="D185" s="145" t="s">
        <v>190</v>
      </c>
      <c r="E185" s="145" t="s">
        <v>172</v>
      </c>
      <c r="F185" s="145">
        <v>20</v>
      </c>
      <c r="G185" s="145" t="s">
        <v>175</v>
      </c>
      <c r="H185" s="145">
        <v>4103061</v>
      </c>
      <c r="I185" s="145" t="s">
        <v>54</v>
      </c>
      <c r="J185" s="145">
        <v>11</v>
      </c>
      <c r="K185" s="146" t="s">
        <v>29</v>
      </c>
      <c r="L185" s="147" t="s">
        <v>178</v>
      </c>
      <c r="M185" s="148">
        <v>34318600300</v>
      </c>
      <c r="N185" s="148"/>
      <c r="O185" s="148"/>
      <c r="P185" s="148">
        <v>185554780.13999999</v>
      </c>
      <c r="Q185" s="148"/>
      <c r="R185" s="148"/>
      <c r="S185" s="148">
        <v>34504155080.139999</v>
      </c>
      <c r="T185" s="148">
        <v>1339861331</v>
      </c>
      <c r="U185" s="148">
        <v>33164293749.139999</v>
      </c>
      <c r="V185" s="150">
        <v>3.8831883519188135E-2</v>
      </c>
      <c r="W185" s="148"/>
      <c r="X185" s="148">
        <v>1339861331</v>
      </c>
      <c r="Y185" s="150">
        <v>1</v>
      </c>
      <c r="Z185" s="148"/>
      <c r="AA185" s="148">
        <v>0</v>
      </c>
      <c r="AB185" s="150">
        <v>0</v>
      </c>
    </row>
    <row r="186" spans="1:28" ht="24.95" customHeight="1">
      <c r="A186" s="32" t="e">
        <v>#REF!</v>
      </c>
      <c r="B186" s="144" t="s">
        <v>684</v>
      </c>
      <c r="C186" s="145" t="s">
        <v>167</v>
      </c>
      <c r="D186" s="145" t="s">
        <v>190</v>
      </c>
      <c r="E186" s="145" t="s">
        <v>172</v>
      </c>
      <c r="F186" s="145">
        <v>20</v>
      </c>
      <c r="G186" s="145" t="s">
        <v>175</v>
      </c>
      <c r="H186" s="145">
        <v>4103061</v>
      </c>
      <c r="I186" s="145" t="s">
        <v>65</v>
      </c>
      <c r="J186" s="145">
        <v>11</v>
      </c>
      <c r="K186" s="146" t="s">
        <v>29</v>
      </c>
      <c r="L186" s="147" t="s">
        <v>127</v>
      </c>
      <c r="M186" s="148">
        <v>318915399700</v>
      </c>
      <c r="N186" s="148"/>
      <c r="O186" s="148"/>
      <c r="P186" s="148"/>
      <c r="Q186" s="148">
        <v>185554780.13999999</v>
      </c>
      <c r="R186" s="148"/>
      <c r="S186" s="148">
        <v>318729844919.85999</v>
      </c>
      <c r="T186" s="148"/>
      <c r="U186" s="148">
        <v>318729844919.85999</v>
      </c>
      <c r="V186" s="150">
        <v>0</v>
      </c>
      <c r="W186" s="148"/>
      <c r="X186" s="148">
        <v>0</v>
      </c>
      <c r="Y186" s="150">
        <v>0</v>
      </c>
      <c r="Z186" s="148"/>
      <c r="AA186" s="148">
        <v>0</v>
      </c>
      <c r="AB186" s="150">
        <v>0</v>
      </c>
    </row>
    <row r="187" spans="1:28" ht="24.95" customHeight="1">
      <c r="A187" s="32" t="e">
        <v>#REF!</v>
      </c>
      <c r="B187" s="144" t="s">
        <v>684</v>
      </c>
      <c r="C187" s="145" t="s">
        <v>167</v>
      </c>
      <c r="D187" s="145" t="s">
        <v>190</v>
      </c>
      <c r="E187" s="145" t="s">
        <v>172</v>
      </c>
      <c r="F187" s="145">
        <v>20</v>
      </c>
      <c r="G187" s="145" t="s">
        <v>175</v>
      </c>
      <c r="H187" s="145">
        <v>4103061</v>
      </c>
      <c r="I187" s="145" t="s">
        <v>65</v>
      </c>
      <c r="J187" s="145">
        <v>13</v>
      </c>
      <c r="K187" s="146" t="s">
        <v>29</v>
      </c>
      <c r="L187" s="147" t="s">
        <v>127</v>
      </c>
      <c r="M187" s="148">
        <v>486720000000</v>
      </c>
      <c r="N187" s="148"/>
      <c r="O187" s="148"/>
      <c r="P187" s="148"/>
      <c r="Q187" s="148"/>
      <c r="R187" s="148"/>
      <c r="S187" s="148">
        <v>486720000000</v>
      </c>
      <c r="T187" s="148"/>
      <c r="U187" s="148">
        <v>486720000000</v>
      </c>
      <c r="V187" s="150">
        <v>0</v>
      </c>
      <c r="W187" s="148"/>
      <c r="X187" s="148">
        <v>0</v>
      </c>
      <c r="Y187" s="150">
        <v>0</v>
      </c>
      <c r="Z187" s="148"/>
      <c r="AA187" s="148">
        <v>0</v>
      </c>
      <c r="AB187" s="150">
        <v>0</v>
      </c>
    </row>
    <row r="188" spans="1:28" ht="42" customHeight="1">
      <c r="A188" s="32" t="e">
        <v>#REF!</v>
      </c>
      <c r="B188" s="132" t="s">
        <v>692</v>
      </c>
      <c r="C188" s="133" t="s">
        <v>167</v>
      </c>
      <c r="D188" s="133">
        <v>4103</v>
      </c>
      <c r="E188" s="133" t="s">
        <v>172</v>
      </c>
      <c r="F188" s="133">
        <v>21</v>
      </c>
      <c r="G188" s="133"/>
      <c r="H188" s="133"/>
      <c r="I188" s="133"/>
      <c r="J188" s="133"/>
      <c r="K188" s="134"/>
      <c r="L188" s="134" t="s">
        <v>272</v>
      </c>
      <c r="M188" s="135">
        <v>25750000000</v>
      </c>
      <c r="N188" s="135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25750000000</v>
      </c>
      <c r="T188" s="135">
        <v>23962902116</v>
      </c>
      <c r="U188" s="135">
        <v>1787097884</v>
      </c>
      <c r="V188" s="137">
        <v>0.93059814042718447</v>
      </c>
      <c r="W188" s="135">
        <v>0</v>
      </c>
      <c r="X188" s="135">
        <v>23962902116</v>
      </c>
      <c r="Y188" s="137">
        <v>1</v>
      </c>
      <c r="Z188" s="135">
        <v>0</v>
      </c>
      <c r="AA188" s="135">
        <v>0</v>
      </c>
      <c r="AB188" s="723">
        <v>0</v>
      </c>
    </row>
    <row r="189" spans="1:28" ht="32.25" customHeight="1">
      <c r="A189" s="32" t="e">
        <v>#REF!</v>
      </c>
      <c r="B189" s="138" t="s">
        <v>693</v>
      </c>
      <c r="C189" s="139" t="s">
        <v>167</v>
      </c>
      <c r="D189" s="139">
        <v>4103</v>
      </c>
      <c r="E189" s="139" t="s">
        <v>172</v>
      </c>
      <c r="F189" s="139">
        <v>21</v>
      </c>
      <c r="G189" s="139" t="s">
        <v>175</v>
      </c>
      <c r="H189" s="139" t="s">
        <v>219</v>
      </c>
      <c r="I189" s="139"/>
      <c r="J189" s="139">
        <v>13</v>
      </c>
      <c r="K189" s="140" t="s">
        <v>29</v>
      </c>
      <c r="L189" s="140" t="s">
        <v>233</v>
      </c>
      <c r="M189" s="141">
        <v>1870782718</v>
      </c>
      <c r="N189" s="142">
        <v>0</v>
      </c>
      <c r="O189" s="142">
        <v>0</v>
      </c>
      <c r="P189" s="141">
        <v>0</v>
      </c>
      <c r="Q189" s="141">
        <v>0</v>
      </c>
      <c r="R189" s="142">
        <v>0</v>
      </c>
      <c r="S189" s="141">
        <v>1870782718</v>
      </c>
      <c r="T189" s="141">
        <v>1779672321</v>
      </c>
      <c r="U189" s="141">
        <v>91110397</v>
      </c>
      <c r="V189" s="143">
        <v>0.95129824745366287</v>
      </c>
      <c r="W189" s="141">
        <v>0</v>
      </c>
      <c r="X189" s="141">
        <v>1779672321</v>
      </c>
      <c r="Y189" s="143">
        <v>1</v>
      </c>
      <c r="Z189" s="141">
        <v>0</v>
      </c>
      <c r="AA189" s="141">
        <v>0</v>
      </c>
      <c r="AB189" s="724">
        <v>0</v>
      </c>
    </row>
    <row r="190" spans="1:28" ht="24.95" customHeight="1">
      <c r="A190" s="32" t="e">
        <v>#REF!</v>
      </c>
      <c r="B190" s="144" t="s">
        <v>694</v>
      </c>
      <c r="C190" s="145" t="s">
        <v>167</v>
      </c>
      <c r="D190" s="145">
        <v>4103</v>
      </c>
      <c r="E190" s="145" t="s">
        <v>172</v>
      </c>
      <c r="F190" s="145">
        <v>21</v>
      </c>
      <c r="G190" s="145" t="s">
        <v>175</v>
      </c>
      <c r="H190" s="145" t="s">
        <v>219</v>
      </c>
      <c r="I190" s="145" t="s">
        <v>54</v>
      </c>
      <c r="J190" s="145">
        <v>13</v>
      </c>
      <c r="K190" s="146" t="s">
        <v>29</v>
      </c>
      <c r="L190" s="147" t="s">
        <v>178</v>
      </c>
      <c r="M190" s="148">
        <v>1870782718</v>
      </c>
      <c r="N190" s="148"/>
      <c r="O190" s="148"/>
      <c r="P190" s="148"/>
      <c r="Q190" s="148"/>
      <c r="R190" s="148"/>
      <c r="S190" s="148">
        <v>1870782718</v>
      </c>
      <c r="T190" s="148">
        <v>1779672321</v>
      </c>
      <c r="U190" s="148">
        <v>91110397</v>
      </c>
      <c r="V190" s="150">
        <v>0.95129824745366287</v>
      </c>
      <c r="W190" s="148"/>
      <c r="X190" s="148">
        <v>1779672321</v>
      </c>
      <c r="Y190" s="150">
        <v>1</v>
      </c>
      <c r="Z190" s="148"/>
      <c r="AA190" s="148">
        <v>0</v>
      </c>
      <c r="AB190" s="150">
        <v>0</v>
      </c>
    </row>
    <row r="191" spans="1:28" ht="32.25" customHeight="1">
      <c r="A191" s="32" t="e">
        <v>#REF!</v>
      </c>
      <c r="B191" s="138" t="s">
        <v>695</v>
      </c>
      <c r="C191" s="139" t="s">
        <v>167</v>
      </c>
      <c r="D191" s="139">
        <v>4103</v>
      </c>
      <c r="E191" s="139" t="s">
        <v>172</v>
      </c>
      <c r="F191" s="139">
        <v>21</v>
      </c>
      <c r="G191" s="139" t="s">
        <v>175</v>
      </c>
      <c r="H191" s="139" t="s">
        <v>234</v>
      </c>
      <c r="I191" s="139"/>
      <c r="J191" s="139">
        <v>13</v>
      </c>
      <c r="K191" s="140" t="s">
        <v>29</v>
      </c>
      <c r="L191" s="140" t="s">
        <v>235</v>
      </c>
      <c r="M191" s="141">
        <v>1237528721</v>
      </c>
      <c r="N191" s="142">
        <v>0</v>
      </c>
      <c r="O191" s="142">
        <v>0</v>
      </c>
      <c r="P191" s="141">
        <v>0</v>
      </c>
      <c r="Q191" s="141">
        <v>0</v>
      </c>
      <c r="R191" s="142">
        <v>0</v>
      </c>
      <c r="S191" s="141">
        <v>1237528721</v>
      </c>
      <c r="T191" s="141">
        <v>1177258904</v>
      </c>
      <c r="U191" s="141">
        <v>60269817</v>
      </c>
      <c r="V191" s="143">
        <v>0.95129824788931105</v>
      </c>
      <c r="W191" s="141">
        <v>0</v>
      </c>
      <c r="X191" s="142">
        <v>1177258904</v>
      </c>
      <c r="Y191" s="143">
        <v>1</v>
      </c>
      <c r="Z191" s="141">
        <v>0</v>
      </c>
      <c r="AA191" s="141">
        <v>0</v>
      </c>
      <c r="AB191" s="724">
        <v>0</v>
      </c>
    </row>
    <row r="192" spans="1:28" ht="24.95" customHeight="1">
      <c r="A192" s="32" t="e">
        <v>#REF!</v>
      </c>
      <c r="B192" s="144" t="s">
        <v>696</v>
      </c>
      <c r="C192" s="145" t="s">
        <v>167</v>
      </c>
      <c r="D192" s="145">
        <v>4103</v>
      </c>
      <c r="E192" s="145" t="s">
        <v>172</v>
      </c>
      <c r="F192" s="145">
        <v>21</v>
      </c>
      <c r="G192" s="145" t="s">
        <v>175</v>
      </c>
      <c r="H192" s="145" t="s">
        <v>234</v>
      </c>
      <c r="I192" s="145" t="s">
        <v>54</v>
      </c>
      <c r="J192" s="145">
        <v>13</v>
      </c>
      <c r="K192" s="146" t="s">
        <v>29</v>
      </c>
      <c r="L192" s="147" t="s">
        <v>178</v>
      </c>
      <c r="M192" s="148">
        <v>1237528721</v>
      </c>
      <c r="N192" s="148"/>
      <c r="O192" s="148"/>
      <c r="P192" s="148"/>
      <c r="Q192" s="148"/>
      <c r="R192" s="148"/>
      <c r="S192" s="148">
        <v>1237528721</v>
      </c>
      <c r="T192" s="148">
        <v>1177258904</v>
      </c>
      <c r="U192" s="148">
        <v>60269817</v>
      </c>
      <c r="V192" s="150">
        <v>0.95129824788931105</v>
      </c>
      <c r="W192" s="148"/>
      <c r="X192" s="148">
        <v>1177258904</v>
      </c>
      <c r="Y192" s="150">
        <v>1</v>
      </c>
      <c r="Z192" s="148"/>
      <c r="AA192" s="148">
        <v>0</v>
      </c>
      <c r="AB192" s="150">
        <v>0</v>
      </c>
    </row>
    <row r="193" spans="1:28" ht="32.25" customHeight="1">
      <c r="A193" s="32" t="e">
        <v>#REF!</v>
      </c>
      <c r="B193" s="138" t="s">
        <v>697</v>
      </c>
      <c r="C193" s="139" t="s">
        <v>167</v>
      </c>
      <c r="D193" s="139">
        <v>4103</v>
      </c>
      <c r="E193" s="139" t="s">
        <v>172</v>
      </c>
      <c r="F193" s="139">
        <v>21</v>
      </c>
      <c r="G193" s="139" t="s">
        <v>175</v>
      </c>
      <c r="H193" s="139" t="s">
        <v>197</v>
      </c>
      <c r="I193" s="139"/>
      <c r="J193" s="139">
        <v>13</v>
      </c>
      <c r="K193" s="140" t="s">
        <v>29</v>
      </c>
      <c r="L193" s="140" t="s">
        <v>236</v>
      </c>
      <c r="M193" s="141">
        <v>1178285948</v>
      </c>
      <c r="N193" s="142">
        <v>0</v>
      </c>
      <c r="O193" s="142">
        <v>0</v>
      </c>
      <c r="P193" s="141">
        <v>0</v>
      </c>
      <c r="Q193" s="141">
        <v>0</v>
      </c>
      <c r="R193" s="142">
        <v>0</v>
      </c>
      <c r="S193" s="141">
        <v>1178285948</v>
      </c>
      <c r="T193" s="141">
        <v>1120901355</v>
      </c>
      <c r="U193" s="141">
        <v>57384593</v>
      </c>
      <c r="V193" s="143">
        <v>0.95129824547479025</v>
      </c>
      <c r="W193" s="141">
        <v>0</v>
      </c>
      <c r="X193" s="141">
        <v>1120901355</v>
      </c>
      <c r="Y193" s="143">
        <v>1</v>
      </c>
      <c r="Z193" s="141">
        <v>0</v>
      </c>
      <c r="AA193" s="141">
        <v>0</v>
      </c>
      <c r="AB193" s="724">
        <v>0</v>
      </c>
    </row>
    <row r="194" spans="1:28" ht="24.95" customHeight="1">
      <c r="A194" s="32" t="e">
        <v>#REF!</v>
      </c>
      <c r="B194" s="144" t="s">
        <v>698</v>
      </c>
      <c r="C194" s="145" t="s">
        <v>167</v>
      </c>
      <c r="D194" s="145">
        <v>4103</v>
      </c>
      <c r="E194" s="145" t="s">
        <v>172</v>
      </c>
      <c r="F194" s="145">
        <v>21</v>
      </c>
      <c r="G194" s="145" t="s">
        <v>175</v>
      </c>
      <c r="H194" s="145" t="s">
        <v>197</v>
      </c>
      <c r="I194" s="145" t="s">
        <v>54</v>
      </c>
      <c r="J194" s="145">
        <v>13</v>
      </c>
      <c r="K194" s="146" t="s">
        <v>29</v>
      </c>
      <c r="L194" s="147" t="s">
        <v>178</v>
      </c>
      <c r="M194" s="148">
        <v>1178285948</v>
      </c>
      <c r="N194" s="148"/>
      <c r="O194" s="148"/>
      <c r="P194" s="148"/>
      <c r="Q194" s="148"/>
      <c r="R194" s="148"/>
      <c r="S194" s="148">
        <v>1178285948</v>
      </c>
      <c r="T194" s="148">
        <v>1120901355</v>
      </c>
      <c r="U194" s="148">
        <v>57384593</v>
      </c>
      <c r="V194" s="150">
        <v>0.95129824547479025</v>
      </c>
      <c r="W194" s="148"/>
      <c r="X194" s="148">
        <v>1120901355</v>
      </c>
      <c r="Y194" s="150">
        <v>1</v>
      </c>
      <c r="Z194" s="148"/>
      <c r="AA194" s="148">
        <v>0</v>
      </c>
      <c r="AB194" s="150">
        <v>0</v>
      </c>
    </row>
    <row r="195" spans="1:28" ht="32.25" customHeight="1">
      <c r="A195" s="32" t="e">
        <v>#REF!</v>
      </c>
      <c r="B195" s="138" t="s">
        <v>699</v>
      </c>
      <c r="C195" s="139" t="s">
        <v>167</v>
      </c>
      <c r="D195" s="139">
        <v>4103</v>
      </c>
      <c r="E195" s="139" t="s">
        <v>172</v>
      </c>
      <c r="F195" s="139">
        <v>21</v>
      </c>
      <c r="G195" s="139" t="s">
        <v>175</v>
      </c>
      <c r="H195" s="139" t="s">
        <v>203</v>
      </c>
      <c r="I195" s="139"/>
      <c r="J195" s="139">
        <v>13</v>
      </c>
      <c r="K195" s="140" t="s">
        <v>29</v>
      </c>
      <c r="L195" s="140" t="s">
        <v>237</v>
      </c>
      <c r="M195" s="141">
        <v>5017014439</v>
      </c>
      <c r="N195" s="142">
        <v>0</v>
      </c>
      <c r="O195" s="142">
        <v>0</v>
      </c>
      <c r="P195" s="141">
        <v>0</v>
      </c>
      <c r="Q195" s="141">
        <v>0</v>
      </c>
      <c r="R195" s="142">
        <v>0</v>
      </c>
      <c r="S195" s="141">
        <v>5017014439</v>
      </c>
      <c r="T195" s="141">
        <v>4772677041</v>
      </c>
      <c r="U195" s="141">
        <v>244337398</v>
      </c>
      <c r="V195" s="143">
        <v>0.95129824700111854</v>
      </c>
      <c r="W195" s="141">
        <v>0</v>
      </c>
      <c r="X195" s="141">
        <v>4772677041</v>
      </c>
      <c r="Y195" s="143">
        <v>1</v>
      </c>
      <c r="Z195" s="141">
        <v>0</v>
      </c>
      <c r="AA195" s="141">
        <v>0</v>
      </c>
      <c r="AB195" s="724">
        <v>0</v>
      </c>
    </row>
    <row r="196" spans="1:28" ht="24.95" customHeight="1">
      <c r="A196" s="32" t="e">
        <v>#REF!</v>
      </c>
      <c r="B196" s="144" t="s">
        <v>700</v>
      </c>
      <c r="C196" s="145" t="s">
        <v>167</v>
      </c>
      <c r="D196" s="145">
        <v>4103</v>
      </c>
      <c r="E196" s="145" t="s">
        <v>172</v>
      </c>
      <c r="F196" s="145">
        <v>21</v>
      </c>
      <c r="G196" s="145" t="s">
        <v>175</v>
      </c>
      <c r="H196" s="145" t="s">
        <v>203</v>
      </c>
      <c r="I196" s="145" t="s">
        <v>54</v>
      </c>
      <c r="J196" s="145">
        <v>13</v>
      </c>
      <c r="K196" s="146" t="s">
        <v>29</v>
      </c>
      <c r="L196" s="147" t="s">
        <v>178</v>
      </c>
      <c r="M196" s="148">
        <v>5017014439</v>
      </c>
      <c r="N196" s="148"/>
      <c r="O196" s="148"/>
      <c r="P196" s="148"/>
      <c r="Q196" s="148"/>
      <c r="R196" s="148"/>
      <c r="S196" s="148">
        <v>5017014439</v>
      </c>
      <c r="T196" s="148">
        <v>4772677041</v>
      </c>
      <c r="U196" s="148">
        <v>244337398</v>
      </c>
      <c r="V196" s="150">
        <v>0.95129824700111854</v>
      </c>
      <c r="W196" s="148"/>
      <c r="X196" s="148">
        <v>4772677041</v>
      </c>
      <c r="Y196" s="150">
        <v>1</v>
      </c>
      <c r="Z196" s="148"/>
      <c r="AA196" s="148">
        <v>0</v>
      </c>
      <c r="AB196" s="150">
        <v>0</v>
      </c>
    </row>
    <row r="197" spans="1:28" ht="32.25" customHeight="1">
      <c r="A197" s="32" t="e">
        <v>#REF!</v>
      </c>
      <c r="B197" s="138" t="s">
        <v>701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223</v>
      </c>
      <c r="I197" s="139"/>
      <c r="J197" s="139">
        <v>13</v>
      </c>
      <c r="K197" s="140" t="s">
        <v>29</v>
      </c>
      <c r="L197" s="140" t="s">
        <v>238</v>
      </c>
      <c r="M197" s="141">
        <v>16446388174</v>
      </c>
      <c r="N197" s="142">
        <v>0</v>
      </c>
      <c r="O197" s="142">
        <v>0</v>
      </c>
      <c r="P197" s="141">
        <v>0</v>
      </c>
      <c r="Q197" s="141">
        <v>0</v>
      </c>
      <c r="R197" s="142">
        <v>0</v>
      </c>
      <c r="S197" s="141">
        <v>16446388174</v>
      </c>
      <c r="T197" s="141">
        <v>15112392495</v>
      </c>
      <c r="U197" s="141">
        <v>1333995679</v>
      </c>
      <c r="V197" s="143">
        <v>0.91888822853464536</v>
      </c>
      <c r="W197" s="141">
        <v>0</v>
      </c>
      <c r="X197" s="141">
        <v>15112392495</v>
      </c>
      <c r="Y197" s="143">
        <v>1</v>
      </c>
      <c r="Z197" s="141">
        <v>0</v>
      </c>
      <c r="AA197" s="141">
        <v>0</v>
      </c>
      <c r="AB197" s="724">
        <v>0</v>
      </c>
    </row>
    <row r="198" spans="1:28" ht="24.95" customHeight="1">
      <c r="A198" s="32" t="e">
        <v>#REF!</v>
      </c>
      <c r="B198" s="144" t="s">
        <v>702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223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16446388174</v>
      </c>
      <c r="N198" s="148"/>
      <c r="O198" s="148"/>
      <c r="P198" s="148"/>
      <c r="Q198" s="148"/>
      <c r="R198" s="148"/>
      <c r="S198" s="148">
        <v>16446388174</v>
      </c>
      <c r="T198" s="148">
        <v>15112392495</v>
      </c>
      <c r="U198" s="148">
        <v>1333995679</v>
      </c>
      <c r="V198" s="150">
        <v>0.91888822853464536</v>
      </c>
      <c r="W198" s="148"/>
      <c r="X198" s="148">
        <v>15112392495</v>
      </c>
      <c r="Y198" s="150">
        <v>1</v>
      </c>
      <c r="Z198" s="148"/>
      <c r="AA198" s="148">
        <v>0</v>
      </c>
      <c r="AB198" s="150">
        <v>0</v>
      </c>
    </row>
    <row r="199" spans="1:28" ht="49.5" customHeight="1">
      <c r="A199" s="32" t="e">
        <v>#REF!</v>
      </c>
      <c r="B199" s="132" t="s">
        <v>704</v>
      </c>
      <c r="C199" s="133" t="s">
        <v>167</v>
      </c>
      <c r="D199" s="133">
        <v>4103</v>
      </c>
      <c r="E199" s="133" t="s">
        <v>172</v>
      </c>
      <c r="F199" s="133">
        <v>22</v>
      </c>
      <c r="G199" s="133"/>
      <c r="H199" s="133"/>
      <c r="I199" s="133"/>
      <c r="J199" s="133"/>
      <c r="K199" s="134"/>
      <c r="L199" s="134" t="s">
        <v>239</v>
      </c>
      <c r="M199" s="135">
        <v>167533000000</v>
      </c>
      <c r="N199" s="136">
        <v>0</v>
      </c>
      <c r="O199" s="136">
        <v>0</v>
      </c>
      <c r="P199" s="135">
        <v>0</v>
      </c>
      <c r="Q199" s="135">
        <v>0</v>
      </c>
      <c r="R199" s="136">
        <v>0</v>
      </c>
      <c r="S199" s="135">
        <v>167533000000</v>
      </c>
      <c r="T199" s="135">
        <v>134385691586</v>
      </c>
      <c r="U199" s="135">
        <v>33147308414</v>
      </c>
      <c r="V199" s="137">
        <v>0.80214460187545145</v>
      </c>
      <c r="W199" s="135">
        <v>0</v>
      </c>
      <c r="X199" s="135">
        <v>134385691586</v>
      </c>
      <c r="Y199" s="137">
        <v>1</v>
      </c>
      <c r="Z199" s="135">
        <v>0</v>
      </c>
      <c r="AA199" s="135">
        <v>0</v>
      </c>
      <c r="AB199" s="723">
        <v>0</v>
      </c>
    </row>
    <row r="200" spans="1:28" ht="32.25" customHeight="1">
      <c r="A200" s="32" t="e">
        <v>#REF!</v>
      </c>
      <c r="B200" s="138" t="s">
        <v>705</v>
      </c>
      <c r="C200" s="139" t="s">
        <v>167</v>
      </c>
      <c r="D200" s="139">
        <v>4103</v>
      </c>
      <c r="E200" s="139" t="s">
        <v>172</v>
      </c>
      <c r="F200" s="139">
        <v>22</v>
      </c>
      <c r="G200" s="139" t="s">
        <v>175</v>
      </c>
      <c r="H200" s="139" t="s">
        <v>219</v>
      </c>
      <c r="I200" s="139"/>
      <c r="J200" s="139">
        <v>13</v>
      </c>
      <c r="K200" s="140" t="s">
        <v>29</v>
      </c>
      <c r="L200" s="140" t="s">
        <v>240</v>
      </c>
      <c r="M200" s="141">
        <v>5834100502</v>
      </c>
      <c r="N200" s="142">
        <v>0</v>
      </c>
      <c r="O200" s="142">
        <v>0</v>
      </c>
      <c r="P200" s="141">
        <v>0</v>
      </c>
      <c r="Q200" s="141">
        <v>0</v>
      </c>
      <c r="R200" s="142">
        <v>0</v>
      </c>
      <c r="S200" s="141">
        <v>5834100502</v>
      </c>
      <c r="T200" s="141">
        <v>3919643191</v>
      </c>
      <c r="U200" s="141">
        <v>1914457311</v>
      </c>
      <c r="V200" s="143">
        <v>0.67185047457723757</v>
      </c>
      <c r="W200" s="141">
        <v>0</v>
      </c>
      <c r="X200" s="141">
        <v>3919643191</v>
      </c>
      <c r="Y200" s="143">
        <v>1</v>
      </c>
      <c r="Z200" s="141">
        <v>0</v>
      </c>
      <c r="AA200" s="141">
        <v>0</v>
      </c>
      <c r="AB200" s="724">
        <v>0</v>
      </c>
    </row>
    <row r="201" spans="1:28" ht="24.95" customHeight="1">
      <c r="A201" s="32" t="e">
        <v>#REF!</v>
      </c>
      <c r="B201" s="144" t="s">
        <v>706</v>
      </c>
      <c r="C201" s="145" t="s">
        <v>167</v>
      </c>
      <c r="D201" s="145">
        <v>4103</v>
      </c>
      <c r="E201" s="145" t="s">
        <v>172</v>
      </c>
      <c r="F201" s="145">
        <v>22</v>
      </c>
      <c r="G201" s="145" t="s">
        <v>175</v>
      </c>
      <c r="H201" s="145" t="s">
        <v>219</v>
      </c>
      <c r="I201" s="145" t="s">
        <v>54</v>
      </c>
      <c r="J201" s="145">
        <v>13</v>
      </c>
      <c r="K201" s="146" t="s">
        <v>29</v>
      </c>
      <c r="L201" s="147" t="s">
        <v>178</v>
      </c>
      <c r="M201" s="148">
        <v>5834100502</v>
      </c>
      <c r="N201" s="148"/>
      <c r="O201" s="148"/>
      <c r="P201" s="148"/>
      <c r="Q201" s="148"/>
      <c r="R201" s="148"/>
      <c r="S201" s="148">
        <v>5834100502</v>
      </c>
      <c r="T201" s="148">
        <v>3919643191</v>
      </c>
      <c r="U201" s="148">
        <v>1914457311</v>
      </c>
      <c r="V201" s="150">
        <v>0.67185047457723757</v>
      </c>
      <c r="W201" s="148"/>
      <c r="X201" s="148">
        <v>3919643191</v>
      </c>
      <c r="Y201" s="150">
        <v>1</v>
      </c>
      <c r="Z201" s="148"/>
      <c r="AA201" s="148">
        <v>0</v>
      </c>
      <c r="AB201" s="150">
        <v>0</v>
      </c>
    </row>
    <row r="202" spans="1:28" ht="32.25" customHeight="1">
      <c r="A202" s="32" t="e">
        <v>#REF!</v>
      </c>
      <c r="B202" s="138" t="s">
        <v>707</v>
      </c>
      <c r="C202" s="139" t="s">
        <v>167</v>
      </c>
      <c r="D202" s="139">
        <v>4103</v>
      </c>
      <c r="E202" s="139" t="s">
        <v>172</v>
      </c>
      <c r="F202" s="139">
        <v>22</v>
      </c>
      <c r="G202" s="139" t="s">
        <v>175</v>
      </c>
      <c r="H202" s="139" t="s">
        <v>234</v>
      </c>
      <c r="I202" s="139"/>
      <c r="J202" s="139">
        <v>13</v>
      </c>
      <c r="K202" s="140" t="s">
        <v>29</v>
      </c>
      <c r="L202" s="140" t="s">
        <v>241</v>
      </c>
      <c r="M202" s="141">
        <v>21263252053</v>
      </c>
      <c r="N202" s="142">
        <v>0</v>
      </c>
      <c r="O202" s="142">
        <v>0</v>
      </c>
      <c r="P202" s="141">
        <v>0</v>
      </c>
      <c r="Q202" s="141">
        <v>0</v>
      </c>
      <c r="R202" s="142">
        <v>0</v>
      </c>
      <c r="S202" s="141">
        <v>21263252053</v>
      </c>
      <c r="T202" s="141">
        <v>17919558020</v>
      </c>
      <c r="U202" s="141">
        <v>3343694033</v>
      </c>
      <c r="V202" s="143">
        <v>0.84274775915435551</v>
      </c>
      <c r="W202" s="141">
        <v>0</v>
      </c>
      <c r="X202" s="141">
        <v>17919558020</v>
      </c>
      <c r="Y202" s="143">
        <v>1</v>
      </c>
      <c r="Z202" s="141">
        <v>0</v>
      </c>
      <c r="AA202" s="141">
        <v>0</v>
      </c>
      <c r="AB202" s="724">
        <v>0</v>
      </c>
    </row>
    <row r="203" spans="1:28" ht="24.95" customHeight="1">
      <c r="A203" s="32" t="e">
        <v>#REF!</v>
      </c>
      <c r="B203" s="144" t="s">
        <v>708</v>
      </c>
      <c r="C203" s="145" t="s">
        <v>167</v>
      </c>
      <c r="D203" s="145">
        <v>4103</v>
      </c>
      <c r="E203" s="145" t="s">
        <v>172</v>
      </c>
      <c r="F203" s="145">
        <v>22</v>
      </c>
      <c r="G203" s="145" t="s">
        <v>175</v>
      </c>
      <c r="H203" s="145" t="s">
        <v>234</v>
      </c>
      <c r="I203" s="145" t="s">
        <v>54</v>
      </c>
      <c r="J203" s="145">
        <v>13</v>
      </c>
      <c r="K203" s="146" t="s">
        <v>29</v>
      </c>
      <c r="L203" s="147" t="s">
        <v>178</v>
      </c>
      <c r="M203" s="148">
        <v>21263252053</v>
      </c>
      <c r="N203" s="148"/>
      <c r="O203" s="148"/>
      <c r="P203" s="148"/>
      <c r="Q203" s="148"/>
      <c r="R203" s="148"/>
      <c r="S203" s="148">
        <v>21263252053</v>
      </c>
      <c r="T203" s="148">
        <v>17919558020</v>
      </c>
      <c r="U203" s="148">
        <v>3343694033</v>
      </c>
      <c r="V203" s="150">
        <v>0.84274775915435551</v>
      </c>
      <c r="W203" s="148"/>
      <c r="X203" s="148">
        <v>17919558020</v>
      </c>
      <c r="Y203" s="150">
        <v>1</v>
      </c>
      <c r="Z203" s="148"/>
      <c r="AA203" s="148">
        <v>0</v>
      </c>
      <c r="AB203" s="150">
        <v>0</v>
      </c>
    </row>
    <row r="204" spans="1:28" ht="32.25" customHeight="1">
      <c r="A204" s="32" t="e">
        <v>#REF!</v>
      </c>
      <c r="B204" s="138" t="s">
        <v>710</v>
      </c>
      <c r="C204" s="139" t="s">
        <v>167</v>
      </c>
      <c r="D204" s="139">
        <v>4103</v>
      </c>
      <c r="E204" s="139" t="s">
        <v>172</v>
      </c>
      <c r="F204" s="139">
        <v>22</v>
      </c>
      <c r="G204" s="139" t="s">
        <v>175</v>
      </c>
      <c r="H204" s="139">
        <v>4103051</v>
      </c>
      <c r="I204" s="139"/>
      <c r="J204" s="139">
        <v>13</v>
      </c>
      <c r="K204" s="140" t="s">
        <v>29</v>
      </c>
      <c r="L204" s="140" t="s">
        <v>242</v>
      </c>
      <c r="M204" s="141">
        <v>5191519285</v>
      </c>
      <c r="N204" s="142">
        <v>0</v>
      </c>
      <c r="O204" s="142">
        <v>0</v>
      </c>
      <c r="P204" s="141">
        <v>0</v>
      </c>
      <c r="Q204" s="141">
        <v>0</v>
      </c>
      <c r="R204" s="142">
        <v>0</v>
      </c>
      <c r="S204" s="141">
        <v>5191519285</v>
      </c>
      <c r="T204" s="141">
        <v>3945310447</v>
      </c>
      <c r="U204" s="141">
        <v>1246208838</v>
      </c>
      <c r="V204" s="143">
        <v>0.75995295989736467</v>
      </c>
      <c r="W204" s="141">
        <v>0</v>
      </c>
      <c r="X204" s="141">
        <v>3945310447</v>
      </c>
      <c r="Y204" s="143">
        <v>1</v>
      </c>
      <c r="Z204" s="141">
        <v>0</v>
      </c>
      <c r="AA204" s="141">
        <v>0</v>
      </c>
      <c r="AB204" s="724">
        <v>0</v>
      </c>
    </row>
    <row r="205" spans="1:28" ht="24.95" customHeight="1">
      <c r="A205" s="32" t="e">
        <v>#REF!</v>
      </c>
      <c r="B205" s="144" t="s">
        <v>711</v>
      </c>
      <c r="C205" s="145" t="s">
        <v>167</v>
      </c>
      <c r="D205" s="145">
        <v>4103</v>
      </c>
      <c r="E205" s="145" t="s">
        <v>172</v>
      </c>
      <c r="F205" s="145">
        <v>22</v>
      </c>
      <c r="G205" s="145" t="s">
        <v>175</v>
      </c>
      <c r="H205" s="145">
        <v>4103051</v>
      </c>
      <c r="I205" s="145" t="s">
        <v>54</v>
      </c>
      <c r="J205" s="145">
        <v>13</v>
      </c>
      <c r="K205" s="146" t="s">
        <v>29</v>
      </c>
      <c r="L205" s="147" t="s">
        <v>178</v>
      </c>
      <c r="M205" s="148">
        <v>5191519285</v>
      </c>
      <c r="N205" s="148"/>
      <c r="O205" s="148"/>
      <c r="P205" s="148"/>
      <c r="Q205" s="148"/>
      <c r="R205" s="148"/>
      <c r="S205" s="148">
        <v>5191519285</v>
      </c>
      <c r="T205" s="148">
        <v>3945310447</v>
      </c>
      <c r="U205" s="148">
        <v>1246208838</v>
      </c>
      <c r="V205" s="150">
        <v>0.75995295989736467</v>
      </c>
      <c r="W205" s="148"/>
      <c r="X205" s="148">
        <v>3945310447</v>
      </c>
      <c r="Y205" s="150">
        <v>1</v>
      </c>
      <c r="Z205" s="148"/>
      <c r="AA205" s="148">
        <v>0</v>
      </c>
      <c r="AB205" s="150">
        <v>0</v>
      </c>
    </row>
    <row r="206" spans="1:28" ht="32.25" customHeight="1">
      <c r="A206" s="32" t="e">
        <v>#REF!</v>
      </c>
      <c r="B206" s="138" t="s">
        <v>712</v>
      </c>
      <c r="C206" s="139" t="s">
        <v>167</v>
      </c>
      <c r="D206" s="139">
        <v>4103</v>
      </c>
      <c r="E206" s="139" t="s">
        <v>172</v>
      </c>
      <c r="F206" s="139">
        <v>22</v>
      </c>
      <c r="G206" s="139" t="s">
        <v>175</v>
      </c>
      <c r="H206" s="139">
        <v>4103055</v>
      </c>
      <c r="I206" s="139"/>
      <c r="J206" s="139">
        <v>13</v>
      </c>
      <c r="K206" s="140" t="s">
        <v>29</v>
      </c>
      <c r="L206" s="140" t="s">
        <v>243</v>
      </c>
      <c r="M206" s="141">
        <v>7874924941</v>
      </c>
      <c r="N206" s="142">
        <v>0</v>
      </c>
      <c r="O206" s="142">
        <v>0</v>
      </c>
      <c r="P206" s="141">
        <v>0</v>
      </c>
      <c r="Q206" s="141">
        <v>0</v>
      </c>
      <c r="R206" s="142">
        <v>0</v>
      </c>
      <c r="S206" s="141">
        <v>7874924941</v>
      </c>
      <c r="T206" s="141">
        <v>894550970</v>
      </c>
      <c r="U206" s="141">
        <v>6980373971</v>
      </c>
      <c r="V206" s="143">
        <v>0.1135948566750917</v>
      </c>
      <c r="W206" s="141">
        <v>0</v>
      </c>
      <c r="X206" s="141">
        <v>894550970</v>
      </c>
      <c r="Y206" s="143">
        <v>1</v>
      </c>
      <c r="Z206" s="141">
        <v>0</v>
      </c>
      <c r="AA206" s="141">
        <v>0</v>
      </c>
      <c r="AB206" s="724">
        <v>0</v>
      </c>
    </row>
    <row r="207" spans="1:28" ht="24.95" customHeight="1">
      <c r="A207" s="32" t="e">
        <v>#REF!</v>
      </c>
      <c r="B207" s="144" t="s">
        <v>713</v>
      </c>
      <c r="C207" s="145" t="s">
        <v>167</v>
      </c>
      <c r="D207" s="145">
        <v>4103</v>
      </c>
      <c r="E207" s="145" t="s">
        <v>172</v>
      </c>
      <c r="F207" s="145">
        <v>22</v>
      </c>
      <c r="G207" s="145" t="s">
        <v>175</v>
      </c>
      <c r="H207" s="145" t="s">
        <v>203</v>
      </c>
      <c r="I207" s="145" t="s">
        <v>54</v>
      </c>
      <c r="J207" s="145">
        <v>13</v>
      </c>
      <c r="K207" s="146" t="s">
        <v>29</v>
      </c>
      <c r="L207" s="147" t="s">
        <v>178</v>
      </c>
      <c r="M207" s="148">
        <v>7874924941</v>
      </c>
      <c r="N207" s="148"/>
      <c r="O207" s="148"/>
      <c r="P207" s="148"/>
      <c r="Q207" s="148"/>
      <c r="R207" s="148"/>
      <c r="S207" s="148">
        <v>7874924941</v>
      </c>
      <c r="T207" s="148">
        <v>894550970</v>
      </c>
      <c r="U207" s="148">
        <v>6980373971</v>
      </c>
      <c r="V207" s="150">
        <v>0.1135948566750917</v>
      </c>
      <c r="W207" s="148"/>
      <c r="X207" s="148">
        <v>894550970</v>
      </c>
      <c r="Y207" s="150">
        <v>1</v>
      </c>
      <c r="Z207" s="148"/>
      <c r="AA207" s="148">
        <v>0</v>
      </c>
      <c r="AB207" s="150">
        <v>0</v>
      </c>
    </row>
    <row r="208" spans="1:28" ht="32.25" customHeight="1">
      <c r="A208" s="32" t="e">
        <v>#REF!</v>
      </c>
      <c r="B208" s="138" t="s">
        <v>715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>
        <v>4103057</v>
      </c>
      <c r="I208" s="139"/>
      <c r="J208" s="139">
        <v>13</v>
      </c>
      <c r="K208" s="140" t="s">
        <v>29</v>
      </c>
      <c r="L208" s="140" t="s">
        <v>244</v>
      </c>
      <c r="M208" s="141">
        <v>64906595848</v>
      </c>
      <c r="N208" s="142">
        <v>0</v>
      </c>
      <c r="O208" s="142">
        <v>0</v>
      </c>
      <c r="P208" s="141">
        <v>0</v>
      </c>
      <c r="Q208" s="141">
        <v>0</v>
      </c>
      <c r="R208" s="142">
        <v>0</v>
      </c>
      <c r="S208" s="141">
        <v>64906595848</v>
      </c>
      <c r="T208" s="141">
        <v>63627076551</v>
      </c>
      <c r="U208" s="141">
        <v>1279519297</v>
      </c>
      <c r="V208" s="143">
        <v>0.98028676006986393</v>
      </c>
      <c r="W208" s="141">
        <v>0</v>
      </c>
      <c r="X208" s="141">
        <v>63627076551</v>
      </c>
      <c r="Y208" s="143">
        <v>1</v>
      </c>
      <c r="Z208" s="141">
        <v>0</v>
      </c>
      <c r="AA208" s="141">
        <v>0</v>
      </c>
      <c r="AB208" s="724">
        <v>0</v>
      </c>
    </row>
    <row r="209" spans="1:28" ht="24.95" customHeight="1">
      <c r="A209" s="32" t="e">
        <v>#REF!</v>
      </c>
      <c r="B209" s="144" t="s">
        <v>716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 t="s">
        <v>221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4796601848</v>
      </c>
      <c r="N209" s="148"/>
      <c r="O209" s="148"/>
      <c r="P209" s="148"/>
      <c r="Q209" s="148"/>
      <c r="R209" s="148"/>
      <c r="S209" s="148">
        <v>4796601848</v>
      </c>
      <c r="T209" s="148">
        <v>3517082551</v>
      </c>
      <c r="U209" s="148">
        <v>1279519297</v>
      </c>
      <c r="V209" s="150">
        <v>0.73324463077261437</v>
      </c>
      <c r="W209" s="148"/>
      <c r="X209" s="148">
        <v>3517082551</v>
      </c>
      <c r="Y209" s="150">
        <v>1</v>
      </c>
      <c r="Z209" s="148"/>
      <c r="AA209" s="148">
        <v>0</v>
      </c>
      <c r="AB209" s="150">
        <v>0</v>
      </c>
    </row>
    <row r="210" spans="1:28" ht="24.95" customHeight="1">
      <c r="A210" s="32" t="e">
        <v>#REF!</v>
      </c>
      <c r="B210" s="144" t="s">
        <v>717</v>
      </c>
      <c r="C210" s="145" t="s">
        <v>167</v>
      </c>
      <c r="D210" s="145">
        <v>4103</v>
      </c>
      <c r="E210" s="145" t="s">
        <v>172</v>
      </c>
      <c r="F210" s="145">
        <v>22</v>
      </c>
      <c r="G210" s="145" t="s">
        <v>175</v>
      </c>
      <c r="H210" s="145" t="s">
        <v>221</v>
      </c>
      <c r="I210" s="145" t="s">
        <v>65</v>
      </c>
      <c r="J210" s="145">
        <v>13</v>
      </c>
      <c r="K210" s="146" t="s">
        <v>29</v>
      </c>
      <c r="L210" s="147" t="s">
        <v>127</v>
      </c>
      <c r="M210" s="148">
        <v>60109994000</v>
      </c>
      <c r="N210" s="148"/>
      <c r="O210" s="148"/>
      <c r="P210" s="148"/>
      <c r="Q210" s="148"/>
      <c r="R210" s="148"/>
      <c r="S210" s="148">
        <v>60109994000</v>
      </c>
      <c r="T210" s="148">
        <v>60109994000</v>
      </c>
      <c r="U210" s="148">
        <v>0</v>
      </c>
      <c r="V210" s="150">
        <v>1</v>
      </c>
      <c r="W210" s="148"/>
      <c r="X210" s="148">
        <v>60109994000</v>
      </c>
      <c r="Y210" s="150">
        <v>1</v>
      </c>
      <c r="Z210" s="148"/>
      <c r="AA210" s="148">
        <v>0</v>
      </c>
      <c r="AB210" s="150">
        <v>0</v>
      </c>
    </row>
    <row r="211" spans="1:28" ht="32.25" customHeight="1">
      <c r="A211" s="32" t="e">
        <v>#REF!</v>
      </c>
      <c r="B211" s="138" t="s">
        <v>718</v>
      </c>
      <c r="C211" s="139" t="s">
        <v>167</v>
      </c>
      <c r="D211" s="139">
        <v>4103</v>
      </c>
      <c r="E211" s="139" t="s">
        <v>172</v>
      </c>
      <c r="F211" s="139">
        <v>22</v>
      </c>
      <c r="G211" s="139" t="s">
        <v>175</v>
      </c>
      <c r="H211" s="139">
        <v>4103062</v>
      </c>
      <c r="I211" s="139"/>
      <c r="J211" s="139">
        <v>13</v>
      </c>
      <c r="K211" s="140" t="s">
        <v>29</v>
      </c>
      <c r="L211" s="140" t="s">
        <v>245</v>
      </c>
      <c r="M211" s="141">
        <v>62462607371</v>
      </c>
      <c r="N211" s="142">
        <v>0</v>
      </c>
      <c r="O211" s="142">
        <v>0</v>
      </c>
      <c r="P211" s="141">
        <v>0</v>
      </c>
      <c r="Q211" s="141">
        <v>0</v>
      </c>
      <c r="R211" s="142">
        <v>0</v>
      </c>
      <c r="S211" s="141">
        <v>62462607371</v>
      </c>
      <c r="T211" s="141">
        <v>44079552407</v>
      </c>
      <c r="U211" s="141">
        <v>18383054964</v>
      </c>
      <c r="V211" s="143">
        <v>0.70569504319899967</v>
      </c>
      <c r="W211" s="141">
        <v>0</v>
      </c>
      <c r="X211" s="142">
        <v>44079552407</v>
      </c>
      <c r="Y211" s="143">
        <v>1</v>
      </c>
      <c r="Z211" s="141">
        <v>0</v>
      </c>
      <c r="AA211" s="141">
        <v>0</v>
      </c>
      <c r="AB211" s="724">
        <v>0</v>
      </c>
    </row>
    <row r="212" spans="1:28" ht="24.95" customHeight="1">
      <c r="A212" s="32" t="e">
        <v>#REF!</v>
      </c>
      <c r="B212" s="144" t="s">
        <v>719</v>
      </c>
      <c r="C212" s="145" t="s">
        <v>167</v>
      </c>
      <c r="D212" s="145">
        <v>4103</v>
      </c>
      <c r="E212" s="145" t="s">
        <v>172</v>
      </c>
      <c r="F212" s="145">
        <v>22</v>
      </c>
      <c r="G212" s="145" t="s">
        <v>175</v>
      </c>
      <c r="H212" s="145" t="s">
        <v>246</v>
      </c>
      <c r="I212" s="145" t="s">
        <v>54</v>
      </c>
      <c r="J212" s="145">
        <v>13</v>
      </c>
      <c r="K212" s="146" t="s">
        <v>29</v>
      </c>
      <c r="L212" s="147" t="s">
        <v>178</v>
      </c>
      <c r="M212" s="148">
        <v>6064335371</v>
      </c>
      <c r="N212" s="148"/>
      <c r="O212" s="148"/>
      <c r="P212" s="148"/>
      <c r="Q212" s="148"/>
      <c r="R212" s="148"/>
      <c r="S212" s="148">
        <v>6064335371</v>
      </c>
      <c r="T212" s="148">
        <v>4249430407</v>
      </c>
      <c r="U212" s="148">
        <v>1814904964</v>
      </c>
      <c r="V212" s="150">
        <v>0.70072483578679046</v>
      </c>
      <c r="W212" s="148"/>
      <c r="X212" s="148">
        <v>4249430407</v>
      </c>
      <c r="Y212" s="150">
        <v>1</v>
      </c>
      <c r="Z212" s="148"/>
      <c r="AA212" s="148">
        <v>0</v>
      </c>
      <c r="AB212" s="150">
        <v>0</v>
      </c>
    </row>
    <row r="213" spans="1:28" ht="24.95" customHeight="1">
      <c r="A213" s="32" t="e">
        <v>#REF!</v>
      </c>
      <c r="B213" s="144" t="s">
        <v>720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 t="s">
        <v>246</v>
      </c>
      <c r="I213" s="145" t="s">
        <v>65</v>
      </c>
      <c r="J213" s="145">
        <v>13</v>
      </c>
      <c r="K213" s="146" t="s">
        <v>29</v>
      </c>
      <c r="L213" s="147" t="s">
        <v>127</v>
      </c>
      <c r="M213" s="148">
        <v>56398272000</v>
      </c>
      <c r="N213" s="148"/>
      <c r="O213" s="148"/>
      <c r="P213" s="148"/>
      <c r="Q213" s="148"/>
      <c r="R213" s="148"/>
      <c r="S213" s="148">
        <v>56398272000</v>
      </c>
      <c r="T213" s="148">
        <v>39830122000</v>
      </c>
      <c r="U213" s="148">
        <v>16568150000</v>
      </c>
      <c r="V213" s="150">
        <v>0.70622947454844009</v>
      </c>
      <c r="W213" s="148"/>
      <c r="X213" s="148">
        <v>39830122000</v>
      </c>
      <c r="Y213" s="150">
        <v>1</v>
      </c>
      <c r="Z213" s="148"/>
      <c r="AA213" s="148">
        <v>0</v>
      </c>
      <c r="AB213" s="150">
        <v>0</v>
      </c>
    </row>
    <row r="214" spans="1:28" ht="39.75" customHeight="1">
      <c r="A214" s="32"/>
      <c r="B214" s="132" t="s">
        <v>685</v>
      </c>
      <c r="C214" s="133" t="s">
        <v>167</v>
      </c>
      <c r="D214" s="133" t="s">
        <v>190</v>
      </c>
      <c r="E214" s="133" t="s">
        <v>172</v>
      </c>
      <c r="F214" s="133">
        <v>23</v>
      </c>
      <c r="G214" s="133"/>
      <c r="H214" s="133"/>
      <c r="I214" s="133"/>
      <c r="J214" s="133"/>
      <c r="K214" s="134"/>
      <c r="L214" s="134" t="s">
        <v>273</v>
      </c>
      <c r="M214" s="135">
        <v>1612279801419</v>
      </c>
      <c r="N214" s="136">
        <v>0</v>
      </c>
      <c r="O214" s="136">
        <v>0</v>
      </c>
      <c r="P214" s="135">
        <v>27826035802.349998</v>
      </c>
      <c r="Q214" s="135">
        <v>27826035802.349998</v>
      </c>
      <c r="R214" s="136">
        <v>0</v>
      </c>
      <c r="S214" s="135">
        <v>1612279801419</v>
      </c>
      <c r="T214" s="135">
        <v>28620560881</v>
      </c>
      <c r="U214" s="135">
        <v>1583659240538</v>
      </c>
      <c r="V214" s="137">
        <v>1.7751609153578967E-2</v>
      </c>
      <c r="W214" s="135">
        <v>0</v>
      </c>
      <c r="X214" s="135">
        <v>28620560881</v>
      </c>
      <c r="Y214" s="137">
        <v>1</v>
      </c>
      <c r="Z214" s="135">
        <v>0</v>
      </c>
      <c r="AA214" s="135">
        <v>0</v>
      </c>
      <c r="AB214" s="723">
        <v>0</v>
      </c>
    </row>
    <row r="215" spans="1:28" ht="32.25" customHeight="1">
      <c r="A215" s="32"/>
      <c r="B215" s="138" t="s">
        <v>721</v>
      </c>
      <c r="C215" s="139" t="s">
        <v>167</v>
      </c>
      <c r="D215" s="139" t="s">
        <v>190</v>
      </c>
      <c r="E215" s="139" t="s">
        <v>172</v>
      </c>
      <c r="F215" s="139">
        <v>23</v>
      </c>
      <c r="G215" s="139" t="s">
        <v>175</v>
      </c>
      <c r="H215" s="139">
        <v>4103065</v>
      </c>
      <c r="I215" s="139"/>
      <c r="J215" s="139">
        <v>11</v>
      </c>
      <c r="K215" s="140" t="s">
        <v>29</v>
      </c>
      <c r="L215" s="140" t="s">
        <v>248</v>
      </c>
      <c r="M215" s="141">
        <v>1612279801419</v>
      </c>
      <c r="N215" s="142">
        <v>0</v>
      </c>
      <c r="O215" s="142">
        <v>0</v>
      </c>
      <c r="P215" s="141">
        <v>27826035802.349998</v>
      </c>
      <c r="Q215" s="141">
        <v>27826035802.349998</v>
      </c>
      <c r="R215" s="142">
        <v>0</v>
      </c>
      <c r="S215" s="141">
        <v>1612279801419</v>
      </c>
      <c r="T215" s="141">
        <v>28620560881</v>
      </c>
      <c r="U215" s="141">
        <v>1583659240538</v>
      </c>
      <c r="V215" s="143">
        <v>1.7751609153578967E-2</v>
      </c>
      <c r="W215" s="141">
        <v>0</v>
      </c>
      <c r="X215" s="141">
        <v>28620560881</v>
      </c>
      <c r="Y215" s="143">
        <v>1</v>
      </c>
      <c r="Z215" s="141">
        <v>0</v>
      </c>
      <c r="AA215" s="141">
        <v>0</v>
      </c>
      <c r="AB215" s="724">
        <v>0</v>
      </c>
    </row>
    <row r="216" spans="1:28" ht="24.95" customHeight="1">
      <c r="A216" s="32"/>
      <c r="B216" s="144" t="s">
        <v>722</v>
      </c>
      <c r="C216" s="145" t="s">
        <v>167</v>
      </c>
      <c r="D216" s="145" t="s">
        <v>190</v>
      </c>
      <c r="E216" s="145" t="s">
        <v>172</v>
      </c>
      <c r="F216" s="145">
        <v>23</v>
      </c>
      <c r="G216" s="145" t="s">
        <v>175</v>
      </c>
      <c r="H216" s="145">
        <v>4103065</v>
      </c>
      <c r="I216" s="145" t="s">
        <v>54</v>
      </c>
      <c r="J216" s="145">
        <v>11</v>
      </c>
      <c r="K216" s="146" t="s">
        <v>29</v>
      </c>
      <c r="L216" s="147" t="s">
        <v>178</v>
      </c>
      <c r="M216" s="148">
        <v>54257058902</v>
      </c>
      <c r="N216" s="148"/>
      <c r="O216" s="148"/>
      <c r="P216" s="148">
        <v>27826035802.349998</v>
      </c>
      <c r="Q216" s="148"/>
      <c r="R216" s="148"/>
      <c r="S216" s="148">
        <v>82083094704.350006</v>
      </c>
      <c r="T216" s="148">
        <v>28620560881</v>
      </c>
      <c r="U216" s="148">
        <v>53462533823.350006</v>
      </c>
      <c r="V216" s="150">
        <v>0.34867789749017891</v>
      </c>
      <c r="W216" s="148"/>
      <c r="X216" s="148">
        <v>28620560881</v>
      </c>
      <c r="Y216" s="150">
        <v>1</v>
      </c>
      <c r="Z216" s="148"/>
      <c r="AA216" s="148">
        <v>0</v>
      </c>
      <c r="AB216" s="150">
        <v>0</v>
      </c>
    </row>
    <row r="217" spans="1:28" ht="24.95" customHeight="1">
      <c r="A217" s="32"/>
      <c r="B217" s="144" t="s">
        <v>723</v>
      </c>
      <c r="C217" s="145" t="s">
        <v>167</v>
      </c>
      <c r="D217" s="145" t="s">
        <v>190</v>
      </c>
      <c r="E217" s="145" t="s">
        <v>172</v>
      </c>
      <c r="F217" s="145">
        <v>23</v>
      </c>
      <c r="G217" s="145" t="s">
        <v>175</v>
      </c>
      <c r="H217" s="145">
        <v>4103065</v>
      </c>
      <c r="I217" s="145" t="s">
        <v>65</v>
      </c>
      <c r="J217" s="145">
        <v>11</v>
      </c>
      <c r="K217" s="146" t="s">
        <v>29</v>
      </c>
      <c r="L217" s="147" t="s">
        <v>127</v>
      </c>
      <c r="M217" s="148">
        <v>725205645648</v>
      </c>
      <c r="N217" s="148"/>
      <c r="O217" s="148"/>
      <c r="P217" s="148"/>
      <c r="Q217" s="148">
        <v>27826035802.349998</v>
      </c>
      <c r="R217" s="148"/>
      <c r="S217" s="148">
        <v>697379609845.65002</v>
      </c>
      <c r="T217" s="148"/>
      <c r="U217" s="148">
        <v>697379609845.65002</v>
      </c>
      <c r="V217" s="150">
        <v>0</v>
      </c>
      <c r="W217" s="148"/>
      <c r="X217" s="148">
        <v>0</v>
      </c>
      <c r="Y217" s="150">
        <v>0</v>
      </c>
      <c r="Z217" s="148"/>
      <c r="AA217" s="148">
        <v>0</v>
      </c>
      <c r="AB217" s="150">
        <v>0</v>
      </c>
    </row>
    <row r="218" spans="1:28" ht="24.95" customHeight="1">
      <c r="A218" s="32"/>
      <c r="B218" s="144" t="s">
        <v>723</v>
      </c>
      <c r="C218" s="145" t="s">
        <v>167</v>
      </c>
      <c r="D218" s="145" t="s">
        <v>190</v>
      </c>
      <c r="E218" s="145" t="s">
        <v>172</v>
      </c>
      <c r="F218" s="145">
        <v>23</v>
      </c>
      <c r="G218" s="145" t="s">
        <v>175</v>
      </c>
      <c r="H218" s="145">
        <v>4103065</v>
      </c>
      <c r="I218" s="145" t="s">
        <v>65</v>
      </c>
      <c r="J218" s="145">
        <v>13</v>
      </c>
      <c r="K218" s="146" t="s">
        <v>29</v>
      </c>
      <c r="L218" s="147" t="s">
        <v>127</v>
      </c>
      <c r="M218" s="148">
        <v>48925749186</v>
      </c>
      <c r="N218" s="148"/>
      <c r="O218" s="148"/>
      <c r="P218" s="148"/>
      <c r="Q218" s="148"/>
      <c r="R218" s="148"/>
      <c r="S218" s="148">
        <v>48925749186</v>
      </c>
      <c r="T218" s="148"/>
      <c r="U218" s="148">
        <v>48925749186</v>
      </c>
      <c r="V218" s="150">
        <v>0</v>
      </c>
      <c r="W218" s="148"/>
      <c r="X218" s="148">
        <v>0</v>
      </c>
      <c r="Y218" s="150">
        <v>0</v>
      </c>
      <c r="Z218" s="148"/>
      <c r="AA218" s="148">
        <v>0</v>
      </c>
      <c r="AB218" s="150">
        <v>0</v>
      </c>
    </row>
    <row r="219" spans="1:28" ht="24.95" customHeight="1">
      <c r="A219" s="32"/>
      <c r="B219" s="144" t="s">
        <v>723</v>
      </c>
      <c r="C219" s="145" t="s">
        <v>167</v>
      </c>
      <c r="D219" s="145" t="s">
        <v>190</v>
      </c>
      <c r="E219" s="145" t="s">
        <v>172</v>
      </c>
      <c r="F219" s="145">
        <v>23</v>
      </c>
      <c r="G219" s="145" t="s">
        <v>175</v>
      </c>
      <c r="H219" s="145">
        <v>4103065</v>
      </c>
      <c r="I219" s="145" t="s">
        <v>65</v>
      </c>
      <c r="J219" s="145">
        <v>16</v>
      </c>
      <c r="K219" s="146" t="s">
        <v>156</v>
      </c>
      <c r="L219" s="147" t="s">
        <v>127</v>
      </c>
      <c r="M219" s="148">
        <v>783891347683</v>
      </c>
      <c r="N219" s="148"/>
      <c r="O219" s="148"/>
      <c r="P219" s="148"/>
      <c r="Q219" s="148"/>
      <c r="R219" s="148"/>
      <c r="S219" s="148">
        <v>783891347683</v>
      </c>
      <c r="T219" s="148"/>
      <c r="U219" s="148">
        <v>783891347683</v>
      </c>
      <c r="V219" s="150">
        <v>0</v>
      </c>
      <c r="W219" s="148"/>
      <c r="X219" s="148">
        <v>0</v>
      </c>
      <c r="Y219" s="150">
        <v>0</v>
      </c>
      <c r="Z219" s="148"/>
      <c r="AA219" s="148">
        <v>0</v>
      </c>
      <c r="AB219" s="150">
        <v>0</v>
      </c>
    </row>
    <row r="220" spans="1:28" ht="49.5" customHeight="1">
      <c r="A220" s="32" t="e">
        <v>#REF!</v>
      </c>
      <c r="B220" s="132" t="s">
        <v>732</v>
      </c>
      <c r="C220" s="133" t="s">
        <v>167</v>
      </c>
      <c r="D220" s="133" t="s">
        <v>190</v>
      </c>
      <c r="E220" s="133" t="s">
        <v>172</v>
      </c>
      <c r="F220" s="133">
        <v>24</v>
      </c>
      <c r="G220" s="133"/>
      <c r="H220" s="133"/>
      <c r="I220" s="133"/>
      <c r="J220" s="133"/>
      <c r="K220" s="134"/>
      <c r="L220" s="134" t="s">
        <v>249</v>
      </c>
      <c r="M220" s="135">
        <v>7237101000000</v>
      </c>
      <c r="N220" s="136">
        <v>0</v>
      </c>
      <c r="O220" s="136">
        <v>0</v>
      </c>
      <c r="P220" s="135">
        <v>832906720.83000004</v>
      </c>
      <c r="Q220" s="135">
        <v>832906720.83000004</v>
      </c>
      <c r="R220" s="136">
        <v>0</v>
      </c>
      <c r="S220" s="135">
        <v>7237101000000</v>
      </c>
      <c r="T220" s="135">
        <v>10431677723</v>
      </c>
      <c r="U220" s="135">
        <v>7226669322277</v>
      </c>
      <c r="V220" s="137">
        <v>1.4414166284262165E-3</v>
      </c>
      <c r="W220" s="135">
        <v>0</v>
      </c>
      <c r="X220" s="135">
        <v>10431677723</v>
      </c>
      <c r="Y220" s="137">
        <v>1</v>
      </c>
      <c r="Z220" s="135">
        <v>0</v>
      </c>
      <c r="AA220" s="135">
        <v>0</v>
      </c>
      <c r="AB220" s="723">
        <v>0</v>
      </c>
    </row>
    <row r="221" spans="1:28" ht="32.25" customHeight="1">
      <c r="A221" s="32" t="e">
        <v>#REF!</v>
      </c>
      <c r="B221" s="138" t="s">
        <v>733</v>
      </c>
      <c r="C221" s="139" t="s">
        <v>167</v>
      </c>
      <c r="D221" s="139" t="s">
        <v>190</v>
      </c>
      <c r="E221" s="139" t="s">
        <v>172</v>
      </c>
      <c r="F221" s="139">
        <v>24</v>
      </c>
      <c r="G221" s="139" t="s">
        <v>175</v>
      </c>
      <c r="H221" s="139">
        <v>4103061</v>
      </c>
      <c r="I221" s="139"/>
      <c r="J221" s="139">
        <v>13</v>
      </c>
      <c r="K221" s="140" t="s">
        <v>29</v>
      </c>
      <c r="L221" s="140" t="s">
        <v>231</v>
      </c>
      <c r="M221" s="141">
        <v>7237101000000</v>
      </c>
      <c r="N221" s="142">
        <v>0</v>
      </c>
      <c r="O221" s="142">
        <v>0</v>
      </c>
      <c r="P221" s="141">
        <v>832906720.83000004</v>
      </c>
      <c r="Q221" s="141">
        <v>832906720.83000004</v>
      </c>
      <c r="R221" s="142">
        <v>0</v>
      </c>
      <c r="S221" s="141">
        <v>7237101000000</v>
      </c>
      <c r="T221" s="141">
        <v>10431677723</v>
      </c>
      <c r="U221" s="141">
        <v>7226669322277</v>
      </c>
      <c r="V221" s="143">
        <v>1.4414166284262165E-3</v>
      </c>
      <c r="W221" s="141">
        <v>0</v>
      </c>
      <c r="X221" s="141">
        <v>10431677723</v>
      </c>
      <c r="Y221" s="143">
        <v>1</v>
      </c>
      <c r="Z221" s="141">
        <v>0</v>
      </c>
      <c r="AA221" s="141">
        <v>0</v>
      </c>
      <c r="AB221" s="724">
        <v>0</v>
      </c>
    </row>
    <row r="222" spans="1:28" ht="24.95" customHeight="1">
      <c r="A222" s="32" t="e">
        <v>#REF!</v>
      </c>
      <c r="B222" s="144" t="s">
        <v>734</v>
      </c>
      <c r="C222" s="145" t="s">
        <v>167</v>
      </c>
      <c r="D222" s="145" t="s">
        <v>190</v>
      </c>
      <c r="E222" s="145" t="s">
        <v>172</v>
      </c>
      <c r="F222" s="145">
        <v>24</v>
      </c>
      <c r="G222" s="145" t="s">
        <v>175</v>
      </c>
      <c r="H222" s="145">
        <v>4103061</v>
      </c>
      <c r="I222" s="145" t="s">
        <v>54</v>
      </c>
      <c r="J222" s="145">
        <v>13</v>
      </c>
      <c r="K222" s="146" t="s">
        <v>29</v>
      </c>
      <c r="L222" s="147" t="s">
        <v>178</v>
      </c>
      <c r="M222" s="148">
        <v>99347732574</v>
      </c>
      <c r="N222" s="148"/>
      <c r="O222" s="148"/>
      <c r="P222" s="148">
        <v>832906720.83000004</v>
      </c>
      <c r="Q222" s="148"/>
      <c r="R222" s="148"/>
      <c r="S222" s="148">
        <v>100180639294.83</v>
      </c>
      <c r="T222" s="148">
        <v>10431677723</v>
      </c>
      <c r="U222" s="148">
        <v>89748961571.830002</v>
      </c>
      <c r="V222" s="150">
        <v>0.10412867991688235</v>
      </c>
      <c r="W222" s="148"/>
      <c r="X222" s="148">
        <v>10431677723</v>
      </c>
      <c r="Y222" s="150">
        <v>1</v>
      </c>
      <c r="Z222" s="148"/>
      <c r="AA222" s="148">
        <v>0</v>
      </c>
      <c r="AB222" s="150">
        <v>0</v>
      </c>
    </row>
    <row r="223" spans="1:28" ht="24.95" customHeight="1">
      <c r="A223" s="32" t="e">
        <v>#REF!</v>
      </c>
      <c r="B223" s="144" t="s">
        <v>735</v>
      </c>
      <c r="C223" s="145" t="s">
        <v>167</v>
      </c>
      <c r="D223" s="145" t="s">
        <v>190</v>
      </c>
      <c r="E223" s="145" t="s">
        <v>172</v>
      </c>
      <c r="F223" s="145">
        <v>24</v>
      </c>
      <c r="G223" s="145" t="s">
        <v>175</v>
      </c>
      <c r="H223" s="145">
        <v>4103061</v>
      </c>
      <c r="I223" s="145" t="s">
        <v>65</v>
      </c>
      <c r="J223" s="145">
        <v>13</v>
      </c>
      <c r="K223" s="146" t="s">
        <v>29</v>
      </c>
      <c r="L223" s="147" t="s">
        <v>127</v>
      </c>
      <c r="M223" s="148">
        <v>7137753267426</v>
      </c>
      <c r="N223" s="148"/>
      <c r="O223" s="148"/>
      <c r="P223" s="148"/>
      <c r="Q223" s="148">
        <v>832906720.83000004</v>
      </c>
      <c r="R223" s="148"/>
      <c r="S223" s="148">
        <v>7136920360705.1699</v>
      </c>
      <c r="T223" s="148"/>
      <c r="U223" s="148">
        <v>7136920360705.1699</v>
      </c>
      <c r="V223" s="150">
        <v>0</v>
      </c>
      <c r="W223" s="148"/>
      <c r="X223" s="148">
        <v>0</v>
      </c>
      <c r="Y223" s="150">
        <v>0</v>
      </c>
      <c r="Z223" s="148"/>
      <c r="AA223" s="148">
        <v>0</v>
      </c>
      <c r="AB223" s="150">
        <v>0</v>
      </c>
    </row>
    <row r="224" spans="1:28" ht="36.75" customHeight="1">
      <c r="A224" s="32" t="e">
        <v>#REF!</v>
      </c>
      <c r="B224" s="124" t="s">
        <v>544</v>
      </c>
      <c r="C224" s="123" t="s">
        <v>167</v>
      </c>
      <c r="D224" s="123">
        <v>4199</v>
      </c>
      <c r="E224" s="123"/>
      <c r="F224" s="123"/>
      <c r="G224" s="123"/>
      <c r="H224" s="123"/>
      <c r="I224" s="123"/>
      <c r="J224" s="124"/>
      <c r="K224" s="124"/>
      <c r="L224" s="124" t="s">
        <v>250</v>
      </c>
      <c r="M224" s="125">
        <v>5000000000</v>
      </c>
      <c r="N224" s="719">
        <v>0</v>
      </c>
      <c r="O224" s="719">
        <v>0</v>
      </c>
      <c r="P224" s="719">
        <v>0</v>
      </c>
      <c r="Q224" s="719">
        <v>0</v>
      </c>
      <c r="R224" s="719">
        <v>0</v>
      </c>
      <c r="S224" s="125">
        <v>5000000000</v>
      </c>
      <c r="T224" s="125">
        <v>606264266</v>
      </c>
      <c r="U224" s="125">
        <v>4393735734</v>
      </c>
      <c r="V224" s="126">
        <v>0.1212528532</v>
      </c>
      <c r="W224" s="125">
        <v>0</v>
      </c>
      <c r="X224" s="125">
        <v>606264266</v>
      </c>
      <c r="Y224" s="126">
        <v>1</v>
      </c>
      <c r="Z224" s="125">
        <v>0</v>
      </c>
      <c r="AA224" s="125">
        <v>0</v>
      </c>
      <c r="AB224" s="720">
        <v>0</v>
      </c>
    </row>
    <row r="225" spans="1:51" ht="24" customHeight="1">
      <c r="A225" s="32" t="e">
        <v>#REF!</v>
      </c>
      <c r="B225" s="129" t="s">
        <v>300</v>
      </c>
      <c r="C225" s="128" t="s">
        <v>167</v>
      </c>
      <c r="D225" s="128">
        <v>4199</v>
      </c>
      <c r="E225" s="128">
        <v>1500</v>
      </c>
      <c r="F225" s="128"/>
      <c r="G225" s="128"/>
      <c r="H225" s="128"/>
      <c r="I225" s="128"/>
      <c r="J225" s="129"/>
      <c r="K225" s="129"/>
      <c r="L225" s="129" t="s">
        <v>170</v>
      </c>
      <c r="M225" s="130">
        <v>5000000000</v>
      </c>
      <c r="N225" s="721">
        <v>0</v>
      </c>
      <c r="O225" s="721">
        <v>0</v>
      </c>
      <c r="P225" s="721">
        <v>0</v>
      </c>
      <c r="Q225" s="721">
        <v>0</v>
      </c>
      <c r="R225" s="721">
        <v>0</v>
      </c>
      <c r="S225" s="130">
        <v>5000000000</v>
      </c>
      <c r="T225" s="130">
        <v>606264266</v>
      </c>
      <c r="U225" s="130">
        <v>4393735734</v>
      </c>
      <c r="V225" s="131">
        <v>0.1212528532</v>
      </c>
      <c r="W225" s="130">
        <v>0</v>
      </c>
      <c r="X225" s="130">
        <v>606264266</v>
      </c>
      <c r="Y225" s="131">
        <v>1</v>
      </c>
      <c r="Z225" s="130">
        <v>0</v>
      </c>
      <c r="AA225" s="130">
        <v>0</v>
      </c>
      <c r="AB225" s="722">
        <v>0</v>
      </c>
    </row>
    <row r="226" spans="1:51" ht="37.5" customHeight="1">
      <c r="A226" s="32" t="e">
        <v>#REF!</v>
      </c>
      <c r="B226" s="132" t="s">
        <v>547</v>
      </c>
      <c r="C226" s="133" t="s">
        <v>167</v>
      </c>
      <c r="D226" s="133" t="s">
        <v>251</v>
      </c>
      <c r="E226" s="133" t="s">
        <v>172</v>
      </c>
      <c r="F226" s="133" t="s">
        <v>252</v>
      </c>
      <c r="G226" s="133"/>
      <c r="H226" s="133"/>
      <c r="I226" s="133"/>
      <c r="J226" s="133"/>
      <c r="K226" s="134"/>
      <c r="L226" s="134" t="s">
        <v>274</v>
      </c>
      <c r="M226" s="135">
        <v>5000000000</v>
      </c>
      <c r="N226" s="136">
        <v>0</v>
      </c>
      <c r="O226" s="136">
        <v>0</v>
      </c>
      <c r="P226" s="136">
        <v>0</v>
      </c>
      <c r="Q226" s="136">
        <v>0</v>
      </c>
      <c r="R226" s="136">
        <v>0</v>
      </c>
      <c r="S226" s="135">
        <v>5000000000</v>
      </c>
      <c r="T226" s="135">
        <v>606264266</v>
      </c>
      <c r="U226" s="135">
        <v>4393735734</v>
      </c>
      <c r="V226" s="137">
        <v>0.1212528532</v>
      </c>
      <c r="W226" s="135">
        <v>0</v>
      </c>
      <c r="X226" s="135">
        <v>606264266</v>
      </c>
      <c r="Y226" s="137">
        <v>1</v>
      </c>
      <c r="Z226" s="135">
        <v>0</v>
      </c>
      <c r="AA226" s="135">
        <v>0</v>
      </c>
      <c r="AB226" s="723">
        <v>0</v>
      </c>
    </row>
    <row r="227" spans="1:51" ht="32.25" customHeight="1">
      <c r="A227" s="32" t="e">
        <v>#REF!</v>
      </c>
      <c r="B227" s="138" t="s">
        <v>548</v>
      </c>
      <c r="C227" s="139" t="s">
        <v>167</v>
      </c>
      <c r="D227" s="139" t="s">
        <v>251</v>
      </c>
      <c r="E227" s="139" t="s">
        <v>172</v>
      </c>
      <c r="F227" s="139" t="s">
        <v>252</v>
      </c>
      <c r="G227" s="139" t="s">
        <v>175</v>
      </c>
      <c r="H227" s="139" t="s">
        <v>254</v>
      </c>
      <c r="I227" s="139"/>
      <c r="J227" s="139">
        <v>13</v>
      </c>
      <c r="K227" s="140" t="s">
        <v>29</v>
      </c>
      <c r="L227" s="140" t="s">
        <v>255</v>
      </c>
      <c r="M227" s="141">
        <v>5000000000</v>
      </c>
      <c r="N227" s="142">
        <v>0</v>
      </c>
      <c r="O227" s="142">
        <v>0</v>
      </c>
      <c r="P227" s="142">
        <v>0</v>
      </c>
      <c r="Q227" s="142">
        <v>0</v>
      </c>
      <c r="R227" s="142">
        <v>0</v>
      </c>
      <c r="S227" s="141">
        <v>5000000000</v>
      </c>
      <c r="T227" s="141">
        <v>606264266</v>
      </c>
      <c r="U227" s="141">
        <v>4393735734</v>
      </c>
      <c r="V227" s="143">
        <v>0.1212528532</v>
      </c>
      <c r="W227" s="141">
        <v>0</v>
      </c>
      <c r="X227" s="141">
        <v>606264266</v>
      </c>
      <c r="Y227" s="143">
        <v>1</v>
      </c>
      <c r="Z227" s="141">
        <v>0</v>
      </c>
      <c r="AA227" s="141">
        <v>0</v>
      </c>
      <c r="AB227" s="724">
        <v>0</v>
      </c>
    </row>
    <row r="228" spans="1:51" ht="24.95" customHeight="1">
      <c r="A228" s="32" t="e">
        <v>#REF!</v>
      </c>
      <c r="B228" s="144" t="s">
        <v>549</v>
      </c>
      <c r="C228" s="145" t="s">
        <v>167</v>
      </c>
      <c r="D228" s="145" t="s">
        <v>251</v>
      </c>
      <c r="E228" s="145" t="s">
        <v>172</v>
      </c>
      <c r="F228" s="145" t="s">
        <v>252</v>
      </c>
      <c r="G228" s="145" t="s">
        <v>175</v>
      </c>
      <c r="H228" s="145" t="s">
        <v>254</v>
      </c>
      <c r="I228" s="145" t="s">
        <v>54</v>
      </c>
      <c r="J228" s="145">
        <v>13</v>
      </c>
      <c r="K228" s="146" t="s">
        <v>29</v>
      </c>
      <c r="L228" s="147" t="s">
        <v>178</v>
      </c>
      <c r="M228" s="148">
        <v>5000000000</v>
      </c>
      <c r="N228" s="148"/>
      <c r="O228" s="148"/>
      <c r="P228" s="148"/>
      <c r="Q228" s="148"/>
      <c r="R228" s="148"/>
      <c r="S228" s="148">
        <v>5000000000</v>
      </c>
      <c r="T228" s="148">
        <v>606264266</v>
      </c>
      <c r="U228" s="148">
        <v>4393735734</v>
      </c>
      <c r="V228" s="150">
        <v>0.1212528532</v>
      </c>
      <c r="W228" s="148"/>
      <c r="X228" s="148">
        <v>606264266</v>
      </c>
      <c r="Y228" s="150">
        <v>1</v>
      </c>
      <c r="Z228" s="148"/>
      <c r="AA228" s="148">
        <v>0</v>
      </c>
      <c r="AB228" s="150">
        <v>0</v>
      </c>
    </row>
    <row r="229" spans="1:51" ht="35.1" customHeight="1">
      <c r="A229" s="32"/>
      <c r="B229" s="118"/>
      <c r="C229" s="118"/>
      <c r="D229" s="119"/>
      <c r="E229" s="119"/>
      <c r="F229" s="119"/>
      <c r="G229" s="119"/>
      <c r="H229" s="119"/>
      <c r="I229" s="119"/>
      <c r="J229" s="119"/>
      <c r="K229" s="119"/>
      <c r="L229" s="119" t="s">
        <v>256</v>
      </c>
      <c r="M229" s="120">
        <v>13107834876291</v>
      </c>
      <c r="N229" s="120">
        <v>0</v>
      </c>
      <c r="O229" s="120">
        <v>0</v>
      </c>
      <c r="P229" s="120">
        <v>38390138409.32</v>
      </c>
      <c r="Q229" s="120">
        <v>38390138409.32</v>
      </c>
      <c r="R229" s="120">
        <v>10390000000</v>
      </c>
      <c r="S229" s="120">
        <v>13097444876291</v>
      </c>
      <c r="T229" s="120">
        <v>978435391690.28003</v>
      </c>
      <c r="U229" s="120">
        <v>12119009484600.721</v>
      </c>
      <c r="V229" s="121">
        <v>7.4704295450897004E-2</v>
      </c>
      <c r="W229" s="120">
        <v>8442448899.0100002</v>
      </c>
      <c r="X229" s="120">
        <v>969992942791.27002</v>
      </c>
      <c r="Y229" s="121">
        <v>0.99137148045674695</v>
      </c>
      <c r="Z229" s="120">
        <v>8435311776.0100002</v>
      </c>
      <c r="AA229" s="120">
        <v>7137123</v>
      </c>
      <c r="AB229" s="718">
        <v>8.621225118847874E-3</v>
      </c>
    </row>
    <row r="230" spans="1:51" s="90" customFormat="1" ht="16.5">
      <c r="A230" s="32"/>
      <c r="B230" s="32"/>
      <c r="C230" s="82"/>
      <c r="D230" s="82"/>
      <c r="E230" s="82"/>
      <c r="F230" s="82"/>
      <c r="G230" s="82"/>
      <c r="H230" s="83"/>
      <c r="I230" s="84"/>
      <c r="J230" s="84"/>
      <c r="K230" s="85"/>
      <c r="L230" s="84"/>
      <c r="M230" s="86"/>
      <c r="N230" s="86"/>
      <c r="O230" s="86"/>
      <c r="P230" s="86"/>
      <c r="Q230" s="86"/>
      <c r="R230" s="86"/>
      <c r="S230" s="86"/>
      <c r="T230" s="86"/>
      <c r="U230" s="86"/>
      <c r="V230" s="87"/>
      <c r="W230" s="88"/>
      <c r="X230" s="86"/>
      <c r="Y230" s="87"/>
      <c r="Z230" s="86"/>
      <c r="AA230" s="86"/>
      <c r="AB230" s="89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</row>
    <row r="231" spans="1:51" s="8" customFormat="1" ht="16.5">
      <c r="A231" s="32" t="e">
        <v>#REF!</v>
      </c>
      <c r="B231" s="32"/>
      <c r="C231" s="91"/>
      <c r="D231" s="91"/>
      <c r="E231" s="91"/>
      <c r="F231" s="91"/>
      <c r="G231" s="91"/>
      <c r="H231" s="92"/>
      <c r="I231" s="93"/>
      <c r="J231" s="93"/>
      <c r="K231" s="94"/>
      <c r="L231" s="93"/>
      <c r="M231" s="95">
        <v>13107834876291</v>
      </c>
      <c r="N231" s="95">
        <v>0</v>
      </c>
      <c r="O231" s="95">
        <v>0</v>
      </c>
      <c r="P231" s="95">
        <v>38390138409.32</v>
      </c>
      <c r="Q231" s="95">
        <v>38390138409.32</v>
      </c>
      <c r="R231" s="95">
        <v>10390000000</v>
      </c>
      <c r="S231" s="95">
        <v>13097444876291</v>
      </c>
      <c r="T231" s="95">
        <v>978435391690.28003</v>
      </c>
      <c r="U231" s="95">
        <v>12119009484600.721</v>
      </c>
      <c r="V231" s="361">
        <v>7.4704295450897004E-2</v>
      </c>
      <c r="W231" s="95">
        <v>8442448899.0100002</v>
      </c>
      <c r="X231" s="95">
        <v>969992942791.27002</v>
      </c>
      <c r="Y231" s="361">
        <v>0.99137148045674695</v>
      </c>
      <c r="Z231" s="95">
        <v>8435311776.0100002</v>
      </c>
      <c r="AA231" s="95">
        <v>7137123</v>
      </c>
      <c r="AB231" s="361">
        <v>8.621225118847874E-3</v>
      </c>
    </row>
    <row r="232" spans="1:51" s="8" customFormat="1" ht="16.5">
      <c r="A232" s="32"/>
      <c r="B232" s="32"/>
      <c r="C232" s="94"/>
      <c r="D232" s="93"/>
      <c r="E232" s="93"/>
      <c r="F232" s="93"/>
      <c r="G232" s="93"/>
      <c r="H232" s="93"/>
      <c r="I232" s="93"/>
      <c r="J232" s="93"/>
      <c r="K232" s="94"/>
      <c r="L232" s="97"/>
      <c r="M232" s="362">
        <v>0</v>
      </c>
      <c r="N232" s="362">
        <v>0</v>
      </c>
      <c r="O232" s="362">
        <v>0</v>
      </c>
      <c r="P232" s="362">
        <v>0</v>
      </c>
      <c r="Q232" s="362">
        <v>0</v>
      </c>
      <c r="R232" s="362">
        <v>0</v>
      </c>
      <c r="S232" s="362">
        <v>0</v>
      </c>
      <c r="T232" s="362">
        <v>0</v>
      </c>
      <c r="U232" s="362">
        <v>0</v>
      </c>
      <c r="V232" s="363"/>
      <c r="W232" s="362">
        <v>0</v>
      </c>
      <c r="X232" s="362">
        <v>0</v>
      </c>
      <c r="Y232" s="363"/>
      <c r="Z232" s="362">
        <v>0</v>
      </c>
      <c r="AA232" s="362">
        <v>0</v>
      </c>
      <c r="AB232" s="363"/>
    </row>
    <row r="233" spans="1:51" s="374" customFormat="1" ht="16.5">
      <c r="A233" s="369"/>
      <c r="B233" s="375"/>
      <c r="C233" s="370"/>
      <c r="D233" s="371"/>
      <c r="E233" s="371"/>
      <c r="F233" s="371"/>
      <c r="G233" s="371"/>
      <c r="H233" s="371"/>
      <c r="I233" s="371"/>
      <c r="J233" s="371"/>
      <c r="K233" s="370"/>
      <c r="L233" s="86"/>
      <c r="M233" s="359"/>
      <c r="N233" s="359"/>
      <c r="O233" s="359"/>
      <c r="P233" s="359"/>
      <c r="Q233" s="359"/>
      <c r="R233" s="359"/>
      <c r="S233" s="359"/>
      <c r="T233" s="359"/>
      <c r="U233" s="359"/>
      <c r="V233" s="372"/>
      <c r="W233" s="359"/>
      <c r="X233" s="359"/>
      <c r="Y233" s="372"/>
      <c r="Z233" s="359"/>
      <c r="AA233" s="359"/>
      <c r="AB233" s="37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</row>
    <row r="234" spans="1:51" ht="18">
      <c r="A234" s="30"/>
      <c r="B234" s="31"/>
      <c r="C234" s="312"/>
      <c r="D234" s="317"/>
      <c r="E234" s="312"/>
      <c r="F234" s="312"/>
      <c r="G234" s="312"/>
      <c r="H234" s="312"/>
      <c r="I234" s="312"/>
      <c r="J234" s="312"/>
      <c r="K234" s="317"/>
      <c r="L234" s="312"/>
      <c r="M234" s="335"/>
      <c r="N234" s="364"/>
      <c r="O234" s="332"/>
      <c r="P234" s="332"/>
      <c r="Q234" s="633"/>
      <c r="R234" s="633"/>
      <c r="S234" s="359"/>
      <c r="T234" s="332"/>
      <c r="U234" s="332"/>
      <c r="V234" s="333"/>
      <c r="W234" s="332"/>
      <c r="X234" s="332"/>
      <c r="Y234" s="333"/>
      <c r="Z234" s="332"/>
      <c r="AA234" s="332"/>
      <c r="AB234" s="333"/>
    </row>
    <row r="235" spans="1:51" ht="18">
      <c r="A235" s="30"/>
      <c r="B235" s="31"/>
      <c r="C235" s="312"/>
      <c r="D235" s="317"/>
      <c r="E235" s="312"/>
      <c r="F235" s="312"/>
      <c r="G235" s="312"/>
      <c r="H235" s="312"/>
      <c r="I235" s="312"/>
      <c r="J235" s="312"/>
      <c r="K235" s="317"/>
      <c r="L235" s="312"/>
      <c r="M235" s="332"/>
      <c r="N235" s="632"/>
      <c r="O235" s="332"/>
      <c r="P235" s="359"/>
      <c r="Q235" s="633"/>
      <c r="R235" s="633"/>
      <c r="S235" s="332"/>
      <c r="T235" s="332"/>
      <c r="U235" s="332"/>
      <c r="V235" s="333"/>
      <c r="W235" s="332"/>
      <c r="X235" s="332"/>
      <c r="Y235" s="333"/>
      <c r="Z235" s="332"/>
      <c r="AA235" s="332"/>
      <c r="AB235" s="333"/>
    </row>
    <row r="236" spans="1:51" ht="18">
      <c r="A236" s="1"/>
      <c r="B236" s="2"/>
      <c r="C236" s="312"/>
      <c r="D236" s="312"/>
      <c r="E236" s="312"/>
      <c r="F236" s="312"/>
      <c r="G236" s="312"/>
      <c r="H236" s="312"/>
      <c r="I236" s="312"/>
      <c r="J236" s="312"/>
      <c r="K236" s="317"/>
      <c r="L236" s="312"/>
      <c r="M236" s="332"/>
      <c r="N236" s="632"/>
      <c r="O236" s="332"/>
      <c r="P236" s="332"/>
      <c r="Q236" s="332"/>
      <c r="R236" s="332"/>
      <c r="S236" s="332"/>
      <c r="T236" s="332"/>
      <c r="U236" s="332"/>
      <c r="V236" s="333"/>
      <c r="W236" s="332"/>
      <c r="X236" s="631"/>
      <c r="Y236" s="333"/>
      <c r="Z236" s="332"/>
      <c r="AA236" s="332"/>
      <c r="AB236" s="333"/>
      <c r="AC236" s="315"/>
    </row>
    <row r="237" spans="1:51" ht="30">
      <c r="A237" s="1"/>
      <c r="B237" s="2"/>
      <c r="C237" s="318"/>
      <c r="D237" s="318"/>
      <c r="E237" s="318"/>
      <c r="F237" s="318"/>
      <c r="G237" s="318"/>
      <c r="H237" s="318"/>
      <c r="I237" s="312"/>
      <c r="J237" s="312"/>
      <c r="K237" s="317"/>
      <c r="L237" s="336" t="s">
        <v>738</v>
      </c>
      <c r="M237" s="628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20"/>
      <c r="Z237" s="376"/>
      <c r="AA237" s="319"/>
      <c r="AB237" s="319"/>
    </row>
    <row r="238" spans="1:51" ht="30">
      <c r="A238" s="1"/>
      <c r="B238" s="2"/>
      <c r="C238" s="321"/>
      <c r="D238" s="322"/>
      <c r="E238" s="322"/>
      <c r="F238" s="322"/>
      <c r="G238" s="322"/>
      <c r="H238" s="322"/>
      <c r="I238" s="322"/>
      <c r="J238" s="322"/>
      <c r="K238" s="321"/>
      <c r="L238" s="337" t="s">
        <v>739</v>
      </c>
      <c r="M238" s="628"/>
      <c r="O238" s="323"/>
      <c r="P238" s="323"/>
      <c r="Q238" s="323"/>
      <c r="R238" s="323"/>
      <c r="S238" s="360"/>
      <c r="T238" s="323"/>
      <c r="U238" s="323"/>
      <c r="V238" s="323"/>
      <c r="W238" s="323"/>
      <c r="X238" s="323"/>
      <c r="Y238" s="324"/>
      <c r="Z238" s="323"/>
      <c r="AA238" s="323"/>
      <c r="AB238" s="323"/>
    </row>
    <row r="239" spans="1:51" ht="30">
      <c r="A239" s="325"/>
      <c r="B239" s="313"/>
      <c r="C239" s="308"/>
      <c r="D239" s="308"/>
      <c r="E239" s="308"/>
      <c r="F239" s="308"/>
      <c r="G239" s="308"/>
      <c r="H239" s="308"/>
      <c r="I239" s="308"/>
      <c r="J239" s="308"/>
      <c r="K239" s="336"/>
      <c r="L239" s="308"/>
      <c r="M239" s="628"/>
      <c r="O239" s="309"/>
      <c r="P239" s="309"/>
      <c r="Q239" s="630"/>
      <c r="R239" s="630"/>
      <c r="S239" s="334"/>
      <c r="T239" s="334"/>
      <c r="U239" s="629"/>
      <c r="V239" s="329"/>
      <c r="W239" s="329"/>
      <c r="X239" s="329"/>
      <c r="Y239" s="329"/>
    </row>
    <row r="240" spans="1:51" ht="16.5">
      <c r="M240" s="628"/>
      <c r="N240" s="628"/>
    </row>
    <row r="241" spans="13:14" ht="16.5">
      <c r="M241" s="628"/>
      <c r="N241" s="628"/>
    </row>
    <row r="242" spans="13:14" ht="16.5">
      <c r="M242" s="628"/>
    </row>
    <row r="243" spans="13:14" ht="16.5">
      <c r="M243" s="628"/>
    </row>
    <row r="244" spans="13:14" ht="16.5">
      <c r="M244" s="628"/>
    </row>
  </sheetData>
  <sheetProtection selectLockedCells="1" selectUnlockedCells="1"/>
  <autoFilter ref="A6:AB232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6C5B-22D8-4BAD-A886-A5510CED3EB6}">
  <sheetPr>
    <tabColor rgb="FF00B0F0"/>
    <pageSetUpPr fitToPage="1"/>
  </sheetPr>
  <dimension ref="A1:BB246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82.710937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0.7109375" style="13" bestFit="1" customWidth="1"/>
    <col min="24" max="24" width="19.85546875" style="13" bestFit="1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30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25.5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928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24.7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926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3200000</v>
      </c>
      <c r="Q8" s="120">
        <v>3200000</v>
      </c>
      <c r="R8" s="120">
        <v>10390000000</v>
      </c>
      <c r="S8" s="120">
        <v>180813900000</v>
      </c>
      <c r="T8" s="120">
        <v>37333341676.279999</v>
      </c>
      <c r="U8" s="120">
        <v>143480558323.72</v>
      </c>
      <c r="V8" s="121">
        <v>0.20647384784178649</v>
      </c>
      <c r="W8" s="120">
        <v>18954843508.540001</v>
      </c>
      <c r="X8" s="120">
        <v>18378498167.739998</v>
      </c>
      <c r="Y8" s="121">
        <v>0.49228109091067263</v>
      </c>
      <c r="Z8" s="120">
        <v>18884632001.540001</v>
      </c>
      <c r="AA8" s="120">
        <v>70211507</v>
      </c>
      <c r="AB8" s="718">
        <v>0.50583824414353151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719">
        <v>0</v>
      </c>
      <c r="Q9" s="719">
        <v>0</v>
      </c>
      <c r="R9" s="719">
        <v>0</v>
      </c>
      <c r="S9" s="125">
        <v>118340000000</v>
      </c>
      <c r="T9" s="125">
        <v>18537515963</v>
      </c>
      <c r="U9" s="125">
        <v>99802484037</v>
      </c>
      <c r="V9" s="126">
        <v>0.15664623933581207</v>
      </c>
      <c r="W9" s="125">
        <v>14401004249</v>
      </c>
      <c r="X9" s="125">
        <v>4136511714</v>
      </c>
      <c r="Y9" s="126">
        <v>0.22314271891963738</v>
      </c>
      <c r="Z9" s="125">
        <v>14401004249</v>
      </c>
      <c r="AA9" s="125">
        <v>0</v>
      </c>
      <c r="AB9" s="720">
        <v>0.77685728108036267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721">
        <v>0</v>
      </c>
      <c r="Q10" s="721">
        <v>0</v>
      </c>
      <c r="R10" s="721">
        <v>0</v>
      </c>
      <c r="S10" s="130">
        <v>118340000000</v>
      </c>
      <c r="T10" s="130">
        <v>18537515963</v>
      </c>
      <c r="U10" s="130">
        <v>99802484037</v>
      </c>
      <c r="V10" s="131">
        <v>0.15664623933581207</v>
      </c>
      <c r="W10" s="130">
        <v>14401004249</v>
      </c>
      <c r="X10" s="130">
        <v>4136511714</v>
      </c>
      <c r="Y10" s="131">
        <v>0.22314271891963738</v>
      </c>
      <c r="Z10" s="130">
        <v>14401004249</v>
      </c>
      <c r="AA10" s="130">
        <v>0</v>
      </c>
      <c r="AB10" s="722">
        <v>0.77685728108036267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5">
        <v>81484000000</v>
      </c>
      <c r="T11" s="135">
        <v>9607586131</v>
      </c>
      <c r="U11" s="135">
        <v>71876413869</v>
      </c>
      <c r="V11" s="137">
        <v>0.11790763991703893</v>
      </c>
      <c r="W11" s="135">
        <v>9607586131</v>
      </c>
      <c r="X11" s="135">
        <v>0</v>
      </c>
      <c r="Y11" s="137">
        <v>0</v>
      </c>
      <c r="Z11" s="135">
        <v>9607586131</v>
      </c>
      <c r="AA11" s="135">
        <v>0</v>
      </c>
      <c r="AB11" s="723">
        <v>1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1">
        <v>81484000000</v>
      </c>
      <c r="T12" s="141">
        <v>9607586131</v>
      </c>
      <c r="U12" s="141">
        <v>71876413869</v>
      </c>
      <c r="V12" s="143">
        <v>0.11790763991703893</v>
      </c>
      <c r="W12" s="141">
        <v>9607586131</v>
      </c>
      <c r="X12" s="141">
        <v>0</v>
      </c>
      <c r="Y12" s="143">
        <v>0</v>
      </c>
      <c r="Z12" s="141">
        <v>9607586131</v>
      </c>
      <c r="AA12" s="141">
        <v>0</v>
      </c>
      <c r="AB12" s="724">
        <v>1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8920041775</v>
      </c>
      <c r="U13" s="148">
        <v>58154958225</v>
      </c>
      <c r="V13" s="150">
        <v>0.1329860868430861</v>
      </c>
      <c r="W13" s="148">
        <v>8920041775</v>
      </c>
      <c r="X13" s="148">
        <v>0</v>
      </c>
      <c r="Y13" s="150">
        <v>0</v>
      </c>
      <c r="Z13" s="148">
        <v>8920041775</v>
      </c>
      <c r="AA13" s="148">
        <v>0</v>
      </c>
      <c r="AB13" s="150">
        <v>1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47163170</v>
      </c>
      <c r="U14" s="148">
        <v>250836830</v>
      </c>
      <c r="V14" s="150">
        <v>0.15826567114093959</v>
      </c>
      <c r="W14" s="148">
        <v>47163170</v>
      </c>
      <c r="X14" s="148">
        <v>0</v>
      </c>
      <c r="Y14" s="150">
        <v>0</v>
      </c>
      <c r="Z14" s="148">
        <v>47163170</v>
      </c>
      <c r="AA14" s="148">
        <v>0</v>
      </c>
      <c r="AB14" s="150">
        <v>1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74373276</v>
      </c>
      <c r="U15" s="148">
        <v>465626724</v>
      </c>
      <c r="V15" s="150">
        <v>0.13772828888888888</v>
      </c>
      <c r="W15" s="148">
        <v>74373276</v>
      </c>
      <c r="X15" s="148">
        <v>0</v>
      </c>
      <c r="Y15" s="150">
        <v>0</v>
      </c>
      <c r="Z15" s="148">
        <v>74373276</v>
      </c>
      <c r="AA15" s="148">
        <v>0</v>
      </c>
      <c r="AB15" s="150">
        <v>1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14184141</v>
      </c>
      <c r="U16" s="148">
        <v>81815859</v>
      </c>
      <c r="V16" s="150">
        <v>0.14775146875</v>
      </c>
      <c r="W16" s="148">
        <v>14184141</v>
      </c>
      <c r="X16" s="148">
        <v>0</v>
      </c>
      <c r="Y16" s="150">
        <v>0</v>
      </c>
      <c r="Z16" s="148">
        <v>14184141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23243025</v>
      </c>
      <c r="U17" s="148">
        <v>76756975</v>
      </c>
      <c r="V17" s="150">
        <v>0.23243025</v>
      </c>
      <c r="W17" s="148">
        <v>23243025</v>
      </c>
      <c r="X17" s="148">
        <v>0</v>
      </c>
      <c r="Y17" s="150">
        <v>0</v>
      </c>
      <c r="Z17" s="148">
        <v>23243025</v>
      </c>
      <c r="AA17" s="148">
        <v>0</v>
      </c>
      <c r="AB17" s="150">
        <v>1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/>
      <c r="Q18" s="148"/>
      <c r="R18" s="148"/>
      <c r="S18" s="148">
        <v>2650000000</v>
      </c>
      <c r="T18" s="148">
        <v>12554529</v>
      </c>
      <c r="U18" s="148">
        <v>2637445471</v>
      </c>
      <c r="V18" s="150">
        <v>4.7375581132075469E-3</v>
      </c>
      <c r="W18" s="148">
        <v>12554529</v>
      </c>
      <c r="X18" s="148">
        <v>0</v>
      </c>
      <c r="Y18" s="150">
        <v>0</v>
      </c>
      <c r="Z18" s="148">
        <v>12554529</v>
      </c>
      <c r="AA18" s="148">
        <v>0</v>
      </c>
      <c r="AB18" s="150">
        <v>1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312685744</v>
      </c>
      <c r="U19" s="148">
        <v>1537314256</v>
      </c>
      <c r="V19" s="150">
        <v>0.16901932108108109</v>
      </c>
      <c r="W19" s="148">
        <v>312685744</v>
      </c>
      <c r="X19" s="148">
        <v>0</v>
      </c>
      <c r="Y19" s="150">
        <v>0</v>
      </c>
      <c r="Z19" s="148">
        <v>312685744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8860892</v>
      </c>
      <c r="U20" s="148">
        <v>131139108</v>
      </c>
      <c r="V20" s="150">
        <v>6.3292085714285712E-2</v>
      </c>
      <c r="W20" s="148">
        <v>8860892</v>
      </c>
      <c r="X20" s="148">
        <v>0</v>
      </c>
      <c r="Y20" s="150">
        <v>0</v>
      </c>
      <c r="Z20" s="148">
        <v>8860892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/>
      <c r="R21" s="148"/>
      <c r="S21" s="148">
        <v>5900000000</v>
      </c>
      <c r="T21" s="148">
        <v>3908228</v>
      </c>
      <c r="U21" s="148">
        <v>5896091772</v>
      </c>
      <c r="V21" s="150">
        <v>6.6241152542372884E-4</v>
      </c>
      <c r="W21" s="148">
        <v>3908228</v>
      </c>
      <c r="X21" s="148">
        <v>0</v>
      </c>
      <c r="Y21" s="150">
        <v>0</v>
      </c>
      <c r="Z21" s="148">
        <v>3908228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183302781</v>
      </c>
      <c r="U22" s="148">
        <v>2616697219</v>
      </c>
      <c r="V22" s="150">
        <v>6.546527892857143E-2</v>
      </c>
      <c r="W22" s="148">
        <v>183302781</v>
      </c>
      <c r="X22" s="148">
        <v>0</v>
      </c>
      <c r="Y22" s="150">
        <v>0</v>
      </c>
      <c r="Z22" s="148">
        <v>183302781</v>
      </c>
      <c r="AA22" s="148">
        <v>0</v>
      </c>
      <c r="AB22" s="150">
        <v>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7268570</v>
      </c>
      <c r="U23" s="148">
        <v>27731430</v>
      </c>
      <c r="V23" s="150">
        <v>0.20767342857142856</v>
      </c>
      <c r="W23" s="148">
        <v>7268570</v>
      </c>
      <c r="X23" s="148">
        <v>0</v>
      </c>
      <c r="Y23" s="150">
        <v>0</v>
      </c>
      <c r="Z23" s="148">
        <v>7268570</v>
      </c>
      <c r="AA23" s="148">
        <v>0</v>
      </c>
      <c r="AB23" s="150">
        <v>1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29242000000</v>
      </c>
      <c r="T24" s="135">
        <v>8080444800</v>
      </c>
      <c r="U24" s="135">
        <v>21161555200</v>
      </c>
      <c r="V24" s="137">
        <v>0.2763301005403187</v>
      </c>
      <c r="W24" s="135">
        <v>3943933086</v>
      </c>
      <c r="X24" s="135">
        <v>4136511714</v>
      </c>
      <c r="Y24" s="137">
        <v>0.51191633831840544</v>
      </c>
      <c r="Z24" s="135">
        <v>3943933086</v>
      </c>
      <c r="AA24" s="136">
        <v>0</v>
      </c>
      <c r="AB24" s="723">
        <v>0.48808366168159456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1225013900</v>
      </c>
      <c r="U25" s="148">
        <v>7672386100</v>
      </c>
      <c r="V25" s="150">
        <v>0.13768223301189111</v>
      </c>
      <c r="W25" s="148">
        <v>1225013900</v>
      </c>
      <c r="X25" s="148">
        <v>0</v>
      </c>
      <c r="Y25" s="150">
        <v>0</v>
      </c>
      <c r="Z25" s="148">
        <v>1225013900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871625900</v>
      </c>
      <c r="U26" s="148">
        <v>5430774100</v>
      </c>
      <c r="V26" s="150">
        <v>0.13830063150545824</v>
      </c>
      <c r="W26" s="148">
        <v>871625900</v>
      </c>
      <c r="X26" s="148">
        <v>0</v>
      </c>
      <c r="Y26" s="150">
        <v>0</v>
      </c>
      <c r="Z26" s="148">
        <v>871625900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863488286</v>
      </c>
      <c r="X27" s="148">
        <v>4136511714</v>
      </c>
      <c r="Y27" s="150">
        <v>0.82730234280000003</v>
      </c>
      <c r="Z27" s="148">
        <v>863488286</v>
      </c>
      <c r="AA27" s="148">
        <v>0</v>
      </c>
      <c r="AB27" s="150">
        <v>0.17269765719999999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394989700</v>
      </c>
      <c r="U28" s="148">
        <v>2792710300</v>
      </c>
      <c r="V28" s="150">
        <v>0.1239105624745114</v>
      </c>
      <c r="W28" s="148">
        <v>394989700</v>
      </c>
      <c r="X28" s="148">
        <v>0</v>
      </c>
      <c r="Y28" s="150">
        <v>0</v>
      </c>
      <c r="Z28" s="148">
        <v>394989700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94800400</v>
      </c>
      <c r="U29" s="148">
        <v>625199600</v>
      </c>
      <c r="V29" s="150">
        <v>0.13166722222222221</v>
      </c>
      <c r="W29" s="148">
        <v>94800400</v>
      </c>
      <c r="X29" s="148">
        <v>0</v>
      </c>
      <c r="Y29" s="150">
        <v>0</v>
      </c>
      <c r="Z29" s="148">
        <v>94800400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296271600</v>
      </c>
      <c r="U30" s="148">
        <v>2118528400</v>
      </c>
      <c r="V30" s="150">
        <v>0.12268991220805035</v>
      </c>
      <c r="W30" s="148">
        <v>296271600</v>
      </c>
      <c r="X30" s="148">
        <v>0</v>
      </c>
      <c r="Y30" s="150">
        <v>0</v>
      </c>
      <c r="Z30" s="148">
        <v>296271600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49452100</v>
      </c>
      <c r="U31" s="148">
        <v>353047900</v>
      </c>
      <c r="V31" s="150">
        <v>0.12286236024844721</v>
      </c>
      <c r="W31" s="148">
        <v>49452100</v>
      </c>
      <c r="X31" s="148">
        <v>0</v>
      </c>
      <c r="Y31" s="150">
        <v>0</v>
      </c>
      <c r="Z31" s="148">
        <v>49452100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49452100</v>
      </c>
      <c r="U32" s="148">
        <v>353047900</v>
      </c>
      <c r="V32" s="150">
        <v>0.12286236024844721</v>
      </c>
      <c r="W32" s="148">
        <v>49452100</v>
      </c>
      <c r="X32" s="148">
        <v>0</v>
      </c>
      <c r="Y32" s="150">
        <v>0</v>
      </c>
      <c r="Z32" s="148">
        <v>49452100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98839100</v>
      </c>
      <c r="U33" s="148">
        <v>706160900</v>
      </c>
      <c r="V33" s="150">
        <v>0.12278149068322981</v>
      </c>
      <c r="W33" s="148">
        <v>98839100</v>
      </c>
      <c r="X33" s="148">
        <v>0</v>
      </c>
      <c r="Y33" s="150">
        <v>0</v>
      </c>
      <c r="Z33" s="148">
        <v>98839100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7614000000</v>
      </c>
      <c r="T34" s="135">
        <v>849485032</v>
      </c>
      <c r="U34" s="135">
        <v>6764514968</v>
      </c>
      <c r="V34" s="137">
        <v>0.11156882479642763</v>
      </c>
      <c r="W34" s="135">
        <v>849485032</v>
      </c>
      <c r="X34" s="135">
        <v>0</v>
      </c>
      <c r="Y34" s="137">
        <v>0</v>
      </c>
      <c r="Z34" s="135">
        <v>849485032</v>
      </c>
      <c r="AA34" s="136">
        <v>0</v>
      </c>
      <c r="AB34" s="723">
        <v>1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3537000000</v>
      </c>
      <c r="T35" s="141">
        <v>289997100</v>
      </c>
      <c r="U35" s="141">
        <v>3247002900</v>
      </c>
      <c r="V35" s="143">
        <v>8.1989567430025445E-2</v>
      </c>
      <c r="W35" s="141">
        <v>289997100</v>
      </c>
      <c r="X35" s="142">
        <v>0</v>
      </c>
      <c r="Y35" s="143">
        <v>0</v>
      </c>
      <c r="Z35" s="141">
        <v>289997100</v>
      </c>
      <c r="AA35" s="142">
        <v>0</v>
      </c>
      <c r="AB35" s="724">
        <v>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220849982</v>
      </c>
      <c r="U36" s="148">
        <v>2516150018</v>
      </c>
      <c r="V36" s="150">
        <v>8.069053050785531E-2</v>
      </c>
      <c r="W36" s="148">
        <v>220849982</v>
      </c>
      <c r="X36" s="148">
        <v>0</v>
      </c>
      <c r="Y36" s="150">
        <v>0</v>
      </c>
      <c r="Z36" s="148">
        <v>220849982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46455064</v>
      </c>
      <c r="U37" s="148">
        <v>403544936</v>
      </c>
      <c r="V37" s="150">
        <v>0.10323347555555555</v>
      </c>
      <c r="W37" s="148">
        <v>46455064</v>
      </c>
      <c r="X37" s="148">
        <v>0</v>
      </c>
      <c r="Y37" s="150">
        <v>0</v>
      </c>
      <c r="Z37" s="148">
        <v>46455064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22692054</v>
      </c>
      <c r="U38" s="148">
        <v>327307946</v>
      </c>
      <c r="V38" s="150">
        <v>6.4834439999999993E-2</v>
      </c>
      <c r="W38" s="148">
        <v>22692054</v>
      </c>
      <c r="X38" s="148">
        <v>0</v>
      </c>
      <c r="Y38" s="150">
        <v>0</v>
      </c>
      <c r="Z38" s="148">
        <v>22692054</v>
      </c>
      <c r="AA38" s="148">
        <v>0</v>
      </c>
      <c r="AB38" s="150">
        <v>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422697553</v>
      </c>
      <c r="U39" s="148">
        <v>2177302447</v>
      </c>
      <c r="V39" s="150">
        <v>0.16257598192307693</v>
      </c>
      <c r="W39" s="148">
        <v>422697553</v>
      </c>
      <c r="X39" s="148">
        <v>0</v>
      </c>
      <c r="Y39" s="150">
        <v>0</v>
      </c>
      <c r="Z39" s="148">
        <v>422697553</v>
      </c>
      <c r="AA39" s="148">
        <v>0</v>
      </c>
      <c r="AB39" s="150">
        <v>1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715090</v>
      </c>
      <c r="U40" s="148">
        <v>11284910</v>
      </c>
      <c r="V40" s="150">
        <v>5.9590833333333336E-2</v>
      </c>
      <c r="W40" s="148">
        <v>715090</v>
      </c>
      <c r="X40" s="148">
        <v>0</v>
      </c>
      <c r="Y40" s="150">
        <v>0</v>
      </c>
      <c r="Z40" s="148">
        <v>715090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136075289</v>
      </c>
      <c r="U43" s="148">
        <v>703924711</v>
      </c>
      <c r="V43" s="150">
        <v>0.16199439166666665</v>
      </c>
      <c r="W43" s="148">
        <v>136075289</v>
      </c>
      <c r="X43" s="148">
        <v>0</v>
      </c>
      <c r="Y43" s="150">
        <v>0</v>
      </c>
      <c r="Z43" s="148">
        <v>136075289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0</v>
      </c>
      <c r="U44" s="148">
        <v>590000000</v>
      </c>
      <c r="V44" s="150">
        <v>0</v>
      </c>
      <c r="W44" s="148">
        <v>0</v>
      </c>
      <c r="X44" s="148">
        <v>0</v>
      </c>
      <c r="Y44" s="150">
        <v>0</v>
      </c>
      <c r="Z44" s="148">
        <v>0</v>
      </c>
      <c r="AA44" s="148">
        <v>0</v>
      </c>
      <c r="AB44" s="150">
        <v>0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19">
        <v>0</v>
      </c>
      <c r="O45" s="719">
        <v>0</v>
      </c>
      <c r="P45" s="725">
        <v>3200000</v>
      </c>
      <c r="Q45" s="725">
        <v>3200000</v>
      </c>
      <c r="R45" s="719">
        <v>0</v>
      </c>
      <c r="S45" s="125">
        <v>42290000000</v>
      </c>
      <c r="T45" s="125">
        <v>18206367245.279999</v>
      </c>
      <c r="U45" s="125">
        <v>24083632754.720001</v>
      </c>
      <c r="V45" s="126">
        <v>0.4305123491435327</v>
      </c>
      <c r="W45" s="125">
        <v>4007966795.5400004</v>
      </c>
      <c r="X45" s="125">
        <v>14198400449.74</v>
      </c>
      <c r="Y45" s="126">
        <v>0.77985906020987994</v>
      </c>
      <c r="Z45" s="125">
        <v>3937906059.5400004</v>
      </c>
      <c r="AA45" s="125">
        <v>70060736</v>
      </c>
      <c r="AB45" s="720">
        <v>0.21629279506931307</v>
      </c>
    </row>
    <row r="46" spans="1:28" ht="24" customHeight="1">
      <c r="A46" s="32" t="e">
        <v>#REF!</v>
      </c>
      <c r="B46" s="127" t="s">
        <v>377</v>
      </c>
      <c r="C46" s="128" t="s">
        <v>23</v>
      </c>
      <c r="D46" s="128" t="s">
        <v>54</v>
      </c>
      <c r="E46" s="128" t="s">
        <v>54</v>
      </c>
      <c r="F46" s="128"/>
      <c r="G46" s="128"/>
      <c r="H46" s="128"/>
      <c r="I46" s="128"/>
      <c r="J46" s="129"/>
      <c r="K46" s="129"/>
      <c r="L46" s="129" t="s">
        <v>86</v>
      </c>
      <c r="M46" s="130">
        <v>42290000000</v>
      </c>
      <c r="N46" s="721">
        <v>0</v>
      </c>
      <c r="O46" s="721">
        <v>0</v>
      </c>
      <c r="P46" s="726">
        <v>3200000</v>
      </c>
      <c r="Q46" s="726">
        <v>3200000</v>
      </c>
      <c r="R46" s="721">
        <v>0</v>
      </c>
      <c r="S46" s="130">
        <v>42290000000</v>
      </c>
      <c r="T46" s="130">
        <v>18206367245.279999</v>
      </c>
      <c r="U46" s="130">
        <v>24083632754.720001</v>
      </c>
      <c r="V46" s="131">
        <v>0.4305123491435327</v>
      </c>
      <c r="W46" s="130">
        <v>4007966795.5400004</v>
      </c>
      <c r="X46" s="130">
        <v>14198400449.74</v>
      </c>
      <c r="Y46" s="131">
        <v>0.77985906020987994</v>
      </c>
      <c r="Z46" s="130">
        <v>3937906059.5400004</v>
      </c>
      <c r="AA46" s="130">
        <v>70060736</v>
      </c>
      <c r="AB46" s="722">
        <v>0.21629279506931307</v>
      </c>
    </row>
    <row r="47" spans="1:28" ht="24.95" customHeight="1">
      <c r="A47" s="32" t="e">
        <v>#REF!</v>
      </c>
      <c r="B47" s="132" t="s">
        <v>379</v>
      </c>
      <c r="C47" s="133" t="s">
        <v>23</v>
      </c>
      <c r="D47" s="133" t="s">
        <v>54</v>
      </c>
      <c r="E47" s="133" t="s">
        <v>54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87</v>
      </c>
      <c r="M47" s="135">
        <v>979241390</v>
      </c>
      <c r="N47" s="136">
        <v>0</v>
      </c>
      <c r="O47" s="136">
        <v>0</v>
      </c>
      <c r="P47" s="136">
        <v>0</v>
      </c>
      <c r="Q47" s="136">
        <v>0</v>
      </c>
      <c r="R47" s="136">
        <v>0</v>
      </c>
      <c r="S47" s="135">
        <v>979241390</v>
      </c>
      <c r="T47" s="135">
        <v>33910108</v>
      </c>
      <c r="U47" s="135">
        <v>945331282</v>
      </c>
      <c r="V47" s="137">
        <v>3.4628957013346832E-2</v>
      </c>
      <c r="W47" s="135">
        <v>3716105.78</v>
      </c>
      <c r="X47" s="135">
        <v>30194002.219999999</v>
      </c>
      <c r="Y47" s="137">
        <v>0.89041303613659972</v>
      </c>
      <c r="Z47" s="135">
        <v>3716105.78</v>
      </c>
      <c r="AA47" s="135">
        <v>0</v>
      </c>
      <c r="AB47" s="723">
        <v>0.10958696386340025</v>
      </c>
    </row>
    <row r="48" spans="1:28" ht="24.95" customHeight="1">
      <c r="A48" s="32" t="e">
        <v>#REF!</v>
      </c>
      <c r="B48" s="138" t="s">
        <v>381</v>
      </c>
      <c r="C48" s="139" t="s">
        <v>23</v>
      </c>
      <c r="D48" s="139" t="s">
        <v>54</v>
      </c>
      <c r="E48" s="139" t="s">
        <v>54</v>
      </c>
      <c r="F48" s="139" t="s">
        <v>25</v>
      </c>
      <c r="G48" s="139" t="s">
        <v>31</v>
      </c>
      <c r="H48" s="140"/>
      <c r="I48" s="140"/>
      <c r="J48" s="139" t="s">
        <v>28</v>
      </c>
      <c r="K48" s="140" t="s">
        <v>29</v>
      </c>
      <c r="L48" s="140" t="s">
        <v>88</v>
      </c>
      <c r="M48" s="141">
        <v>23000000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1">
        <v>23000000</v>
      </c>
      <c r="T48" s="141">
        <v>0</v>
      </c>
      <c r="U48" s="141">
        <v>23000000</v>
      </c>
      <c r="V48" s="143">
        <v>0</v>
      </c>
      <c r="W48" s="141">
        <v>0</v>
      </c>
      <c r="X48" s="141">
        <v>0</v>
      </c>
      <c r="Y48" s="143">
        <v>0</v>
      </c>
      <c r="Z48" s="141">
        <v>0</v>
      </c>
      <c r="AA48" s="141">
        <v>0</v>
      </c>
      <c r="AB48" s="724">
        <v>0</v>
      </c>
    </row>
    <row r="49" spans="1:28" ht="24.95" customHeight="1">
      <c r="A49" s="32" t="e">
        <v>#REF!</v>
      </c>
      <c r="B49" s="144" t="s">
        <v>555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40</v>
      </c>
      <c r="I49" s="145"/>
      <c r="J49" s="145">
        <v>10</v>
      </c>
      <c r="K49" s="146" t="s">
        <v>29</v>
      </c>
      <c r="L49" s="147" t="s">
        <v>89</v>
      </c>
      <c r="M49" s="148">
        <v>13000000</v>
      </c>
      <c r="N49" s="148"/>
      <c r="O49" s="148"/>
      <c r="P49" s="148"/>
      <c r="Q49" s="148"/>
      <c r="R49" s="148"/>
      <c r="S49" s="148">
        <v>13000000</v>
      </c>
      <c r="T49" s="148">
        <v>0</v>
      </c>
      <c r="U49" s="148">
        <v>13000000</v>
      </c>
      <c r="V49" s="150">
        <v>0</v>
      </c>
      <c r="W49" s="148">
        <v>0</v>
      </c>
      <c r="X49" s="148">
        <v>0</v>
      </c>
      <c r="Y49" s="150">
        <v>0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44" t="s">
        <v>557</v>
      </c>
      <c r="C50" s="145" t="s">
        <v>23</v>
      </c>
      <c r="D50" s="145" t="s">
        <v>54</v>
      </c>
      <c r="E50" s="145" t="s">
        <v>54</v>
      </c>
      <c r="F50" s="145" t="s">
        <v>25</v>
      </c>
      <c r="G50" s="145" t="s">
        <v>31</v>
      </c>
      <c r="H50" s="145" t="s">
        <v>44</v>
      </c>
      <c r="I50" s="145"/>
      <c r="J50" s="145">
        <v>10</v>
      </c>
      <c r="K50" s="146" t="s">
        <v>29</v>
      </c>
      <c r="L50" s="147" t="s">
        <v>90</v>
      </c>
      <c r="M50" s="148">
        <v>10000000</v>
      </c>
      <c r="N50" s="148"/>
      <c r="O50" s="148"/>
      <c r="P50" s="149"/>
      <c r="Q50" s="148"/>
      <c r="R50" s="148"/>
      <c r="S50" s="148">
        <v>10000000</v>
      </c>
      <c r="T50" s="148">
        <v>0</v>
      </c>
      <c r="U50" s="148">
        <v>10000000</v>
      </c>
      <c r="V50" s="150">
        <v>0</v>
      </c>
      <c r="W50" s="148">
        <v>0</v>
      </c>
      <c r="X50" s="148">
        <v>0</v>
      </c>
      <c r="Y50" s="150">
        <v>0</v>
      </c>
      <c r="Z50" s="148">
        <v>0</v>
      </c>
      <c r="AA50" s="148">
        <v>0</v>
      </c>
      <c r="AB50" s="150">
        <v>0</v>
      </c>
    </row>
    <row r="51" spans="1:28" ht="24.95" customHeight="1">
      <c r="A51" s="32" t="e">
        <v>#REF!</v>
      </c>
      <c r="B51" s="138" t="s">
        <v>383</v>
      </c>
      <c r="C51" s="139" t="s">
        <v>23</v>
      </c>
      <c r="D51" s="139" t="s">
        <v>54</v>
      </c>
      <c r="E51" s="139" t="s">
        <v>54</v>
      </c>
      <c r="F51" s="139" t="s">
        <v>25</v>
      </c>
      <c r="G51" s="139" t="s">
        <v>34</v>
      </c>
      <c r="H51" s="140"/>
      <c r="I51" s="140"/>
      <c r="J51" s="139" t="s">
        <v>28</v>
      </c>
      <c r="K51" s="140" t="s">
        <v>29</v>
      </c>
      <c r="L51" s="140" t="s">
        <v>91</v>
      </c>
      <c r="M51" s="141">
        <v>130000000</v>
      </c>
      <c r="N51" s="142">
        <v>0</v>
      </c>
      <c r="O51" s="142">
        <v>0</v>
      </c>
      <c r="P51" s="142">
        <v>0</v>
      </c>
      <c r="Q51" s="142">
        <v>0</v>
      </c>
      <c r="R51" s="142">
        <v>0</v>
      </c>
      <c r="S51" s="141">
        <v>130000000</v>
      </c>
      <c r="T51" s="141">
        <v>0</v>
      </c>
      <c r="U51" s="141">
        <v>130000000</v>
      </c>
      <c r="V51" s="143">
        <v>0</v>
      </c>
      <c r="W51" s="141">
        <v>0</v>
      </c>
      <c r="X51" s="141">
        <v>0</v>
      </c>
      <c r="Y51" s="141">
        <v>0</v>
      </c>
      <c r="Z51" s="141">
        <v>0</v>
      </c>
      <c r="AA51" s="142">
        <v>0</v>
      </c>
      <c r="AB51" s="724">
        <v>0</v>
      </c>
    </row>
    <row r="52" spans="1:28" ht="24.95" customHeight="1">
      <c r="A52" s="32" t="e">
        <v>#REF!</v>
      </c>
      <c r="B52" s="144" t="s">
        <v>559</v>
      </c>
      <c r="C52" s="145" t="s">
        <v>23</v>
      </c>
      <c r="D52" s="145" t="s">
        <v>54</v>
      </c>
      <c r="E52" s="145" t="s">
        <v>54</v>
      </c>
      <c r="F52" s="145" t="s">
        <v>25</v>
      </c>
      <c r="G52" s="145" t="s">
        <v>34</v>
      </c>
      <c r="H52" s="145" t="s">
        <v>46</v>
      </c>
      <c r="I52" s="145"/>
      <c r="J52" s="145">
        <v>10</v>
      </c>
      <c r="K52" s="146" t="s">
        <v>29</v>
      </c>
      <c r="L52" s="147" t="s">
        <v>92</v>
      </c>
      <c r="M52" s="148">
        <v>130000000</v>
      </c>
      <c r="N52" s="148"/>
      <c r="O52" s="148"/>
      <c r="P52" s="148"/>
      <c r="Q52" s="148"/>
      <c r="R52" s="148"/>
      <c r="S52" s="148">
        <v>130000000</v>
      </c>
      <c r="T52" s="148">
        <v>0</v>
      </c>
      <c r="U52" s="148">
        <v>130000000</v>
      </c>
      <c r="V52" s="150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0</v>
      </c>
      <c r="AB52" s="150">
        <v>0</v>
      </c>
    </row>
    <row r="53" spans="1:28" ht="24.95" customHeight="1">
      <c r="A53" s="32" t="e">
        <v>#REF!</v>
      </c>
      <c r="B53" s="138" t="s">
        <v>385</v>
      </c>
      <c r="C53" s="139" t="s">
        <v>23</v>
      </c>
      <c r="D53" s="139" t="s">
        <v>54</v>
      </c>
      <c r="E53" s="139" t="s">
        <v>54</v>
      </c>
      <c r="F53" s="139" t="s">
        <v>25</v>
      </c>
      <c r="G53" s="139" t="s">
        <v>36</v>
      </c>
      <c r="H53" s="140"/>
      <c r="I53" s="140"/>
      <c r="J53" s="139" t="s">
        <v>28</v>
      </c>
      <c r="K53" s="140" t="s">
        <v>29</v>
      </c>
      <c r="L53" s="140" t="s">
        <v>93</v>
      </c>
      <c r="M53" s="141">
        <v>617241390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1">
        <v>617241390</v>
      </c>
      <c r="T53" s="141">
        <v>33910108</v>
      </c>
      <c r="U53" s="141">
        <v>583331282</v>
      </c>
      <c r="V53" s="143">
        <v>5.4938162847439638E-2</v>
      </c>
      <c r="W53" s="141">
        <v>3716105.78</v>
      </c>
      <c r="X53" s="141">
        <v>30194002.219999999</v>
      </c>
      <c r="Y53" s="143">
        <v>0.89041303613659972</v>
      </c>
      <c r="Z53" s="141">
        <v>3716105.78</v>
      </c>
      <c r="AA53" s="142">
        <v>0</v>
      </c>
      <c r="AB53" s="724">
        <v>0.10958696386340025</v>
      </c>
    </row>
    <row r="54" spans="1:28" ht="24.95" customHeight="1">
      <c r="A54" s="32" t="e">
        <v>#REF!</v>
      </c>
      <c r="B54" s="144" t="s">
        <v>561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34</v>
      </c>
      <c r="I54" s="145"/>
      <c r="J54" s="145">
        <v>10</v>
      </c>
      <c r="K54" s="146" t="s">
        <v>29</v>
      </c>
      <c r="L54" s="147" t="s">
        <v>94</v>
      </c>
      <c r="M54" s="148">
        <v>245100000</v>
      </c>
      <c r="N54" s="148"/>
      <c r="O54" s="148"/>
      <c r="P54" s="148"/>
      <c r="Q54" s="148"/>
      <c r="R54" s="148"/>
      <c r="S54" s="148">
        <v>245100000</v>
      </c>
      <c r="T54" s="148">
        <v>300000</v>
      </c>
      <c r="U54" s="148">
        <v>244800000</v>
      </c>
      <c r="V54" s="150">
        <v>1.2239902080783353E-3</v>
      </c>
      <c r="W54" s="148">
        <v>300000</v>
      </c>
      <c r="X54" s="148">
        <v>0</v>
      </c>
      <c r="Y54" s="150">
        <v>0</v>
      </c>
      <c r="Z54" s="148">
        <v>300000</v>
      </c>
      <c r="AA54" s="148">
        <v>0</v>
      </c>
      <c r="AB54" s="150">
        <v>1</v>
      </c>
    </row>
    <row r="55" spans="1:28" ht="24.95" customHeight="1">
      <c r="A55" s="32" t="e">
        <v>#REF!</v>
      </c>
      <c r="B55" s="144" t="s">
        <v>563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36</v>
      </c>
      <c r="I55" s="145"/>
      <c r="J55" s="145">
        <v>10</v>
      </c>
      <c r="K55" s="146" t="s">
        <v>29</v>
      </c>
      <c r="L55" s="147" t="s">
        <v>95</v>
      </c>
      <c r="M55" s="148">
        <v>57946108</v>
      </c>
      <c r="N55" s="148"/>
      <c r="O55" s="148"/>
      <c r="P55" s="148"/>
      <c r="Q55" s="148"/>
      <c r="R55" s="148"/>
      <c r="S55" s="148">
        <v>57946108</v>
      </c>
      <c r="T55" s="148">
        <v>33610108</v>
      </c>
      <c r="U55" s="148">
        <v>24336000</v>
      </c>
      <c r="V55" s="150">
        <v>0.58002356258335763</v>
      </c>
      <c r="W55" s="148">
        <v>3416105.78</v>
      </c>
      <c r="X55" s="148">
        <v>30194002.219999999</v>
      </c>
      <c r="Y55" s="150">
        <v>0.89836076158993594</v>
      </c>
      <c r="Z55" s="148">
        <v>3416105.78</v>
      </c>
      <c r="AA55" s="148">
        <v>0</v>
      </c>
      <c r="AB55" s="150">
        <v>0.10163923841006402</v>
      </c>
    </row>
    <row r="56" spans="1:28" ht="24.95" customHeight="1">
      <c r="A56" s="32" t="e">
        <v>#REF!</v>
      </c>
      <c r="B56" s="144" t="s">
        <v>565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40</v>
      </c>
      <c r="I56" s="145"/>
      <c r="J56" s="145">
        <v>10</v>
      </c>
      <c r="K56" s="146" t="s">
        <v>29</v>
      </c>
      <c r="L56" s="147" t="s">
        <v>96</v>
      </c>
      <c r="M56" s="148">
        <v>47000000</v>
      </c>
      <c r="N56" s="148"/>
      <c r="O56" s="148"/>
      <c r="P56" s="148"/>
      <c r="Q56" s="148"/>
      <c r="R56" s="148"/>
      <c r="S56" s="148">
        <v>47000000</v>
      </c>
      <c r="T56" s="148">
        <v>0</v>
      </c>
      <c r="U56" s="148">
        <v>47000000</v>
      </c>
      <c r="V56" s="150">
        <v>0</v>
      </c>
      <c r="W56" s="148">
        <v>0</v>
      </c>
      <c r="X56" s="148">
        <v>0</v>
      </c>
      <c r="Y56" s="150">
        <v>0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44" t="s">
        <v>567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42</v>
      </c>
      <c r="I57" s="145"/>
      <c r="J57" s="145">
        <v>10</v>
      </c>
      <c r="K57" s="146" t="s">
        <v>29</v>
      </c>
      <c r="L57" s="147" t="s">
        <v>97</v>
      </c>
      <c r="M57" s="148">
        <v>123000000</v>
      </c>
      <c r="N57" s="148"/>
      <c r="O57" s="148"/>
      <c r="P57" s="148"/>
      <c r="Q57" s="148"/>
      <c r="R57" s="148"/>
      <c r="S57" s="148">
        <v>123000000</v>
      </c>
      <c r="T57" s="148">
        <v>0</v>
      </c>
      <c r="U57" s="148">
        <v>123000000</v>
      </c>
      <c r="V57" s="150">
        <v>0</v>
      </c>
      <c r="W57" s="148">
        <v>0</v>
      </c>
      <c r="X57" s="148">
        <v>0</v>
      </c>
      <c r="Y57" s="150">
        <v>0</v>
      </c>
      <c r="Z57" s="148">
        <v>0</v>
      </c>
      <c r="AA57" s="148">
        <v>0</v>
      </c>
      <c r="AB57" s="150">
        <v>0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144195282</v>
      </c>
      <c r="N58" s="148"/>
      <c r="O58" s="148"/>
      <c r="P58" s="148"/>
      <c r="Q58" s="148"/>
      <c r="R58" s="148"/>
      <c r="S58" s="148">
        <v>144195282</v>
      </c>
      <c r="T58" s="148">
        <v>0</v>
      </c>
      <c r="U58" s="148">
        <v>144195282</v>
      </c>
      <c r="V58" s="150">
        <v>0</v>
      </c>
      <c r="W58" s="148">
        <v>0</v>
      </c>
      <c r="X58" s="148">
        <v>0</v>
      </c>
      <c r="Y58" s="150">
        <v>0</v>
      </c>
      <c r="Z58" s="148">
        <v>0</v>
      </c>
      <c r="AA58" s="148">
        <v>0</v>
      </c>
      <c r="AB58" s="150">
        <v>0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209000000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  <c r="S59" s="141">
        <v>209000000</v>
      </c>
      <c r="T59" s="141">
        <v>0</v>
      </c>
      <c r="U59" s="141">
        <v>209000000</v>
      </c>
      <c r="V59" s="143">
        <v>0</v>
      </c>
      <c r="W59" s="141">
        <v>0</v>
      </c>
      <c r="X59" s="141">
        <v>0</v>
      </c>
      <c r="Y59" s="143">
        <v>0</v>
      </c>
      <c r="Z59" s="141">
        <v>0</v>
      </c>
      <c r="AA59" s="142">
        <v>0</v>
      </c>
      <c r="AB59" s="724">
        <v>0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>
        <v>28000000</v>
      </c>
      <c r="N60" s="148"/>
      <c r="O60" s="148"/>
      <c r="P60" s="149"/>
      <c r="Q60" s="148"/>
      <c r="R60" s="148"/>
      <c r="S60" s="148">
        <v>28000000</v>
      </c>
      <c r="T60" s="148">
        <v>0</v>
      </c>
      <c r="U60" s="148">
        <v>28000000</v>
      </c>
      <c r="V60" s="150">
        <v>0</v>
      </c>
      <c r="W60" s="148">
        <v>0</v>
      </c>
      <c r="X60" s="148">
        <v>0</v>
      </c>
      <c r="Y60" s="150">
        <v>0</v>
      </c>
      <c r="Z60" s="148">
        <v>0</v>
      </c>
      <c r="AA60" s="148">
        <v>0</v>
      </c>
      <c r="AB60" s="150">
        <v>0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/>
      <c r="R61" s="148"/>
      <c r="S61" s="148">
        <v>10000000</v>
      </c>
      <c r="T61" s="148">
        <v>0</v>
      </c>
      <c r="U61" s="148">
        <v>10000000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108000000</v>
      </c>
      <c r="N62" s="148"/>
      <c r="O62" s="148"/>
      <c r="P62" s="148"/>
      <c r="Q62" s="148"/>
      <c r="R62" s="148"/>
      <c r="S62" s="148">
        <v>108000000</v>
      </c>
      <c r="T62" s="148">
        <v>0</v>
      </c>
      <c r="U62" s="148">
        <v>108000000</v>
      </c>
      <c r="V62" s="150">
        <v>0</v>
      </c>
      <c r="W62" s="148">
        <v>0</v>
      </c>
      <c r="X62" s="148">
        <v>0</v>
      </c>
      <c r="Y62" s="150">
        <v>0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63000000</v>
      </c>
      <c r="N63" s="148"/>
      <c r="O63" s="148"/>
      <c r="P63" s="149"/>
      <c r="Q63" s="148"/>
      <c r="R63" s="148"/>
      <c r="S63" s="148">
        <v>63000000</v>
      </c>
      <c r="T63" s="148">
        <v>0</v>
      </c>
      <c r="U63" s="148">
        <v>63000000</v>
      </c>
      <c r="V63" s="150">
        <v>0</v>
      </c>
      <c r="W63" s="148">
        <v>0</v>
      </c>
      <c r="X63" s="148">
        <v>0</v>
      </c>
      <c r="Y63" s="150">
        <v>0</v>
      </c>
      <c r="Z63" s="148">
        <v>0</v>
      </c>
      <c r="AA63" s="148">
        <v>0</v>
      </c>
      <c r="AB63" s="150">
        <v>0</v>
      </c>
    </row>
    <row r="64" spans="1:28" ht="24.95" customHeight="1">
      <c r="A64" s="32" t="e">
        <v>#REF!</v>
      </c>
      <c r="B64" s="132" t="s">
        <v>389</v>
      </c>
      <c r="C64" s="133" t="s">
        <v>23</v>
      </c>
      <c r="D64" s="133" t="s">
        <v>54</v>
      </c>
      <c r="E64" s="133" t="s">
        <v>54</v>
      </c>
      <c r="F64" s="133" t="s">
        <v>54</v>
      </c>
      <c r="G64" s="133"/>
      <c r="H64" s="134"/>
      <c r="I64" s="134"/>
      <c r="J64" s="133" t="s">
        <v>28</v>
      </c>
      <c r="K64" s="134" t="s">
        <v>29</v>
      </c>
      <c r="L64" s="134" t="s">
        <v>103</v>
      </c>
      <c r="M64" s="135">
        <v>41310758610</v>
      </c>
      <c r="N64" s="136">
        <v>0</v>
      </c>
      <c r="O64" s="136">
        <v>0</v>
      </c>
      <c r="P64" s="727">
        <v>3200000</v>
      </c>
      <c r="Q64" s="727">
        <v>3200000</v>
      </c>
      <c r="R64" s="136">
        <v>0</v>
      </c>
      <c r="S64" s="135">
        <v>41310758610</v>
      </c>
      <c r="T64" s="135">
        <v>18172457137.279999</v>
      </c>
      <c r="U64" s="135">
        <v>23138301472.720001</v>
      </c>
      <c r="V64" s="137">
        <v>0.43989647609330113</v>
      </c>
      <c r="W64" s="135">
        <v>4004250689.7600002</v>
      </c>
      <c r="X64" s="135">
        <v>14168206447.52</v>
      </c>
      <c r="Y64" s="137">
        <v>0.77965276464758015</v>
      </c>
      <c r="Z64" s="135">
        <v>3934189953.7600002</v>
      </c>
      <c r="AA64" s="135">
        <v>70060736</v>
      </c>
      <c r="AB64" s="723">
        <v>0.21649190992940531</v>
      </c>
    </row>
    <row r="65" spans="1:28" ht="31.5" customHeight="1">
      <c r="A65" s="32" t="e">
        <v>#REF!</v>
      </c>
      <c r="B65" s="138" t="s">
        <v>391</v>
      </c>
      <c r="C65" s="139" t="s">
        <v>23</v>
      </c>
      <c r="D65" s="139" t="s">
        <v>54</v>
      </c>
      <c r="E65" s="139" t="s">
        <v>54</v>
      </c>
      <c r="F65" s="139" t="s">
        <v>54</v>
      </c>
      <c r="G65" s="139" t="s">
        <v>42</v>
      </c>
      <c r="H65" s="140"/>
      <c r="I65" s="140"/>
      <c r="J65" s="139" t="s">
        <v>28</v>
      </c>
      <c r="K65" s="140" t="s">
        <v>29</v>
      </c>
      <c r="L65" s="140" t="s">
        <v>104</v>
      </c>
      <c r="M65" s="141">
        <v>6238453772</v>
      </c>
      <c r="N65" s="142">
        <v>0</v>
      </c>
      <c r="O65" s="142">
        <v>0</v>
      </c>
      <c r="P65" s="142">
        <v>0</v>
      </c>
      <c r="Q65" s="142">
        <v>0</v>
      </c>
      <c r="R65" s="142">
        <v>0</v>
      </c>
      <c r="S65" s="141">
        <v>6238453772</v>
      </c>
      <c r="T65" s="141">
        <v>4184174403</v>
      </c>
      <c r="U65" s="141">
        <v>2054279369</v>
      </c>
      <c r="V65" s="143">
        <v>0.67070696616841097</v>
      </c>
      <c r="W65" s="141">
        <v>590423259.63</v>
      </c>
      <c r="X65" s="141">
        <v>3593751143.3699999</v>
      </c>
      <c r="Y65" s="143">
        <v>0.85889133607655688</v>
      </c>
      <c r="Z65" s="141">
        <v>585118370.63</v>
      </c>
      <c r="AA65" s="141">
        <v>5304889</v>
      </c>
      <c r="AB65" s="724">
        <v>0.13984081787089886</v>
      </c>
    </row>
    <row r="66" spans="1:28" ht="24.95" customHeight="1">
      <c r="A66" s="32" t="e">
        <v>#REF!</v>
      </c>
      <c r="B66" s="144" t="s">
        <v>583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36</v>
      </c>
      <c r="I66" s="145"/>
      <c r="J66" s="145">
        <v>10</v>
      </c>
      <c r="K66" s="146" t="s">
        <v>29</v>
      </c>
      <c r="L66" s="147" t="s">
        <v>105</v>
      </c>
      <c r="M66" s="148">
        <v>120448180</v>
      </c>
      <c r="N66" s="148"/>
      <c r="O66" s="148"/>
      <c r="P66" s="148"/>
      <c r="Q66" s="148"/>
      <c r="R66" s="148"/>
      <c r="S66" s="148">
        <v>120448180</v>
      </c>
      <c r="T66" s="148">
        <v>54502607</v>
      </c>
      <c r="U66" s="148">
        <v>65945573</v>
      </c>
      <c r="V66" s="150">
        <v>0.45249838561280048</v>
      </c>
      <c r="W66" s="148">
        <v>3681782</v>
      </c>
      <c r="X66" s="148">
        <v>50820825</v>
      </c>
      <c r="Y66" s="150">
        <v>0.93244759833231461</v>
      </c>
      <c r="Z66" s="148">
        <v>3681782</v>
      </c>
      <c r="AA66" s="148">
        <v>0</v>
      </c>
      <c r="AB66" s="150">
        <v>6.7552401667685363E-2</v>
      </c>
    </row>
    <row r="67" spans="1:28" ht="24.95" customHeight="1">
      <c r="A67" s="32" t="e">
        <v>#REF!</v>
      </c>
      <c r="B67" s="144" t="s">
        <v>585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38</v>
      </c>
      <c r="I67" s="145"/>
      <c r="J67" s="145">
        <v>10</v>
      </c>
      <c r="K67" s="146" t="s">
        <v>29</v>
      </c>
      <c r="L67" s="147" t="s">
        <v>106</v>
      </c>
      <c r="M67" s="148">
        <v>2721505592</v>
      </c>
      <c r="N67" s="148"/>
      <c r="O67" s="148"/>
      <c r="P67" s="148"/>
      <c r="Q67" s="148"/>
      <c r="R67" s="148"/>
      <c r="S67" s="148">
        <v>2721505592</v>
      </c>
      <c r="T67" s="148">
        <v>1793700591</v>
      </c>
      <c r="U67" s="148">
        <v>927805001</v>
      </c>
      <c r="V67" s="150">
        <v>0.65908392629163481</v>
      </c>
      <c r="W67" s="148">
        <v>417502746</v>
      </c>
      <c r="X67" s="148">
        <v>1376197845</v>
      </c>
      <c r="Y67" s="150">
        <v>0.76723944447872461</v>
      </c>
      <c r="Z67" s="148">
        <v>417502746</v>
      </c>
      <c r="AA67" s="148">
        <v>0</v>
      </c>
      <c r="AB67" s="150">
        <v>0.23276055552127539</v>
      </c>
    </row>
    <row r="68" spans="1:28" ht="24.95" customHeight="1">
      <c r="A68" s="32" t="e">
        <v>#REF!</v>
      </c>
      <c r="B68" s="144" t="s">
        <v>587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40</v>
      </c>
      <c r="I68" s="145"/>
      <c r="J68" s="145">
        <v>10</v>
      </c>
      <c r="K68" s="146" t="s">
        <v>29</v>
      </c>
      <c r="L68" s="147" t="s">
        <v>107</v>
      </c>
      <c r="M68" s="148">
        <v>50000000</v>
      </c>
      <c r="N68" s="148"/>
      <c r="O68" s="148"/>
      <c r="P68" s="148"/>
      <c r="Q68" s="148"/>
      <c r="R68" s="148"/>
      <c r="S68" s="148">
        <v>50000000</v>
      </c>
      <c r="T68" s="148">
        <v>0</v>
      </c>
      <c r="U68" s="148">
        <v>50000000</v>
      </c>
      <c r="V68" s="150">
        <v>0</v>
      </c>
      <c r="W68" s="148">
        <v>0</v>
      </c>
      <c r="X68" s="148">
        <v>0</v>
      </c>
      <c r="Y68" s="150">
        <v>0</v>
      </c>
      <c r="Z68" s="148">
        <v>0</v>
      </c>
      <c r="AA68" s="148">
        <v>0</v>
      </c>
      <c r="AB68" s="150">
        <v>0</v>
      </c>
    </row>
    <row r="69" spans="1:28" ht="24.95" customHeight="1">
      <c r="A69" s="32" t="e">
        <v>#REF!</v>
      </c>
      <c r="B69" s="144" t="s">
        <v>591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46</v>
      </c>
      <c r="I69" s="145"/>
      <c r="J69" s="145">
        <v>10</v>
      </c>
      <c r="K69" s="146" t="s">
        <v>29</v>
      </c>
      <c r="L69" s="147" t="s">
        <v>108</v>
      </c>
      <c r="M69" s="148">
        <v>2216500000</v>
      </c>
      <c r="N69" s="148"/>
      <c r="O69" s="148"/>
      <c r="P69" s="148"/>
      <c r="Q69" s="148"/>
      <c r="R69" s="148"/>
      <c r="S69" s="148">
        <v>2216500000</v>
      </c>
      <c r="T69" s="148">
        <v>2163500000</v>
      </c>
      <c r="U69" s="148">
        <v>53000000</v>
      </c>
      <c r="V69" s="150">
        <v>0.97608842770133097</v>
      </c>
      <c r="W69" s="148">
        <v>500000</v>
      </c>
      <c r="X69" s="148">
        <v>2163000000</v>
      </c>
      <c r="Y69" s="150">
        <v>0.99976889299745786</v>
      </c>
      <c r="Z69" s="148">
        <v>500000</v>
      </c>
      <c r="AA69" s="148">
        <v>0</v>
      </c>
      <c r="AB69" s="150">
        <v>2.3110700254217703E-4</v>
      </c>
    </row>
    <row r="70" spans="1:28" ht="24.95" customHeight="1">
      <c r="A70" s="32" t="e">
        <v>#REF!</v>
      </c>
      <c r="B70" s="144" t="s">
        <v>593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48</v>
      </c>
      <c r="I70" s="145"/>
      <c r="J70" s="145">
        <v>10</v>
      </c>
      <c r="K70" s="146" t="s">
        <v>29</v>
      </c>
      <c r="L70" s="147" t="s">
        <v>109</v>
      </c>
      <c r="M70" s="148">
        <v>1130000000</v>
      </c>
      <c r="N70" s="148"/>
      <c r="O70" s="148"/>
      <c r="P70" s="148"/>
      <c r="Q70" s="148"/>
      <c r="R70" s="148"/>
      <c r="S70" s="148">
        <v>1130000000</v>
      </c>
      <c r="T70" s="148">
        <v>172471205</v>
      </c>
      <c r="U70" s="148">
        <v>957528795</v>
      </c>
      <c r="V70" s="150">
        <v>0.15262938495575221</v>
      </c>
      <c r="W70" s="148">
        <v>168738731.63</v>
      </c>
      <c r="X70" s="148">
        <v>3732473.3700000048</v>
      </c>
      <c r="Y70" s="150">
        <v>2.1641139284670763E-2</v>
      </c>
      <c r="Z70" s="148">
        <v>163433842.63</v>
      </c>
      <c r="AA70" s="148">
        <v>5304889</v>
      </c>
      <c r="AB70" s="150">
        <v>0.94760074662898075</v>
      </c>
    </row>
    <row r="71" spans="1:28" ht="24.95" customHeight="1">
      <c r="A71" s="32" t="e">
        <v>#REF!</v>
      </c>
      <c r="B71" s="138" t="s">
        <v>393</v>
      </c>
      <c r="C71" s="139" t="s">
        <v>23</v>
      </c>
      <c r="D71" s="139" t="s">
        <v>54</v>
      </c>
      <c r="E71" s="139" t="s">
        <v>54</v>
      </c>
      <c r="F71" s="139" t="s">
        <v>54</v>
      </c>
      <c r="G71" s="139" t="s">
        <v>44</v>
      </c>
      <c r="H71" s="140"/>
      <c r="I71" s="140"/>
      <c r="J71" s="139" t="s">
        <v>28</v>
      </c>
      <c r="K71" s="140" t="s">
        <v>29</v>
      </c>
      <c r="L71" s="140" t="s">
        <v>110</v>
      </c>
      <c r="M71" s="141">
        <v>15484127230</v>
      </c>
      <c r="N71" s="142">
        <v>0</v>
      </c>
      <c r="O71" s="142">
        <v>0</v>
      </c>
      <c r="P71" s="141">
        <v>3200000</v>
      </c>
      <c r="Q71" s="142">
        <v>0</v>
      </c>
      <c r="R71" s="142">
        <v>0</v>
      </c>
      <c r="S71" s="141">
        <v>15487327230</v>
      </c>
      <c r="T71" s="141">
        <v>7418972042</v>
      </c>
      <c r="U71" s="141">
        <v>8068355188</v>
      </c>
      <c r="V71" s="143">
        <v>0.47903501565001799</v>
      </c>
      <c r="W71" s="141">
        <v>2432387130</v>
      </c>
      <c r="X71" s="141">
        <v>4986584912</v>
      </c>
      <c r="Y71" s="143">
        <v>0.67213960152028296</v>
      </c>
      <c r="Z71" s="141">
        <v>2432180430</v>
      </c>
      <c r="AA71" s="141">
        <v>206700</v>
      </c>
      <c r="AB71" s="724">
        <v>0.32783253747702962</v>
      </c>
    </row>
    <row r="72" spans="1:28" ht="24.95" customHeight="1">
      <c r="A72" s="32" t="e">
        <v>#REF!</v>
      </c>
      <c r="B72" s="144" t="s">
        <v>595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31</v>
      </c>
      <c r="I72" s="145"/>
      <c r="J72" s="145">
        <v>10</v>
      </c>
      <c r="K72" s="146" t="s">
        <v>29</v>
      </c>
      <c r="L72" s="147" t="s">
        <v>111</v>
      </c>
      <c r="M72" s="148">
        <v>260000000</v>
      </c>
      <c r="N72" s="148"/>
      <c r="O72" s="148"/>
      <c r="P72" s="148">
        <v>3200000</v>
      </c>
      <c r="Q72" s="148"/>
      <c r="R72" s="148"/>
      <c r="S72" s="148">
        <v>263200000</v>
      </c>
      <c r="T72" s="148">
        <v>13084824</v>
      </c>
      <c r="U72" s="148">
        <v>250115176</v>
      </c>
      <c r="V72" s="150">
        <v>4.9714376899696051E-2</v>
      </c>
      <c r="W72" s="148">
        <v>206700</v>
      </c>
      <c r="X72" s="148">
        <v>12878124</v>
      </c>
      <c r="Y72" s="150">
        <v>0.98420307372877158</v>
      </c>
      <c r="Z72" s="148">
        <v>0</v>
      </c>
      <c r="AA72" s="148">
        <v>206700</v>
      </c>
      <c r="AB72" s="150">
        <v>0</v>
      </c>
    </row>
    <row r="73" spans="1:28" ht="24.95" customHeight="1">
      <c r="A73" s="32" t="e">
        <v>#REF!</v>
      </c>
      <c r="B73" s="144" t="s">
        <v>597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44</v>
      </c>
      <c r="H73" s="145" t="s">
        <v>34</v>
      </c>
      <c r="I73" s="145"/>
      <c r="J73" s="145">
        <v>10</v>
      </c>
      <c r="K73" s="146" t="s">
        <v>29</v>
      </c>
      <c r="L73" s="147" t="s">
        <v>112</v>
      </c>
      <c r="M73" s="148">
        <v>15224127230</v>
      </c>
      <c r="N73" s="148"/>
      <c r="O73" s="148"/>
      <c r="P73" s="148"/>
      <c r="Q73" s="148"/>
      <c r="R73" s="148"/>
      <c r="S73" s="148">
        <v>15224127230</v>
      </c>
      <c r="T73" s="148">
        <v>7405887218</v>
      </c>
      <c r="U73" s="148">
        <v>7818240012</v>
      </c>
      <c r="V73" s="150">
        <v>0.48645725998704753</v>
      </c>
      <c r="W73" s="148">
        <v>2432180430</v>
      </c>
      <c r="X73" s="148">
        <v>4973706788</v>
      </c>
      <c r="Y73" s="150">
        <v>0.6715882434600694</v>
      </c>
      <c r="Z73" s="148">
        <v>2432180430</v>
      </c>
      <c r="AA73" s="148">
        <v>0</v>
      </c>
      <c r="AB73" s="150">
        <v>0.3284117565399306</v>
      </c>
    </row>
    <row r="74" spans="1:28" ht="24.95" customHeight="1">
      <c r="A74" s="32" t="e">
        <v>#REF!</v>
      </c>
      <c r="B74" s="138" t="s">
        <v>395</v>
      </c>
      <c r="C74" s="139" t="s">
        <v>23</v>
      </c>
      <c r="D74" s="139" t="s">
        <v>54</v>
      </c>
      <c r="E74" s="139" t="s">
        <v>54</v>
      </c>
      <c r="F74" s="139" t="s">
        <v>54</v>
      </c>
      <c r="G74" s="139" t="s">
        <v>46</v>
      </c>
      <c r="H74" s="140"/>
      <c r="I74" s="140"/>
      <c r="J74" s="139" t="s">
        <v>28</v>
      </c>
      <c r="K74" s="140" t="s">
        <v>29</v>
      </c>
      <c r="L74" s="140" t="s">
        <v>113</v>
      </c>
      <c r="M74" s="141">
        <v>15733677608</v>
      </c>
      <c r="N74" s="142">
        <v>0</v>
      </c>
      <c r="O74" s="142">
        <v>0</v>
      </c>
      <c r="P74" s="142">
        <v>0</v>
      </c>
      <c r="Q74" s="141">
        <v>3200000</v>
      </c>
      <c r="R74" s="142">
        <v>0</v>
      </c>
      <c r="S74" s="141">
        <v>15730477608</v>
      </c>
      <c r="T74" s="141">
        <v>6265250016.2799997</v>
      </c>
      <c r="U74" s="141">
        <v>9465227591.7200012</v>
      </c>
      <c r="V74" s="143">
        <v>0.39828733573185987</v>
      </c>
      <c r="W74" s="141">
        <v>938387313.84000003</v>
      </c>
      <c r="X74" s="141">
        <v>5326862702.4400005</v>
      </c>
      <c r="Y74" s="143">
        <v>0.85022348487264876</v>
      </c>
      <c r="Z74" s="141">
        <v>874323537.84000003</v>
      </c>
      <c r="AA74" s="141">
        <v>64063776</v>
      </c>
      <c r="AB74" s="724">
        <v>0.13955126061499629</v>
      </c>
    </row>
    <row r="75" spans="1:28" ht="24.95" customHeight="1">
      <c r="A75" s="32" t="e">
        <v>#REF!</v>
      </c>
      <c r="B75" s="144" t="s">
        <v>599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34</v>
      </c>
      <c r="I75" s="145"/>
      <c r="J75" s="145">
        <v>10</v>
      </c>
      <c r="K75" s="146" t="s">
        <v>29</v>
      </c>
      <c r="L75" s="147" t="s">
        <v>114</v>
      </c>
      <c r="M75" s="148">
        <v>50358513</v>
      </c>
      <c r="N75" s="148"/>
      <c r="O75" s="148"/>
      <c r="P75" s="148"/>
      <c r="Q75" s="148"/>
      <c r="R75" s="148"/>
      <c r="S75" s="148">
        <v>50358513</v>
      </c>
      <c r="T75" s="148">
        <v>0</v>
      </c>
      <c r="U75" s="148">
        <v>50358513</v>
      </c>
      <c r="V75" s="150">
        <v>0</v>
      </c>
      <c r="W75" s="148">
        <v>0</v>
      </c>
      <c r="X75" s="148">
        <v>0</v>
      </c>
      <c r="Y75" s="150">
        <v>0</v>
      </c>
      <c r="Z75" s="148">
        <v>0</v>
      </c>
      <c r="AA75" s="148">
        <v>0</v>
      </c>
      <c r="AB75" s="150">
        <v>0</v>
      </c>
    </row>
    <row r="76" spans="1:28" ht="24.95" customHeight="1">
      <c r="A76" s="32" t="e">
        <v>#REF!</v>
      </c>
      <c r="B76" s="144" t="s">
        <v>601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36</v>
      </c>
      <c r="I76" s="145"/>
      <c r="J76" s="145">
        <v>10</v>
      </c>
      <c r="K76" s="146" t="s">
        <v>29</v>
      </c>
      <c r="L76" s="147" t="s">
        <v>115</v>
      </c>
      <c r="M76" s="148">
        <v>6350236530</v>
      </c>
      <c r="N76" s="148"/>
      <c r="O76" s="148"/>
      <c r="P76" s="148"/>
      <c r="Q76" s="148"/>
      <c r="R76" s="148"/>
      <c r="S76" s="148">
        <v>6350236530</v>
      </c>
      <c r="T76" s="148">
        <v>1922021167</v>
      </c>
      <c r="U76" s="148">
        <v>4428215363</v>
      </c>
      <c r="V76" s="150">
        <v>0.30266922466902191</v>
      </c>
      <c r="W76" s="148">
        <v>154065077</v>
      </c>
      <c r="X76" s="148">
        <v>1767956090</v>
      </c>
      <c r="Y76" s="150">
        <v>0.91984215385074375</v>
      </c>
      <c r="Z76" s="148">
        <v>90717420</v>
      </c>
      <c r="AA76" s="148">
        <v>63347657</v>
      </c>
      <c r="AB76" s="150">
        <v>4.7198970311860253E-2</v>
      </c>
    </row>
    <row r="77" spans="1:28" ht="24.95" customHeight="1">
      <c r="A77" s="32" t="e">
        <v>#REF!</v>
      </c>
      <c r="B77" s="144" t="s">
        <v>603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38</v>
      </c>
      <c r="I77" s="145"/>
      <c r="J77" s="145">
        <v>10</v>
      </c>
      <c r="K77" s="146" t="s">
        <v>29</v>
      </c>
      <c r="L77" s="147" t="s">
        <v>116</v>
      </c>
      <c r="M77" s="148">
        <v>2503588821</v>
      </c>
      <c r="N77" s="148"/>
      <c r="O77" s="148"/>
      <c r="P77" s="148"/>
      <c r="Q77" s="148"/>
      <c r="R77" s="148"/>
      <c r="S77" s="148">
        <v>2503588821</v>
      </c>
      <c r="T77" s="148">
        <v>462587538.89999998</v>
      </c>
      <c r="U77" s="148">
        <v>2041001282.0999999</v>
      </c>
      <c r="V77" s="150">
        <v>0.18476977330296201</v>
      </c>
      <c r="W77" s="148">
        <v>321770516.18000001</v>
      </c>
      <c r="X77" s="148">
        <v>140817022.71999997</v>
      </c>
      <c r="Y77" s="150">
        <v>0.30441162132221017</v>
      </c>
      <c r="Z77" s="148">
        <v>321054397.18000001</v>
      </c>
      <c r="AA77" s="148">
        <v>716119</v>
      </c>
      <c r="AB77" s="150">
        <v>0.69404030628115132</v>
      </c>
    </row>
    <row r="78" spans="1:28" ht="24.95" customHeight="1">
      <c r="A78" s="32" t="e">
        <v>#REF!</v>
      </c>
      <c r="B78" s="144" t="s">
        <v>605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40</v>
      </c>
      <c r="I78" s="145"/>
      <c r="J78" s="145">
        <v>10</v>
      </c>
      <c r="K78" s="146" t="s">
        <v>29</v>
      </c>
      <c r="L78" s="147" t="s">
        <v>117</v>
      </c>
      <c r="M78" s="148">
        <v>5781495027</v>
      </c>
      <c r="N78" s="148"/>
      <c r="O78" s="148"/>
      <c r="P78" s="148"/>
      <c r="Q78" s="148">
        <v>3200000</v>
      </c>
      <c r="R78" s="148"/>
      <c r="S78" s="148">
        <v>5778295027</v>
      </c>
      <c r="T78" s="148">
        <v>3669679314.3299999</v>
      </c>
      <c r="U78" s="148">
        <v>2108615712.6700001</v>
      </c>
      <c r="V78" s="150">
        <v>0.63507994956692959</v>
      </c>
      <c r="W78" s="148">
        <v>442287539.32999998</v>
      </c>
      <c r="X78" s="148">
        <v>3227391775</v>
      </c>
      <c r="Y78" s="150">
        <v>0.87947515260996267</v>
      </c>
      <c r="Z78" s="148">
        <v>442287539.32999998</v>
      </c>
      <c r="AA78" s="148">
        <v>0</v>
      </c>
      <c r="AB78" s="150">
        <v>0.12052484739003731</v>
      </c>
    </row>
    <row r="79" spans="1:28" ht="24.95" customHeight="1">
      <c r="A79" s="32" t="e">
        <v>#REF!</v>
      </c>
      <c r="B79" s="144" t="s">
        <v>607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44</v>
      </c>
      <c r="I79" s="145"/>
      <c r="J79" s="145">
        <v>10</v>
      </c>
      <c r="K79" s="146" t="s">
        <v>29</v>
      </c>
      <c r="L79" s="147" t="s">
        <v>118</v>
      </c>
      <c r="M79" s="148">
        <v>729998717</v>
      </c>
      <c r="N79" s="148"/>
      <c r="O79" s="148"/>
      <c r="P79" s="148"/>
      <c r="Q79" s="149"/>
      <c r="R79" s="148"/>
      <c r="S79" s="148">
        <v>729998717</v>
      </c>
      <c r="T79" s="148">
        <v>68961996.049999997</v>
      </c>
      <c r="U79" s="148">
        <v>661036720.95000005</v>
      </c>
      <c r="V79" s="150">
        <v>9.4468653771620253E-2</v>
      </c>
      <c r="W79" s="148">
        <v>18264181.329999998</v>
      </c>
      <c r="X79" s="148">
        <v>50697814.719999999</v>
      </c>
      <c r="Y79" s="150">
        <v>0.73515584849432447</v>
      </c>
      <c r="Z79" s="148">
        <v>18264181.329999998</v>
      </c>
      <c r="AA79" s="148">
        <v>0</v>
      </c>
      <c r="AB79" s="150">
        <v>0.26484415150567553</v>
      </c>
    </row>
    <row r="80" spans="1:28" ht="24.95" customHeight="1">
      <c r="A80" s="32" t="e">
        <v>#REF!</v>
      </c>
      <c r="B80" s="144" t="s">
        <v>609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48</v>
      </c>
      <c r="I80" s="145"/>
      <c r="J80" s="145">
        <v>10</v>
      </c>
      <c r="K80" s="146" t="s">
        <v>29</v>
      </c>
      <c r="L80" s="147" t="s">
        <v>119</v>
      </c>
      <c r="M80" s="148">
        <v>318000000</v>
      </c>
      <c r="N80" s="148"/>
      <c r="O80" s="148"/>
      <c r="P80" s="148"/>
      <c r="Q80" s="148"/>
      <c r="R80" s="148"/>
      <c r="S80" s="148">
        <v>318000000</v>
      </c>
      <c r="T80" s="148">
        <v>142000000</v>
      </c>
      <c r="U80" s="148">
        <v>176000000</v>
      </c>
      <c r="V80" s="150">
        <v>0.44654088050314467</v>
      </c>
      <c r="W80" s="148">
        <v>2000000</v>
      </c>
      <c r="X80" s="148">
        <v>140000000</v>
      </c>
      <c r="Y80" s="150">
        <v>0.9859154929577465</v>
      </c>
      <c r="Z80" s="148">
        <v>2000000</v>
      </c>
      <c r="AA80" s="148">
        <v>0</v>
      </c>
      <c r="AB80" s="150">
        <v>1.4084507042253521E-2</v>
      </c>
    </row>
    <row r="81" spans="1:28" ht="24.95" customHeight="1">
      <c r="A81" s="32" t="e">
        <v>#REF!</v>
      </c>
      <c r="B81" s="138" t="s">
        <v>397</v>
      </c>
      <c r="C81" s="139" t="s">
        <v>23</v>
      </c>
      <c r="D81" s="139" t="s">
        <v>54</v>
      </c>
      <c r="E81" s="139" t="s">
        <v>54</v>
      </c>
      <c r="F81" s="139" t="s">
        <v>54</v>
      </c>
      <c r="G81" s="139" t="s">
        <v>48</v>
      </c>
      <c r="H81" s="140"/>
      <c r="I81" s="140"/>
      <c r="J81" s="139" t="s">
        <v>28</v>
      </c>
      <c r="K81" s="140" t="s">
        <v>29</v>
      </c>
      <c r="L81" s="140" t="s">
        <v>120</v>
      </c>
      <c r="M81" s="141">
        <v>2932500000</v>
      </c>
      <c r="N81" s="142">
        <v>0</v>
      </c>
      <c r="O81" s="142">
        <v>0</v>
      </c>
      <c r="P81" s="142">
        <v>0</v>
      </c>
      <c r="Q81" s="142">
        <v>0</v>
      </c>
      <c r="R81" s="142">
        <v>0</v>
      </c>
      <c r="S81" s="141">
        <v>2932500000</v>
      </c>
      <c r="T81" s="141">
        <v>134175226</v>
      </c>
      <c r="U81" s="141">
        <v>2798324774</v>
      </c>
      <c r="V81" s="143">
        <v>4.5754552770673487E-2</v>
      </c>
      <c r="W81" s="141">
        <v>11608796.289999999</v>
      </c>
      <c r="X81" s="141">
        <v>122566429.71000001</v>
      </c>
      <c r="Y81" s="143">
        <v>0.9134803298933889</v>
      </c>
      <c r="Z81" s="141">
        <v>11123425.289999999</v>
      </c>
      <c r="AA81" s="141">
        <v>485371</v>
      </c>
      <c r="AB81" s="724">
        <v>8.290222883619365E-2</v>
      </c>
    </row>
    <row r="82" spans="1:28" ht="24.95" customHeight="1">
      <c r="A82" s="32" t="e">
        <v>#REF!</v>
      </c>
      <c r="B82" s="144" t="s">
        <v>611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34</v>
      </c>
      <c r="I82" s="145"/>
      <c r="J82" s="145">
        <v>10</v>
      </c>
      <c r="K82" s="146" t="s">
        <v>29</v>
      </c>
      <c r="L82" s="147" t="s">
        <v>121</v>
      </c>
      <c r="M82" s="148">
        <v>1250000000</v>
      </c>
      <c r="N82" s="148"/>
      <c r="O82" s="148"/>
      <c r="P82" s="148"/>
      <c r="Q82" s="148"/>
      <c r="R82" s="148"/>
      <c r="S82" s="148">
        <v>1250000000</v>
      </c>
      <c r="T82" s="148">
        <v>0</v>
      </c>
      <c r="U82" s="148">
        <v>1250000000</v>
      </c>
      <c r="V82" s="150">
        <v>0</v>
      </c>
      <c r="W82" s="148">
        <v>0</v>
      </c>
      <c r="X82" s="148">
        <v>0</v>
      </c>
      <c r="Y82" s="150">
        <v>0</v>
      </c>
      <c r="Z82" s="148">
        <v>0</v>
      </c>
      <c r="AA82" s="148">
        <v>0</v>
      </c>
      <c r="AB82" s="150">
        <v>0</v>
      </c>
    </row>
    <row r="83" spans="1:28" ht="24.95" customHeight="1">
      <c r="A83" s="32" t="e">
        <v>#REF!</v>
      </c>
      <c r="B83" s="144" t="s">
        <v>613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36</v>
      </c>
      <c r="I83" s="145"/>
      <c r="J83" s="145">
        <v>10</v>
      </c>
      <c r="K83" s="146" t="s">
        <v>29</v>
      </c>
      <c r="L83" s="147" t="s">
        <v>122</v>
      </c>
      <c r="M83" s="148">
        <v>300000000</v>
      </c>
      <c r="N83" s="148"/>
      <c r="O83" s="148"/>
      <c r="P83" s="148"/>
      <c r="Q83" s="148"/>
      <c r="R83" s="148"/>
      <c r="S83" s="148">
        <v>300000000</v>
      </c>
      <c r="T83" s="148">
        <v>122398700</v>
      </c>
      <c r="U83" s="148">
        <v>177601300</v>
      </c>
      <c r="V83" s="150">
        <v>0.40799566666666665</v>
      </c>
      <c r="W83" s="148">
        <v>0</v>
      </c>
      <c r="X83" s="148">
        <v>122398700</v>
      </c>
      <c r="Y83" s="150">
        <v>1</v>
      </c>
      <c r="Z83" s="148">
        <v>0</v>
      </c>
      <c r="AA83" s="148">
        <v>0</v>
      </c>
      <c r="AB83" s="150">
        <v>0</v>
      </c>
    </row>
    <row r="84" spans="1:28" ht="24.95" customHeight="1">
      <c r="A84" s="32" t="e">
        <v>#REF!</v>
      </c>
      <c r="B84" s="144" t="s">
        <v>615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38</v>
      </c>
      <c r="I84" s="145"/>
      <c r="J84" s="145">
        <v>10</v>
      </c>
      <c r="K84" s="146" t="s">
        <v>29</v>
      </c>
      <c r="L84" s="147" t="s">
        <v>123</v>
      </c>
      <c r="M84" s="148">
        <v>87500000</v>
      </c>
      <c r="N84" s="148"/>
      <c r="O84" s="148"/>
      <c r="P84" s="148"/>
      <c r="Q84" s="148"/>
      <c r="R84" s="148"/>
      <c r="S84" s="148">
        <v>87500000</v>
      </c>
      <c r="T84" s="148">
        <v>11776526</v>
      </c>
      <c r="U84" s="148">
        <v>75723474</v>
      </c>
      <c r="V84" s="150">
        <v>0.13458886857142857</v>
      </c>
      <c r="W84" s="148">
        <v>11608796.289999999</v>
      </c>
      <c r="X84" s="148">
        <v>167729.71000000089</v>
      </c>
      <c r="Y84" s="150">
        <v>1.4242715551258571E-2</v>
      </c>
      <c r="Z84" s="148">
        <v>11123425.289999999</v>
      </c>
      <c r="AA84" s="148">
        <v>485371</v>
      </c>
      <c r="AB84" s="150">
        <v>0.94454215869773472</v>
      </c>
    </row>
    <row r="85" spans="1:28" ht="24.95" customHeight="1">
      <c r="A85" s="32" t="e">
        <v>#REF!</v>
      </c>
      <c r="B85" s="144" t="s">
        <v>617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42</v>
      </c>
      <c r="I85" s="145"/>
      <c r="J85" s="145">
        <v>10</v>
      </c>
      <c r="K85" s="146" t="s">
        <v>29</v>
      </c>
      <c r="L85" s="147" t="s">
        <v>124</v>
      </c>
      <c r="M85" s="148">
        <v>1250000000</v>
      </c>
      <c r="N85" s="148"/>
      <c r="O85" s="148"/>
      <c r="P85" s="148"/>
      <c r="Q85" s="148"/>
      <c r="R85" s="148"/>
      <c r="S85" s="148">
        <v>1250000000</v>
      </c>
      <c r="T85" s="148">
        <v>0</v>
      </c>
      <c r="U85" s="148">
        <v>1250000000</v>
      </c>
      <c r="V85" s="150">
        <v>0</v>
      </c>
      <c r="W85" s="148">
        <v>0</v>
      </c>
      <c r="X85" s="148">
        <v>0</v>
      </c>
      <c r="Y85" s="150">
        <v>0</v>
      </c>
      <c r="Z85" s="148">
        <v>0</v>
      </c>
      <c r="AA85" s="148">
        <v>0</v>
      </c>
      <c r="AB85" s="150">
        <v>0</v>
      </c>
    </row>
    <row r="86" spans="1:28" ht="24.95" customHeight="1">
      <c r="A86" s="32" t="e">
        <v>#REF!</v>
      </c>
      <c r="B86" s="144" t="s">
        <v>619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44</v>
      </c>
      <c r="I86" s="145"/>
      <c r="J86" s="145">
        <v>10</v>
      </c>
      <c r="K86" s="146" t="s">
        <v>29</v>
      </c>
      <c r="L86" s="147" t="s">
        <v>125</v>
      </c>
      <c r="M86" s="148">
        <v>45000000</v>
      </c>
      <c r="N86" s="148"/>
      <c r="O86" s="148"/>
      <c r="P86" s="149"/>
      <c r="Q86" s="148"/>
      <c r="R86" s="148"/>
      <c r="S86" s="148">
        <v>45000000</v>
      </c>
      <c r="T86" s="148">
        <v>0</v>
      </c>
      <c r="U86" s="148">
        <v>45000000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399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50</v>
      </c>
      <c r="H87" s="145"/>
      <c r="I87" s="145"/>
      <c r="J87" s="145" t="s">
        <v>28</v>
      </c>
      <c r="K87" s="146" t="s">
        <v>29</v>
      </c>
      <c r="L87" s="152" t="s">
        <v>126</v>
      </c>
      <c r="M87" s="153">
        <v>922000000</v>
      </c>
      <c r="N87" s="153"/>
      <c r="O87" s="153"/>
      <c r="P87" s="153"/>
      <c r="Q87" s="153"/>
      <c r="R87" s="153"/>
      <c r="S87" s="153">
        <v>922000000</v>
      </c>
      <c r="T87" s="153">
        <v>169885450</v>
      </c>
      <c r="U87" s="153">
        <v>752114550</v>
      </c>
      <c r="V87" s="154">
        <v>0.18425753796095445</v>
      </c>
      <c r="W87" s="153">
        <v>31444190</v>
      </c>
      <c r="X87" s="153">
        <v>138441260</v>
      </c>
      <c r="Y87" s="154">
        <v>0.81490945810839011</v>
      </c>
      <c r="Z87" s="153">
        <v>31444190</v>
      </c>
      <c r="AA87" s="148">
        <v>0</v>
      </c>
      <c r="AB87" s="150">
        <v>0.18509054189160989</v>
      </c>
    </row>
    <row r="88" spans="1:28" ht="36" customHeight="1">
      <c r="A88" s="32" t="e">
        <v>#REF!</v>
      </c>
      <c r="B88" s="122" t="s">
        <v>401</v>
      </c>
      <c r="C88" s="123" t="s">
        <v>23</v>
      </c>
      <c r="D88" s="123" t="s">
        <v>65</v>
      </c>
      <c r="E88" s="123"/>
      <c r="F88" s="123"/>
      <c r="G88" s="123"/>
      <c r="H88" s="123"/>
      <c r="I88" s="123"/>
      <c r="J88" s="124"/>
      <c r="K88" s="124"/>
      <c r="L88" s="124" t="s">
        <v>127</v>
      </c>
      <c r="M88" s="125">
        <v>13468000000</v>
      </c>
      <c r="N88" s="719">
        <v>0</v>
      </c>
      <c r="O88" s="719">
        <v>0</v>
      </c>
      <c r="P88" s="719">
        <v>0</v>
      </c>
      <c r="Q88" s="719">
        <v>0</v>
      </c>
      <c r="R88" s="125">
        <v>10390000000</v>
      </c>
      <c r="S88" s="125">
        <v>3078000000</v>
      </c>
      <c r="T88" s="125">
        <v>582622048</v>
      </c>
      <c r="U88" s="125">
        <v>2495377952</v>
      </c>
      <c r="V88" s="126">
        <v>0.18928591552956464</v>
      </c>
      <c r="W88" s="125">
        <v>539506335</v>
      </c>
      <c r="X88" s="125">
        <v>43115713</v>
      </c>
      <c r="Y88" s="126">
        <v>7.4002886001320711E-2</v>
      </c>
      <c r="Z88" s="125">
        <v>539506335</v>
      </c>
      <c r="AA88" s="125">
        <v>0</v>
      </c>
      <c r="AB88" s="720">
        <v>0.92599711399867934</v>
      </c>
    </row>
    <row r="89" spans="1:28" ht="24" customHeight="1">
      <c r="A89" s="32" t="e">
        <v>#REF!</v>
      </c>
      <c r="B89" s="127" t="s">
        <v>621</v>
      </c>
      <c r="C89" s="128" t="s">
        <v>23</v>
      </c>
      <c r="D89" s="128" t="s">
        <v>65</v>
      </c>
      <c r="E89" s="128" t="s">
        <v>65</v>
      </c>
      <c r="F89" s="128"/>
      <c r="G89" s="128"/>
      <c r="H89" s="128"/>
      <c r="I89" s="128"/>
      <c r="J89" s="129"/>
      <c r="K89" s="129"/>
      <c r="L89" s="129" t="s">
        <v>128</v>
      </c>
      <c r="M89" s="130">
        <v>10390000000</v>
      </c>
      <c r="N89" s="721">
        <v>0</v>
      </c>
      <c r="O89" s="721">
        <v>0</v>
      </c>
      <c r="P89" s="721">
        <v>0</v>
      </c>
      <c r="Q89" s="721">
        <v>0</v>
      </c>
      <c r="R89" s="130">
        <v>10390000000</v>
      </c>
      <c r="S89" s="130">
        <v>0</v>
      </c>
      <c r="T89" s="130">
        <v>0</v>
      </c>
      <c r="U89" s="130">
        <v>0</v>
      </c>
      <c r="V89" s="131">
        <v>0</v>
      </c>
      <c r="W89" s="130">
        <v>0</v>
      </c>
      <c r="X89" s="130">
        <v>0</v>
      </c>
      <c r="Y89" s="131">
        <v>0</v>
      </c>
      <c r="Z89" s="130">
        <v>0</v>
      </c>
      <c r="AA89" s="130">
        <v>0</v>
      </c>
      <c r="AB89" s="722">
        <v>0</v>
      </c>
    </row>
    <row r="90" spans="1:28" ht="24" customHeight="1">
      <c r="A90" s="32" t="e">
        <v>#REF!</v>
      </c>
      <c r="B90" s="132" t="s">
        <v>623</v>
      </c>
      <c r="C90" s="133" t="s">
        <v>23</v>
      </c>
      <c r="D90" s="133" t="s">
        <v>65</v>
      </c>
      <c r="E90" s="133" t="s">
        <v>65</v>
      </c>
      <c r="F90" s="133" t="s">
        <v>25</v>
      </c>
      <c r="G90" s="133"/>
      <c r="H90" s="133"/>
      <c r="I90" s="133"/>
      <c r="J90" s="133"/>
      <c r="K90" s="134"/>
      <c r="L90" s="134" t="s">
        <v>129</v>
      </c>
      <c r="M90" s="135">
        <v>10390000000</v>
      </c>
      <c r="N90" s="136">
        <v>0</v>
      </c>
      <c r="O90" s="136">
        <v>0</v>
      </c>
      <c r="P90" s="136">
        <v>0</v>
      </c>
      <c r="Q90" s="136">
        <v>0</v>
      </c>
      <c r="R90" s="135">
        <v>10390000000</v>
      </c>
      <c r="S90" s="135">
        <v>0</v>
      </c>
      <c r="T90" s="135">
        <v>0</v>
      </c>
      <c r="U90" s="135">
        <v>0</v>
      </c>
      <c r="V90" s="137">
        <v>0</v>
      </c>
      <c r="W90" s="135">
        <v>0</v>
      </c>
      <c r="X90" s="135">
        <v>0</v>
      </c>
      <c r="Y90" s="137">
        <v>0</v>
      </c>
      <c r="Z90" s="135">
        <v>0</v>
      </c>
      <c r="AA90" s="135">
        <v>0</v>
      </c>
      <c r="AB90" s="723">
        <v>0</v>
      </c>
    </row>
    <row r="91" spans="1:28" ht="24.95" hidden="1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131</v>
      </c>
      <c r="M91" s="148"/>
      <c r="N91" s="148"/>
      <c r="O91" s="148"/>
      <c r="P91" s="148"/>
      <c r="Q91" s="148"/>
      <c r="R91" s="148"/>
      <c r="S91" s="148">
        <v>0</v>
      </c>
      <c r="T91" s="149"/>
      <c r="U91" s="148">
        <v>0</v>
      </c>
      <c r="V91" s="150">
        <v>0</v>
      </c>
      <c r="W91" s="148"/>
      <c r="X91" s="148">
        <v>0</v>
      </c>
      <c r="Y91" s="150">
        <v>0</v>
      </c>
      <c r="Z91" s="148"/>
      <c r="AA91" s="148">
        <v>0</v>
      </c>
      <c r="AB91" s="150">
        <v>0</v>
      </c>
    </row>
    <row r="92" spans="1:28" ht="24.95" hidden="1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132</v>
      </c>
      <c r="M92" s="148"/>
      <c r="N92" s="148"/>
      <c r="O92" s="148"/>
      <c r="P92" s="148"/>
      <c r="Q92" s="148"/>
      <c r="R92" s="148"/>
      <c r="S92" s="148">
        <v>0</v>
      </c>
      <c r="T92" s="149"/>
      <c r="U92" s="148">
        <v>0</v>
      </c>
      <c r="V92" s="150">
        <v>0</v>
      </c>
      <c r="W92" s="148"/>
      <c r="X92" s="148">
        <v>0</v>
      </c>
      <c r="Y92" s="150">
        <v>0</v>
      </c>
      <c r="Z92" s="148"/>
      <c r="AA92" s="148">
        <v>0</v>
      </c>
      <c r="AB92" s="150">
        <v>0</v>
      </c>
    </row>
    <row r="93" spans="1:28" ht="24.95" hidden="1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133</v>
      </c>
      <c r="M93" s="148"/>
      <c r="N93" s="148"/>
      <c r="O93" s="148"/>
      <c r="P93" s="148"/>
      <c r="Q93" s="148"/>
      <c r="R93" s="148"/>
      <c r="S93" s="148">
        <v>0</v>
      </c>
      <c r="T93" s="149"/>
      <c r="U93" s="148">
        <v>0</v>
      </c>
      <c r="V93" s="150">
        <v>0</v>
      </c>
      <c r="W93" s="148"/>
      <c r="X93" s="148">
        <v>0</v>
      </c>
      <c r="Y93" s="150">
        <v>0</v>
      </c>
      <c r="Z93" s="148"/>
      <c r="AA93" s="148">
        <v>0</v>
      </c>
      <c r="AB93" s="150">
        <v>0</v>
      </c>
    </row>
    <row r="94" spans="1:28" ht="24.95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 t="s">
        <v>28</v>
      </c>
      <c r="K94" s="146" t="s">
        <v>29</v>
      </c>
      <c r="L94" s="147" t="s">
        <v>135</v>
      </c>
      <c r="M94" s="149">
        <v>10390000000</v>
      </c>
      <c r="N94" s="148"/>
      <c r="O94" s="148"/>
      <c r="P94" s="148"/>
      <c r="Q94" s="148"/>
      <c r="R94" s="149">
        <v>10390000000</v>
      </c>
      <c r="S94" s="149">
        <v>0</v>
      </c>
      <c r="T94" s="149"/>
      <c r="U94" s="148">
        <v>0</v>
      </c>
      <c r="V94" s="150">
        <v>0</v>
      </c>
      <c r="W94" s="148"/>
      <c r="X94" s="148">
        <v>0</v>
      </c>
      <c r="Y94" s="150">
        <v>0</v>
      </c>
      <c r="Z94" s="148"/>
      <c r="AA94" s="148">
        <v>0</v>
      </c>
      <c r="AB94" s="150">
        <v>0</v>
      </c>
    </row>
    <row r="95" spans="1:28" ht="24.95" hidden="1" customHeight="1">
      <c r="A95" s="32" t="e">
        <v>#REF!</v>
      </c>
      <c r="B95" s="144" t="s">
        <v>627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134</v>
      </c>
      <c r="H95" s="145"/>
      <c r="I95" s="145"/>
      <c r="J95" s="145">
        <v>11</v>
      </c>
      <c r="K95" s="146" t="s">
        <v>29</v>
      </c>
      <c r="L95" s="147" t="s">
        <v>135</v>
      </c>
      <c r="M95" s="148"/>
      <c r="N95" s="148"/>
      <c r="O95" s="148"/>
      <c r="P95" s="148"/>
      <c r="Q95" s="148"/>
      <c r="R95" s="148"/>
      <c r="S95" s="148">
        <v>0</v>
      </c>
      <c r="T95" s="148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" customHeight="1">
      <c r="A96" s="32" t="e">
        <v>#REF!</v>
      </c>
      <c r="B96" s="127" t="s">
        <v>403</v>
      </c>
      <c r="C96" s="128" t="s">
        <v>23</v>
      </c>
      <c r="D96" s="128" t="s">
        <v>65</v>
      </c>
      <c r="E96" s="128" t="s">
        <v>136</v>
      </c>
      <c r="F96" s="128"/>
      <c r="G96" s="128"/>
      <c r="H96" s="128"/>
      <c r="I96" s="128"/>
      <c r="J96" s="129"/>
      <c r="K96" s="129"/>
      <c r="L96" s="129" t="s">
        <v>137</v>
      </c>
      <c r="M96" s="130">
        <v>719000000</v>
      </c>
      <c r="N96" s="721">
        <v>0</v>
      </c>
      <c r="O96" s="721">
        <v>0</v>
      </c>
      <c r="P96" s="721">
        <v>0</v>
      </c>
      <c r="Q96" s="721">
        <v>0</v>
      </c>
      <c r="R96" s="721">
        <v>0</v>
      </c>
      <c r="S96" s="130">
        <v>719000000</v>
      </c>
      <c r="T96" s="130">
        <v>113595486</v>
      </c>
      <c r="U96" s="130">
        <v>605404514</v>
      </c>
      <c r="V96" s="131">
        <v>0.15799094019471488</v>
      </c>
      <c r="W96" s="130">
        <v>70479773</v>
      </c>
      <c r="X96" s="130">
        <v>43115713</v>
      </c>
      <c r="Y96" s="131">
        <v>0.37955480907049421</v>
      </c>
      <c r="Z96" s="130">
        <v>70479773</v>
      </c>
      <c r="AA96" s="721">
        <v>0</v>
      </c>
      <c r="AB96" s="722">
        <v>0.62044519092950579</v>
      </c>
    </row>
    <row r="97" spans="1:30" ht="24" customHeight="1">
      <c r="A97" s="32" t="e">
        <v>#REF!</v>
      </c>
      <c r="B97" s="132" t="s">
        <v>405</v>
      </c>
      <c r="C97" s="133" t="s">
        <v>23</v>
      </c>
      <c r="D97" s="133" t="s">
        <v>65</v>
      </c>
      <c r="E97" s="133" t="s">
        <v>136</v>
      </c>
      <c r="F97" s="133" t="s">
        <v>54</v>
      </c>
      <c r="G97" s="133"/>
      <c r="H97" s="133"/>
      <c r="I97" s="133"/>
      <c r="J97" s="133" t="s">
        <v>28</v>
      </c>
      <c r="K97" s="134" t="s">
        <v>29</v>
      </c>
      <c r="L97" s="134" t="s">
        <v>138</v>
      </c>
      <c r="M97" s="135">
        <v>719000000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5">
        <v>719000000</v>
      </c>
      <c r="T97" s="135">
        <v>113595486</v>
      </c>
      <c r="U97" s="135">
        <v>605404514</v>
      </c>
      <c r="V97" s="137">
        <v>0.15799094019471488</v>
      </c>
      <c r="W97" s="135">
        <v>70479773</v>
      </c>
      <c r="X97" s="135">
        <v>43115713</v>
      </c>
      <c r="Y97" s="137">
        <v>0.37955480907049421</v>
      </c>
      <c r="Z97" s="135">
        <v>70479773</v>
      </c>
      <c r="AA97" s="136">
        <v>0</v>
      </c>
      <c r="AB97" s="723">
        <v>0.62044519092950579</v>
      </c>
    </row>
    <row r="98" spans="1:30" ht="24.95" customHeight="1">
      <c r="A98" s="32" t="e">
        <v>#REF!</v>
      </c>
      <c r="B98" s="138" t="s">
        <v>407</v>
      </c>
      <c r="C98" s="139" t="s">
        <v>23</v>
      </c>
      <c r="D98" s="139" t="s">
        <v>65</v>
      </c>
      <c r="E98" s="139" t="s">
        <v>136</v>
      </c>
      <c r="F98" s="139" t="s">
        <v>54</v>
      </c>
      <c r="G98" s="139" t="s">
        <v>52</v>
      </c>
      <c r="H98" s="139"/>
      <c r="I98" s="139"/>
      <c r="J98" s="139" t="s">
        <v>28</v>
      </c>
      <c r="K98" s="140" t="s">
        <v>29</v>
      </c>
      <c r="L98" s="140" t="s">
        <v>139</v>
      </c>
      <c r="M98" s="141">
        <v>719000000</v>
      </c>
      <c r="N98" s="142">
        <v>0</v>
      </c>
      <c r="O98" s="142">
        <v>0</v>
      </c>
      <c r="P98" s="142">
        <v>0</v>
      </c>
      <c r="Q98" s="142">
        <v>0</v>
      </c>
      <c r="R98" s="142">
        <v>0</v>
      </c>
      <c r="S98" s="141">
        <v>719000000</v>
      </c>
      <c r="T98" s="141">
        <v>113595486</v>
      </c>
      <c r="U98" s="141">
        <v>605404514</v>
      </c>
      <c r="V98" s="143">
        <v>0.15799094019471488</v>
      </c>
      <c r="W98" s="141">
        <v>70479773</v>
      </c>
      <c r="X98" s="141">
        <v>43115713</v>
      </c>
      <c r="Y98" s="143">
        <v>0.37955480907049421</v>
      </c>
      <c r="Z98" s="141">
        <v>70479773</v>
      </c>
      <c r="AA98" s="142">
        <v>0</v>
      </c>
      <c r="AB98" s="724">
        <v>0.62044519092950579</v>
      </c>
    </row>
    <row r="99" spans="1:30" ht="24.95" customHeight="1">
      <c r="A99" s="32" t="e">
        <v>#REF!</v>
      </c>
      <c r="B99" s="144" t="s">
        <v>409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31</v>
      </c>
      <c r="I99" s="145"/>
      <c r="J99" s="145" t="s">
        <v>28</v>
      </c>
      <c r="K99" s="146" t="s">
        <v>29</v>
      </c>
      <c r="L99" s="147" t="s">
        <v>140</v>
      </c>
      <c r="M99" s="148">
        <v>359500000</v>
      </c>
      <c r="N99" s="148"/>
      <c r="O99" s="148"/>
      <c r="P99" s="148"/>
      <c r="Q99" s="148"/>
      <c r="R99" s="148"/>
      <c r="S99" s="148">
        <v>359500000</v>
      </c>
      <c r="T99" s="148">
        <v>50588115</v>
      </c>
      <c r="U99" s="148">
        <v>308911885</v>
      </c>
      <c r="V99" s="150">
        <v>0.14071798331015298</v>
      </c>
      <c r="W99" s="148">
        <v>41964229</v>
      </c>
      <c r="X99" s="148">
        <v>8623886</v>
      </c>
      <c r="Y99" s="150">
        <v>0.17047257048419376</v>
      </c>
      <c r="Z99" s="148">
        <v>41964229</v>
      </c>
      <c r="AA99" s="148">
        <v>0</v>
      </c>
      <c r="AB99" s="150">
        <v>0.82952742951580627</v>
      </c>
    </row>
    <row r="100" spans="1:30" ht="24.95" customHeight="1">
      <c r="A100" s="32" t="e">
        <v>#REF!</v>
      </c>
      <c r="B100" s="144" t="s">
        <v>411</v>
      </c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52</v>
      </c>
      <c r="H100" s="145" t="s">
        <v>34</v>
      </c>
      <c r="I100" s="145"/>
      <c r="J100" s="145" t="s">
        <v>28</v>
      </c>
      <c r="K100" s="146" t="s">
        <v>29</v>
      </c>
      <c r="L100" s="147" t="s">
        <v>141</v>
      </c>
      <c r="M100" s="148">
        <v>359500000</v>
      </c>
      <c r="N100" s="148"/>
      <c r="O100" s="148"/>
      <c r="P100" s="148"/>
      <c r="Q100" s="148"/>
      <c r="R100" s="148"/>
      <c r="S100" s="148">
        <v>359500000</v>
      </c>
      <c r="T100" s="148">
        <v>63007371</v>
      </c>
      <c r="U100" s="148">
        <v>296492629</v>
      </c>
      <c r="V100" s="150">
        <v>0.17526389707927678</v>
      </c>
      <c r="W100" s="148">
        <v>28515544</v>
      </c>
      <c r="X100" s="148">
        <v>34491827</v>
      </c>
      <c r="Y100" s="150">
        <v>0.54742526870387909</v>
      </c>
      <c r="Z100" s="148">
        <v>28515544</v>
      </c>
      <c r="AA100" s="148">
        <v>0</v>
      </c>
      <c r="AB100" s="150">
        <v>0.45257473129612091</v>
      </c>
    </row>
    <row r="101" spans="1:30" ht="24.95" hidden="1" customHeight="1">
      <c r="A101" s="32" t="e">
        <v>#REF!</v>
      </c>
      <c r="B101" s="32"/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142</v>
      </c>
      <c r="H101" s="145"/>
      <c r="I101" s="145"/>
      <c r="J101" s="145" t="s">
        <v>28</v>
      </c>
      <c r="K101" s="146" t="s">
        <v>29</v>
      </c>
      <c r="L101" s="147" t="s">
        <v>260</v>
      </c>
      <c r="M101" s="148">
        <v>0</v>
      </c>
      <c r="N101" s="148"/>
      <c r="O101" s="148"/>
      <c r="P101" s="148"/>
      <c r="Q101" s="148"/>
      <c r="R101" s="148"/>
      <c r="S101" s="148">
        <v>0</v>
      </c>
      <c r="T101" s="148">
        <v>0</v>
      </c>
      <c r="U101" s="148">
        <v>0</v>
      </c>
      <c r="V101" s="150">
        <v>0</v>
      </c>
      <c r="W101" s="148">
        <v>0</v>
      </c>
      <c r="X101" s="148">
        <v>0</v>
      </c>
      <c r="Y101" s="150">
        <v>0</v>
      </c>
      <c r="Z101" s="148">
        <v>0</v>
      </c>
      <c r="AA101" s="148">
        <v>0</v>
      </c>
      <c r="AB101" s="150">
        <v>0</v>
      </c>
    </row>
    <row r="102" spans="1:30" ht="24" customHeight="1">
      <c r="A102" s="32" t="e">
        <v>#REF!</v>
      </c>
      <c r="B102" s="127" t="s">
        <v>415</v>
      </c>
      <c r="C102" s="128" t="s">
        <v>23</v>
      </c>
      <c r="D102" s="128" t="s">
        <v>65</v>
      </c>
      <c r="E102" s="128" t="s">
        <v>28</v>
      </c>
      <c r="F102" s="128"/>
      <c r="G102" s="128"/>
      <c r="H102" s="128"/>
      <c r="I102" s="128"/>
      <c r="J102" s="129"/>
      <c r="K102" s="129"/>
      <c r="L102" s="129" t="s">
        <v>143</v>
      </c>
      <c r="M102" s="130">
        <v>2359000000</v>
      </c>
      <c r="N102" s="721">
        <v>0</v>
      </c>
      <c r="O102" s="721">
        <v>0</v>
      </c>
      <c r="P102" s="721">
        <v>0</v>
      </c>
      <c r="Q102" s="721">
        <v>0</v>
      </c>
      <c r="R102" s="721">
        <v>0</v>
      </c>
      <c r="S102" s="130">
        <v>2359000000</v>
      </c>
      <c r="T102" s="130">
        <v>469026562</v>
      </c>
      <c r="U102" s="130">
        <v>1889973438</v>
      </c>
      <c r="V102" s="131">
        <v>0.19882431623569308</v>
      </c>
      <c r="W102" s="130">
        <v>469026562</v>
      </c>
      <c r="X102" s="130">
        <v>0</v>
      </c>
      <c r="Y102" s="131">
        <v>0</v>
      </c>
      <c r="Z102" s="130">
        <v>469026562</v>
      </c>
      <c r="AA102" s="130">
        <v>0</v>
      </c>
      <c r="AB102" s="722">
        <v>1</v>
      </c>
    </row>
    <row r="103" spans="1:30" ht="24" customHeight="1">
      <c r="A103" s="32" t="e">
        <v>#REF!</v>
      </c>
      <c r="B103" s="132" t="s">
        <v>417</v>
      </c>
      <c r="C103" s="133" t="s">
        <v>23</v>
      </c>
      <c r="D103" s="133" t="s">
        <v>65</v>
      </c>
      <c r="E103" s="133" t="s">
        <v>28</v>
      </c>
      <c r="F103" s="133" t="s">
        <v>25</v>
      </c>
      <c r="G103" s="133"/>
      <c r="H103" s="133"/>
      <c r="I103" s="133"/>
      <c r="J103" s="133" t="s">
        <v>144</v>
      </c>
      <c r="K103" s="134" t="s">
        <v>29</v>
      </c>
      <c r="L103" s="134" t="s">
        <v>145</v>
      </c>
      <c r="M103" s="135">
        <v>2359000000</v>
      </c>
      <c r="N103" s="135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2359000000</v>
      </c>
      <c r="T103" s="135">
        <v>469026562</v>
      </c>
      <c r="U103" s="135">
        <v>1889973438</v>
      </c>
      <c r="V103" s="137">
        <v>0.19882431623569308</v>
      </c>
      <c r="W103" s="135">
        <v>469026562</v>
      </c>
      <c r="X103" s="135">
        <v>0</v>
      </c>
      <c r="Y103" s="137">
        <v>0</v>
      </c>
      <c r="Z103" s="135">
        <v>469026562</v>
      </c>
      <c r="AA103" s="135">
        <v>0</v>
      </c>
      <c r="AB103" s="723">
        <v>1</v>
      </c>
    </row>
    <row r="104" spans="1:30" ht="24.95" customHeight="1">
      <c r="A104" s="32" t="e">
        <v>#REF!</v>
      </c>
      <c r="B104" s="144" t="s">
        <v>418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45" t="s">
        <v>31</v>
      </c>
      <c r="H104" s="145"/>
      <c r="I104" s="145"/>
      <c r="J104" s="145">
        <v>10</v>
      </c>
      <c r="K104" s="146" t="s">
        <v>29</v>
      </c>
      <c r="L104" s="147" t="s">
        <v>146</v>
      </c>
      <c r="M104" s="149">
        <v>2311820000</v>
      </c>
      <c r="N104" s="148"/>
      <c r="O104" s="148"/>
      <c r="P104" s="148"/>
      <c r="Q104" s="148"/>
      <c r="R104" s="148"/>
      <c r="S104" s="148">
        <v>2311820000</v>
      </c>
      <c r="T104" s="149">
        <v>469026562</v>
      </c>
      <c r="U104" s="148">
        <v>1842793438</v>
      </c>
      <c r="V104" s="150">
        <v>0.20288195534254397</v>
      </c>
      <c r="W104" s="148">
        <v>469026562</v>
      </c>
      <c r="X104" s="148">
        <v>0</v>
      </c>
      <c r="Y104" s="150">
        <v>0</v>
      </c>
      <c r="Z104" s="148">
        <v>469026562</v>
      </c>
      <c r="AA104" s="148">
        <v>0</v>
      </c>
      <c r="AB104" s="150">
        <v>1</v>
      </c>
    </row>
    <row r="105" spans="1:30" ht="24.95" customHeight="1">
      <c r="A105" s="32" t="e">
        <v>#REF!</v>
      </c>
      <c r="B105" s="144" t="s">
        <v>419</v>
      </c>
      <c r="C105" s="145" t="s">
        <v>23</v>
      </c>
      <c r="D105" s="145" t="s">
        <v>65</v>
      </c>
      <c r="E105" s="145" t="s">
        <v>28</v>
      </c>
      <c r="F105" s="145" t="s">
        <v>25</v>
      </c>
      <c r="G105" s="151" t="s">
        <v>34</v>
      </c>
      <c r="H105" s="145"/>
      <c r="I105" s="145"/>
      <c r="J105" s="145">
        <v>10</v>
      </c>
      <c r="K105" s="146" t="s">
        <v>29</v>
      </c>
      <c r="L105" s="147" t="s">
        <v>147</v>
      </c>
      <c r="M105" s="149">
        <v>47180000</v>
      </c>
      <c r="N105" s="148"/>
      <c r="O105" s="148"/>
      <c r="P105" s="148"/>
      <c r="Q105" s="148"/>
      <c r="R105" s="148"/>
      <c r="S105" s="148">
        <v>47180000</v>
      </c>
      <c r="T105" s="149">
        <v>0</v>
      </c>
      <c r="U105" s="148">
        <v>47180000</v>
      </c>
      <c r="V105" s="150">
        <v>0</v>
      </c>
      <c r="W105" s="148">
        <v>0</v>
      </c>
      <c r="X105" s="148">
        <v>0</v>
      </c>
      <c r="Y105" s="150">
        <v>0</v>
      </c>
      <c r="Z105" s="148">
        <v>0</v>
      </c>
      <c r="AA105" s="148">
        <v>0</v>
      </c>
      <c r="AB105" s="150">
        <v>0</v>
      </c>
    </row>
    <row r="106" spans="1:30" ht="24" customHeight="1">
      <c r="A106" s="32" t="e">
        <v>#REF!</v>
      </c>
      <c r="B106" s="122" t="s">
        <v>421</v>
      </c>
      <c r="C106" s="123" t="s">
        <v>23</v>
      </c>
      <c r="D106" s="123" t="s">
        <v>148</v>
      </c>
      <c r="E106" s="123"/>
      <c r="F106" s="123"/>
      <c r="G106" s="123"/>
      <c r="H106" s="123"/>
      <c r="I106" s="123"/>
      <c r="J106" s="124"/>
      <c r="K106" s="124"/>
      <c r="L106" s="124" t="s">
        <v>149</v>
      </c>
      <c r="M106" s="125">
        <v>17105900000</v>
      </c>
      <c r="N106" s="719">
        <v>0</v>
      </c>
      <c r="O106" s="719">
        <v>0</v>
      </c>
      <c r="P106" s="719">
        <v>0</v>
      </c>
      <c r="Q106" s="719">
        <v>0</v>
      </c>
      <c r="R106" s="719">
        <v>0</v>
      </c>
      <c r="S106" s="125">
        <v>17105900000</v>
      </c>
      <c r="T106" s="125">
        <v>6836420</v>
      </c>
      <c r="U106" s="125">
        <v>17099063580</v>
      </c>
      <c r="V106" s="126">
        <v>3.9965275138987134E-4</v>
      </c>
      <c r="W106" s="125">
        <v>6366129</v>
      </c>
      <c r="X106" s="125">
        <v>470291</v>
      </c>
      <c r="Y106" s="126">
        <v>6.8791999321282188E-2</v>
      </c>
      <c r="Z106" s="125">
        <v>6215358</v>
      </c>
      <c r="AA106" s="125">
        <v>150771</v>
      </c>
      <c r="AB106" s="720">
        <v>0.90915391389060352</v>
      </c>
    </row>
    <row r="107" spans="1:30" ht="24" customHeight="1">
      <c r="A107" s="32" t="e">
        <v>#REF!</v>
      </c>
      <c r="B107" s="127" t="s">
        <v>423</v>
      </c>
      <c r="C107" s="128" t="s">
        <v>23</v>
      </c>
      <c r="D107" s="128" t="s">
        <v>148</v>
      </c>
      <c r="E107" s="128" t="s">
        <v>25</v>
      </c>
      <c r="F107" s="128"/>
      <c r="G107" s="128"/>
      <c r="H107" s="128"/>
      <c r="I107" s="128"/>
      <c r="J107" s="129"/>
      <c r="K107" s="129"/>
      <c r="L107" s="129" t="s">
        <v>150</v>
      </c>
      <c r="M107" s="130">
        <v>137900000</v>
      </c>
      <c r="N107" s="721">
        <v>0</v>
      </c>
      <c r="O107" s="721">
        <v>0</v>
      </c>
      <c r="P107" s="721">
        <v>0</v>
      </c>
      <c r="Q107" s="721">
        <v>0</v>
      </c>
      <c r="R107" s="721">
        <v>0</v>
      </c>
      <c r="S107" s="130">
        <v>137900000</v>
      </c>
      <c r="T107" s="130">
        <v>6836420</v>
      </c>
      <c r="U107" s="130">
        <v>131063580</v>
      </c>
      <c r="V107" s="131">
        <v>4.9575199419869473E-2</v>
      </c>
      <c r="W107" s="130">
        <v>6366129</v>
      </c>
      <c r="X107" s="130">
        <v>470291</v>
      </c>
      <c r="Y107" s="131">
        <v>6.8791999321282188E-2</v>
      </c>
      <c r="Z107" s="130">
        <v>6215358</v>
      </c>
      <c r="AA107" s="130">
        <v>150771</v>
      </c>
      <c r="AB107" s="722">
        <v>0.90915391389060352</v>
      </c>
    </row>
    <row r="108" spans="1:30" ht="24" customHeight="1">
      <c r="A108" s="32" t="e">
        <v>#REF!</v>
      </c>
      <c r="B108" s="132" t="s">
        <v>425</v>
      </c>
      <c r="C108" s="133" t="s">
        <v>23</v>
      </c>
      <c r="D108" s="133" t="s">
        <v>148</v>
      </c>
      <c r="E108" s="133" t="s">
        <v>25</v>
      </c>
      <c r="F108" s="133" t="s">
        <v>54</v>
      </c>
      <c r="G108" s="133"/>
      <c r="H108" s="133"/>
      <c r="I108" s="133"/>
      <c r="J108" s="133" t="s">
        <v>28</v>
      </c>
      <c r="K108" s="134" t="s">
        <v>29</v>
      </c>
      <c r="L108" s="134" t="s">
        <v>151</v>
      </c>
      <c r="M108" s="135">
        <v>137900000</v>
      </c>
      <c r="N108" s="136">
        <v>0</v>
      </c>
      <c r="O108" s="136">
        <v>0</v>
      </c>
      <c r="P108" s="136">
        <v>0</v>
      </c>
      <c r="Q108" s="136">
        <v>0</v>
      </c>
      <c r="R108" s="136">
        <v>0</v>
      </c>
      <c r="S108" s="135">
        <v>137900000</v>
      </c>
      <c r="T108" s="135">
        <v>6836420</v>
      </c>
      <c r="U108" s="135">
        <v>131063580</v>
      </c>
      <c r="V108" s="137">
        <v>4.9575199419869473E-2</v>
      </c>
      <c r="W108" s="135">
        <v>6366129</v>
      </c>
      <c r="X108" s="136">
        <v>470291</v>
      </c>
      <c r="Y108" s="137">
        <v>6.8791999321282188E-2</v>
      </c>
      <c r="Z108" s="135">
        <v>6215358</v>
      </c>
      <c r="AA108" s="135">
        <v>150771</v>
      </c>
      <c r="AB108" s="723">
        <v>0.90915391389060352</v>
      </c>
    </row>
    <row r="109" spans="1:30" ht="24.95" customHeight="1">
      <c r="A109" s="32" t="e">
        <v>#REF!</v>
      </c>
      <c r="B109" s="144" t="s">
        <v>427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31</v>
      </c>
      <c r="H109" s="145"/>
      <c r="I109" s="145"/>
      <c r="J109" s="145" t="s">
        <v>28</v>
      </c>
      <c r="K109" s="146" t="s">
        <v>29</v>
      </c>
      <c r="L109" s="147" t="s">
        <v>152</v>
      </c>
      <c r="M109" s="148">
        <v>61800000</v>
      </c>
      <c r="N109" s="148">
        <v>0</v>
      </c>
      <c r="O109" s="148"/>
      <c r="P109" s="148"/>
      <c r="Q109" s="148"/>
      <c r="R109" s="148"/>
      <c r="S109" s="148">
        <v>61800000</v>
      </c>
      <c r="T109" s="148">
        <v>0</v>
      </c>
      <c r="U109" s="148">
        <v>61800000</v>
      </c>
      <c r="V109" s="150">
        <v>0</v>
      </c>
      <c r="W109" s="148">
        <v>0</v>
      </c>
      <c r="X109" s="148">
        <v>0</v>
      </c>
      <c r="Y109" s="150">
        <v>0</v>
      </c>
      <c r="Z109" s="148">
        <v>0</v>
      </c>
      <c r="AA109" s="148">
        <v>0</v>
      </c>
      <c r="AB109" s="150">
        <v>0</v>
      </c>
    </row>
    <row r="110" spans="1:30" ht="24.95" customHeight="1">
      <c r="A110" s="32" t="e">
        <v>#REF!</v>
      </c>
      <c r="B110" s="144" t="s">
        <v>429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38</v>
      </c>
      <c r="H110" s="145"/>
      <c r="I110" s="145"/>
      <c r="J110" s="145" t="s">
        <v>28</v>
      </c>
      <c r="K110" s="146" t="s">
        <v>29</v>
      </c>
      <c r="L110" s="147" t="s">
        <v>153</v>
      </c>
      <c r="M110" s="148">
        <v>50000000</v>
      </c>
      <c r="N110" s="148"/>
      <c r="O110" s="148"/>
      <c r="P110" s="148"/>
      <c r="Q110" s="148"/>
      <c r="R110" s="148"/>
      <c r="S110" s="148">
        <v>50000000</v>
      </c>
      <c r="T110" s="148">
        <v>6836420</v>
      </c>
      <c r="U110" s="148">
        <v>43163580</v>
      </c>
      <c r="V110" s="150">
        <v>0.1367284</v>
      </c>
      <c r="W110" s="148">
        <v>6366129</v>
      </c>
      <c r="X110" s="148">
        <v>470291</v>
      </c>
      <c r="Y110" s="150">
        <v>6.8791999321282188E-2</v>
      </c>
      <c r="Z110" s="148">
        <v>6215358</v>
      </c>
      <c r="AA110" s="148">
        <v>150771</v>
      </c>
      <c r="AB110" s="150">
        <v>0.90915391389060352</v>
      </c>
    </row>
    <row r="111" spans="1:30" ht="24.95" customHeight="1">
      <c r="A111" s="32" t="e">
        <v>#REF!</v>
      </c>
      <c r="B111" s="144" t="s">
        <v>431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42</v>
      </c>
      <c r="H111" s="145"/>
      <c r="I111" s="145"/>
      <c r="J111" s="145" t="s">
        <v>28</v>
      </c>
      <c r="K111" s="146" t="s">
        <v>29</v>
      </c>
      <c r="L111" s="147" t="s">
        <v>154</v>
      </c>
      <c r="M111" s="148">
        <v>26100000</v>
      </c>
      <c r="N111" s="148">
        <v>0</v>
      </c>
      <c r="O111" s="148"/>
      <c r="P111" s="148"/>
      <c r="Q111" s="148"/>
      <c r="R111" s="148"/>
      <c r="S111" s="148">
        <v>26100000</v>
      </c>
      <c r="T111" s="148">
        <v>0</v>
      </c>
      <c r="U111" s="148">
        <v>26100000</v>
      </c>
      <c r="V111" s="150">
        <v>0</v>
      </c>
      <c r="W111" s="148">
        <v>0</v>
      </c>
      <c r="X111" s="148">
        <v>0</v>
      </c>
      <c r="Y111" s="150">
        <v>0</v>
      </c>
      <c r="Z111" s="148">
        <v>0</v>
      </c>
      <c r="AA111" s="148">
        <v>0</v>
      </c>
      <c r="AB111" s="150">
        <v>0</v>
      </c>
    </row>
    <row r="112" spans="1:30" ht="24" customHeight="1">
      <c r="A112" s="32" t="e">
        <v>#REF!</v>
      </c>
      <c r="B112" s="127" t="s">
        <v>432</v>
      </c>
      <c r="C112" s="128" t="s">
        <v>23</v>
      </c>
      <c r="D112" s="128" t="s">
        <v>148</v>
      </c>
      <c r="E112" s="128" t="s">
        <v>136</v>
      </c>
      <c r="F112" s="128"/>
      <c r="G112" s="128"/>
      <c r="H112" s="128"/>
      <c r="I112" s="128"/>
      <c r="J112" s="129"/>
      <c r="K112" s="129"/>
      <c r="L112" s="129" t="s">
        <v>155</v>
      </c>
      <c r="M112" s="130">
        <v>16968000000</v>
      </c>
      <c r="N112" s="721">
        <v>0</v>
      </c>
      <c r="O112" s="721">
        <v>0</v>
      </c>
      <c r="P112" s="721">
        <v>0</v>
      </c>
      <c r="Q112" s="721">
        <v>0</v>
      </c>
      <c r="R112" s="721">
        <v>0</v>
      </c>
      <c r="S112" s="130">
        <v>16968000000</v>
      </c>
      <c r="T112" s="130">
        <v>0</v>
      </c>
      <c r="U112" s="130">
        <v>16968000000</v>
      </c>
      <c r="V112" s="131">
        <v>0</v>
      </c>
      <c r="W112" s="130">
        <v>0</v>
      </c>
      <c r="X112" s="130">
        <v>0</v>
      </c>
      <c r="Y112" s="131">
        <v>0</v>
      </c>
      <c r="Z112" s="130">
        <v>0</v>
      </c>
      <c r="AA112" s="130">
        <v>0</v>
      </c>
      <c r="AB112" s="722">
        <v>0</v>
      </c>
    </row>
    <row r="113" spans="1:28" ht="24.95" hidden="1" customHeight="1">
      <c r="A113" s="32"/>
      <c r="B113" s="32"/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>
        <v>10</v>
      </c>
      <c r="K113" s="146" t="s">
        <v>156</v>
      </c>
      <c r="L113" s="147" t="s">
        <v>157</v>
      </c>
      <c r="M113" s="148">
        <v>0</v>
      </c>
      <c r="N113" s="148"/>
      <c r="O113" s="148"/>
      <c r="P113" s="148"/>
      <c r="Q113" s="148"/>
      <c r="R113" s="148"/>
      <c r="S113" s="148">
        <v>0</v>
      </c>
      <c r="T113" s="148">
        <v>0</v>
      </c>
      <c r="U113" s="148">
        <v>0</v>
      </c>
      <c r="V113" s="150">
        <v>0</v>
      </c>
      <c r="W113" s="148">
        <v>0</v>
      </c>
      <c r="X113" s="148">
        <v>0</v>
      </c>
      <c r="Y113" s="150">
        <v>0</v>
      </c>
      <c r="Z113" s="148">
        <v>0</v>
      </c>
      <c r="AA113" s="148">
        <v>0</v>
      </c>
      <c r="AB113" s="150">
        <v>0</v>
      </c>
    </row>
    <row r="114" spans="1:28" ht="24.95" customHeight="1">
      <c r="A114" s="32" t="e">
        <v>#REF!</v>
      </c>
      <c r="B114" s="144" t="s">
        <v>434</v>
      </c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 t="s">
        <v>144</v>
      </c>
      <c r="K114" s="146" t="s">
        <v>156</v>
      </c>
      <c r="L114" s="147" t="s">
        <v>157</v>
      </c>
      <c r="M114" s="149">
        <v>16968000000</v>
      </c>
      <c r="N114" s="148"/>
      <c r="O114" s="148"/>
      <c r="P114" s="148"/>
      <c r="Q114" s="148"/>
      <c r="R114" s="148"/>
      <c r="S114" s="149">
        <v>16968000000</v>
      </c>
      <c r="T114" s="148">
        <v>0</v>
      </c>
      <c r="U114" s="148">
        <v>16968000000</v>
      </c>
      <c r="V114" s="150">
        <v>0</v>
      </c>
      <c r="W114" s="148"/>
      <c r="X114" s="148">
        <v>0</v>
      </c>
      <c r="Y114" s="150">
        <v>0</v>
      </c>
      <c r="Z114" s="148"/>
      <c r="AA114" s="148">
        <v>0</v>
      </c>
      <c r="AB114" s="150">
        <v>0</v>
      </c>
    </row>
    <row r="115" spans="1:28" ht="35.1" customHeight="1">
      <c r="A115" s="32" t="e">
        <v>#REF!</v>
      </c>
      <c r="B115" s="117" t="s">
        <v>162</v>
      </c>
      <c r="C115" s="118" t="s">
        <v>162</v>
      </c>
      <c r="D115" s="119"/>
      <c r="E115" s="119"/>
      <c r="F115" s="119"/>
      <c r="G115" s="119"/>
      <c r="H115" s="119"/>
      <c r="I115" s="119"/>
      <c r="J115" s="119"/>
      <c r="K115" s="119"/>
      <c r="L115" s="119" t="s">
        <v>163</v>
      </c>
      <c r="M115" s="120">
        <v>381865302</v>
      </c>
      <c r="N115" s="717">
        <v>0</v>
      </c>
      <c r="O115" s="717">
        <v>0</v>
      </c>
      <c r="P115" s="717">
        <v>0</v>
      </c>
      <c r="Q115" s="717">
        <v>0</v>
      </c>
      <c r="R115" s="717">
        <v>0</v>
      </c>
      <c r="S115" s="120">
        <v>381865302</v>
      </c>
      <c r="T115" s="120">
        <v>0</v>
      </c>
      <c r="U115" s="120">
        <v>381865302</v>
      </c>
      <c r="V115" s="121">
        <v>0</v>
      </c>
      <c r="W115" s="120">
        <v>0</v>
      </c>
      <c r="X115" s="120">
        <v>0</v>
      </c>
      <c r="Y115" s="121">
        <v>0</v>
      </c>
      <c r="Z115" s="120">
        <v>0</v>
      </c>
      <c r="AA115" s="120">
        <v>0</v>
      </c>
      <c r="AB115" s="718">
        <v>0</v>
      </c>
    </row>
    <row r="116" spans="1:28" ht="24" customHeight="1">
      <c r="A116" s="32" t="e">
        <v>#REF!</v>
      </c>
      <c r="B116" s="122" t="s">
        <v>729</v>
      </c>
      <c r="C116" s="123" t="s">
        <v>162</v>
      </c>
      <c r="D116" s="123">
        <v>10</v>
      </c>
      <c r="E116" s="123"/>
      <c r="F116" s="123"/>
      <c r="G116" s="123"/>
      <c r="H116" s="123"/>
      <c r="I116" s="123"/>
      <c r="J116" s="124"/>
      <c r="K116" s="124"/>
      <c r="L116" s="124" t="s">
        <v>164</v>
      </c>
      <c r="M116" s="125">
        <v>381865302</v>
      </c>
      <c r="N116" s="719">
        <v>0</v>
      </c>
      <c r="O116" s="719">
        <v>0</v>
      </c>
      <c r="P116" s="125">
        <v>0</v>
      </c>
      <c r="Q116" s="125">
        <v>0</v>
      </c>
      <c r="R116" s="719">
        <v>0</v>
      </c>
      <c r="S116" s="125">
        <v>381865302</v>
      </c>
      <c r="T116" s="125">
        <v>0</v>
      </c>
      <c r="U116" s="125">
        <v>381865302</v>
      </c>
      <c r="V116" s="126">
        <v>0</v>
      </c>
      <c r="W116" s="125">
        <v>0</v>
      </c>
      <c r="X116" s="125">
        <v>0</v>
      </c>
      <c r="Y116" s="126">
        <v>0</v>
      </c>
      <c r="Z116" s="125">
        <v>0</v>
      </c>
      <c r="AA116" s="125">
        <v>0</v>
      </c>
      <c r="AB116" s="720">
        <v>0</v>
      </c>
    </row>
    <row r="117" spans="1:28" ht="24" customHeight="1">
      <c r="A117" s="32" t="e">
        <v>#REF!</v>
      </c>
      <c r="B117" s="127" t="s">
        <v>730</v>
      </c>
      <c r="C117" s="128" t="s">
        <v>162</v>
      </c>
      <c r="D117" s="128">
        <v>10</v>
      </c>
      <c r="E117" s="128" t="s">
        <v>136</v>
      </c>
      <c r="F117" s="128"/>
      <c r="G117" s="128"/>
      <c r="H117" s="128"/>
      <c r="I117" s="128"/>
      <c r="J117" s="129"/>
      <c r="K117" s="129"/>
      <c r="L117" s="129" t="s">
        <v>165</v>
      </c>
      <c r="M117" s="130">
        <v>381865302</v>
      </c>
      <c r="N117" s="130">
        <v>0</v>
      </c>
      <c r="O117" s="130">
        <v>0</v>
      </c>
      <c r="P117" s="130">
        <v>0</v>
      </c>
      <c r="Q117" s="130">
        <v>0</v>
      </c>
      <c r="R117" s="130">
        <v>0</v>
      </c>
      <c r="S117" s="130">
        <v>381865302</v>
      </c>
      <c r="T117" s="130">
        <v>0</v>
      </c>
      <c r="U117" s="130">
        <v>381865302</v>
      </c>
      <c r="V117" s="131">
        <v>0</v>
      </c>
      <c r="W117" s="130">
        <v>0</v>
      </c>
      <c r="X117" s="130">
        <v>0</v>
      </c>
      <c r="Y117" s="131">
        <v>0</v>
      </c>
      <c r="Z117" s="130">
        <v>0</v>
      </c>
      <c r="AA117" s="130">
        <v>0</v>
      </c>
      <c r="AB117" s="722">
        <v>0</v>
      </c>
    </row>
    <row r="118" spans="1:28" ht="24.95" customHeight="1">
      <c r="A118" s="32" t="e">
        <v>#REF!</v>
      </c>
      <c r="B118" s="144" t="s">
        <v>731</v>
      </c>
      <c r="C118" s="145" t="s">
        <v>162</v>
      </c>
      <c r="D118" s="145">
        <v>10</v>
      </c>
      <c r="E118" s="145" t="s">
        <v>136</v>
      </c>
      <c r="F118" s="145" t="s">
        <v>25</v>
      </c>
      <c r="G118" s="145"/>
      <c r="H118" s="145"/>
      <c r="I118" s="145"/>
      <c r="J118" s="145" t="s">
        <v>144</v>
      </c>
      <c r="K118" s="146" t="s">
        <v>29</v>
      </c>
      <c r="L118" s="147" t="s">
        <v>166</v>
      </c>
      <c r="M118" s="149">
        <v>381865302</v>
      </c>
      <c r="N118" s="148"/>
      <c r="O118" s="148"/>
      <c r="P118" s="148"/>
      <c r="Q118" s="148"/>
      <c r="R118" s="148"/>
      <c r="S118" s="149">
        <v>381865302</v>
      </c>
      <c r="T118" s="149"/>
      <c r="U118" s="148">
        <v>381865302</v>
      </c>
      <c r="V118" s="150">
        <v>0</v>
      </c>
      <c r="W118" s="148"/>
      <c r="X118" s="148">
        <v>0</v>
      </c>
      <c r="Y118" s="150">
        <v>0</v>
      </c>
      <c r="Z118" s="148"/>
      <c r="AA118" s="148">
        <v>0</v>
      </c>
      <c r="AB118" s="150">
        <v>0</v>
      </c>
    </row>
    <row r="119" spans="1:28" ht="35.1" customHeight="1">
      <c r="A119" s="32" t="e">
        <v>#REF!</v>
      </c>
      <c r="B119" s="117" t="s">
        <v>167</v>
      </c>
      <c r="C119" s="118" t="s">
        <v>167</v>
      </c>
      <c r="D119" s="119"/>
      <c r="E119" s="119"/>
      <c r="F119" s="119"/>
      <c r="G119" s="119"/>
      <c r="H119" s="119"/>
      <c r="I119" s="119"/>
      <c r="J119" s="119"/>
      <c r="K119" s="119"/>
      <c r="L119" s="119" t="s">
        <v>168</v>
      </c>
      <c r="M119" s="120">
        <v>12916249110989</v>
      </c>
      <c r="N119" s="120">
        <v>0</v>
      </c>
      <c r="O119" s="717">
        <v>0</v>
      </c>
      <c r="P119" s="120">
        <v>47430457256.639999</v>
      </c>
      <c r="Q119" s="120">
        <v>47430457256.639999</v>
      </c>
      <c r="R119" s="717">
        <v>0</v>
      </c>
      <c r="S119" s="120">
        <v>12916249110989</v>
      </c>
      <c r="T119" s="120">
        <v>1534753539965.8198</v>
      </c>
      <c r="U119" s="120">
        <v>11381495571023.18</v>
      </c>
      <c r="V119" s="121">
        <v>0.11882347009396627</v>
      </c>
      <c r="W119" s="120">
        <v>549925150734.53003</v>
      </c>
      <c r="X119" s="120">
        <v>984828389231.29004</v>
      </c>
      <c r="Y119" s="121">
        <v>0.64168504166031959</v>
      </c>
      <c r="Z119" s="120">
        <v>547872837490.53003</v>
      </c>
      <c r="AA119" s="120">
        <v>2052313244</v>
      </c>
      <c r="AB119" s="718">
        <v>0.35697773174885888</v>
      </c>
    </row>
    <row r="120" spans="1:28" ht="27.75" hidden="1" customHeight="1">
      <c r="A120" s="32" t="e">
        <v>#REF!</v>
      </c>
      <c r="B120" s="122" t="s">
        <v>437</v>
      </c>
      <c r="C120" s="123" t="s">
        <v>167</v>
      </c>
      <c r="D120" s="123">
        <v>4101</v>
      </c>
      <c r="E120" s="123"/>
      <c r="F120" s="123"/>
      <c r="G120" s="123"/>
      <c r="H120" s="123"/>
      <c r="I120" s="123"/>
      <c r="J120" s="124"/>
      <c r="K120" s="124"/>
      <c r="L120" s="124" t="s">
        <v>169</v>
      </c>
      <c r="M120" s="125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125">
        <v>0</v>
      </c>
      <c r="T120" s="125">
        <v>0</v>
      </c>
      <c r="U120" s="125">
        <v>0</v>
      </c>
      <c r="V120" s="126">
        <v>0</v>
      </c>
      <c r="W120" s="125">
        <v>0</v>
      </c>
      <c r="X120" s="125">
        <v>0</v>
      </c>
      <c r="Y120" s="126">
        <v>0</v>
      </c>
      <c r="Z120" s="125">
        <v>0</v>
      </c>
      <c r="AA120" s="125">
        <v>0</v>
      </c>
      <c r="AB120" s="720">
        <v>0</v>
      </c>
    </row>
    <row r="121" spans="1:28" ht="24" hidden="1" customHeight="1">
      <c r="A121" s="32" t="e">
        <v>#REF!</v>
      </c>
      <c r="B121" s="127" t="s">
        <v>295</v>
      </c>
      <c r="C121" s="128" t="s">
        <v>167</v>
      </c>
      <c r="D121" s="128">
        <v>4101</v>
      </c>
      <c r="E121" s="128">
        <v>1500</v>
      </c>
      <c r="F121" s="128"/>
      <c r="G121" s="128"/>
      <c r="H121" s="128"/>
      <c r="I121" s="128"/>
      <c r="J121" s="129"/>
      <c r="K121" s="129"/>
      <c r="L121" s="129" t="s">
        <v>170</v>
      </c>
      <c r="M121" s="130"/>
      <c r="N121" s="721"/>
      <c r="O121" s="721"/>
      <c r="P121" s="721"/>
      <c r="Q121" s="721"/>
      <c r="R121" s="721"/>
      <c r="S121" s="130"/>
      <c r="T121" s="130"/>
      <c r="U121" s="721"/>
      <c r="V121" s="131">
        <v>0</v>
      </c>
      <c r="W121" s="130"/>
      <c r="X121" s="721"/>
      <c r="Y121" s="131">
        <v>0</v>
      </c>
      <c r="Z121" s="130"/>
      <c r="AA121" s="721"/>
      <c r="AB121" s="722">
        <v>0</v>
      </c>
    </row>
    <row r="122" spans="1:28" ht="54.75" hidden="1" customHeight="1">
      <c r="A122" s="32" t="e">
        <v>#REF!</v>
      </c>
      <c r="B122" s="132" t="s">
        <v>454</v>
      </c>
      <c r="C122" s="133" t="s">
        <v>167</v>
      </c>
      <c r="D122" s="133" t="s">
        <v>171</v>
      </c>
      <c r="E122" s="133" t="s">
        <v>172</v>
      </c>
      <c r="F122" s="133" t="s">
        <v>173</v>
      </c>
      <c r="G122" s="133"/>
      <c r="H122" s="133"/>
      <c r="I122" s="133"/>
      <c r="J122" s="133"/>
      <c r="K122" s="134"/>
      <c r="L122" s="134" t="s">
        <v>174</v>
      </c>
      <c r="M122" s="135">
        <v>0</v>
      </c>
      <c r="N122" s="136">
        <v>0</v>
      </c>
      <c r="O122" s="136">
        <v>0</v>
      </c>
      <c r="P122" s="136">
        <v>0</v>
      </c>
      <c r="Q122" s="136">
        <v>0</v>
      </c>
      <c r="R122" s="136">
        <v>0</v>
      </c>
      <c r="S122" s="135">
        <v>0</v>
      </c>
      <c r="T122" s="135">
        <v>0</v>
      </c>
      <c r="U122" s="135">
        <v>0</v>
      </c>
      <c r="V122" s="137">
        <v>0</v>
      </c>
      <c r="W122" s="135">
        <v>0</v>
      </c>
      <c r="X122" s="136">
        <v>0</v>
      </c>
      <c r="Y122" s="137">
        <v>0</v>
      </c>
      <c r="Z122" s="135">
        <v>0</v>
      </c>
      <c r="AA122" s="135">
        <v>0</v>
      </c>
      <c r="AB122" s="723">
        <v>0</v>
      </c>
    </row>
    <row r="123" spans="1:28" ht="31.5" hidden="1" customHeight="1">
      <c r="A123" s="32" t="e">
        <v>#REF!</v>
      </c>
      <c r="B123" s="138" t="s">
        <v>456</v>
      </c>
      <c r="C123" s="139" t="s">
        <v>167</v>
      </c>
      <c r="D123" s="139" t="s">
        <v>171</v>
      </c>
      <c r="E123" s="139" t="s">
        <v>172</v>
      </c>
      <c r="F123" s="139" t="s">
        <v>173</v>
      </c>
      <c r="G123" s="139" t="s">
        <v>175</v>
      </c>
      <c r="H123" s="139" t="s">
        <v>176</v>
      </c>
      <c r="I123" s="139"/>
      <c r="J123" s="139" t="s">
        <v>144</v>
      </c>
      <c r="K123" s="140" t="s">
        <v>29</v>
      </c>
      <c r="L123" s="140" t="s">
        <v>177</v>
      </c>
      <c r="M123" s="141">
        <v>0</v>
      </c>
      <c r="N123" s="142">
        <v>0</v>
      </c>
      <c r="O123" s="142">
        <v>0</v>
      </c>
      <c r="P123" s="142">
        <v>0</v>
      </c>
      <c r="Q123" s="142">
        <v>0</v>
      </c>
      <c r="R123" s="142">
        <v>0</v>
      </c>
      <c r="S123" s="141">
        <v>0</v>
      </c>
      <c r="T123" s="141">
        <v>0</v>
      </c>
      <c r="U123" s="141">
        <v>0</v>
      </c>
      <c r="V123" s="143">
        <v>0</v>
      </c>
      <c r="W123" s="141">
        <v>0</v>
      </c>
      <c r="X123" s="142">
        <v>0</v>
      </c>
      <c r="Y123" s="143">
        <v>0</v>
      </c>
      <c r="Z123" s="141">
        <v>0</v>
      </c>
      <c r="AA123" s="141">
        <v>0</v>
      </c>
      <c r="AB123" s="724">
        <v>0</v>
      </c>
    </row>
    <row r="124" spans="1:28" ht="24.95" hidden="1" customHeight="1">
      <c r="A124" s="32" t="e">
        <v>#REF!</v>
      </c>
      <c r="B124" s="144" t="s">
        <v>458</v>
      </c>
      <c r="C124" s="145" t="s">
        <v>167</v>
      </c>
      <c r="D124" s="145" t="s">
        <v>171</v>
      </c>
      <c r="E124" s="145" t="s">
        <v>172</v>
      </c>
      <c r="F124" s="145" t="s">
        <v>173</v>
      </c>
      <c r="G124" s="145" t="s">
        <v>175</v>
      </c>
      <c r="H124" s="145" t="s">
        <v>176</v>
      </c>
      <c r="I124" s="145" t="s">
        <v>54</v>
      </c>
      <c r="J124" s="145" t="s">
        <v>144</v>
      </c>
      <c r="K124" s="146" t="s">
        <v>29</v>
      </c>
      <c r="L124" s="147" t="s">
        <v>178</v>
      </c>
      <c r="M124" s="148"/>
      <c r="N124" s="148"/>
      <c r="O124" s="148"/>
      <c r="P124" s="148"/>
      <c r="Q124" s="148"/>
      <c r="R124" s="148"/>
      <c r="S124" s="148">
        <v>0</v>
      </c>
      <c r="T124" s="148"/>
      <c r="U124" s="148">
        <v>0</v>
      </c>
      <c r="V124" s="150">
        <v>0</v>
      </c>
      <c r="W124" s="148"/>
      <c r="X124" s="148">
        <v>0</v>
      </c>
      <c r="Y124" s="150">
        <v>0</v>
      </c>
      <c r="Z124" s="148"/>
      <c r="AA124" s="148">
        <v>0</v>
      </c>
      <c r="AB124" s="150">
        <v>0</v>
      </c>
    </row>
    <row r="125" spans="1:28" ht="31.5" hidden="1" customHeight="1">
      <c r="A125" s="32" t="e">
        <v>#REF!</v>
      </c>
      <c r="B125" s="138" t="s">
        <v>460</v>
      </c>
      <c r="C125" s="139" t="s">
        <v>167</v>
      </c>
      <c r="D125" s="139" t="s">
        <v>171</v>
      </c>
      <c r="E125" s="139" t="s">
        <v>172</v>
      </c>
      <c r="F125" s="139" t="s">
        <v>173</v>
      </c>
      <c r="G125" s="139" t="s">
        <v>175</v>
      </c>
      <c r="H125" s="139" t="s">
        <v>179</v>
      </c>
      <c r="I125" s="139"/>
      <c r="J125" s="139" t="s">
        <v>144</v>
      </c>
      <c r="K125" s="140" t="s">
        <v>29</v>
      </c>
      <c r="L125" s="140" t="s">
        <v>180</v>
      </c>
      <c r="M125" s="141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1">
        <v>0</v>
      </c>
      <c r="T125" s="141">
        <v>0</v>
      </c>
      <c r="U125" s="141">
        <v>0</v>
      </c>
      <c r="V125" s="143">
        <v>0</v>
      </c>
      <c r="W125" s="141">
        <v>0</v>
      </c>
      <c r="X125" s="142">
        <v>0</v>
      </c>
      <c r="Y125" s="143">
        <v>0</v>
      </c>
      <c r="Z125" s="141">
        <v>0</v>
      </c>
      <c r="AA125" s="141">
        <v>0</v>
      </c>
      <c r="AB125" s="724">
        <v>0</v>
      </c>
    </row>
    <row r="126" spans="1:28" ht="24.95" hidden="1" customHeight="1">
      <c r="A126" s="32" t="e">
        <v>#REF!</v>
      </c>
      <c r="B126" s="144" t="s">
        <v>462</v>
      </c>
      <c r="C126" s="145" t="s">
        <v>167</v>
      </c>
      <c r="D126" s="145" t="s">
        <v>171</v>
      </c>
      <c r="E126" s="145" t="s">
        <v>172</v>
      </c>
      <c r="F126" s="145" t="s">
        <v>173</v>
      </c>
      <c r="G126" s="145" t="s">
        <v>175</v>
      </c>
      <c r="H126" s="145" t="s">
        <v>179</v>
      </c>
      <c r="I126" s="145" t="s">
        <v>54</v>
      </c>
      <c r="J126" s="145" t="s">
        <v>144</v>
      </c>
      <c r="K126" s="146" t="s">
        <v>29</v>
      </c>
      <c r="L126" s="147" t="s">
        <v>178</v>
      </c>
      <c r="M126" s="148"/>
      <c r="N126" s="148"/>
      <c r="O126" s="148"/>
      <c r="P126" s="148"/>
      <c r="Q126" s="148"/>
      <c r="R126" s="148"/>
      <c r="S126" s="148">
        <v>0</v>
      </c>
      <c r="T126" s="148"/>
      <c r="U126" s="148">
        <v>0</v>
      </c>
      <c r="V126" s="150">
        <v>0</v>
      </c>
      <c r="W126" s="148"/>
      <c r="X126" s="148">
        <v>0</v>
      </c>
      <c r="Y126" s="150">
        <v>0</v>
      </c>
      <c r="Z126" s="148"/>
      <c r="AA126" s="148">
        <v>0</v>
      </c>
      <c r="AB126" s="150">
        <v>0</v>
      </c>
    </row>
    <row r="127" spans="1:28" ht="31.5" hidden="1" customHeight="1">
      <c r="A127" s="32" t="e">
        <v>#REF!</v>
      </c>
      <c r="B127" s="144" t="s">
        <v>690</v>
      </c>
      <c r="C127" s="139" t="s">
        <v>167</v>
      </c>
      <c r="D127" s="139" t="s">
        <v>171</v>
      </c>
      <c r="E127" s="139" t="s">
        <v>172</v>
      </c>
      <c r="F127" s="139" t="s">
        <v>173</v>
      </c>
      <c r="G127" s="139" t="s">
        <v>175</v>
      </c>
      <c r="H127" s="139" t="s">
        <v>181</v>
      </c>
      <c r="I127" s="139"/>
      <c r="J127" s="139" t="s">
        <v>144</v>
      </c>
      <c r="K127" s="140" t="s">
        <v>29</v>
      </c>
      <c r="L127" s="140" t="s">
        <v>182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144" t="s">
        <v>466</v>
      </c>
      <c r="C128" s="145" t="s">
        <v>167</v>
      </c>
      <c r="D128" s="145" t="s">
        <v>171</v>
      </c>
      <c r="E128" s="145" t="s">
        <v>172</v>
      </c>
      <c r="F128" s="145" t="s">
        <v>173</v>
      </c>
      <c r="G128" s="145" t="s">
        <v>175</v>
      </c>
      <c r="H128" s="145" t="s">
        <v>181</v>
      </c>
      <c r="I128" s="145" t="s">
        <v>54</v>
      </c>
      <c r="J128" s="145" t="s">
        <v>144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31.5" hidden="1" customHeight="1">
      <c r="A129" s="32" t="e">
        <v>#REF!</v>
      </c>
      <c r="B129" s="144" t="s">
        <v>691</v>
      </c>
      <c r="C129" s="139" t="s">
        <v>167</v>
      </c>
      <c r="D129" s="139" t="s">
        <v>171</v>
      </c>
      <c r="E129" s="139" t="s">
        <v>172</v>
      </c>
      <c r="F129" s="139" t="s">
        <v>173</v>
      </c>
      <c r="G129" s="139" t="s">
        <v>175</v>
      </c>
      <c r="H129" s="139" t="s">
        <v>183</v>
      </c>
      <c r="I129" s="139"/>
      <c r="J129" s="139" t="s">
        <v>144</v>
      </c>
      <c r="K129" s="140" t="s">
        <v>29</v>
      </c>
      <c r="L129" s="140" t="s">
        <v>184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144" t="s">
        <v>470</v>
      </c>
      <c r="C130" s="145" t="s">
        <v>167</v>
      </c>
      <c r="D130" s="145" t="s">
        <v>171</v>
      </c>
      <c r="E130" s="145" t="s">
        <v>172</v>
      </c>
      <c r="F130" s="145" t="s">
        <v>173</v>
      </c>
      <c r="G130" s="145" t="s">
        <v>175</v>
      </c>
      <c r="H130" s="145" t="s">
        <v>183</v>
      </c>
      <c r="I130" s="145" t="s">
        <v>54</v>
      </c>
      <c r="J130" s="145" t="s">
        <v>144</v>
      </c>
      <c r="K130" s="146" t="s">
        <v>29</v>
      </c>
      <c r="L130" s="147" t="s">
        <v>178</v>
      </c>
      <c r="M130" s="148">
        <v>0</v>
      </c>
      <c r="N130" s="148"/>
      <c r="O130" s="148"/>
      <c r="P130" s="148"/>
      <c r="Q130" s="148"/>
      <c r="R130" s="148"/>
      <c r="S130" s="148">
        <v>0</v>
      </c>
      <c r="T130" s="148">
        <v>0</v>
      </c>
      <c r="U130" s="148">
        <v>0</v>
      </c>
      <c r="V130" s="150">
        <v>0</v>
      </c>
      <c r="W130" s="148">
        <v>0</v>
      </c>
      <c r="X130" s="148">
        <v>0</v>
      </c>
      <c r="Y130" s="150">
        <v>0</v>
      </c>
      <c r="Z130" s="148">
        <v>0</v>
      </c>
      <c r="AA130" s="148">
        <v>0</v>
      </c>
      <c r="AB130" s="150">
        <v>0</v>
      </c>
    </row>
    <row r="131" spans="1:28" ht="31.5" hidden="1" customHeight="1">
      <c r="A131" s="32" t="e">
        <v>#REF!</v>
      </c>
      <c r="B131" s="138" t="s">
        <v>472</v>
      </c>
      <c r="C131" s="139" t="s">
        <v>167</v>
      </c>
      <c r="D131" s="139" t="s">
        <v>171</v>
      </c>
      <c r="E131" s="139" t="s">
        <v>172</v>
      </c>
      <c r="F131" s="139" t="s">
        <v>173</v>
      </c>
      <c r="G131" s="139" t="s">
        <v>175</v>
      </c>
      <c r="H131" s="139" t="s">
        <v>185</v>
      </c>
      <c r="I131" s="139"/>
      <c r="J131" s="139" t="s">
        <v>144</v>
      </c>
      <c r="K131" s="140" t="s">
        <v>29</v>
      </c>
      <c r="L131" s="140" t="s">
        <v>186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144" t="s">
        <v>474</v>
      </c>
      <c r="C132" s="145" t="s">
        <v>167</v>
      </c>
      <c r="D132" s="145" t="s">
        <v>171</v>
      </c>
      <c r="E132" s="145" t="s">
        <v>172</v>
      </c>
      <c r="F132" s="145" t="s">
        <v>173</v>
      </c>
      <c r="G132" s="145" t="s">
        <v>175</v>
      </c>
      <c r="H132" s="145" t="s">
        <v>185</v>
      </c>
      <c r="I132" s="145" t="s">
        <v>54</v>
      </c>
      <c r="J132" s="145" t="s">
        <v>144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31.5" hidden="1" customHeight="1">
      <c r="A133" s="32" t="e">
        <v>#REF!</v>
      </c>
      <c r="B133" s="32"/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187</v>
      </c>
      <c r="I133" s="139"/>
      <c r="J133" s="139" t="s">
        <v>144</v>
      </c>
      <c r="K133" s="140" t="s">
        <v>29</v>
      </c>
      <c r="L133" s="140" t="s">
        <v>188</v>
      </c>
      <c r="M133" s="141">
        <v>0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1">
        <v>0</v>
      </c>
      <c r="T133" s="141">
        <v>0</v>
      </c>
      <c r="U133" s="141">
        <v>0</v>
      </c>
      <c r="V133" s="143">
        <v>0</v>
      </c>
      <c r="W133" s="141">
        <v>0</v>
      </c>
      <c r="X133" s="142">
        <v>0</v>
      </c>
      <c r="Y133" s="143">
        <v>0</v>
      </c>
      <c r="Z133" s="141">
        <v>0</v>
      </c>
      <c r="AA133" s="141">
        <v>0</v>
      </c>
      <c r="AB133" s="724">
        <v>0</v>
      </c>
    </row>
    <row r="134" spans="1:28" ht="24.95" hidden="1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24.95" hidden="1" customHeight="1">
      <c r="A135" s="32" t="e">
        <v>#REF!</v>
      </c>
      <c r="B135" s="32"/>
      <c r="C135" s="145" t="s">
        <v>167</v>
      </c>
      <c r="D135" s="145" t="s">
        <v>171</v>
      </c>
      <c r="E135" s="145" t="s">
        <v>172</v>
      </c>
      <c r="F135" s="145" t="s">
        <v>173</v>
      </c>
      <c r="G135" s="145" t="s">
        <v>175</v>
      </c>
      <c r="H135" s="145" t="s">
        <v>187</v>
      </c>
      <c r="I135" s="145" t="s">
        <v>65</v>
      </c>
      <c r="J135" s="145" t="s">
        <v>144</v>
      </c>
      <c r="K135" s="146" t="s">
        <v>29</v>
      </c>
      <c r="L135" s="147" t="s">
        <v>127</v>
      </c>
      <c r="M135" s="148">
        <v>0</v>
      </c>
      <c r="N135" s="148"/>
      <c r="O135" s="148"/>
      <c r="P135" s="148"/>
      <c r="Q135" s="148"/>
      <c r="R135" s="148"/>
      <c r="S135" s="148">
        <v>0</v>
      </c>
      <c r="T135" s="148">
        <v>0</v>
      </c>
      <c r="U135" s="148">
        <v>0</v>
      </c>
      <c r="V135" s="150">
        <v>0</v>
      </c>
      <c r="W135" s="148">
        <v>0</v>
      </c>
      <c r="X135" s="148">
        <v>0</v>
      </c>
      <c r="Y135" s="150">
        <v>0</v>
      </c>
      <c r="Z135" s="148">
        <v>0</v>
      </c>
      <c r="AA135" s="148">
        <v>0</v>
      </c>
      <c r="AB135" s="150">
        <v>0</v>
      </c>
    </row>
    <row r="136" spans="1:28" ht="35.25" customHeight="1">
      <c r="A136" s="32" t="e">
        <v>#REF!</v>
      </c>
      <c r="B136" s="122" t="s">
        <v>482</v>
      </c>
      <c r="C136" s="123" t="s">
        <v>167</v>
      </c>
      <c r="D136" s="123">
        <v>4103</v>
      </c>
      <c r="E136" s="123"/>
      <c r="F136" s="123"/>
      <c r="G136" s="123"/>
      <c r="H136" s="123"/>
      <c r="I136" s="123"/>
      <c r="J136" s="124"/>
      <c r="K136" s="124"/>
      <c r="L136" s="124" t="s">
        <v>189</v>
      </c>
      <c r="M136" s="125">
        <v>12911249110989</v>
      </c>
      <c r="N136" s="719">
        <v>0</v>
      </c>
      <c r="O136" s="719">
        <v>0</v>
      </c>
      <c r="P136" s="125">
        <v>47430457256.639999</v>
      </c>
      <c r="Q136" s="125">
        <v>47430457256.639999</v>
      </c>
      <c r="R136" s="719">
        <v>0</v>
      </c>
      <c r="S136" s="125">
        <v>12911249110989</v>
      </c>
      <c r="T136" s="125">
        <v>1534147275699.8198</v>
      </c>
      <c r="U136" s="125">
        <v>11377101835289.18</v>
      </c>
      <c r="V136" s="126">
        <v>0.11882252929300846</v>
      </c>
      <c r="W136" s="125">
        <v>549318886468.53003</v>
      </c>
      <c r="X136" s="125">
        <v>984828389231.29004</v>
      </c>
      <c r="Y136" s="126">
        <v>0.64193862273232449</v>
      </c>
      <c r="Z136" s="125">
        <v>547266573224.53003</v>
      </c>
      <c r="AA136" s="125">
        <v>2052313244</v>
      </c>
      <c r="AB136" s="720">
        <v>0.35672362223169723</v>
      </c>
    </row>
    <row r="137" spans="1:28" ht="24" customHeight="1">
      <c r="A137" s="32" t="e">
        <v>#REF!</v>
      </c>
      <c r="B137" s="127" t="s">
        <v>296</v>
      </c>
      <c r="C137" s="128" t="s">
        <v>167</v>
      </c>
      <c r="D137" s="128">
        <v>4103</v>
      </c>
      <c r="E137" s="128">
        <v>1500</v>
      </c>
      <c r="F137" s="128"/>
      <c r="G137" s="128"/>
      <c r="H137" s="128"/>
      <c r="I137" s="128"/>
      <c r="J137" s="129"/>
      <c r="K137" s="129"/>
      <c r="L137" s="129" t="s">
        <v>170</v>
      </c>
      <c r="M137" s="130">
        <v>12911249110989</v>
      </c>
      <c r="N137" s="130">
        <v>0</v>
      </c>
      <c r="O137" s="130">
        <v>0</v>
      </c>
      <c r="P137" s="130">
        <v>47430457256.639999</v>
      </c>
      <c r="Q137" s="130">
        <v>47430457256.639999</v>
      </c>
      <c r="R137" s="130">
        <v>0</v>
      </c>
      <c r="S137" s="130">
        <v>12911249110989</v>
      </c>
      <c r="T137" s="130">
        <v>1534147275699.8198</v>
      </c>
      <c r="U137" s="130">
        <v>11377101835289.18</v>
      </c>
      <c r="V137" s="131">
        <v>0.11882252929300846</v>
      </c>
      <c r="W137" s="130">
        <v>549318886468.53003</v>
      </c>
      <c r="X137" s="130">
        <v>984828389231.29004</v>
      </c>
      <c r="Y137" s="131">
        <v>0.64193862273232449</v>
      </c>
      <c r="Z137" s="130">
        <v>547266573224.53003</v>
      </c>
      <c r="AA137" s="130">
        <v>2052313244</v>
      </c>
      <c r="AB137" s="722">
        <v>0.35672362223169723</v>
      </c>
    </row>
    <row r="138" spans="1:28" ht="42.75" customHeight="1">
      <c r="A138" s="32" t="e">
        <v>#REF!</v>
      </c>
      <c r="B138" s="132" t="s">
        <v>297</v>
      </c>
      <c r="C138" s="133" t="s">
        <v>167</v>
      </c>
      <c r="D138" s="133" t="s">
        <v>190</v>
      </c>
      <c r="E138" s="133" t="s">
        <v>172</v>
      </c>
      <c r="F138" s="133" t="s">
        <v>191</v>
      </c>
      <c r="G138" s="133"/>
      <c r="H138" s="133"/>
      <c r="I138" s="133"/>
      <c r="J138" s="133"/>
      <c r="K138" s="134"/>
      <c r="L138" s="134" t="s">
        <v>263</v>
      </c>
      <c r="M138" s="135">
        <v>2205025363612</v>
      </c>
      <c r="N138" s="136">
        <v>0</v>
      </c>
      <c r="O138" s="136">
        <v>0</v>
      </c>
      <c r="P138" s="135">
        <v>9919411136</v>
      </c>
      <c r="Q138" s="135">
        <v>9919411136</v>
      </c>
      <c r="R138" s="136">
        <v>0</v>
      </c>
      <c r="S138" s="135">
        <v>2205025363612</v>
      </c>
      <c r="T138" s="135">
        <v>118771682757.10001</v>
      </c>
      <c r="U138" s="135">
        <v>2086253680854.8999</v>
      </c>
      <c r="V138" s="137">
        <v>5.3864089147048592E-2</v>
      </c>
      <c r="W138" s="135">
        <v>85040525982.220001</v>
      </c>
      <c r="X138" s="135">
        <v>33731156774.879997</v>
      </c>
      <c r="Y138" s="137">
        <v>0.28399999050163827</v>
      </c>
      <c r="Z138" s="135">
        <v>83776636337.220001</v>
      </c>
      <c r="AA138" s="135">
        <v>1263889645</v>
      </c>
      <c r="AB138" s="723">
        <v>0.70535867129668961</v>
      </c>
    </row>
    <row r="139" spans="1:28" ht="30.75" customHeight="1">
      <c r="A139" s="32" t="e">
        <v>#REF!</v>
      </c>
      <c r="B139" s="138" t="s">
        <v>486</v>
      </c>
      <c r="C139" s="139" t="s">
        <v>167</v>
      </c>
      <c r="D139" s="139" t="s">
        <v>190</v>
      </c>
      <c r="E139" s="139" t="s">
        <v>172</v>
      </c>
      <c r="F139" s="139" t="s">
        <v>191</v>
      </c>
      <c r="G139" s="139" t="s">
        <v>175</v>
      </c>
      <c r="H139" s="139" t="s">
        <v>193</v>
      </c>
      <c r="I139" s="139"/>
      <c r="J139" s="139"/>
      <c r="K139" s="140"/>
      <c r="L139" s="140" t="s">
        <v>194</v>
      </c>
      <c r="M139" s="141">
        <v>2199003443612</v>
      </c>
      <c r="N139" s="142">
        <v>0</v>
      </c>
      <c r="O139" s="142">
        <v>0</v>
      </c>
      <c r="P139" s="141">
        <v>9919411136</v>
      </c>
      <c r="Q139" s="141">
        <v>9919411136</v>
      </c>
      <c r="R139" s="142">
        <v>0</v>
      </c>
      <c r="S139" s="141">
        <v>2199003443612</v>
      </c>
      <c r="T139" s="141">
        <v>118771682757.10001</v>
      </c>
      <c r="U139" s="141">
        <v>2080231760854.8999</v>
      </c>
      <c r="V139" s="143">
        <v>5.4011594707650899E-2</v>
      </c>
      <c r="W139" s="141">
        <v>85040525982.220001</v>
      </c>
      <c r="X139" s="141">
        <v>33731156774.879997</v>
      </c>
      <c r="Y139" s="143">
        <v>0.28399999050163827</v>
      </c>
      <c r="Z139" s="141">
        <v>83776636337.220001</v>
      </c>
      <c r="AA139" s="141">
        <v>1263889645</v>
      </c>
      <c r="AB139" s="724">
        <v>0.70535867129668961</v>
      </c>
    </row>
    <row r="140" spans="1:28" ht="24.95" customHeight="1">
      <c r="A140" s="32" t="e">
        <v>#REF!</v>
      </c>
      <c r="B140" s="144" t="s">
        <v>488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54</v>
      </c>
      <c r="J140" s="145">
        <v>11</v>
      </c>
      <c r="K140" s="146" t="s">
        <v>29</v>
      </c>
      <c r="L140" s="147" t="s">
        <v>178</v>
      </c>
      <c r="M140" s="148">
        <v>92687031389</v>
      </c>
      <c r="N140" s="148"/>
      <c r="O140" s="148"/>
      <c r="P140" s="148">
        <v>9770858686</v>
      </c>
      <c r="Q140" s="148"/>
      <c r="R140" s="148"/>
      <c r="S140" s="148">
        <v>102457890075</v>
      </c>
      <c r="T140" s="148">
        <v>37331682757.099998</v>
      </c>
      <c r="U140" s="148">
        <v>65126207317.900002</v>
      </c>
      <c r="V140" s="150">
        <v>0.36436122908419161</v>
      </c>
      <c r="W140" s="148">
        <v>3600525982.2199998</v>
      </c>
      <c r="X140" s="148">
        <v>33731156774.879997</v>
      </c>
      <c r="Y140" s="150">
        <v>0.90355307566372078</v>
      </c>
      <c r="Z140" s="148">
        <v>2336636337.2199998</v>
      </c>
      <c r="AA140" s="148">
        <v>1263889645</v>
      </c>
      <c r="AB140" s="150">
        <v>6.259124059377158E-2</v>
      </c>
    </row>
    <row r="141" spans="1:28" ht="24.95" customHeight="1">
      <c r="A141" s="32" t="e">
        <v>#REF!</v>
      </c>
      <c r="B141" s="144" t="s">
        <v>488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54</v>
      </c>
      <c r="J141" s="145">
        <v>13</v>
      </c>
      <c r="K141" s="146" t="s">
        <v>29</v>
      </c>
      <c r="L141" s="147" t="s">
        <v>178</v>
      </c>
      <c r="M141" s="148"/>
      <c r="N141" s="148"/>
      <c r="O141" s="148"/>
      <c r="P141" s="148">
        <v>148552450</v>
      </c>
      <c r="Q141" s="148"/>
      <c r="R141" s="148"/>
      <c r="S141" s="148">
        <v>148552450</v>
      </c>
      <c r="T141" s="148">
        <v>0</v>
      </c>
      <c r="U141" s="148">
        <v>148552450</v>
      </c>
      <c r="V141" s="150">
        <v>0</v>
      </c>
      <c r="W141" s="148">
        <v>0</v>
      </c>
      <c r="X141" s="148">
        <v>0</v>
      </c>
      <c r="Y141" s="150">
        <v>0</v>
      </c>
      <c r="Z141" s="148">
        <v>0</v>
      </c>
      <c r="AA141" s="148">
        <v>0</v>
      </c>
      <c r="AB141" s="150">
        <v>0</v>
      </c>
    </row>
    <row r="142" spans="1:28" ht="24.95" customHeight="1">
      <c r="A142" s="32" t="e">
        <v>#REF!</v>
      </c>
      <c r="B142" s="144" t="s">
        <v>491</v>
      </c>
      <c r="C142" s="145" t="s">
        <v>167</v>
      </c>
      <c r="D142" s="145" t="s">
        <v>190</v>
      </c>
      <c r="E142" s="145" t="s">
        <v>172</v>
      </c>
      <c r="F142" s="145" t="s">
        <v>191</v>
      </c>
      <c r="G142" s="145" t="s">
        <v>175</v>
      </c>
      <c r="H142" s="145" t="s">
        <v>193</v>
      </c>
      <c r="I142" s="145" t="s">
        <v>65</v>
      </c>
      <c r="J142" s="145" t="s">
        <v>144</v>
      </c>
      <c r="K142" s="146" t="s">
        <v>29</v>
      </c>
      <c r="L142" s="147" t="s">
        <v>127</v>
      </c>
      <c r="M142" s="148">
        <v>240070263035</v>
      </c>
      <c r="N142" s="148"/>
      <c r="O142" s="148"/>
      <c r="P142" s="148"/>
      <c r="Q142" s="148">
        <v>9770858686</v>
      </c>
      <c r="R142" s="148"/>
      <c r="S142" s="148">
        <v>230299404349</v>
      </c>
      <c r="T142" s="148">
        <v>81440000000</v>
      </c>
      <c r="U142" s="148">
        <v>148859404349</v>
      </c>
      <c r="V142" s="150">
        <v>0.35362662022600938</v>
      </c>
      <c r="W142" s="148">
        <v>81440000000</v>
      </c>
      <c r="X142" s="148">
        <v>0</v>
      </c>
      <c r="Y142" s="150">
        <v>0</v>
      </c>
      <c r="Z142" s="148">
        <v>81440000000</v>
      </c>
      <c r="AA142" s="148">
        <v>0</v>
      </c>
      <c r="AB142" s="150">
        <v>1</v>
      </c>
    </row>
    <row r="143" spans="1:28" ht="24.95" customHeight="1">
      <c r="A143" s="32" t="e">
        <v>#REF!</v>
      </c>
      <c r="B143" s="144" t="s">
        <v>491</v>
      </c>
      <c r="C143" s="145" t="s">
        <v>167</v>
      </c>
      <c r="D143" s="145" t="s">
        <v>190</v>
      </c>
      <c r="E143" s="145" t="s">
        <v>172</v>
      </c>
      <c r="F143" s="145" t="s">
        <v>191</v>
      </c>
      <c r="G143" s="145" t="s">
        <v>175</v>
      </c>
      <c r="H143" s="145" t="s">
        <v>193</v>
      </c>
      <c r="I143" s="145" t="s">
        <v>65</v>
      </c>
      <c r="J143" s="145">
        <v>13</v>
      </c>
      <c r="K143" s="146" t="s">
        <v>29</v>
      </c>
      <c r="L143" s="147" t="s">
        <v>127</v>
      </c>
      <c r="M143" s="148">
        <v>1866246149188</v>
      </c>
      <c r="N143" s="148"/>
      <c r="O143" s="148"/>
      <c r="P143" s="148"/>
      <c r="Q143" s="148">
        <v>148552450</v>
      </c>
      <c r="R143" s="148"/>
      <c r="S143" s="148">
        <v>1866097596738</v>
      </c>
      <c r="T143" s="148">
        <v>0</v>
      </c>
      <c r="U143" s="148">
        <v>1866097596738</v>
      </c>
      <c r="V143" s="150">
        <v>0</v>
      </c>
      <c r="W143" s="148">
        <v>0</v>
      </c>
      <c r="X143" s="148">
        <v>0</v>
      </c>
      <c r="Y143" s="150">
        <v>0</v>
      </c>
      <c r="Z143" s="148">
        <v>0</v>
      </c>
      <c r="AA143" s="148">
        <v>0</v>
      </c>
      <c r="AB143" s="150">
        <v>0</v>
      </c>
    </row>
    <row r="144" spans="1:28" ht="32.25" customHeight="1">
      <c r="A144" s="32" t="e">
        <v>#REF!</v>
      </c>
      <c r="B144" s="138" t="s">
        <v>494</v>
      </c>
      <c r="C144" s="139" t="s">
        <v>167</v>
      </c>
      <c r="D144" s="139" t="s">
        <v>190</v>
      </c>
      <c r="E144" s="139" t="s">
        <v>172</v>
      </c>
      <c r="F144" s="139" t="s">
        <v>191</v>
      </c>
      <c r="G144" s="139" t="s">
        <v>175</v>
      </c>
      <c r="H144" s="139">
        <v>4103009</v>
      </c>
      <c r="I144" s="139"/>
      <c r="J144" s="139"/>
      <c r="K144" s="140" t="s">
        <v>29</v>
      </c>
      <c r="L144" s="140" t="s">
        <v>195</v>
      </c>
      <c r="M144" s="141">
        <v>5421920000</v>
      </c>
      <c r="N144" s="142">
        <v>0</v>
      </c>
      <c r="O144" s="142">
        <v>0</v>
      </c>
      <c r="P144" s="142">
        <v>0</v>
      </c>
      <c r="Q144" s="142">
        <v>0</v>
      </c>
      <c r="R144" s="142">
        <v>0</v>
      </c>
      <c r="S144" s="141">
        <v>5421920000</v>
      </c>
      <c r="T144" s="141">
        <v>0</v>
      </c>
      <c r="U144" s="141">
        <v>5421920000</v>
      </c>
      <c r="V144" s="143">
        <v>0</v>
      </c>
      <c r="W144" s="141">
        <v>0</v>
      </c>
      <c r="X144" s="141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customHeight="1">
      <c r="A145" s="32" t="e">
        <v>#REF!</v>
      </c>
      <c r="B145" s="144" t="s">
        <v>496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>
        <v>4103009</v>
      </c>
      <c r="I145" s="145" t="s">
        <v>54</v>
      </c>
      <c r="J145" s="145">
        <v>11</v>
      </c>
      <c r="K145" s="146" t="s">
        <v>29</v>
      </c>
      <c r="L145" s="147" t="s">
        <v>178</v>
      </c>
      <c r="M145" s="148">
        <v>5421920000</v>
      </c>
      <c r="N145" s="148"/>
      <c r="O145" s="148"/>
      <c r="P145" s="148"/>
      <c r="Q145" s="148"/>
      <c r="R145" s="148"/>
      <c r="S145" s="148">
        <v>5421920000</v>
      </c>
      <c r="T145" s="148">
        <v>0</v>
      </c>
      <c r="U145" s="148">
        <v>5421920000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32.25" customHeight="1">
      <c r="A146" s="32" t="e">
        <v>#REF!</v>
      </c>
      <c r="B146" s="138" t="s">
        <v>497</v>
      </c>
      <c r="C146" s="139" t="s">
        <v>167</v>
      </c>
      <c r="D146" s="139" t="s">
        <v>190</v>
      </c>
      <c r="E146" s="139" t="s">
        <v>172</v>
      </c>
      <c r="F146" s="139" t="s">
        <v>191</v>
      </c>
      <c r="G146" s="139" t="s">
        <v>175</v>
      </c>
      <c r="H146" s="139">
        <v>4103047</v>
      </c>
      <c r="I146" s="139"/>
      <c r="J146" s="139">
        <v>11</v>
      </c>
      <c r="K146" s="140" t="s">
        <v>29</v>
      </c>
      <c r="L146" s="140" t="s">
        <v>195</v>
      </c>
      <c r="M146" s="141">
        <v>600000000</v>
      </c>
      <c r="N146" s="142">
        <v>0</v>
      </c>
      <c r="O146" s="142">
        <v>0</v>
      </c>
      <c r="P146" s="142">
        <v>0</v>
      </c>
      <c r="Q146" s="142">
        <v>0</v>
      </c>
      <c r="R146" s="142">
        <v>0</v>
      </c>
      <c r="S146" s="141">
        <v>600000000</v>
      </c>
      <c r="T146" s="141">
        <v>0</v>
      </c>
      <c r="U146" s="141">
        <v>600000000</v>
      </c>
      <c r="V146" s="143">
        <v>0</v>
      </c>
      <c r="W146" s="141">
        <v>0</v>
      </c>
      <c r="X146" s="141">
        <v>0</v>
      </c>
      <c r="Y146" s="143">
        <v>0</v>
      </c>
      <c r="Z146" s="141">
        <v>0</v>
      </c>
      <c r="AA146" s="141">
        <v>0</v>
      </c>
      <c r="AB146" s="724">
        <v>0</v>
      </c>
    </row>
    <row r="147" spans="1:28" ht="24.95" customHeight="1">
      <c r="A147" s="32" t="e">
        <v>#REF!</v>
      </c>
      <c r="B147" s="144" t="s">
        <v>498</v>
      </c>
      <c r="C147" s="145" t="s">
        <v>167</v>
      </c>
      <c r="D147" s="145" t="s">
        <v>190</v>
      </c>
      <c r="E147" s="145" t="s">
        <v>172</v>
      </c>
      <c r="F147" s="145" t="s">
        <v>191</v>
      </c>
      <c r="G147" s="145" t="s">
        <v>175</v>
      </c>
      <c r="H147" s="145">
        <v>4103047</v>
      </c>
      <c r="I147" s="145" t="s">
        <v>54</v>
      </c>
      <c r="J147" s="145">
        <v>11</v>
      </c>
      <c r="K147" s="146" t="s">
        <v>29</v>
      </c>
      <c r="L147" s="147" t="s">
        <v>178</v>
      </c>
      <c r="M147" s="148">
        <v>600000000</v>
      </c>
      <c r="N147" s="148"/>
      <c r="O147" s="148"/>
      <c r="P147" s="148"/>
      <c r="Q147" s="148"/>
      <c r="R147" s="148"/>
      <c r="S147" s="148">
        <v>600000000</v>
      </c>
      <c r="T147" s="148">
        <v>0</v>
      </c>
      <c r="U147" s="148">
        <v>600000000</v>
      </c>
      <c r="V147" s="150">
        <v>0</v>
      </c>
      <c r="W147" s="148">
        <v>0</v>
      </c>
      <c r="X147" s="148">
        <v>0</v>
      </c>
      <c r="Y147" s="150">
        <v>0</v>
      </c>
      <c r="Z147" s="148">
        <v>0</v>
      </c>
      <c r="AA147" s="148">
        <v>0</v>
      </c>
      <c r="AB147" s="150">
        <v>0</v>
      </c>
    </row>
    <row r="148" spans="1:28" ht="42" customHeight="1">
      <c r="A148" s="32" t="e">
        <v>#REF!</v>
      </c>
      <c r="B148" s="132" t="s">
        <v>298</v>
      </c>
      <c r="C148" s="133" t="s">
        <v>167</v>
      </c>
      <c r="D148" s="133" t="s">
        <v>190</v>
      </c>
      <c r="E148" s="133" t="s">
        <v>172</v>
      </c>
      <c r="F148" s="133" t="s">
        <v>22</v>
      </c>
      <c r="G148" s="133"/>
      <c r="H148" s="133"/>
      <c r="I148" s="133"/>
      <c r="J148" s="133"/>
      <c r="K148" s="134"/>
      <c r="L148" s="134" t="s">
        <v>264</v>
      </c>
      <c r="M148" s="135">
        <v>127000000000</v>
      </c>
      <c r="N148" s="136">
        <v>0</v>
      </c>
      <c r="O148" s="136">
        <v>0</v>
      </c>
      <c r="P148" s="136">
        <v>0</v>
      </c>
      <c r="Q148" s="136">
        <v>0</v>
      </c>
      <c r="R148" s="136">
        <v>0</v>
      </c>
      <c r="S148" s="135">
        <v>127000000000</v>
      </c>
      <c r="T148" s="135">
        <v>116779401746</v>
      </c>
      <c r="U148" s="135">
        <v>10220598254</v>
      </c>
      <c r="V148" s="137">
        <v>0.9195228483937008</v>
      </c>
      <c r="W148" s="135">
        <v>6712438754</v>
      </c>
      <c r="X148" s="135">
        <v>110066962992</v>
      </c>
      <c r="Y148" s="137">
        <v>0.94252035330169071</v>
      </c>
      <c r="Z148" s="135">
        <v>6579467245</v>
      </c>
      <c r="AA148" s="135">
        <v>132971509</v>
      </c>
      <c r="AB148" s="723">
        <v>5.6340991190472201E-2</v>
      </c>
    </row>
    <row r="149" spans="1:28" ht="32.25" customHeight="1">
      <c r="A149" s="32" t="e">
        <v>#REF!</v>
      </c>
      <c r="B149" s="138" t="s">
        <v>500</v>
      </c>
      <c r="C149" s="139" t="s">
        <v>167</v>
      </c>
      <c r="D149" s="139" t="s">
        <v>190</v>
      </c>
      <c r="E149" s="139" t="s">
        <v>172</v>
      </c>
      <c r="F149" s="139" t="s">
        <v>22</v>
      </c>
      <c r="G149" s="139" t="s">
        <v>175</v>
      </c>
      <c r="H149" s="139" t="s">
        <v>197</v>
      </c>
      <c r="I149" s="139"/>
      <c r="J149" s="139">
        <v>13</v>
      </c>
      <c r="K149" s="140" t="s">
        <v>29</v>
      </c>
      <c r="L149" s="140" t="s">
        <v>198</v>
      </c>
      <c r="M149" s="141">
        <v>12543853246</v>
      </c>
      <c r="N149" s="142">
        <v>0</v>
      </c>
      <c r="O149" s="142">
        <v>0</v>
      </c>
      <c r="P149" s="142">
        <v>0</v>
      </c>
      <c r="Q149" s="142">
        <v>0</v>
      </c>
      <c r="R149" s="142">
        <v>0</v>
      </c>
      <c r="S149" s="141">
        <v>12543853246</v>
      </c>
      <c r="T149" s="141">
        <v>12497150539</v>
      </c>
      <c r="U149" s="141">
        <v>46702707</v>
      </c>
      <c r="V149" s="143">
        <v>0.99627684523374882</v>
      </c>
      <c r="W149" s="141">
        <v>0</v>
      </c>
      <c r="X149" s="142">
        <v>12497150539</v>
      </c>
      <c r="Y149" s="143">
        <v>1</v>
      </c>
      <c r="Z149" s="141">
        <v>0</v>
      </c>
      <c r="AA149" s="141">
        <v>0</v>
      </c>
      <c r="AB149" s="724">
        <v>0</v>
      </c>
    </row>
    <row r="150" spans="1:28" ht="24.95" customHeight="1">
      <c r="A150" s="32" t="e">
        <v>#REF!</v>
      </c>
      <c r="B150" s="144" t="s">
        <v>501</v>
      </c>
      <c r="C150" s="145" t="s">
        <v>167</v>
      </c>
      <c r="D150" s="145" t="s">
        <v>190</v>
      </c>
      <c r="E150" s="145" t="s">
        <v>172</v>
      </c>
      <c r="F150" s="145" t="s">
        <v>22</v>
      </c>
      <c r="G150" s="145" t="s">
        <v>175</v>
      </c>
      <c r="H150" s="145" t="s">
        <v>197</v>
      </c>
      <c r="I150" s="145" t="s">
        <v>54</v>
      </c>
      <c r="J150" s="145">
        <v>13</v>
      </c>
      <c r="K150" s="146" t="s">
        <v>29</v>
      </c>
      <c r="L150" s="147" t="s">
        <v>178</v>
      </c>
      <c r="M150" s="148">
        <v>12543853246</v>
      </c>
      <c r="N150" s="148"/>
      <c r="O150" s="148"/>
      <c r="P150" s="148"/>
      <c r="Q150" s="148"/>
      <c r="R150" s="148"/>
      <c r="S150" s="148">
        <v>12543853246</v>
      </c>
      <c r="T150" s="148">
        <v>12497150539</v>
      </c>
      <c r="U150" s="148">
        <v>46702707</v>
      </c>
      <c r="V150" s="150">
        <v>0.99627684523374882</v>
      </c>
      <c r="W150" s="148"/>
      <c r="X150" s="148">
        <v>12497150539</v>
      </c>
      <c r="Y150" s="150">
        <v>1</v>
      </c>
      <c r="Z150" s="148"/>
      <c r="AA150" s="148">
        <v>0</v>
      </c>
      <c r="AB150" s="150">
        <v>0</v>
      </c>
    </row>
    <row r="151" spans="1:28" ht="32.25" customHeight="1">
      <c r="A151" s="32" t="e">
        <v>#REF!</v>
      </c>
      <c r="B151" s="138" t="s">
        <v>502</v>
      </c>
      <c r="C151" s="139" t="s">
        <v>167</v>
      </c>
      <c r="D151" s="139" t="s">
        <v>190</v>
      </c>
      <c r="E151" s="139" t="s">
        <v>172</v>
      </c>
      <c r="F151" s="139" t="s">
        <v>22</v>
      </c>
      <c r="G151" s="139" t="s">
        <v>175</v>
      </c>
      <c r="H151" s="139" t="s">
        <v>199</v>
      </c>
      <c r="I151" s="139"/>
      <c r="J151" s="139">
        <v>13</v>
      </c>
      <c r="K151" s="140" t="s">
        <v>29</v>
      </c>
      <c r="L151" s="140" t="s">
        <v>200</v>
      </c>
      <c r="M151" s="141">
        <v>6747471657</v>
      </c>
      <c r="N151" s="142">
        <v>0</v>
      </c>
      <c r="O151" s="142">
        <v>0</v>
      </c>
      <c r="P151" s="142">
        <v>0</v>
      </c>
      <c r="Q151" s="142">
        <v>0</v>
      </c>
      <c r="R151" s="142">
        <v>0</v>
      </c>
      <c r="S151" s="141">
        <v>6747471657</v>
      </c>
      <c r="T151" s="141">
        <v>5632124153</v>
      </c>
      <c r="U151" s="141">
        <v>1115347504</v>
      </c>
      <c r="V151" s="143">
        <v>0.83470141696069078</v>
      </c>
      <c r="W151" s="141">
        <v>0</v>
      </c>
      <c r="X151" s="142">
        <v>5632124153</v>
      </c>
      <c r="Y151" s="143">
        <v>1</v>
      </c>
      <c r="Z151" s="141">
        <v>0</v>
      </c>
      <c r="AA151" s="141">
        <v>0</v>
      </c>
      <c r="AB151" s="724">
        <v>0</v>
      </c>
    </row>
    <row r="152" spans="1:28" ht="24.95" customHeight="1">
      <c r="A152" s="32" t="e">
        <v>#REF!</v>
      </c>
      <c r="B152" s="144" t="s">
        <v>503</v>
      </c>
      <c r="C152" s="145" t="s">
        <v>167</v>
      </c>
      <c r="D152" s="145" t="s">
        <v>190</v>
      </c>
      <c r="E152" s="145" t="s">
        <v>172</v>
      </c>
      <c r="F152" s="145" t="s">
        <v>22</v>
      </c>
      <c r="G152" s="145" t="s">
        <v>175</v>
      </c>
      <c r="H152" s="145" t="s">
        <v>199</v>
      </c>
      <c r="I152" s="145" t="s">
        <v>54</v>
      </c>
      <c r="J152" s="145">
        <v>13</v>
      </c>
      <c r="K152" s="146" t="s">
        <v>29</v>
      </c>
      <c r="L152" s="147" t="s">
        <v>178</v>
      </c>
      <c r="M152" s="148">
        <v>6747471657</v>
      </c>
      <c r="N152" s="148"/>
      <c r="O152" s="148"/>
      <c r="P152" s="148"/>
      <c r="Q152" s="148"/>
      <c r="R152" s="148"/>
      <c r="S152" s="148">
        <v>6747471657</v>
      </c>
      <c r="T152" s="148">
        <v>5632124153</v>
      </c>
      <c r="U152" s="148">
        <v>1115347504</v>
      </c>
      <c r="V152" s="150">
        <v>0.83470141696069078</v>
      </c>
      <c r="W152" s="148"/>
      <c r="X152" s="148">
        <v>5632124153</v>
      </c>
      <c r="Y152" s="150">
        <v>1</v>
      </c>
      <c r="Z152" s="148"/>
      <c r="AA152" s="148">
        <v>0</v>
      </c>
      <c r="AB152" s="150">
        <v>0</v>
      </c>
    </row>
    <row r="153" spans="1:28" ht="32.25" customHeight="1">
      <c r="A153" s="32" t="e">
        <v>#REF!</v>
      </c>
      <c r="B153" s="138" t="s">
        <v>504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201</v>
      </c>
      <c r="I153" s="139"/>
      <c r="J153" s="139">
        <v>13</v>
      </c>
      <c r="K153" s="140" t="s">
        <v>29</v>
      </c>
      <c r="L153" s="140" t="s">
        <v>202</v>
      </c>
      <c r="M153" s="141">
        <v>11231519737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1">
        <v>11231519737</v>
      </c>
      <c r="T153" s="141">
        <v>7937846198</v>
      </c>
      <c r="U153" s="141">
        <v>3293673539</v>
      </c>
      <c r="V153" s="143">
        <v>0.70674729545729686</v>
      </c>
      <c r="W153" s="141">
        <v>264801455</v>
      </c>
      <c r="X153" s="141">
        <v>7673044743</v>
      </c>
      <c r="Y153" s="143">
        <v>0.96664064175661168</v>
      </c>
      <c r="Z153" s="141">
        <v>131829946</v>
      </c>
      <c r="AA153" s="141">
        <v>132971509</v>
      </c>
      <c r="AB153" s="724">
        <v>1.660777277761007E-2</v>
      </c>
    </row>
    <row r="154" spans="1:28" ht="24.95" customHeight="1">
      <c r="A154" s="32" t="e">
        <v>#REF!</v>
      </c>
      <c r="B154" s="144" t="s">
        <v>505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201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11231519737</v>
      </c>
      <c r="N154" s="148"/>
      <c r="O154" s="148"/>
      <c r="P154" s="148"/>
      <c r="Q154" s="148"/>
      <c r="R154" s="148"/>
      <c r="S154" s="148">
        <v>11231519737</v>
      </c>
      <c r="T154" s="148">
        <v>7937846198</v>
      </c>
      <c r="U154" s="148">
        <v>3293673539</v>
      </c>
      <c r="V154" s="150">
        <v>0.70674729545729686</v>
      </c>
      <c r="W154" s="148">
        <v>264801455</v>
      </c>
      <c r="X154" s="148">
        <v>7673044743</v>
      </c>
      <c r="Y154" s="150">
        <v>0.96664064175661168</v>
      </c>
      <c r="Z154" s="148">
        <v>131829946</v>
      </c>
      <c r="AA154" s="148">
        <v>132971509</v>
      </c>
      <c r="AB154" s="150">
        <v>1.660777277761007E-2</v>
      </c>
    </row>
    <row r="155" spans="1:28" ht="32.25" customHeight="1">
      <c r="A155" s="32" t="e">
        <v>#REF!</v>
      </c>
      <c r="B155" s="138" t="s">
        <v>506</v>
      </c>
      <c r="C155" s="139" t="s">
        <v>167</v>
      </c>
      <c r="D155" s="139" t="s">
        <v>190</v>
      </c>
      <c r="E155" s="139" t="s">
        <v>172</v>
      </c>
      <c r="F155" s="139" t="s">
        <v>22</v>
      </c>
      <c r="G155" s="139" t="s">
        <v>175</v>
      </c>
      <c r="H155" s="139" t="s">
        <v>203</v>
      </c>
      <c r="I155" s="139"/>
      <c r="J155" s="139">
        <v>13</v>
      </c>
      <c r="K155" s="140" t="s">
        <v>29</v>
      </c>
      <c r="L155" s="140" t="s">
        <v>204</v>
      </c>
      <c r="M155" s="141">
        <v>96477155360</v>
      </c>
      <c r="N155" s="142">
        <v>0</v>
      </c>
      <c r="O155" s="142">
        <v>0</v>
      </c>
      <c r="P155" s="142">
        <v>0</v>
      </c>
      <c r="Q155" s="142">
        <v>0</v>
      </c>
      <c r="R155" s="142">
        <v>0</v>
      </c>
      <c r="S155" s="141">
        <v>96477155360</v>
      </c>
      <c r="T155" s="141">
        <v>90712280856</v>
      </c>
      <c r="U155" s="141">
        <v>5764874504</v>
      </c>
      <c r="V155" s="143">
        <v>0.94024622220163268</v>
      </c>
      <c r="W155" s="141">
        <v>6447637299</v>
      </c>
      <c r="X155" s="141">
        <v>84264643557</v>
      </c>
      <c r="Y155" s="143">
        <v>0.92892211243993283</v>
      </c>
      <c r="Z155" s="141">
        <v>6447637299</v>
      </c>
      <c r="AA155" s="141">
        <v>0</v>
      </c>
      <c r="AB155" s="724">
        <v>7.1077887560067152E-2</v>
      </c>
    </row>
    <row r="156" spans="1:28" ht="24.95" customHeight="1">
      <c r="A156" s="32" t="e">
        <v>#REF!</v>
      </c>
      <c r="B156" s="144" t="s">
        <v>507</v>
      </c>
      <c r="C156" s="145" t="s">
        <v>167</v>
      </c>
      <c r="D156" s="145" t="s">
        <v>190</v>
      </c>
      <c r="E156" s="145" t="s">
        <v>172</v>
      </c>
      <c r="F156" s="145" t="s">
        <v>22</v>
      </c>
      <c r="G156" s="145" t="s">
        <v>175</v>
      </c>
      <c r="H156" s="145" t="s">
        <v>203</v>
      </c>
      <c r="I156" s="145" t="s">
        <v>54</v>
      </c>
      <c r="J156" s="145">
        <v>13</v>
      </c>
      <c r="K156" s="146" t="s">
        <v>29</v>
      </c>
      <c r="L156" s="147" t="s">
        <v>178</v>
      </c>
      <c r="M156" s="148">
        <v>96477155360</v>
      </c>
      <c r="N156" s="148"/>
      <c r="O156" s="148"/>
      <c r="P156" s="149"/>
      <c r="Q156" s="148"/>
      <c r="R156" s="148"/>
      <c r="S156" s="148">
        <v>96477155360</v>
      </c>
      <c r="T156" s="148">
        <v>90712280856</v>
      </c>
      <c r="U156" s="148">
        <v>5764874504</v>
      </c>
      <c r="V156" s="150">
        <v>0.94024622220163268</v>
      </c>
      <c r="W156" s="148">
        <v>6447637299</v>
      </c>
      <c r="X156" s="148">
        <v>84264643557</v>
      </c>
      <c r="Y156" s="150">
        <v>0.92892211243993283</v>
      </c>
      <c r="Z156" s="148">
        <v>6447637299</v>
      </c>
      <c r="AA156" s="148">
        <v>0</v>
      </c>
      <c r="AB156" s="150">
        <v>7.1077887560067152E-2</v>
      </c>
    </row>
    <row r="157" spans="1:28" ht="42" customHeight="1">
      <c r="A157" s="32" t="e">
        <v>#REF!</v>
      </c>
      <c r="B157" s="132" t="s">
        <v>299</v>
      </c>
      <c r="C157" s="133" t="s">
        <v>167</v>
      </c>
      <c r="D157" s="133" t="s">
        <v>190</v>
      </c>
      <c r="E157" s="133" t="s">
        <v>172</v>
      </c>
      <c r="F157" s="133" t="s">
        <v>205</v>
      </c>
      <c r="G157" s="133"/>
      <c r="H157" s="133"/>
      <c r="I157" s="133"/>
      <c r="J157" s="133"/>
      <c r="K157" s="134"/>
      <c r="L157" s="134" t="s">
        <v>265</v>
      </c>
      <c r="M157" s="135">
        <v>662805945958</v>
      </c>
      <c r="N157" s="136">
        <v>0</v>
      </c>
      <c r="O157" s="136">
        <v>0</v>
      </c>
      <c r="P157" s="135">
        <v>8666548817.3199997</v>
      </c>
      <c r="Q157" s="135">
        <v>8666548817.3199997</v>
      </c>
      <c r="R157" s="136">
        <v>0</v>
      </c>
      <c r="S157" s="135">
        <v>662805945958</v>
      </c>
      <c r="T157" s="135">
        <v>609573641735</v>
      </c>
      <c r="U157" s="135">
        <v>53232304223.000015</v>
      </c>
      <c r="V157" s="137">
        <v>0.91968644133682353</v>
      </c>
      <c r="W157" s="135">
        <v>1060671332.3099999</v>
      </c>
      <c r="X157" s="135">
        <v>608512970402.69006</v>
      </c>
      <c r="Y157" s="137">
        <v>0.99825997835258917</v>
      </c>
      <c r="Z157" s="135">
        <v>919860889.30999994</v>
      </c>
      <c r="AA157" s="135">
        <v>140810443</v>
      </c>
      <c r="AB157" s="723">
        <v>1.5090233998501712E-3</v>
      </c>
    </row>
    <row r="158" spans="1:28" ht="30.75" hidden="1" customHeight="1">
      <c r="A158" s="32"/>
      <c r="B158" s="135"/>
      <c r="C158" s="133"/>
      <c r="D158" s="133"/>
      <c r="E158" s="133"/>
      <c r="F158" s="133"/>
      <c r="G158" s="133"/>
      <c r="H158" s="133"/>
      <c r="I158" s="133"/>
      <c r="J158" s="133"/>
      <c r="K158" s="134"/>
      <c r="L158" s="135"/>
      <c r="M158" s="729"/>
      <c r="N158" s="135"/>
      <c r="O158" s="135"/>
      <c r="P158" s="136"/>
      <c r="Q158" s="135"/>
      <c r="R158" s="729"/>
      <c r="S158" s="135">
        <v>0</v>
      </c>
      <c r="T158" s="135"/>
      <c r="U158" s="135">
        <v>0</v>
      </c>
      <c r="V158" s="137"/>
      <c r="W158" s="135"/>
      <c r="X158" s="135">
        <v>0</v>
      </c>
      <c r="Y158" s="137"/>
      <c r="Z158" s="135"/>
      <c r="AA158" s="135">
        <v>0</v>
      </c>
      <c r="AB158" s="723"/>
    </row>
    <row r="159" spans="1:28" ht="32.25" customHeight="1">
      <c r="A159" s="32" t="e">
        <v>#REF!</v>
      </c>
      <c r="B159" s="138" t="s">
        <v>510</v>
      </c>
      <c r="C159" s="139" t="s">
        <v>167</v>
      </c>
      <c r="D159" s="139" t="s">
        <v>190</v>
      </c>
      <c r="E159" s="139" t="s">
        <v>172</v>
      </c>
      <c r="F159" s="139" t="s">
        <v>205</v>
      </c>
      <c r="G159" s="139" t="s">
        <v>175</v>
      </c>
      <c r="H159" s="139" t="s">
        <v>207</v>
      </c>
      <c r="I159" s="139"/>
      <c r="J159" s="139"/>
      <c r="K159" s="140"/>
      <c r="L159" s="140" t="s">
        <v>208</v>
      </c>
      <c r="M159" s="141">
        <v>633930608285</v>
      </c>
      <c r="N159" s="142">
        <v>0</v>
      </c>
      <c r="O159" s="142">
        <v>0</v>
      </c>
      <c r="P159" s="141">
        <v>8611210122.4200001</v>
      </c>
      <c r="Q159" s="141">
        <v>5898610613.4200001</v>
      </c>
      <c r="R159" s="142">
        <v>0</v>
      </c>
      <c r="S159" s="141">
        <v>636643207794</v>
      </c>
      <c r="T159" s="141">
        <v>584737801630.09998</v>
      </c>
      <c r="U159" s="141">
        <v>51905406163.900017</v>
      </c>
      <c r="V159" s="143">
        <v>0.91847017995565394</v>
      </c>
      <c r="W159" s="141">
        <v>219144956.31</v>
      </c>
      <c r="X159" s="141">
        <v>584518656673.79004</v>
      </c>
      <c r="Y159" s="143">
        <v>0.99962522526216191</v>
      </c>
      <c r="Z159" s="141">
        <v>219144956.31</v>
      </c>
      <c r="AA159" s="141">
        <v>0</v>
      </c>
      <c r="AB159" s="724">
        <v>3.7477473783818955E-4</v>
      </c>
    </row>
    <row r="160" spans="1:28" ht="24.95" customHeight="1">
      <c r="A160" s="32" t="e">
        <v>#REF!</v>
      </c>
      <c r="B160" s="144" t="s">
        <v>511</v>
      </c>
      <c r="C160" s="145" t="s">
        <v>167</v>
      </c>
      <c r="D160" s="145" t="s">
        <v>190</v>
      </c>
      <c r="E160" s="145" t="s">
        <v>172</v>
      </c>
      <c r="F160" s="145" t="s">
        <v>205</v>
      </c>
      <c r="G160" s="145" t="s">
        <v>175</v>
      </c>
      <c r="H160" s="145" t="s">
        <v>207</v>
      </c>
      <c r="I160" s="145" t="s">
        <v>54</v>
      </c>
      <c r="J160" s="145">
        <v>13</v>
      </c>
      <c r="K160" s="146" t="s">
        <v>29</v>
      </c>
      <c r="L160" s="147" t="s">
        <v>178</v>
      </c>
      <c r="M160" s="148">
        <v>74930114899</v>
      </c>
      <c r="N160" s="148"/>
      <c r="O160" s="148"/>
      <c r="P160" s="148"/>
      <c r="Q160" s="148">
        <v>5843271918.5200005</v>
      </c>
      <c r="R160" s="149"/>
      <c r="S160" s="148">
        <v>69086842980.479996</v>
      </c>
      <c r="T160" s="148">
        <v>63615571483.099998</v>
      </c>
      <c r="U160" s="148">
        <v>5471271497.3799973</v>
      </c>
      <c r="V160" s="150">
        <v>0.92080588341653036</v>
      </c>
      <c r="W160" s="148">
        <v>219144956.31</v>
      </c>
      <c r="X160" s="148">
        <v>63396426526.790001</v>
      </c>
      <c r="Y160" s="150">
        <v>0.99655516800052302</v>
      </c>
      <c r="Z160" s="148">
        <v>219144956.31</v>
      </c>
      <c r="AA160" s="148">
        <v>0</v>
      </c>
      <c r="AB160" s="150">
        <v>3.4448319994770096E-3</v>
      </c>
    </row>
    <row r="161" spans="1:28" ht="24.95" customHeight="1">
      <c r="A161" s="32" t="e">
        <v>#REF!</v>
      </c>
      <c r="B161" s="144" t="s">
        <v>514</v>
      </c>
      <c r="C161" s="145" t="s">
        <v>167</v>
      </c>
      <c r="D161" s="145" t="s">
        <v>190</v>
      </c>
      <c r="E161" s="145" t="s">
        <v>172</v>
      </c>
      <c r="F161" s="145" t="s">
        <v>205</v>
      </c>
      <c r="G161" s="145" t="s">
        <v>175</v>
      </c>
      <c r="H161" s="145" t="s">
        <v>207</v>
      </c>
      <c r="I161" s="145" t="s">
        <v>65</v>
      </c>
      <c r="J161" s="145">
        <v>13</v>
      </c>
      <c r="K161" s="146" t="s">
        <v>29</v>
      </c>
      <c r="L161" s="147" t="s">
        <v>127</v>
      </c>
      <c r="M161" s="148">
        <v>559000493386</v>
      </c>
      <c r="N161" s="149"/>
      <c r="O161" s="148"/>
      <c r="P161" s="148">
        <v>8611210122.4200001</v>
      </c>
      <c r="Q161" s="148">
        <v>55338694.899999999</v>
      </c>
      <c r="R161" s="149"/>
      <c r="S161" s="149">
        <v>567556364813.52002</v>
      </c>
      <c r="T161" s="148">
        <v>521122230147</v>
      </c>
      <c r="U161" s="148">
        <v>46434134666.52002</v>
      </c>
      <c r="V161" s="150">
        <v>0.91818586215348541</v>
      </c>
      <c r="W161" s="148">
        <v>0</v>
      </c>
      <c r="X161" s="148">
        <v>521122230147</v>
      </c>
      <c r="Y161" s="150">
        <v>1</v>
      </c>
      <c r="Z161" s="148">
        <v>0</v>
      </c>
      <c r="AA161" s="148">
        <v>0</v>
      </c>
      <c r="AB161" s="150">
        <v>0</v>
      </c>
    </row>
    <row r="162" spans="1:28" ht="32.25" customHeight="1">
      <c r="A162" s="32" t="e">
        <v>#REF!</v>
      </c>
      <c r="B162" s="138" t="s">
        <v>516</v>
      </c>
      <c r="C162" s="139" t="s">
        <v>167</v>
      </c>
      <c r="D162" s="139" t="s">
        <v>190</v>
      </c>
      <c r="E162" s="139" t="s">
        <v>172</v>
      </c>
      <c r="F162" s="139" t="s">
        <v>205</v>
      </c>
      <c r="G162" s="139" t="s">
        <v>175</v>
      </c>
      <c r="H162" s="139" t="s">
        <v>209</v>
      </c>
      <c r="I162" s="139"/>
      <c r="J162" s="139">
        <v>11</v>
      </c>
      <c r="K162" s="140" t="s">
        <v>29</v>
      </c>
      <c r="L162" s="140" t="s">
        <v>210</v>
      </c>
      <c r="M162" s="141">
        <v>28875337673</v>
      </c>
      <c r="N162" s="142">
        <v>0</v>
      </c>
      <c r="O162" s="142">
        <v>0</v>
      </c>
      <c r="P162" s="141">
        <v>55338694.899999999</v>
      </c>
      <c r="Q162" s="141">
        <v>2767938203.9000001</v>
      </c>
      <c r="R162" s="142">
        <v>0</v>
      </c>
      <c r="S162" s="141">
        <v>26162738164</v>
      </c>
      <c r="T162" s="141">
        <v>24835840104.900002</v>
      </c>
      <c r="U162" s="141">
        <v>1326898059.1000004</v>
      </c>
      <c r="V162" s="143">
        <v>0.94928290568126339</v>
      </c>
      <c r="W162" s="141">
        <v>841526376</v>
      </c>
      <c r="X162" s="141">
        <v>23994313728.900002</v>
      </c>
      <c r="Y162" s="143">
        <v>0.96611645217372899</v>
      </c>
      <c r="Z162" s="141">
        <v>700715933</v>
      </c>
      <c r="AA162" s="141">
        <v>140810443</v>
      </c>
      <c r="AB162" s="724">
        <v>2.8213900960884018E-2</v>
      </c>
    </row>
    <row r="163" spans="1:28" ht="24.95" customHeight="1">
      <c r="A163" s="32" t="e">
        <v>#REF!</v>
      </c>
      <c r="B163" s="144" t="s">
        <v>517</v>
      </c>
      <c r="C163" s="145" t="s">
        <v>167</v>
      </c>
      <c r="D163" s="145" t="s">
        <v>190</v>
      </c>
      <c r="E163" s="145" t="s">
        <v>172</v>
      </c>
      <c r="F163" s="145" t="s">
        <v>205</v>
      </c>
      <c r="G163" s="145" t="s">
        <v>175</v>
      </c>
      <c r="H163" s="145" t="s">
        <v>209</v>
      </c>
      <c r="I163" s="145" t="s">
        <v>54</v>
      </c>
      <c r="J163" s="145">
        <v>11</v>
      </c>
      <c r="K163" s="146" t="s">
        <v>29</v>
      </c>
      <c r="L163" s="147" t="s">
        <v>178</v>
      </c>
      <c r="M163" s="148">
        <v>17101987014</v>
      </c>
      <c r="N163" s="148"/>
      <c r="O163" s="148"/>
      <c r="P163" s="148"/>
      <c r="Q163" s="149"/>
      <c r="R163" s="148"/>
      <c r="S163" s="148">
        <v>17101987014</v>
      </c>
      <c r="T163" s="148">
        <v>17099104901</v>
      </c>
      <c r="U163" s="148">
        <v>2882113</v>
      </c>
      <c r="V163" s="150">
        <v>0.99983147496266711</v>
      </c>
      <c r="W163" s="148">
        <v>567400923</v>
      </c>
      <c r="X163" s="148">
        <v>16531703978</v>
      </c>
      <c r="Y163" s="150">
        <v>0.96681692250646312</v>
      </c>
      <c r="Z163" s="148">
        <v>516539302</v>
      </c>
      <c r="AA163" s="148">
        <v>50861621</v>
      </c>
      <c r="AB163" s="150">
        <v>3.0208557991230959E-2</v>
      </c>
    </row>
    <row r="164" spans="1:28" ht="24.95" customHeight="1">
      <c r="A164" s="32" t="e">
        <v>#REF!</v>
      </c>
      <c r="B164" s="144" t="s">
        <v>517</v>
      </c>
      <c r="C164" s="145" t="s">
        <v>167</v>
      </c>
      <c r="D164" s="145" t="s">
        <v>190</v>
      </c>
      <c r="E164" s="145" t="s">
        <v>172</v>
      </c>
      <c r="F164" s="145" t="s">
        <v>205</v>
      </c>
      <c r="G164" s="145" t="s">
        <v>175</v>
      </c>
      <c r="H164" s="145" t="s">
        <v>209</v>
      </c>
      <c r="I164" s="145" t="s">
        <v>54</v>
      </c>
      <c r="J164" s="145">
        <v>13</v>
      </c>
      <c r="K164" s="146" t="s">
        <v>29</v>
      </c>
      <c r="L164" s="147" t="s">
        <v>178</v>
      </c>
      <c r="M164" s="148">
        <v>11773350659</v>
      </c>
      <c r="N164" s="148"/>
      <c r="O164" s="148"/>
      <c r="P164" s="148">
        <v>55338694.899999999</v>
      </c>
      <c r="Q164" s="148">
        <v>2767938203.9000001</v>
      </c>
      <c r="R164" s="148"/>
      <c r="S164" s="148">
        <v>9060751150</v>
      </c>
      <c r="T164" s="148">
        <v>7736735203.8999996</v>
      </c>
      <c r="U164" s="148">
        <v>1324015946.1000004</v>
      </c>
      <c r="V164" s="150">
        <v>0.85387348971613675</v>
      </c>
      <c r="W164" s="148">
        <v>274125453</v>
      </c>
      <c r="X164" s="148">
        <v>7462609750.8999996</v>
      </c>
      <c r="Y164" s="150">
        <v>0.96456832943412407</v>
      </c>
      <c r="Z164" s="148">
        <v>184176631</v>
      </c>
      <c r="AA164" s="148">
        <v>89948822</v>
      </c>
      <c r="AB164" s="150">
        <v>2.380547170687174E-2</v>
      </c>
    </row>
    <row r="165" spans="1:28" ht="38.25" customHeight="1">
      <c r="A165" s="32" t="e">
        <v>#REF!</v>
      </c>
      <c r="B165" s="132" t="s">
        <v>520</v>
      </c>
      <c r="C165" s="133" t="s">
        <v>167</v>
      </c>
      <c r="D165" s="133" t="s">
        <v>190</v>
      </c>
      <c r="E165" s="133" t="s">
        <v>172</v>
      </c>
      <c r="F165" s="133" t="s">
        <v>211</v>
      </c>
      <c r="G165" s="133"/>
      <c r="H165" s="133"/>
      <c r="I165" s="133"/>
      <c r="J165" s="133"/>
      <c r="K165" s="134"/>
      <c r="L165" s="134" t="s">
        <v>266</v>
      </c>
      <c r="M165" s="135">
        <v>1000000000</v>
      </c>
      <c r="N165" s="136">
        <v>0</v>
      </c>
      <c r="O165" s="136">
        <v>0</v>
      </c>
      <c r="P165" s="136">
        <v>0</v>
      </c>
      <c r="Q165" s="136">
        <v>0</v>
      </c>
      <c r="R165" s="136">
        <v>0</v>
      </c>
      <c r="S165" s="135">
        <v>1000000000</v>
      </c>
      <c r="T165" s="135">
        <v>0</v>
      </c>
      <c r="U165" s="135">
        <v>1000000000</v>
      </c>
      <c r="V165" s="137">
        <v>0</v>
      </c>
      <c r="W165" s="135">
        <v>0</v>
      </c>
      <c r="X165" s="135">
        <v>0</v>
      </c>
      <c r="Y165" s="137">
        <v>0</v>
      </c>
      <c r="Z165" s="135">
        <v>0</v>
      </c>
      <c r="AA165" s="135">
        <v>0</v>
      </c>
      <c r="AB165" s="723">
        <v>0</v>
      </c>
    </row>
    <row r="166" spans="1:28" ht="32.25" customHeight="1">
      <c r="A166" s="32" t="e">
        <v>#REF!</v>
      </c>
      <c r="B166" s="138" t="s">
        <v>522</v>
      </c>
      <c r="C166" s="139" t="s">
        <v>167</v>
      </c>
      <c r="D166" s="139" t="s">
        <v>190</v>
      </c>
      <c r="E166" s="139" t="s">
        <v>172</v>
      </c>
      <c r="F166" s="139" t="s">
        <v>211</v>
      </c>
      <c r="G166" s="139" t="s">
        <v>175</v>
      </c>
      <c r="H166" s="139" t="s">
        <v>213</v>
      </c>
      <c r="I166" s="139"/>
      <c r="J166" s="139" t="s">
        <v>144</v>
      </c>
      <c r="K166" s="140" t="s">
        <v>29</v>
      </c>
      <c r="L166" s="140" t="s">
        <v>214</v>
      </c>
      <c r="M166" s="141">
        <v>820000000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1">
        <v>820000000</v>
      </c>
      <c r="T166" s="141">
        <v>0</v>
      </c>
      <c r="U166" s="141">
        <v>820000000</v>
      </c>
      <c r="V166" s="143">
        <v>0</v>
      </c>
      <c r="W166" s="141">
        <v>0</v>
      </c>
      <c r="X166" s="142">
        <v>0</v>
      </c>
      <c r="Y166" s="143">
        <v>0</v>
      </c>
      <c r="Z166" s="141">
        <v>0</v>
      </c>
      <c r="AA166" s="141">
        <v>0</v>
      </c>
      <c r="AB166" s="724">
        <v>0</v>
      </c>
    </row>
    <row r="167" spans="1:28" ht="24.95" customHeight="1">
      <c r="A167" s="32" t="e">
        <v>#REF!</v>
      </c>
      <c r="B167" s="144" t="s">
        <v>524</v>
      </c>
      <c r="C167" s="145" t="s">
        <v>167</v>
      </c>
      <c r="D167" s="145" t="s">
        <v>190</v>
      </c>
      <c r="E167" s="145" t="s">
        <v>172</v>
      </c>
      <c r="F167" s="145" t="s">
        <v>211</v>
      </c>
      <c r="G167" s="145" t="s">
        <v>175</v>
      </c>
      <c r="H167" s="145" t="s">
        <v>213</v>
      </c>
      <c r="I167" s="145" t="s">
        <v>54</v>
      </c>
      <c r="J167" s="145">
        <v>13</v>
      </c>
      <c r="K167" s="146" t="s">
        <v>29</v>
      </c>
      <c r="L167" s="147" t="s">
        <v>178</v>
      </c>
      <c r="M167" s="148">
        <v>820000000</v>
      </c>
      <c r="N167" s="148"/>
      <c r="O167" s="148"/>
      <c r="P167" s="148"/>
      <c r="Q167" s="149"/>
      <c r="R167" s="148"/>
      <c r="S167" s="148">
        <v>820000000</v>
      </c>
      <c r="T167" s="148"/>
      <c r="U167" s="148">
        <v>820000000</v>
      </c>
      <c r="V167" s="150">
        <v>0</v>
      </c>
      <c r="W167" s="148"/>
      <c r="X167" s="148">
        <v>0</v>
      </c>
      <c r="Y167" s="150">
        <v>0</v>
      </c>
      <c r="Z167" s="148"/>
      <c r="AA167" s="148">
        <v>0</v>
      </c>
      <c r="AB167" s="150">
        <v>0</v>
      </c>
    </row>
    <row r="168" spans="1:28" ht="32.25" customHeight="1">
      <c r="A168" s="32" t="e">
        <v>#REF!</v>
      </c>
      <c r="B168" s="138" t="s">
        <v>526</v>
      </c>
      <c r="C168" s="139" t="s">
        <v>167</v>
      </c>
      <c r="D168" s="139" t="s">
        <v>190</v>
      </c>
      <c r="E168" s="139" t="s">
        <v>172</v>
      </c>
      <c r="F168" s="139" t="s">
        <v>211</v>
      </c>
      <c r="G168" s="139" t="s">
        <v>175</v>
      </c>
      <c r="H168" s="139" t="s">
        <v>215</v>
      </c>
      <c r="I168" s="139"/>
      <c r="J168" s="139" t="s">
        <v>144</v>
      </c>
      <c r="K168" s="140" t="s">
        <v>29</v>
      </c>
      <c r="L168" s="140" t="s">
        <v>216</v>
      </c>
      <c r="M168" s="141">
        <v>180000000</v>
      </c>
      <c r="N168" s="142">
        <v>0</v>
      </c>
      <c r="O168" s="142">
        <v>0</v>
      </c>
      <c r="P168" s="142">
        <v>0</v>
      </c>
      <c r="Q168" s="142">
        <v>0</v>
      </c>
      <c r="R168" s="142">
        <v>0</v>
      </c>
      <c r="S168" s="141">
        <v>180000000</v>
      </c>
      <c r="T168" s="141">
        <v>0</v>
      </c>
      <c r="U168" s="141">
        <v>180000000</v>
      </c>
      <c r="V168" s="143">
        <v>0</v>
      </c>
      <c r="W168" s="141">
        <v>0</v>
      </c>
      <c r="X168" s="141">
        <v>0</v>
      </c>
      <c r="Y168" s="143">
        <v>0</v>
      </c>
      <c r="Z168" s="141">
        <v>0</v>
      </c>
      <c r="AA168" s="141">
        <v>0</v>
      </c>
      <c r="AB168" s="724">
        <v>0</v>
      </c>
    </row>
    <row r="169" spans="1:28" ht="24.95" customHeight="1">
      <c r="A169" s="32" t="e">
        <v>#REF!</v>
      </c>
      <c r="B169" s="144" t="s">
        <v>528</v>
      </c>
      <c r="C169" s="145" t="s">
        <v>167</v>
      </c>
      <c r="D169" s="145" t="s">
        <v>190</v>
      </c>
      <c r="E169" s="145" t="s">
        <v>172</v>
      </c>
      <c r="F169" s="145" t="s">
        <v>211</v>
      </c>
      <c r="G169" s="145" t="s">
        <v>175</v>
      </c>
      <c r="H169" s="145" t="s">
        <v>215</v>
      </c>
      <c r="I169" s="145" t="s">
        <v>54</v>
      </c>
      <c r="J169" s="145">
        <v>13</v>
      </c>
      <c r="K169" s="146" t="s">
        <v>29</v>
      </c>
      <c r="L169" s="147" t="s">
        <v>178</v>
      </c>
      <c r="M169" s="148">
        <v>180000000</v>
      </c>
      <c r="N169" s="148"/>
      <c r="O169" s="148"/>
      <c r="P169" s="149"/>
      <c r="Q169" s="149"/>
      <c r="R169" s="148"/>
      <c r="S169" s="148">
        <v>180000000</v>
      </c>
      <c r="T169" s="148"/>
      <c r="U169" s="148">
        <v>180000000</v>
      </c>
      <c r="V169" s="150">
        <v>0</v>
      </c>
      <c r="W169" s="148"/>
      <c r="X169" s="148">
        <v>0</v>
      </c>
      <c r="Y169" s="150">
        <v>0</v>
      </c>
      <c r="Z169" s="148"/>
      <c r="AA169" s="148">
        <v>0</v>
      </c>
      <c r="AB169" s="150">
        <v>0</v>
      </c>
    </row>
    <row r="170" spans="1:28" ht="49.5" customHeight="1">
      <c r="A170" s="32" t="e">
        <v>#REF!</v>
      </c>
      <c r="B170" s="132" t="s">
        <v>530</v>
      </c>
      <c r="C170" s="133" t="s">
        <v>167</v>
      </c>
      <c r="D170" s="133" t="s">
        <v>190</v>
      </c>
      <c r="E170" s="133" t="s">
        <v>172</v>
      </c>
      <c r="F170" s="133" t="s">
        <v>217</v>
      </c>
      <c r="G170" s="133"/>
      <c r="H170" s="133"/>
      <c r="I170" s="133"/>
      <c r="J170" s="133"/>
      <c r="K170" s="134"/>
      <c r="L170" s="134" t="s">
        <v>267</v>
      </c>
      <c r="M170" s="135">
        <v>20000000000</v>
      </c>
      <c r="N170" s="136">
        <v>0</v>
      </c>
      <c r="O170" s="136">
        <v>0</v>
      </c>
      <c r="P170" s="136">
        <v>0</v>
      </c>
      <c r="Q170" s="136">
        <v>0</v>
      </c>
      <c r="R170" s="136">
        <v>0</v>
      </c>
      <c r="S170" s="135">
        <v>20000000000</v>
      </c>
      <c r="T170" s="135">
        <v>2180853567</v>
      </c>
      <c r="U170" s="135">
        <v>17819146433</v>
      </c>
      <c r="V170" s="137">
        <v>0.10904267835000001</v>
      </c>
      <c r="W170" s="135">
        <v>72585919</v>
      </c>
      <c r="X170" s="135">
        <v>2108267648</v>
      </c>
      <c r="Y170" s="137">
        <v>0.96671673875846242</v>
      </c>
      <c r="Z170" s="135">
        <v>64585919</v>
      </c>
      <c r="AA170" s="135">
        <v>8000000</v>
      </c>
      <c r="AB170" s="723">
        <v>2.9614972769054327E-2</v>
      </c>
    </row>
    <row r="171" spans="1:28" ht="32.25" customHeight="1">
      <c r="A171" s="32" t="e">
        <v>#REF!</v>
      </c>
      <c r="B171" s="138" t="s">
        <v>531</v>
      </c>
      <c r="C171" s="139" t="s">
        <v>167</v>
      </c>
      <c r="D171" s="139" t="s">
        <v>190</v>
      </c>
      <c r="E171" s="139" t="s">
        <v>172</v>
      </c>
      <c r="F171" s="139" t="s">
        <v>217</v>
      </c>
      <c r="G171" s="139" t="s">
        <v>175</v>
      </c>
      <c r="H171" s="139" t="s">
        <v>219</v>
      </c>
      <c r="I171" s="139"/>
      <c r="J171" s="139">
        <v>11</v>
      </c>
      <c r="K171" s="140" t="s">
        <v>29</v>
      </c>
      <c r="L171" s="140" t="s">
        <v>220</v>
      </c>
      <c r="M171" s="141">
        <v>4242894515</v>
      </c>
      <c r="N171" s="142">
        <v>0</v>
      </c>
      <c r="O171" s="142">
        <v>0</v>
      </c>
      <c r="P171" s="142">
        <v>0</v>
      </c>
      <c r="Q171" s="142">
        <v>0</v>
      </c>
      <c r="R171" s="142">
        <v>0</v>
      </c>
      <c r="S171" s="141">
        <v>4242894515</v>
      </c>
      <c r="T171" s="141">
        <v>980853567</v>
      </c>
      <c r="U171" s="141">
        <v>3262040948</v>
      </c>
      <c r="V171" s="143">
        <v>0.23117557213179973</v>
      </c>
      <c r="W171" s="141">
        <v>72585919</v>
      </c>
      <c r="X171" s="142">
        <v>908267648</v>
      </c>
      <c r="Y171" s="143">
        <v>0.92599719117909884</v>
      </c>
      <c r="Z171" s="141">
        <v>64585919</v>
      </c>
      <c r="AA171" s="141">
        <v>8000000</v>
      </c>
      <c r="AB171" s="724">
        <v>6.5846647423162194E-2</v>
      </c>
    </row>
    <row r="172" spans="1:28" ht="24.95" customHeight="1">
      <c r="A172" s="32" t="e">
        <v>#REF!</v>
      </c>
      <c r="B172" s="144" t="s">
        <v>532</v>
      </c>
      <c r="C172" s="145" t="s">
        <v>167</v>
      </c>
      <c r="D172" s="145" t="s">
        <v>190</v>
      </c>
      <c r="E172" s="145" t="s">
        <v>172</v>
      </c>
      <c r="F172" s="145" t="s">
        <v>217</v>
      </c>
      <c r="G172" s="145" t="s">
        <v>175</v>
      </c>
      <c r="H172" s="145" t="s">
        <v>219</v>
      </c>
      <c r="I172" s="145" t="s">
        <v>54</v>
      </c>
      <c r="J172" s="145">
        <v>13</v>
      </c>
      <c r="K172" s="146" t="s">
        <v>29</v>
      </c>
      <c r="L172" s="147" t="s">
        <v>178</v>
      </c>
      <c r="M172" s="148">
        <v>4242894515</v>
      </c>
      <c r="N172" s="148"/>
      <c r="O172" s="148"/>
      <c r="P172" s="148"/>
      <c r="Q172" s="148"/>
      <c r="R172" s="148"/>
      <c r="S172" s="148">
        <v>4242894515</v>
      </c>
      <c r="T172" s="148">
        <v>980853567</v>
      </c>
      <c r="U172" s="148">
        <v>3262040948</v>
      </c>
      <c r="V172" s="150">
        <v>0.23117557213179973</v>
      </c>
      <c r="W172" s="148">
        <v>72585919</v>
      </c>
      <c r="X172" s="148">
        <v>908267648</v>
      </c>
      <c r="Y172" s="150">
        <v>0.92599719117909884</v>
      </c>
      <c r="Z172" s="148">
        <v>64585919</v>
      </c>
      <c r="AA172" s="148">
        <v>8000000</v>
      </c>
      <c r="AB172" s="150">
        <v>6.5846647423162194E-2</v>
      </c>
    </row>
    <row r="173" spans="1:28" ht="32.25" customHeight="1">
      <c r="A173" s="32" t="e">
        <v>#REF!</v>
      </c>
      <c r="B173" s="138" t="s">
        <v>533</v>
      </c>
      <c r="C173" s="139" t="s">
        <v>167</v>
      </c>
      <c r="D173" s="139" t="s">
        <v>190</v>
      </c>
      <c r="E173" s="139" t="s">
        <v>172</v>
      </c>
      <c r="F173" s="139" t="s">
        <v>217</v>
      </c>
      <c r="G173" s="139" t="s">
        <v>175</v>
      </c>
      <c r="H173" s="139" t="s">
        <v>221</v>
      </c>
      <c r="I173" s="139"/>
      <c r="J173" s="139">
        <v>11</v>
      </c>
      <c r="K173" s="140" t="s">
        <v>29</v>
      </c>
      <c r="L173" s="140" t="s">
        <v>222</v>
      </c>
      <c r="M173" s="141">
        <v>15757105485</v>
      </c>
      <c r="N173" s="142">
        <v>0</v>
      </c>
      <c r="O173" s="142">
        <v>0</v>
      </c>
      <c r="P173" s="142">
        <v>0</v>
      </c>
      <c r="Q173" s="142">
        <v>0</v>
      </c>
      <c r="R173" s="142">
        <v>0</v>
      </c>
      <c r="S173" s="141">
        <v>15757105485</v>
      </c>
      <c r="T173" s="141">
        <v>1200000000</v>
      </c>
      <c r="U173" s="141">
        <v>14557105485</v>
      </c>
      <c r="V173" s="143">
        <v>7.6156118973903036E-2</v>
      </c>
      <c r="W173" s="141">
        <v>0</v>
      </c>
      <c r="X173" s="141">
        <v>1200000000</v>
      </c>
      <c r="Y173" s="143">
        <v>1</v>
      </c>
      <c r="Z173" s="141">
        <v>0</v>
      </c>
      <c r="AA173" s="141">
        <v>0</v>
      </c>
      <c r="AB173" s="724">
        <v>0</v>
      </c>
    </row>
    <row r="174" spans="1:28" ht="24.95" customHeight="1">
      <c r="A174" s="32" t="e">
        <v>#REF!</v>
      </c>
      <c r="B174" s="144" t="s">
        <v>534</v>
      </c>
      <c r="C174" s="145" t="s">
        <v>167</v>
      </c>
      <c r="D174" s="145" t="s">
        <v>190</v>
      </c>
      <c r="E174" s="145" t="s">
        <v>172</v>
      </c>
      <c r="F174" s="145" t="s">
        <v>217</v>
      </c>
      <c r="G174" s="145" t="s">
        <v>175</v>
      </c>
      <c r="H174" s="145" t="s">
        <v>221</v>
      </c>
      <c r="I174" s="145" t="s">
        <v>54</v>
      </c>
      <c r="J174" s="145">
        <v>13</v>
      </c>
      <c r="K174" s="146" t="s">
        <v>29</v>
      </c>
      <c r="L174" s="147" t="s">
        <v>178</v>
      </c>
      <c r="M174" s="148">
        <v>15757105485</v>
      </c>
      <c r="N174" s="148"/>
      <c r="O174" s="148"/>
      <c r="P174" s="148"/>
      <c r="Q174" s="148"/>
      <c r="R174" s="148"/>
      <c r="S174" s="148">
        <v>15757105485</v>
      </c>
      <c r="T174" s="148">
        <v>1200000000</v>
      </c>
      <c r="U174" s="148">
        <v>14557105485</v>
      </c>
      <c r="V174" s="150">
        <v>7.6156118973903036E-2</v>
      </c>
      <c r="W174" s="148"/>
      <c r="X174" s="148">
        <v>1200000000</v>
      </c>
      <c r="Y174" s="150">
        <v>1</v>
      </c>
      <c r="Z174" s="148"/>
      <c r="AA174" s="148">
        <v>0</v>
      </c>
      <c r="AB174" s="150">
        <v>0</v>
      </c>
    </row>
    <row r="175" spans="1:28" ht="32.25" hidden="1" customHeight="1">
      <c r="A175" s="32" t="e">
        <v>#REF!</v>
      </c>
      <c r="B175" s="138" t="s">
        <v>536</v>
      </c>
      <c r="C175" s="139" t="s">
        <v>167</v>
      </c>
      <c r="D175" s="139" t="s">
        <v>190</v>
      </c>
      <c r="E175" s="139" t="s">
        <v>172</v>
      </c>
      <c r="F175" s="139" t="s">
        <v>217</v>
      </c>
      <c r="G175" s="139" t="s">
        <v>175</v>
      </c>
      <c r="H175" s="139" t="s">
        <v>223</v>
      </c>
      <c r="I175" s="139"/>
      <c r="J175" s="139">
        <v>11</v>
      </c>
      <c r="K175" s="140" t="s">
        <v>29</v>
      </c>
      <c r="L175" s="140" t="s">
        <v>224</v>
      </c>
      <c r="M175" s="142">
        <v>0</v>
      </c>
      <c r="N175" s="141">
        <v>0</v>
      </c>
      <c r="O175" s="141">
        <v>0</v>
      </c>
      <c r="P175" s="141">
        <v>0</v>
      </c>
      <c r="Q175" s="142">
        <v>0</v>
      </c>
      <c r="R175" s="142">
        <v>0</v>
      </c>
      <c r="S175" s="141">
        <v>0</v>
      </c>
      <c r="T175" s="141">
        <v>0</v>
      </c>
      <c r="U175" s="141">
        <v>0</v>
      </c>
      <c r="V175" s="143">
        <v>0</v>
      </c>
      <c r="W175" s="141">
        <v>0</v>
      </c>
      <c r="X175" s="141">
        <v>0</v>
      </c>
      <c r="Y175" s="143">
        <v>0</v>
      </c>
      <c r="Z175" s="141">
        <v>0</v>
      </c>
      <c r="AA175" s="141">
        <v>0</v>
      </c>
      <c r="AB175" s="724">
        <v>0</v>
      </c>
    </row>
    <row r="176" spans="1:28" ht="24.95" hidden="1" customHeight="1">
      <c r="A176" s="32" t="e">
        <v>#REF!</v>
      </c>
      <c r="B176" s="144" t="s">
        <v>537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223</v>
      </c>
      <c r="I176" s="145" t="s">
        <v>54</v>
      </c>
      <c r="J176" s="145">
        <v>11</v>
      </c>
      <c r="K176" s="146" t="s">
        <v>29</v>
      </c>
      <c r="L176" s="147" t="s">
        <v>178</v>
      </c>
      <c r="M176" s="148"/>
      <c r="N176" s="148"/>
      <c r="O176" s="148"/>
      <c r="P176" s="148"/>
      <c r="Q176" s="148"/>
      <c r="R176" s="148"/>
      <c r="S176" s="148">
        <v>0</v>
      </c>
      <c r="T176" s="148"/>
      <c r="U176" s="148">
        <v>0</v>
      </c>
      <c r="V176" s="150">
        <v>0</v>
      </c>
      <c r="W176" s="148"/>
      <c r="X176" s="148">
        <v>0</v>
      </c>
      <c r="Y176" s="150">
        <v>0</v>
      </c>
      <c r="Z176" s="148"/>
      <c r="AA176" s="148">
        <v>0</v>
      </c>
      <c r="AB176" s="150">
        <v>0</v>
      </c>
    </row>
    <row r="177" spans="1:28" ht="24.95" hidden="1" customHeight="1">
      <c r="A177" s="32" t="e">
        <v>#REF!</v>
      </c>
      <c r="B177" s="144" t="s">
        <v>539</v>
      </c>
      <c r="C177" s="145" t="s">
        <v>167</v>
      </c>
      <c r="D177" s="145" t="s">
        <v>190</v>
      </c>
      <c r="E177" s="145" t="s">
        <v>172</v>
      </c>
      <c r="F177" s="145" t="s">
        <v>217</v>
      </c>
      <c r="G177" s="145" t="s">
        <v>175</v>
      </c>
      <c r="H177" s="145" t="s">
        <v>223</v>
      </c>
      <c r="I177" s="145" t="s">
        <v>65</v>
      </c>
      <c r="J177" s="145">
        <v>11</v>
      </c>
      <c r="K177" s="146" t="s">
        <v>29</v>
      </c>
      <c r="L177" s="147" t="s">
        <v>127</v>
      </c>
      <c r="M177" s="148"/>
      <c r="N177" s="148"/>
      <c r="O177" s="148"/>
      <c r="P177" s="148"/>
      <c r="Q177" s="148"/>
      <c r="R177" s="148"/>
      <c r="S177" s="148">
        <v>0</v>
      </c>
      <c r="T177" s="148"/>
      <c r="U177" s="148">
        <v>0</v>
      </c>
      <c r="V177" s="150">
        <v>0</v>
      </c>
      <c r="W177" s="148"/>
      <c r="X177" s="148">
        <v>0</v>
      </c>
      <c r="Y177" s="150">
        <v>0</v>
      </c>
      <c r="Z177" s="148"/>
      <c r="AA177" s="148">
        <v>0</v>
      </c>
      <c r="AB177" s="150">
        <v>0</v>
      </c>
    </row>
    <row r="178" spans="1:28" ht="32.25" hidden="1" customHeight="1">
      <c r="A178" s="32" t="e">
        <v>#REF!</v>
      </c>
      <c r="B178" s="138" t="s">
        <v>540</v>
      </c>
      <c r="C178" s="139" t="s">
        <v>167</v>
      </c>
      <c r="D178" s="139" t="s">
        <v>190</v>
      </c>
      <c r="E178" s="139" t="s">
        <v>172</v>
      </c>
      <c r="F178" s="139" t="s">
        <v>217</v>
      </c>
      <c r="G178" s="139" t="s">
        <v>175</v>
      </c>
      <c r="H178" s="139" t="s">
        <v>225</v>
      </c>
      <c r="I178" s="139"/>
      <c r="J178" s="139">
        <v>11</v>
      </c>
      <c r="K178" s="140" t="s">
        <v>29</v>
      </c>
      <c r="L178" s="140" t="s">
        <v>226</v>
      </c>
      <c r="M178" s="142">
        <v>0</v>
      </c>
      <c r="N178" s="142">
        <v>0</v>
      </c>
      <c r="O178" s="142">
        <v>0</v>
      </c>
      <c r="P178" s="141">
        <v>0</v>
      </c>
      <c r="Q178" s="142">
        <v>0</v>
      </c>
      <c r="R178" s="142">
        <v>0</v>
      </c>
      <c r="S178" s="141">
        <v>0</v>
      </c>
      <c r="T178" s="141">
        <v>0</v>
      </c>
      <c r="U178" s="141">
        <v>0</v>
      </c>
      <c r="V178" s="143">
        <v>0</v>
      </c>
      <c r="W178" s="141">
        <v>0</v>
      </c>
      <c r="X178" s="142">
        <v>0</v>
      </c>
      <c r="Y178" s="143">
        <v>0</v>
      </c>
      <c r="Z178" s="141">
        <v>0</v>
      </c>
      <c r="AA178" s="141">
        <v>0</v>
      </c>
      <c r="AB178" s="724">
        <v>0</v>
      </c>
    </row>
    <row r="179" spans="1:28" ht="24.95" hidden="1" customHeight="1">
      <c r="A179" s="32" t="e">
        <v>#REF!</v>
      </c>
      <c r="B179" s="144" t="s">
        <v>541</v>
      </c>
      <c r="C179" s="145" t="s">
        <v>167</v>
      </c>
      <c r="D179" s="145" t="s">
        <v>190</v>
      </c>
      <c r="E179" s="145" t="s">
        <v>172</v>
      </c>
      <c r="F179" s="145" t="s">
        <v>217</v>
      </c>
      <c r="G179" s="145" t="s">
        <v>175</v>
      </c>
      <c r="H179" s="145" t="s">
        <v>225</v>
      </c>
      <c r="I179" s="145" t="s">
        <v>54</v>
      </c>
      <c r="J179" s="145">
        <v>11</v>
      </c>
      <c r="K179" s="146" t="s">
        <v>29</v>
      </c>
      <c r="L179" s="147" t="s">
        <v>178</v>
      </c>
      <c r="M179" s="148"/>
      <c r="N179" s="148"/>
      <c r="O179" s="148"/>
      <c r="P179" s="148"/>
      <c r="Q179" s="148"/>
      <c r="R179" s="148"/>
      <c r="S179" s="148">
        <v>0</v>
      </c>
      <c r="T179" s="148"/>
      <c r="U179" s="148">
        <v>0</v>
      </c>
      <c r="V179" s="150">
        <v>0</v>
      </c>
      <c r="W179" s="148"/>
      <c r="X179" s="148">
        <v>0</v>
      </c>
      <c r="Y179" s="150">
        <v>0</v>
      </c>
      <c r="Z179" s="148"/>
      <c r="AA179" s="148">
        <v>0</v>
      </c>
      <c r="AB179" s="150">
        <v>0</v>
      </c>
    </row>
    <row r="180" spans="1:28" ht="41.25" customHeight="1">
      <c r="A180" s="32" t="e">
        <v>#REF!</v>
      </c>
      <c r="B180" s="132" t="s">
        <v>664</v>
      </c>
      <c r="C180" s="133" t="s">
        <v>167</v>
      </c>
      <c r="D180" s="133" t="s">
        <v>190</v>
      </c>
      <c r="E180" s="133" t="s">
        <v>172</v>
      </c>
      <c r="F180" s="133">
        <v>19</v>
      </c>
      <c r="G180" s="133"/>
      <c r="H180" s="133"/>
      <c r="I180" s="133"/>
      <c r="J180" s="133"/>
      <c r="K180" s="134"/>
      <c r="L180" s="134" t="s">
        <v>270</v>
      </c>
      <c r="M180" s="135">
        <v>12800000000</v>
      </c>
      <c r="N180" s="136">
        <v>0</v>
      </c>
      <c r="O180" s="136">
        <v>0</v>
      </c>
      <c r="P180" s="136">
        <v>0</v>
      </c>
      <c r="Q180" s="136">
        <v>0</v>
      </c>
      <c r="R180" s="136">
        <v>0</v>
      </c>
      <c r="S180" s="135">
        <v>12800000000</v>
      </c>
      <c r="T180" s="135">
        <v>11611666365</v>
      </c>
      <c r="U180" s="135">
        <v>1188333635</v>
      </c>
      <c r="V180" s="137">
        <v>0.90716143476562505</v>
      </c>
      <c r="W180" s="135">
        <v>311154137</v>
      </c>
      <c r="X180" s="135">
        <v>11300512228</v>
      </c>
      <c r="Y180" s="137">
        <v>0.97320331748956512</v>
      </c>
      <c r="Z180" s="135">
        <v>191578141</v>
      </c>
      <c r="AA180" s="135">
        <v>119575996</v>
      </c>
      <c r="AB180" s="723">
        <v>1.649876382751202E-2</v>
      </c>
    </row>
    <row r="181" spans="1:28" ht="32.25" customHeight="1">
      <c r="A181" s="32" t="e">
        <v>#REF!</v>
      </c>
      <c r="B181" s="138" t="s">
        <v>666</v>
      </c>
      <c r="C181" s="139" t="s">
        <v>167</v>
      </c>
      <c r="D181" s="139" t="s">
        <v>190</v>
      </c>
      <c r="E181" s="139" t="s">
        <v>172</v>
      </c>
      <c r="F181" s="139">
        <v>19</v>
      </c>
      <c r="G181" s="139" t="s">
        <v>175</v>
      </c>
      <c r="H181" s="139">
        <v>4103049</v>
      </c>
      <c r="I181" s="139"/>
      <c r="J181" s="139">
        <v>13</v>
      </c>
      <c r="K181" s="140" t="s">
        <v>29</v>
      </c>
      <c r="L181" s="140" t="s">
        <v>228</v>
      </c>
      <c r="M181" s="141">
        <v>321785352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1">
        <v>321785352</v>
      </c>
      <c r="T181" s="141">
        <v>286785347</v>
      </c>
      <c r="U181" s="141">
        <v>35000005</v>
      </c>
      <c r="V181" s="143">
        <v>0.89123182648786325</v>
      </c>
      <c r="W181" s="141">
        <v>0</v>
      </c>
      <c r="X181" s="141">
        <v>286785347</v>
      </c>
      <c r="Y181" s="143">
        <v>1</v>
      </c>
      <c r="Z181" s="141">
        <v>0</v>
      </c>
      <c r="AA181" s="141">
        <v>0</v>
      </c>
      <c r="AB181" s="724">
        <v>0</v>
      </c>
    </row>
    <row r="182" spans="1:28" ht="24.95" customHeight="1">
      <c r="A182" s="32" t="e">
        <v>#REF!</v>
      </c>
      <c r="B182" s="144" t="s">
        <v>668</v>
      </c>
      <c r="C182" s="145" t="s">
        <v>167</v>
      </c>
      <c r="D182" s="145" t="s">
        <v>190</v>
      </c>
      <c r="E182" s="145" t="s">
        <v>172</v>
      </c>
      <c r="F182" s="145">
        <v>19</v>
      </c>
      <c r="G182" s="145" t="s">
        <v>175</v>
      </c>
      <c r="H182" s="145">
        <v>4103049</v>
      </c>
      <c r="I182" s="145" t="s">
        <v>54</v>
      </c>
      <c r="J182" s="145">
        <v>13</v>
      </c>
      <c r="K182" s="146" t="s">
        <v>29</v>
      </c>
      <c r="L182" s="147" t="s">
        <v>178</v>
      </c>
      <c r="M182" s="148">
        <v>321785352</v>
      </c>
      <c r="N182" s="148"/>
      <c r="O182" s="148"/>
      <c r="P182" s="148"/>
      <c r="Q182" s="148"/>
      <c r="R182" s="148"/>
      <c r="S182" s="148">
        <v>321785352</v>
      </c>
      <c r="T182" s="148">
        <v>286785347</v>
      </c>
      <c r="U182" s="148">
        <v>35000005</v>
      </c>
      <c r="V182" s="150">
        <v>0.89123182648786325</v>
      </c>
      <c r="W182" s="148">
        <v>0</v>
      </c>
      <c r="X182" s="148">
        <v>286785347</v>
      </c>
      <c r="Y182" s="150">
        <v>1</v>
      </c>
      <c r="Z182" s="148">
        <v>0</v>
      </c>
      <c r="AA182" s="148">
        <v>0</v>
      </c>
      <c r="AB182" s="150">
        <v>0</v>
      </c>
    </row>
    <row r="183" spans="1:28" ht="32.25" customHeight="1">
      <c r="A183" s="32" t="e">
        <v>#REF!</v>
      </c>
      <c r="B183" s="138" t="s">
        <v>670</v>
      </c>
      <c r="C183" s="139" t="s">
        <v>167</v>
      </c>
      <c r="D183" s="139" t="s">
        <v>190</v>
      </c>
      <c r="E183" s="139" t="s">
        <v>172</v>
      </c>
      <c r="F183" s="139">
        <v>19</v>
      </c>
      <c r="G183" s="139" t="s">
        <v>175</v>
      </c>
      <c r="H183" s="139">
        <v>4103052</v>
      </c>
      <c r="I183" s="139"/>
      <c r="J183" s="139">
        <v>13</v>
      </c>
      <c r="K183" s="140" t="s">
        <v>29</v>
      </c>
      <c r="L183" s="140" t="s">
        <v>229</v>
      </c>
      <c r="M183" s="141">
        <v>12478214648</v>
      </c>
      <c r="N183" s="142">
        <v>0</v>
      </c>
      <c r="O183" s="142">
        <v>0</v>
      </c>
      <c r="P183" s="142">
        <v>0</v>
      </c>
      <c r="Q183" s="142">
        <v>0</v>
      </c>
      <c r="R183" s="142">
        <v>0</v>
      </c>
      <c r="S183" s="141">
        <v>12478214648</v>
      </c>
      <c r="T183" s="141">
        <v>11324881018</v>
      </c>
      <c r="U183" s="141">
        <v>1153333630</v>
      </c>
      <c r="V183" s="143">
        <v>0.90757222386899272</v>
      </c>
      <c r="W183" s="141">
        <v>311154137</v>
      </c>
      <c r="X183" s="141">
        <v>11013726881</v>
      </c>
      <c r="Y183" s="143">
        <v>0.97252473235653025</v>
      </c>
      <c r="Z183" s="141">
        <v>191578141</v>
      </c>
      <c r="AA183" s="141">
        <v>119575996</v>
      </c>
      <c r="AB183" s="724">
        <v>1.691656986907869E-2</v>
      </c>
    </row>
    <row r="184" spans="1:28" ht="24.95" customHeight="1">
      <c r="A184" s="32" t="e">
        <v>#REF!</v>
      </c>
      <c r="B184" s="144" t="s">
        <v>672</v>
      </c>
      <c r="C184" s="145" t="s">
        <v>167</v>
      </c>
      <c r="D184" s="145" t="s">
        <v>190</v>
      </c>
      <c r="E184" s="145" t="s">
        <v>172</v>
      </c>
      <c r="F184" s="145">
        <v>19</v>
      </c>
      <c r="G184" s="145" t="s">
        <v>175</v>
      </c>
      <c r="H184" s="145">
        <v>4103052</v>
      </c>
      <c r="I184" s="145" t="s">
        <v>54</v>
      </c>
      <c r="J184" s="145">
        <v>13</v>
      </c>
      <c r="K184" s="146" t="s">
        <v>29</v>
      </c>
      <c r="L184" s="147" t="s">
        <v>178</v>
      </c>
      <c r="M184" s="148">
        <v>12478214648</v>
      </c>
      <c r="N184" s="148"/>
      <c r="O184" s="148"/>
      <c r="P184" s="148"/>
      <c r="Q184" s="148"/>
      <c r="R184" s="148"/>
      <c r="S184" s="148">
        <v>12478214648</v>
      </c>
      <c r="T184" s="148">
        <v>11324881018</v>
      </c>
      <c r="U184" s="148">
        <v>1153333630</v>
      </c>
      <c r="V184" s="150">
        <v>0.90757222386899272</v>
      </c>
      <c r="W184" s="148">
        <v>311154137</v>
      </c>
      <c r="X184" s="148">
        <v>11013726881</v>
      </c>
      <c r="Y184" s="150">
        <v>0.97252473235653025</v>
      </c>
      <c r="Z184" s="148">
        <v>191578141</v>
      </c>
      <c r="AA184" s="148">
        <v>119575996</v>
      </c>
      <c r="AB184" s="150">
        <v>1.691656986907869E-2</v>
      </c>
    </row>
    <row r="185" spans="1:28" ht="49.5" customHeight="1">
      <c r="A185" s="32" t="e">
        <v>#REF!</v>
      </c>
      <c r="B185" s="132" t="s">
        <v>678</v>
      </c>
      <c r="C185" s="133" t="s">
        <v>167</v>
      </c>
      <c r="D185" s="133" t="s">
        <v>190</v>
      </c>
      <c r="E185" s="133" t="s">
        <v>172</v>
      </c>
      <c r="F185" s="133">
        <v>20</v>
      </c>
      <c r="G185" s="133"/>
      <c r="H185" s="133"/>
      <c r="I185" s="133"/>
      <c r="J185" s="133"/>
      <c r="K185" s="134"/>
      <c r="L185" s="134" t="s">
        <v>271</v>
      </c>
      <c r="M185" s="135">
        <v>839954000000</v>
      </c>
      <c r="N185" s="136">
        <v>0</v>
      </c>
      <c r="O185" s="136">
        <v>0</v>
      </c>
      <c r="P185" s="135">
        <v>185554780.13999999</v>
      </c>
      <c r="Q185" s="135">
        <v>185554780.13999999</v>
      </c>
      <c r="R185" s="136">
        <v>0</v>
      </c>
      <c r="S185" s="135">
        <v>839954000000</v>
      </c>
      <c r="T185" s="135">
        <v>185173848100.72</v>
      </c>
      <c r="U185" s="135">
        <v>654780151899.28003</v>
      </c>
      <c r="V185" s="137">
        <v>0.2204571299151144</v>
      </c>
      <c r="W185" s="135">
        <v>160041392514</v>
      </c>
      <c r="X185" s="135">
        <v>25132455586.720001</v>
      </c>
      <c r="Y185" s="137">
        <v>0.13572356919995487</v>
      </c>
      <c r="Z185" s="135">
        <v>160028579799</v>
      </c>
      <c r="AA185" s="135">
        <v>12812715</v>
      </c>
      <c r="AB185" s="723">
        <v>0.86420723790303822</v>
      </c>
    </row>
    <row r="186" spans="1:28" ht="32.25" customHeight="1">
      <c r="A186" s="32" t="e">
        <v>#REF!</v>
      </c>
      <c r="B186" s="138" t="s">
        <v>680</v>
      </c>
      <c r="C186" s="139" t="s">
        <v>167</v>
      </c>
      <c r="D186" s="139" t="s">
        <v>190</v>
      </c>
      <c r="E186" s="139" t="s">
        <v>172</v>
      </c>
      <c r="F186" s="139">
        <v>20</v>
      </c>
      <c r="G186" s="139" t="s">
        <v>175</v>
      </c>
      <c r="H186" s="139">
        <v>4103061</v>
      </c>
      <c r="I186" s="139"/>
      <c r="J186" s="139">
        <v>11</v>
      </c>
      <c r="K186" s="140" t="s">
        <v>29</v>
      </c>
      <c r="L186" s="140" t="s">
        <v>231</v>
      </c>
      <c r="M186" s="141">
        <v>839954000000</v>
      </c>
      <c r="N186" s="142">
        <v>0</v>
      </c>
      <c r="O186" s="142">
        <v>0</v>
      </c>
      <c r="P186" s="141">
        <v>185554780.13999999</v>
      </c>
      <c r="Q186" s="141">
        <v>185554780.13999999</v>
      </c>
      <c r="R186" s="142">
        <v>0</v>
      </c>
      <c r="S186" s="141">
        <v>839954000000</v>
      </c>
      <c r="T186" s="141">
        <v>185173848100.72</v>
      </c>
      <c r="U186" s="141">
        <v>654780151899.28003</v>
      </c>
      <c r="V186" s="143">
        <v>0.2204571299151144</v>
      </c>
      <c r="W186" s="141">
        <v>160041392514</v>
      </c>
      <c r="X186" s="141">
        <v>25132455586.720001</v>
      </c>
      <c r="Y186" s="143">
        <v>0.13572356919995487</v>
      </c>
      <c r="Z186" s="141">
        <v>160028579799</v>
      </c>
      <c r="AA186" s="141">
        <v>12812715</v>
      </c>
      <c r="AB186" s="724">
        <v>0.86420723790303822</v>
      </c>
    </row>
    <row r="187" spans="1:28" ht="24.95" customHeight="1">
      <c r="A187" s="32" t="e">
        <v>#REF!</v>
      </c>
      <c r="B187" s="144" t="s">
        <v>682</v>
      </c>
      <c r="C187" s="145" t="s">
        <v>167</v>
      </c>
      <c r="D187" s="145" t="s">
        <v>190</v>
      </c>
      <c r="E187" s="145" t="s">
        <v>172</v>
      </c>
      <c r="F187" s="145">
        <v>20</v>
      </c>
      <c r="G187" s="145" t="s">
        <v>175</v>
      </c>
      <c r="H187" s="145">
        <v>4103061</v>
      </c>
      <c r="I187" s="145" t="s">
        <v>54</v>
      </c>
      <c r="J187" s="145">
        <v>11</v>
      </c>
      <c r="K187" s="146" t="s">
        <v>29</v>
      </c>
      <c r="L187" s="147" t="s">
        <v>178</v>
      </c>
      <c r="M187" s="148">
        <v>34318600300</v>
      </c>
      <c r="N187" s="148"/>
      <c r="O187" s="148"/>
      <c r="P187" s="148">
        <v>185554780.13999999</v>
      </c>
      <c r="Q187" s="148"/>
      <c r="R187" s="148"/>
      <c r="S187" s="148">
        <v>34504155080.139999</v>
      </c>
      <c r="T187" s="148">
        <v>25173848100.720001</v>
      </c>
      <c r="U187" s="148">
        <v>9330306979.4199982</v>
      </c>
      <c r="V187" s="150">
        <v>0.72958888696885194</v>
      </c>
      <c r="W187" s="148">
        <v>41392514</v>
      </c>
      <c r="X187" s="148">
        <v>25132455586.720001</v>
      </c>
      <c r="Y187" s="150">
        <v>0.99835573354401796</v>
      </c>
      <c r="Z187" s="148">
        <v>28579799</v>
      </c>
      <c r="AA187" s="148">
        <v>12812715</v>
      </c>
      <c r="AB187" s="150">
        <v>1.135297189593457E-3</v>
      </c>
    </row>
    <row r="188" spans="1:28" ht="24.95" customHeight="1">
      <c r="A188" s="32" t="e">
        <v>#REF!</v>
      </c>
      <c r="B188" s="144" t="s">
        <v>684</v>
      </c>
      <c r="C188" s="145" t="s">
        <v>167</v>
      </c>
      <c r="D188" s="145" t="s">
        <v>190</v>
      </c>
      <c r="E188" s="145" t="s">
        <v>172</v>
      </c>
      <c r="F188" s="145">
        <v>20</v>
      </c>
      <c r="G188" s="145" t="s">
        <v>175</v>
      </c>
      <c r="H188" s="145">
        <v>4103061</v>
      </c>
      <c r="I188" s="145" t="s">
        <v>65</v>
      </c>
      <c r="J188" s="145">
        <v>11</v>
      </c>
      <c r="K188" s="146" t="s">
        <v>29</v>
      </c>
      <c r="L188" s="147" t="s">
        <v>127</v>
      </c>
      <c r="M188" s="148">
        <v>318915399700</v>
      </c>
      <c r="N188" s="148"/>
      <c r="O188" s="148"/>
      <c r="P188" s="148"/>
      <c r="Q188" s="148">
        <v>185554780.13999999</v>
      </c>
      <c r="R188" s="148"/>
      <c r="S188" s="148">
        <v>318729844919.85999</v>
      </c>
      <c r="T188" s="148">
        <v>160000000000</v>
      </c>
      <c r="U188" s="148">
        <v>158729844919.85999</v>
      </c>
      <c r="V188" s="150">
        <v>0.50199252611637202</v>
      </c>
      <c r="W188" s="148">
        <v>160000000000</v>
      </c>
      <c r="X188" s="148">
        <v>0</v>
      </c>
      <c r="Y188" s="150">
        <v>0</v>
      </c>
      <c r="Z188" s="148">
        <v>160000000000</v>
      </c>
      <c r="AA188" s="148">
        <v>0</v>
      </c>
      <c r="AB188" s="150">
        <v>1</v>
      </c>
    </row>
    <row r="189" spans="1:28" ht="24.95" customHeight="1">
      <c r="A189" s="32" t="e">
        <v>#REF!</v>
      </c>
      <c r="B189" s="144" t="s">
        <v>684</v>
      </c>
      <c r="C189" s="145" t="s">
        <v>167</v>
      </c>
      <c r="D189" s="145" t="s">
        <v>190</v>
      </c>
      <c r="E189" s="145" t="s">
        <v>172</v>
      </c>
      <c r="F189" s="145">
        <v>20</v>
      </c>
      <c r="G189" s="145" t="s">
        <v>175</v>
      </c>
      <c r="H189" s="145">
        <v>4103061</v>
      </c>
      <c r="I189" s="145" t="s">
        <v>65</v>
      </c>
      <c r="J189" s="145">
        <v>13</v>
      </c>
      <c r="K189" s="146" t="s">
        <v>29</v>
      </c>
      <c r="L189" s="147" t="s">
        <v>127</v>
      </c>
      <c r="M189" s="148">
        <v>486720000000</v>
      </c>
      <c r="N189" s="148"/>
      <c r="O189" s="148"/>
      <c r="P189" s="148"/>
      <c r="Q189" s="148"/>
      <c r="R189" s="148"/>
      <c r="S189" s="148">
        <v>486720000000</v>
      </c>
      <c r="T189" s="148">
        <v>0</v>
      </c>
      <c r="U189" s="148">
        <v>486720000000</v>
      </c>
      <c r="V189" s="150">
        <v>0</v>
      </c>
      <c r="W189" s="148">
        <v>0</v>
      </c>
      <c r="X189" s="148">
        <v>0</v>
      </c>
      <c r="Y189" s="150">
        <v>0</v>
      </c>
      <c r="Z189" s="148">
        <v>0</v>
      </c>
      <c r="AA189" s="148">
        <v>0</v>
      </c>
      <c r="AB189" s="150">
        <v>0</v>
      </c>
    </row>
    <row r="190" spans="1:28" ht="42" customHeight="1">
      <c r="A190" s="32" t="e">
        <v>#REF!</v>
      </c>
      <c r="B190" s="132" t="s">
        <v>692</v>
      </c>
      <c r="C190" s="133" t="s">
        <v>167</v>
      </c>
      <c r="D190" s="133">
        <v>4103</v>
      </c>
      <c r="E190" s="133" t="s">
        <v>172</v>
      </c>
      <c r="F190" s="133">
        <v>21</v>
      </c>
      <c r="G190" s="133"/>
      <c r="H190" s="133"/>
      <c r="I190" s="133"/>
      <c r="J190" s="133"/>
      <c r="K190" s="134"/>
      <c r="L190" s="134" t="s">
        <v>272</v>
      </c>
      <c r="M190" s="135">
        <v>25750000000</v>
      </c>
      <c r="N190" s="136">
        <v>0</v>
      </c>
      <c r="O190" s="136">
        <v>0</v>
      </c>
      <c r="P190" s="136">
        <v>0</v>
      </c>
      <c r="Q190" s="136">
        <v>0</v>
      </c>
      <c r="R190" s="136">
        <v>0</v>
      </c>
      <c r="S190" s="135">
        <v>25750000000</v>
      </c>
      <c r="T190" s="135">
        <v>24129605631</v>
      </c>
      <c r="U190" s="135">
        <v>1620394369</v>
      </c>
      <c r="V190" s="137">
        <v>0.93707206333980586</v>
      </c>
      <c r="W190" s="135">
        <v>3430677063</v>
      </c>
      <c r="X190" s="135">
        <v>20698928568</v>
      </c>
      <c r="Y190" s="137">
        <v>0.85782291200845362</v>
      </c>
      <c r="Z190" s="135">
        <v>3367055473</v>
      </c>
      <c r="AA190" s="135">
        <v>63621590</v>
      </c>
      <c r="AB190" s="723">
        <v>0.13954042699621441</v>
      </c>
    </row>
    <row r="191" spans="1:28" ht="32.25" customHeight="1">
      <c r="A191" s="32" t="e">
        <v>#REF!</v>
      </c>
      <c r="B191" s="138" t="s">
        <v>693</v>
      </c>
      <c r="C191" s="139" t="s">
        <v>167</v>
      </c>
      <c r="D191" s="139">
        <v>4103</v>
      </c>
      <c r="E191" s="139" t="s">
        <v>172</v>
      </c>
      <c r="F191" s="139">
        <v>21</v>
      </c>
      <c r="G191" s="139" t="s">
        <v>175</v>
      </c>
      <c r="H191" s="139" t="s">
        <v>219</v>
      </c>
      <c r="I191" s="139"/>
      <c r="J191" s="139">
        <v>13</v>
      </c>
      <c r="K191" s="140" t="s">
        <v>29</v>
      </c>
      <c r="L191" s="140" t="s">
        <v>233</v>
      </c>
      <c r="M191" s="141">
        <v>1870782718</v>
      </c>
      <c r="N191" s="142">
        <v>0</v>
      </c>
      <c r="O191" s="142">
        <v>0</v>
      </c>
      <c r="P191" s="142">
        <v>0</v>
      </c>
      <c r="Q191" s="142">
        <v>0</v>
      </c>
      <c r="R191" s="142">
        <v>0</v>
      </c>
      <c r="S191" s="141">
        <v>1870782718</v>
      </c>
      <c r="T191" s="141">
        <v>1779672321</v>
      </c>
      <c r="U191" s="141">
        <v>91110397</v>
      </c>
      <c r="V191" s="143">
        <v>0.95129824745366287</v>
      </c>
      <c r="W191" s="141">
        <v>402930457</v>
      </c>
      <c r="X191" s="141">
        <v>1376741864</v>
      </c>
      <c r="Y191" s="143">
        <v>0.77359289558788391</v>
      </c>
      <c r="Z191" s="141">
        <v>402930457</v>
      </c>
      <c r="AA191" s="141">
        <v>0</v>
      </c>
      <c r="AB191" s="724">
        <v>0.22640710441211609</v>
      </c>
    </row>
    <row r="192" spans="1:28" ht="24.95" customHeight="1">
      <c r="A192" s="32" t="e">
        <v>#REF!</v>
      </c>
      <c r="B192" s="144" t="s">
        <v>694</v>
      </c>
      <c r="C192" s="145" t="s">
        <v>167</v>
      </c>
      <c r="D192" s="145">
        <v>4103</v>
      </c>
      <c r="E192" s="145" t="s">
        <v>172</v>
      </c>
      <c r="F192" s="145">
        <v>21</v>
      </c>
      <c r="G192" s="145" t="s">
        <v>175</v>
      </c>
      <c r="H192" s="145" t="s">
        <v>219</v>
      </c>
      <c r="I192" s="145" t="s">
        <v>54</v>
      </c>
      <c r="J192" s="145">
        <v>13</v>
      </c>
      <c r="K192" s="146" t="s">
        <v>29</v>
      </c>
      <c r="L192" s="147" t="s">
        <v>178</v>
      </c>
      <c r="M192" s="148">
        <v>1870782718</v>
      </c>
      <c r="N192" s="148"/>
      <c r="O192" s="148"/>
      <c r="P192" s="148"/>
      <c r="Q192" s="148"/>
      <c r="R192" s="148"/>
      <c r="S192" s="148">
        <v>1870782718</v>
      </c>
      <c r="T192" s="148">
        <v>1779672321</v>
      </c>
      <c r="U192" s="148">
        <v>91110397</v>
      </c>
      <c r="V192" s="150">
        <v>0.95129824745366287</v>
      </c>
      <c r="W192" s="148">
        <v>402930457</v>
      </c>
      <c r="X192" s="148">
        <v>1376741864</v>
      </c>
      <c r="Y192" s="150">
        <v>0.77359289558788391</v>
      </c>
      <c r="Z192" s="148">
        <v>402930457</v>
      </c>
      <c r="AA192" s="148">
        <v>0</v>
      </c>
      <c r="AB192" s="150">
        <v>0.22640710441211609</v>
      </c>
    </row>
    <row r="193" spans="1:28" ht="32.25" customHeight="1">
      <c r="A193" s="32" t="e">
        <v>#REF!</v>
      </c>
      <c r="B193" s="138" t="s">
        <v>695</v>
      </c>
      <c r="C193" s="139" t="s">
        <v>167</v>
      </c>
      <c r="D193" s="139">
        <v>4103</v>
      </c>
      <c r="E193" s="139" t="s">
        <v>172</v>
      </c>
      <c r="F193" s="139">
        <v>21</v>
      </c>
      <c r="G193" s="139" t="s">
        <v>175</v>
      </c>
      <c r="H193" s="139" t="s">
        <v>234</v>
      </c>
      <c r="I193" s="139"/>
      <c r="J193" s="139">
        <v>13</v>
      </c>
      <c r="K193" s="140" t="s">
        <v>29</v>
      </c>
      <c r="L193" s="140" t="s">
        <v>235</v>
      </c>
      <c r="M193" s="141">
        <v>1237528721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1">
        <v>1237528721</v>
      </c>
      <c r="T193" s="141">
        <v>1177258904</v>
      </c>
      <c r="U193" s="141">
        <v>60269817</v>
      </c>
      <c r="V193" s="143">
        <v>0.95129824788931105</v>
      </c>
      <c r="W193" s="141">
        <v>266539780</v>
      </c>
      <c r="X193" s="142">
        <v>910719124</v>
      </c>
      <c r="Y193" s="143">
        <v>0.77359289524643082</v>
      </c>
      <c r="Z193" s="141">
        <v>266539780</v>
      </c>
      <c r="AA193" s="141">
        <v>0</v>
      </c>
      <c r="AB193" s="724">
        <v>0.22640710475356915</v>
      </c>
    </row>
    <row r="194" spans="1:28" ht="24.95" customHeight="1">
      <c r="A194" s="32" t="e">
        <v>#REF!</v>
      </c>
      <c r="B194" s="144" t="s">
        <v>696</v>
      </c>
      <c r="C194" s="145" t="s">
        <v>167</v>
      </c>
      <c r="D194" s="145">
        <v>4103</v>
      </c>
      <c r="E194" s="145" t="s">
        <v>172</v>
      </c>
      <c r="F194" s="145">
        <v>21</v>
      </c>
      <c r="G194" s="145" t="s">
        <v>175</v>
      </c>
      <c r="H194" s="145" t="s">
        <v>234</v>
      </c>
      <c r="I194" s="145" t="s">
        <v>54</v>
      </c>
      <c r="J194" s="145">
        <v>13</v>
      </c>
      <c r="K194" s="146" t="s">
        <v>29</v>
      </c>
      <c r="L194" s="147" t="s">
        <v>178</v>
      </c>
      <c r="M194" s="148">
        <v>1237528721</v>
      </c>
      <c r="N194" s="148"/>
      <c r="O194" s="148"/>
      <c r="P194" s="148"/>
      <c r="Q194" s="148"/>
      <c r="R194" s="148"/>
      <c r="S194" s="148">
        <v>1237528721</v>
      </c>
      <c r="T194" s="148">
        <v>1177258904</v>
      </c>
      <c r="U194" s="148">
        <v>60269817</v>
      </c>
      <c r="V194" s="150">
        <v>0.95129824788931105</v>
      </c>
      <c r="W194" s="148">
        <v>266539780</v>
      </c>
      <c r="X194" s="148">
        <v>910719124</v>
      </c>
      <c r="Y194" s="150">
        <v>0.77359289524643082</v>
      </c>
      <c r="Z194" s="148">
        <v>266539780</v>
      </c>
      <c r="AA194" s="148">
        <v>0</v>
      </c>
      <c r="AB194" s="150">
        <v>0.22640710475356915</v>
      </c>
    </row>
    <row r="195" spans="1:28" ht="32.25" customHeight="1">
      <c r="A195" s="32" t="e">
        <v>#REF!</v>
      </c>
      <c r="B195" s="138" t="s">
        <v>697</v>
      </c>
      <c r="C195" s="139" t="s">
        <v>167</v>
      </c>
      <c r="D195" s="139">
        <v>4103</v>
      </c>
      <c r="E195" s="139" t="s">
        <v>172</v>
      </c>
      <c r="F195" s="139">
        <v>21</v>
      </c>
      <c r="G195" s="139" t="s">
        <v>175</v>
      </c>
      <c r="H195" s="139" t="s">
        <v>197</v>
      </c>
      <c r="I195" s="139"/>
      <c r="J195" s="139">
        <v>13</v>
      </c>
      <c r="K195" s="140" t="s">
        <v>29</v>
      </c>
      <c r="L195" s="140" t="s">
        <v>236</v>
      </c>
      <c r="M195" s="141">
        <v>1178285948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1">
        <v>1178285948</v>
      </c>
      <c r="T195" s="141">
        <v>1120901355</v>
      </c>
      <c r="U195" s="141">
        <v>57384593</v>
      </c>
      <c r="V195" s="143">
        <v>0.95129824547479025</v>
      </c>
      <c r="W195" s="141">
        <v>253780030</v>
      </c>
      <c r="X195" s="141">
        <v>867121325</v>
      </c>
      <c r="Y195" s="143">
        <v>0.77359289569241352</v>
      </c>
      <c r="Z195" s="141">
        <v>253780030</v>
      </c>
      <c r="AA195" s="141">
        <v>0</v>
      </c>
      <c r="AB195" s="724">
        <v>0.22640710430758645</v>
      </c>
    </row>
    <row r="196" spans="1:28" ht="24.95" customHeight="1">
      <c r="A196" s="32" t="e">
        <v>#REF!</v>
      </c>
      <c r="B196" s="144" t="s">
        <v>698</v>
      </c>
      <c r="C196" s="145" t="s">
        <v>167</v>
      </c>
      <c r="D196" s="145">
        <v>4103</v>
      </c>
      <c r="E196" s="145" t="s">
        <v>172</v>
      </c>
      <c r="F196" s="145">
        <v>21</v>
      </c>
      <c r="G196" s="145" t="s">
        <v>175</v>
      </c>
      <c r="H196" s="145" t="s">
        <v>197</v>
      </c>
      <c r="I196" s="145" t="s">
        <v>54</v>
      </c>
      <c r="J196" s="145">
        <v>13</v>
      </c>
      <c r="K196" s="146" t="s">
        <v>29</v>
      </c>
      <c r="L196" s="147" t="s">
        <v>178</v>
      </c>
      <c r="M196" s="148">
        <v>1178285948</v>
      </c>
      <c r="N196" s="148"/>
      <c r="O196" s="148"/>
      <c r="P196" s="148"/>
      <c r="Q196" s="148"/>
      <c r="R196" s="148"/>
      <c r="S196" s="148">
        <v>1178285948</v>
      </c>
      <c r="T196" s="148">
        <v>1120901355</v>
      </c>
      <c r="U196" s="148">
        <v>57384593</v>
      </c>
      <c r="V196" s="150">
        <v>0.95129824547479025</v>
      </c>
      <c r="W196" s="148">
        <v>253780030</v>
      </c>
      <c r="X196" s="148">
        <v>867121325</v>
      </c>
      <c r="Y196" s="150">
        <v>0.77359289569241352</v>
      </c>
      <c r="Z196" s="148">
        <v>253780030</v>
      </c>
      <c r="AA196" s="148">
        <v>0</v>
      </c>
      <c r="AB196" s="150">
        <v>0.22640710430758645</v>
      </c>
    </row>
    <row r="197" spans="1:28" ht="32.25" customHeight="1">
      <c r="A197" s="32" t="e">
        <v>#REF!</v>
      </c>
      <c r="B197" s="138" t="s">
        <v>699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203</v>
      </c>
      <c r="I197" s="139"/>
      <c r="J197" s="139">
        <v>13</v>
      </c>
      <c r="K197" s="140" t="s">
        <v>29</v>
      </c>
      <c r="L197" s="140" t="s">
        <v>237</v>
      </c>
      <c r="M197" s="141">
        <v>5017014439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1">
        <v>5017014439</v>
      </c>
      <c r="T197" s="141">
        <v>4772677041</v>
      </c>
      <c r="U197" s="141">
        <v>244337398</v>
      </c>
      <c r="V197" s="143">
        <v>0.95129824700111854</v>
      </c>
      <c r="W197" s="141">
        <v>1082871038</v>
      </c>
      <c r="X197" s="141">
        <v>3689806003</v>
      </c>
      <c r="Y197" s="143">
        <v>0.77311034693998271</v>
      </c>
      <c r="Z197" s="141">
        <v>1082871038</v>
      </c>
      <c r="AA197" s="141">
        <v>0</v>
      </c>
      <c r="AB197" s="724">
        <v>0.22688965306001732</v>
      </c>
    </row>
    <row r="198" spans="1:28" ht="24.95" customHeight="1">
      <c r="A198" s="32" t="e">
        <v>#REF!</v>
      </c>
      <c r="B198" s="144" t="s">
        <v>700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203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5017014439</v>
      </c>
      <c r="N198" s="148"/>
      <c r="O198" s="148"/>
      <c r="P198" s="148"/>
      <c r="Q198" s="148"/>
      <c r="R198" s="148"/>
      <c r="S198" s="148">
        <v>5017014439</v>
      </c>
      <c r="T198" s="148">
        <v>4772677041</v>
      </c>
      <c r="U198" s="148">
        <v>244337398</v>
      </c>
      <c r="V198" s="150">
        <v>0.95129824700111854</v>
      </c>
      <c r="W198" s="148">
        <v>1082871038</v>
      </c>
      <c r="X198" s="148">
        <v>3689806003</v>
      </c>
      <c r="Y198" s="150">
        <v>0.77311034693998271</v>
      </c>
      <c r="Z198" s="148">
        <v>1082871038</v>
      </c>
      <c r="AA198" s="148">
        <v>0</v>
      </c>
      <c r="AB198" s="150">
        <v>0.22688965306001732</v>
      </c>
    </row>
    <row r="199" spans="1:28" ht="32.25" customHeight="1">
      <c r="A199" s="32" t="e">
        <v>#REF!</v>
      </c>
      <c r="B199" s="138" t="s">
        <v>701</v>
      </c>
      <c r="C199" s="139" t="s">
        <v>167</v>
      </c>
      <c r="D199" s="139">
        <v>4103</v>
      </c>
      <c r="E199" s="139" t="s">
        <v>172</v>
      </c>
      <c r="F199" s="139">
        <v>21</v>
      </c>
      <c r="G199" s="139" t="s">
        <v>175</v>
      </c>
      <c r="H199" s="139" t="s">
        <v>223</v>
      </c>
      <c r="I199" s="139"/>
      <c r="J199" s="139">
        <v>13</v>
      </c>
      <c r="K199" s="140" t="s">
        <v>29</v>
      </c>
      <c r="L199" s="140" t="s">
        <v>238</v>
      </c>
      <c r="M199" s="141">
        <v>16446388174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1">
        <v>16446388174</v>
      </c>
      <c r="T199" s="141">
        <v>15279096010</v>
      </c>
      <c r="U199" s="141">
        <v>1167292164</v>
      </c>
      <c r="V199" s="143">
        <v>0.92902440635291794</v>
      </c>
      <c r="W199" s="141">
        <v>1424555758</v>
      </c>
      <c r="X199" s="141">
        <v>13854540252</v>
      </c>
      <c r="Y199" s="143">
        <v>0.90676439515350615</v>
      </c>
      <c r="Z199" s="141">
        <v>1360934168</v>
      </c>
      <c r="AA199" s="141">
        <v>63621590</v>
      </c>
      <c r="AB199" s="724">
        <v>8.9071641876540569E-2</v>
      </c>
    </row>
    <row r="200" spans="1:28" ht="24.95" customHeight="1">
      <c r="A200" s="32" t="e">
        <v>#REF!</v>
      </c>
      <c r="B200" s="144" t="s">
        <v>702</v>
      </c>
      <c r="C200" s="145" t="s">
        <v>167</v>
      </c>
      <c r="D200" s="145">
        <v>4103</v>
      </c>
      <c r="E200" s="145" t="s">
        <v>172</v>
      </c>
      <c r="F200" s="145">
        <v>21</v>
      </c>
      <c r="G200" s="145" t="s">
        <v>175</v>
      </c>
      <c r="H200" s="145" t="s">
        <v>223</v>
      </c>
      <c r="I200" s="145" t="s">
        <v>54</v>
      </c>
      <c r="J200" s="145">
        <v>13</v>
      </c>
      <c r="K200" s="146" t="s">
        <v>29</v>
      </c>
      <c r="L200" s="147" t="s">
        <v>178</v>
      </c>
      <c r="M200" s="148">
        <v>16446388174</v>
      </c>
      <c r="N200" s="148"/>
      <c r="O200" s="148"/>
      <c r="P200" s="148"/>
      <c r="Q200" s="148"/>
      <c r="R200" s="148"/>
      <c r="S200" s="148">
        <v>16446388174</v>
      </c>
      <c r="T200" s="148">
        <v>15279096010</v>
      </c>
      <c r="U200" s="148">
        <v>1167292164</v>
      </c>
      <c r="V200" s="150">
        <v>0.92902440635291794</v>
      </c>
      <c r="W200" s="148">
        <v>1424555758</v>
      </c>
      <c r="X200" s="148">
        <v>13854540252</v>
      </c>
      <c r="Y200" s="150">
        <v>0.90676439515350615</v>
      </c>
      <c r="Z200" s="148">
        <v>1360934168</v>
      </c>
      <c r="AA200" s="148">
        <v>63621590</v>
      </c>
      <c r="AB200" s="150">
        <v>8.9071641876540569E-2</v>
      </c>
    </row>
    <row r="201" spans="1:28" ht="49.5" customHeight="1">
      <c r="A201" s="32" t="e">
        <v>#REF!</v>
      </c>
      <c r="B201" s="132" t="s">
        <v>704</v>
      </c>
      <c r="C201" s="133" t="s">
        <v>167</v>
      </c>
      <c r="D201" s="133">
        <v>4103</v>
      </c>
      <c r="E201" s="133" t="s">
        <v>172</v>
      </c>
      <c r="F201" s="133">
        <v>22</v>
      </c>
      <c r="G201" s="133"/>
      <c r="H201" s="133"/>
      <c r="I201" s="133"/>
      <c r="J201" s="133"/>
      <c r="K201" s="134"/>
      <c r="L201" s="134" t="s">
        <v>239</v>
      </c>
      <c r="M201" s="135">
        <v>167533000000</v>
      </c>
      <c r="N201" s="136">
        <v>0</v>
      </c>
      <c r="O201" s="136">
        <v>0</v>
      </c>
      <c r="P201" s="136">
        <v>0</v>
      </c>
      <c r="Q201" s="136">
        <v>0</v>
      </c>
      <c r="R201" s="136">
        <v>0</v>
      </c>
      <c r="S201" s="135">
        <v>167533000000</v>
      </c>
      <c r="T201" s="135">
        <v>134693373324</v>
      </c>
      <c r="U201" s="135">
        <v>32839626676</v>
      </c>
      <c r="V201" s="137">
        <v>0.80398114594736558</v>
      </c>
      <c r="W201" s="135">
        <v>203799225</v>
      </c>
      <c r="X201" s="135">
        <v>134489574099</v>
      </c>
      <c r="Y201" s="137">
        <v>0.99848693948357969</v>
      </c>
      <c r="Z201" s="135">
        <v>157751829</v>
      </c>
      <c r="AA201" s="135">
        <v>46047396</v>
      </c>
      <c r="AB201" s="723">
        <v>1.1711922057259174E-3</v>
      </c>
    </row>
    <row r="202" spans="1:28" ht="32.25" customHeight="1">
      <c r="A202" s="32" t="e">
        <v>#REF!</v>
      </c>
      <c r="B202" s="138" t="s">
        <v>705</v>
      </c>
      <c r="C202" s="139" t="s">
        <v>167</v>
      </c>
      <c r="D202" s="139">
        <v>4103</v>
      </c>
      <c r="E202" s="139" t="s">
        <v>172</v>
      </c>
      <c r="F202" s="139">
        <v>22</v>
      </c>
      <c r="G202" s="139" t="s">
        <v>175</v>
      </c>
      <c r="H202" s="139" t="s">
        <v>219</v>
      </c>
      <c r="I202" s="139"/>
      <c r="J202" s="139">
        <v>13</v>
      </c>
      <c r="K202" s="140" t="s">
        <v>29</v>
      </c>
      <c r="L202" s="140" t="s">
        <v>240</v>
      </c>
      <c r="M202" s="141">
        <v>5834100502</v>
      </c>
      <c r="N202" s="142">
        <v>0</v>
      </c>
      <c r="O202" s="142">
        <v>0</v>
      </c>
      <c r="P202" s="142">
        <v>0</v>
      </c>
      <c r="Q202" s="142">
        <v>0</v>
      </c>
      <c r="R202" s="142">
        <v>0</v>
      </c>
      <c r="S202" s="141">
        <v>5834100502</v>
      </c>
      <c r="T202" s="141">
        <v>3919643191</v>
      </c>
      <c r="U202" s="141">
        <v>1914457311</v>
      </c>
      <c r="V202" s="143">
        <v>0.67185047457723757</v>
      </c>
      <c r="W202" s="141">
        <v>0</v>
      </c>
      <c r="X202" s="141">
        <v>3919643191</v>
      </c>
      <c r="Y202" s="143">
        <v>1</v>
      </c>
      <c r="Z202" s="141">
        <v>0</v>
      </c>
      <c r="AA202" s="141">
        <v>0</v>
      </c>
      <c r="AB202" s="724">
        <v>0</v>
      </c>
    </row>
    <row r="203" spans="1:28" ht="24.95" customHeight="1">
      <c r="A203" s="32" t="e">
        <v>#REF!</v>
      </c>
      <c r="B203" s="144" t="s">
        <v>706</v>
      </c>
      <c r="C203" s="145" t="s">
        <v>167</v>
      </c>
      <c r="D203" s="145">
        <v>4103</v>
      </c>
      <c r="E203" s="145" t="s">
        <v>172</v>
      </c>
      <c r="F203" s="145">
        <v>22</v>
      </c>
      <c r="G203" s="145" t="s">
        <v>175</v>
      </c>
      <c r="H203" s="145" t="s">
        <v>219</v>
      </c>
      <c r="I203" s="145" t="s">
        <v>54</v>
      </c>
      <c r="J203" s="145">
        <v>13</v>
      </c>
      <c r="K203" s="146" t="s">
        <v>29</v>
      </c>
      <c r="L203" s="147" t="s">
        <v>178</v>
      </c>
      <c r="M203" s="148">
        <v>5834100502</v>
      </c>
      <c r="N203" s="148"/>
      <c r="O203" s="148"/>
      <c r="P203" s="148"/>
      <c r="Q203" s="148"/>
      <c r="R203" s="148"/>
      <c r="S203" s="148">
        <v>5834100502</v>
      </c>
      <c r="T203" s="148">
        <v>3919643191</v>
      </c>
      <c r="U203" s="148">
        <v>1914457311</v>
      </c>
      <c r="V203" s="150">
        <v>0.67185047457723757</v>
      </c>
      <c r="W203" s="148"/>
      <c r="X203" s="148">
        <v>3919643191</v>
      </c>
      <c r="Y203" s="150">
        <v>1</v>
      </c>
      <c r="Z203" s="148"/>
      <c r="AA203" s="148">
        <v>0</v>
      </c>
      <c r="AB203" s="150">
        <v>0</v>
      </c>
    </row>
    <row r="204" spans="1:28" ht="32.25" customHeight="1">
      <c r="A204" s="32" t="e">
        <v>#REF!</v>
      </c>
      <c r="B204" s="138" t="s">
        <v>707</v>
      </c>
      <c r="C204" s="139" t="s">
        <v>167</v>
      </c>
      <c r="D204" s="139">
        <v>4103</v>
      </c>
      <c r="E204" s="139" t="s">
        <v>172</v>
      </c>
      <c r="F204" s="139">
        <v>22</v>
      </c>
      <c r="G204" s="139" t="s">
        <v>175</v>
      </c>
      <c r="H204" s="139" t="s">
        <v>234</v>
      </c>
      <c r="I204" s="139"/>
      <c r="J204" s="139">
        <v>13</v>
      </c>
      <c r="K204" s="140" t="s">
        <v>29</v>
      </c>
      <c r="L204" s="140" t="s">
        <v>241</v>
      </c>
      <c r="M204" s="141">
        <v>21263252053</v>
      </c>
      <c r="N204" s="142">
        <v>0</v>
      </c>
      <c r="O204" s="142">
        <v>0</v>
      </c>
      <c r="P204" s="142">
        <v>0</v>
      </c>
      <c r="Q204" s="142">
        <v>0</v>
      </c>
      <c r="R204" s="142">
        <v>0</v>
      </c>
      <c r="S204" s="141">
        <v>21263252053</v>
      </c>
      <c r="T204" s="141">
        <v>17919558020</v>
      </c>
      <c r="U204" s="141">
        <v>3343694033</v>
      </c>
      <c r="V204" s="143">
        <v>0.84274775915435551</v>
      </c>
      <c r="W204" s="141">
        <v>0</v>
      </c>
      <c r="X204" s="141">
        <v>17919558020</v>
      </c>
      <c r="Y204" s="143">
        <v>1</v>
      </c>
      <c r="Z204" s="141">
        <v>0</v>
      </c>
      <c r="AA204" s="141">
        <v>0</v>
      </c>
      <c r="AB204" s="724">
        <v>0</v>
      </c>
    </row>
    <row r="205" spans="1:28" ht="24.95" customHeight="1">
      <c r="A205" s="32" t="e">
        <v>#REF!</v>
      </c>
      <c r="B205" s="144" t="s">
        <v>708</v>
      </c>
      <c r="C205" s="145" t="s">
        <v>167</v>
      </c>
      <c r="D205" s="145">
        <v>4103</v>
      </c>
      <c r="E205" s="145" t="s">
        <v>172</v>
      </c>
      <c r="F205" s="145">
        <v>22</v>
      </c>
      <c r="G205" s="145" t="s">
        <v>175</v>
      </c>
      <c r="H205" s="145" t="s">
        <v>234</v>
      </c>
      <c r="I205" s="145" t="s">
        <v>54</v>
      </c>
      <c r="J205" s="145">
        <v>13</v>
      </c>
      <c r="K205" s="146" t="s">
        <v>29</v>
      </c>
      <c r="L205" s="147" t="s">
        <v>178</v>
      </c>
      <c r="M205" s="148">
        <v>21263252053</v>
      </c>
      <c r="N205" s="148"/>
      <c r="O205" s="148"/>
      <c r="P205" s="148"/>
      <c r="Q205" s="148"/>
      <c r="R205" s="148"/>
      <c r="S205" s="148">
        <v>21263252053</v>
      </c>
      <c r="T205" s="148">
        <v>17919558020</v>
      </c>
      <c r="U205" s="148">
        <v>3343694033</v>
      </c>
      <c r="V205" s="150">
        <v>0.84274775915435551</v>
      </c>
      <c r="W205" s="148"/>
      <c r="X205" s="148">
        <v>17919558020</v>
      </c>
      <c r="Y205" s="150">
        <v>1</v>
      </c>
      <c r="Z205" s="148"/>
      <c r="AA205" s="148">
        <v>0</v>
      </c>
      <c r="AB205" s="150">
        <v>0</v>
      </c>
    </row>
    <row r="206" spans="1:28" ht="32.25" customHeight="1">
      <c r="A206" s="32" t="e">
        <v>#REF!</v>
      </c>
      <c r="B206" s="138" t="s">
        <v>710</v>
      </c>
      <c r="C206" s="139" t="s">
        <v>167</v>
      </c>
      <c r="D206" s="139">
        <v>4103</v>
      </c>
      <c r="E206" s="139" t="s">
        <v>172</v>
      </c>
      <c r="F206" s="139">
        <v>22</v>
      </c>
      <c r="G206" s="139" t="s">
        <v>175</v>
      </c>
      <c r="H206" s="139">
        <v>4103051</v>
      </c>
      <c r="I206" s="139"/>
      <c r="J206" s="139">
        <v>13</v>
      </c>
      <c r="K206" s="140" t="s">
        <v>29</v>
      </c>
      <c r="L206" s="140" t="s">
        <v>242</v>
      </c>
      <c r="M206" s="141">
        <v>5191519285</v>
      </c>
      <c r="N206" s="142">
        <v>0</v>
      </c>
      <c r="O206" s="142">
        <v>0</v>
      </c>
      <c r="P206" s="142">
        <v>0</v>
      </c>
      <c r="Q206" s="142">
        <v>0</v>
      </c>
      <c r="R206" s="142">
        <v>0</v>
      </c>
      <c r="S206" s="141">
        <v>5191519285</v>
      </c>
      <c r="T206" s="141">
        <v>3945310447</v>
      </c>
      <c r="U206" s="141">
        <v>1246208838</v>
      </c>
      <c r="V206" s="143">
        <v>0.75995295989736467</v>
      </c>
      <c r="W206" s="141">
        <v>0</v>
      </c>
      <c r="X206" s="141">
        <v>3945310447</v>
      </c>
      <c r="Y206" s="143">
        <v>1</v>
      </c>
      <c r="Z206" s="141">
        <v>0</v>
      </c>
      <c r="AA206" s="141">
        <v>0</v>
      </c>
      <c r="AB206" s="724">
        <v>0</v>
      </c>
    </row>
    <row r="207" spans="1:28" ht="24.95" customHeight="1">
      <c r="A207" s="32" t="e">
        <v>#REF!</v>
      </c>
      <c r="B207" s="144" t="s">
        <v>711</v>
      </c>
      <c r="C207" s="145" t="s">
        <v>167</v>
      </c>
      <c r="D207" s="145">
        <v>4103</v>
      </c>
      <c r="E207" s="145" t="s">
        <v>172</v>
      </c>
      <c r="F207" s="145">
        <v>22</v>
      </c>
      <c r="G207" s="145" t="s">
        <v>175</v>
      </c>
      <c r="H207" s="145">
        <v>4103051</v>
      </c>
      <c r="I207" s="145" t="s">
        <v>54</v>
      </c>
      <c r="J207" s="145">
        <v>13</v>
      </c>
      <c r="K207" s="146" t="s">
        <v>29</v>
      </c>
      <c r="L207" s="147" t="s">
        <v>178</v>
      </c>
      <c r="M207" s="148">
        <v>5191519285</v>
      </c>
      <c r="N207" s="148"/>
      <c r="O207" s="148"/>
      <c r="P207" s="148"/>
      <c r="Q207" s="148"/>
      <c r="R207" s="148"/>
      <c r="S207" s="148">
        <v>5191519285</v>
      </c>
      <c r="T207" s="148">
        <v>3945310447</v>
      </c>
      <c r="U207" s="148">
        <v>1246208838</v>
      </c>
      <c r="V207" s="150">
        <v>0.75995295989736467</v>
      </c>
      <c r="W207" s="148"/>
      <c r="X207" s="148">
        <v>3945310447</v>
      </c>
      <c r="Y207" s="150">
        <v>1</v>
      </c>
      <c r="Z207" s="148"/>
      <c r="AA207" s="148">
        <v>0</v>
      </c>
      <c r="AB207" s="150">
        <v>0</v>
      </c>
    </row>
    <row r="208" spans="1:28" ht="32.25" customHeight="1">
      <c r="A208" s="32" t="e">
        <v>#REF!</v>
      </c>
      <c r="B208" s="138" t="s">
        <v>712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>
        <v>4103055</v>
      </c>
      <c r="I208" s="139"/>
      <c r="J208" s="139">
        <v>13</v>
      </c>
      <c r="K208" s="140" t="s">
        <v>29</v>
      </c>
      <c r="L208" s="140" t="s">
        <v>243</v>
      </c>
      <c r="M208" s="141">
        <v>7874924941</v>
      </c>
      <c r="N208" s="142">
        <v>0</v>
      </c>
      <c r="O208" s="142">
        <v>0</v>
      </c>
      <c r="P208" s="142">
        <v>0</v>
      </c>
      <c r="Q208" s="142">
        <v>0</v>
      </c>
      <c r="R208" s="142">
        <v>0</v>
      </c>
      <c r="S208" s="141">
        <v>7874924941</v>
      </c>
      <c r="T208" s="141">
        <v>894550970</v>
      </c>
      <c r="U208" s="141">
        <v>6980373971</v>
      </c>
      <c r="V208" s="143">
        <v>0.1135948566750917</v>
      </c>
      <c r="W208" s="141">
        <v>0</v>
      </c>
      <c r="X208" s="141">
        <v>894550970</v>
      </c>
      <c r="Y208" s="143">
        <v>1</v>
      </c>
      <c r="Z208" s="141">
        <v>0</v>
      </c>
      <c r="AA208" s="141">
        <v>0</v>
      </c>
      <c r="AB208" s="724">
        <v>0</v>
      </c>
    </row>
    <row r="209" spans="1:28" ht="24.95" customHeight="1">
      <c r="A209" s="32" t="e">
        <v>#REF!</v>
      </c>
      <c r="B209" s="144" t="s">
        <v>713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 t="s">
        <v>203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7874924941</v>
      </c>
      <c r="N209" s="148"/>
      <c r="O209" s="148"/>
      <c r="P209" s="148"/>
      <c r="Q209" s="148"/>
      <c r="R209" s="148"/>
      <c r="S209" s="148">
        <v>7874924941</v>
      </c>
      <c r="T209" s="148">
        <v>894550970</v>
      </c>
      <c r="U209" s="148">
        <v>6980373971</v>
      </c>
      <c r="V209" s="150">
        <v>0.1135948566750917</v>
      </c>
      <c r="W209" s="148"/>
      <c r="X209" s="148">
        <v>894550970</v>
      </c>
      <c r="Y209" s="150">
        <v>1</v>
      </c>
      <c r="Z209" s="148"/>
      <c r="AA209" s="148">
        <v>0</v>
      </c>
      <c r="AB209" s="150">
        <v>0</v>
      </c>
    </row>
    <row r="210" spans="1:28" ht="32.25" customHeight="1">
      <c r="A210" s="32" t="e">
        <v>#REF!</v>
      </c>
      <c r="B210" s="138" t="s">
        <v>715</v>
      </c>
      <c r="C210" s="139" t="s">
        <v>167</v>
      </c>
      <c r="D210" s="139">
        <v>4103</v>
      </c>
      <c r="E210" s="139" t="s">
        <v>172</v>
      </c>
      <c r="F210" s="139">
        <v>22</v>
      </c>
      <c r="G210" s="139" t="s">
        <v>175</v>
      </c>
      <c r="H210" s="139">
        <v>4103057</v>
      </c>
      <c r="I210" s="139"/>
      <c r="J210" s="139">
        <v>13</v>
      </c>
      <c r="K210" s="140" t="s">
        <v>29</v>
      </c>
      <c r="L210" s="140" t="s">
        <v>244</v>
      </c>
      <c r="M210" s="141">
        <v>64906595848</v>
      </c>
      <c r="N210" s="142">
        <v>0</v>
      </c>
      <c r="O210" s="142">
        <v>0</v>
      </c>
      <c r="P210" s="142">
        <v>0</v>
      </c>
      <c r="Q210" s="142">
        <v>0</v>
      </c>
      <c r="R210" s="142">
        <v>0</v>
      </c>
      <c r="S210" s="141">
        <v>64906595848</v>
      </c>
      <c r="T210" s="141">
        <v>63934758289</v>
      </c>
      <c r="U210" s="141">
        <v>971837559</v>
      </c>
      <c r="V210" s="143">
        <v>0.98502713712985546</v>
      </c>
      <c r="W210" s="141">
        <v>203799225</v>
      </c>
      <c r="X210" s="141">
        <v>63730959064</v>
      </c>
      <c r="Y210" s="143">
        <v>0.99681238765181879</v>
      </c>
      <c r="Z210" s="141">
        <v>157751829</v>
      </c>
      <c r="AA210" s="141">
        <v>46047396</v>
      </c>
      <c r="AB210" s="724">
        <v>2.4673875873108802E-3</v>
      </c>
    </row>
    <row r="211" spans="1:28" ht="24.95" customHeight="1">
      <c r="A211" s="32" t="e">
        <v>#REF!</v>
      </c>
      <c r="B211" s="144" t="s">
        <v>716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221</v>
      </c>
      <c r="I211" s="145" t="s">
        <v>54</v>
      </c>
      <c r="J211" s="145">
        <v>13</v>
      </c>
      <c r="K211" s="146" t="s">
        <v>29</v>
      </c>
      <c r="L211" s="147" t="s">
        <v>178</v>
      </c>
      <c r="M211" s="148">
        <v>4796601848</v>
      </c>
      <c r="N211" s="148"/>
      <c r="O211" s="148"/>
      <c r="P211" s="148"/>
      <c r="Q211" s="148"/>
      <c r="R211" s="148"/>
      <c r="S211" s="148">
        <v>4796601848</v>
      </c>
      <c r="T211" s="148">
        <v>3824764289</v>
      </c>
      <c r="U211" s="148">
        <v>971837559</v>
      </c>
      <c r="V211" s="150">
        <v>0.79739040474972522</v>
      </c>
      <c r="W211" s="148">
        <v>203799225</v>
      </c>
      <c r="X211" s="148">
        <v>3620965064</v>
      </c>
      <c r="Y211" s="150">
        <v>0.94671587329286533</v>
      </c>
      <c r="Z211" s="148">
        <v>157751829</v>
      </c>
      <c r="AA211" s="148">
        <v>46047396</v>
      </c>
      <c r="AB211" s="150">
        <v>4.1244849899297935E-2</v>
      </c>
    </row>
    <row r="212" spans="1:28" ht="24.95" customHeight="1">
      <c r="A212" s="32" t="e">
        <v>#REF!</v>
      </c>
      <c r="B212" s="144" t="s">
        <v>717</v>
      </c>
      <c r="C212" s="145" t="s">
        <v>167</v>
      </c>
      <c r="D212" s="145">
        <v>4103</v>
      </c>
      <c r="E212" s="145" t="s">
        <v>172</v>
      </c>
      <c r="F212" s="145">
        <v>22</v>
      </c>
      <c r="G212" s="145" t="s">
        <v>175</v>
      </c>
      <c r="H212" s="145" t="s">
        <v>221</v>
      </c>
      <c r="I212" s="145" t="s">
        <v>65</v>
      </c>
      <c r="J212" s="145">
        <v>13</v>
      </c>
      <c r="K212" s="146" t="s">
        <v>29</v>
      </c>
      <c r="L212" s="147" t="s">
        <v>127</v>
      </c>
      <c r="M212" s="148">
        <v>60109994000</v>
      </c>
      <c r="N212" s="148"/>
      <c r="O212" s="148"/>
      <c r="P212" s="148"/>
      <c r="Q212" s="148"/>
      <c r="R212" s="148"/>
      <c r="S212" s="148">
        <v>60109994000</v>
      </c>
      <c r="T212" s="148">
        <v>60109994000</v>
      </c>
      <c r="U212" s="148">
        <v>0</v>
      </c>
      <c r="V212" s="150">
        <v>1</v>
      </c>
      <c r="W212" s="148"/>
      <c r="X212" s="148">
        <v>60109994000</v>
      </c>
      <c r="Y212" s="150">
        <v>1</v>
      </c>
      <c r="Z212" s="148"/>
      <c r="AA212" s="148">
        <v>0</v>
      </c>
      <c r="AB212" s="150">
        <v>0</v>
      </c>
    </row>
    <row r="213" spans="1:28" ht="32.25" customHeight="1">
      <c r="A213" s="32" t="e">
        <v>#REF!</v>
      </c>
      <c r="B213" s="138" t="s">
        <v>718</v>
      </c>
      <c r="C213" s="139" t="s">
        <v>167</v>
      </c>
      <c r="D213" s="139">
        <v>4103</v>
      </c>
      <c r="E213" s="139" t="s">
        <v>172</v>
      </c>
      <c r="F213" s="139">
        <v>22</v>
      </c>
      <c r="G213" s="139" t="s">
        <v>175</v>
      </c>
      <c r="H213" s="139">
        <v>4103062</v>
      </c>
      <c r="I213" s="139"/>
      <c r="J213" s="139">
        <v>13</v>
      </c>
      <c r="K213" s="140" t="s">
        <v>29</v>
      </c>
      <c r="L213" s="140" t="s">
        <v>245</v>
      </c>
      <c r="M213" s="141">
        <v>62462607371</v>
      </c>
      <c r="N213" s="142">
        <v>0</v>
      </c>
      <c r="O213" s="142">
        <v>0</v>
      </c>
      <c r="P213" s="142">
        <v>0</v>
      </c>
      <c r="Q213" s="142">
        <v>0</v>
      </c>
      <c r="R213" s="142">
        <v>0</v>
      </c>
      <c r="S213" s="141">
        <v>62462607371</v>
      </c>
      <c r="T213" s="141">
        <v>44079552407</v>
      </c>
      <c r="U213" s="141">
        <v>18383054964</v>
      </c>
      <c r="V213" s="143">
        <v>0.70569504319899967</v>
      </c>
      <c r="W213" s="141">
        <v>0</v>
      </c>
      <c r="X213" s="142">
        <v>44079552407</v>
      </c>
      <c r="Y213" s="143">
        <v>1</v>
      </c>
      <c r="Z213" s="141">
        <v>0</v>
      </c>
      <c r="AA213" s="141">
        <v>0</v>
      </c>
      <c r="AB213" s="724">
        <v>0</v>
      </c>
    </row>
    <row r="214" spans="1:28" ht="24.95" customHeight="1">
      <c r="A214" s="32" t="e">
        <v>#REF!</v>
      </c>
      <c r="B214" s="144" t="s">
        <v>719</v>
      </c>
      <c r="C214" s="145" t="s">
        <v>167</v>
      </c>
      <c r="D214" s="145">
        <v>4103</v>
      </c>
      <c r="E214" s="145" t="s">
        <v>172</v>
      </c>
      <c r="F214" s="145">
        <v>22</v>
      </c>
      <c r="G214" s="145" t="s">
        <v>175</v>
      </c>
      <c r="H214" s="145" t="s">
        <v>246</v>
      </c>
      <c r="I214" s="145" t="s">
        <v>54</v>
      </c>
      <c r="J214" s="145">
        <v>13</v>
      </c>
      <c r="K214" s="146" t="s">
        <v>29</v>
      </c>
      <c r="L214" s="147" t="s">
        <v>178</v>
      </c>
      <c r="M214" s="148">
        <v>6064335371</v>
      </c>
      <c r="N214" s="148"/>
      <c r="O214" s="148"/>
      <c r="P214" s="148"/>
      <c r="Q214" s="148"/>
      <c r="R214" s="148"/>
      <c r="S214" s="148">
        <v>6064335371</v>
      </c>
      <c r="T214" s="148">
        <v>4249430407</v>
      </c>
      <c r="U214" s="148">
        <v>1814904964</v>
      </c>
      <c r="V214" s="150">
        <v>0.70072483578679046</v>
      </c>
      <c r="W214" s="148"/>
      <c r="X214" s="148">
        <v>4249430407</v>
      </c>
      <c r="Y214" s="150">
        <v>1</v>
      </c>
      <c r="Z214" s="148"/>
      <c r="AA214" s="148">
        <v>0</v>
      </c>
      <c r="AB214" s="150">
        <v>0</v>
      </c>
    </row>
    <row r="215" spans="1:28" ht="24.95" customHeight="1">
      <c r="A215" s="32" t="e">
        <v>#REF!</v>
      </c>
      <c r="B215" s="144" t="s">
        <v>720</v>
      </c>
      <c r="C215" s="145" t="s">
        <v>167</v>
      </c>
      <c r="D215" s="145">
        <v>4103</v>
      </c>
      <c r="E215" s="145" t="s">
        <v>172</v>
      </c>
      <c r="F215" s="145">
        <v>22</v>
      </c>
      <c r="G215" s="145" t="s">
        <v>175</v>
      </c>
      <c r="H215" s="145" t="s">
        <v>246</v>
      </c>
      <c r="I215" s="145" t="s">
        <v>65</v>
      </c>
      <c r="J215" s="145">
        <v>13</v>
      </c>
      <c r="K215" s="146" t="s">
        <v>29</v>
      </c>
      <c r="L215" s="147" t="s">
        <v>127</v>
      </c>
      <c r="M215" s="148">
        <v>56398272000</v>
      </c>
      <c r="N215" s="148"/>
      <c r="O215" s="148"/>
      <c r="P215" s="148"/>
      <c r="Q215" s="148"/>
      <c r="R215" s="148"/>
      <c r="S215" s="148">
        <v>56398272000</v>
      </c>
      <c r="T215" s="148">
        <v>39830122000</v>
      </c>
      <c r="U215" s="148">
        <v>16568150000</v>
      </c>
      <c r="V215" s="150">
        <v>0.70622947454844009</v>
      </c>
      <c r="W215" s="148"/>
      <c r="X215" s="148">
        <v>39830122000</v>
      </c>
      <c r="Y215" s="150">
        <v>1</v>
      </c>
      <c r="Z215" s="148"/>
      <c r="AA215" s="148">
        <v>0</v>
      </c>
      <c r="AB215" s="150">
        <v>0</v>
      </c>
    </row>
    <row r="216" spans="1:28" ht="39.75" customHeight="1">
      <c r="A216" s="32"/>
      <c r="B216" s="132" t="s">
        <v>685</v>
      </c>
      <c r="C216" s="133" t="s">
        <v>167</v>
      </c>
      <c r="D216" s="133" t="s">
        <v>190</v>
      </c>
      <c r="E216" s="133" t="s">
        <v>172</v>
      </c>
      <c r="F216" s="133">
        <v>23</v>
      </c>
      <c r="G216" s="133"/>
      <c r="H216" s="133"/>
      <c r="I216" s="133"/>
      <c r="J216" s="133"/>
      <c r="K216" s="134"/>
      <c r="L216" s="134" t="s">
        <v>273</v>
      </c>
      <c r="M216" s="135">
        <v>1612279801419</v>
      </c>
      <c r="N216" s="136">
        <v>0</v>
      </c>
      <c r="O216" s="136">
        <v>0</v>
      </c>
      <c r="P216" s="135">
        <v>27826035802.349998</v>
      </c>
      <c r="Q216" s="135">
        <v>27826035802.349998</v>
      </c>
      <c r="R216" s="136">
        <v>0</v>
      </c>
      <c r="S216" s="135">
        <v>1612279801419</v>
      </c>
      <c r="T216" s="135">
        <v>320734119214</v>
      </c>
      <c r="U216" s="135">
        <v>1291545682205</v>
      </c>
      <c r="V216" s="137">
        <v>0.19893204574771414</v>
      </c>
      <c r="W216" s="135">
        <v>291837144899</v>
      </c>
      <c r="X216" s="135">
        <v>28896974315</v>
      </c>
      <c r="Y216" s="137">
        <v>9.00963526606266E-2</v>
      </c>
      <c r="Z216" s="135">
        <v>291820974588</v>
      </c>
      <c r="AA216" s="135">
        <v>16170311</v>
      </c>
      <c r="AB216" s="723">
        <v>0.9098532307792655</v>
      </c>
    </row>
    <row r="217" spans="1:28" ht="32.25" customHeight="1">
      <c r="A217" s="32"/>
      <c r="B217" s="138" t="s">
        <v>721</v>
      </c>
      <c r="C217" s="139" t="s">
        <v>167</v>
      </c>
      <c r="D217" s="139" t="s">
        <v>190</v>
      </c>
      <c r="E217" s="139" t="s">
        <v>172</v>
      </c>
      <c r="F217" s="139">
        <v>23</v>
      </c>
      <c r="G217" s="139" t="s">
        <v>175</v>
      </c>
      <c r="H217" s="139">
        <v>4103065</v>
      </c>
      <c r="I217" s="139"/>
      <c r="J217" s="139">
        <v>11</v>
      </c>
      <c r="K217" s="140" t="s">
        <v>29</v>
      </c>
      <c r="L217" s="140" t="s">
        <v>248</v>
      </c>
      <c r="M217" s="141">
        <v>1612279801419</v>
      </c>
      <c r="N217" s="142">
        <v>0</v>
      </c>
      <c r="O217" s="142">
        <v>0</v>
      </c>
      <c r="P217" s="141">
        <v>27826035802.349998</v>
      </c>
      <c r="Q217" s="141">
        <v>27826035802.349998</v>
      </c>
      <c r="R217" s="142">
        <v>0</v>
      </c>
      <c r="S217" s="141">
        <v>1612279801419</v>
      </c>
      <c r="T217" s="141">
        <v>320734119214</v>
      </c>
      <c r="U217" s="141">
        <v>1291545682205</v>
      </c>
      <c r="V217" s="143">
        <v>0.19893204574771414</v>
      </c>
      <c r="W217" s="141">
        <v>291837144899</v>
      </c>
      <c r="X217" s="141">
        <v>28896974315</v>
      </c>
      <c r="Y217" s="143">
        <v>9.00963526606266E-2</v>
      </c>
      <c r="Z217" s="141">
        <v>291820974588</v>
      </c>
      <c r="AA217" s="141">
        <v>16170311</v>
      </c>
      <c r="AB217" s="724">
        <v>0.9098532307792655</v>
      </c>
    </row>
    <row r="218" spans="1:28" ht="24.95" customHeight="1">
      <c r="A218" s="32"/>
      <c r="B218" s="144" t="s">
        <v>722</v>
      </c>
      <c r="C218" s="145" t="s">
        <v>167</v>
      </c>
      <c r="D218" s="145" t="s">
        <v>190</v>
      </c>
      <c r="E218" s="145" t="s">
        <v>172</v>
      </c>
      <c r="F218" s="145">
        <v>23</v>
      </c>
      <c r="G218" s="145" t="s">
        <v>175</v>
      </c>
      <c r="H218" s="145">
        <v>4103065</v>
      </c>
      <c r="I218" s="145" t="s">
        <v>54</v>
      </c>
      <c r="J218" s="145">
        <v>11</v>
      </c>
      <c r="K218" s="146" t="s">
        <v>29</v>
      </c>
      <c r="L218" s="147" t="s">
        <v>178</v>
      </c>
      <c r="M218" s="148">
        <v>54257058902</v>
      </c>
      <c r="N218" s="148"/>
      <c r="O218" s="148"/>
      <c r="P218" s="148">
        <v>27826035802.349998</v>
      </c>
      <c r="Q218" s="148"/>
      <c r="R218" s="148"/>
      <c r="S218" s="148">
        <v>82083094704.350006</v>
      </c>
      <c r="T218" s="148">
        <v>28928524214</v>
      </c>
      <c r="U218" s="148">
        <v>53154570490.350006</v>
      </c>
      <c r="V218" s="150">
        <v>0.35242974595677529</v>
      </c>
      <c r="W218" s="148">
        <v>31549899</v>
      </c>
      <c r="X218" s="148">
        <v>28896974315</v>
      </c>
      <c r="Y218" s="150">
        <v>0.99890938442740429</v>
      </c>
      <c r="Z218" s="148">
        <v>15379588</v>
      </c>
      <c r="AA218" s="148">
        <v>16170311</v>
      </c>
      <c r="AB218" s="150">
        <v>5.3164094670812921E-4</v>
      </c>
    </row>
    <row r="219" spans="1:28" ht="24.95" customHeight="1">
      <c r="A219" s="32"/>
      <c r="B219" s="144" t="s">
        <v>723</v>
      </c>
      <c r="C219" s="145" t="s">
        <v>167</v>
      </c>
      <c r="D219" s="145" t="s">
        <v>190</v>
      </c>
      <c r="E219" s="145" t="s">
        <v>172</v>
      </c>
      <c r="F219" s="145">
        <v>23</v>
      </c>
      <c r="G219" s="145" t="s">
        <v>175</v>
      </c>
      <c r="H219" s="145">
        <v>4103065</v>
      </c>
      <c r="I219" s="145" t="s">
        <v>65</v>
      </c>
      <c r="J219" s="145">
        <v>11</v>
      </c>
      <c r="K219" s="146" t="s">
        <v>29</v>
      </c>
      <c r="L219" s="147" t="s">
        <v>127</v>
      </c>
      <c r="M219" s="148">
        <v>725205645648</v>
      </c>
      <c r="N219" s="148"/>
      <c r="O219" s="148"/>
      <c r="P219" s="148"/>
      <c r="Q219" s="148">
        <v>27826035802.349998</v>
      </c>
      <c r="R219" s="148"/>
      <c r="S219" s="148">
        <v>697379609845.65002</v>
      </c>
      <c r="T219" s="148">
        <v>291805595000</v>
      </c>
      <c r="U219" s="148">
        <v>405574014845.65002</v>
      </c>
      <c r="V219" s="150">
        <v>0.41843149825470938</v>
      </c>
      <c r="W219" s="148">
        <v>291805595000</v>
      </c>
      <c r="X219" s="148">
        <v>0</v>
      </c>
      <c r="Y219" s="150">
        <v>0</v>
      </c>
      <c r="Z219" s="148">
        <v>291805595000</v>
      </c>
      <c r="AA219" s="148">
        <v>0</v>
      </c>
      <c r="AB219" s="150">
        <v>1</v>
      </c>
    </row>
    <row r="220" spans="1:28" ht="24.95" customHeight="1">
      <c r="A220" s="32"/>
      <c r="B220" s="144" t="s">
        <v>723</v>
      </c>
      <c r="C220" s="145" t="s">
        <v>167</v>
      </c>
      <c r="D220" s="145" t="s">
        <v>190</v>
      </c>
      <c r="E220" s="145" t="s">
        <v>172</v>
      </c>
      <c r="F220" s="145">
        <v>23</v>
      </c>
      <c r="G220" s="145" t="s">
        <v>175</v>
      </c>
      <c r="H220" s="145">
        <v>4103065</v>
      </c>
      <c r="I220" s="145" t="s">
        <v>65</v>
      </c>
      <c r="J220" s="145">
        <v>13</v>
      </c>
      <c r="K220" s="146" t="s">
        <v>29</v>
      </c>
      <c r="L220" s="147" t="s">
        <v>127</v>
      </c>
      <c r="M220" s="148">
        <v>48925749186</v>
      </c>
      <c r="N220" s="148"/>
      <c r="O220" s="148"/>
      <c r="P220" s="148"/>
      <c r="Q220" s="148"/>
      <c r="R220" s="148"/>
      <c r="S220" s="148">
        <v>48925749186</v>
      </c>
      <c r="T220" s="148">
        <v>0</v>
      </c>
      <c r="U220" s="148">
        <v>48925749186</v>
      </c>
      <c r="V220" s="150">
        <v>0</v>
      </c>
      <c r="W220" s="148">
        <v>0</v>
      </c>
      <c r="X220" s="148">
        <v>0</v>
      </c>
      <c r="Y220" s="150">
        <v>0</v>
      </c>
      <c r="Z220" s="148">
        <v>0</v>
      </c>
      <c r="AA220" s="148">
        <v>0</v>
      </c>
      <c r="AB220" s="150">
        <v>0</v>
      </c>
    </row>
    <row r="221" spans="1:28" ht="24.95" customHeight="1">
      <c r="A221" s="32"/>
      <c r="B221" s="144" t="s">
        <v>723</v>
      </c>
      <c r="C221" s="145" t="s">
        <v>167</v>
      </c>
      <c r="D221" s="145" t="s">
        <v>190</v>
      </c>
      <c r="E221" s="145" t="s">
        <v>172</v>
      </c>
      <c r="F221" s="145">
        <v>23</v>
      </c>
      <c r="G221" s="145" t="s">
        <v>175</v>
      </c>
      <c r="H221" s="145">
        <v>4103065</v>
      </c>
      <c r="I221" s="145" t="s">
        <v>65</v>
      </c>
      <c r="J221" s="145">
        <v>16</v>
      </c>
      <c r="K221" s="146" t="s">
        <v>156</v>
      </c>
      <c r="L221" s="147" t="s">
        <v>127</v>
      </c>
      <c r="M221" s="148">
        <v>783891347683</v>
      </c>
      <c r="N221" s="148"/>
      <c r="O221" s="148"/>
      <c r="P221" s="148"/>
      <c r="Q221" s="148"/>
      <c r="R221" s="148"/>
      <c r="S221" s="148">
        <v>783891347683</v>
      </c>
      <c r="T221" s="148">
        <v>0</v>
      </c>
      <c r="U221" s="148">
        <v>783891347683</v>
      </c>
      <c r="V221" s="150">
        <v>0</v>
      </c>
      <c r="W221" s="148">
        <v>0</v>
      </c>
      <c r="X221" s="148">
        <v>0</v>
      </c>
      <c r="Y221" s="150">
        <v>0</v>
      </c>
      <c r="Z221" s="148">
        <v>0</v>
      </c>
      <c r="AA221" s="148">
        <v>0</v>
      </c>
      <c r="AB221" s="150">
        <v>0</v>
      </c>
    </row>
    <row r="222" spans="1:28" ht="49.5" customHeight="1">
      <c r="A222" s="32" t="e">
        <v>#REF!</v>
      </c>
      <c r="B222" s="132" t="s">
        <v>732</v>
      </c>
      <c r="C222" s="133" t="s">
        <v>167</v>
      </c>
      <c r="D222" s="133" t="s">
        <v>190</v>
      </c>
      <c r="E222" s="133" t="s">
        <v>172</v>
      </c>
      <c r="F222" s="133">
        <v>24</v>
      </c>
      <c r="G222" s="133"/>
      <c r="H222" s="133"/>
      <c r="I222" s="133"/>
      <c r="J222" s="133"/>
      <c r="K222" s="134"/>
      <c r="L222" s="134" t="s">
        <v>249</v>
      </c>
      <c r="M222" s="135">
        <v>7237101000000</v>
      </c>
      <c r="N222" s="136">
        <v>0</v>
      </c>
      <c r="O222" s="136">
        <v>0</v>
      </c>
      <c r="P222" s="135">
        <v>832906720.83000004</v>
      </c>
      <c r="Q222" s="135">
        <v>832906720.83000004</v>
      </c>
      <c r="R222" s="136">
        <v>0</v>
      </c>
      <c r="S222" s="135">
        <v>7237101000000</v>
      </c>
      <c r="T222" s="135">
        <v>10499083260</v>
      </c>
      <c r="U222" s="135">
        <v>7226601916740</v>
      </c>
      <c r="V222" s="137">
        <v>1.4507305148843438E-3</v>
      </c>
      <c r="W222" s="135">
        <v>608496643</v>
      </c>
      <c r="X222" s="135">
        <v>9890586617</v>
      </c>
      <c r="Y222" s="137">
        <v>0.94204287860843194</v>
      </c>
      <c r="Z222" s="135">
        <v>360083004</v>
      </c>
      <c r="AA222" s="135">
        <v>248413639</v>
      </c>
      <c r="AB222" s="723">
        <v>3.4296613816928619E-2</v>
      </c>
    </row>
    <row r="223" spans="1:28" ht="32.25" customHeight="1">
      <c r="A223" s="32" t="e">
        <v>#REF!</v>
      </c>
      <c r="B223" s="138" t="s">
        <v>733</v>
      </c>
      <c r="C223" s="139" t="s">
        <v>167</v>
      </c>
      <c r="D223" s="139" t="s">
        <v>190</v>
      </c>
      <c r="E223" s="139" t="s">
        <v>172</v>
      </c>
      <c r="F223" s="139">
        <v>24</v>
      </c>
      <c r="G223" s="139" t="s">
        <v>175</v>
      </c>
      <c r="H223" s="139">
        <v>4103061</v>
      </c>
      <c r="I223" s="139"/>
      <c r="J223" s="139">
        <v>13</v>
      </c>
      <c r="K223" s="140" t="s">
        <v>29</v>
      </c>
      <c r="L223" s="140" t="s">
        <v>231</v>
      </c>
      <c r="M223" s="141">
        <v>7237101000000</v>
      </c>
      <c r="N223" s="142">
        <v>0</v>
      </c>
      <c r="O223" s="142">
        <v>0</v>
      </c>
      <c r="P223" s="141">
        <v>832906720.83000004</v>
      </c>
      <c r="Q223" s="141">
        <v>832906720.83000004</v>
      </c>
      <c r="R223" s="142">
        <v>0</v>
      </c>
      <c r="S223" s="141">
        <v>7237101000000</v>
      </c>
      <c r="T223" s="141">
        <v>10499083260</v>
      </c>
      <c r="U223" s="141">
        <v>7226601916740</v>
      </c>
      <c r="V223" s="143">
        <v>1.4507305148843438E-3</v>
      </c>
      <c r="W223" s="141">
        <v>608496643</v>
      </c>
      <c r="X223" s="141">
        <v>9890586617</v>
      </c>
      <c r="Y223" s="143">
        <v>0.94204287860843194</v>
      </c>
      <c r="Z223" s="141">
        <v>360083004</v>
      </c>
      <c r="AA223" s="141">
        <v>248413639</v>
      </c>
      <c r="AB223" s="724">
        <v>3.4296613816928619E-2</v>
      </c>
    </row>
    <row r="224" spans="1:28" ht="24.95" customHeight="1">
      <c r="A224" s="32" t="e">
        <v>#REF!</v>
      </c>
      <c r="B224" s="144" t="s">
        <v>734</v>
      </c>
      <c r="C224" s="145" t="s">
        <v>167</v>
      </c>
      <c r="D224" s="145" t="s">
        <v>190</v>
      </c>
      <c r="E224" s="145" t="s">
        <v>172</v>
      </c>
      <c r="F224" s="145">
        <v>24</v>
      </c>
      <c r="G224" s="145" t="s">
        <v>175</v>
      </c>
      <c r="H224" s="145">
        <v>4103061</v>
      </c>
      <c r="I224" s="145" t="s">
        <v>54</v>
      </c>
      <c r="J224" s="145">
        <v>13</v>
      </c>
      <c r="K224" s="146" t="s">
        <v>29</v>
      </c>
      <c r="L224" s="147" t="s">
        <v>178</v>
      </c>
      <c r="M224" s="148">
        <v>99347732574</v>
      </c>
      <c r="N224" s="148"/>
      <c r="O224" s="148"/>
      <c r="P224" s="148">
        <v>832906720.83000004</v>
      </c>
      <c r="Q224" s="148"/>
      <c r="R224" s="148"/>
      <c r="S224" s="148">
        <v>100180639294.83</v>
      </c>
      <c r="T224" s="148">
        <v>10499083260</v>
      </c>
      <c r="U224" s="148">
        <v>89681556034.830002</v>
      </c>
      <c r="V224" s="150">
        <v>0.10480151987352933</v>
      </c>
      <c r="W224" s="148">
        <v>608496643</v>
      </c>
      <c r="X224" s="148">
        <v>9890586617</v>
      </c>
      <c r="Y224" s="150">
        <v>0.94204287860843194</v>
      </c>
      <c r="Z224" s="148">
        <v>360083004</v>
      </c>
      <c r="AA224" s="148">
        <v>248413639</v>
      </c>
      <c r="AB224" s="150">
        <v>3.4296613816928619E-2</v>
      </c>
    </row>
    <row r="225" spans="1:51" ht="24.95" customHeight="1">
      <c r="A225" s="32" t="e">
        <v>#REF!</v>
      </c>
      <c r="B225" s="144" t="s">
        <v>735</v>
      </c>
      <c r="C225" s="145" t="s">
        <v>167</v>
      </c>
      <c r="D225" s="145" t="s">
        <v>190</v>
      </c>
      <c r="E225" s="145" t="s">
        <v>172</v>
      </c>
      <c r="F225" s="145">
        <v>24</v>
      </c>
      <c r="G225" s="145" t="s">
        <v>175</v>
      </c>
      <c r="H225" s="145">
        <v>4103061</v>
      </c>
      <c r="I225" s="145" t="s">
        <v>65</v>
      </c>
      <c r="J225" s="145">
        <v>13</v>
      </c>
      <c r="K225" s="146" t="s">
        <v>29</v>
      </c>
      <c r="L225" s="147" t="s">
        <v>127</v>
      </c>
      <c r="M225" s="148">
        <v>7137753267426</v>
      </c>
      <c r="N225" s="148"/>
      <c r="O225" s="148"/>
      <c r="P225" s="148"/>
      <c r="Q225" s="148">
        <v>832906720.83000004</v>
      </c>
      <c r="R225" s="148"/>
      <c r="S225" s="148">
        <v>7136920360705.1699</v>
      </c>
      <c r="T225" s="148">
        <v>0</v>
      </c>
      <c r="U225" s="148">
        <v>7136920360705.1699</v>
      </c>
      <c r="V225" s="150">
        <v>0</v>
      </c>
      <c r="W225" s="148">
        <v>0</v>
      </c>
      <c r="X225" s="148">
        <v>0</v>
      </c>
      <c r="Y225" s="150">
        <v>0</v>
      </c>
      <c r="Z225" s="148">
        <v>0</v>
      </c>
      <c r="AA225" s="148">
        <v>0</v>
      </c>
      <c r="AB225" s="150">
        <v>0</v>
      </c>
    </row>
    <row r="226" spans="1:51" ht="36.75" customHeight="1">
      <c r="A226" s="32" t="e">
        <v>#REF!</v>
      </c>
      <c r="B226" s="124" t="s">
        <v>544</v>
      </c>
      <c r="C226" s="123" t="s">
        <v>167</v>
      </c>
      <c r="D226" s="123">
        <v>4199</v>
      </c>
      <c r="E226" s="123"/>
      <c r="F226" s="123"/>
      <c r="G226" s="123"/>
      <c r="H226" s="123"/>
      <c r="I226" s="123"/>
      <c r="J226" s="124"/>
      <c r="K226" s="124"/>
      <c r="L226" s="124" t="s">
        <v>250</v>
      </c>
      <c r="M226" s="125">
        <v>5000000000</v>
      </c>
      <c r="N226" s="719">
        <v>0</v>
      </c>
      <c r="O226" s="719">
        <v>0</v>
      </c>
      <c r="P226" s="719">
        <v>0</v>
      </c>
      <c r="Q226" s="719">
        <v>0</v>
      </c>
      <c r="R226" s="719">
        <v>0</v>
      </c>
      <c r="S226" s="125">
        <v>5000000000</v>
      </c>
      <c r="T226" s="125">
        <v>606264266</v>
      </c>
      <c r="U226" s="125">
        <v>4393735734</v>
      </c>
      <c r="V226" s="126">
        <v>0.1212528532</v>
      </c>
      <c r="W226" s="125">
        <v>606264266</v>
      </c>
      <c r="X226" s="125">
        <v>0</v>
      </c>
      <c r="Y226" s="126">
        <v>0</v>
      </c>
      <c r="Z226" s="125">
        <v>606264266</v>
      </c>
      <c r="AA226" s="125">
        <v>0</v>
      </c>
      <c r="AB226" s="720">
        <v>1</v>
      </c>
    </row>
    <row r="227" spans="1:51" ht="24" customHeight="1">
      <c r="A227" s="32" t="e">
        <v>#REF!</v>
      </c>
      <c r="B227" s="129" t="s">
        <v>300</v>
      </c>
      <c r="C227" s="128" t="s">
        <v>167</v>
      </c>
      <c r="D227" s="128">
        <v>4199</v>
      </c>
      <c r="E227" s="128">
        <v>1500</v>
      </c>
      <c r="F227" s="128"/>
      <c r="G227" s="128"/>
      <c r="H227" s="128"/>
      <c r="I227" s="128"/>
      <c r="J227" s="129"/>
      <c r="K227" s="129"/>
      <c r="L227" s="129" t="s">
        <v>170</v>
      </c>
      <c r="M227" s="130">
        <v>5000000000</v>
      </c>
      <c r="N227" s="721">
        <v>0</v>
      </c>
      <c r="O227" s="721">
        <v>0</v>
      </c>
      <c r="P227" s="721">
        <v>0</v>
      </c>
      <c r="Q227" s="721">
        <v>0</v>
      </c>
      <c r="R227" s="721">
        <v>0</v>
      </c>
      <c r="S227" s="130">
        <v>5000000000</v>
      </c>
      <c r="T227" s="130">
        <v>606264266</v>
      </c>
      <c r="U227" s="130">
        <v>4393735734</v>
      </c>
      <c r="V227" s="131">
        <v>0.1212528532</v>
      </c>
      <c r="W227" s="130">
        <v>606264266</v>
      </c>
      <c r="X227" s="130">
        <v>0</v>
      </c>
      <c r="Y227" s="131">
        <v>0</v>
      </c>
      <c r="Z227" s="130">
        <v>606264266</v>
      </c>
      <c r="AA227" s="130">
        <v>0</v>
      </c>
      <c r="AB227" s="722">
        <v>1</v>
      </c>
    </row>
    <row r="228" spans="1:51" ht="37.5" customHeight="1">
      <c r="A228" s="32" t="e">
        <v>#REF!</v>
      </c>
      <c r="B228" s="132" t="s">
        <v>547</v>
      </c>
      <c r="C228" s="133" t="s">
        <v>167</v>
      </c>
      <c r="D228" s="133" t="s">
        <v>251</v>
      </c>
      <c r="E228" s="133" t="s">
        <v>172</v>
      </c>
      <c r="F228" s="133" t="s">
        <v>252</v>
      </c>
      <c r="G228" s="133"/>
      <c r="H228" s="133"/>
      <c r="I228" s="133"/>
      <c r="J228" s="133"/>
      <c r="K228" s="134"/>
      <c r="L228" s="134" t="s">
        <v>274</v>
      </c>
      <c r="M228" s="135">
        <v>5000000000</v>
      </c>
      <c r="N228" s="136">
        <v>0</v>
      </c>
      <c r="O228" s="136">
        <v>0</v>
      </c>
      <c r="P228" s="136">
        <v>0</v>
      </c>
      <c r="Q228" s="136">
        <v>0</v>
      </c>
      <c r="R228" s="136">
        <v>0</v>
      </c>
      <c r="S228" s="135">
        <v>5000000000</v>
      </c>
      <c r="T228" s="135">
        <v>606264266</v>
      </c>
      <c r="U228" s="135">
        <v>4393735734</v>
      </c>
      <c r="V228" s="137">
        <v>0.1212528532</v>
      </c>
      <c r="W228" s="135">
        <v>606264266</v>
      </c>
      <c r="X228" s="135">
        <v>0</v>
      </c>
      <c r="Y228" s="137">
        <v>0</v>
      </c>
      <c r="Z228" s="135">
        <v>606264266</v>
      </c>
      <c r="AA228" s="135">
        <v>0</v>
      </c>
      <c r="AB228" s="723">
        <v>1</v>
      </c>
    </row>
    <row r="229" spans="1:51" ht="32.25" customHeight="1">
      <c r="A229" s="32" t="e">
        <v>#REF!</v>
      </c>
      <c r="B229" s="138" t="s">
        <v>548</v>
      </c>
      <c r="C229" s="139" t="s">
        <v>167</v>
      </c>
      <c r="D229" s="139" t="s">
        <v>251</v>
      </c>
      <c r="E229" s="139" t="s">
        <v>172</v>
      </c>
      <c r="F229" s="139" t="s">
        <v>252</v>
      </c>
      <c r="G229" s="139" t="s">
        <v>175</v>
      </c>
      <c r="H229" s="139" t="s">
        <v>254</v>
      </c>
      <c r="I229" s="139"/>
      <c r="J229" s="139">
        <v>13</v>
      </c>
      <c r="K229" s="140" t="s">
        <v>29</v>
      </c>
      <c r="L229" s="140" t="s">
        <v>255</v>
      </c>
      <c r="M229" s="141">
        <v>5000000000</v>
      </c>
      <c r="N229" s="142">
        <v>0</v>
      </c>
      <c r="O229" s="142">
        <v>0</v>
      </c>
      <c r="P229" s="142">
        <v>0</v>
      </c>
      <c r="Q229" s="142">
        <v>0</v>
      </c>
      <c r="R229" s="142">
        <v>0</v>
      </c>
      <c r="S229" s="141">
        <v>5000000000</v>
      </c>
      <c r="T229" s="141">
        <v>606264266</v>
      </c>
      <c r="U229" s="141">
        <v>4393735734</v>
      </c>
      <c r="V229" s="143">
        <v>0.1212528532</v>
      </c>
      <c r="W229" s="141">
        <v>606264266</v>
      </c>
      <c r="X229" s="141">
        <v>0</v>
      </c>
      <c r="Y229" s="143">
        <v>0</v>
      </c>
      <c r="Z229" s="141">
        <v>606264266</v>
      </c>
      <c r="AA229" s="141">
        <v>0</v>
      </c>
      <c r="AB229" s="724">
        <v>1</v>
      </c>
    </row>
    <row r="230" spans="1:51" ht="24.95" customHeight="1">
      <c r="A230" s="32" t="e">
        <v>#REF!</v>
      </c>
      <c r="B230" s="144" t="s">
        <v>549</v>
      </c>
      <c r="C230" s="145" t="s">
        <v>167</v>
      </c>
      <c r="D230" s="145" t="s">
        <v>251</v>
      </c>
      <c r="E230" s="145" t="s">
        <v>172</v>
      </c>
      <c r="F230" s="145" t="s">
        <v>252</v>
      </c>
      <c r="G230" s="145" t="s">
        <v>175</v>
      </c>
      <c r="H230" s="145" t="s">
        <v>254</v>
      </c>
      <c r="I230" s="145" t="s">
        <v>54</v>
      </c>
      <c r="J230" s="145">
        <v>13</v>
      </c>
      <c r="K230" s="146" t="s">
        <v>29</v>
      </c>
      <c r="L230" s="147" t="s">
        <v>178</v>
      </c>
      <c r="M230" s="148">
        <v>5000000000</v>
      </c>
      <c r="N230" s="148"/>
      <c r="O230" s="148"/>
      <c r="P230" s="148"/>
      <c r="Q230" s="148"/>
      <c r="R230" s="148"/>
      <c r="S230" s="148">
        <v>5000000000</v>
      </c>
      <c r="T230" s="148">
        <v>606264266</v>
      </c>
      <c r="U230" s="148">
        <v>4393735734</v>
      </c>
      <c r="V230" s="150">
        <v>0.1212528532</v>
      </c>
      <c r="W230" s="148">
        <v>606264266</v>
      </c>
      <c r="X230" s="148">
        <v>0</v>
      </c>
      <c r="Y230" s="150">
        <v>0</v>
      </c>
      <c r="Z230" s="148">
        <v>606264266</v>
      </c>
      <c r="AA230" s="148">
        <v>0</v>
      </c>
      <c r="AB230" s="150">
        <v>1</v>
      </c>
    </row>
    <row r="231" spans="1:51" ht="35.1" customHeight="1">
      <c r="A231" s="32"/>
      <c r="B231" s="118"/>
      <c r="C231" s="118"/>
      <c r="D231" s="119"/>
      <c r="E231" s="119"/>
      <c r="F231" s="119"/>
      <c r="G231" s="119"/>
      <c r="H231" s="119"/>
      <c r="I231" s="119"/>
      <c r="J231" s="119"/>
      <c r="K231" s="119"/>
      <c r="L231" s="119" t="s">
        <v>256</v>
      </c>
      <c r="M231" s="120">
        <v>13107834876291</v>
      </c>
      <c r="N231" s="120">
        <v>0</v>
      </c>
      <c r="O231" s="120">
        <v>0</v>
      </c>
      <c r="P231" s="120">
        <v>47433657256.639999</v>
      </c>
      <c r="Q231" s="120">
        <v>47433657256.639999</v>
      </c>
      <c r="R231" s="120">
        <v>10390000000</v>
      </c>
      <c r="S231" s="120">
        <v>13097444876291</v>
      </c>
      <c r="T231" s="120">
        <v>1572086881642.0999</v>
      </c>
      <c r="U231" s="120">
        <v>11525357994648.9</v>
      </c>
      <c r="V231" s="121">
        <v>0.12003004375974829</v>
      </c>
      <c r="W231" s="120">
        <v>568879994243.07007</v>
      </c>
      <c r="X231" s="120">
        <v>1003206887399.03</v>
      </c>
      <c r="Y231" s="121">
        <v>0.63813705152933109</v>
      </c>
      <c r="Z231" s="120">
        <v>566757469492.07007</v>
      </c>
      <c r="AA231" s="120">
        <v>2122524751</v>
      </c>
      <c r="AB231" s="718">
        <v>0.36051281650545419</v>
      </c>
    </row>
    <row r="232" spans="1:51" s="90" customFormat="1" ht="16.5">
      <c r="A232" s="32"/>
      <c r="B232" s="32"/>
      <c r="C232" s="82"/>
      <c r="D232" s="82"/>
      <c r="E232" s="82"/>
      <c r="F232" s="82"/>
      <c r="G232" s="82"/>
      <c r="H232" s="83"/>
      <c r="I232" s="84"/>
      <c r="J232" s="84"/>
      <c r="K232" s="85"/>
      <c r="L232" s="84"/>
      <c r="M232" s="86"/>
      <c r="N232" s="86"/>
      <c r="O232" s="86"/>
      <c r="P232" s="86"/>
      <c r="Q232" s="86"/>
      <c r="R232" s="86"/>
      <c r="S232" s="86"/>
      <c r="T232" s="86"/>
      <c r="U232" s="86"/>
      <c r="V232" s="87"/>
      <c r="W232" s="88"/>
      <c r="X232" s="86"/>
      <c r="Y232" s="87"/>
      <c r="Z232" s="86"/>
      <c r="AA232" s="86"/>
      <c r="AB232" s="89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</row>
    <row r="233" spans="1:51" s="8" customFormat="1" ht="16.5">
      <c r="A233" s="32" t="e">
        <v>#REF!</v>
      </c>
      <c r="B233" s="32"/>
      <c r="C233" s="91"/>
      <c r="D233" s="91"/>
      <c r="E233" s="91"/>
      <c r="F233" s="91"/>
      <c r="G233" s="91"/>
      <c r="H233" s="92"/>
      <c r="I233" s="93"/>
      <c r="J233" s="93"/>
      <c r="K233" s="94"/>
      <c r="L233" s="93"/>
      <c r="M233" s="95">
        <v>13107834876291</v>
      </c>
      <c r="N233" s="95">
        <v>0</v>
      </c>
      <c r="O233" s="95">
        <v>0</v>
      </c>
      <c r="P233" s="95">
        <v>47433657256.639999</v>
      </c>
      <c r="Q233" s="95">
        <v>47433657256.639999</v>
      </c>
      <c r="R233" s="95">
        <v>10390000000</v>
      </c>
      <c r="S233" s="95">
        <v>13097444876291</v>
      </c>
      <c r="T233" s="95">
        <v>1572086881642.1001</v>
      </c>
      <c r="U233" s="95">
        <v>11525357994648.9</v>
      </c>
      <c r="V233" s="361">
        <v>0.12003004375974829</v>
      </c>
      <c r="W233" s="95">
        <v>568879994243.06995</v>
      </c>
      <c r="X233" s="95">
        <v>1003206887399.0302</v>
      </c>
      <c r="Y233" s="361">
        <v>0.63813705152933109</v>
      </c>
      <c r="Z233" s="95">
        <v>566757469492.06995</v>
      </c>
      <c r="AA233" s="95">
        <v>2122524751</v>
      </c>
      <c r="AB233" s="361">
        <v>0.36051281650545419</v>
      </c>
    </row>
    <row r="234" spans="1:51" s="8" customFormat="1" ht="16.5">
      <c r="A234" s="32"/>
      <c r="B234" s="32"/>
      <c r="C234" s="94"/>
      <c r="D234" s="93"/>
      <c r="E234" s="93"/>
      <c r="F234" s="93"/>
      <c r="G234" s="93"/>
      <c r="H234" s="93"/>
      <c r="I234" s="93"/>
      <c r="J234" s="93"/>
      <c r="K234" s="94"/>
      <c r="L234" s="97"/>
      <c r="M234" s="362">
        <v>0</v>
      </c>
      <c r="N234" s="362">
        <v>0</v>
      </c>
      <c r="O234" s="362">
        <v>0</v>
      </c>
      <c r="P234" s="362">
        <v>0</v>
      </c>
      <c r="Q234" s="362">
        <v>0</v>
      </c>
      <c r="R234" s="362">
        <v>0</v>
      </c>
      <c r="S234" s="362">
        <v>0</v>
      </c>
      <c r="T234" s="362">
        <v>0</v>
      </c>
      <c r="U234" s="362">
        <v>0</v>
      </c>
      <c r="V234" s="363"/>
      <c r="W234" s="362">
        <v>0</v>
      </c>
      <c r="X234" s="362">
        <v>0</v>
      </c>
      <c r="Y234" s="363"/>
      <c r="Z234" s="362">
        <v>0</v>
      </c>
      <c r="AA234" s="362">
        <v>0</v>
      </c>
      <c r="AB234" s="363"/>
    </row>
    <row r="235" spans="1:51" s="374" customFormat="1" ht="16.5">
      <c r="A235" s="369"/>
      <c r="B235" s="375"/>
      <c r="C235" s="370"/>
      <c r="D235" s="371"/>
      <c r="E235" s="371"/>
      <c r="F235" s="371"/>
      <c r="G235" s="371"/>
      <c r="H235" s="371"/>
      <c r="I235" s="371"/>
      <c r="J235" s="371"/>
      <c r="K235" s="370"/>
      <c r="L235" s="86"/>
      <c r="M235" s="359"/>
      <c r="N235" s="359"/>
      <c r="O235" s="359"/>
      <c r="P235" s="359"/>
      <c r="Q235" s="359"/>
      <c r="R235" s="359"/>
      <c r="S235" s="359"/>
      <c r="T235" s="359"/>
      <c r="U235" s="359"/>
      <c r="V235" s="372"/>
      <c r="W235" s="359"/>
      <c r="X235" s="359"/>
      <c r="Y235" s="372"/>
      <c r="Z235" s="359"/>
      <c r="AA235" s="359"/>
      <c r="AB235" s="37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</row>
    <row r="236" spans="1:51" ht="18">
      <c r="A236" s="30"/>
      <c r="B236" s="31"/>
      <c r="C236" s="312"/>
      <c r="D236" s="317"/>
      <c r="E236" s="312"/>
      <c r="F236" s="312"/>
      <c r="G236" s="312"/>
      <c r="H236" s="312"/>
      <c r="I236" s="312"/>
      <c r="J236" s="312"/>
      <c r="K236" s="317"/>
      <c r="L236" s="312"/>
      <c r="M236" s="335"/>
      <c r="N236" s="364"/>
      <c r="O236" s="332"/>
      <c r="P236" s="332"/>
      <c r="Q236" s="633"/>
      <c r="R236" s="633"/>
      <c r="S236" s="359"/>
      <c r="T236" s="332"/>
      <c r="U236" s="332"/>
      <c r="V236" s="333"/>
      <c r="W236" s="332"/>
      <c r="X236" s="332"/>
      <c r="Y236" s="333"/>
      <c r="Z236" s="332"/>
      <c r="AA236" s="332"/>
      <c r="AB236" s="333"/>
    </row>
    <row r="237" spans="1:51" ht="18">
      <c r="A237" s="30"/>
      <c r="B237" s="31"/>
      <c r="C237" s="312"/>
      <c r="D237" s="317"/>
      <c r="E237" s="312"/>
      <c r="F237" s="312"/>
      <c r="G237" s="312"/>
      <c r="H237" s="312"/>
      <c r="I237" s="312"/>
      <c r="J237" s="312"/>
      <c r="K237" s="317"/>
      <c r="L237" s="312"/>
      <c r="M237" s="332"/>
      <c r="N237" s="632"/>
      <c r="O237" s="332"/>
      <c r="P237" s="359"/>
      <c r="Q237" s="633"/>
      <c r="R237" s="633"/>
      <c r="S237" s="332"/>
      <c r="T237" s="332"/>
      <c r="U237" s="332"/>
      <c r="V237" s="333"/>
      <c r="W237" s="332"/>
      <c r="X237" s="332"/>
      <c r="Y237" s="333"/>
      <c r="Z237" s="332"/>
      <c r="AA237" s="332"/>
      <c r="AB237" s="333"/>
    </row>
    <row r="238" spans="1:51" ht="18">
      <c r="A238" s="1"/>
      <c r="B238" s="2"/>
      <c r="C238" s="312"/>
      <c r="D238" s="312"/>
      <c r="E238" s="312"/>
      <c r="F238" s="312"/>
      <c r="G238" s="312"/>
      <c r="H238" s="312"/>
      <c r="I238" s="312"/>
      <c r="J238" s="312"/>
      <c r="K238" s="317"/>
      <c r="L238" s="312"/>
      <c r="M238" s="332"/>
      <c r="N238" s="632"/>
      <c r="O238" s="332"/>
      <c r="P238" s="332"/>
      <c r="Q238" s="332"/>
      <c r="R238" s="332"/>
      <c r="S238" s="332"/>
      <c r="T238" s="332"/>
      <c r="U238" s="332"/>
      <c r="V238" s="333"/>
      <c r="W238" s="332"/>
      <c r="X238" s="631"/>
      <c r="Y238" s="333"/>
      <c r="Z238" s="332"/>
      <c r="AA238" s="332"/>
      <c r="AB238" s="333"/>
      <c r="AC238" s="315"/>
    </row>
    <row r="239" spans="1:51" ht="30">
      <c r="A239" s="1"/>
      <c r="B239" s="2"/>
      <c r="C239" s="318"/>
      <c r="D239" s="318"/>
      <c r="E239" s="318"/>
      <c r="F239" s="318"/>
      <c r="G239" s="318"/>
      <c r="H239" s="318"/>
      <c r="I239" s="312"/>
      <c r="J239" s="312"/>
      <c r="K239" s="317"/>
      <c r="L239" s="336" t="s">
        <v>738</v>
      </c>
      <c r="M239" s="628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20"/>
      <c r="Z239" s="376"/>
      <c r="AA239" s="319"/>
      <c r="AB239" s="319"/>
    </row>
    <row r="240" spans="1:51" ht="30">
      <c r="A240" s="1"/>
      <c r="B240" s="2"/>
      <c r="C240" s="321"/>
      <c r="D240" s="322"/>
      <c r="E240" s="322"/>
      <c r="F240" s="322"/>
      <c r="G240" s="322"/>
      <c r="H240" s="322"/>
      <c r="I240" s="322"/>
      <c r="J240" s="322"/>
      <c r="K240" s="321"/>
      <c r="L240" s="337" t="s">
        <v>739</v>
      </c>
      <c r="M240" s="628"/>
      <c r="O240" s="323"/>
      <c r="P240" s="323"/>
      <c r="Q240" s="323"/>
      <c r="R240" s="323"/>
      <c r="S240" s="360"/>
      <c r="T240" s="323"/>
      <c r="U240" s="323"/>
      <c r="V240" s="323"/>
      <c r="W240" s="323"/>
      <c r="X240" s="323"/>
      <c r="Y240" s="324"/>
      <c r="Z240" s="323"/>
      <c r="AA240" s="323"/>
      <c r="AB240" s="323"/>
    </row>
    <row r="241" spans="1:25" ht="30">
      <c r="A241" s="325"/>
      <c r="B241" s="313"/>
      <c r="C241" s="308"/>
      <c r="D241" s="308"/>
      <c r="E241" s="308"/>
      <c r="F241" s="308"/>
      <c r="G241" s="308"/>
      <c r="H241" s="308"/>
      <c r="I241" s="308"/>
      <c r="J241" s="308"/>
      <c r="K241" s="336"/>
      <c r="L241" s="308"/>
      <c r="M241" s="628"/>
      <c r="O241" s="309"/>
      <c r="P241" s="309"/>
      <c r="Q241" s="630"/>
      <c r="R241" s="630"/>
      <c r="S241" s="334"/>
      <c r="T241" s="334"/>
      <c r="U241" s="629"/>
      <c r="V241" s="329"/>
      <c r="W241" s="329"/>
      <c r="X241" s="329"/>
      <c r="Y241" s="329"/>
    </row>
    <row r="242" spans="1:25" ht="16.5">
      <c r="M242" s="628"/>
      <c r="N242" s="628"/>
    </row>
    <row r="243" spans="1:25" ht="16.5">
      <c r="M243" s="628"/>
      <c r="N243" s="628"/>
    </row>
    <row r="244" spans="1:25" ht="16.5">
      <c r="M244" s="628"/>
    </row>
    <row r="245" spans="1:25" ht="16.5">
      <c r="M245" s="628"/>
    </row>
    <row r="246" spans="1:25" ht="16.5">
      <c r="M246" s="628"/>
    </row>
  </sheetData>
  <sheetProtection selectLockedCells="1" selectUnlockedCells="1"/>
  <autoFilter ref="A6:AB234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45D5-8181-4C14-B68F-71C8B994A04E}">
  <sheetPr>
    <tabColor rgb="FF00B0F0"/>
    <pageSetUpPr fitToPage="1"/>
  </sheetPr>
  <dimension ref="A1:AS240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67.85546875" style="9" customWidth="1"/>
    <col min="13" max="13" width="23.7109375" style="13" customWidth="1"/>
    <col min="14" max="14" width="20.85546875" style="13" bestFit="1" customWidth="1"/>
    <col min="15" max="15" width="12.85546875" style="13" customWidth="1"/>
    <col min="16" max="16" width="20.7109375" style="13" bestFit="1" customWidth="1"/>
    <col min="17" max="17" width="12.5703125" style="13" customWidth="1"/>
    <col min="18" max="18" width="20.7109375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7"/>
      <c r="R1" s="5">
        <v>16</v>
      </c>
      <c r="S1" s="7"/>
    </row>
    <row r="2" spans="1:19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305" t="s">
        <v>0</v>
      </c>
      <c r="N2" s="305"/>
      <c r="O2" s="305"/>
      <c r="P2" s="305"/>
      <c r="Q2" s="305"/>
      <c r="R2" s="305"/>
      <c r="S2" s="305"/>
    </row>
    <row r="3" spans="1:19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304" t="s">
        <v>817</v>
      </c>
      <c r="N3" s="304"/>
      <c r="O3" s="304"/>
      <c r="P3" s="304"/>
      <c r="Q3" s="304"/>
      <c r="R3" s="304"/>
      <c r="S3" s="304"/>
    </row>
    <row r="4" spans="1:19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1"/>
      <c r="R4" s="20"/>
      <c r="S4" s="21"/>
    </row>
    <row r="5" spans="1:19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04" t="s">
        <v>6</v>
      </c>
      <c r="N5" s="806" t="s">
        <v>7</v>
      </c>
      <c r="O5" s="808"/>
      <c r="P5" s="809" t="s">
        <v>8</v>
      </c>
      <c r="Q5" s="823"/>
      <c r="R5" s="806" t="s">
        <v>9</v>
      </c>
      <c r="S5" s="808"/>
    </row>
    <row r="6" spans="1:19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05" t="s">
        <v>6</v>
      </c>
      <c r="N6" s="112" t="s">
        <v>18</v>
      </c>
      <c r="O6" s="115" t="s">
        <v>19</v>
      </c>
      <c r="P6" s="112" t="s">
        <v>18</v>
      </c>
      <c r="Q6" s="115" t="s">
        <v>815</v>
      </c>
      <c r="R6" s="114" t="s">
        <v>18</v>
      </c>
      <c r="S6" s="115" t="s">
        <v>816</v>
      </c>
    </row>
    <row r="7" spans="1:19" ht="35.1" customHeight="1">
      <c r="A7" s="32" t="e">
        <v>#REF!</v>
      </c>
      <c r="B7" s="117" t="s">
        <v>23</v>
      </c>
      <c r="C7" s="118" t="s">
        <v>23</v>
      </c>
      <c r="D7" s="119"/>
      <c r="E7" s="119"/>
      <c r="F7" s="119"/>
      <c r="G7" s="119"/>
      <c r="H7" s="119"/>
      <c r="I7" s="119"/>
      <c r="J7" s="119"/>
      <c r="K7" s="119"/>
      <c r="L7" s="119" t="s">
        <v>24</v>
      </c>
      <c r="M7" s="120">
        <v>180813900000</v>
      </c>
      <c r="N7" s="120">
        <v>45544959330.860008</v>
      </c>
      <c r="O7" s="121">
        <f>+N7/$M7</f>
        <v>0.25188859557180066</v>
      </c>
      <c r="P7" s="120">
        <v>29835364587.469997</v>
      </c>
      <c r="Q7" s="121">
        <f>+P7/$M7</f>
        <v>0.16500592370094333</v>
      </c>
      <c r="R7" s="120">
        <v>29665876507.469997</v>
      </c>
      <c r="S7" s="121">
        <f>+R7/$M7</f>
        <v>0.16406856169503559</v>
      </c>
    </row>
    <row r="8" spans="1:19" ht="24" customHeight="1">
      <c r="A8" s="32" t="e">
        <v>#REF!</v>
      </c>
      <c r="B8" s="122" t="s">
        <v>303</v>
      </c>
      <c r="C8" s="123" t="s">
        <v>23</v>
      </c>
      <c r="D8" s="123" t="s">
        <v>25</v>
      </c>
      <c r="E8" s="123"/>
      <c r="F8" s="123"/>
      <c r="G8" s="123"/>
      <c r="H8" s="123"/>
      <c r="I8" s="123"/>
      <c r="J8" s="124"/>
      <c r="K8" s="124"/>
      <c r="L8" s="124" t="s">
        <v>26</v>
      </c>
      <c r="M8" s="125">
        <v>118340000000</v>
      </c>
      <c r="N8" s="125">
        <v>25630199088</v>
      </c>
      <c r="O8" s="126">
        <f t="shared" ref="O8:Q71" si="0">+N8/$M8</f>
        <v>0.21658102998140949</v>
      </c>
      <c r="P8" s="125">
        <v>21925116535</v>
      </c>
      <c r="Q8" s="126">
        <f t="shared" si="0"/>
        <v>0.18527223707115092</v>
      </c>
      <c r="R8" s="125">
        <v>21920016593</v>
      </c>
      <c r="S8" s="126">
        <f t="shared" ref="S8" si="1">+R8/$M8</f>
        <v>0.18522914139766775</v>
      </c>
    </row>
    <row r="9" spans="1:19" ht="24" customHeight="1">
      <c r="A9" s="32" t="e">
        <v>#REF!</v>
      </c>
      <c r="B9" s="127" t="s">
        <v>305</v>
      </c>
      <c r="C9" s="128" t="s">
        <v>23</v>
      </c>
      <c r="D9" s="128" t="s">
        <v>25</v>
      </c>
      <c r="E9" s="128" t="s">
        <v>25</v>
      </c>
      <c r="F9" s="128"/>
      <c r="G9" s="128"/>
      <c r="H9" s="128"/>
      <c r="I9" s="128"/>
      <c r="J9" s="129"/>
      <c r="K9" s="129"/>
      <c r="L9" s="129" t="s">
        <v>27</v>
      </c>
      <c r="M9" s="130">
        <v>118340000000</v>
      </c>
      <c r="N9" s="130">
        <v>25630199088</v>
      </c>
      <c r="O9" s="131">
        <f t="shared" si="0"/>
        <v>0.21658102998140949</v>
      </c>
      <c r="P9" s="130">
        <v>21925116535</v>
      </c>
      <c r="Q9" s="131">
        <f t="shared" si="0"/>
        <v>0.18527223707115092</v>
      </c>
      <c r="R9" s="130">
        <v>21920016593</v>
      </c>
      <c r="S9" s="131">
        <f t="shared" ref="S9" si="2">+R9/$M9</f>
        <v>0.18522914139766775</v>
      </c>
    </row>
    <row r="10" spans="1:19" ht="24" customHeight="1">
      <c r="A10" s="32" t="e">
        <v>#REF!</v>
      </c>
      <c r="B10" s="132" t="s">
        <v>307</v>
      </c>
      <c r="C10" s="133" t="s">
        <v>23</v>
      </c>
      <c r="D10" s="133" t="s">
        <v>25</v>
      </c>
      <c r="E10" s="133" t="s">
        <v>25</v>
      </c>
      <c r="F10" s="133" t="s">
        <v>25</v>
      </c>
      <c r="G10" s="133"/>
      <c r="H10" s="133"/>
      <c r="I10" s="133"/>
      <c r="J10" s="133" t="s">
        <v>28</v>
      </c>
      <c r="K10" s="134" t="s">
        <v>29</v>
      </c>
      <c r="L10" s="134" t="s">
        <v>30</v>
      </c>
      <c r="M10" s="135">
        <v>81484000000</v>
      </c>
      <c r="N10" s="135">
        <v>14659101820</v>
      </c>
      <c r="O10" s="137">
        <f t="shared" si="0"/>
        <v>0.17990159810514947</v>
      </c>
      <c r="P10" s="135">
        <v>14659101820</v>
      </c>
      <c r="Q10" s="137">
        <f t="shared" si="0"/>
        <v>0.17990159810514947</v>
      </c>
      <c r="R10" s="135">
        <v>14656349567</v>
      </c>
      <c r="S10" s="137">
        <f t="shared" ref="S10" si="3">+R10/$M10</f>
        <v>0.17986782149869912</v>
      </c>
    </row>
    <row r="11" spans="1:19" ht="24.95" customHeight="1">
      <c r="A11" s="32" t="e">
        <v>#REF!</v>
      </c>
      <c r="B11" s="138" t="s">
        <v>309</v>
      </c>
      <c r="C11" s="139" t="s">
        <v>23</v>
      </c>
      <c r="D11" s="139" t="s">
        <v>25</v>
      </c>
      <c r="E11" s="139" t="s">
        <v>25</v>
      </c>
      <c r="F11" s="139" t="s">
        <v>25</v>
      </c>
      <c r="G11" s="139" t="s">
        <v>31</v>
      </c>
      <c r="H11" s="139"/>
      <c r="I11" s="139"/>
      <c r="J11" s="139" t="s">
        <v>28</v>
      </c>
      <c r="K11" s="140" t="s">
        <v>29</v>
      </c>
      <c r="L11" s="140" t="s">
        <v>32</v>
      </c>
      <c r="M11" s="141">
        <v>81484000000</v>
      </c>
      <c r="N11" s="141">
        <v>14659101820</v>
      </c>
      <c r="O11" s="143">
        <f t="shared" si="0"/>
        <v>0.17990159810514947</v>
      </c>
      <c r="P11" s="141">
        <v>14659101820</v>
      </c>
      <c r="Q11" s="143">
        <f t="shared" si="0"/>
        <v>0.17990159810514947</v>
      </c>
      <c r="R11" s="141">
        <v>14656349567</v>
      </c>
      <c r="S11" s="143">
        <f t="shared" ref="S11" si="4">+R11/$M11</f>
        <v>0.17986782149869912</v>
      </c>
    </row>
    <row r="12" spans="1:19" ht="24.95" customHeight="1">
      <c r="A12" s="32" t="e">
        <v>#REF!</v>
      </c>
      <c r="B12" s="144" t="s">
        <v>311</v>
      </c>
      <c r="C12" s="145" t="s">
        <v>23</v>
      </c>
      <c r="D12" s="145" t="s">
        <v>25</v>
      </c>
      <c r="E12" s="145" t="s">
        <v>25</v>
      </c>
      <c r="F12" s="145" t="s">
        <v>25</v>
      </c>
      <c r="G12" s="145" t="s">
        <v>31</v>
      </c>
      <c r="H12" s="145" t="s">
        <v>31</v>
      </c>
      <c r="I12" s="145"/>
      <c r="J12" s="145" t="s">
        <v>28</v>
      </c>
      <c r="K12" s="146" t="s">
        <v>29</v>
      </c>
      <c r="L12" s="147" t="s">
        <v>33</v>
      </c>
      <c r="M12" s="148">
        <v>67075000000</v>
      </c>
      <c r="N12" s="148">
        <v>13585739163</v>
      </c>
      <c r="O12" s="150">
        <f t="shared" si="0"/>
        <v>0.20254549628028326</v>
      </c>
      <c r="P12" s="148">
        <v>13585739163</v>
      </c>
      <c r="Q12" s="150">
        <f t="shared" si="0"/>
        <v>0.20254549628028326</v>
      </c>
      <c r="R12" s="148">
        <v>13582986910</v>
      </c>
      <c r="S12" s="150">
        <f t="shared" ref="S12" si="5">+R12/$M12</f>
        <v>0.20250446380916884</v>
      </c>
    </row>
    <row r="13" spans="1:19" ht="24.95" customHeight="1">
      <c r="A13" s="32" t="e">
        <v>#REF!</v>
      </c>
      <c r="B13" s="144" t="s">
        <v>313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34</v>
      </c>
      <c r="I13" s="145"/>
      <c r="J13" s="145" t="s">
        <v>28</v>
      </c>
      <c r="K13" s="146" t="s">
        <v>29</v>
      </c>
      <c r="L13" s="147" t="s">
        <v>35</v>
      </c>
      <c r="M13" s="148">
        <v>298000000</v>
      </c>
      <c r="N13" s="148">
        <v>70744755</v>
      </c>
      <c r="O13" s="150">
        <f t="shared" si="0"/>
        <v>0.23739850671140938</v>
      </c>
      <c r="P13" s="148">
        <v>70744755</v>
      </c>
      <c r="Q13" s="150">
        <f t="shared" si="0"/>
        <v>0.23739850671140938</v>
      </c>
      <c r="R13" s="148">
        <v>70744755</v>
      </c>
      <c r="S13" s="150">
        <f t="shared" ref="S13" si="6">+R13/$M13</f>
        <v>0.23739850671140938</v>
      </c>
    </row>
    <row r="14" spans="1:19" ht="24.95" customHeight="1">
      <c r="A14" s="32" t="e">
        <v>#REF!</v>
      </c>
      <c r="B14" s="144" t="s">
        <v>315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36</v>
      </c>
      <c r="I14" s="145"/>
      <c r="J14" s="145" t="s">
        <v>28</v>
      </c>
      <c r="K14" s="146" t="s">
        <v>29</v>
      </c>
      <c r="L14" s="147" t="s">
        <v>37</v>
      </c>
      <c r="M14" s="148">
        <v>540000000</v>
      </c>
      <c r="N14" s="148">
        <v>111185882</v>
      </c>
      <c r="O14" s="150">
        <f t="shared" si="0"/>
        <v>0.20589978148148147</v>
      </c>
      <c r="P14" s="148">
        <v>111185882</v>
      </c>
      <c r="Q14" s="150">
        <f t="shared" si="0"/>
        <v>0.20589978148148147</v>
      </c>
      <c r="R14" s="148">
        <v>111185882</v>
      </c>
      <c r="S14" s="150">
        <f t="shared" ref="S14" si="7">+R14/$M14</f>
        <v>0.20589978148148147</v>
      </c>
    </row>
    <row r="15" spans="1:19" ht="24.95" customHeight="1">
      <c r="A15" s="32" t="e">
        <v>#REF!</v>
      </c>
      <c r="B15" s="144" t="s">
        <v>317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38</v>
      </c>
      <c r="I15" s="145"/>
      <c r="J15" s="145" t="s">
        <v>28</v>
      </c>
      <c r="K15" s="146" t="s">
        <v>29</v>
      </c>
      <c r="L15" s="147" t="s">
        <v>39</v>
      </c>
      <c r="M15" s="148">
        <v>96000000</v>
      </c>
      <c r="N15" s="148">
        <v>21461656</v>
      </c>
      <c r="O15" s="150">
        <f t="shared" si="0"/>
        <v>0.22355891666666666</v>
      </c>
      <c r="P15" s="148">
        <v>21461656</v>
      </c>
      <c r="Q15" s="150">
        <f t="shared" si="0"/>
        <v>0.22355891666666666</v>
      </c>
      <c r="R15" s="148">
        <v>21461656</v>
      </c>
      <c r="S15" s="150">
        <f t="shared" ref="S15" si="8">+R15/$M15</f>
        <v>0.22355891666666666</v>
      </c>
    </row>
    <row r="16" spans="1:19" ht="24.95" customHeight="1">
      <c r="A16" s="32" t="e">
        <v>#REF!</v>
      </c>
      <c r="B16" s="144" t="s">
        <v>319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40</v>
      </c>
      <c r="I16" s="145"/>
      <c r="J16" s="145" t="s">
        <v>28</v>
      </c>
      <c r="K16" s="146" t="s">
        <v>29</v>
      </c>
      <c r="L16" s="147" t="s">
        <v>41</v>
      </c>
      <c r="M16" s="148">
        <v>100000000</v>
      </c>
      <c r="N16" s="148">
        <v>35171135</v>
      </c>
      <c r="O16" s="150">
        <f t="shared" si="0"/>
        <v>0.35171134999999998</v>
      </c>
      <c r="P16" s="148">
        <v>35171135</v>
      </c>
      <c r="Q16" s="150">
        <f t="shared" si="0"/>
        <v>0.35171134999999998</v>
      </c>
      <c r="R16" s="148">
        <v>35171135</v>
      </c>
      <c r="S16" s="150">
        <f t="shared" ref="S16" si="9">+R16/$M16</f>
        <v>0.35171134999999998</v>
      </c>
    </row>
    <row r="17" spans="1:45" ht="24.95" customHeight="1">
      <c r="A17" s="32" t="e">
        <v>#REF!</v>
      </c>
      <c r="B17" s="144" t="s">
        <v>321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42</v>
      </c>
      <c r="I17" s="145"/>
      <c r="J17" s="145" t="s">
        <v>28</v>
      </c>
      <c r="K17" s="146" t="s">
        <v>29</v>
      </c>
      <c r="L17" s="147" t="s">
        <v>43</v>
      </c>
      <c r="M17" s="148">
        <v>2650000000</v>
      </c>
      <c r="N17" s="148">
        <v>22791671</v>
      </c>
      <c r="O17" s="150">
        <f t="shared" si="0"/>
        <v>8.6006305660377355E-3</v>
      </c>
      <c r="P17" s="148">
        <v>22791671</v>
      </c>
      <c r="Q17" s="150">
        <f t="shared" si="0"/>
        <v>8.6006305660377355E-3</v>
      </c>
      <c r="R17" s="148">
        <v>22791671</v>
      </c>
      <c r="S17" s="150">
        <f t="shared" ref="S17" si="10">+R17/$M17</f>
        <v>8.6006305660377355E-3</v>
      </c>
    </row>
    <row r="18" spans="1:45" ht="24.95" customHeight="1">
      <c r="A18" s="32" t="e">
        <v>#REF!</v>
      </c>
      <c r="B18" s="144" t="s">
        <v>323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44</v>
      </c>
      <c r="I18" s="145"/>
      <c r="J18" s="145" t="s">
        <v>28</v>
      </c>
      <c r="K18" s="146" t="s">
        <v>29</v>
      </c>
      <c r="L18" s="147" t="s">
        <v>45</v>
      </c>
      <c r="M18" s="148">
        <v>1850000000</v>
      </c>
      <c r="N18" s="148">
        <v>471881312</v>
      </c>
      <c r="O18" s="150">
        <f t="shared" si="0"/>
        <v>0.25507097945945945</v>
      </c>
      <c r="P18" s="148">
        <v>471881312</v>
      </c>
      <c r="Q18" s="150">
        <f t="shared" si="0"/>
        <v>0.25507097945945945</v>
      </c>
      <c r="R18" s="148">
        <v>471881312</v>
      </c>
      <c r="S18" s="150">
        <f t="shared" ref="S18" si="11">+R18/$M18</f>
        <v>0.25507097945945945</v>
      </c>
    </row>
    <row r="19" spans="1:45" ht="24.95" customHeight="1">
      <c r="A19" s="32" t="e">
        <v>#REF!</v>
      </c>
      <c r="B19" s="144" t="s">
        <v>325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46</v>
      </c>
      <c r="I19" s="145"/>
      <c r="J19" s="145" t="s">
        <v>28</v>
      </c>
      <c r="K19" s="146" t="s">
        <v>29</v>
      </c>
      <c r="L19" s="147" t="s">
        <v>47</v>
      </c>
      <c r="M19" s="148">
        <v>140000000</v>
      </c>
      <c r="N19" s="148">
        <v>19560452</v>
      </c>
      <c r="O19" s="150">
        <f t="shared" si="0"/>
        <v>0.13971751428571427</v>
      </c>
      <c r="P19" s="148">
        <v>19560452</v>
      </c>
      <c r="Q19" s="150">
        <f t="shared" si="0"/>
        <v>0.13971751428571427</v>
      </c>
      <c r="R19" s="148">
        <v>19560452</v>
      </c>
      <c r="S19" s="150">
        <f t="shared" ref="S19" si="12">+R19/$M19</f>
        <v>0.13971751428571427</v>
      </c>
    </row>
    <row r="20" spans="1:45" ht="24.95" customHeight="1">
      <c r="A20" s="32" t="e">
        <v>#REF!</v>
      </c>
      <c r="B20" s="144" t="s">
        <v>327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48</v>
      </c>
      <c r="I20" s="145"/>
      <c r="J20" s="145" t="s">
        <v>28</v>
      </c>
      <c r="K20" s="146" t="s">
        <v>29</v>
      </c>
      <c r="L20" s="147" t="s">
        <v>49</v>
      </c>
      <c r="M20" s="148">
        <v>5900000000</v>
      </c>
      <c r="N20" s="148">
        <v>10469471</v>
      </c>
      <c r="O20" s="150">
        <f t="shared" si="0"/>
        <v>1.7744866101694916E-3</v>
      </c>
      <c r="P20" s="148">
        <v>10469471</v>
      </c>
      <c r="Q20" s="150">
        <f t="shared" si="0"/>
        <v>1.7744866101694916E-3</v>
      </c>
      <c r="R20" s="148">
        <v>10469471</v>
      </c>
      <c r="S20" s="150">
        <f t="shared" ref="S20" si="13">+R20/$M20</f>
        <v>1.7744866101694916E-3</v>
      </c>
    </row>
    <row r="21" spans="1:45" ht="24.95" customHeight="1">
      <c r="A21" s="32" t="e">
        <v>#REF!</v>
      </c>
      <c r="B21" s="144" t="s">
        <v>329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50</v>
      </c>
      <c r="I21" s="145"/>
      <c r="J21" s="145" t="s">
        <v>28</v>
      </c>
      <c r="K21" s="146" t="s">
        <v>29</v>
      </c>
      <c r="L21" s="147" t="s">
        <v>51</v>
      </c>
      <c r="M21" s="148">
        <v>2800000000</v>
      </c>
      <c r="N21" s="148">
        <v>299011851</v>
      </c>
      <c r="O21" s="150">
        <f t="shared" si="0"/>
        <v>0.10678994678571428</v>
      </c>
      <c r="P21" s="148">
        <v>299011851</v>
      </c>
      <c r="Q21" s="150">
        <f t="shared" si="0"/>
        <v>0.10678994678571428</v>
      </c>
      <c r="R21" s="148">
        <v>299011851</v>
      </c>
      <c r="S21" s="150">
        <f t="shared" ref="S21" si="14">+R21/$M21</f>
        <v>0.10678994678571428</v>
      </c>
    </row>
    <row r="22" spans="1:45" s="64" customFormat="1" ht="24.95" customHeight="1">
      <c r="A22" s="32" t="e">
        <v>#REF!</v>
      </c>
      <c r="B22" s="144" t="s">
        <v>553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51" t="s">
        <v>52</v>
      </c>
      <c r="I22" s="145"/>
      <c r="J22" s="145" t="s">
        <v>28</v>
      </c>
      <c r="K22" s="146" t="s">
        <v>29</v>
      </c>
      <c r="L22" s="147" t="s">
        <v>53</v>
      </c>
      <c r="M22" s="148">
        <v>35000000</v>
      </c>
      <c r="N22" s="148">
        <v>11084472</v>
      </c>
      <c r="O22" s="150">
        <f t="shared" si="0"/>
        <v>0.31669920000000001</v>
      </c>
      <c r="P22" s="148">
        <v>11084472</v>
      </c>
      <c r="Q22" s="150">
        <f t="shared" si="0"/>
        <v>0.31669920000000001</v>
      </c>
      <c r="R22" s="148">
        <v>11084472</v>
      </c>
      <c r="S22" s="150">
        <f t="shared" ref="S22" si="15">+R22/$M22</f>
        <v>0.31669920000000001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ht="24.95" customHeight="1">
      <c r="A23" s="32" t="e">
        <v>#REF!</v>
      </c>
      <c r="B23" s="132" t="s">
        <v>331</v>
      </c>
      <c r="C23" s="133" t="s">
        <v>23</v>
      </c>
      <c r="D23" s="133" t="s">
        <v>25</v>
      </c>
      <c r="E23" s="133" t="s">
        <v>25</v>
      </c>
      <c r="F23" s="133" t="s">
        <v>54</v>
      </c>
      <c r="G23" s="134"/>
      <c r="H23" s="134"/>
      <c r="I23" s="134"/>
      <c r="J23" s="133" t="s">
        <v>28</v>
      </c>
      <c r="K23" s="134" t="s">
        <v>29</v>
      </c>
      <c r="L23" s="134" t="s">
        <v>55</v>
      </c>
      <c r="M23" s="135">
        <v>29242000000</v>
      </c>
      <c r="N23" s="135">
        <v>9636734600</v>
      </c>
      <c r="O23" s="137">
        <f t="shared" si="0"/>
        <v>0.32955114561247523</v>
      </c>
      <c r="P23" s="135">
        <v>5931652047</v>
      </c>
      <c r="Q23" s="137">
        <f t="shared" si="0"/>
        <v>0.20284700249640927</v>
      </c>
      <c r="R23" s="135">
        <v>5931652047</v>
      </c>
      <c r="S23" s="137">
        <f t="shared" ref="S23" si="16">+R23/$M23</f>
        <v>0.20284700249640927</v>
      </c>
    </row>
    <row r="24" spans="1:45" ht="24.95" customHeight="1">
      <c r="A24" s="32" t="e">
        <v>#REF!</v>
      </c>
      <c r="B24" s="144" t="s">
        <v>333</v>
      </c>
      <c r="C24" s="145" t="s">
        <v>23</v>
      </c>
      <c r="D24" s="145" t="s">
        <v>25</v>
      </c>
      <c r="E24" s="145" t="s">
        <v>25</v>
      </c>
      <c r="F24" s="145" t="s">
        <v>54</v>
      </c>
      <c r="G24" s="145" t="s">
        <v>31</v>
      </c>
      <c r="H24" s="145"/>
      <c r="I24" s="145"/>
      <c r="J24" s="145" t="s">
        <v>28</v>
      </c>
      <c r="K24" s="146" t="s">
        <v>29</v>
      </c>
      <c r="L24" s="147" t="s">
        <v>56</v>
      </c>
      <c r="M24" s="148">
        <v>8897400000</v>
      </c>
      <c r="N24" s="148">
        <v>1830291800</v>
      </c>
      <c r="O24" s="150">
        <f t="shared" si="0"/>
        <v>0.20571085935217029</v>
      </c>
      <c r="P24" s="148">
        <v>1830291800</v>
      </c>
      <c r="Q24" s="150">
        <f t="shared" si="0"/>
        <v>0.20571085935217029</v>
      </c>
      <c r="R24" s="148">
        <v>1830291800</v>
      </c>
      <c r="S24" s="150">
        <f t="shared" ref="S24" si="17">+R24/$M24</f>
        <v>0.20571085935217029</v>
      </c>
    </row>
    <row r="25" spans="1:45" ht="24.95" customHeight="1">
      <c r="A25" s="32" t="e">
        <v>#REF!</v>
      </c>
      <c r="B25" s="144" t="s">
        <v>335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34</v>
      </c>
      <c r="H25" s="145"/>
      <c r="I25" s="145"/>
      <c r="J25" s="145" t="s">
        <v>28</v>
      </c>
      <c r="K25" s="146" t="s">
        <v>29</v>
      </c>
      <c r="L25" s="147" t="s">
        <v>57</v>
      </c>
      <c r="M25" s="148">
        <v>6302400000</v>
      </c>
      <c r="N25" s="148">
        <v>1303016700</v>
      </c>
      <c r="O25" s="150">
        <f t="shared" si="0"/>
        <v>0.20674928598629094</v>
      </c>
      <c r="P25" s="148">
        <v>1303016700</v>
      </c>
      <c r="Q25" s="150">
        <f t="shared" si="0"/>
        <v>0.20674928598629094</v>
      </c>
      <c r="R25" s="148">
        <v>1303016700</v>
      </c>
      <c r="S25" s="150">
        <f t="shared" ref="S25" si="18">+R25/$M25</f>
        <v>0.20674928598629094</v>
      </c>
    </row>
    <row r="26" spans="1:45" ht="24.95" customHeight="1">
      <c r="A26" s="32" t="e">
        <v>#REF!</v>
      </c>
      <c r="B26" s="144" t="s">
        <v>337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36</v>
      </c>
      <c r="H26" s="145"/>
      <c r="I26" s="145"/>
      <c r="J26" s="145" t="s">
        <v>28</v>
      </c>
      <c r="K26" s="146" t="s">
        <v>29</v>
      </c>
      <c r="L26" s="147" t="s">
        <v>58</v>
      </c>
      <c r="M26" s="148">
        <v>6109700000</v>
      </c>
      <c r="N26" s="148">
        <v>5000000000</v>
      </c>
      <c r="O26" s="150">
        <f t="shared" si="0"/>
        <v>0.8183707874363717</v>
      </c>
      <c r="P26" s="148">
        <v>1294917447</v>
      </c>
      <c r="Q26" s="150">
        <f t="shared" si="0"/>
        <v>0.2119445221532972</v>
      </c>
      <c r="R26" s="148">
        <v>1294917447</v>
      </c>
      <c r="S26" s="150">
        <f t="shared" ref="S26" si="19">+R26/$M26</f>
        <v>0.2119445221532972</v>
      </c>
    </row>
    <row r="27" spans="1:45" ht="24.95" customHeight="1">
      <c r="A27" s="32" t="e">
        <v>#REF!</v>
      </c>
      <c r="B27" s="144" t="s">
        <v>339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38</v>
      </c>
      <c r="H27" s="145"/>
      <c r="I27" s="145"/>
      <c r="J27" s="145" t="s">
        <v>28</v>
      </c>
      <c r="K27" s="146" t="s">
        <v>29</v>
      </c>
      <c r="L27" s="147" t="s">
        <v>59</v>
      </c>
      <c r="M27" s="148">
        <v>3187700000</v>
      </c>
      <c r="N27" s="148">
        <v>603487000</v>
      </c>
      <c r="O27" s="150">
        <f t="shared" si="0"/>
        <v>0.18931737616463282</v>
      </c>
      <c r="P27" s="148">
        <v>603487000</v>
      </c>
      <c r="Q27" s="150">
        <f t="shared" si="0"/>
        <v>0.18931737616463282</v>
      </c>
      <c r="R27" s="148">
        <v>603487000</v>
      </c>
      <c r="S27" s="150">
        <f t="shared" ref="S27" si="20">+R27/$M27</f>
        <v>0.18931737616463282</v>
      </c>
    </row>
    <row r="28" spans="1:45" ht="24.95" customHeight="1">
      <c r="A28" s="32" t="e">
        <v>#REF!</v>
      </c>
      <c r="B28" s="144" t="s">
        <v>341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40</v>
      </c>
      <c r="H28" s="145"/>
      <c r="I28" s="145"/>
      <c r="J28" s="145" t="s">
        <v>28</v>
      </c>
      <c r="K28" s="146" t="s">
        <v>29</v>
      </c>
      <c r="L28" s="147" t="s">
        <v>60</v>
      </c>
      <c r="M28" s="148">
        <v>720000000</v>
      </c>
      <c r="N28" s="148">
        <v>145175500</v>
      </c>
      <c r="O28" s="150">
        <f t="shared" si="0"/>
        <v>0.20163263888888888</v>
      </c>
      <c r="P28" s="148">
        <v>145175500</v>
      </c>
      <c r="Q28" s="150">
        <f t="shared" si="0"/>
        <v>0.20163263888888888</v>
      </c>
      <c r="R28" s="148">
        <v>145175500</v>
      </c>
      <c r="S28" s="150">
        <f t="shared" ref="S28" si="21">+R28/$M28</f>
        <v>0.20163263888888888</v>
      </c>
    </row>
    <row r="29" spans="1:45" ht="24.95" customHeight="1">
      <c r="A29" s="32" t="e">
        <v>#REF!</v>
      </c>
      <c r="B29" s="144" t="s">
        <v>343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42</v>
      </c>
      <c r="H29" s="145"/>
      <c r="I29" s="145"/>
      <c r="J29" s="145" t="s">
        <v>28</v>
      </c>
      <c r="K29" s="146" t="s">
        <v>29</v>
      </c>
      <c r="L29" s="147" t="s">
        <v>61</v>
      </c>
      <c r="M29" s="148">
        <v>2414800000</v>
      </c>
      <c r="N29" s="148">
        <v>452658400</v>
      </c>
      <c r="O29" s="150">
        <f t="shared" si="0"/>
        <v>0.18745171442769587</v>
      </c>
      <c r="P29" s="148">
        <v>452658400</v>
      </c>
      <c r="Q29" s="150">
        <f t="shared" si="0"/>
        <v>0.18745171442769587</v>
      </c>
      <c r="R29" s="148">
        <v>452658400</v>
      </c>
      <c r="S29" s="150">
        <f t="shared" ref="S29" si="22">+R29/$M29</f>
        <v>0.18745171442769587</v>
      </c>
    </row>
    <row r="30" spans="1:45" ht="24.95" customHeight="1">
      <c r="A30" s="32" t="e">
        <v>#REF!</v>
      </c>
      <c r="B30" s="144" t="s">
        <v>345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44</v>
      </c>
      <c r="H30" s="145"/>
      <c r="I30" s="145"/>
      <c r="J30" s="145" t="s">
        <v>28</v>
      </c>
      <c r="K30" s="146" t="s">
        <v>29</v>
      </c>
      <c r="L30" s="147" t="s">
        <v>62</v>
      </c>
      <c r="M30" s="148">
        <v>402500000</v>
      </c>
      <c r="N30" s="148">
        <v>75552200</v>
      </c>
      <c r="O30" s="150">
        <f t="shared" si="0"/>
        <v>0.1877073291925466</v>
      </c>
      <c r="P30" s="148">
        <v>75552200</v>
      </c>
      <c r="Q30" s="150">
        <f t="shared" si="0"/>
        <v>0.1877073291925466</v>
      </c>
      <c r="R30" s="148">
        <v>75552200</v>
      </c>
      <c r="S30" s="150">
        <f t="shared" ref="S30" si="23">+R30/$M30</f>
        <v>0.1877073291925466</v>
      </c>
    </row>
    <row r="31" spans="1:45" ht="24.95" customHeight="1">
      <c r="A31" s="32" t="e">
        <v>#REF!</v>
      </c>
      <c r="B31" s="144" t="s">
        <v>347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46</v>
      </c>
      <c r="H31" s="145"/>
      <c r="I31" s="145"/>
      <c r="J31" s="145" t="s">
        <v>28</v>
      </c>
      <c r="K31" s="146" t="s">
        <v>29</v>
      </c>
      <c r="L31" s="147" t="s">
        <v>63</v>
      </c>
      <c r="M31" s="148">
        <v>402500000</v>
      </c>
      <c r="N31" s="148">
        <v>75552200</v>
      </c>
      <c r="O31" s="150">
        <f t="shared" si="0"/>
        <v>0.1877073291925466</v>
      </c>
      <c r="P31" s="148">
        <v>75552200</v>
      </c>
      <c r="Q31" s="150">
        <f t="shared" si="0"/>
        <v>0.1877073291925466</v>
      </c>
      <c r="R31" s="148">
        <v>75552200</v>
      </c>
      <c r="S31" s="150">
        <f t="shared" ref="S31" si="24">+R31/$M31</f>
        <v>0.1877073291925466</v>
      </c>
    </row>
    <row r="32" spans="1:45" ht="24.75" customHeight="1">
      <c r="A32" s="32" t="e">
        <v>#REF!</v>
      </c>
      <c r="B32" s="144" t="s">
        <v>349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48</v>
      </c>
      <c r="H32" s="145"/>
      <c r="I32" s="145"/>
      <c r="J32" s="145" t="s">
        <v>28</v>
      </c>
      <c r="K32" s="146" t="s">
        <v>29</v>
      </c>
      <c r="L32" s="147" t="s">
        <v>64</v>
      </c>
      <c r="M32" s="148">
        <v>805000000</v>
      </c>
      <c r="N32" s="148">
        <v>151000800</v>
      </c>
      <c r="O32" s="150">
        <f t="shared" si="0"/>
        <v>0.18757863354037266</v>
      </c>
      <c r="P32" s="148">
        <v>151000800</v>
      </c>
      <c r="Q32" s="150">
        <f t="shared" si="0"/>
        <v>0.18757863354037266</v>
      </c>
      <c r="R32" s="148">
        <v>151000800</v>
      </c>
      <c r="S32" s="150">
        <f t="shared" ref="S32" si="25">+R32/$M32</f>
        <v>0.18757863354037266</v>
      </c>
    </row>
    <row r="33" spans="1:19" ht="24.95" customHeight="1">
      <c r="A33" s="32" t="e">
        <v>#REF!</v>
      </c>
      <c r="B33" s="132" t="s">
        <v>351</v>
      </c>
      <c r="C33" s="133" t="s">
        <v>23</v>
      </c>
      <c r="D33" s="133" t="s">
        <v>25</v>
      </c>
      <c r="E33" s="133" t="s">
        <v>25</v>
      </c>
      <c r="F33" s="133" t="s">
        <v>65</v>
      </c>
      <c r="G33" s="133"/>
      <c r="H33" s="134"/>
      <c r="I33" s="134"/>
      <c r="J33" s="133" t="s">
        <v>28</v>
      </c>
      <c r="K33" s="134" t="s">
        <v>29</v>
      </c>
      <c r="L33" s="134" t="s">
        <v>66</v>
      </c>
      <c r="M33" s="135">
        <v>7614000000</v>
      </c>
      <c r="N33" s="135">
        <v>1334362668</v>
      </c>
      <c r="O33" s="137">
        <f t="shared" si="0"/>
        <v>0.17525120409771475</v>
      </c>
      <c r="P33" s="135">
        <v>1334362668</v>
      </c>
      <c r="Q33" s="137">
        <f t="shared" si="0"/>
        <v>0.17525120409771475</v>
      </c>
      <c r="R33" s="135">
        <v>1332014979</v>
      </c>
      <c r="S33" s="137">
        <f t="shared" ref="S33" si="26">+R33/$M33</f>
        <v>0.17494286564223799</v>
      </c>
    </row>
    <row r="34" spans="1:19" ht="24.95" customHeight="1">
      <c r="A34" s="32" t="e">
        <v>#REF!</v>
      </c>
      <c r="B34" s="138" t="s">
        <v>353</v>
      </c>
      <c r="C34" s="139" t="s">
        <v>23</v>
      </c>
      <c r="D34" s="139" t="s">
        <v>25</v>
      </c>
      <c r="E34" s="139" t="s">
        <v>25</v>
      </c>
      <c r="F34" s="139" t="s">
        <v>65</v>
      </c>
      <c r="G34" s="139" t="s">
        <v>31</v>
      </c>
      <c r="H34" s="140"/>
      <c r="I34" s="140"/>
      <c r="J34" s="139" t="s">
        <v>28</v>
      </c>
      <c r="K34" s="140" t="s">
        <v>29</v>
      </c>
      <c r="L34" s="140" t="s">
        <v>67</v>
      </c>
      <c r="M34" s="141">
        <v>3537000000</v>
      </c>
      <c r="N34" s="141">
        <v>474544528</v>
      </c>
      <c r="O34" s="143">
        <f t="shared" si="0"/>
        <v>0.13416582640655922</v>
      </c>
      <c r="P34" s="141">
        <v>474544528</v>
      </c>
      <c r="Q34" s="143">
        <f t="shared" si="0"/>
        <v>0.13416582640655922</v>
      </c>
      <c r="R34" s="141">
        <v>474544528</v>
      </c>
      <c r="S34" s="143">
        <f t="shared" ref="S34" si="27">+R34/$M34</f>
        <v>0.13416582640655922</v>
      </c>
    </row>
    <row r="35" spans="1:19" ht="24.95" customHeight="1">
      <c r="A35" s="32" t="e">
        <v>#REF!</v>
      </c>
      <c r="B35" s="144" t="s">
        <v>355</v>
      </c>
      <c r="C35" s="145" t="s">
        <v>23</v>
      </c>
      <c r="D35" s="145" t="s">
        <v>25</v>
      </c>
      <c r="E35" s="145" t="s">
        <v>25</v>
      </c>
      <c r="F35" s="145" t="s">
        <v>65</v>
      </c>
      <c r="G35" s="145" t="s">
        <v>31</v>
      </c>
      <c r="H35" s="145" t="s">
        <v>31</v>
      </c>
      <c r="I35" s="145"/>
      <c r="J35" s="145" t="s">
        <v>28</v>
      </c>
      <c r="K35" s="146" t="s">
        <v>29</v>
      </c>
      <c r="L35" s="147" t="s">
        <v>68</v>
      </c>
      <c r="M35" s="148">
        <v>2737000000</v>
      </c>
      <c r="N35" s="148">
        <v>363718270</v>
      </c>
      <c r="O35" s="150">
        <f t="shared" si="0"/>
        <v>0.13288939349652903</v>
      </c>
      <c r="P35" s="148">
        <v>363718270</v>
      </c>
      <c r="Q35" s="150">
        <f t="shared" si="0"/>
        <v>0.13288939349652903</v>
      </c>
      <c r="R35" s="148">
        <v>363718270</v>
      </c>
      <c r="S35" s="150">
        <f t="shared" ref="S35" si="28">+R35/$M35</f>
        <v>0.13288939349652903</v>
      </c>
    </row>
    <row r="36" spans="1:19" ht="24.95" customHeight="1">
      <c r="A36" s="32" t="e">
        <v>#REF!</v>
      </c>
      <c r="B36" s="144" t="s">
        <v>357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34</v>
      </c>
      <c r="I36" s="145"/>
      <c r="J36" s="145" t="s">
        <v>28</v>
      </c>
      <c r="K36" s="146" t="s">
        <v>29</v>
      </c>
      <c r="L36" s="147" t="s">
        <v>69</v>
      </c>
      <c r="M36" s="148">
        <v>450000000</v>
      </c>
      <c r="N36" s="148">
        <v>74121311</v>
      </c>
      <c r="O36" s="150">
        <f t="shared" si="0"/>
        <v>0.16471402444444444</v>
      </c>
      <c r="P36" s="148">
        <v>74121311</v>
      </c>
      <c r="Q36" s="150">
        <f t="shared" si="0"/>
        <v>0.16471402444444444</v>
      </c>
      <c r="R36" s="148">
        <v>74121311</v>
      </c>
      <c r="S36" s="150">
        <f t="shared" ref="S36" si="29">+R36/$M36</f>
        <v>0.16471402444444444</v>
      </c>
    </row>
    <row r="37" spans="1:19" ht="24.95" customHeight="1">
      <c r="A37" s="32" t="e">
        <v>#REF!</v>
      </c>
      <c r="B37" s="144" t="s">
        <v>359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36</v>
      </c>
      <c r="I37" s="145"/>
      <c r="J37" s="145" t="s">
        <v>28</v>
      </c>
      <c r="K37" s="146" t="s">
        <v>29</v>
      </c>
      <c r="L37" s="147" t="s">
        <v>70</v>
      </c>
      <c r="M37" s="148">
        <v>350000000</v>
      </c>
      <c r="N37" s="148">
        <v>36704947</v>
      </c>
      <c r="O37" s="150">
        <f t="shared" si="0"/>
        <v>0.10487127714285714</v>
      </c>
      <c r="P37" s="148">
        <v>36704947</v>
      </c>
      <c r="Q37" s="150">
        <f t="shared" si="0"/>
        <v>0.10487127714285714</v>
      </c>
      <c r="R37" s="148">
        <v>36704947</v>
      </c>
      <c r="S37" s="150">
        <f t="shared" ref="S37" si="30">+R37/$M37</f>
        <v>0.10487127714285714</v>
      </c>
    </row>
    <row r="38" spans="1:19" ht="24.95" customHeight="1">
      <c r="A38" s="32" t="e">
        <v>#REF!</v>
      </c>
      <c r="B38" s="144" t="s">
        <v>361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34</v>
      </c>
      <c r="H38" s="145"/>
      <c r="I38" s="145"/>
      <c r="J38" s="145" t="s">
        <v>28</v>
      </c>
      <c r="K38" s="146" t="s">
        <v>29</v>
      </c>
      <c r="L38" s="147" t="s">
        <v>71</v>
      </c>
      <c r="M38" s="148">
        <v>2600000000</v>
      </c>
      <c r="N38" s="148">
        <v>649728294</v>
      </c>
      <c r="O38" s="150">
        <f t="shared" si="0"/>
        <v>0.24989549769230771</v>
      </c>
      <c r="P38" s="148">
        <v>649728294</v>
      </c>
      <c r="Q38" s="150">
        <f t="shared" si="0"/>
        <v>0.24989549769230771</v>
      </c>
      <c r="R38" s="148">
        <v>648352168</v>
      </c>
      <c r="S38" s="150">
        <f t="shared" ref="S38" si="31">+R38/$M38</f>
        <v>0.24936621846153847</v>
      </c>
    </row>
    <row r="39" spans="1:19" ht="24.95" customHeight="1">
      <c r="A39" s="32" t="e">
        <v>#REF!</v>
      </c>
      <c r="B39" s="144" t="s">
        <v>363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40</v>
      </c>
      <c r="H39" s="145"/>
      <c r="I39" s="145"/>
      <c r="J39" s="145" t="s">
        <v>28</v>
      </c>
      <c r="K39" s="146" t="s">
        <v>29</v>
      </c>
      <c r="L39" s="147" t="s">
        <v>72</v>
      </c>
      <c r="M39" s="148">
        <v>12000000</v>
      </c>
      <c r="N39" s="148">
        <v>1072635</v>
      </c>
      <c r="O39" s="150">
        <f t="shared" si="0"/>
        <v>8.938625E-2</v>
      </c>
      <c r="P39" s="148">
        <v>1072635</v>
      </c>
      <c r="Q39" s="150">
        <f t="shared" si="0"/>
        <v>8.938625E-2</v>
      </c>
      <c r="R39" s="148">
        <v>1072635</v>
      </c>
      <c r="S39" s="150">
        <f t="shared" ref="S39" si="32">+R39/$M39</f>
        <v>8.938625E-2</v>
      </c>
    </row>
    <row r="40" spans="1:19" ht="24.95" customHeight="1">
      <c r="A40" s="32" t="e">
        <v>#REF!</v>
      </c>
      <c r="B40" s="144" t="s">
        <v>364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51" t="s">
        <v>44</v>
      </c>
      <c r="H40" s="145"/>
      <c r="I40" s="145"/>
      <c r="J40" s="145" t="s">
        <v>28</v>
      </c>
      <c r="K40" s="146" t="s">
        <v>29</v>
      </c>
      <c r="L40" s="147" t="s">
        <v>73</v>
      </c>
      <c r="M40" s="148">
        <v>5000000</v>
      </c>
      <c r="N40" s="148">
        <v>0</v>
      </c>
      <c r="O40" s="150">
        <f t="shared" si="0"/>
        <v>0</v>
      </c>
      <c r="P40" s="148">
        <v>0</v>
      </c>
      <c r="Q40" s="150">
        <f t="shared" si="0"/>
        <v>0</v>
      </c>
      <c r="R40" s="148">
        <v>0</v>
      </c>
      <c r="S40" s="150">
        <f t="shared" ref="S40" si="33">+R40/$M40</f>
        <v>0</v>
      </c>
    </row>
    <row r="41" spans="1:19" ht="24.95" customHeight="1">
      <c r="A41" s="32" t="e">
        <v>#REF!</v>
      </c>
      <c r="B41" s="144" t="s">
        <v>366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45" t="s">
        <v>74</v>
      </c>
      <c r="H41" s="145"/>
      <c r="I41" s="145"/>
      <c r="J41" s="145" t="s">
        <v>28</v>
      </c>
      <c r="K41" s="146" t="s">
        <v>29</v>
      </c>
      <c r="L41" s="147" t="s">
        <v>75</v>
      </c>
      <c r="M41" s="148">
        <v>30000000</v>
      </c>
      <c r="N41" s="148">
        <v>0</v>
      </c>
      <c r="O41" s="150">
        <f t="shared" si="0"/>
        <v>0</v>
      </c>
      <c r="P41" s="148">
        <v>0</v>
      </c>
      <c r="Q41" s="150">
        <f t="shared" si="0"/>
        <v>0</v>
      </c>
      <c r="R41" s="148">
        <v>0</v>
      </c>
      <c r="S41" s="150">
        <f t="shared" ref="S41" si="34">+R41/$M41</f>
        <v>0</v>
      </c>
    </row>
    <row r="42" spans="1:19" ht="24.95" customHeight="1">
      <c r="A42" s="32" t="e">
        <v>#REF!</v>
      </c>
      <c r="B42" s="144" t="s">
        <v>368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76</v>
      </c>
      <c r="H42" s="145"/>
      <c r="I42" s="145"/>
      <c r="J42" s="145" t="s">
        <v>28</v>
      </c>
      <c r="K42" s="146" t="s">
        <v>29</v>
      </c>
      <c r="L42" s="147" t="s">
        <v>77</v>
      </c>
      <c r="M42" s="148">
        <v>840000000</v>
      </c>
      <c r="N42" s="148">
        <v>209017211</v>
      </c>
      <c r="O42" s="150">
        <f t="shared" si="0"/>
        <v>0.24883001309523808</v>
      </c>
      <c r="P42" s="148">
        <v>209017211</v>
      </c>
      <c r="Q42" s="150">
        <f t="shared" si="0"/>
        <v>0.24883001309523808</v>
      </c>
      <c r="R42" s="148">
        <v>208045648</v>
      </c>
      <c r="S42" s="150">
        <f t="shared" ref="S42" si="35">+R42/$M42</f>
        <v>0.24767339047619047</v>
      </c>
    </row>
    <row r="43" spans="1:19" ht="24.95" customHeight="1">
      <c r="A43" s="32" t="e">
        <v>#REF!</v>
      </c>
      <c r="B43" s="144" t="s">
        <v>370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78</v>
      </c>
      <c r="H43" s="145"/>
      <c r="I43" s="145"/>
      <c r="J43" s="145" t="s">
        <v>28</v>
      </c>
      <c r="K43" s="146" t="s">
        <v>29</v>
      </c>
      <c r="L43" s="147" t="s">
        <v>79</v>
      </c>
      <c r="M43" s="148">
        <v>590000000</v>
      </c>
      <c r="N43" s="148">
        <v>0</v>
      </c>
      <c r="O43" s="150">
        <f t="shared" si="0"/>
        <v>0</v>
      </c>
      <c r="P43" s="148">
        <v>0</v>
      </c>
      <c r="Q43" s="150">
        <f t="shared" si="0"/>
        <v>0</v>
      </c>
      <c r="R43" s="148">
        <v>0</v>
      </c>
      <c r="S43" s="150">
        <f t="shared" ref="S43" si="36">+R43/$M43</f>
        <v>0</v>
      </c>
    </row>
    <row r="44" spans="1:19" ht="24" customHeight="1">
      <c r="A44" s="32" t="e">
        <v>#REF!</v>
      </c>
      <c r="B44" s="122" t="s">
        <v>372</v>
      </c>
      <c r="C44" s="123" t="s">
        <v>23</v>
      </c>
      <c r="D44" s="123" t="s">
        <v>54</v>
      </c>
      <c r="E44" s="123"/>
      <c r="F44" s="123"/>
      <c r="G44" s="123"/>
      <c r="H44" s="123"/>
      <c r="I44" s="123"/>
      <c r="J44" s="124"/>
      <c r="K44" s="124"/>
      <c r="L44" s="124" t="s">
        <v>80</v>
      </c>
      <c r="M44" s="125">
        <v>42290000000</v>
      </c>
      <c r="N44" s="125">
        <v>19041811217.130001</v>
      </c>
      <c r="O44" s="126">
        <f t="shared" si="0"/>
        <v>0.45026746789146371</v>
      </c>
      <c r="P44" s="125">
        <v>7139422627.7399998</v>
      </c>
      <c r="Q44" s="126">
        <f t="shared" si="0"/>
        <v>0.16882058708299835</v>
      </c>
      <c r="R44" s="125">
        <v>6975291711.7399998</v>
      </c>
      <c r="S44" s="126">
        <f t="shared" ref="S44" si="37">+R44/$M44</f>
        <v>0.16493950607093874</v>
      </c>
    </row>
    <row r="45" spans="1:19" ht="24" customHeight="1">
      <c r="A45" s="32" t="e">
        <v>#REF!</v>
      </c>
      <c r="B45" s="127" t="s">
        <v>377</v>
      </c>
      <c r="C45" s="128" t="s">
        <v>23</v>
      </c>
      <c r="D45" s="128" t="s">
        <v>54</v>
      </c>
      <c r="E45" s="128" t="s">
        <v>54</v>
      </c>
      <c r="F45" s="128"/>
      <c r="G45" s="128"/>
      <c r="H45" s="128"/>
      <c r="I45" s="128"/>
      <c r="J45" s="129"/>
      <c r="K45" s="129"/>
      <c r="L45" s="129" t="s">
        <v>86</v>
      </c>
      <c r="M45" s="130">
        <v>42290000000</v>
      </c>
      <c r="N45" s="130">
        <v>19041811217.130001</v>
      </c>
      <c r="O45" s="131">
        <f t="shared" si="0"/>
        <v>0.45026746789146371</v>
      </c>
      <c r="P45" s="130">
        <v>7139422627.7399998</v>
      </c>
      <c r="Q45" s="131">
        <f t="shared" si="0"/>
        <v>0.16882058708299835</v>
      </c>
      <c r="R45" s="130">
        <v>6975291711.7399998</v>
      </c>
      <c r="S45" s="131">
        <f t="shared" ref="S45" si="38">+R45/$M45</f>
        <v>0.16493950607093874</v>
      </c>
    </row>
    <row r="46" spans="1:19" ht="24.95" customHeight="1">
      <c r="A46" s="32" t="e">
        <v>#REF!</v>
      </c>
      <c r="B46" s="132" t="s">
        <v>379</v>
      </c>
      <c r="C46" s="133" t="s">
        <v>23</v>
      </c>
      <c r="D46" s="133" t="s">
        <v>54</v>
      </c>
      <c r="E46" s="133" t="s">
        <v>54</v>
      </c>
      <c r="F46" s="133" t="s">
        <v>25</v>
      </c>
      <c r="G46" s="133"/>
      <c r="H46" s="134"/>
      <c r="I46" s="134"/>
      <c r="J46" s="133" t="s">
        <v>28</v>
      </c>
      <c r="K46" s="134" t="s">
        <v>29</v>
      </c>
      <c r="L46" s="134" t="s">
        <v>87</v>
      </c>
      <c r="M46" s="135">
        <v>1062241390</v>
      </c>
      <c r="N46" s="135">
        <v>126410108</v>
      </c>
      <c r="O46" s="137">
        <f t="shared" si="0"/>
        <v>0.11900318438919048</v>
      </c>
      <c r="P46" s="135">
        <v>8685122.6699999999</v>
      </c>
      <c r="Q46" s="137">
        <f t="shared" si="0"/>
        <v>8.176223174659011E-3</v>
      </c>
      <c r="R46" s="135">
        <v>8685122.6699999999</v>
      </c>
      <c r="S46" s="137">
        <f t="shared" ref="S46" si="39">+R46/$M46</f>
        <v>8.176223174659011E-3</v>
      </c>
    </row>
    <row r="47" spans="1:19" ht="24.95" customHeight="1">
      <c r="A47" s="32" t="e">
        <v>#REF!</v>
      </c>
      <c r="B47" s="138" t="s">
        <v>381</v>
      </c>
      <c r="C47" s="139" t="s">
        <v>23</v>
      </c>
      <c r="D47" s="139" t="s">
        <v>54</v>
      </c>
      <c r="E47" s="139" t="s">
        <v>54</v>
      </c>
      <c r="F47" s="139" t="s">
        <v>25</v>
      </c>
      <c r="G47" s="139" t="s">
        <v>31</v>
      </c>
      <c r="H47" s="140"/>
      <c r="I47" s="140"/>
      <c r="J47" s="139" t="s">
        <v>28</v>
      </c>
      <c r="K47" s="140" t="s">
        <v>29</v>
      </c>
      <c r="L47" s="140" t="s">
        <v>88</v>
      </c>
      <c r="M47" s="141">
        <v>26000000</v>
      </c>
      <c r="N47" s="141">
        <v>13000000</v>
      </c>
      <c r="O47" s="143">
        <f t="shared" si="0"/>
        <v>0.5</v>
      </c>
      <c r="P47" s="141">
        <v>0</v>
      </c>
      <c r="Q47" s="143">
        <f t="shared" si="0"/>
        <v>0</v>
      </c>
      <c r="R47" s="141">
        <v>0</v>
      </c>
      <c r="S47" s="143">
        <f t="shared" ref="S47" si="40">+R47/$M47</f>
        <v>0</v>
      </c>
    </row>
    <row r="48" spans="1:19" ht="24.95" customHeight="1">
      <c r="A48" s="32" t="e">
        <v>#REF!</v>
      </c>
      <c r="B48" s="144" t="s">
        <v>555</v>
      </c>
      <c r="C48" s="145" t="s">
        <v>23</v>
      </c>
      <c r="D48" s="145" t="s">
        <v>54</v>
      </c>
      <c r="E48" s="145" t="s">
        <v>54</v>
      </c>
      <c r="F48" s="145" t="s">
        <v>25</v>
      </c>
      <c r="G48" s="145" t="s">
        <v>31</v>
      </c>
      <c r="H48" s="145" t="s">
        <v>40</v>
      </c>
      <c r="I48" s="145"/>
      <c r="J48" s="145">
        <v>10</v>
      </c>
      <c r="K48" s="146" t="s">
        <v>29</v>
      </c>
      <c r="L48" s="147" t="s">
        <v>89</v>
      </c>
      <c r="M48" s="148">
        <v>13000000</v>
      </c>
      <c r="N48" s="148">
        <v>13000000</v>
      </c>
      <c r="O48" s="150">
        <f t="shared" si="0"/>
        <v>1</v>
      </c>
      <c r="P48" s="148">
        <v>0</v>
      </c>
      <c r="Q48" s="150">
        <f t="shared" si="0"/>
        <v>0</v>
      </c>
      <c r="R48" s="148">
        <v>0</v>
      </c>
      <c r="S48" s="150">
        <f t="shared" ref="S48" si="41">+R48/$M48</f>
        <v>0</v>
      </c>
    </row>
    <row r="49" spans="1:19" ht="24.95" customHeight="1">
      <c r="A49" s="32" t="e">
        <v>#REF!</v>
      </c>
      <c r="B49" s="144" t="s">
        <v>557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44</v>
      </c>
      <c r="I49" s="145"/>
      <c r="J49" s="145">
        <v>10</v>
      </c>
      <c r="K49" s="146" t="s">
        <v>29</v>
      </c>
      <c r="L49" s="147" t="s">
        <v>90</v>
      </c>
      <c r="M49" s="148">
        <v>13000000</v>
      </c>
      <c r="N49" s="148">
        <v>0</v>
      </c>
      <c r="O49" s="150">
        <f t="shared" si="0"/>
        <v>0</v>
      </c>
      <c r="P49" s="148">
        <v>0</v>
      </c>
      <c r="Q49" s="150">
        <f t="shared" si="0"/>
        <v>0</v>
      </c>
      <c r="R49" s="148">
        <v>0</v>
      </c>
      <c r="S49" s="150">
        <f t="shared" ref="S49" si="42">+R49/$M49</f>
        <v>0</v>
      </c>
    </row>
    <row r="50" spans="1:19" ht="24.95" customHeight="1">
      <c r="A50" s="32" t="e">
        <v>#REF!</v>
      </c>
      <c r="B50" s="138" t="s">
        <v>383</v>
      </c>
      <c r="C50" s="139" t="s">
        <v>23</v>
      </c>
      <c r="D50" s="139" t="s">
        <v>54</v>
      </c>
      <c r="E50" s="139" t="s">
        <v>54</v>
      </c>
      <c r="F50" s="139" t="s">
        <v>25</v>
      </c>
      <c r="G50" s="139" t="s">
        <v>34</v>
      </c>
      <c r="H50" s="140"/>
      <c r="I50" s="140"/>
      <c r="J50" s="139" t="s">
        <v>28</v>
      </c>
      <c r="K50" s="140" t="s">
        <v>29</v>
      </c>
      <c r="L50" s="140" t="s">
        <v>91</v>
      </c>
      <c r="M50" s="141">
        <v>130000000</v>
      </c>
      <c r="N50" s="141">
        <v>0</v>
      </c>
      <c r="O50" s="143">
        <f t="shared" si="0"/>
        <v>0</v>
      </c>
      <c r="P50" s="141">
        <v>0</v>
      </c>
      <c r="Q50" s="143">
        <f t="shared" si="0"/>
        <v>0</v>
      </c>
      <c r="R50" s="141">
        <v>0</v>
      </c>
      <c r="S50" s="143">
        <f t="shared" ref="S50" si="43">+R50/$M50</f>
        <v>0</v>
      </c>
    </row>
    <row r="51" spans="1:19" ht="24.95" customHeight="1">
      <c r="A51" s="32" t="e">
        <v>#REF!</v>
      </c>
      <c r="B51" s="144" t="s">
        <v>559</v>
      </c>
      <c r="C51" s="145" t="s">
        <v>23</v>
      </c>
      <c r="D51" s="145" t="s">
        <v>54</v>
      </c>
      <c r="E51" s="145" t="s">
        <v>54</v>
      </c>
      <c r="F51" s="145" t="s">
        <v>25</v>
      </c>
      <c r="G51" s="145" t="s">
        <v>34</v>
      </c>
      <c r="H51" s="145" t="s">
        <v>46</v>
      </c>
      <c r="I51" s="145"/>
      <c r="J51" s="145">
        <v>10</v>
      </c>
      <c r="K51" s="146" t="s">
        <v>29</v>
      </c>
      <c r="L51" s="147" t="s">
        <v>92</v>
      </c>
      <c r="M51" s="148">
        <v>130000000</v>
      </c>
      <c r="N51" s="148">
        <v>0</v>
      </c>
      <c r="O51" s="150">
        <f t="shared" si="0"/>
        <v>0</v>
      </c>
      <c r="P51" s="148">
        <v>0</v>
      </c>
      <c r="Q51" s="150">
        <f t="shared" si="0"/>
        <v>0</v>
      </c>
      <c r="R51" s="148">
        <v>0</v>
      </c>
      <c r="S51" s="150">
        <f t="shared" ref="S51" si="44">+R51/$M51</f>
        <v>0</v>
      </c>
    </row>
    <row r="52" spans="1:19" ht="24.95" customHeight="1">
      <c r="A52" s="32" t="e">
        <v>#REF!</v>
      </c>
      <c r="B52" s="138" t="s">
        <v>385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36</v>
      </c>
      <c r="H52" s="140"/>
      <c r="I52" s="140"/>
      <c r="J52" s="139" t="s">
        <v>28</v>
      </c>
      <c r="K52" s="140" t="s">
        <v>29</v>
      </c>
      <c r="L52" s="140" t="s">
        <v>93</v>
      </c>
      <c r="M52" s="141">
        <v>697241390</v>
      </c>
      <c r="N52" s="141">
        <v>90410108</v>
      </c>
      <c r="O52" s="143">
        <f t="shared" si="0"/>
        <v>0.12966830325434353</v>
      </c>
      <c r="P52" s="141">
        <v>8685122.6699999999</v>
      </c>
      <c r="Q52" s="143">
        <f t="shared" si="0"/>
        <v>1.2456407199234113E-2</v>
      </c>
      <c r="R52" s="141">
        <v>8685122.6699999999</v>
      </c>
      <c r="S52" s="143">
        <f t="shared" ref="S52" si="45">+R52/$M52</f>
        <v>1.2456407199234113E-2</v>
      </c>
    </row>
    <row r="53" spans="1:19" ht="24.95" customHeight="1">
      <c r="A53" s="32" t="e">
        <v>#REF!</v>
      </c>
      <c r="B53" s="144" t="s">
        <v>561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36</v>
      </c>
      <c r="H53" s="145" t="s">
        <v>34</v>
      </c>
      <c r="I53" s="145"/>
      <c r="J53" s="145">
        <v>10</v>
      </c>
      <c r="K53" s="146" t="s">
        <v>29</v>
      </c>
      <c r="L53" s="147" t="s">
        <v>94</v>
      </c>
      <c r="M53" s="148">
        <v>325100000</v>
      </c>
      <c r="N53" s="148">
        <v>3800000</v>
      </c>
      <c r="O53" s="150">
        <f t="shared" si="0"/>
        <v>1.1688711165795141E-2</v>
      </c>
      <c r="P53" s="148">
        <v>300000</v>
      </c>
      <c r="Q53" s="150">
        <f t="shared" si="0"/>
        <v>9.2279298677330052E-4</v>
      </c>
      <c r="R53" s="148">
        <v>300000</v>
      </c>
      <c r="S53" s="150">
        <f t="shared" ref="S53" si="46">+R53/$M53</f>
        <v>9.2279298677330052E-4</v>
      </c>
    </row>
    <row r="54" spans="1:19" ht="24.95" customHeight="1">
      <c r="A54" s="32" t="e">
        <v>#REF!</v>
      </c>
      <c r="B54" s="144" t="s">
        <v>563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36</v>
      </c>
      <c r="I54" s="145"/>
      <c r="J54" s="145">
        <v>10</v>
      </c>
      <c r="K54" s="146" t="s">
        <v>29</v>
      </c>
      <c r="L54" s="147" t="s">
        <v>95</v>
      </c>
      <c r="M54" s="148">
        <v>57946108</v>
      </c>
      <c r="N54" s="148">
        <v>33610108</v>
      </c>
      <c r="O54" s="150">
        <f t="shared" si="0"/>
        <v>0.58002356258335763</v>
      </c>
      <c r="P54" s="148">
        <v>8385122.6699999999</v>
      </c>
      <c r="Q54" s="150">
        <f t="shared" si="0"/>
        <v>0.1447055369102615</v>
      </c>
      <c r="R54" s="148">
        <v>8385122.6699999999</v>
      </c>
      <c r="S54" s="150">
        <f t="shared" ref="S54" si="47">+R54/$M54</f>
        <v>0.1447055369102615</v>
      </c>
    </row>
    <row r="55" spans="1:19" ht="24.95" customHeight="1">
      <c r="A55" s="32" t="e">
        <v>#REF!</v>
      </c>
      <c r="B55" s="144" t="s">
        <v>565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40</v>
      </c>
      <c r="I55" s="145"/>
      <c r="J55" s="145">
        <v>10</v>
      </c>
      <c r="K55" s="146" t="s">
        <v>29</v>
      </c>
      <c r="L55" s="147" t="s">
        <v>96</v>
      </c>
      <c r="M55" s="148">
        <v>47000000</v>
      </c>
      <c r="N55" s="148">
        <v>7000000</v>
      </c>
      <c r="O55" s="150">
        <f t="shared" si="0"/>
        <v>0.14893617021276595</v>
      </c>
      <c r="P55" s="148">
        <v>0</v>
      </c>
      <c r="Q55" s="150">
        <f t="shared" si="0"/>
        <v>0</v>
      </c>
      <c r="R55" s="148">
        <v>0</v>
      </c>
      <c r="S55" s="150">
        <f t="shared" ref="S55" si="48">+R55/$M55</f>
        <v>0</v>
      </c>
    </row>
    <row r="56" spans="1:19" ht="24.95" customHeight="1">
      <c r="A56" s="32" t="e">
        <v>#REF!</v>
      </c>
      <c r="B56" s="144" t="s">
        <v>567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42</v>
      </c>
      <c r="I56" s="145"/>
      <c r="J56" s="145">
        <v>10</v>
      </c>
      <c r="K56" s="146" t="s">
        <v>29</v>
      </c>
      <c r="L56" s="147" t="s">
        <v>97</v>
      </c>
      <c r="M56" s="148">
        <v>123000000</v>
      </c>
      <c r="N56" s="148">
        <v>23000000</v>
      </c>
      <c r="O56" s="150">
        <f t="shared" si="0"/>
        <v>0.18699186991869918</v>
      </c>
      <c r="P56" s="148">
        <v>0</v>
      </c>
      <c r="Q56" s="150">
        <f t="shared" si="0"/>
        <v>0</v>
      </c>
      <c r="R56" s="148">
        <v>0</v>
      </c>
      <c r="S56" s="150">
        <f t="shared" ref="S56" si="49">+R56/$M56</f>
        <v>0</v>
      </c>
    </row>
    <row r="57" spans="1:19" ht="24.95" customHeight="1">
      <c r="A57" s="32" t="e">
        <v>#REF!</v>
      </c>
      <c r="B57" s="144" t="s">
        <v>571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46</v>
      </c>
      <c r="I57" s="145"/>
      <c r="J57" s="145">
        <v>10</v>
      </c>
      <c r="K57" s="146" t="s">
        <v>29</v>
      </c>
      <c r="L57" s="147" t="s">
        <v>99</v>
      </c>
      <c r="M57" s="148">
        <v>144195282</v>
      </c>
      <c r="N57" s="148">
        <v>23000000</v>
      </c>
      <c r="O57" s="150">
        <f t="shared" si="0"/>
        <v>0.15950591226694921</v>
      </c>
      <c r="P57" s="148">
        <v>0</v>
      </c>
      <c r="Q57" s="150">
        <f t="shared" si="0"/>
        <v>0</v>
      </c>
      <c r="R57" s="148">
        <v>0</v>
      </c>
      <c r="S57" s="150">
        <f t="shared" ref="S57" si="50">+R57/$M57</f>
        <v>0</v>
      </c>
    </row>
    <row r="58" spans="1:19" ht="24.95" customHeight="1">
      <c r="A58" s="32" t="e">
        <v>#REF!</v>
      </c>
      <c r="B58" s="138" t="s">
        <v>387</v>
      </c>
      <c r="C58" s="139" t="s">
        <v>23</v>
      </c>
      <c r="D58" s="139" t="s">
        <v>54</v>
      </c>
      <c r="E58" s="139" t="s">
        <v>54</v>
      </c>
      <c r="F58" s="139" t="s">
        <v>25</v>
      </c>
      <c r="G58" s="139" t="s">
        <v>38</v>
      </c>
      <c r="H58" s="140"/>
      <c r="I58" s="140"/>
      <c r="J58" s="139" t="s">
        <v>28</v>
      </c>
      <c r="K58" s="140" t="s">
        <v>29</v>
      </c>
      <c r="L58" s="140" t="s">
        <v>100</v>
      </c>
      <c r="M58" s="141">
        <v>209000000</v>
      </c>
      <c r="N58" s="141">
        <v>23000000</v>
      </c>
      <c r="O58" s="143">
        <f t="shared" si="0"/>
        <v>0.11004784688995216</v>
      </c>
      <c r="P58" s="141">
        <v>0</v>
      </c>
      <c r="Q58" s="143">
        <f t="shared" si="0"/>
        <v>0</v>
      </c>
      <c r="R58" s="141">
        <v>0</v>
      </c>
      <c r="S58" s="143">
        <f t="shared" ref="S58" si="51">+R58/$M58</f>
        <v>0</v>
      </c>
    </row>
    <row r="59" spans="1:19" ht="24.95" customHeight="1">
      <c r="A59" s="32" t="e">
        <v>#REF!</v>
      </c>
      <c r="B59" s="144" t="s">
        <v>573</v>
      </c>
      <c r="C59" s="145" t="s">
        <v>23</v>
      </c>
      <c r="D59" s="145" t="s">
        <v>54</v>
      </c>
      <c r="E59" s="145" t="s">
        <v>54</v>
      </c>
      <c r="F59" s="145" t="s">
        <v>25</v>
      </c>
      <c r="G59" s="145" t="s">
        <v>38</v>
      </c>
      <c r="H59" s="145" t="s">
        <v>34</v>
      </c>
      <c r="I59" s="145"/>
      <c r="J59" s="145">
        <v>10</v>
      </c>
      <c r="K59" s="146" t="s">
        <v>29</v>
      </c>
      <c r="L59" s="147" t="s">
        <v>101</v>
      </c>
      <c r="M59" s="148">
        <v>28000000</v>
      </c>
      <c r="N59" s="148">
        <v>23000000</v>
      </c>
      <c r="O59" s="150">
        <f t="shared" si="0"/>
        <v>0.8214285714285714</v>
      </c>
      <c r="P59" s="148">
        <v>0</v>
      </c>
      <c r="Q59" s="150">
        <f t="shared" si="0"/>
        <v>0</v>
      </c>
      <c r="R59" s="148">
        <v>0</v>
      </c>
      <c r="S59" s="150">
        <f t="shared" ref="S59" si="52">+R59/$M59</f>
        <v>0</v>
      </c>
    </row>
    <row r="60" spans="1:19" ht="24.95" customHeight="1">
      <c r="A60" s="32" t="e">
        <v>#REF!</v>
      </c>
      <c r="B60" s="144" t="s">
        <v>575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40</v>
      </c>
      <c r="I60" s="145"/>
      <c r="J60" s="145">
        <v>10</v>
      </c>
      <c r="K60" s="146" t="s">
        <v>29</v>
      </c>
      <c r="L60" s="147" t="s">
        <v>102</v>
      </c>
      <c r="M60" s="148">
        <v>10000000</v>
      </c>
      <c r="N60" s="148">
        <v>0</v>
      </c>
      <c r="O60" s="150">
        <f t="shared" si="0"/>
        <v>0</v>
      </c>
      <c r="P60" s="148">
        <v>0</v>
      </c>
      <c r="Q60" s="150">
        <f t="shared" si="0"/>
        <v>0</v>
      </c>
      <c r="R60" s="148">
        <v>0</v>
      </c>
      <c r="S60" s="150">
        <f t="shared" ref="S60" si="53">+R60/$M60</f>
        <v>0</v>
      </c>
    </row>
    <row r="61" spans="1:19" ht="24.95" customHeight="1">
      <c r="A61" s="32" t="e">
        <v>#REF!</v>
      </c>
      <c r="B61" s="144" t="s">
        <v>577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42</v>
      </c>
      <c r="I61" s="145"/>
      <c r="J61" s="145">
        <v>10</v>
      </c>
      <c r="K61" s="146" t="s">
        <v>29</v>
      </c>
      <c r="L61" s="147" t="s">
        <v>84</v>
      </c>
      <c r="M61" s="148">
        <v>108000000</v>
      </c>
      <c r="N61" s="148">
        <v>0</v>
      </c>
      <c r="O61" s="150">
        <f t="shared" si="0"/>
        <v>0</v>
      </c>
      <c r="P61" s="148">
        <v>0</v>
      </c>
      <c r="Q61" s="150">
        <f t="shared" si="0"/>
        <v>0</v>
      </c>
      <c r="R61" s="148">
        <v>0</v>
      </c>
      <c r="S61" s="150">
        <f t="shared" ref="S61" si="54">+R61/$M61</f>
        <v>0</v>
      </c>
    </row>
    <row r="62" spans="1:19" ht="24.95" customHeight="1">
      <c r="A62" s="32" t="e">
        <v>#REF!</v>
      </c>
      <c r="B62" s="144" t="s">
        <v>579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44</v>
      </c>
      <c r="I62" s="145"/>
      <c r="J62" s="145">
        <v>10</v>
      </c>
      <c r="K62" s="146" t="s">
        <v>29</v>
      </c>
      <c r="L62" s="147" t="s">
        <v>85</v>
      </c>
      <c r="M62" s="148">
        <v>63000000</v>
      </c>
      <c r="N62" s="148">
        <v>0</v>
      </c>
      <c r="O62" s="150">
        <f t="shared" si="0"/>
        <v>0</v>
      </c>
      <c r="P62" s="148">
        <v>0</v>
      </c>
      <c r="Q62" s="150">
        <f t="shared" si="0"/>
        <v>0</v>
      </c>
      <c r="R62" s="148">
        <v>0</v>
      </c>
      <c r="S62" s="150">
        <f t="shared" ref="S62" si="55">+R62/$M62</f>
        <v>0</v>
      </c>
    </row>
    <row r="63" spans="1:19" ht="24.95" customHeight="1">
      <c r="A63" s="32" t="e">
        <v>#REF!</v>
      </c>
      <c r="B63" s="132" t="s">
        <v>389</v>
      </c>
      <c r="C63" s="133" t="s">
        <v>23</v>
      </c>
      <c r="D63" s="133" t="s">
        <v>54</v>
      </c>
      <c r="E63" s="133" t="s">
        <v>54</v>
      </c>
      <c r="F63" s="133" t="s">
        <v>54</v>
      </c>
      <c r="G63" s="133"/>
      <c r="H63" s="134"/>
      <c r="I63" s="134"/>
      <c r="J63" s="133" t="s">
        <v>28</v>
      </c>
      <c r="K63" s="134" t="s">
        <v>29</v>
      </c>
      <c r="L63" s="134" t="s">
        <v>103</v>
      </c>
      <c r="M63" s="135">
        <v>41227758610</v>
      </c>
      <c r="N63" s="135">
        <v>18915401109.130001</v>
      </c>
      <c r="O63" s="137">
        <f t="shared" si="0"/>
        <v>0.45880255795768571</v>
      </c>
      <c r="P63" s="135">
        <v>7130737505.0699997</v>
      </c>
      <c r="Q63" s="137">
        <f t="shared" si="0"/>
        <v>0.17295962102922577</v>
      </c>
      <c r="R63" s="135">
        <v>6966606589.0699997</v>
      </c>
      <c r="S63" s="137">
        <f t="shared" ref="S63" si="56">+R63/$M63</f>
        <v>0.168978543193959</v>
      </c>
    </row>
    <row r="64" spans="1:19" ht="31.5" customHeight="1">
      <c r="A64" s="32" t="e">
        <v>#REF!</v>
      </c>
      <c r="B64" s="138" t="s">
        <v>391</v>
      </c>
      <c r="C64" s="139" t="s">
        <v>23</v>
      </c>
      <c r="D64" s="139" t="s">
        <v>54</v>
      </c>
      <c r="E64" s="139" t="s">
        <v>54</v>
      </c>
      <c r="F64" s="139" t="s">
        <v>54</v>
      </c>
      <c r="G64" s="139" t="s">
        <v>42</v>
      </c>
      <c r="H64" s="140"/>
      <c r="I64" s="140"/>
      <c r="J64" s="139" t="s">
        <v>28</v>
      </c>
      <c r="K64" s="140" t="s">
        <v>29</v>
      </c>
      <c r="L64" s="140" t="s">
        <v>104</v>
      </c>
      <c r="M64" s="141">
        <v>6108453772</v>
      </c>
      <c r="N64" s="141">
        <v>4303058979</v>
      </c>
      <c r="O64" s="143">
        <f t="shared" si="0"/>
        <v>0.70444324204013964</v>
      </c>
      <c r="P64" s="141">
        <v>1638106059.21</v>
      </c>
      <c r="Q64" s="143">
        <f t="shared" si="0"/>
        <v>0.26817032924416473</v>
      </c>
      <c r="R64" s="141">
        <v>1571263234.21</v>
      </c>
      <c r="S64" s="143">
        <f t="shared" ref="S64" si="57">+R64/$M64</f>
        <v>0.25722765414258753</v>
      </c>
    </row>
    <row r="65" spans="1:19" ht="24.95" customHeight="1">
      <c r="A65" s="32" t="e">
        <v>#REF!</v>
      </c>
      <c r="B65" s="144" t="s">
        <v>583</v>
      </c>
      <c r="C65" s="145" t="s">
        <v>23</v>
      </c>
      <c r="D65" s="145" t="s">
        <v>54</v>
      </c>
      <c r="E65" s="145" t="s">
        <v>54</v>
      </c>
      <c r="F65" s="145" t="s">
        <v>54</v>
      </c>
      <c r="G65" s="145" t="s">
        <v>42</v>
      </c>
      <c r="H65" s="145" t="s">
        <v>36</v>
      </c>
      <c r="I65" s="145"/>
      <c r="J65" s="145">
        <v>10</v>
      </c>
      <c r="K65" s="146" t="s">
        <v>29</v>
      </c>
      <c r="L65" s="147" t="s">
        <v>105</v>
      </c>
      <c r="M65" s="148">
        <v>120448180</v>
      </c>
      <c r="N65" s="148">
        <v>77210866</v>
      </c>
      <c r="O65" s="150">
        <f t="shared" si="0"/>
        <v>0.64102974407749458</v>
      </c>
      <c r="P65" s="148">
        <v>14107547</v>
      </c>
      <c r="Q65" s="150">
        <f t="shared" si="0"/>
        <v>0.11712544764063683</v>
      </c>
      <c r="R65" s="148">
        <v>14107547</v>
      </c>
      <c r="S65" s="150">
        <f t="shared" ref="S65" si="58">+R65/$M65</f>
        <v>0.11712544764063683</v>
      </c>
    </row>
    <row r="66" spans="1:19" ht="24.95" customHeight="1">
      <c r="A66" s="32" t="e">
        <v>#REF!</v>
      </c>
      <c r="B66" s="144" t="s">
        <v>585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38</v>
      </c>
      <c r="I66" s="145"/>
      <c r="J66" s="145">
        <v>10</v>
      </c>
      <c r="K66" s="146" t="s">
        <v>29</v>
      </c>
      <c r="L66" s="147" t="s">
        <v>106</v>
      </c>
      <c r="M66" s="148">
        <v>2591505592</v>
      </c>
      <c r="N66" s="148">
        <v>1802260926</v>
      </c>
      <c r="O66" s="150">
        <f t="shared" si="0"/>
        <v>0.69544936795181722</v>
      </c>
      <c r="P66" s="148">
        <v>815887552</v>
      </c>
      <c r="Q66" s="150">
        <f t="shared" si="0"/>
        <v>0.31483148426098401</v>
      </c>
      <c r="R66" s="148">
        <v>751301527</v>
      </c>
      <c r="S66" s="150">
        <f t="shared" ref="S66" si="59">+R66/$M66</f>
        <v>0.28990928258818899</v>
      </c>
    </row>
    <row r="67" spans="1:19" ht="24.95" customHeight="1">
      <c r="A67" s="32" t="e">
        <v>#REF!</v>
      </c>
      <c r="B67" s="144" t="s">
        <v>587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40</v>
      </c>
      <c r="I67" s="145"/>
      <c r="J67" s="145">
        <v>10</v>
      </c>
      <c r="K67" s="146" t="s">
        <v>29</v>
      </c>
      <c r="L67" s="147" t="s">
        <v>107</v>
      </c>
      <c r="M67" s="148">
        <v>50000000</v>
      </c>
      <c r="N67" s="148">
        <v>0</v>
      </c>
      <c r="O67" s="150">
        <f t="shared" si="0"/>
        <v>0</v>
      </c>
      <c r="P67" s="148">
        <v>0</v>
      </c>
      <c r="Q67" s="150">
        <f t="shared" si="0"/>
        <v>0</v>
      </c>
      <c r="R67" s="148">
        <v>0</v>
      </c>
      <c r="S67" s="150">
        <f t="shared" ref="S67" si="60">+R67/$M67</f>
        <v>0</v>
      </c>
    </row>
    <row r="68" spans="1:19" ht="24.95" customHeight="1">
      <c r="A68" s="32" t="e">
        <v>#REF!</v>
      </c>
      <c r="B68" s="144" t="s">
        <v>591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46</v>
      </c>
      <c r="I68" s="145"/>
      <c r="J68" s="145">
        <v>10</v>
      </c>
      <c r="K68" s="146" t="s">
        <v>29</v>
      </c>
      <c r="L68" s="147" t="s">
        <v>108</v>
      </c>
      <c r="M68" s="148">
        <v>2216500000</v>
      </c>
      <c r="N68" s="148">
        <v>2163500000</v>
      </c>
      <c r="O68" s="150">
        <f t="shared" si="0"/>
        <v>0.97608842770133097</v>
      </c>
      <c r="P68" s="148">
        <v>551763885</v>
      </c>
      <c r="Q68" s="150">
        <f t="shared" si="0"/>
        <v>0.24893475524475525</v>
      </c>
      <c r="R68" s="148">
        <v>551763885</v>
      </c>
      <c r="S68" s="150">
        <f t="shared" ref="S68" si="61">+R68/$M68</f>
        <v>0.24893475524475525</v>
      </c>
    </row>
    <row r="69" spans="1:19" ht="24.95" customHeight="1">
      <c r="A69" s="32" t="e">
        <v>#REF!</v>
      </c>
      <c r="B69" s="144" t="s">
        <v>593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48</v>
      </c>
      <c r="I69" s="145"/>
      <c r="J69" s="145">
        <v>10</v>
      </c>
      <c r="K69" s="146" t="s">
        <v>29</v>
      </c>
      <c r="L69" s="147" t="s">
        <v>109</v>
      </c>
      <c r="M69" s="148">
        <v>1130000000</v>
      </c>
      <c r="N69" s="148">
        <v>260087187</v>
      </c>
      <c r="O69" s="150">
        <f t="shared" si="0"/>
        <v>0.23016565221238938</v>
      </c>
      <c r="P69" s="148">
        <v>256347075.21000001</v>
      </c>
      <c r="Q69" s="150">
        <f t="shared" si="0"/>
        <v>0.22685581876991151</v>
      </c>
      <c r="R69" s="148">
        <v>254090275.21000001</v>
      </c>
      <c r="S69" s="150">
        <f t="shared" ref="S69" si="62">+R69/$M69</f>
        <v>0.22485865062831858</v>
      </c>
    </row>
    <row r="70" spans="1:19" ht="24.95" customHeight="1">
      <c r="A70" s="32" t="e">
        <v>#REF!</v>
      </c>
      <c r="B70" s="138" t="s">
        <v>393</v>
      </c>
      <c r="C70" s="139" t="s">
        <v>23</v>
      </c>
      <c r="D70" s="139" t="s">
        <v>54</v>
      </c>
      <c r="E70" s="139" t="s">
        <v>54</v>
      </c>
      <c r="F70" s="139" t="s">
        <v>54</v>
      </c>
      <c r="G70" s="139" t="s">
        <v>44</v>
      </c>
      <c r="H70" s="140"/>
      <c r="I70" s="140"/>
      <c r="J70" s="139" t="s">
        <v>28</v>
      </c>
      <c r="K70" s="140" t="s">
        <v>29</v>
      </c>
      <c r="L70" s="140" t="s">
        <v>110</v>
      </c>
      <c r="M70" s="141">
        <v>15487327230</v>
      </c>
      <c r="N70" s="141">
        <v>7450010606</v>
      </c>
      <c r="O70" s="143">
        <f t="shared" si="0"/>
        <v>0.4810391422200227</v>
      </c>
      <c r="P70" s="141">
        <v>3660687083</v>
      </c>
      <c r="Q70" s="143">
        <f t="shared" si="0"/>
        <v>0.23636661307891793</v>
      </c>
      <c r="R70" s="141">
        <v>3660464483</v>
      </c>
      <c r="S70" s="143">
        <f t="shared" ref="S70" si="63">+R70/$M70</f>
        <v>0.2363522400372243</v>
      </c>
    </row>
    <row r="71" spans="1:19" ht="24.95" customHeight="1">
      <c r="A71" s="32" t="e">
        <v>#REF!</v>
      </c>
      <c r="B71" s="144" t="s">
        <v>595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44</v>
      </c>
      <c r="H71" s="145" t="s">
        <v>31</v>
      </c>
      <c r="I71" s="145"/>
      <c r="J71" s="145">
        <v>10</v>
      </c>
      <c r="K71" s="146" t="s">
        <v>29</v>
      </c>
      <c r="L71" s="147" t="s">
        <v>111</v>
      </c>
      <c r="M71" s="148">
        <v>263200000</v>
      </c>
      <c r="N71" s="148">
        <v>13084824</v>
      </c>
      <c r="O71" s="150">
        <f t="shared" si="0"/>
        <v>4.9714376899696051E-2</v>
      </c>
      <c r="P71" s="148">
        <v>10288309</v>
      </c>
      <c r="Q71" s="150">
        <f t="shared" si="0"/>
        <v>3.908931990881459E-2</v>
      </c>
      <c r="R71" s="148">
        <v>10065709</v>
      </c>
      <c r="S71" s="150">
        <f t="shared" ref="S71" si="64">+R71/$M71</f>
        <v>3.8243575227963525E-2</v>
      </c>
    </row>
    <row r="72" spans="1:19" ht="24.95" customHeight="1">
      <c r="A72" s="32" t="e">
        <v>#REF!</v>
      </c>
      <c r="B72" s="144" t="s">
        <v>597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34</v>
      </c>
      <c r="I72" s="145"/>
      <c r="J72" s="145">
        <v>10</v>
      </c>
      <c r="K72" s="146" t="s">
        <v>29</v>
      </c>
      <c r="L72" s="147" t="s">
        <v>112</v>
      </c>
      <c r="M72" s="148">
        <v>15224127230</v>
      </c>
      <c r="N72" s="148">
        <v>7436925782</v>
      </c>
      <c r="O72" s="150">
        <f t="shared" ref="O72:Q135" si="65">+N72/$M72</f>
        <v>0.48849603459337354</v>
      </c>
      <c r="P72" s="148">
        <v>3650398774</v>
      </c>
      <c r="Q72" s="150">
        <f t="shared" si="65"/>
        <v>0.23977721145200911</v>
      </c>
      <c r="R72" s="148">
        <v>3650398774</v>
      </c>
      <c r="S72" s="150">
        <f t="shared" ref="S72" si="66">+R72/$M72</f>
        <v>0.23977721145200911</v>
      </c>
    </row>
    <row r="73" spans="1:19" ht="24.95" customHeight="1">
      <c r="A73" s="32" t="e">
        <v>#REF!</v>
      </c>
      <c r="B73" s="138" t="s">
        <v>395</v>
      </c>
      <c r="C73" s="139" t="s">
        <v>23</v>
      </c>
      <c r="D73" s="139" t="s">
        <v>54</v>
      </c>
      <c r="E73" s="139" t="s">
        <v>54</v>
      </c>
      <c r="F73" s="139" t="s">
        <v>54</v>
      </c>
      <c r="G73" s="139" t="s">
        <v>46</v>
      </c>
      <c r="H73" s="140"/>
      <c r="I73" s="140"/>
      <c r="J73" s="139" t="s">
        <v>28</v>
      </c>
      <c r="K73" s="140" t="s">
        <v>29</v>
      </c>
      <c r="L73" s="140" t="s">
        <v>113</v>
      </c>
      <c r="M73" s="141">
        <v>16157477608</v>
      </c>
      <c r="N73" s="141">
        <v>6788558917.1300001</v>
      </c>
      <c r="O73" s="143">
        <f t="shared" si="65"/>
        <v>0.42014967198647407</v>
      </c>
      <c r="P73" s="141">
        <v>1708510088.45</v>
      </c>
      <c r="Q73" s="143">
        <f t="shared" si="65"/>
        <v>0.10574113917410419</v>
      </c>
      <c r="R73" s="141">
        <v>1611793407.45</v>
      </c>
      <c r="S73" s="143">
        <f t="shared" ref="S73" si="67">+R73/$M73</f>
        <v>9.9755261715600826E-2</v>
      </c>
    </row>
    <row r="74" spans="1:19" ht="24.95" customHeight="1">
      <c r="A74" s="32" t="e">
        <v>#REF!</v>
      </c>
      <c r="B74" s="144" t="s">
        <v>599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46</v>
      </c>
      <c r="H74" s="145" t="s">
        <v>34</v>
      </c>
      <c r="I74" s="145"/>
      <c r="J74" s="145">
        <v>10</v>
      </c>
      <c r="K74" s="146" t="s">
        <v>29</v>
      </c>
      <c r="L74" s="147" t="s">
        <v>114</v>
      </c>
      <c r="M74" s="148">
        <v>50358513</v>
      </c>
      <c r="N74" s="148">
        <v>33192800</v>
      </c>
      <c r="O74" s="150">
        <f t="shared" si="65"/>
        <v>0.65912986747642843</v>
      </c>
      <c r="P74" s="148">
        <v>0</v>
      </c>
      <c r="Q74" s="150">
        <f t="shared" si="65"/>
        <v>0</v>
      </c>
      <c r="R74" s="148">
        <v>0</v>
      </c>
      <c r="S74" s="150">
        <f t="shared" ref="S74" si="68">+R74/$M74</f>
        <v>0</v>
      </c>
    </row>
    <row r="75" spans="1:19" ht="24.95" customHeight="1">
      <c r="A75" s="32" t="e">
        <v>#REF!</v>
      </c>
      <c r="B75" s="144" t="s">
        <v>601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36</v>
      </c>
      <c r="I75" s="145"/>
      <c r="J75" s="145">
        <v>10</v>
      </c>
      <c r="K75" s="146" t="s">
        <v>29</v>
      </c>
      <c r="L75" s="147" t="s">
        <v>115</v>
      </c>
      <c r="M75" s="148">
        <v>6310782753</v>
      </c>
      <c r="N75" s="148">
        <v>1918970994</v>
      </c>
      <c r="O75" s="150">
        <f t="shared" si="65"/>
        <v>0.30407812613859442</v>
      </c>
      <c r="P75" s="148">
        <v>344274355</v>
      </c>
      <c r="Q75" s="150">
        <f t="shared" si="65"/>
        <v>5.4553352329604426E-2</v>
      </c>
      <c r="R75" s="148">
        <v>247680663</v>
      </c>
      <c r="S75" s="150">
        <f t="shared" ref="S75" si="69">+R75/$M75</f>
        <v>3.9247217452107401E-2</v>
      </c>
    </row>
    <row r="76" spans="1:19" ht="24.95" customHeight="1">
      <c r="A76" s="32" t="e">
        <v>#REF!</v>
      </c>
      <c r="B76" s="144" t="s">
        <v>603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38</v>
      </c>
      <c r="I76" s="145"/>
      <c r="J76" s="145">
        <v>10</v>
      </c>
      <c r="K76" s="146" t="s">
        <v>29</v>
      </c>
      <c r="L76" s="147" t="s">
        <v>116</v>
      </c>
      <c r="M76" s="148">
        <v>2315954788</v>
      </c>
      <c r="N76" s="148">
        <v>865753812.75</v>
      </c>
      <c r="O76" s="150">
        <f t="shared" si="65"/>
        <v>0.37382155180051813</v>
      </c>
      <c r="P76" s="148">
        <v>502331939.36000001</v>
      </c>
      <c r="Q76" s="150">
        <f t="shared" si="65"/>
        <v>0.21690058111790739</v>
      </c>
      <c r="R76" s="148">
        <v>502208950.36000001</v>
      </c>
      <c r="S76" s="150">
        <f t="shared" ref="S76" si="70">+R76/$M76</f>
        <v>0.2168474760224896</v>
      </c>
    </row>
    <row r="77" spans="1:19" ht="24.95" customHeight="1">
      <c r="A77" s="32" t="e">
        <v>#REF!</v>
      </c>
      <c r="B77" s="144" t="s">
        <v>605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40</v>
      </c>
      <c r="I77" s="145"/>
      <c r="J77" s="145">
        <v>10</v>
      </c>
      <c r="K77" s="146" t="s">
        <v>29</v>
      </c>
      <c r="L77" s="147" t="s">
        <v>117</v>
      </c>
      <c r="M77" s="148">
        <v>6139491410</v>
      </c>
      <c r="N77" s="148">
        <v>3669679314.3299999</v>
      </c>
      <c r="O77" s="150">
        <f t="shared" si="65"/>
        <v>0.59771715102538114</v>
      </c>
      <c r="P77" s="148">
        <v>825305313.80999994</v>
      </c>
      <c r="Q77" s="150">
        <f t="shared" si="65"/>
        <v>0.13442568100441402</v>
      </c>
      <c r="R77" s="148">
        <v>825305313.80999994</v>
      </c>
      <c r="S77" s="150">
        <f t="shared" ref="S77" si="71">+R77/$M77</f>
        <v>0.13442568100441402</v>
      </c>
    </row>
    <row r="78" spans="1:19" ht="24.95" customHeight="1">
      <c r="A78" s="32" t="e">
        <v>#REF!</v>
      </c>
      <c r="B78" s="144" t="s">
        <v>607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44</v>
      </c>
      <c r="I78" s="145"/>
      <c r="J78" s="145">
        <v>10</v>
      </c>
      <c r="K78" s="146" t="s">
        <v>29</v>
      </c>
      <c r="L78" s="147" t="s">
        <v>118</v>
      </c>
      <c r="M78" s="148">
        <v>1022890144</v>
      </c>
      <c r="N78" s="148">
        <v>158961996.05000001</v>
      </c>
      <c r="O78" s="150">
        <f t="shared" si="65"/>
        <v>0.15540475874406315</v>
      </c>
      <c r="P78" s="148">
        <v>34598480.280000001</v>
      </c>
      <c r="Q78" s="150">
        <f t="shared" si="65"/>
        <v>3.3824238588029645E-2</v>
      </c>
      <c r="R78" s="148">
        <v>34598480.280000001</v>
      </c>
      <c r="S78" s="150">
        <f t="shared" ref="S78" si="72">+R78/$M78</f>
        <v>3.3824238588029645E-2</v>
      </c>
    </row>
    <row r="79" spans="1:19" ht="24.95" customHeight="1">
      <c r="A79" s="32" t="e">
        <v>#REF!</v>
      </c>
      <c r="B79" s="144" t="s">
        <v>609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48</v>
      </c>
      <c r="I79" s="145"/>
      <c r="J79" s="145">
        <v>10</v>
      </c>
      <c r="K79" s="146" t="s">
        <v>29</v>
      </c>
      <c r="L79" s="147" t="s">
        <v>119</v>
      </c>
      <c r="M79" s="148">
        <v>318000000</v>
      </c>
      <c r="N79" s="148">
        <v>142000000</v>
      </c>
      <c r="O79" s="150">
        <f t="shared" si="65"/>
        <v>0.44654088050314467</v>
      </c>
      <c r="P79" s="148">
        <v>2000000</v>
      </c>
      <c r="Q79" s="150">
        <f t="shared" si="65"/>
        <v>6.2893081761006293E-3</v>
      </c>
      <c r="R79" s="148">
        <v>2000000</v>
      </c>
      <c r="S79" s="150">
        <f t="shared" ref="S79" si="73">+R79/$M79</f>
        <v>6.2893081761006293E-3</v>
      </c>
    </row>
    <row r="80" spans="1:19" ht="24.95" customHeight="1">
      <c r="A80" s="32" t="e">
        <v>#REF!</v>
      </c>
      <c r="B80" s="138" t="s">
        <v>397</v>
      </c>
      <c r="C80" s="139" t="s">
        <v>23</v>
      </c>
      <c r="D80" s="139" t="s">
        <v>54</v>
      </c>
      <c r="E80" s="139" t="s">
        <v>54</v>
      </c>
      <c r="F80" s="139" t="s">
        <v>54</v>
      </c>
      <c r="G80" s="139" t="s">
        <v>48</v>
      </c>
      <c r="H80" s="140"/>
      <c r="I80" s="140"/>
      <c r="J80" s="139" t="s">
        <v>28</v>
      </c>
      <c r="K80" s="140" t="s">
        <v>29</v>
      </c>
      <c r="L80" s="140" t="s">
        <v>120</v>
      </c>
      <c r="M80" s="141">
        <v>2552500000</v>
      </c>
      <c r="N80" s="141">
        <v>139247501</v>
      </c>
      <c r="O80" s="143">
        <f t="shared" si="65"/>
        <v>5.4553379431929484E-2</v>
      </c>
      <c r="P80" s="141">
        <v>18313842.41</v>
      </c>
      <c r="Q80" s="143">
        <f t="shared" si="65"/>
        <v>7.174864803134182E-3</v>
      </c>
      <c r="R80" s="141">
        <v>17965032.41</v>
      </c>
      <c r="S80" s="143">
        <f t="shared" ref="S80" si="74">+R80/$M80</f>
        <v>7.0382105426052893E-3</v>
      </c>
    </row>
    <row r="81" spans="1:19" ht="24.95" customHeight="1">
      <c r="A81" s="32" t="e">
        <v>#REF!</v>
      </c>
      <c r="B81" s="144" t="s">
        <v>611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48</v>
      </c>
      <c r="H81" s="145" t="s">
        <v>34</v>
      </c>
      <c r="I81" s="145"/>
      <c r="J81" s="145">
        <v>10</v>
      </c>
      <c r="K81" s="146" t="s">
        <v>29</v>
      </c>
      <c r="L81" s="147" t="s">
        <v>121</v>
      </c>
      <c r="M81" s="148">
        <v>870000000</v>
      </c>
      <c r="N81" s="148">
        <v>0</v>
      </c>
      <c r="O81" s="150">
        <f t="shared" si="65"/>
        <v>0</v>
      </c>
      <c r="P81" s="148">
        <v>0</v>
      </c>
      <c r="Q81" s="150">
        <f t="shared" si="65"/>
        <v>0</v>
      </c>
      <c r="R81" s="148">
        <v>0</v>
      </c>
      <c r="S81" s="150">
        <f t="shared" ref="S81" si="75">+R81/$M81</f>
        <v>0</v>
      </c>
    </row>
    <row r="82" spans="1:19" ht="24.95" customHeight="1">
      <c r="A82" s="32" t="e">
        <v>#REF!</v>
      </c>
      <c r="B82" s="144" t="s">
        <v>613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36</v>
      </c>
      <c r="I82" s="145"/>
      <c r="J82" s="145">
        <v>10</v>
      </c>
      <c r="K82" s="146" t="s">
        <v>29</v>
      </c>
      <c r="L82" s="147" t="s">
        <v>122</v>
      </c>
      <c r="M82" s="148">
        <v>300000000</v>
      </c>
      <c r="N82" s="148">
        <v>122398700</v>
      </c>
      <c r="O82" s="150">
        <f t="shared" si="65"/>
        <v>0.40799566666666665</v>
      </c>
      <c r="P82" s="148">
        <v>1608392</v>
      </c>
      <c r="Q82" s="150">
        <f t="shared" si="65"/>
        <v>5.3613066666666669E-3</v>
      </c>
      <c r="R82" s="148">
        <v>1608392</v>
      </c>
      <c r="S82" s="150">
        <f t="shared" ref="S82" si="76">+R82/$M82</f>
        <v>5.3613066666666669E-3</v>
      </c>
    </row>
    <row r="83" spans="1:19" ht="24.95" customHeight="1">
      <c r="A83" s="32" t="e">
        <v>#REF!</v>
      </c>
      <c r="B83" s="144" t="s">
        <v>615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38</v>
      </c>
      <c r="I83" s="145"/>
      <c r="J83" s="145">
        <v>10</v>
      </c>
      <c r="K83" s="146" t="s">
        <v>29</v>
      </c>
      <c r="L83" s="147" t="s">
        <v>123</v>
      </c>
      <c r="M83" s="148">
        <v>87500000</v>
      </c>
      <c r="N83" s="148">
        <v>16848801</v>
      </c>
      <c r="O83" s="150">
        <f t="shared" si="65"/>
        <v>0.19255772571428573</v>
      </c>
      <c r="P83" s="148">
        <v>16705450.41</v>
      </c>
      <c r="Q83" s="150">
        <f t="shared" si="65"/>
        <v>0.19091943325714286</v>
      </c>
      <c r="R83" s="148">
        <v>16356640.41</v>
      </c>
      <c r="S83" s="150">
        <f t="shared" ref="S83" si="77">+R83/$M83</f>
        <v>0.18693303325714286</v>
      </c>
    </row>
    <row r="84" spans="1:19" ht="24.95" customHeight="1">
      <c r="A84" s="32" t="e">
        <v>#REF!</v>
      </c>
      <c r="B84" s="144" t="s">
        <v>617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42</v>
      </c>
      <c r="I84" s="145"/>
      <c r="J84" s="145">
        <v>10</v>
      </c>
      <c r="K84" s="146" t="s">
        <v>29</v>
      </c>
      <c r="L84" s="147" t="s">
        <v>124</v>
      </c>
      <c r="M84" s="148">
        <v>1250000000</v>
      </c>
      <c r="N84" s="148">
        <v>0</v>
      </c>
      <c r="O84" s="150">
        <f t="shared" si="65"/>
        <v>0</v>
      </c>
      <c r="P84" s="148">
        <v>0</v>
      </c>
      <c r="Q84" s="150">
        <f t="shared" si="65"/>
        <v>0</v>
      </c>
      <c r="R84" s="148">
        <v>0</v>
      </c>
      <c r="S84" s="150">
        <f t="shared" ref="S84" si="78">+R84/$M84</f>
        <v>0</v>
      </c>
    </row>
    <row r="85" spans="1:19" ht="24.95" customHeight="1">
      <c r="A85" s="32" t="e">
        <v>#REF!</v>
      </c>
      <c r="B85" s="144" t="s">
        <v>619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44</v>
      </c>
      <c r="I85" s="145"/>
      <c r="J85" s="145">
        <v>10</v>
      </c>
      <c r="K85" s="146" t="s">
        <v>29</v>
      </c>
      <c r="L85" s="147" t="s">
        <v>125</v>
      </c>
      <c r="M85" s="148">
        <v>45000000</v>
      </c>
      <c r="N85" s="148">
        <v>0</v>
      </c>
      <c r="O85" s="150">
        <f t="shared" si="65"/>
        <v>0</v>
      </c>
      <c r="P85" s="148">
        <v>0</v>
      </c>
      <c r="Q85" s="150">
        <f t="shared" si="65"/>
        <v>0</v>
      </c>
      <c r="R85" s="148">
        <v>0</v>
      </c>
      <c r="S85" s="150">
        <f t="shared" ref="S85" si="79">+R85/$M85</f>
        <v>0</v>
      </c>
    </row>
    <row r="86" spans="1:19" ht="24.95" customHeight="1">
      <c r="A86" s="32" t="e">
        <v>#REF!</v>
      </c>
      <c r="B86" s="144" t="s">
        <v>399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50</v>
      </c>
      <c r="H86" s="145"/>
      <c r="I86" s="145"/>
      <c r="J86" s="145" t="s">
        <v>28</v>
      </c>
      <c r="K86" s="146" t="s">
        <v>29</v>
      </c>
      <c r="L86" s="152" t="s">
        <v>126</v>
      </c>
      <c r="M86" s="153">
        <v>922000000</v>
      </c>
      <c r="N86" s="153">
        <v>234525106</v>
      </c>
      <c r="O86" s="154">
        <f t="shared" si="65"/>
        <v>0.25436562472885033</v>
      </c>
      <c r="P86" s="153">
        <v>105120432</v>
      </c>
      <c r="Q86" s="154">
        <f t="shared" si="65"/>
        <v>0.11401348373101952</v>
      </c>
      <c r="R86" s="153">
        <v>105120432</v>
      </c>
      <c r="S86" s="154">
        <f t="shared" ref="S86" si="80">+R86/$M86</f>
        <v>0.11401348373101952</v>
      </c>
    </row>
    <row r="87" spans="1:19" ht="36" customHeight="1">
      <c r="A87" s="32" t="e">
        <v>#REF!</v>
      </c>
      <c r="B87" s="122" t="s">
        <v>401</v>
      </c>
      <c r="C87" s="123" t="s">
        <v>23</v>
      </c>
      <c r="D87" s="123" t="s">
        <v>65</v>
      </c>
      <c r="E87" s="123"/>
      <c r="F87" s="123"/>
      <c r="G87" s="123"/>
      <c r="H87" s="123"/>
      <c r="I87" s="123"/>
      <c r="J87" s="124"/>
      <c r="K87" s="124"/>
      <c r="L87" s="124" t="s">
        <v>127</v>
      </c>
      <c r="M87" s="125">
        <v>3078000000</v>
      </c>
      <c r="N87" s="125">
        <v>850262759.73000002</v>
      </c>
      <c r="O87" s="126">
        <f t="shared" si="65"/>
        <v>0.27623871336257311</v>
      </c>
      <c r="P87" s="125">
        <v>748609449.73000002</v>
      </c>
      <c r="Q87" s="126">
        <f t="shared" si="65"/>
        <v>0.24321294663092918</v>
      </c>
      <c r="R87" s="125">
        <v>748609449.73000002</v>
      </c>
      <c r="S87" s="126">
        <f t="shared" ref="S87" si="81">+R87/$M87</f>
        <v>0.24321294663092918</v>
      </c>
    </row>
    <row r="88" spans="1:19" ht="24" customHeight="1">
      <c r="A88" s="32" t="e">
        <v>#REF!</v>
      </c>
      <c r="B88" s="127" t="s">
        <v>621</v>
      </c>
      <c r="C88" s="128" t="s">
        <v>23</v>
      </c>
      <c r="D88" s="128" t="s">
        <v>65</v>
      </c>
      <c r="E88" s="128" t="s">
        <v>65</v>
      </c>
      <c r="F88" s="128"/>
      <c r="G88" s="128"/>
      <c r="H88" s="128"/>
      <c r="I88" s="128"/>
      <c r="J88" s="129"/>
      <c r="K88" s="129"/>
      <c r="L88" s="129" t="s">
        <v>128</v>
      </c>
      <c r="M88" s="130">
        <v>0</v>
      </c>
      <c r="N88" s="130">
        <v>0</v>
      </c>
      <c r="O88" s="131" t="e">
        <f t="shared" si="65"/>
        <v>#DIV/0!</v>
      </c>
      <c r="P88" s="130">
        <v>0</v>
      </c>
      <c r="Q88" s="131" t="e">
        <f t="shared" si="65"/>
        <v>#DIV/0!</v>
      </c>
      <c r="R88" s="130">
        <v>0</v>
      </c>
      <c r="S88" s="131" t="e">
        <f t="shared" ref="S88" si="82">+R88/$M88</f>
        <v>#DIV/0!</v>
      </c>
    </row>
    <row r="89" spans="1:19" ht="24" customHeight="1">
      <c r="A89" s="32" t="e">
        <v>#REF!</v>
      </c>
      <c r="B89" s="132" t="s">
        <v>623</v>
      </c>
      <c r="C89" s="133" t="s">
        <v>23</v>
      </c>
      <c r="D89" s="133" t="s">
        <v>65</v>
      </c>
      <c r="E89" s="133" t="s">
        <v>65</v>
      </c>
      <c r="F89" s="133" t="s">
        <v>25</v>
      </c>
      <c r="G89" s="133"/>
      <c r="H89" s="133"/>
      <c r="I89" s="133"/>
      <c r="J89" s="133"/>
      <c r="K89" s="134"/>
      <c r="L89" s="134" t="s">
        <v>129</v>
      </c>
      <c r="M89" s="135">
        <v>0</v>
      </c>
      <c r="N89" s="135">
        <v>0</v>
      </c>
      <c r="O89" s="137" t="e">
        <f t="shared" si="65"/>
        <v>#DIV/0!</v>
      </c>
      <c r="P89" s="135">
        <v>0</v>
      </c>
      <c r="Q89" s="137" t="e">
        <f t="shared" si="65"/>
        <v>#DIV/0!</v>
      </c>
      <c r="R89" s="135">
        <v>0</v>
      </c>
      <c r="S89" s="137" t="e">
        <f t="shared" ref="S89" si="83">+R89/$M89</f>
        <v>#DIV/0!</v>
      </c>
    </row>
    <row r="90" spans="1:19" ht="24.95" hidden="1" customHeight="1">
      <c r="A90" s="32" t="e">
        <v>#REF!</v>
      </c>
      <c r="B90" s="144" t="s">
        <v>625</v>
      </c>
      <c r="C90" s="145" t="s">
        <v>23</v>
      </c>
      <c r="D90" s="145" t="s">
        <v>65</v>
      </c>
      <c r="E90" s="145" t="s">
        <v>65</v>
      </c>
      <c r="F90" s="145" t="s">
        <v>25</v>
      </c>
      <c r="G90" s="145" t="s">
        <v>130</v>
      </c>
      <c r="H90" s="145"/>
      <c r="I90" s="145"/>
      <c r="J90" s="145">
        <v>54</v>
      </c>
      <c r="K90" s="146" t="s">
        <v>29</v>
      </c>
      <c r="L90" s="147" t="s">
        <v>131</v>
      </c>
      <c r="M90" s="148">
        <v>0</v>
      </c>
      <c r="N90" s="149"/>
      <c r="O90" s="150" t="e">
        <f t="shared" si="65"/>
        <v>#DIV/0!</v>
      </c>
      <c r="P90" s="148"/>
      <c r="Q90" s="150" t="e">
        <f t="shared" si="65"/>
        <v>#DIV/0!</v>
      </c>
      <c r="R90" s="148"/>
      <c r="S90" s="150" t="e">
        <f t="shared" ref="S90" si="84">+R90/$M90</f>
        <v>#DIV/0!</v>
      </c>
    </row>
    <row r="91" spans="1:19" ht="24.95" hidden="1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132</v>
      </c>
      <c r="M91" s="148">
        <v>0</v>
      </c>
      <c r="N91" s="149"/>
      <c r="O91" s="150" t="e">
        <f t="shared" si="65"/>
        <v>#DIV/0!</v>
      </c>
      <c r="P91" s="148"/>
      <c r="Q91" s="150" t="e">
        <f t="shared" si="65"/>
        <v>#DIV/0!</v>
      </c>
      <c r="R91" s="148"/>
      <c r="S91" s="150" t="e">
        <f t="shared" ref="S91" si="85">+R91/$M91</f>
        <v>#DIV/0!</v>
      </c>
    </row>
    <row r="92" spans="1:19" ht="24.95" hidden="1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133</v>
      </c>
      <c r="M92" s="148">
        <v>0</v>
      </c>
      <c r="N92" s="149"/>
      <c r="O92" s="150" t="e">
        <f t="shared" si="65"/>
        <v>#DIV/0!</v>
      </c>
      <c r="P92" s="148"/>
      <c r="Q92" s="150" t="e">
        <f t="shared" si="65"/>
        <v>#DIV/0!</v>
      </c>
      <c r="R92" s="148"/>
      <c r="S92" s="150" t="e">
        <f t="shared" ref="S92" si="86">+R92/$M92</f>
        <v>#DIV/0!</v>
      </c>
    </row>
    <row r="93" spans="1:19" ht="24.95" customHeight="1">
      <c r="A93" s="32" t="e">
        <v>#REF!</v>
      </c>
      <c r="B93" s="144" t="s">
        <v>627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134</v>
      </c>
      <c r="H93" s="145"/>
      <c r="I93" s="145"/>
      <c r="J93" s="145" t="s">
        <v>28</v>
      </c>
      <c r="K93" s="146" t="s">
        <v>29</v>
      </c>
      <c r="L93" s="147" t="s">
        <v>135</v>
      </c>
      <c r="M93" s="149">
        <v>0</v>
      </c>
      <c r="N93" s="149">
        <v>0</v>
      </c>
      <c r="O93" s="150" t="e">
        <f t="shared" si="65"/>
        <v>#DIV/0!</v>
      </c>
      <c r="P93" s="148"/>
      <c r="Q93" s="150" t="e">
        <f t="shared" si="65"/>
        <v>#DIV/0!</v>
      </c>
      <c r="R93" s="148"/>
      <c r="S93" s="150" t="e">
        <f t="shared" ref="S93" si="87">+R93/$M93</f>
        <v>#DIV/0!</v>
      </c>
    </row>
    <row r="94" spans="1:19" ht="24.95" hidden="1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>
        <v>11</v>
      </c>
      <c r="K94" s="146" t="s">
        <v>29</v>
      </c>
      <c r="L94" s="147" t="s">
        <v>135</v>
      </c>
      <c r="M94" s="148">
        <v>0</v>
      </c>
      <c r="N94" s="148"/>
      <c r="O94" s="150" t="e">
        <f t="shared" si="65"/>
        <v>#DIV/0!</v>
      </c>
      <c r="P94" s="148"/>
      <c r="Q94" s="150" t="e">
        <f t="shared" si="65"/>
        <v>#DIV/0!</v>
      </c>
      <c r="R94" s="148"/>
      <c r="S94" s="150" t="e">
        <f t="shared" ref="S94" si="88">+R94/$M94</f>
        <v>#DIV/0!</v>
      </c>
    </row>
    <row r="95" spans="1:19" ht="24" customHeight="1">
      <c r="A95" s="32" t="e">
        <v>#REF!</v>
      </c>
      <c r="B95" s="127" t="s">
        <v>403</v>
      </c>
      <c r="C95" s="128" t="s">
        <v>23</v>
      </c>
      <c r="D95" s="128" t="s">
        <v>65</v>
      </c>
      <c r="E95" s="128" t="s">
        <v>136</v>
      </c>
      <c r="F95" s="128"/>
      <c r="G95" s="128"/>
      <c r="H95" s="128"/>
      <c r="I95" s="128"/>
      <c r="J95" s="129"/>
      <c r="K95" s="129"/>
      <c r="L95" s="129" t="s">
        <v>137</v>
      </c>
      <c r="M95" s="130">
        <v>719000000</v>
      </c>
      <c r="N95" s="130">
        <v>164763869</v>
      </c>
      <c r="O95" s="131">
        <f t="shared" si="65"/>
        <v>0.22915698052851183</v>
      </c>
      <c r="P95" s="130">
        <v>63110559</v>
      </c>
      <c r="Q95" s="131">
        <f t="shared" si="65"/>
        <v>8.7775464534075101E-2</v>
      </c>
      <c r="R95" s="130">
        <v>63110559</v>
      </c>
      <c r="S95" s="131">
        <f t="shared" ref="S95" si="89">+R95/$M95</f>
        <v>8.7775464534075101E-2</v>
      </c>
    </row>
    <row r="96" spans="1:19" ht="24" customHeight="1">
      <c r="A96" s="32" t="e">
        <v>#REF!</v>
      </c>
      <c r="B96" s="132" t="s">
        <v>405</v>
      </c>
      <c r="C96" s="133" t="s">
        <v>23</v>
      </c>
      <c r="D96" s="133" t="s">
        <v>65</v>
      </c>
      <c r="E96" s="133" t="s">
        <v>136</v>
      </c>
      <c r="F96" s="133" t="s">
        <v>54</v>
      </c>
      <c r="G96" s="133"/>
      <c r="H96" s="133"/>
      <c r="I96" s="133"/>
      <c r="J96" s="133" t="s">
        <v>28</v>
      </c>
      <c r="K96" s="134" t="s">
        <v>29</v>
      </c>
      <c r="L96" s="134" t="s">
        <v>138</v>
      </c>
      <c r="M96" s="135">
        <v>719000000</v>
      </c>
      <c r="N96" s="135">
        <v>164763869</v>
      </c>
      <c r="O96" s="137">
        <f t="shared" si="65"/>
        <v>0.22915698052851183</v>
      </c>
      <c r="P96" s="135">
        <v>63110559</v>
      </c>
      <c r="Q96" s="137">
        <f t="shared" si="65"/>
        <v>8.7775464534075101E-2</v>
      </c>
      <c r="R96" s="135">
        <v>63110559</v>
      </c>
      <c r="S96" s="137">
        <f t="shared" ref="S96" si="90">+R96/$M96</f>
        <v>8.7775464534075101E-2</v>
      </c>
    </row>
    <row r="97" spans="1:21" ht="24.95" customHeight="1">
      <c r="A97" s="32" t="e">
        <v>#REF!</v>
      </c>
      <c r="B97" s="138" t="s">
        <v>407</v>
      </c>
      <c r="C97" s="139" t="s">
        <v>23</v>
      </c>
      <c r="D97" s="139" t="s">
        <v>65</v>
      </c>
      <c r="E97" s="139" t="s">
        <v>136</v>
      </c>
      <c r="F97" s="139" t="s">
        <v>54</v>
      </c>
      <c r="G97" s="139" t="s">
        <v>52</v>
      </c>
      <c r="H97" s="139"/>
      <c r="I97" s="139"/>
      <c r="J97" s="139" t="s">
        <v>28</v>
      </c>
      <c r="K97" s="140" t="s">
        <v>29</v>
      </c>
      <c r="L97" s="140" t="s">
        <v>139</v>
      </c>
      <c r="M97" s="141">
        <v>719000000</v>
      </c>
      <c r="N97" s="141">
        <v>164763869</v>
      </c>
      <c r="O97" s="143">
        <f t="shared" si="65"/>
        <v>0.22915698052851183</v>
      </c>
      <c r="P97" s="141">
        <v>63110559</v>
      </c>
      <c r="Q97" s="143">
        <f t="shared" si="65"/>
        <v>8.7775464534075101E-2</v>
      </c>
      <c r="R97" s="141">
        <v>63110559</v>
      </c>
      <c r="S97" s="143">
        <f t="shared" ref="S97" si="91">+R97/$M97</f>
        <v>8.7775464534075101E-2</v>
      </c>
    </row>
    <row r="98" spans="1:21" ht="24.95" customHeight="1">
      <c r="A98" s="32" t="e">
        <v>#REF!</v>
      </c>
      <c r="B98" s="144" t="s">
        <v>409</v>
      </c>
      <c r="C98" s="145" t="s">
        <v>23</v>
      </c>
      <c r="D98" s="145" t="s">
        <v>65</v>
      </c>
      <c r="E98" s="145" t="s">
        <v>136</v>
      </c>
      <c r="F98" s="145" t="s">
        <v>54</v>
      </c>
      <c r="G98" s="145" t="s">
        <v>52</v>
      </c>
      <c r="H98" s="145" t="s">
        <v>31</v>
      </c>
      <c r="I98" s="145"/>
      <c r="J98" s="145" t="s">
        <v>28</v>
      </c>
      <c r="K98" s="146" t="s">
        <v>29</v>
      </c>
      <c r="L98" s="147" t="s">
        <v>140</v>
      </c>
      <c r="M98" s="148">
        <v>359500000</v>
      </c>
      <c r="N98" s="148">
        <v>80190388</v>
      </c>
      <c r="O98" s="150">
        <f t="shared" si="65"/>
        <v>0.22306088456189152</v>
      </c>
      <c r="P98" s="148">
        <v>53329328</v>
      </c>
      <c r="Q98" s="150">
        <f t="shared" si="65"/>
        <v>0.14834305424200278</v>
      </c>
      <c r="R98" s="148">
        <v>53329328</v>
      </c>
      <c r="S98" s="150">
        <f t="shared" ref="S98" si="92">+R98/$M98</f>
        <v>0.14834305424200278</v>
      </c>
    </row>
    <row r="99" spans="1:21" ht="24.95" customHeight="1">
      <c r="A99" s="32" t="e">
        <v>#REF!</v>
      </c>
      <c r="B99" s="144" t="s">
        <v>411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34</v>
      </c>
      <c r="I99" s="145"/>
      <c r="J99" s="145" t="s">
        <v>28</v>
      </c>
      <c r="K99" s="146" t="s">
        <v>29</v>
      </c>
      <c r="L99" s="147" t="s">
        <v>141</v>
      </c>
      <c r="M99" s="148">
        <v>359500000</v>
      </c>
      <c r="N99" s="148">
        <v>84573481</v>
      </c>
      <c r="O99" s="150">
        <f t="shared" si="65"/>
        <v>0.23525307649513214</v>
      </c>
      <c r="P99" s="148">
        <v>9781231</v>
      </c>
      <c r="Q99" s="150">
        <f t="shared" si="65"/>
        <v>2.7207874826147428E-2</v>
      </c>
      <c r="R99" s="148">
        <v>9781231</v>
      </c>
      <c r="S99" s="150">
        <f t="shared" ref="S99" si="93">+R99/$M99</f>
        <v>2.7207874826147428E-2</v>
      </c>
    </row>
    <row r="100" spans="1:21" ht="24.95" hidden="1" customHeight="1">
      <c r="A100" s="32" t="e">
        <v>#REF!</v>
      </c>
      <c r="B100" s="32"/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142</v>
      </c>
      <c r="H100" s="145"/>
      <c r="I100" s="145"/>
      <c r="J100" s="145" t="s">
        <v>28</v>
      </c>
      <c r="K100" s="146" t="s">
        <v>29</v>
      </c>
      <c r="L100" s="147" t="s">
        <v>260</v>
      </c>
      <c r="M100" s="148">
        <v>0</v>
      </c>
      <c r="N100" s="148">
        <v>0</v>
      </c>
      <c r="O100" s="150" t="e">
        <f t="shared" si="65"/>
        <v>#DIV/0!</v>
      </c>
      <c r="P100" s="148">
        <v>0</v>
      </c>
      <c r="Q100" s="150" t="e">
        <f t="shared" si="65"/>
        <v>#DIV/0!</v>
      </c>
      <c r="R100" s="148">
        <v>0</v>
      </c>
      <c r="S100" s="150" t="e">
        <f t="shared" ref="S100" si="94">+R100/$M100</f>
        <v>#DIV/0!</v>
      </c>
    </row>
    <row r="101" spans="1:21" ht="24" customHeight="1">
      <c r="A101" s="32" t="e">
        <v>#REF!</v>
      </c>
      <c r="B101" s="127" t="s">
        <v>415</v>
      </c>
      <c r="C101" s="128" t="s">
        <v>23</v>
      </c>
      <c r="D101" s="128" t="s">
        <v>65</v>
      </c>
      <c r="E101" s="128" t="s">
        <v>28</v>
      </c>
      <c r="F101" s="128"/>
      <c r="G101" s="128"/>
      <c r="H101" s="128"/>
      <c r="I101" s="128"/>
      <c r="J101" s="129"/>
      <c r="K101" s="129"/>
      <c r="L101" s="129" t="s">
        <v>143</v>
      </c>
      <c r="M101" s="130">
        <v>2359000000</v>
      </c>
      <c r="N101" s="130">
        <v>685498890.73000002</v>
      </c>
      <c r="O101" s="131">
        <f t="shared" si="65"/>
        <v>0.2905887624968207</v>
      </c>
      <c r="P101" s="130">
        <v>685498890.73000002</v>
      </c>
      <c r="Q101" s="131">
        <f t="shared" si="65"/>
        <v>0.2905887624968207</v>
      </c>
      <c r="R101" s="130">
        <v>685498890.73000002</v>
      </c>
      <c r="S101" s="131">
        <f t="shared" ref="S101" si="95">+R101/$M101</f>
        <v>0.2905887624968207</v>
      </c>
    </row>
    <row r="102" spans="1:21" ht="24" customHeight="1">
      <c r="A102" s="32" t="e">
        <v>#REF!</v>
      </c>
      <c r="B102" s="132" t="s">
        <v>417</v>
      </c>
      <c r="C102" s="133" t="s">
        <v>23</v>
      </c>
      <c r="D102" s="133" t="s">
        <v>65</v>
      </c>
      <c r="E102" s="133" t="s">
        <v>28</v>
      </c>
      <c r="F102" s="133" t="s">
        <v>25</v>
      </c>
      <c r="G102" s="133"/>
      <c r="H102" s="133"/>
      <c r="I102" s="133"/>
      <c r="J102" s="133" t="s">
        <v>144</v>
      </c>
      <c r="K102" s="134" t="s">
        <v>29</v>
      </c>
      <c r="L102" s="134" t="s">
        <v>145</v>
      </c>
      <c r="M102" s="135">
        <v>2359000000</v>
      </c>
      <c r="N102" s="135">
        <v>685498890.73000002</v>
      </c>
      <c r="O102" s="137">
        <f t="shared" si="65"/>
        <v>0.2905887624968207</v>
      </c>
      <c r="P102" s="135">
        <v>685498890.73000002</v>
      </c>
      <c r="Q102" s="137">
        <f t="shared" si="65"/>
        <v>0.2905887624968207</v>
      </c>
      <c r="R102" s="135">
        <v>685498890.73000002</v>
      </c>
      <c r="S102" s="137">
        <f t="shared" ref="S102" si="96">+R102/$M102</f>
        <v>0.2905887624968207</v>
      </c>
    </row>
    <row r="103" spans="1:21" ht="24.95" customHeight="1">
      <c r="A103" s="32" t="e">
        <v>#REF!</v>
      </c>
      <c r="B103" s="144" t="s">
        <v>418</v>
      </c>
      <c r="C103" s="145" t="s">
        <v>23</v>
      </c>
      <c r="D103" s="145" t="s">
        <v>65</v>
      </c>
      <c r="E103" s="145" t="s">
        <v>28</v>
      </c>
      <c r="F103" s="145" t="s">
        <v>25</v>
      </c>
      <c r="G103" s="145" t="s">
        <v>31</v>
      </c>
      <c r="H103" s="145"/>
      <c r="I103" s="145"/>
      <c r="J103" s="145">
        <v>10</v>
      </c>
      <c r="K103" s="146" t="s">
        <v>29</v>
      </c>
      <c r="L103" s="147" t="s">
        <v>146</v>
      </c>
      <c r="M103" s="148">
        <v>2311820000</v>
      </c>
      <c r="N103" s="149">
        <v>685498890.73000002</v>
      </c>
      <c r="O103" s="150">
        <f t="shared" si="65"/>
        <v>0.29651914540491908</v>
      </c>
      <c r="P103" s="148">
        <v>685498890.73000002</v>
      </c>
      <c r="Q103" s="150">
        <f t="shared" si="65"/>
        <v>0.29651914540491908</v>
      </c>
      <c r="R103" s="148">
        <v>685498890.73000002</v>
      </c>
      <c r="S103" s="150">
        <f t="shared" ref="S103" si="97">+R103/$M103</f>
        <v>0.29651914540491908</v>
      </c>
    </row>
    <row r="104" spans="1:21" ht="24.95" customHeight="1">
      <c r="A104" s="32" t="e">
        <v>#REF!</v>
      </c>
      <c r="B104" s="144" t="s">
        <v>419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51" t="s">
        <v>34</v>
      </c>
      <c r="H104" s="145"/>
      <c r="I104" s="145"/>
      <c r="J104" s="145">
        <v>10</v>
      </c>
      <c r="K104" s="146" t="s">
        <v>29</v>
      </c>
      <c r="L104" s="147" t="s">
        <v>147</v>
      </c>
      <c r="M104" s="148">
        <v>47180000</v>
      </c>
      <c r="N104" s="149">
        <v>0</v>
      </c>
      <c r="O104" s="150">
        <f t="shared" si="65"/>
        <v>0</v>
      </c>
      <c r="P104" s="148">
        <v>0</v>
      </c>
      <c r="Q104" s="150">
        <f t="shared" si="65"/>
        <v>0</v>
      </c>
      <c r="R104" s="148">
        <v>0</v>
      </c>
      <c r="S104" s="150">
        <f t="shared" ref="S104" si="98">+R104/$M104</f>
        <v>0</v>
      </c>
    </row>
    <row r="105" spans="1:21" ht="24" customHeight="1">
      <c r="A105" s="32" t="e">
        <v>#REF!</v>
      </c>
      <c r="B105" s="122" t="s">
        <v>421</v>
      </c>
      <c r="C105" s="123" t="s">
        <v>23</v>
      </c>
      <c r="D105" s="123" t="s">
        <v>148</v>
      </c>
      <c r="E105" s="123"/>
      <c r="F105" s="123"/>
      <c r="G105" s="123"/>
      <c r="H105" s="123"/>
      <c r="I105" s="123"/>
      <c r="J105" s="124"/>
      <c r="K105" s="124"/>
      <c r="L105" s="124" t="s">
        <v>149</v>
      </c>
      <c r="M105" s="125">
        <v>17105900000</v>
      </c>
      <c r="N105" s="125">
        <v>22686266</v>
      </c>
      <c r="O105" s="126">
        <f t="shared" si="65"/>
        <v>1.3262246359443232E-3</v>
      </c>
      <c r="P105" s="125">
        <v>22215975</v>
      </c>
      <c r="Q105" s="126">
        <f t="shared" si="65"/>
        <v>1.2987317241419628E-3</v>
      </c>
      <c r="R105" s="125">
        <v>21958753</v>
      </c>
      <c r="S105" s="126">
        <f t="shared" ref="S105" si="99">+R105/$M105</f>
        <v>1.2836946901361519E-3</v>
      </c>
    </row>
    <row r="106" spans="1:21" ht="24" customHeight="1">
      <c r="A106" s="32" t="e">
        <v>#REF!</v>
      </c>
      <c r="B106" s="127" t="s">
        <v>423</v>
      </c>
      <c r="C106" s="128" t="s">
        <v>23</v>
      </c>
      <c r="D106" s="128" t="s">
        <v>148</v>
      </c>
      <c r="E106" s="128" t="s">
        <v>25</v>
      </c>
      <c r="F106" s="128"/>
      <c r="G106" s="128"/>
      <c r="H106" s="128"/>
      <c r="I106" s="128"/>
      <c r="J106" s="129"/>
      <c r="K106" s="129"/>
      <c r="L106" s="129" t="s">
        <v>150</v>
      </c>
      <c r="M106" s="130">
        <v>137900000</v>
      </c>
      <c r="N106" s="130">
        <v>22686266</v>
      </c>
      <c r="O106" s="131">
        <f t="shared" si="65"/>
        <v>0.16451244379985497</v>
      </c>
      <c r="P106" s="130">
        <v>22215975</v>
      </c>
      <c r="Q106" s="131">
        <f t="shared" si="65"/>
        <v>0.16110206671501087</v>
      </c>
      <c r="R106" s="130">
        <v>21958753</v>
      </c>
      <c r="S106" s="131">
        <f t="shared" ref="S106" si="100">+R106/$M106</f>
        <v>0.15923678752719361</v>
      </c>
    </row>
    <row r="107" spans="1:21" ht="24" customHeight="1">
      <c r="A107" s="32" t="e">
        <v>#REF!</v>
      </c>
      <c r="B107" s="132" t="s">
        <v>425</v>
      </c>
      <c r="C107" s="133" t="s">
        <v>23</v>
      </c>
      <c r="D107" s="133" t="s">
        <v>148</v>
      </c>
      <c r="E107" s="133" t="s">
        <v>25</v>
      </c>
      <c r="F107" s="133" t="s">
        <v>54</v>
      </c>
      <c r="G107" s="133"/>
      <c r="H107" s="133"/>
      <c r="I107" s="133"/>
      <c r="J107" s="133" t="s">
        <v>28</v>
      </c>
      <c r="K107" s="134" t="s">
        <v>29</v>
      </c>
      <c r="L107" s="134" t="s">
        <v>151</v>
      </c>
      <c r="M107" s="135">
        <v>137900000</v>
      </c>
      <c r="N107" s="135">
        <v>22686266</v>
      </c>
      <c r="O107" s="137">
        <f t="shared" si="65"/>
        <v>0.16451244379985497</v>
      </c>
      <c r="P107" s="135">
        <v>22215975</v>
      </c>
      <c r="Q107" s="137">
        <f t="shared" si="65"/>
        <v>0.16110206671501087</v>
      </c>
      <c r="R107" s="135">
        <v>21958753</v>
      </c>
      <c r="S107" s="137">
        <f t="shared" ref="S107" si="101">+R107/$M107</f>
        <v>0.15923678752719361</v>
      </c>
    </row>
    <row r="108" spans="1:21" ht="24.95" customHeight="1">
      <c r="A108" s="32" t="e">
        <v>#REF!</v>
      </c>
      <c r="B108" s="144" t="s">
        <v>427</v>
      </c>
      <c r="C108" s="145" t="s">
        <v>23</v>
      </c>
      <c r="D108" s="145" t="s">
        <v>148</v>
      </c>
      <c r="E108" s="145" t="s">
        <v>25</v>
      </c>
      <c r="F108" s="145" t="s">
        <v>54</v>
      </c>
      <c r="G108" s="145" t="s">
        <v>31</v>
      </c>
      <c r="H108" s="145"/>
      <c r="I108" s="145"/>
      <c r="J108" s="145" t="s">
        <v>28</v>
      </c>
      <c r="K108" s="146" t="s">
        <v>29</v>
      </c>
      <c r="L108" s="147" t="s">
        <v>152</v>
      </c>
      <c r="M108" s="148">
        <v>61800000</v>
      </c>
      <c r="N108" s="148">
        <v>8168614</v>
      </c>
      <c r="O108" s="150">
        <f t="shared" si="65"/>
        <v>0.13217822006472493</v>
      </c>
      <c r="P108" s="148">
        <v>8168614</v>
      </c>
      <c r="Q108" s="150">
        <f t="shared" si="65"/>
        <v>0.13217822006472493</v>
      </c>
      <c r="R108" s="148">
        <v>8168614</v>
      </c>
      <c r="S108" s="150">
        <f t="shared" ref="S108" si="102">+R108/$M108</f>
        <v>0.13217822006472493</v>
      </c>
    </row>
    <row r="109" spans="1:21" ht="24.95" customHeight="1">
      <c r="A109" s="32" t="e">
        <v>#REF!</v>
      </c>
      <c r="B109" s="144" t="s">
        <v>429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38</v>
      </c>
      <c r="H109" s="145"/>
      <c r="I109" s="145"/>
      <c r="J109" s="145" t="s">
        <v>28</v>
      </c>
      <c r="K109" s="146" t="s">
        <v>29</v>
      </c>
      <c r="L109" s="147" t="s">
        <v>153</v>
      </c>
      <c r="M109" s="148">
        <v>50000000</v>
      </c>
      <c r="N109" s="148">
        <v>10468502</v>
      </c>
      <c r="O109" s="150">
        <f t="shared" si="65"/>
        <v>0.20937004000000001</v>
      </c>
      <c r="P109" s="148">
        <v>9998211</v>
      </c>
      <c r="Q109" s="150">
        <f t="shared" si="65"/>
        <v>0.19996422</v>
      </c>
      <c r="R109" s="148">
        <v>9740989</v>
      </c>
      <c r="S109" s="150">
        <f t="shared" ref="S109" si="103">+R109/$M109</f>
        <v>0.19481978</v>
      </c>
    </row>
    <row r="110" spans="1:21" ht="24.95" customHeight="1">
      <c r="A110" s="32" t="e">
        <v>#REF!</v>
      </c>
      <c r="B110" s="144" t="s">
        <v>431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42</v>
      </c>
      <c r="H110" s="145"/>
      <c r="I110" s="145"/>
      <c r="J110" s="145" t="s">
        <v>28</v>
      </c>
      <c r="K110" s="146" t="s">
        <v>29</v>
      </c>
      <c r="L110" s="147" t="s">
        <v>154</v>
      </c>
      <c r="M110" s="148">
        <v>26100000</v>
      </c>
      <c r="N110" s="148">
        <v>4049150</v>
      </c>
      <c r="O110" s="150">
        <f t="shared" si="65"/>
        <v>0.15513984674329501</v>
      </c>
      <c r="P110" s="148">
        <v>4049150</v>
      </c>
      <c r="Q110" s="150">
        <f t="shared" si="65"/>
        <v>0.15513984674329501</v>
      </c>
      <c r="R110" s="148">
        <v>4049150</v>
      </c>
      <c r="S110" s="150">
        <f t="shared" ref="S110" si="104">+R110/$M110</f>
        <v>0.15513984674329501</v>
      </c>
    </row>
    <row r="111" spans="1:21" ht="24" customHeight="1">
      <c r="A111" s="32" t="e">
        <v>#REF!</v>
      </c>
      <c r="B111" s="127" t="s">
        <v>432</v>
      </c>
      <c r="C111" s="128" t="s">
        <v>23</v>
      </c>
      <c r="D111" s="128" t="s">
        <v>148</v>
      </c>
      <c r="E111" s="128" t="s">
        <v>136</v>
      </c>
      <c r="F111" s="128"/>
      <c r="G111" s="128"/>
      <c r="H111" s="128"/>
      <c r="I111" s="128"/>
      <c r="J111" s="129"/>
      <c r="K111" s="129"/>
      <c r="L111" s="129" t="s">
        <v>155</v>
      </c>
      <c r="M111" s="130">
        <v>16968000000</v>
      </c>
      <c r="N111" s="130">
        <v>0</v>
      </c>
      <c r="O111" s="131">
        <f t="shared" si="65"/>
        <v>0</v>
      </c>
      <c r="P111" s="130">
        <v>0</v>
      </c>
      <c r="Q111" s="131">
        <f t="shared" si="65"/>
        <v>0</v>
      </c>
      <c r="R111" s="130">
        <v>0</v>
      </c>
      <c r="S111" s="131">
        <f t="shared" ref="S111" si="105">+R111/$M111</f>
        <v>0</v>
      </c>
    </row>
    <row r="112" spans="1:21" ht="24.95" hidden="1" customHeight="1">
      <c r="A112" s="32"/>
      <c r="B112" s="32"/>
      <c r="C112" s="145" t="s">
        <v>23</v>
      </c>
      <c r="D112" s="145" t="s">
        <v>148</v>
      </c>
      <c r="E112" s="145" t="s">
        <v>136</v>
      </c>
      <c r="F112" s="145" t="s">
        <v>25</v>
      </c>
      <c r="G112" s="145"/>
      <c r="H112" s="145"/>
      <c r="I112" s="145"/>
      <c r="J112" s="145">
        <v>10</v>
      </c>
      <c r="K112" s="146" t="s">
        <v>156</v>
      </c>
      <c r="L112" s="147" t="s">
        <v>157</v>
      </c>
      <c r="M112" s="148">
        <v>0</v>
      </c>
      <c r="N112" s="148">
        <v>0</v>
      </c>
      <c r="O112" s="150" t="e">
        <f t="shared" si="65"/>
        <v>#DIV/0!</v>
      </c>
      <c r="P112" s="148">
        <v>0</v>
      </c>
      <c r="Q112" s="150" t="e">
        <f t="shared" si="65"/>
        <v>#DIV/0!</v>
      </c>
      <c r="R112" s="148">
        <v>0</v>
      </c>
      <c r="S112" s="150" t="e">
        <f t="shared" ref="S112" si="106">+R112/$M112</f>
        <v>#DIV/0!</v>
      </c>
    </row>
    <row r="113" spans="1:19" ht="24.95" customHeight="1">
      <c r="A113" s="32" t="e">
        <v>#REF!</v>
      </c>
      <c r="B113" s="144" t="s">
        <v>434</v>
      </c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 t="s">
        <v>144</v>
      </c>
      <c r="K113" s="146" t="s">
        <v>156</v>
      </c>
      <c r="L113" s="147" t="s">
        <v>157</v>
      </c>
      <c r="M113" s="149">
        <v>16968000000</v>
      </c>
      <c r="N113" s="149">
        <v>0</v>
      </c>
      <c r="O113" s="150">
        <f t="shared" si="65"/>
        <v>0</v>
      </c>
      <c r="P113" s="148"/>
      <c r="Q113" s="150">
        <f t="shared" si="65"/>
        <v>0</v>
      </c>
      <c r="R113" s="148"/>
      <c r="S113" s="150">
        <f t="shared" ref="S113" si="107">+R113/$M113</f>
        <v>0</v>
      </c>
    </row>
    <row r="114" spans="1:19" ht="35.1" customHeight="1">
      <c r="A114" s="32" t="e">
        <v>#REF!</v>
      </c>
      <c r="B114" s="117" t="s">
        <v>162</v>
      </c>
      <c r="C114" s="118" t="s">
        <v>162</v>
      </c>
      <c r="D114" s="119"/>
      <c r="E114" s="119"/>
      <c r="F114" s="119"/>
      <c r="G114" s="119"/>
      <c r="H114" s="119"/>
      <c r="I114" s="119"/>
      <c r="J114" s="119"/>
      <c r="K114" s="119"/>
      <c r="L114" s="119" t="s">
        <v>163</v>
      </c>
      <c r="M114" s="120">
        <v>381865302</v>
      </c>
      <c r="N114" s="120">
        <v>0</v>
      </c>
      <c r="O114" s="121">
        <f t="shared" si="65"/>
        <v>0</v>
      </c>
      <c r="P114" s="120">
        <v>0</v>
      </c>
      <c r="Q114" s="121">
        <f t="shared" si="65"/>
        <v>0</v>
      </c>
      <c r="R114" s="120">
        <v>0</v>
      </c>
      <c r="S114" s="121">
        <f t="shared" ref="S114" si="108">+R114/$M114</f>
        <v>0</v>
      </c>
    </row>
    <row r="115" spans="1:19" ht="24" customHeight="1">
      <c r="A115" s="32" t="e">
        <v>#REF!</v>
      </c>
      <c r="B115" s="122" t="s">
        <v>729</v>
      </c>
      <c r="C115" s="123" t="s">
        <v>162</v>
      </c>
      <c r="D115" s="123">
        <v>10</v>
      </c>
      <c r="E115" s="123"/>
      <c r="F115" s="123"/>
      <c r="G115" s="123"/>
      <c r="H115" s="123"/>
      <c r="I115" s="123"/>
      <c r="J115" s="124"/>
      <c r="K115" s="124"/>
      <c r="L115" s="124" t="s">
        <v>164</v>
      </c>
      <c r="M115" s="125">
        <v>381865302</v>
      </c>
      <c r="N115" s="125">
        <v>0</v>
      </c>
      <c r="O115" s="126">
        <f t="shared" si="65"/>
        <v>0</v>
      </c>
      <c r="P115" s="125">
        <v>0</v>
      </c>
      <c r="Q115" s="126">
        <f t="shared" si="65"/>
        <v>0</v>
      </c>
      <c r="R115" s="125">
        <v>0</v>
      </c>
      <c r="S115" s="126">
        <f t="shared" ref="S115" si="109">+R115/$M115</f>
        <v>0</v>
      </c>
    </row>
    <row r="116" spans="1:19" ht="24" customHeight="1">
      <c r="A116" s="32" t="e">
        <v>#REF!</v>
      </c>
      <c r="B116" s="127" t="s">
        <v>730</v>
      </c>
      <c r="C116" s="128" t="s">
        <v>162</v>
      </c>
      <c r="D116" s="128">
        <v>10</v>
      </c>
      <c r="E116" s="128" t="s">
        <v>136</v>
      </c>
      <c r="F116" s="128"/>
      <c r="G116" s="128"/>
      <c r="H116" s="128"/>
      <c r="I116" s="128"/>
      <c r="J116" s="129"/>
      <c r="K116" s="129"/>
      <c r="L116" s="129" t="s">
        <v>165</v>
      </c>
      <c r="M116" s="130">
        <v>381865302</v>
      </c>
      <c r="N116" s="130">
        <v>0</v>
      </c>
      <c r="O116" s="131">
        <f t="shared" si="65"/>
        <v>0</v>
      </c>
      <c r="P116" s="130">
        <v>0</v>
      </c>
      <c r="Q116" s="131">
        <f t="shared" si="65"/>
        <v>0</v>
      </c>
      <c r="R116" s="130">
        <v>0</v>
      </c>
      <c r="S116" s="131">
        <f t="shared" ref="S116" si="110">+R116/$M116</f>
        <v>0</v>
      </c>
    </row>
    <row r="117" spans="1:19" ht="24.95" customHeight="1">
      <c r="A117" s="32" t="e">
        <v>#REF!</v>
      </c>
      <c r="B117" s="144" t="s">
        <v>731</v>
      </c>
      <c r="C117" s="145" t="s">
        <v>162</v>
      </c>
      <c r="D117" s="145">
        <v>10</v>
      </c>
      <c r="E117" s="145" t="s">
        <v>136</v>
      </c>
      <c r="F117" s="145" t="s">
        <v>25</v>
      </c>
      <c r="G117" s="145"/>
      <c r="H117" s="145"/>
      <c r="I117" s="145"/>
      <c r="J117" s="145" t="s">
        <v>144</v>
      </c>
      <c r="K117" s="146" t="s">
        <v>29</v>
      </c>
      <c r="L117" s="147" t="s">
        <v>166</v>
      </c>
      <c r="M117" s="149">
        <v>381865302</v>
      </c>
      <c r="N117" s="149">
        <v>0</v>
      </c>
      <c r="O117" s="150">
        <f t="shared" si="65"/>
        <v>0</v>
      </c>
      <c r="P117" s="148"/>
      <c r="Q117" s="150">
        <f t="shared" si="65"/>
        <v>0</v>
      </c>
      <c r="R117" s="148"/>
      <c r="S117" s="150">
        <f t="shared" ref="S117" si="111">+R117/$M117</f>
        <v>0</v>
      </c>
    </row>
    <row r="118" spans="1:19" ht="35.1" customHeight="1">
      <c r="A118" s="32" t="e">
        <v>#REF!</v>
      </c>
      <c r="B118" s="117" t="s">
        <v>167</v>
      </c>
      <c r="C118" s="118" t="s">
        <v>167</v>
      </c>
      <c r="D118" s="119"/>
      <c r="E118" s="119"/>
      <c r="F118" s="119"/>
      <c r="G118" s="119"/>
      <c r="H118" s="119"/>
      <c r="I118" s="119"/>
      <c r="J118" s="119"/>
      <c r="K118" s="119"/>
      <c r="L118" s="119" t="s">
        <v>168</v>
      </c>
      <c r="M118" s="120">
        <v>12916249110989</v>
      </c>
      <c r="N118" s="120">
        <v>3556656742054.5303</v>
      </c>
      <c r="O118" s="121">
        <f t="shared" si="65"/>
        <v>0.27536297198143744</v>
      </c>
      <c r="P118" s="120">
        <v>2502984783194.3301</v>
      </c>
      <c r="Q118" s="121">
        <f t="shared" si="65"/>
        <v>0.19378573157626844</v>
      </c>
      <c r="R118" s="120">
        <v>2499546909565.3301</v>
      </c>
      <c r="S118" s="121">
        <f t="shared" ref="S118" si="112">+R118/$M118</f>
        <v>0.19351956501355672</v>
      </c>
    </row>
    <row r="119" spans="1:19" ht="27.75" hidden="1" customHeight="1">
      <c r="A119" s="32" t="e">
        <v>#REF!</v>
      </c>
      <c r="B119" s="122" t="s">
        <v>437</v>
      </c>
      <c r="C119" s="123" t="s">
        <v>167</v>
      </c>
      <c r="D119" s="123">
        <v>4101</v>
      </c>
      <c r="E119" s="123"/>
      <c r="F119" s="123"/>
      <c r="G119" s="123"/>
      <c r="H119" s="123"/>
      <c r="I119" s="123"/>
      <c r="J119" s="124"/>
      <c r="K119" s="124"/>
      <c r="L119" s="124" t="s">
        <v>169</v>
      </c>
      <c r="M119" s="125">
        <v>0</v>
      </c>
      <c r="N119" s="125">
        <v>0</v>
      </c>
      <c r="O119" s="126" t="e">
        <f t="shared" si="65"/>
        <v>#DIV/0!</v>
      </c>
      <c r="P119" s="125">
        <v>0</v>
      </c>
      <c r="Q119" s="126" t="e">
        <f t="shared" si="65"/>
        <v>#DIV/0!</v>
      </c>
      <c r="R119" s="125">
        <v>0</v>
      </c>
      <c r="S119" s="126" t="e">
        <f t="shared" ref="S119" si="113">+R119/$M119</f>
        <v>#DIV/0!</v>
      </c>
    </row>
    <row r="120" spans="1:19" ht="24" hidden="1" customHeight="1">
      <c r="A120" s="32" t="e">
        <v>#REF!</v>
      </c>
      <c r="B120" s="127" t="s">
        <v>295</v>
      </c>
      <c r="C120" s="128" t="s">
        <v>167</v>
      </c>
      <c r="D120" s="128">
        <v>4101</v>
      </c>
      <c r="E120" s="128">
        <v>1500</v>
      </c>
      <c r="F120" s="128"/>
      <c r="G120" s="128"/>
      <c r="H120" s="128"/>
      <c r="I120" s="128"/>
      <c r="J120" s="129"/>
      <c r="K120" s="129"/>
      <c r="L120" s="129" t="s">
        <v>170</v>
      </c>
      <c r="M120" s="130"/>
      <c r="N120" s="130"/>
      <c r="O120" s="131" t="e">
        <f t="shared" si="65"/>
        <v>#DIV/0!</v>
      </c>
      <c r="P120" s="130"/>
      <c r="Q120" s="131" t="e">
        <f t="shared" si="65"/>
        <v>#DIV/0!</v>
      </c>
      <c r="R120" s="130"/>
      <c r="S120" s="131" t="e">
        <f t="shared" ref="S120" si="114">+R120/$M120</f>
        <v>#DIV/0!</v>
      </c>
    </row>
    <row r="121" spans="1:19" ht="54.75" hidden="1" customHeight="1">
      <c r="A121" s="32" t="e">
        <v>#REF!</v>
      </c>
      <c r="B121" s="132" t="s">
        <v>454</v>
      </c>
      <c r="C121" s="133" t="s">
        <v>167</v>
      </c>
      <c r="D121" s="133" t="s">
        <v>171</v>
      </c>
      <c r="E121" s="133" t="s">
        <v>172</v>
      </c>
      <c r="F121" s="133" t="s">
        <v>173</v>
      </c>
      <c r="G121" s="133"/>
      <c r="H121" s="133"/>
      <c r="I121" s="133"/>
      <c r="J121" s="133"/>
      <c r="K121" s="134"/>
      <c r="L121" s="134" t="s">
        <v>174</v>
      </c>
      <c r="M121" s="135">
        <v>0</v>
      </c>
      <c r="N121" s="135">
        <v>0</v>
      </c>
      <c r="O121" s="137" t="e">
        <f t="shared" si="65"/>
        <v>#DIV/0!</v>
      </c>
      <c r="P121" s="135">
        <v>0</v>
      </c>
      <c r="Q121" s="137" t="e">
        <f t="shared" si="65"/>
        <v>#DIV/0!</v>
      </c>
      <c r="R121" s="135">
        <v>0</v>
      </c>
      <c r="S121" s="137" t="e">
        <f t="shared" ref="S121" si="115">+R121/$M121</f>
        <v>#DIV/0!</v>
      </c>
    </row>
    <row r="122" spans="1:19" ht="31.5" hidden="1" customHeight="1">
      <c r="A122" s="32" t="e">
        <v>#REF!</v>
      </c>
      <c r="B122" s="138" t="s">
        <v>456</v>
      </c>
      <c r="C122" s="139" t="s">
        <v>167</v>
      </c>
      <c r="D122" s="139" t="s">
        <v>171</v>
      </c>
      <c r="E122" s="139" t="s">
        <v>172</v>
      </c>
      <c r="F122" s="139" t="s">
        <v>173</v>
      </c>
      <c r="G122" s="139" t="s">
        <v>175</v>
      </c>
      <c r="H122" s="139" t="s">
        <v>176</v>
      </c>
      <c r="I122" s="139"/>
      <c r="J122" s="139" t="s">
        <v>144</v>
      </c>
      <c r="K122" s="140" t="s">
        <v>29</v>
      </c>
      <c r="L122" s="140" t="s">
        <v>177</v>
      </c>
      <c r="M122" s="141">
        <v>0</v>
      </c>
      <c r="N122" s="141">
        <v>0</v>
      </c>
      <c r="O122" s="143" t="e">
        <f t="shared" si="65"/>
        <v>#DIV/0!</v>
      </c>
      <c r="P122" s="141">
        <v>0</v>
      </c>
      <c r="Q122" s="143" t="e">
        <f t="shared" si="65"/>
        <v>#DIV/0!</v>
      </c>
      <c r="R122" s="141">
        <v>0</v>
      </c>
      <c r="S122" s="143" t="e">
        <f t="shared" ref="S122" si="116">+R122/$M122</f>
        <v>#DIV/0!</v>
      </c>
    </row>
    <row r="123" spans="1:19" ht="24.95" hidden="1" customHeight="1">
      <c r="A123" s="32" t="e">
        <v>#REF!</v>
      </c>
      <c r="B123" s="144" t="s">
        <v>458</v>
      </c>
      <c r="C123" s="145" t="s">
        <v>167</v>
      </c>
      <c r="D123" s="145" t="s">
        <v>171</v>
      </c>
      <c r="E123" s="145" t="s">
        <v>172</v>
      </c>
      <c r="F123" s="145" t="s">
        <v>173</v>
      </c>
      <c r="G123" s="145" t="s">
        <v>175</v>
      </c>
      <c r="H123" s="145" t="s">
        <v>176</v>
      </c>
      <c r="I123" s="145" t="s">
        <v>54</v>
      </c>
      <c r="J123" s="145" t="s">
        <v>144</v>
      </c>
      <c r="K123" s="146" t="s">
        <v>29</v>
      </c>
      <c r="L123" s="147" t="s">
        <v>178</v>
      </c>
      <c r="M123" s="148">
        <v>0</v>
      </c>
      <c r="N123" s="148"/>
      <c r="O123" s="150" t="e">
        <f t="shared" si="65"/>
        <v>#DIV/0!</v>
      </c>
      <c r="P123" s="148"/>
      <c r="Q123" s="150" t="e">
        <f t="shared" si="65"/>
        <v>#DIV/0!</v>
      </c>
      <c r="R123" s="148"/>
      <c r="S123" s="150" t="e">
        <f t="shared" ref="S123" si="117">+R123/$M123</f>
        <v>#DIV/0!</v>
      </c>
    </row>
    <row r="124" spans="1:19" ht="31.5" hidden="1" customHeight="1">
      <c r="A124" s="32" t="e">
        <v>#REF!</v>
      </c>
      <c r="B124" s="138" t="s">
        <v>460</v>
      </c>
      <c r="C124" s="139" t="s">
        <v>167</v>
      </c>
      <c r="D124" s="139" t="s">
        <v>171</v>
      </c>
      <c r="E124" s="139" t="s">
        <v>172</v>
      </c>
      <c r="F124" s="139" t="s">
        <v>173</v>
      </c>
      <c r="G124" s="139" t="s">
        <v>175</v>
      </c>
      <c r="H124" s="139" t="s">
        <v>179</v>
      </c>
      <c r="I124" s="139"/>
      <c r="J124" s="139" t="s">
        <v>144</v>
      </c>
      <c r="K124" s="140" t="s">
        <v>29</v>
      </c>
      <c r="L124" s="140" t="s">
        <v>180</v>
      </c>
      <c r="M124" s="141">
        <v>0</v>
      </c>
      <c r="N124" s="141">
        <v>0</v>
      </c>
      <c r="O124" s="143" t="e">
        <f t="shared" si="65"/>
        <v>#DIV/0!</v>
      </c>
      <c r="P124" s="141">
        <v>0</v>
      </c>
      <c r="Q124" s="143" t="e">
        <f t="shared" si="65"/>
        <v>#DIV/0!</v>
      </c>
      <c r="R124" s="141">
        <v>0</v>
      </c>
      <c r="S124" s="143" t="e">
        <f t="shared" ref="S124" si="118">+R124/$M124</f>
        <v>#DIV/0!</v>
      </c>
    </row>
    <row r="125" spans="1:19" ht="24.95" hidden="1" customHeight="1">
      <c r="A125" s="32" t="e">
        <v>#REF!</v>
      </c>
      <c r="B125" s="144" t="s">
        <v>462</v>
      </c>
      <c r="C125" s="145" t="s">
        <v>167</v>
      </c>
      <c r="D125" s="145" t="s">
        <v>171</v>
      </c>
      <c r="E125" s="145" t="s">
        <v>172</v>
      </c>
      <c r="F125" s="145" t="s">
        <v>173</v>
      </c>
      <c r="G125" s="145" t="s">
        <v>175</v>
      </c>
      <c r="H125" s="145" t="s">
        <v>179</v>
      </c>
      <c r="I125" s="145" t="s">
        <v>54</v>
      </c>
      <c r="J125" s="145" t="s">
        <v>144</v>
      </c>
      <c r="K125" s="146" t="s">
        <v>29</v>
      </c>
      <c r="L125" s="147" t="s">
        <v>178</v>
      </c>
      <c r="M125" s="148">
        <v>0</v>
      </c>
      <c r="N125" s="148"/>
      <c r="O125" s="150" t="e">
        <f t="shared" si="65"/>
        <v>#DIV/0!</v>
      </c>
      <c r="P125" s="148"/>
      <c r="Q125" s="150" t="e">
        <f t="shared" si="65"/>
        <v>#DIV/0!</v>
      </c>
      <c r="R125" s="148"/>
      <c r="S125" s="150" t="e">
        <f t="shared" ref="S125" si="119">+R125/$M125</f>
        <v>#DIV/0!</v>
      </c>
    </row>
    <row r="126" spans="1:19" ht="31.5" hidden="1" customHeight="1">
      <c r="A126" s="32" t="e">
        <v>#REF!</v>
      </c>
      <c r="B126" s="144" t="s">
        <v>690</v>
      </c>
      <c r="C126" s="139" t="s">
        <v>167</v>
      </c>
      <c r="D126" s="139" t="s">
        <v>171</v>
      </c>
      <c r="E126" s="139" t="s">
        <v>172</v>
      </c>
      <c r="F126" s="139" t="s">
        <v>173</v>
      </c>
      <c r="G126" s="139" t="s">
        <v>175</v>
      </c>
      <c r="H126" s="139" t="s">
        <v>181</v>
      </c>
      <c r="I126" s="139"/>
      <c r="J126" s="139" t="s">
        <v>144</v>
      </c>
      <c r="K126" s="140" t="s">
        <v>29</v>
      </c>
      <c r="L126" s="140" t="s">
        <v>182</v>
      </c>
      <c r="M126" s="141">
        <v>0</v>
      </c>
      <c r="N126" s="141">
        <v>0</v>
      </c>
      <c r="O126" s="143" t="e">
        <f t="shared" si="65"/>
        <v>#DIV/0!</v>
      </c>
      <c r="P126" s="141">
        <v>0</v>
      </c>
      <c r="Q126" s="143" t="e">
        <f t="shared" si="65"/>
        <v>#DIV/0!</v>
      </c>
      <c r="R126" s="141">
        <v>0</v>
      </c>
      <c r="S126" s="143" t="e">
        <f t="shared" ref="S126" si="120">+R126/$M126</f>
        <v>#DIV/0!</v>
      </c>
    </row>
    <row r="127" spans="1:19" ht="24.95" hidden="1" customHeight="1">
      <c r="A127" s="32" t="e">
        <v>#REF!</v>
      </c>
      <c r="B127" s="144" t="s">
        <v>466</v>
      </c>
      <c r="C127" s="145" t="s">
        <v>167</v>
      </c>
      <c r="D127" s="145" t="s">
        <v>171</v>
      </c>
      <c r="E127" s="145" t="s">
        <v>172</v>
      </c>
      <c r="F127" s="145" t="s">
        <v>173</v>
      </c>
      <c r="G127" s="145" t="s">
        <v>175</v>
      </c>
      <c r="H127" s="145" t="s">
        <v>181</v>
      </c>
      <c r="I127" s="145" t="s">
        <v>54</v>
      </c>
      <c r="J127" s="145" t="s">
        <v>144</v>
      </c>
      <c r="K127" s="146" t="s">
        <v>29</v>
      </c>
      <c r="L127" s="147" t="s">
        <v>178</v>
      </c>
      <c r="M127" s="148">
        <v>0</v>
      </c>
      <c r="N127" s="148"/>
      <c r="O127" s="150" t="e">
        <f t="shared" si="65"/>
        <v>#DIV/0!</v>
      </c>
      <c r="P127" s="148"/>
      <c r="Q127" s="150" t="e">
        <f t="shared" si="65"/>
        <v>#DIV/0!</v>
      </c>
      <c r="R127" s="148"/>
      <c r="S127" s="150" t="e">
        <f t="shared" ref="S127" si="121">+R127/$M127</f>
        <v>#DIV/0!</v>
      </c>
    </row>
    <row r="128" spans="1:19" ht="31.5" hidden="1" customHeight="1">
      <c r="A128" s="32" t="e">
        <v>#REF!</v>
      </c>
      <c r="B128" s="144" t="s">
        <v>691</v>
      </c>
      <c r="C128" s="139" t="s">
        <v>167</v>
      </c>
      <c r="D128" s="139" t="s">
        <v>171</v>
      </c>
      <c r="E128" s="139" t="s">
        <v>172</v>
      </c>
      <c r="F128" s="139" t="s">
        <v>173</v>
      </c>
      <c r="G128" s="139" t="s">
        <v>175</v>
      </c>
      <c r="H128" s="139" t="s">
        <v>183</v>
      </c>
      <c r="I128" s="139"/>
      <c r="J128" s="139" t="s">
        <v>144</v>
      </c>
      <c r="K128" s="140" t="s">
        <v>29</v>
      </c>
      <c r="L128" s="140" t="s">
        <v>184</v>
      </c>
      <c r="M128" s="141">
        <v>0</v>
      </c>
      <c r="N128" s="141">
        <v>0</v>
      </c>
      <c r="O128" s="143" t="e">
        <f t="shared" si="65"/>
        <v>#DIV/0!</v>
      </c>
      <c r="P128" s="141">
        <v>0</v>
      </c>
      <c r="Q128" s="143" t="e">
        <f t="shared" si="65"/>
        <v>#DIV/0!</v>
      </c>
      <c r="R128" s="141">
        <v>0</v>
      </c>
      <c r="S128" s="143" t="e">
        <f t="shared" ref="S128" si="122">+R128/$M128</f>
        <v>#DIV/0!</v>
      </c>
    </row>
    <row r="129" spans="1:19" ht="24.95" hidden="1" customHeight="1">
      <c r="A129" s="32" t="e">
        <v>#REF!</v>
      </c>
      <c r="B129" s="144" t="s">
        <v>470</v>
      </c>
      <c r="C129" s="145" t="s">
        <v>167</v>
      </c>
      <c r="D129" s="145" t="s">
        <v>171</v>
      </c>
      <c r="E129" s="145" t="s">
        <v>172</v>
      </c>
      <c r="F129" s="145" t="s">
        <v>173</v>
      </c>
      <c r="G129" s="145" t="s">
        <v>175</v>
      </c>
      <c r="H129" s="145" t="s">
        <v>183</v>
      </c>
      <c r="I129" s="145" t="s">
        <v>54</v>
      </c>
      <c r="J129" s="145" t="s">
        <v>144</v>
      </c>
      <c r="K129" s="146" t="s">
        <v>29</v>
      </c>
      <c r="L129" s="147" t="s">
        <v>178</v>
      </c>
      <c r="M129" s="148">
        <v>0</v>
      </c>
      <c r="N129" s="148">
        <v>0</v>
      </c>
      <c r="O129" s="150" t="e">
        <f t="shared" si="65"/>
        <v>#DIV/0!</v>
      </c>
      <c r="P129" s="148">
        <v>0</v>
      </c>
      <c r="Q129" s="150" t="e">
        <f t="shared" si="65"/>
        <v>#DIV/0!</v>
      </c>
      <c r="R129" s="148">
        <v>0</v>
      </c>
      <c r="S129" s="150" t="e">
        <f t="shared" ref="S129" si="123">+R129/$M129</f>
        <v>#DIV/0!</v>
      </c>
    </row>
    <row r="130" spans="1:19" ht="31.5" hidden="1" customHeight="1">
      <c r="A130" s="32" t="e">
        <v>#REF!</v>
      </c>
      <c r="B130" s="138" t="s">
        <v>472</v>
      </c>
      <c r="C130" s="139" t="s">
        <v>167</v>
      </c>
      <c r="D130" s="139" t="s">
        <v>171</v>
      </c>
      <c r="E130" s="139" t="s">
        <v>172</v>
      </c>
      <c r="F130" s="139" t="s">
        <v>173</v>
      </c>
      <c r="G130" s="139" t="s">
        <v>175</v>
      </c>
      <c r="H130" s="139" t="s">
        <v>185</v>
      </c>
      <c r="I130" s="139"/>
      <c r="J130" s="139" t="s">
        <v>144</v>
      </c>
      <c r="K130" s="140" t="s">
        <v>29</v>
      </c>
      <c r="L130" s="140" t="s">
        <v>186</v>
      </c>
      <c r="M130" s="141">
        <v>0</v>
      </c>
      <c r="N130" s="141">
        <v>0</v>
      </c>
      <c r="O130" s="143" t="e">
        <f t="shared" si="65"/>
        <v>#DIV/0!</v>
      </c>
      <c r="P130" s="141">
        <v>0</v>
      </c>
      <c r="Q130" s="143" t="e">
        <f t="shared" si="65"/>
        <v>#DIV/0!</v>
      </c>
      <c r="R130" s="141">
        <v>0</v>
      </c>
      <c r="S130" s="143" t="e">
        <f t="shared" ref="S130" si="124">+R130/$M130</f>
        <v>#DIV/0!</v>
      </c>
    </row>
    <row r="131" spans="1:19" ht="24.95" hidden="1" customHeight="1">
      <c r="A131" s="32" t="e">
        <v>#REF!</v>
      </c>
      <c r="B131" s="144" t="s">
        <v>474</v>
      </c>
      <c r="C131" s="145" t="s">
        <v>167</v>
      </c>
      <c r="D131" s="145" t="s">
        <v>171</v>
      </c>
      <c r="E131" s="145" t="s">
        <v>172</v>
      </c>
      <c r="F131" s="145" t="s">
        <v>173</v>
      </c>
      <c r="G131" s="145" t="s">
        <v>175</v>
      </c>
      <c r="H131" s="145" t="s">
        <v>185</v>
      </c>
      <c r="I131" s="145" t="s">
        <v>54</v>
      </c>
      <c r="J131" s="145" t="s">
        <v>144</v>
      </c>
      <c r="K131" s="146" t="s">
        <v>29</v>
      </c>
      <c r="L131" s="147" t="s">
        <v>178</v>
      </c>
      <c r="M131" s="148">
        <v>0</v>
      </c>
      <c r="N131" s="148"/>
      <c r="O131" s="150" t="e">
        <f t="shared" si="65"/>
        <v>#DIV/0!</v>
      </c>
      <c r="P131" s="148"/>
      <c r="Q131" s="150" t="e">
        <f t="shared" si="65"/>
        <v>#DIV/0!</v>
      </c>
      <c r="R131" s="148"/>
      <c r="S131" s="150" t="e">
        <f t="shared" ref="S131" si="125">+R131/$M131</f>
        <v>#DIV/0!</v>
      </c>
    </row>
    <row r="132" spans="1:19" ht="31.5" hidden="1" customHeight="1">
      <c r="A132" s="32" t="e">
        <v>#REF!</v>
      </c>
      <c r="B132" s="32"/>
      <c r="C132" s="139" t="s">
        <v>167</v>
      </c>
      <c r="D132" s="139" t="s">
        <v>171</v>
      </c>
      <c r="E132" s="139" t="s">
        <v>172</v>
      </c>
      <c r="F132" s="139" t="s">
        <v>173</v>
      </c>
      <c r="G132" s="139" t="s">
        <v>175</v>
      </c>
      <c r="H132" s="139" t="s">
        <v>187</v>
      </c>
      <c r="I132" s="139"/>
      <c r="J132" s="139" t="s">
        <v>144</v>
      </c>
      <c r="K132" s="140" t="s">
        <v>29</v>
      </c>
      <c r="L132" s="140" t="s">
        <v>188</v>
      </c>
      <c r="M132" s="141">
        <v>0</v>
      </c>
      <c r="N132" s="141">
        <v>0</v>
      </c>
      <c r="O132" s="143" t="e">
        <f t="shared" si="65"/>
        <v>#DIV/0!</v>
      </c>
      <c r="P132" s="141">
        <v>0</v>
      </c>
      <c r="Q132" s="143" t="e">
        <f t="shared" si="65"/>
        <v>#DIV/0!</v>
      </c>
      <c r="R132" s="141">
        <v>0</v>
      </c>
      <c r="S132" s="143" t="e">
        <f t="shared" ref="S132" si="126">+R132/$M132</f>
        <v>#DIV/0!</v>
      </c>
    </row>
    <row r="133" spans="1:19" ht="24.95" hidden="1" customHeight="1">
      <c r="A133" s="32" t="e">
        <v>#REF!</v>
      </c>
      <c r="B133" s="32"/>
      <c r="C133" s="145" t="s">
        <v>167</v>
      </c>
      <c r="D133" s="145" t="s">
        <v>171</v>
      </c>
      <c r="E133" s="145" t="s">
        <v>172</v>
      </c>
      <c r="F133" s="145" t="s">
        <v>173</v>
      </c>
      <c r="G133" s="145" t="s">
        <v>175</v>
      </c>
      <c r="H133" s="145" t="s">
        <v>187</v>
      </c>
      <c r="I133" s="145" t="s">
        <v>54</v>
      </c>
      <c r="J133" s="145" t="s">
        <v>144</v>
      </c>
      <c r="K133" s="146" t="s">
        <v>29</v>
      </c>
      <c r="L133" s="147" t="s">
        <v>178</v>
      </c>
      <c r="M133" s="148">
        <v>0</v>
      </c>
      <c r="N133" s="148">
        <v>0</v>
      </c>
      <c r="O133" s="150" t="e">
        <f t="shared" si="65"/>
        <v>#DIV/0!</v>
      </c>
      <c r="P133" s="148">
        <v>0</v>
      </c>
      <c r="Q133" s="150" t="e">
        <f t="shared" si="65"/>
        <v>#DIV/0!</v>
      </c>
      <c r="R133" s="148">
        <v>0</v>
      </c>
      <c r="S133" s="150" t="e">
        <f t="shared" ref="S133" si="127">+R133/$M133</f>
        <v>#DIV/0!</v>
      </c>
    </row>
    <row r="134" spans="1:19" ht="24.95" hidden="1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65</v>
      </c>
      <c r="J134" s="145" t="s">
        <v>144</v>
      </c>
      <c r="K134" s="146" t="s">
        <v>29</v>
      </c>
      <c r="L134" s="147" t="s">
        <v>127</v>
      </c>
      <c r="M134" s="148">
        <v>0</v>
      </c>
      <c r="N134" s="148">
        <v>0</v>
      </c>
      <c r="O134" s="150" t="e">
        <f t="shared" si="65"/>
        <v>#DIV/0!</v>
      </c>
      <c r="P134" s="148">
        <v>0</v>
      </c>
      <c r="Q134" s="150" t="e">
        <f t="shared" si="65"/>
        <v>#DIV/0!</v>
      </c>
      <c r="R134" s="148">
        <v>0</v>
      </c>
      <c r="S134" s="150" t="e">
        <f t="shared" ref="S134" si="128">+R134/$M134</f>
        <v>#DIV/0!</v>
      </c>
    </row>
    <row r="135" spans="1:19" ht="35.25" customHeight="1">
      <c r="A135" s="32" t="e">
        <v>#REF!</v>
      </c>
      <c r="B135" s="122" t="s">
        <v>482</v>
      </c>
      <c r="C135" s="123" t="s">
        <v>167</v>
      </c>
      <c r="D135" s="123">
        <v>4103</v>
      </c>
      <c r="E135" s="123"/>
      <c r="F135" s="123"/>
      <c r="G135" s="123"/>
      <c r="H135" s="123"/>
      <c r="I135" s="123"/>
      <c r="J135" s="124"/>
      <c r="K135" s="124"/>
      <c r="L135" s="124" t="s">
        <v>189</v>
      </c>
      <c r="M135" s="125">
        <v>12911249110989</v>
      </c>
      <c r="N135" s="125">
        <v>3556050477788.5303</v>
      </c>
      <c r="O135" s="126">
        <f t="shared" si="65"/>
        <v>0.27542265254272807</v>
      </c>
      <c r="P135" s="125">
        <v>2502378518928.3301</v>
      </c>
      <c r="Q135" s="126">
        <f t="shared" si="65"/>
        <v>0.19381382060071245</v>
      </c>
      <c r="R135" s="125">
        <v>2498940645299.3301</v>
      </c>
      <c r="S135" s="126">
        <f t="shared" ref="S135" si="129">+R135/$M135</f>
        <v>0.19354755096255064</v>
      </c>
    </row>
    <row r="136" spans="1:19" ht="24" customHeight="1">
      <c r="A136" s="32" t="e">
        <v>#REF!</v>
      </c>
      <c r="B136" s="127" t="s">
        <v>296</v>
      </c>
      <c r="C136" s="128" t="s">
        <v>167</v>
      </c>
      <c r="D136" s="128">
        <v>4103</v>
      </c>
      <c r="E136" s="128">
        <v>1500</v>
      </c>
      <c r="F136" s="128"/>
      <c r="G136" s="128"/>
      <c r="H136" s="128"/>
      <c r="I136" s="128"/>
      <c r="J136" s="129"/>
      <c r="K136" s="129"/>
      <c r="L136" s="129" t="s">
        <v>170</v>
      </c>
      <c r="M136" s="130">
        <v>12911249110989</v>
      </c>
      <c r="N136" s="130">
        <v>3556050477788.5303</v>
      </c>
      <c r="O136" s="131">
        <f t="shared" ref="O136:Q199" si="130">+N136/$M136</f>
        <v>0.27542265254272807</v>
      </c>
      <c r="P136" s="130">
        <v>2502378518928.3301</v>
      </c>
      <c r="Q136" s="131">
        <f t="shared" si="130"/>
        <v>0.19381382060071245</v>
      </c>
      <c r="R136" s="130">
        <v>2498940645299.3301</v>
      </c>
      <c r="S136" s="131">
        <f t="shared" ref="S136" si="131">+R136/$M136</f>
        <v>0.19354755096255064</v>
      </c>
    </row>
    <row r="137" spans="1:19" ht="42.75" customHeight="1">
      <c r="A137" s="32" t="e">
        <v>#REF!</v>
      </c>
      <c r="B137" s="132" t="s">
        <v>297</v>
      </c>
      <c r="C137" s="133" t="s">
        <v>167</v>
      </c>
      <c r="D137" s="133" t="s">
        <v>190</v>
      </c>
      <c r="E137" s="133" t="s">
        <v>172</v>
      </c>
      <c r="F137" s="133" t="s">
        <v>191</v>
      </c>
      <c r="G137" s="133"/>
      <c r="H137" s="133"/>
      <c r="I137" s="133"/>
      <c r="J137" s="133"/>
      <c r="K137" s="134"/>
      <c r="L137" s="134" t="s">
        <v>263</v>
      </c>
      <c r="M137" s="135">
        <v>2205025363612</v>
      </c>
      <c r="N137" s="135">
        <v>458825181368.92999</v>
      </c>
      <c r="O137" s="137">
        <f t="shared" si="130"/>
        <v>0.20808158896518963</v>
      </c>
      <c r="P137" s="135">
        <v>410916247542.96997</v>
      </c>
      <c r="Q137" s="137">
        <f t="shared" si="130"/>
        <v>0.18635443125690751</v>
      </c>
      <c r="R137" s="135">
        <v>408485660584.96997</v>
      </c>
      <c r="S137" s="137">
        <f t="shared" ref="S137" si="132">+R137/$M137</f>
        <v>0.18525213692591691</v>
      </c>
    </row>
    <row r="138" spans="1:19" ht="30.75" customHeight="1">
      <c r="A138" s="32" t="e">
        <v>#REF!</v>
      </c>
      <c r="B138" s="138" t="s">
        <v>486</v>
      </c>
      <c r="C138" s="139" t="s">
        <v>167</v>
      </c>
      <c r="D138" s="139" t="s">
        <v>190</v>
      </c>
      <c r="E138" s="139" t="s">
        <v>172</v>
      </c>
      <c r="F138" s="139" t="s">
        <v>191</v>
      </c>
      <c r="G138" s="139" t="s">
        <v>175</v>
      </c>
      <c r="H138" s="139" t="s">
        <v>193</v>
      </c>
      <c r="I138" s="139"/>
      <c r="J138" s="139"/>
      <c r="K138" s="140"/>
      <c r="L138" s="140" t="s">
        <v>194</v>
      </c>
      <c r="M138" s="141">
        <v>2198261329758</v>
      </c>
      <c r="N138" s="141">
        <v>458825181368.92999</v>
      </c>
      <c r="O138" s="143">
        <f t="shared" si="130"/>
        <v>0.20872185447552802</v>
      </c>
      <c r="P138" s="141">
        <v>410916247542.96997</v>
      </c>
      <c r="Q138" s="143">
        <f t="shared" si="130"/>
        <v>0.18692784246366492</v>
      </c>
      <c r="R138" s="141">
        <v>408485660584.96997</v>
      </c>
      <c r="S138" s="143">
        <f t="shared" ref="S138" si="133">+R138/$M138</f>
        <v>0.18582215638117008</v>
      </c>
    </row>
    <row r="139" spans="1:19" ht="24.95" customHeight="1">
      <c r="A139" s="32" t="e">
        <v>#REF!</v>
      </c>
      <c r="B139" s="144" t="s">
        <v>488</v>
      </c>
      <c r="C139" s="145" t="s">
        <v>167</v>
      </c>
      <c r="D139" s="145" t="s">
        <v>190</v>
      </c>
      <c r="E139" s="145" t="s">
        <v>172</v>
      </c>
      <c r="F139" s="145" t="s">
        <v>191</v>
      </c>
      <c r="G139" s="145" t="s">
        <v>175</v>
      </c>
      <c r="H139" s="145" t="s">
        <v>193</v>
      </c>
      <c r="I139" s="145" t="s">
        <v>54</v>
      </c>
      <c r="J139" s="145">
        <v>11</v>
      </c>
      <c r="K139" s="146" t="s">
        <v>29</v>
      </c>
      <c r="L139" s="147" t="s">
        <v>178</v>
      </c>
      <c r="M139" s="148">
        <v>87392276221</v>
      </c>
      <c r="N139" s="148">
        <v>54413810268.93</v>
      </c>
      <c r="O139" s="150">
        <f t="shared" si="130"/>
        <v>0.62263866581672334</v>
      </c>
      <c r="P139" s="148">
        <v>7346726442.9700003</v>
      </c>
      <c r="Q139" s="150">
        <f t="shared" si="130"/>
        <v>8.4066084105549513E-2</v>
      </c>
      <c r="R139" s="148">
        <v>6589639484.9700003</v>
      </c>
      <c r="S139" s="150">
        <f t="shared" ref="S139" si="134">+R139/$M139</f>
        <v>7.5402996350683649E-2</v>
      </c>
    </row>
    <row r="140" spans="1:19" ht="24.95" customHeight="1">
      <c r="A140" s="32" t="e">
        <v>#REF!</v>
      </c>
      <c r="B140" s="144" t="s">
        <v>488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54</v>
      </c>
      <c r="J140" s="145">
        <v>13</v>
      </c>
      <c r="K140" s="146" t="s">
        <v>29</v>
      </c>
      <c r="L140" s="147" t="s">
        <v>178</v>
      </c>
      <c r="M140" s="148">
        <v>148552450</v>
      </c>
      <c r="N140" s="148">
        <v>67000000</v>
      </c>
      <c r="O140" s="150">
        <f t="shared" si="130"/>
        <v>0.45101915182146102</v>
      </c>
      <c r="P140" s="148">
        <v>0</v>
      </c>
      <c r="Q140" s="150">
        <f t="shared" si="130"/>
        <v>0</v>
      </c>
      <c r="R140" s="148">
        <v>0</v>
      </c>
      <c r="S140" s="150">
        <f t="shared" ref="S140" si="135">+R140/$M140</f>
        <v>0</v>
      </c>
    </row>
    <row r="141" spans="1:19" ht="24.95" customHeight="1">
      <c r="A141" s="32" t="e">
        <v>#REF!</v>
      </c>
      <c r="B141" s="144" t="s">
        <v>491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65</v>
      </c>
      <c r="J141" s="145" t="s">
        <v>144</v>
      </c>
      <c r="K141" s="146" t="s">
        <v>29</v>
      </c>
      <c r="L141" s="147" t="s">
        <v>127</v>
      </c>
      <c r="M141" s="148">
        <v>244622904349</v>
      </c>
      <c r="N141" s="148">
        <v>81440000000</v>
      </c>
      <c r="O141" s="150">
        <f t="shared" si="130"/>
        <v>0.3329205832819756</v>
      </c>
      <c r="P141" s="148">
        <v>80810650000</v>
      </c>
      <c r="Q141" s="150">
        <f t="shared" si="130"/>
        <v>0.33034784790515204</v>
      </c>
      <c r="R141" s="148">
        <v>80810650000</v>
      </c>
      <c r="S141" s="150">
        <f t="shared" ref="S141" si="136">+R141/$M141</f>
        <v>0.33034784790515204</v>
      </c>
    </row>
    <row r="142" spans="1:19" ht="24.95" customHeight="1">
      <c r="A142" s="32" t="e">
        <v>#REF!</v>
      </c>
      <c r="B142" s="144" t="s">
        <v>491</v>
      </c>
      <c r="C142" s="145" t="s">
        <v>167</v>
      </c>
      <c r="D142" s="145" t="s">
        <v>190</v>
      </c>
      <c r="E142" s="145" t="s">
        <v>172</v>
      </c>
      <c r="F142" s="145" t="s">
        <v>191</v>
      </c>
      <c r="G142" s="145" t="s">
        <v>175</v>
      </c>
      <c r="H142" s="145" t="s">
        <v>193</v>
      </c>
      <c r="I142" s="145" t="s">
        <v>65</v>
      </c>
      <c r="J142" s="145">
        <v>13</v>
      </c>
      <c r="K142" s="146" t="s">
        <v>29</v>
      </c>
      <c r="L142" s="147" t="s">
        <v>127</v>
      </c>
      <c r="M142" s="148">
        <v>1866097596738</v>
      </c>
      <c r="N142" s="148">
        <v>322904371100</v>
      </c>
      <c r="O142" s="150">
        <f t="shared" si="130"/>
        <v>0.17303723645775412</v>
      </c>
      <c r="P142" s="148">
        <v>322758871100</v>
      </c>
      <c r="Q142" s="150">
        <f t="shared" si="130"/>
        <v>0.17295926625927449</v>
      </c>
      <c r="R142" s="148">
        <v>321085371100</v>
      </c>
      <c r="S142" s="150">
        <f t="shared" ref="S142" si="137">+R142/$M142</f>
        <v>0.1720624750073457</v>
      </c>
    </row>
    <row r="143" spans="1:19" ht="32.25" customHeight="1">
      <c r="A143" s="32" t="e">
        <v>#REF!</v>
      </c>
      <c r="B143" s="138" t="s">
        <v>494</v>
      </c>
      <c r="C143" s="139" t="s">
        <v>167</v>
      </c>
      <c r="D143" s="139" t="s">
        <v>190</v>
      </c>
      <c r="E143" s="139" t="s">
        <v>172</v>
      </c>
      <c r="F143" s="139" t="s">
        <v>191</v>
      </c>
      <c r="G143" s="139" t="s">
        <v>175</v>
      </c>
      <c r="H143" s="139">
        <v>4103009</v>
      </c>
      <c r="I143" s="139"/>
      <c r="J143" s="139"/>
      <c r="K143" s="140" t="s">
        <v>29</v>
      </c>
      <c r="L143" s="140" t="s">
        <v>195</v>
      </c>
      <c r="M143" s="141">
        <v>6164033854</v>
      </c>
      <c r="N143" s="141">
        <v>0</v>
      </c>
      <c r="O143" s="143">
        <f t="shared" si="130"/>
        <v>0</v>
      </c>
      <c r="P143" s="141">
        <v>0</v>
      </c>
      <c r="Q143" s="143">
        <f t="shared" si="130"/>
        <v>0</v>
      </c>
      <c r="R143" s="141">
        <v>0</v>
      </c>
      <c r="S143" s="143">
        <f t="shared" ref="S143" si="138">+R143/$M143</f>
        <v>0</v>
      </c>
    </row>
    <row r="144" spans="1:19" ht="24.95" customHeight="1">
      <c r="A144" s="32" t="e">
        <v>#REF!</v>
      </c>
      <c r="B144" s="144" t="s">
        <v>496</v>
      </c>
      <c r="C144" s="145" t="s">
        <v>167</v>
      </c>
      <c r="D144" s="145" t="s">
        <v>190</v>
      </c>
      <c r="E144" s="145" t="s">
        <v>172</v>
      </c>
      <c r="F144" s="145" t="s">
        <v>191</v>
      </c>
      <c r="G144" s="145" t="s">
        <v>175</v>
      </c>
      <c r="H144" s="145">
        <v>4103009</v>
      </c>
      <c r="I144" s="145" t="s">
        <v>54</v>
      </c>
      <c r="J144" s="145">
        <v>11</v>
      </c>
      <c r="K144" s="146" t="s">
        <v>29</v>
      </c>
      <c r="L144" s="147" t="s">
        <v>178</v>
      </c>
      <c r="M144" s="148">
        <v>6164033854</v>
      </c>
      <c r="N144" s="148">
        <v>0</v>
      </c>
      <c r="O144" s="150">
        <f t="shared" si="130"/>
        <v>0</v>
      </c>
      <c r="P144" s="148">
        <v>0</v>
      </c>
      <c r="Q144" s="150">
        <f t="shared" si="130"/>
        <v>0</v>
      </c>
      <c r="R144" s="148">
        <v>0</v>
      </c>
      <c r="S144" s="150">
        <f t="shared" ref="S144" si="139">+R144/$M144</f>
        <v>0</v>
      </c>
    </row>
    <row r="145" spans="1:19" ht="32.25" customHeight="1">
      <c r="A145" s="32" t="e">
        <v>#REF!</v>
      </c>
      <c r="B145" s="138" t="s">
        <v>497</v>
      </c>
      <c r="C145" s="139" t="s">
        <v>167</v>
      </c>
      <c r="D145" s="139" t="s">
        <v>190</v>
      </c>
      <c r="E145" s="139" t="s">
        <v>172</v>
      </c>
      <c r="F145" s="139" t="s">
        <v>191</v>
      </c>
      <c r="G145" s="139" t="s">
        <v>175</v>
      </c>
      <c r="H145" s="139">
        <v>4103047</v>
      </c>
      <c r="I145" s="139"/>
      <c r="J145" s="139">
        <v>11</v>
      </c>
      <c r="K145" s="140" t="s">
        <v>29</v>
      </c>
      <c r="L145" s="140" t="s">
        <v>195</v>
      </c>
      <c r="M145" s="141">
        <v>600000000</v>
      </c>
      <c r="N145" s="141">
        <v>0</v>
      </c>
      <c r="O145" s="143">
        <f t="shared" si="130"/>
        <v>0</v>
      </c>
      <c r="P145" s="141">
        <v>0</v>
      </c>
      <c r="Q145" s="143">
        <f t="shared" si="130"/>
        <v>0</v>
      </c>
      <c r="R145" s="141">
        <v>0</v>
      </c>
      <c r="S145" s="143">
        <f t="shared" ref="S145" si="140">+R145/$M145</f>
        <v>0</v>
      </c>
    </row>
    <row r="146" spans="1:19" ht="24.95" customHeight="1">
      <c r="A146" s="32" t="e">
        <v>#REF!</v>
      </c>
      <c r="B146" s="144" t="s">
        <v>498</v>
      </c>
      <c r="C146" s="145" t="s">
        <v>167</v>
      </c>
      <c r="D146" s="145" t="s">
        <v>190</v>
      </c>
      <c r="E146" s="145" t="s">
        <v>172</v>
      </c>
      <c r="F146" s="145" t="s">
        <v>191</v>
      </c>
      <c r="G146" s="145" t="s">
        <v>175</v>
      </c>
      <c r="H146" s="145">
        <v>4103047</v>
      </c>
      <c r="I146" s="145" t="s">
        <v>54</v>
      </c>
      <c r="J146" s="145">
        <v>11</v>
      </c>
      <c r="K146" s="146" t="s">
        <v>29</v>
      </c>
      <c r="L146" s="147" t="s">
        <v>178</v>
      </c>
      <c r="M146" s="148">
        <v>600000000</v>
      </c>
      <c r="N146" s="148">
        <v>0</v>
      </c>
      <c r="O146" s="150">
        <f t="shared" si="130"/>
        <v>0</v>
      </c>
      <c r="P146" s="148">
        <v>0</v>
      </c>
      <c r="Q146" s="150">
        <f t="shared" si="130"/>
        <v>0</v>
      </c>
      <c r="R146" s="148">
        <v>0</v>
      </c>
      <c r="S146" s="150">
        <f t="shared" ref="S146" si="141">+R146/$M146</f>
        <v>0</v>
      </c>
    </row>
    <row r="147" spans="1:19" ht="42" customHeight="1">
      <c r="A147" s="32" t="e">
        <v>#REF!</v>
      </c>
      <c r="B147" s="132" t="s">
        <v>298</v>
      </c>
      <c r="C147" s="133" t="s">
        <v>167</v>
      </c>
      <c r="D147" s="133" t="s">
        <v>190</v>
      </c>
      <c r="E147" s="133" t="s">
        <v>172</v>
      </c>
      <c r="F147" s="133" t="s">
        <v>22</v>
      </c>
      <c r="G147" s="133"/>
      <c r="H147" s="133"/>
      <c r="I147" s="133"/>
      <c r="J147" s="133"/>
      <c r="K147" s="134"/>
      <c r="L147" s="134" t="s">
        <v>264</v>
      </c>
      <c r="M147" s="135">
        <v>126000000000</v>
      </c>
      <c r="N147" s="135">
        <v>116802881959</v>
      </c>
      <c r="O147" s="137">
        <f t="shared" si="130"/>
        <v>0.9270069996746032</v>
      </c>
      <c r="P147" s="135">
        <v>12878559571.98</v>
      </c>
      <c r="Q147" s="137">
        <f t="shared" si="130"/>
        <v>0.10221079025380952</v>
      </c>
      <c r="R147" s="135">
        <v>12694157997.98</v>
      </c>
      <c r="S147" s="137">
        <f t="shared" ref="S147" si="142">+R147/$M147</f>
        <v>0.10074728569825396</v>
      </c>
    </row>
    <row r="148" spans="1:19" ht="32.25" customHeight="1">
      <c r="A148" s="32" t="e">
        <v>#REF!</v>
      </c>
      <c r="B148" s="138" t="s">
        <v>500</v>
      </c>
      <c r="C148" s="139" t="s">
        <v>167</v>
      </c>
      <c r="D148" s="139" t="s">
        <v>190</v>
      </c>
      <c r="E148" s="139" t="s">
        <v>172</v>
      </c>
      <c r="F148" s="139" t="s">
        <v>22</v>
      </c>
      <c r="G148" s="139" t="s">
        <v>175</v>
      </c>
      <c r="H148" s="139" t="s">
        <v>197</v>
      </c>
      <c r="I148" s="139"/>
      <c r="J148" s="139">
        <v>13</v>
      </c>
      <c r="K148" s="140" t="s">
        <v>29</v>
      </c>
      <c r="L148" s="140" t="s">
        <v>198</v>
      </c>
      <c r="M148" s="141">
        <v>12543853246</v>
      </c>
      <c r="N148" s="141">
        <v>12497150539</v>
      </c>
      <c r="O148" s="143">
        <f t="shared" si="130"/>
        <v>0.99627684523374882</v>
      </c>
      <c r="P148" s="141">
        <v>0</v>
      </c>
      <c r="Q148" s="143">
        <f t="shared" si="130"/>
        <v>0</v>
      </c>
      <c r="R148" s="141">
        <v>0</v>
      </c>
      <c r="S148" s="143">
        <f t="shared" ref="S148" si="143">+R148/$M148</f>
        <v>0</v>
      </c>
    </row>
    <row r="149" spans="1:19" ht="24.95" customHeight="1">
      <c r="A149" s="32" t="e">
        <v>#REF!</v>
      </c>
      <c r="B149" s="144" t="s">
        <v>501</v>
      </c>
      <c r="C149" s="145" t="s">
        <v>167</v>
      </c>
      <c r="D149" s="145" t="s">
        <v>190</v>
      </c>
      <c r="E149" s="145" t="s">
        <v>172</v>
      </c>
      <c r="F149" s="145" t="s">
        <v>22</v>
      </c>
      <c r="G149" s="145" t="s">
        <v>175</v>
      </c>
      <c r="H149" s="145" t="s">
        <v>197</v>
      </c>
      <c r="I149" s="145" t="s">
        <v>54</v>
      </c>
      <c r="J149" s="145">
        <v>13</v>
      </c>
      <c r="K149" s="146" t="s">
        <v>29</v>
      </c>
      <c r="L149" s="147" t="s">
        <v>178</v>
      </c>
      <c r="M149" s="148">
        <v>12543853246</v>
      </c>
      <c r="N149" s="148">
        <v>12497150539</v>
      </c>
      <c r="O149" s="150">
        <f t="shared" si="130"/>
        <v>0.99627684523374882</v>
      </c>
      <c r="P149" s="148"/>
      <c r="Q149" s="150">
        <f t="shared" si="130"/>
        <v>0</v>
      </c>
      <c r="R149" s="148"/>
      <c r="S149" s="150">
        <f t="shared" ref="S149" si="144">+R149/$M149</f>
        <v>0</v>
      </c>
    </row>
    <row r="150" spans="1:19" ht="32.25" customHeight="1">
      <c r="A150" s="32" t="e">
        <v>#REF!</v>
      </c>
      <c r="B150" s="138" t="s">
        <v>502</v>
      </c>
      <c r="C150" s="139" t="s">
        <v>167</v>
      </c>
      <c r="D150" s="139" t="s">
        <v>190</v>
      </c>
      <c r="E150" s="139" t="s">
        <v>172</v>
      </c>
      <c r="F150" s="139" t="s">
        <v>22</v>
      </c>
      <c r="G150" s="139" t="s">
        <v>175</v>
      </c>
      <c r="H150" s="139" t="s">
        <v>199</v>
      </c>
      <c r="I150" s="139"/>
      <c r="J150" s="139">
        <v>13</v>
      </c>
      <c r="K150" s="140" t="s">
        <v>29</v>
      </c>
      <c r="L150" s="140" t="s">
        <v>200</v>
      </c>
      <c r="M150" s="141">
        <v>5747471657</v>
      </c>
      <c r="N150" s="141">
        <v>5632124153</v>
      </c>
      <c r="O150" s="143">
        <f t="shared" si="130"/>
        <v>0.97993073983070189</v>
      </c>
      <c r="P150" s="141">
        <v>0</v>
      </c>
      <c r="Q150" s="143">
        <f t="shared" si="130"/>
        <v>0</v>
      </c>
      <c r="R150" s="141">
        <v>0</v>
      </c>
      <c r="S150" s="143">
        <f t="shared" ref="S150" si="145">+R150/$M150</f>
        <v>0</v>
      </c>
    </row>
    <row r="151" spans="1:19" ht="24.95" customHeight="1">
      <c r="A151" s="32" t="e">
        <v>#REF!</v>
      </c>
      <c r="B151" s="144" t="s">
        <v>503</v>
      </c>
      <c r="C151" s="145" t="s">
        <v>167</v>
      </c>
      <c r="D151" s="145" t="s">
        <v>190</v>
      </c>
      <c r="E151" s="145" t="s">
        <v>172</v>
      </c>
      <c r="F151" s="145" t="s">
        <v>22</v>
      </c>
      <c r="G151" s="145" t="s">
        <v>175</v>
      </c>
      <c r="H151" s="145" t="s">
        <v>199</v>
      </c>
      <c r="I151" s="145" t="s">
        <v>54</v>
      </c>
      <c r="J151" s="145">
        <v>13</v>
      </c>
      <c r="K151" s="146" t="s">
        <v>29</v>
      </c>
      <c r="L151" s="147" t="s">
        <v>178</v>
      </c>
      <c r="M151" s="148">
        <v>5747471657</v>
      </c>
      <c r="N151" s="148">
        <v>5632124153</v>
      </c>
      <c r="O151" s="150">
        <f t="shared" si="130"/>
        <v>0.97993073983070189</v>
      </c>
      <c r="P151" s="148"/>
      <c r="Q151" s="150">
        <f t="shared" si="130"/>
        <v>0</v>
      </c>
      <c r="R151" s="148"/>
      <c r="S151" s="150">
        <f t="shared" ref="S151" si="146">+R151/$M151</f>
        <v>0</v>
      </c>
    </row>
    <row r="152" spans="1:19" ht="32.25" customHeight="1">
      <c r="A152" s="32" t="e">
        <v>#REF!</v>
      </c>
      <c r="B152" s="138" t="s">
        <v>504</v>
      </c>
      <c r="C152" s="139" t="s">
        <v>167</v>
      </c>
      <c r="D152" s="139" t="s">
        <v>190</v>
      </c>
      <c r="E152" s="139" t="s">
        <v>172</v>
      </c>
      <c r="F152" s="139" t="s">
        <v>22</v>
      </c>
      <c r="G152" s="139" t="s">
        <v>175</v>
      </c>
      <c r="H152" s="139" t="s">
        <v>201</v>
      </c>
      <c r="I152" s="139"/>
      <c r="J152" s="139">
        <v>13</v>
      </c>
      <c r="K152" s="140" t="s">
        <v>29</v>
      </c>
      <c r="L152" s="140" t="s">
        <v>202</v>
      </c>
      <c r="M152" s="141">
        <v>11231519737</v>
      </c>
      <c r="N152" s="141">
        <v>7961326411</v>
      </c>
      <c r="O152" s="143">
        <f t="shared" si="130"/>
        <v>0.7088378596507291</v>
      </c>
      <c r="P152" s="141">
        <v>733449438.98000002</v>
      </c>
      <c r="Q152" s="143">
        <f t="shared" si="130"/>
        <v>6.5302777910258861E-2</v>
      </c>
      <c r="R152" s="141">
        <v>549047864.98000002</v>
      </c>
      <c r="S152" s="143">
        <f t="shared" ref="S152" si="147">+R152/$M152</f>
        <v>4.8884556839736602E-2</v>
      </c>
    </row>
    <row r="153" spans="1:19" ht="24.95" customHeight="1">
      <c r="A153" s="32" t="e">
        <v>#REF!</v>
      </c>
      <c r="B153" s="144" t="s">
        <v>505</v>
      </c>
      <c r="C153" s="145" t="s">
        <v>167</v>
      </c>
      <c r="D153" s="145" t="s">
        <v>190</v>
      </c>
      <c r="E153" s="145" t="s">
        <v>172</v>
      </c>
      <c r="F153" s="145" t="s">
        <v>22</v>
      </c>
      <c r="G153" s="145" t="s">
        <v>175</v>
      </c>
      <c r="H153" s="145" t="s">
        <v>201</v>
      </c>
      <c r="I153" s="145" t="s">
        <v>54</v>
      </c>
      <c r="J153" s="145">
        <v>13</v>
      </c>
      <c r="K153" s="146" t="s">
        <v>29</v>
      </c>
      <c r="L153" s="147" t="s">
        <v>178</v>
      </c>
      <c r="M153" s="148">
        <v>11231519737</v>
      </c>
      <c r="N153" s="148">
        <v>7961326411</v>
      </c>
      <c r="O153" s="150">
        <f t="shared" si="130"/>
        <v>0.7088378596507291</v>
      </c>
      <c r="P153" s="148">
        <v>733449438.98000002</v>
      </c>
      <c r="Q153" s="150">
        <f t="shared" si="130"/>
        <v>6.5302777910258861E-2</v>
      </c>
      <c r="R153" s="148">
        <v>549047864.98000002</v>
      </c>
      <c r="S153" s="150">
        <f t="shared" ref="S153" si="148">+R153/$M153</f>
        <v>4.8884556839736602E-2</v>
      </c>
    </row>
    <row r="154" spans="1:19" ht="32.25" customHeight="1">
      <c r="A154" s="32" t="e">
        <v>#REF!</v>
      </c>
      <c r="B154" s="138" t="s">
        <v>506</v>
      </c>
      <c r="C154" s="139" t="s">
        <v>167</v>
      </c>
      <c r="D154" s="139" t="s">
        <v>190</v>
      </c>
      <c r="E154" s="139" t="s">
        <v>172</v>
      </c>
      <c r="F154" s="139" t="s">
        <v>22</v>
      </c>
      <c r="G154" s="139" t="s">
        <v>175</v>
      </c>
      <c r="H154" s="139" t="s">
        <v>203</v>
      </c>
      <c r="I154" s="139"/>
      <c r="J154" s="139">
        <v>13</v>
      </c>
      <c r="K154" s="140" t="s">
        <v>29</v>
      </c>
      <c r="L154" s="140" t="s">
        <v>204</v>
      </c>
      <c r="M154" s="141">
        <v>96477155360</v>
      </c>
      <c r="N154" s="141">
        <v>90712280856</v>
      </c>
      <c r="O154" s="143">
        <f t="shared" si="130"/>
        <v>0.94024622220163268</v>
      </c>
      <c r="P154" s="141">
        <v>12145110133</v>
      </c>
      <c r="Q154" s="143">
        <f t="shared" si="130"/>
        <v>0.1258858647695518</v>
      </c>
      <c r="R154" s="141">
        <v>12145110133</v>
      </c>
      <c r="S154" s="143">
        <f t="shared" ref="S154" si="149">+R154/$M154</f>
        <v>0.1258858647695518</v>
      </c>
    </row>
    <row r="155" spans="1:19" ht="24.95" customHeight="1">
      <c r="A155" s="32" t="e">
        <v>#REF!</v>
      </c>
      <c r="B155" s="144" t="s">
        <v>507</v>
      </c>
      <c r="C155" s="145" t="s">
        <v>167</v>
      </c>
      <c r="D155" s="145" t="s">
        <v>190</v>
      </c>
      <c r="E155" s="145" t="s">
        <v>172</v>
      </c>
      <c r="F155" s="145" t="s">
        <v>22</v>
      </c>
      <c r="G155" s="145" t="s">
        <v>175</v>
      </c>
      <c r="H155" s="145" t="s">
        <v>203</v>
      </c>
      <c r="I155" s="145" t="s">
        <v>54</v>
      </c>
      <c r="J155" s="145">
        <v>13</v>
      </c>
      <c r="K155" s="146" t="s">
        <v>29</v>
      </c>
      <c r="L155" s="147" t="s">
        <v>178</v>
      </c>
      <c r="M155" s="148">
        <v>96477155360</v>
      </c>
      <c r="N155" s="148">
        <v>90712280856</v>
      </c>
      <c r="O155" s="150">
        <f t="shared" si="130"/>
        <v>0.94024622220163268</v>
      </c>
      <c r="P155" s="148">
        <v>12145110133</v>
      </c>
      <c r="Q155" s="150">
        <f t="shared" si="130"/>
        <v>0.1258858647695518</v>
      </c>
      <c r="R155" s="148">
        <v>12145110133</v>
      </c>
      <c r="S155" s="150">
        <f t="shared" ref="S155" si="150">+R155/$M155</f>
        <v>0.1258858647695518</v>
      </c>
    </row>
    <row r="156" spans="1:19" ht="42" customHeight="1">
      <c r="A156" s="32" t="e">
        <v>#REF!</v>
      </c>
      <c r="B156" s="132" t="s">
        <v>299</v>
      </c>
      <c r="C156" s="133" t="s">
        <v>167</v>
      </c>
      <c r="D156" s="133" t="s">
        <v>190</v>
      </c>
      <c r="E156" s="133" t="s">
        <v>172</v>
      </c>
      <c r="F156" s="133" t="s">
        <v>205</v>
      </c>
      <c r="G156" s="133"/>
      <c r="H156" s="133"/>
      <c r="I156" s="133"/>
      <c r="J156" s="133"/>
      <c r="K156" s="134"/>
      <c r="L156" s="134" t="s">
        <v>265</v>
      </c>
      <c r="M156" s="135">
        <v>662805945958.00012</v>
      </c>
      <c r="N156" s="135">
        <v>616058463221.38</v>
      </c>
      <c r="O156" s="137">
        <f t="shared" si="130"/>
        <v>0.92947033287540493</v>
      </c>
      <c r="P156" s="135">
        <v>2953556376.3099999</v>
      </c>
      <c r="Q156" s="137">
        <f t="shared" si="130"/>
        <v>4.4561404349519182E-3</v>
      </c>
      <c r="R156" s="135">
        <v>2816511142.3099999</v>
      </c>
      <c r="S156" s="137">
        <f t="shared" ref="S156" si="151">+R156/$M156</f>
        <v>4.2493751896553944E-3</v>
      </c>
    </row>
    <row r="157" spans="1:19" ht="30.75" hidden="1" customHeight="1">
      <c r="A157" s="32"/>
      <c r="B157" s="135"/>
      <c r="C157" s="133"/>
      <c r="D157" s="133"/>
      <c r="E157" s="133"/>
      <c r="F157" s="133"/>
      <c r="G157" s="133"/>
      <c r="H157" s="133"/>
      <c r="I157" s="133"/>
      <c r="J157" s="133"/>
      <c r="K157" s="134"/>
      <c r="L157" s="135"/>
      <c r="M157" s="135">
        <v>0</v>
      </c>
      <c r="N157" s="135"/>
      <c r="O157" s="137" t="e">
        <f t="shared" si="130"/>
        <v>#DIV/0!</v>
      </c>
      <c r="P157" s="135"/>
      <c r="Q157" s="137" t="e">
        <f t="shared" si="130"/>
        <v>#DIV/0!</v>
      </c>
      <c r="R157" s="135"/>
      <c r="S157" s="137" t="e">
        <f t="shared" ref="S157" si="152">+R157/$M157</f>
        <v>#DIV/0!</v>
      </c>
    </row>
    <row r="158" spans="1:19" ht="32.25" customHeight="1">
      <c r="A158" s="32" t="e">
        <v>#REF!</v>
      </c>
      <c r="B158" s="138" t="s">
        <v>510</v>
      </c>
      <c r="C158" s="139" t="s">
        <v>167</v>
      </c>
      <c r="D158" s="139" t="s">
        <v>190</v>
      </c>
      <c r="E158" s="139" t="s">
        <v>172</v>
      </c>
      <c r="F158" s="139" t="s">
        <v>205</v>
      </c>
      <c r="G158" s="139" t="s">
        <v>175</v>
      </c>
      <c r="H158" s="139" t="s">
        <v>207</v>
      </c>
      <c r="I158" s="139"/>
      <c r="J158" s="139"/>
      <c r="K158" s="140"/>
      <c r="L158" s="140" t="s">
        <v>208</v>
      </c>
      <c r="M158" s="141">
        <v>636643207794.00012</v>
      </c>
      <c r="N158" s="141">
        <v>591196209321.47998</v>
      </c>
      <c r="O158" s="143">
        <f t="shared" si="130"/>
        <v>0.92861464959314299</v>
      </c>
      <c r="P158" s="141">
        <v>219144956.31</v>
      </c>
      <c r="Q158" s="143">
        <f t="shared" si="130"/>
        <v>3.4421942090507495E-4</v>
      </c>
      <c r="R158" s="141">
        <v>219144956.31</v>
      </c>
      <c r="S158" s="143">
        <f t="shared" ref="S158" si="153">+R158/$M158</f>
        <v>3.4421942090507495E-4</v>
      </c>
    </row>
    <row r="159" spans="1:19" ht="24.95" customHeight="1">
      <c r="A159" s="32" t="e">
        <v>#REF!</v>
      </c>
      <c r="B159" s="144" t="s">
        <v>511</v>
      </c>
      <c r="C159" s="145" t="s">
        <v>167</v>
      </c>
      <c r="D159" s="145" t="s">
        <v>190</v>
      </c>
      <c r="E159" s="145" t="s">
        <v>172</v>
      </c>
      <c r="F159" s="145" t="s">
        <v>205</v>
      </c>
      <c r="G159" s="145" t="s">
        <v>175</v>
      </c>
      <c r="H159" s="145" t="s">
        <v>207</v>
      </c>
      <c r="I159" s="145" t="s">
        <v>54</v>
      </c>
      <c r="J159" s="145">
        <v>13</v>
      </c>
      <c r="K159" s="146" t="s">
        <v>29</v>
      </c>
      <c r="L159" s="147" t="s">
        <v>178</v>
      </c>
      <c r="M159" s="148">
        <v>69459118381.899994</v>
      </c>
      <c r="N159" s="148">
        <v>64054015848.480003</v>
      </c>
      <c r="O159" s="150">
        <f t="shared" si="130"/>
        <v>0.92218296662359478</v>
      </c>
      <c r="P159" s="148">
        <v>219144956.31</v>
      </c>
      <c r="Q159" s="150">
        <f t="shared" si="130"/>
        <v>3.1550207001634777E-3</v>
      </c>
      <c r="R159" s="148">
        <v>219144956.31</v>
      </c>
      <c r="S159" s="150">
        <f t="shared" ref="S159" si="154">+R159/$M159</f>
        <v>3.1550207001634777E-3</v>
      </c>
    </row>
    <row r="160" spans="1:19" ht="24.95" customHeight="1">
      <c r="A160" s="32" t="e">
        <v>#REF!</v>
      </c>
      <c r="B160" s="144" t="s">
        <v>514</v>
      </c>
      <c r="C160" s="145" t="s">
        <v>167</v>
      </c>
      <c r="D160" s="145" t="s">
        <v>190</v>
      </c>
      <c r="E160" s="145" t="s">
        <v>172</v>
      </c>
      <c r="F160" s="145" t="s">
        <v>205</v>
      </c>
      <c r="G160" s="145" t="s">
        <v>175</v>
      </c>
      <c r="H160" s="145" t="s">
        <v>207</v>
      </c>
      <c r="I160" s="145" t="s">
        <v>65</v>
      </c>
      <c r="J160" s="145">
        <v>13</v>
      </c>
      <c r="K160" s="146" t="s">
        <v>29</v>
      </c>
      <c r="L160" s="147" t="s">
        <v>127</v>
      </c>
      <c r="M160" s="149">
        <v>567184089412.1001</v>
      </c>
      <c r="N160" s="148">
        <v>527142193473</v>
      </c>
      <c r="O160" s="150">
        <f t="shared" si="130"/>
        <v>0.92940229338836977</v>
      </c>
      <c r="P160" s="148">
        <v>0</v>
      </c>
      <c r="Q160" s="150">
        <f t="shared" si="130"/>
        <v>0</v>
      </c>
      <c r="R160" s="148">
        <v>0</v>
      </c>
      <c r="S160" s="150">
        <f t="shared" ref="S160" si="155">+R160/$M160</f>
        <v>0</v>
      </c>
    </row>
    <row r="161" spans="1:19" ht="32.25" customHeight="1">
      <c r="A161" s="32" t="e">
        <v>#REF!</v>
      </c>
      <c r="B161" s="138" t="s">
        <v>516</v>
      </c>
      <c r="C161" s="139" t="s">
        <v>167</v>
      </c>
      <c r="D161" s="139" t="s">
        <v>190</v>
      </c>
      <c r="E161" s="139" t="s">
        <v>172</v>
      </c>
      <c r="F161" s="139" t="s">
        <v>205</v>
      </c>
      <c r="G161" s="139" t="s">
        <v>175</v>
      </c>
      <c r="H161" s="139" t="s">
        <v>209</v>
      </c>
      <c r="I161" s="139"/>
      <c r="J161" s="139">
        <v>11</v>
      </c>
      <c r="K161" s="140" t="s">
        <v>29</v>
      </c>
      <c r="L161" s="140" t="s">
        <v>210</v>
      </c>
      <c r="M161" s="141">
        <v>26162738164</v>
      </c>
      <c r="N161" s="141">
        <v>24862253899.900002</v>
      </c>
      <c r="O161" s="143">
        <f t="shared" si="130"/>
        <v>0.95029250165070767</v>
      </c>
      <c r="P161" s="141">
        <v>2734411420</v>
      </c>
      <c r="Q161" s="143">
        <f t="shared" si="130"/>
        <v>0.10451549080449682</v>
      </c>
      <c r="R161" s="141">
        <v>2597366186</v>
      </c>
      <c r="S161" s="143">
        <f t="shared" ref="S161" si="156">+R161/$M161</f>
        <v>9.9277306898021209E-2</v>
      </c>
    </row>
    <row r="162" spans="1:19" ht="24.95" customHeight="1">
      <c r="A162" s="32" t="e">
        <v>#REF!</v>
      </c>
      <c r="B162" s="144" t="s">
        <v>517</v>
      </c>
      <c r="C162" s="145" t="s">
        <v>167</v>
      </c>
      <c r="D162" s="145" t="s">
        <v>190</v>
      </c>
      <c r="E162" s="145" t="s">
        <v>172</v>
      </c>
      <c r="F162" s="145" t="s">
        <v>205</v>
      </c>
      <c r="G162" s="145" t="s">
        <v>175</v>
      </c>
      <c r="H162" s="145" t="s">
        <v>209</v>
      </c>
      <c r="I162" s="145" t="s">
        <v>54</v>
      </c>
      <c r="J162" s="145">
        <v>11</v>
      </c>
      <c r="K162" s="146" t="s">
        <v>29</v>
      </c>
      <c r="L162" s="147" t="s">
        <v>178</v>
      </c>
      <c r="M162" s="148">
        <v>17101987014</v>
      </c>
      <c r="N162" s="148">
        <v>17096035155</v>
      </c>
      <c r="O162" s="150">
        <f t="shared" si="130"/>
        <v>0.99965197851015042</v>
      </c>
      <c r="P162" s="148">
        <v>1992070191</v>
      </c>
      <c r="Q162" s="150">
        <f t="shared" si="130"/>
        <v>0.1164817976629999</v>
      </c>
      <c r="R162" s="148">
        <v>1963706581</v>
      </c>
      <c r="S162" s="150">
        <f t="shared" ref="S162" si="157">+R162/$M162</f>
        <v>0.11482329973660217</v>
      </c>
    </row>
    <row r="163" spans="1:19" ht="24.95" customHeight="1">
      <c r="A163" s="32" t="e">
        <v>#REF!</v>
      </c>
      <c r="B163" s="144" t="s">
        <v>517</v>
      </c>
      <c r="C163" s="145" t="s">
        <v>167</v>
      </c>
      <c r="D163" s="145" t="s">
        <v>190</v>
      </c>
      <c r="E163" s="145" t="s">
        <v>172</v>
      </c>
      <c r="F163" s="145" t="s">
        <v>205</v>
      </c>
      <c r="G163" s="145" t="s">
        <v>175</v>
      </c>
      <c r="H163" s="145" t="s">
        <v>209</v>
      </c>
      <c r="I163" s="145" t="s">
        <v>54</v>
      </c>
      <c r="J163" s="145">
        <v>13</v>
      </c>
      <c r="K163" s="146" t="s">
        <v>29</v>
      </c>
      <c r="L163" s="147" t="s">
        <v>178</v>
      </c>
      <c r="M163" s="148">
        <v>9060751150</v>
      </c>
      <c r="N163" s="148">
        <v>7766218744.8999996</v>
      </c>
      <c r="O163" s="150">
        <f t="shared" si="130"/>
        <v>0.85712747390706123</v>
      </c>
      <c r="P163" s="148">
        <v>742341229</v>
      </c>
      <c r="Q163" s="150">
        <f t="shared" si="130"/>
        <v>8.192932536283154E-2</v>
      </c>
      <c r="R163" s="148">
        <v>633659605</v>
      </c>
      <c r="S163" s="150">
        <f t="shared" ref="S163" si="158">+R163/$M163</f>
        <v>6.9934555591453368E-2</v>
      </c>
    </row>
    <row r="164" spans="1:19" ht="38.25" customHeight="1">
      <c r="A164" s="32" t="e">
        <v>#REF!</v>
      </c>
      <c r="B164" s="132" t="s">
        <v>520</v>
      </c>
      <c r="C164" s="133" t="s">
        <v>167</v>
      </c>
      <c r="D164" s="133" t="s">
        <v>190</v>
      </c>
      <c r="E164" s="133" t="s">
        <v>172</v>
      </c>
      <c r="F164" s="133" t="s">
        <v>211</v>
      </c>
      <c r="G164" s="133"/>
      <c r="H164" s="133"/>
      <c r="I164" s="133"/>
      <c r="J164" s="133"/>
      <c r="K164" s="134"/>
      <c r="L164" s="134" t="s">
        <v>266</v>
      </c>
      <c r="M164" s="135">
        <v>2000000000</v>
      </c>
      <c r="N164" s="135">
        <v>0</v>
      </c>
      <c r="O164" s="137">
        <f t="shared" si="130"/>
        <v>0</v>
      </c>
      <c r="P164" s="135">
        <v>0</v>
      </c>
      <c r="Q164" s="137">
        <f t="shared" si="130"/>
        <v>0</v>
      </c>
      <c r="R164" s="135">
        <v>0</v>
      </c>
      <c r="S164" s="137">
        <f t="shared" ref="S164" si="159">+R164/$M164</f>
        <v>0</v>
      </c>
    </row>
    <row r="165" spans="1:19" ht="32.25" customHeight="1">
      <c r="A165" s="32" t="e">
        <v>#REF!</v>
      </c>
      <c r="B165" s="138" t="s">
        <v>522</v>
      </c>
      <c r="C165" s="139" t="s">
        <v>167</v>
      </c>
      <c r="D165" s="139" t="s">
        <v>190</v>
      </c>
      <c r="E165" s="139" t="s">
        <v>172</v>
      </c>
      <c r="F165" s="139" t="s">
        <v>211</v>
      </c>
      <c r="G165" s="139" t="s">
        <v>175</v>
      </c>
      <c r="H165" s="139" t="s">
        <v>213</v>
      </c>
      <c r="I165" s="139"/>
      <c r="J165" s="139" t="s">
        <v>144</v>
      </c>
      <c r="K165" s="140" t="s">
        <v>29</v>
      </c>
      <c r="L165" s="140" t="s">
        <v>214</v>
      </c>
      <c r="M165" s="141">
        <v>820000000</v>
      </c>
      <c r="N165" s="141">
        <v>0</v>
      </c>
      <c r="O165" s="143">
        <f t="shared" si="130"/>
        <v>0</v>
      </c>
      <c r="P165" s="141">
        <v>0</v>
      </c>
      <c r="Q165" s="143">
        <f t="shared" si="130"/>
        <v>0</v>
      </c>
      <c r="R165" s="141">
        <v>0</v>
      </c>
      <c r="S165" s="143">
        <f t="shared" ref="S165" si="160">+R165/$M165</f>
        <v>0</v>
      </c>
    </row>
    <row r="166" spans="1:19" ht="24.95" customHeight="1">
      <c r="A166" s="32" t="e">
        <v>#REF!</v>
      </c>
      <c r="B166" s="144" t="s">
        <v>524</v>
      </c>
      <c r="C166" s="145" t="s">
        <v>167</v>
      </c>
      <c r="D166" s="145" t="s">
        <v>190</v>
      </c>
      <c r="E166" s="145" t="s">
        <v>172</v>
      </c>
      <c r="F166" s="145" t="s">
        <v>211</v>
      </c>
      <c r="G166" s="145" t="s">
        <v>175</v>
      </c>
      <c r="H166" s="145" t="s">
        <v>213</v>
      </c>
      <c r="I166" s="145" t="s">
        <v>54</v>
      </c>
      <c r="J166" s="145">
        <v>13</v>
      </c>
      <c r="K166" s="146" t="s">
        <v>29</v>
      </c>
      <c r="L166" s="147" t="s">
        <v>178</v>
      </c>
      <c r="M166" s="148">
        <v>820000000</v>
      </c>
      <c r="N166" s="148">
        <v>0</v>
      </c>
      <c r="O166" s="150">
        <f t="shared" si="130"/>
        <v>0</v>
      </c>
      <c r="P166" s="148">
        <v>0</v>
      </c>
      <c r="Q166" s="150">
        <f t="shared" si="130"/>
        <v>0</v>
      </c>
      <c r="R166" s="148">
        <v>0</v>
      </c>
      <c r="S166" s="150">
        <f t="shared" ref="S166" si="161">+R166/$M166</f>
        <v>0</v>
      </c>
    </row>
    <row r="167" spans="1:19" ht="32.25" customHeight="1">
      <c r="A167" s="32" t="e">
        <v>#REF!</v>
      </c>
      <c r="B167" s="138" t="s">
        <v>526</v>
      </c>
      <c r="C167" s="139" t="s">
        <v>167</v>
      </c>
      <c r="D167" s="139" t="s">
        <v>190</v>
      </c>
      <c r="E167" s="139" t="s">
        <v>172</v>
      </c>
      <c r="F167" s="139" t="s">
        <v>211</v>
      </c>
      <c r="G167" s="139" t="s">
        <v>175</v>
      </c>
      <c r="H167" s="139" t="s">
        <v>215</v>
      </c>
      <c r="I167" s="139"/>
      <c r="J167" s="139" t="s">
        <v>144</v>
      </c>
      <c r="K167" s="140" t="s">
        <v>29</v>
      </c>
      <c r="L167" s="140" t="s">
        <v>216</v>
      </c>
      <c r="M167" s="141">
        <v>1180000000</v>
      </c>
      <c r="N167" s="141">
        <v>0</v>
      </c>
      <c r="O167" s="143">
        <f t="shared" si="130"/>
        <v>0</v>
      </c>
      <c r="P167" s="141">
        <v>0</v>
      </c>
      <c r="Q167" s="143">
        <f t="shared" si="130"/>
        <v>0</v>
      </c>
      <c r="R167" s="141">
        <v>0</v>
      </c>
      <c r="S167" s="143">
        <f t="shared" ref="S167" si="162">+R167/$M167</f>
        <v>0</v>
      </c>
    </row>
    <row r="168" spans="1:19" ht="24.95" customHeight="1">
      <c r="A168" s="32" t="e">
        <v>#REF!</v>
      </c>
      <c r="B168" s="144" t="s">
        <v>528</v>
      </c>
      <c r="C168" s="145" t="s">
        <v>167</v>
      </c>
      <c r="D168" s="145" t="s">
        <v>190</v>
      </c>
      <c r="E168" s="145" t="s">
        <v>172</v>
      </c>
      <c r="F168" s="145" t="s">
        <v>211</v>
      </c>
      <c r="G168" s="145" t="s">
        <v>175</v>
      </c>
      <c r="H168" s="145" t="s">
        <v>215</v>
      </c>
      <c r="I168" s="145" t="s">
        <v>54</v>
      </c>
      <c r="J168" s="145">
        <v>13</v>
      </c>
      <c r="K168" s="146" t="s">
        <v>29</v>
      </c>
      <c r="L168" s="147" t="s">
        <v>178</v>
      </c>
      <c r="M168" s="148">
        <v>1180000000</v>
      </c>
      <c r="N168" s="148">
        <v>0</v>
      </c>
      <c r="O168" s="150">
        <f t="shared" si="130"/>
        <v>0</v>
      </c>
      <c r="P168" s="148">
        <v>0</v>
      </c>
      <c r="Q168" s="150">
        <f t="shared" si="130"/>
        <v>0</v>
      </c>
      <c r="R168" s="148">
        <v>0</v>
      </c>
      <c r="S168" s="150">
        <f t="shared" ref="S168" si="163">+R168/$M168</f>
        <v>0</v>
      </c>
    </row>
    <row r="169" spans="1:19" ht="49.5" customHeight="1">
      <c r="A169" s="32" t="e">
        <v>#REF!</v>
      </c>
      <c r="B169" s="132" t="s">
        <v>530</v>
      </c>
      <c r="C169" s="133" t="s">
        <v>167</v>
      </c>
      <c r="D169" s="133" t="s">
        <v>190</v>
      </c>
      <c r="E169" s="133" t="s">
        <v>172</v>
      </c>
      <c r="F169" s="133" t="s">
        <v>217</v>
      </c>
      <c r="G169" s="133"/>
      <c r="H169" s="133"/>
      <c r="I169" s="133"/>
      <c r="J169" s="133"/>
      <c r="K169" s="134"/>
      <c r="L169" s="134" t="s">
        <v>267</v>
      </c>
      <c r="M169" s="135">
        <v>20000000000</v>
      </c>
      <c r="N169" s="135">
        <v>2198045682</v>
      </c>
      <c r="O169" s="137">
        <f t="shared" si="130"/>
        <v>0.1099022841</v>
      </c>
      <c r="P169" s="135">
        <v>178453175</v>
      </c>
      <c r="Q169" s="137">
        <f t="shared" si="130"/>
        <v>8.9226587499999996E-3</v>
      </c>
      <c r="R169" s="135">
        <v>140453175</v>
      </c>
      <c r="S169" s="137">
        <f t="shared" ref="S169" si="164">+R169/$M169</f>
        <v>7.0226587499999998E-3</v>
      </c>
    </row>
    <row r="170" spans="1:19" ht="32.25" customHeight="1">
      <c r="A170" s="32" t="e">
        <v>#REF!</v>
      </c>
      <c r="B170" s="138" t="s">
        <v>531</v>
      </c>
      <c r="C170" s="139" t="s">
        <v>167</v>
      </c>
      <c r="D170" s="139" t="s">
        <v>190</v>
      </c>
      <c r="E170" s="139" t="s">
        <v>172</v>
      </c>
      <c r="F170" s="139" t="s">
        <v>217</v>
      </c>
      <c r="G170" s="139" t="s">
        <v>175</v>
      </c>
      <c r="H170" s="139" t="s">
        <v>219</v>
      </c>
      <c r="I170" s="139"/>
      <c r="J170" s="139">
        <v>11</v>
      </c>
      <c r="K170" s="140" t="s">
        <v>29</v>
      </c>
      <c r="L170" s="140" t="s">
        <v>220</v>
      </c>
      <c r="M170" s="141">
        <v>4242894515</v>
      </c>
      <c r="N170" s="141">
        <v>998045682</v>
      </c>
      <c r="O170" s="143">
        <f t="shared" si="130"/>
        <v>0.23522755007733206</v>
      </c>
      <c r="P170" s="141">
        <v>178453175</v>
      </c>
      <c r="Q170" s="143">
        <f t="shared" si="130"/>
        <v>4.2059300406623472E-2</v>
      </c>
      <c r="R170" s="141">
        <v>140453175</v>
      </c>
      <c r="S170" s="143">
        <f t="shared" ref="S170" si="165">+R170/$M170</f>
        <v>3.3103150338395816E-2</v>
      </c>
    </row>
    <row r="171" spans="1:19" ht="24.95" customHeight="1">
      <c r="A171" s="32" t="e">
        <v>#REF!</v>
      </c>
      <c r="B171" s="144" t="s">
        <v>532</v>
      </c>
      <c r="C171" s="145" t="s">
        <v>167</v>
      </c>
      <c r="D171" s="145" t="s">
        <v>190</v>
      </c>
      <c r="E171" s="145" t="s">
        <v>172</v>
      </c>
      <c r="F171" s="145" t="s">
        <v>217</v>
      </c>
      <c r="G171" s="145" t="s">
        <v>175</v>
      </c>
      <c r="H171" s="145" t="s">
        <v>219</v>
      </c>
      <c r="I171" s="145" t="s">
        <v>54</v>
      </c>
      <c r="J171" s="145">
        <v>13</v>
      </c>
      <c r="K171" s="146" t="s">
        <v>29</v>
      </c>
      <c r="L171" s="147" t="s">
        <v>178</v>
      </c>
      <c r="M171" s="148">
        <v>4242894515</v>
      </c>
      <c r="N171" s="148">
        <v>998045682</v>
      </c>
      <c r="O171" s="150">
        <f t="shared" si="130"/>
        <v>0.23522755007733206</v>
      </c>
      <c r="P171" s="148">
        <v>178453175</v>
      </c>
      <c r="Q171" s="150">
        <f t="shared" si="130"/>
        <v>4.2059300406623472E-2</v>
      </c>
      <c r="R171" s="148">
        <v>140453175</v>
      </c>
      <c r="S171" s="150">
        <f t="shared" ref="S171" si="166">+R171/$M171</f>
        <v>3.3103150338395816E-2</v>
      </c>
    </row>
    <row r="172" spans="1:19" ht="32.25" customHeight="1">
      <c r="A172" s="32" t="e">
        <v>#REF!</v>
      </c>
      <c r="B172" s="138" t="s">
        <v>533</v>
      </c>
      <c r="C172" s="139" t="s">
        <v>167</v>
      </c>
      <c r="D172" s="139" t="s">
        <v>190</v>
      </c>
      <c r="E172" s="139" t="s">
        <v>172</v>
      </c>
      <c r="F172" s="139" t="s">
        <v>217</v>
      </c>
      <c r="G172" s="139" t="s">
        <v>175</v>
      </c>
      <c r="H172" s="139" t="s">
        <v>221</v>
      </c>
      <c r="I172" s="139"/>
      <c r="J172" s="139">
        <v>11</v>
      </c>
      <c r="K172" s="140" t="s">
        <v>29</v>
      </c>
      <c r="L172" s="140" t="s">
        <v>222</v>
      </c>
      <c r="M172" s="141">
        <v>15757105485</v>
      </c>
      <c r="N172" s="141">
        <v>1200000000</v>
      </c>
      <c r="O172" s="143">
        <f t="shared" si="130"/>
        <v>7.6156118973903036E-2</v>
      </c>
      <c r="P172" s="141">
        <v>0</v>
      </c>
      <c r="Q172" s="143">
        <f t="shared" si="130"/>
        <v>0</v>
      </c>
      <c r="R172" s="141">
        <v>0</v>
      </c>
      <c r="S172" s="143">
        <f t="shared" ref="S172" si="167">+R172/$M172</f>
        <v>0</v>
      </c>
    </row>
    <row r="173" spans="1:19" ht="24.95" customHeight="1">
      <c r="A173" s="32" t="e">
        <v>#REF!</v>
      </c>
      <c r="B173" s="144" t="s">
        <v>534</v>
      </c>
      <c r="C173" s="145" t="s">
        <v>167</v>
      </c>
      <c r="D173" s="145" t="s">
        <v>190</v>
      </c>
      <c r="E173" s="145" t="s">
        <v>172</v>
      </c>
      <c r="F173" s="145" t="s">
        <v>217</v>
      </c>
      <c r="G173" s="145" t="s">
        <v>175</v>
      </c>
      <c r="H173" s="145" t="s">
        <v>221</v>
      </c>
      <c r="I173" s="145" t="s">
        <v>54</v>
      </c>
      <c r="J173" s="145">
        <v>13</v>
      </c>
      <c r="K173" s="146" t="s">
        <v>29</v>
      </c>
      <c r="L173" s="147" t="s">
        <v>178</v>
      </c>
      <c r="M173" s="148">
        <v>15757105485</v>
      </c>
      <c r="N173" s="148">
        <v>1200000000</v>
      </c>
      <c r="O173" s="150">
        <f t="shared" si="130"/>
        <v>7.6156118973903036E-2</v>
      </c>
      <c r="P173" s="148">
        <v>0</v>
      </c>
      <c r="Q173" s="150">
        <f t="shared" si="130"/>
        <v>0</v>
      </c>
      <c r="R173" s="148">
        <v>0</v>
      </c>
      <c r="S173" s="150">
        <f t="shared" ref="S173" si="168">+R173/$M173</f>
        <v>0</v>
      </c>
    </row>
    <row r="174" spans="1:19" ht="32.25" hidden="1" customHeight="1">
      <c r="A174" s="32" t="e">
        <v>#REF!</v>
      </c>
      <c r="B174" s="138" t="s">
        <v>536</v>
      </c>
      <c r="C174" s="139" t="s">
        <v>167</v>
      </c>
      <c r="D174" s="139" t="s">
        <v>190</v>
      </c>
      <c r="E174" s="139" t="s">
        <v>172</v>
      </c>
      <c r="F174" s="139" t="s">
        <v>217</v>
      </c>
      <c r="G174" s="139" t="s">
        <v>175</v>
      </c>
      <c r="H174" s="139" t="s">
        <v>223</v>
      </c>
      <c r="I174" s="139"/>
      <c r="J174" s="139">
        <v>11</v>
      </c>
      <c r="K174" s="140" t="s">
        <v>29</v>
      </c>
      <c r="L174" s="140" t="s">
        <v>224</v>
      </c>
      <c r="M174" s="141">
        <v>0</v>
      </c>
      <c r="N174" s="141">
        <v>0</v>
      </c>
      <c r="O174" s="143" t="e">
        <f t="shared" si="130"/>
        <v>#DIV/0!</v>
      </c>
      <c r="P174" s="141">
        <v>0</v>
      </c>
      <c r="Q174" s="143" t="e">
        <f t="shared" si="130"/>
        <v>#DIV/0!</v>
      </c>
      <c r="R174" s="141">
        <v>0</v>
      </c>
      <c r="S174" s="143" t="e">
        <f t="shared" ref="S174" si="169">+R174/$M174</f>
        <v>#DIV/0!</v>
      </c>
    </row>
    <row r="175" spans="1:19" ht="24.95" hidden="1" customHeight="1">
      <c r="A175" s="32" t="e">
        <v>#REF!</v>
      </c>
      <c r="B175" s="144" t="s">
        <v>537</v>
      </c>
      <c r="C175" s="145" t="s">
        <v>167</v>
      </c>
      <c r="D175" s="145" t="s">
        <v>190</v>
      </c>
      <c r="E175" s="145" t="s">
        <v>172</v>
      </c>
      <c r="F175" s="145" t="s">
        <v>217</v>
      </c>
      <c r="G175" s="145" t="s">
        <v>175</v>
      </c>
      <c r="H175" s="145" t="s">
        <v>223</v>
      </c>
      <c r="I175" s="145" t="s">
        <v>54</v>
      </c>
      <c r="J175" s="145">
        <v>11</v>
      </c>
      <c r="K175" s="146" t="s">
        <v>29</v>
      </c>
      <c r="L175" s="147" t="s">
        <v>178</v>
      </c>
      <c r="M175" s="148">
        <v>0</v>
      </c>
      <c r="N175" s="148"/>
      <c r="O175" s="150" t="e">
        <f t="shared" si="130"/>
        <v>#DIV/0!</v>
      </c>
      <c r="P175" s="148"/>
      <c r="Q175" s="150" t="e">
        <f t="shared" si="130"/>
        <v>#DIV/0!</v>
      </c>
      <c r="R175" s="148"/>
      <c r="S175" s="150" t="e">
        <f t="shared" ref="S175" si="170">+R175/$M175</f>
        <v>#DIV/0!</v>
      </c>
    </row>
    <row r="176" spans="1:19" ht="24.95" hidden="1" customHeight="1">
      <c r="A176" s="32" t="e">
        <v>#REF!</v>
      </c>
      <c r="B176" s="144" t="s">
        <v>539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223</v>
      </c>
      <c r="I176" s="145" t="s">
        <v>65</v>
      </c>
      <c r="J176" s="145">
        <v>11</v>
      </c>
      <c r="K176" s="146" t="s">
        <v>29</v>
      </c>
      <c r="L176" s="147" t="s">
        <v>127</v>
      </c>
      <c r="M176" s="148">
        <v>0</v>
      </c>
      <c r="N176" s="148"/>
      <c r="O176" s="150" t="e">
        <f t="shared" si="130"/>
        <v>#DIV/0!</v>
      </c>
      <c r="P176" s="148"/>
      <c r="Q176" s="150" t="e">
        <f t="shared" si="130"/>
        <v>#DIV/0!</v>
      </c>
      <c r="R176" s="148"/>
      <c r="S176" s="150" t="e">
        <f t="shared" ref="S176" si="171">+R176/$M176</f>
        <v>#DIV/0!</v>
      </c>
    </row>
    <row r="177" spans="1:19" ht="32.25" hidden="1" customHeight="1">
      <c r="A177" s="32" t="e">
        <v>#REF!</v>
      </c>
      <c r="B177" s="138" t="s">
        <v>540</v>
      </c>
      <c r="C177" s="139" t="s">
        <v>167</v>
      </c>
      <c r="D177" s="139" t="s">
        <v>190</v>
      </c>
      <c r="E177" s="139" t="s">
        <v>172</v>
      </c>
      <c r="F177" s="139" t="s">
        <v>217</v>
      </c>
      <c r="G177" s="139" t="s">
        <v>175</v>
      </c>
      <c r="H177" s="139" t="s">
        <v>225</v>
      </c>
      <c r="I177" s="139"/>
      <c r="J177" s="139">
        <v>11</v>
      </c>
      <c r="K177" s="140" t="s">
        <v>29</v>
      </c>
      <c r="L177" s="140" t="s">
        <v>226</v>
      </c>
      <c r="M177" s="141">
        <v>0</v>
      </c>
      <c r="N177" s="141">
        <v>0</v>
      </c>
      <c r="O177" s="143" t="e">
        <f t="shared" si="130"/>
        <v>#DIV/0!</v>
      </c>
      <c r="P177" s="141">
        <v>0</v>
      </c>
      <c r="Q177" s="143" t="e">
        <f t="shared" si="130"/>
        <v>#DIV/0!</v>
      </c>
      <c r="R177" s="141">
        <v>0</v>
      </c>
      <c r="S177" s="143" t="e">
        <f t="shared" ref="S177" si="172">+R177/$M177</f>
        <v>#DIV/0!</v>
      </c>
    </row>
    <row r="178" spans="1:19" ht="24.95" hidden="1" customHeight="1">
      <c r="A178" s="32" t="e">
        <v>#REF!</v>
      </c>
      <c r="B178" s="144" t="s">
        <v>541</v>
      </c>
      <c r="C178" s="145" t="s">
        <v>167</v>
      </c>
      <c r="D178" s="145" t="s">
        <v>190</v>
      </c>
      <c r="E178" s="145" t="s">
        <v>172</v>
      </c>
      <c r="F178" s="145" t="s">
        <v>217</v>
      </c>
      <c r="G178" s="145" t="s">
        <v>175</v>
      </c>
      <c r="H178" s="145" t="s">
        <v>225</v>
      </c>
      <c r="I178" s="145" t="s">
        <v>54</v>
      </c>
      <c r="J178" s="145">
        <v>11</v>
      </c>
      <c r="K178" s="146" t="s">
        <v>29</v>
      </c>
      <c r="L178" s="147" t="s">
        <v>178</v>
      </c>
      <c r="M178" s="148">
        <v>0</v>
      </c>
      <c r="N178" s="148"/>
      <c r="O178" s="150" t="e">
        <f t="shared" si="130"/>
        <v>#DIV/0!</v>
      </c>
      <c r="P178" s="148"/>
      <c r="Q178" s="150" t="e">
        <f t="shared" si="130"/>
        <v>#DIV/0!</v>
      </c>
      <c r="R178" s="148"/>
      <c r="S178" s="150" t="e">
        <f t="shared" ref="S178" si="173">+R178/$M178</f>
        <v>#DIV/0!</v>
      </c>
    </row>
    <row r="179" spans="1:19" ht="41.25" customHeight="1">
      <c r="A179" s="32" t="e">
        <v>#REF!</v>
      </c>
      <c r="B179" s="132" t="s">
        <v>664</v>
      </c>
      <c r="C179" s="133" t="s">
        <v>167</v>
      </c>
      <c r="D179" s="133" t="s">
        <v>190</v>
      </c>
      <c r="E179" s="133" t="s">
        <v>172</v>
      </c>
      <c r="F179" s="133">
        <v>19</v>
      </c>
      <c r="G179" s="133"/>
      <c r="H179" s="133"/>
      <c r="I179" s="133"/>
      <c r="J179" s="133"/>
      <c r="K179" s="134"/>
      <c r="L179" s="134" t="s">
        <v>270</v>
      </c>
      <c r="M179" s="135">
        <v>12800000000</v>
      </c>
      <c r="N179" s="135">
        <v>12379927010.290001</v>
      </c>
      <c r="O179" s="137">
        <f t="shared" si="130"/>
        <v>0.96718179767890633</v>
      </c>
      <c r="P179" s="135">
        <v>940966708.42999995</v>
      </c>
      <c r="Q179" s="137">
        <f t="shared" si="130"/>
        <v>7.351302409609374E-2</v>
      </c>
      <c r="R179" s="135">
        <v>738848215.42999995</v>
      </c>
      <c r="S179" s="137">
        <f t="shared" ref="S179" si="174">+R179/$M179</f>
        <v>5.7722516830468744E-2</v>
      </c>
    </row>
    <row r="180" spans="1:19" ht="32.25" customHeight="1">
      <c r="A180" s="32" t="e">
        <v>#REF!</v>
      </c>
      <c r="B180" s="138" t="s">
        <v>666</v>
      </c>
      <c r="C180" s="139" t="s">
        <v>167</v>
      </c>
      <c r="D180" s="139" t="s">
        <v>190</v>
      </c>
      <c r="E180" s="139" t="s">
        <v>172</v>
      </c>
      <c r="F180" s="139">
        <v>19</v>
      </c>
      <c r="G180" s="139" t="s">
        <v>175</v>
      </c>
      <c r="H180" s="139">
        <v>4103049</v>
      </c>
      <c r="I180" s="139"/>
      <c r="J180" s="139">
        <v>13</v>
      </c>
      <c r="K180" s="140" t="s">
        <v>29</v>
      </c>
      <c r="L180" s="140" t="s">
        <v>228</v>
      </c>
      <c r="M180" s="141">
        <v>321785352</v>
      </c>
      <c r="N180" s="141">
        <v>295785347</v>
      </c>
      <c r="O180" s="143">
        <f t="shared" si="130"/>
        <v>0.91920078139541916</v>
      </c>
      <c r="P180" s="141">
        <v>57152593</v>
      </c>
      <c r="Q180" s="143">
        <f t="shared" si="130"/>
        <v>0.17761092182965493</v>
      </c>
      <c r="R180" s="141">
        <v>57152593</v>
      </c>
      <c r="S180" s="143">
        <f t="shared" ref="S180" si="175">+R180/$M180</f>
        <v>0.17761092182965493</v>
      </c>
    </row>
    <row r="181" spans="1:19" ht="24.95" customHeight="1">
      <c r="A181" s="32" t="e">
        <v>#REF!</v>
      </c>
      <c r="B181" s="144" t="s">
        <v>668</v>
      </c>
      <c r="C181" s="145" t="s">
        <v>167</v>
      </c>
      <c r="D181" s="145" t="s">
        <v>190</v>
      </c>
      <c r="E181" s="145" t="s">
        <v>172</v>
      </c>
      <c r="F181" s="145">
        <v>19</v>
      </c>
      <c r="G181" s="145" t="s">
        <v>175</v>
      </c>
      <c r="H181" s="145">
        <v>4103049</v>
      </c>
      <c r="I181" s="145" t="s">
        <v>54</v>
      </c>
      <c r="J181" s="145">
        <v>13</v>
      </c>
      <c r="K181" s="146" t="s">
        <v>29</v>
      </c>
      <c r="L181" s="147" t="s">
        <v>178</v>
      </c>
      <c r="M181" s="148">
        <v>321785352</v>
      </c>
      <c r="N181" s="148">
        <v>295785347</v>
      </c>
      <c r="O181" s="150">
        <f t="shared" si="130"/>
        <v>0.91920078139541916</v>
      </c>
      <c r="P181" s="148">
        <v>57152593</v>
      </c>
      <c r="Q181" s="150">
        <f t="shared" si="130"/>
        <v>0.17761092182965493</v>
      </c>
      <c r="R181" s="148">
        <v>57152593</v>
      </c>
      <c r="S181" s="150">
        <f t="shared" ref="S181" si="176">+R181/$M181</f>
        <v>0.17761092182965493</v>
      </c>
    </row>
    <row r="182" spans="1:19" ht="32.25" customHeight="1">
      <c r="A182" s="32" t="e">
        <v>#REF!</v>
      </c>
      <c r="B182" s="138" t="s">
        <v>670</v>
      </c>
      <c r="C182" s="139" t="s">
        <v>167</v>
      </c>
      <c r="D182" s="139" t="s">
        <v>190</v>
      </c>
      <c r="E182" s="139" t="s">
        <v>172</v>
      </c>
      <c r="F182" s="139">
        <v>19</v>
      </c>
      <c r="G182" s="139" t="s">
        <v>175</v>
      </c>
      <c r="H182" s="139">
        <v>4103052</v>
      </c>
      <c r="I182" s="139"/>
      <c r="J182" s="139">
        <v>13</v>
      </c>
      <c r="K182" s="140" t="s">
        <v>29</v>
      </c>
      <c r="L182" s="140" t="s">
        <v>229</v>
      </c>
      <c r="M182" s="141">
        <v>12478214648</v>
      </c>
      <c r="N182" s="141">
        <v>12084141663.290001</v>
      </c>
      <c r="O182" s="143">
        <f t="shared" si="130"/>
        <v>0.968419121178272</v>
      </c>
      <c r="P182" s="141">
        <v>883814115.42999995</v>
      </c>
      <c r="Q182" s="143">
        <f t="shared" si="130"/>
        <v>7.0828571262929602E-2</v>
      </c>
      <c r="R182" s="141">
        <v>681695622.42999995</v>
      </c>
      <c r="S182" s="143">
        <f t="shared" ref="S182" si="177">+R182/$M182</f>
        <v>5.46308619990971E-2</v>
      </c>
    </row>
    <row r="183" spans="1:19" ht="24.95" customHeight="1">
      <c r="A183" s="32" t="e">
        <v>#REF!</v>
      </c>
      <c r="B183" s="144" t="s">
        <v>672</v>
      </c>
      <c r="C183" s="145" t="s">
        <v>167</v>
      </c>
      <c r="D183" s="145" t="s">
        <v>190</v>
      </c>
      <c r="E183" s="145" t="s">
        <v>172</v>
      </c>
      <c r="F183" s="145">
        <v>19</v>
      </c>
      <c r="G183" s="145" t="s">
        <v>175</v>
      </c>
      <c r="H183" s="145">
        <v>4103052</v>
      </c>
      <c r="I183" s="145" t="s">
        <v>54</v>
      </c>
      <c r="J183" s="145">
        <v>13</v>
      </c>
      <c r="K183" s="146" t="s">
        <v>29</v>
      </c>
      <c r="L183" s="147" t="s">
        <v>178</v>
      </c>
      <c r="M183" s="148">
        <v>12478214648</v>
      </c>
      <c r="N183" s="148">
        <v>12084141663.290001</v>
      </c>
      <c r="O183" s="150">
        <f t="shared" si="130"/>
        <v>0.968419121178272</v>
      </c>
      <c r="P183" s="148">
        <v>883814115.42999995</v>
      </c>
      <c r="Q183" s="150">
        <f t="shared" si="130"/>
        <v>7.0828571262929602E-2</v>
      </c>
      <c r="R183" s="148">
        <v>681695622.42999995</v>
      </c>
      <c r="S183" s="150">
        <f t="shared" ref="S183" si="178">+R183/$M183</f>
        <v>5.46308619990971E-2</v>
      </c>
    </row>
    <row r="184" spans="1:19" ht="49.5" customHeight="1">
      <c r="A184" s="32" t="e">
        <v>#REF!</v>
      </c>
      <c r="B184" s="132" t="s">
        <v>678</v>
      </c>
      <c r="C184" s="133" t="s">
        <v>167</v>
      </c>
      <c r="D184" s="133" t="s">
        <v>190</v>
      </c>
      <c r="E184" s="133" t="s">
        <v>172</v>
      </c>
      <c r="F184" s="133">
        <v>20</v>
      </c>
      <c r="G184" s="133"/>
      <c r="H184" s="133"/>
      <c r="I184" s="133"/>
      <c r="J184" s="133"/>
      <c r="K184" s="134"/>
      <c r="L184" s="134" t="s">
        <v>271</v>
      </c>
      <c r="M184" s="135">
        <v>839954000000</v>
      </c>
      <c r="N184" s="135">
        <v>345880069797.32001</v>
      </c>
      <c r="O184" s="137">
        <f t="shared" si="130"/>
        <v>0.41178453795960257</v>
      </c>
      <c r="P184" s="135">
        <v>284550111280.52002</v>
      </c>
      <c r="Q184" s="137">
        <f t="shared" si="130"/>
        <v>0.33876868409522426</v>
      </c>
      <c r="R184" s="135">
        <v>284537858394.52002</v>
      </c>
      <c r="S184" s="137">
        <f t="shared" ref="S184" si="179">+R184/$M184</f>
        <v>0.33875409652733368</v>
      </c>
    </row>
    <row r="185" spans="1:19" ht="32.25" customHeight="1">
      <c r="A185" s="32" t="e">
        <v>#REF!</v>
      </c>
      <c r="B185" s="138" t="s">
        <v>680</v>
      </c>
      <c r="C185" s="139" t="s">
        <v>167</v>
      </c>
      <c r="D185" s="139" t="s">
        <v>190</v>
      </c>
      <c r="E185" s="139" t="s">
        <v>172</v>
      </c>
      <c r="F185" s="139">
        <v>20</v>
      </c>
      <c r="G185" s="139" t="s">
        <v>175</v>
      </c>
      <c r="H185" s="139">
        <v>4103061</v>
      </c>
      <c r="I185" s="139"/>
      <c r="J185" s="139">
        <v>11</v>
      </c>
      <c r="K185" s="140" t="s">
        <v>29</v>
      </c>
      <c r="L185" s="140" t="s">
        <v>231</v>
      </c>
      <c r="M185" s="141">
        <v>839954000000</v>
      </c>
      <c r="N185" s="141">
        <v>345880069797.32001</v>
      </c>
      <c r="O185" s="143">
        <f t="shared" si="130"/>
        <v>0.41178453795960257</v>
      </c>
      <c r="P185" s="141">
        <v>284550111280.52002</v>
      </c>
      <c r="Q185" s="143">
        <f t="shared" si="130"/>
        <v>0.33876868409522426</v>
      </c>
      <c r="R185" s="141">
        <v>284537858394.52002</v>
      </c>
      <c r="S185" s="143">
        <f t="shared" ref="S185" si="180">+R185/$M185</f>
        <v>0.33875409652733368</v>
      </c>
    </row>
    <row r="186" spans="1:19" ht="24.95" customHeight="1">
      <c r="A186" s="32" t="e">
        <v>#REF!</v>
      </c>
      <c r="B186" s="144" t="s">
        <v>682</v>
      </c>
      <c r="C186" s="145" t="s">
        <v>167</v>
      </c>
      <c r="D186" s="145" t="s">
        <v>190</v>
      </c>
      <c r="E186" s="145" t="s">
        <v>172</v>
      </c>
      <c r="F186" s="145">
        <v>20</v>
      </c>
      <c r="G186" s="145" t="s">
        <v>175</v>
      </c>
      <c r="H186" s="145">
        <v>4103061</v>
      </c>
      <c r="I186" s="145" t="s">
        <v>54</v>
      </c>
      <c r="J186" s="145">
        <v>11</v>
      </c>
      <c r="K186" s="146" t="s">
        <v>29</v>
      </c>
      <c r="L186" s="147" t="s">
        <v>178</v>
      </c>
      <c r="M186" s="148">
        <v>34504155080.139999</v>
      </c>
      <c r="N186" s="148">
        <v>25880069797.32</v>
      </c>
      <c r="O186" s="150">
        <f t="shared" si="130"/>
        <v>0.75005661599915907</v>
      </c>
      <c r="P186" s="148">
        <v>292183280.51999998</v>
      </c>
      <c r="Q186" s="150">
        <f t="shared" si="130"/>
        <v>8.4680607260595019E-3</v>
      </c>
      <c r="R186" s="148">
        <v>279930394.51999998</v>
      </c>
      <c r="S186" s="150">
        <f t="shared" ref="S186" si="181">+R186/$M186</f>
        <v>8.1129473789411273E-3</v>
      </c>
    </row>
    <row r="187" spans="1:19" ht="24.95" customHeight="1">
      <c r="A187" s="32" t="e">
        <v>#REF!</v>
      </c>
      <c r="B187" s="144" t="s">
        <v>684</v>
      </c>
      <c r="C187" s="145" t="s">
        <v>167</v>
      </c>
      <c r="D187" s="145" t="s">
        <v>190</v>
      </c>
      <c r="E187" s="145" t="s">
        <v>172</v>
      </c>
      <c r="F187" s="145">
        <v>20</v>
      </c>
      <c r="G187" s="145" t="s">
        <v>175</v>
      </c>
      <c r="H187" s="145">
        <v>4103061</v>
      </c>
      <c r="I187" s="145" t="s">
        <v>65</v>
      </c>
      <c r="J187" s="145">
        <v>11</v>
      </c>
      <c r="K187" s="146" t="s">
        <v>29</v>
      </c>
      <c r="L187" s="147" t="s">
        <v>127</v>
      </c>
      <c r="M187" s="148">
        <v>318729844919.85999</v>
      </c>
      <c r="N187" s="148">
        <v>160000000000</v>
      </c>
      <c r="O187" s="150">
        <f t="shared" si="130"/>
        <v>0.50199252611637202</v>
      </c>
      <c r="P187" s="148">
        <v>160000000000</v>
      </c>
      <c r="Q187" s="150">
        <f t="shared" si="130"/>
        <v>0.50199252611637202</v>
      </c>
      <c r="R187" s="148">
        <v>160000000000</v>
      </c>
      <c r="S187" s="150">
        <f t="shared" ref="S187" si="182">+R187/$M187</f>
        <v>0.50199252611637202</v>
      </c>
    </row>
    <row r="188" spans="1:19" ht="24.95" customHeight="1">
      <c r="A188" s="32" t="e">
        <v>#REF!</v>
      </c>
      <c r="B188" s="144" t="s">
        <v>684</v>
      </c>
      <c r="C188" s="145" t="s">
        <v>167</v>
      </c>
      <c r="D188" s="145" t="s">
        <v>190</v>
      </c>
      <c r="E188" s="145" t="s">
        <v>172</v>
      </c>
      <c r="F188" s="145">
        <v>20</v>
      </c>
      <c r="G188" s="145" t="s">
        <v>175</v>
      </c>
      <c r="H188" s="145">
        <v>4103061</v>
      </c>
      <c r="I188" s="145" t="s">
        <v>65</v>
      </c>
      <c r="J188" s="145">
        <v>13</v>
      </c>
      <c r="K188" s="146" t="s">
        <v>29</v>
      </c>
      <c r="L188" s="147" t="s">
        <v>127</v>
      </c>
      <c r="M188" s="148">
        <v>486720000000</v>
      </c>
      <c r="N188" s="148">
        <v>160000000000</v>
      </c>
      <c r="O188" s="150">
        <f t="shared" si="130"/>
        <v>0.32873109796186717</v>
      </c>
      <c r="P188" s="148">
        <v>124257928000</v>
      </c>
      <c r="Q188" s="150">
        <f t="shared" si="130"/>
        <v>0.25529653188691648</v>
      </c>
      <c r="R188" s="148">
        <v>124257928000</v>
      </c>
      <c r="S188" s="150">
        <f t="shared" ref="S188" si="183">+R188/$M188</f>
        <v>0.25529653188691648</v>
      </c>
    </row>
    <row r="189" spans="1:19" ht="42" customHeight="1">
      <c r="A189" s="32" t="e">
        <v>#REF!</v>
      </c>
      <c r="B189" s="132" t="s">
        <v>692</v>
      </c>
      <c r="C189" s="133" t="s">
        <v>167</v>
      </c>
      <c r="D189" s="133">
        <v>4103</v>
      </c>
      <c r="E189" s="133" t="s">
        <v>172</v>
      </c>
      <c r="F189" s="133">
        <v>21</v>
      </c>
      <c r="G189" s="133"/>
      <c r="H189" s="133"/>
      <c r="I189" s="133"/>
      <c r="J189" s="133"/>
      <c r="K189" s="134"/>
      <c r="L189" s="134" t="s">
        <v>272</v>
      </c>
      <c r="M189" s="135">
        <v>25750000000</v>
      </c>
      <c r="N189" s="135">
        <v>24142861017</v>
      </c>
      <c r="O189" s="137">
        <f t="shared" si="130"/>
        <v>0.93758683561165046</v>
      </c>
      <c r="P189" s="135">
        <v>3593251482</v>
      </c>
      <c r="Q189" s="137">
        <f t="shared" si="130"/>
        <v>0.1395437468737864</v>
      </c>
      <c r="R189" s="135">
        <v>3523222437</v>
      </c>
      <c r="S189" s="137">
        <f t="shared" ref="S189" si="184">+R189/$M189</f>
        <v>0.13682417231067961</v>
      </c>
    </row>
    <row r="190" spans="1:19" ht="32.25" customHeight="1">
      <c r="A190" s="32" t="e">
        <v>#REF!</v>
      </c>
      <c r="B190" s="138" t="s">
        <v>693</v>
      </c>
      <c r="C190" s="139" t="s">
        <v>167</v>
      </c>
      <c r="D190" s="139">
        <v>4103</v>
      </c>
      <c r="E190" s="139" t="s">
        <v>172</v>
      </c>
      <c r="F190" s="139">
        <v>21</v>
      </c>
      <c r="G190" s="139" t="s">
        <v>175</v>
      </c>
      <c r="H190" s="139" t="s">
        <v>219</v>
      </c>
      <c r="I190" s="139"/>
      <c r="J190" s="139">
        <v>13</v>
      </c>
      <c r="K190" s="140" t="s">
        <v>29</v>
      </c>
      <c r="L190" s="140" t="s">
        <v>233</v>
      </c>
      <c r="M190" s="141">
        <v>1870782718</v>
      </c>
      <c r="N190" s="141">
        <v>1779672321</v>
      </c>
      <c r="O190" s="143">
        <f t="shared" si="130"/>
        <v>0.95129824745366287</v>
      </c>
      <c r="P190" s="141">
        <v>402930457</v>
      </c>
      <c r="Q190" s="143">
        <f t="shared" si="130"/>
        <v>0.21538068163830451</v>
      </c>
      <c r="R190" s="141">
        <v>402930457</v>
      </c>
      <c r="S190" s="143">
        <f t="shared" ref="S190" si="185">+R190/$M190</f>
        <v>0.21538068163830451</v>
      </c>
    </row>
    <row r="191" spans="1:19" ht="24.95" customHeight="1">
      <c r="A191" s="32" t="e">
        <v>#REF!</v>
      </c>
      <c r="B191" s="144" t="s">
        <v>694</v>
      </c>
      <c r="C191" s="145" t="s">
        <v>167</v>
      </c>
      <c r="D191" s="145">
        <v>4103</v>
      </c>
      <c r="E191" s="145" t="s">
        <v>172</v>
      </c>
      <c r="F191" s="145">
        <v>21</v>
      </c>
      <c r="G191" s="145" t="s">
        <v>175</v>
      </c>
      <c r="H191" s="145" t="s">
        <v>219</v>
      </c>
      <c r="I191" s="145" t="s">
        <v>54</v>
      </c>
      <c r="J191" s="145">
        <v>13</v>
      </c>
      <c r="K191" s="146" t="s">
        <v>29</v>
      </c>
      <c r="L191" s="147" t="s">
        <v>178</v>
      </c>
      <c r="M191" s="148">
        <v>1870782718</v>
      </c>
      <c r="N191" s="148">
        <v>1779672321</v>
      </c>
      <c r="O191" s="150">
        <f t="shared" si="130"/>
        <v>0.95129824745366287</v>
      </c>
      <c r="P191" s="148">
        <v>402930457</v>
      </c>
      <c r="Q191" s="150">
        <f t="shared" si="130"/>
        <v>0.21538068163830451</v>
      </c>
      <c r="R191" s="148">
        <v>402930457</v>
      </c>
      <c r="S191" s="150">
        <f t="shared" ref="S191" si="186">+R191/$M191</f>
        <v>0.21538068163830451</v>
      </c>
    </row>
    <row r="192" spans="1:19" ht="32.25" customHeight="1">
      <c r="A192" s="32" t="e">
        <v>#REF!</v>
      </c>
      <c r="B192" s="138" t="s">
        <v>695</v>
      </c>
      <c r="C192" s="139" t="s">
        <v>167</v>
      </c>
      <c r="D192" s="139">
        <v>4103</v>
      </c>
      <c r="E192" s="139" t="s">
        <v>172</v>
      </c>
      <c r="F192" s="139">
        <v>21</v>
      </c>
      <c r="G192" s="139" t="s">
        <v>175</v>
      </c>
      <c r="H192" s="139" t="s">
        <v>234</v>
      </c>
      <c r="I192" s="139"/>
      <c r="J192" s="139">
        <v>13</v>
      </c>
      <c r="K192" s="140" t="s">
        <v>29</v>
      </c>
      <c r="L192" s="140" t="s">
        <v>235</v>
      </c>
      <c r="M192" s="141">
        <v>1237528721</v>
      </c>
      <c r="N192" s="141">
        <v>1177258904</v>
      </c>
      <c r="O192" s="143">
        <f t="shared" si="130"/>
        <v>0.95129824788931105</v>
      </c>
      <c r="P192" s="141">
        <v>266539780</v>
      </c>
      <c r="Q192" s="143">
        <f t="shared" si="130"/>
        <v>0.21538068206176203</v>
      </c>
      <c r="R192" s="141">
        <v>266539780</v>
      </c>
      <c r="S192" s="143">
        <f t="shared" ref="S192" si="187">+R192/$M192</f>
        <v>0.21538068206176203</v>
      </c>
    </row>
    <row r="193" spans="1:19" ht="24.95" customHeight="1">
      <c r="A193" s="32" t="e">
        <v>#REF!</v>
      </c>
      <c r="B193" s="144" t="s">
        <v>696</v>
      </c>
      <c r="C193" s="145" t="s">
        <v>167</v>
      </c>
      <c r="D193" s="145">
        <v>4103</v>
      </c>
      <c r="E193" s="145" t="s">
        <v>172</v>
      </c>
      <c r="F193" s="145">
        <v>21</v>
      </c>
      <c r="G193" s="145" t="s">
        <v>175</v>
      </c>
      <c r="H193" s="145" t="s">
        <v>234</v>
      </c>
      <c r="I193" s="145" t="s">
        <v>54</v>
      </c>
      <c r="J193" s="145">
        <v>13</v>
      </c>
      <c r="K193" s="146" t="s">
        <v>29</v>
      </c>
      <c r="L193" s="147" t="s">
        <v>178</v>
      </c>
      <c r="M193" s="148">
        <v>1237528721</v>
      </c>
      <c r="N193" s="148">
        <v>1177258904</v>
      </c>
      <c r="O193" s="150">
        <f t="shared" si="130"/>
        <v>0.95129824788931105</v>
      </c>
      <c r="P193" s="148">
        <v>266539780</v>
      </c>
      <c r="Q193" s="150">
        <f t="shared" si="130"/>
        <v>0.21538068206176203</v>
      </c>
      <c r="R193" s="148">
        <v>266539780</v>
      </c>
      <c r="S193" s="150">
        <f t="shared" ref="S193" si="188">+R193/$M193</f>
        <v>0.21538068206176203</v>
      </c>
    </row>
    <row r="194" spans="1:19" ht="32.25" customHeight="1">
      <c r="A194" s="32" t="e">
        <v>#REF!</v>
      </c>
      <c r="B194" s="138" t="s">
        <v>697</v>
      </c>
      <c r="C194" s="139" t="s">
        <v>167</v>
      </c>
      <c r="D194" s="139">
        <v>4103</v>
      </c>
      <c r="E194" s="139" t="s">
        <v>172</v>
      </c>
      <c r="F194" s="139">
        <v>21</v>
      </c>
      <c r="G194" s="139" t="s">
        <v>175</v>
      </c>
      <c r="H194" s="139" t="s">
        <v>197</v>
      </c>
      <c r="I194" s="139"/>
      <c r="J194" s="139">
        <v>13</v>
      </c>
      <c r="K194" s="140" t="s">
        <v>29</v>
      </c>
      <c r="L194" s="140" t="s">
        <v>236</v>
      </c>
      <c r="M194" s="141">
        <v>1178285948</v>
      </c>
      <c r="N194" s="141">
        <v>1120901355</v>
      </c>
      <c r="O194" s="143">
        <f t="shared" si="130"/>
        <v>0.95129824547479025</v>
      </c>
      <c r="P194" s="141">
        <v>253780030</v>
      </c>
      <c r="Q194" s="143">
        <f t="shared" si="130"/>
        <v>0.21538068109083483</v>
      </c>
      <c r="R194" s="141">
        <v>253780030</v>
      </c>
      <c r="S194" s="143">
        <f t="shared" ref="S194" si="189">+R194/$M194</f>
        <v>0.21538068109083483</v>
      </c>
    </row>
    <row r="195" spans="1:19" ht="24.95" customHeight="1">
      <c r="A195" s="32" t="e">
        <v>#REF!</v>
      </c>
      <c r="B195" s="144" t="s">
        <v>698</v>
      </c>
      <c r="C195" s="145" t="s">
        <v>167</v>
      </c>
      <c r="D195" s="145">
        <v>4103</v>
      </c>
      <c r="E195" s="145" t="s">
        <v>172</v>
      </c>
      <c r="F195" s="145">
        <v>21</v>
      </c>
      <c r="G195" s="145" t="s">
        <v>175</v>
      </c>
      <c r="H195" s="145" t="s">
        <v>197</v>
      </c>
      <c r="I195" s="145" t="s">
        <v>54</v>
      </c>
      <c r="J195" s="145">
        <v>13</v>
      </c>
      <c r="K195" s="146" t="s">
        <v>29</v>
      </c>
      <c r="L195" s="147" t="s">
        <v>178</v>
      </c>
      <c r="M195" s="148">
        <v>1178285948</v>
      </c>
      <c r="N195" s="148">
        <v>1120901355</v>
      </c>
      <c r="O195" s="150">
        <f t="shared" si="130"/>
        <v>0.95129824547479025</v>
      </c>
      <c r="P195" s="148">
        <v>253780030</v>
      </c>
      <c r="Q195" s="150">
        <f t="shared" si="130"/>
        <v>0.21538068109083483</v>
      </c>
      <c r="R195" s="148">
        <v>253780030</v>
      </c>
      <c r="S195" s="150">
        <f t="shared" ref="S195" si="190">+R195/$M195</f>
        <v>0.21538068109083483</v>
      </c>
    </row>
    <row r="196" spans="1:19" ht="32.25" customHeight="1">
      <c r="A196" s="32" t="e">
        <v>#REF!</v>
      </c>
      <c r="B196" s="138" t="s">
        <v>699</v>
      </c>
      <c r="C196" s="139" t="s">
        <v>167</v>
      </c>
      <c r="D196" s="139">
        <v>4103</v>
      </c>
      <c r="E196" s="139" t="s">
        <v>172</v>
      </c>
      <c r="F196" s="139">
        <v>21</v>
      </c>
      <c r="G196" s="139" t="s">
        <v>175</v>
      </c>
      <c r="H196" s="139" t="s">
        <v>203</v>
      </c>
      <c r="I196" s="139"/>
      <c r="J196" s="139">
        <v>13</v>
      </c>
      <c r="K196" s="140" t="s">
        <v>29</v>
      </c>
      <c r="L196" s="140" t="s">
        <v>237</v>
      </c>
      <c r="M196" s="141">
        <v>5017014439</v>
      </c>
      <c r="N196" s="141">
        <v>4772677041</v>
      </c>
      <c r="O196" s="143">
        <f t="shared" si="130"/>
        <v>0.95129824700111854</v>
      </c>
      <c r="P196" s="141">
        <v>1082871038</v>
      </c>
      <c r="Q196" s="143">
        <f t="shared" si="130"/>
        <v>0.21583972921868644</v>
      </c>
      <c r="R196" s="141">
        <v>1082871038</v>
      </c>
      <c r="S196" s="143">
        <f t="shared" ref="S196" si="191">+R196/$M196</f>
        <v>0.21583972921868644</v>
      </c>
    </row>
    <row r="197" spans="1:19" ht="24.95" customHeight="1">
      <c r="A197" s="32" t="e">
        <v>#REF!</v>
      </c>
      <c r="B197" s="144" t="s">
        <v>700</v>
      </c>
      <c r="C197" s="145" t="s">
        <v>167</v>
      </c>
      <c r="D197" s="145">
        <v>4103</v>
      </c>
      <c r="E197" s="145" t="s">
        <v>172</v>
      </c>
      <c r="F197" s="145">
        <v>21</v>
      </c>
      <c r="G197" s="145" t="s">
        <v>175</v>
      </c>
      <c r="H197" s="145" t="s">
        <v>203</v>
      </c>
      <c r="I197" s="145" t="s">
        <v>54</v>
      </c>
      <c r="J197" s="145">
        <v>13</v>
      </c>
      <c r="K197" s="146" t="s">
        <v>29</v>
      </c>
      <c r="L197" s="147" t="s">
        <v>178</v>
      </c>
      <c r="M197" s="148">
        <v>5017014439</v>
      </c>
      <c r="N197" s="148">
        <v>4772677041</v>
      </c>
      <c r="O197" s="150">
        <f t="shared" si="130"/>
        <v>0.95129824700111854</v>
      </c>
      <c r="P197" s="148">
        <v>1082871038</v>
      </c>
      <c r="Q197" s="150">
        <f t="shared" si="130"/>
        <v>0.21583972921868644</v>
      </c>
      <c r="R197" s="148">
        <v>1082871038</v>
      </c>
      <c r="S197" s="150">
        <f t="shared" ref="S197" si="192">+R197/$M197</f>
        <v>0.21583972921868644</v>
      </c>
    </row>
    <row r="198" spans="1:19" ht="32.25" customHeight="1">
      <c r="A198" s="32" t="e">
        <v>#REF!</v>
      </c>
      <c r="B198" s="138" t="s">
        <v>701</v>
      </c>
      <c r="C198" s="139" t="s">
        <v>167</v>
      </c>
      <c r="D198" s="139">
        <v>4103</v>
      </c>
      <c r="E198" s="139" t="s">
        <v>172</v>
      </c>
      <c r="F198" s="139">
        <v>21</v>
      </c>
      <c r="G198" s="139" t="s">
        <v>175</v>
      </c>
      <c r="H198" s="139" t="s">
        <v>223</v>
      </c>
      <c r="I198" s="139"/>
      <c r="J198" s="139">
        <v>13</v>
      </c>
      <c r="K198" s="140" t="s">
        <v>29</v>
      </c>
      <c r="L198" s="140" t="s">
        <v>238</v>
      </c>
      <c r="M198" s="141">
        <v>16446388174</v>
      </c>
      <c r="N198" s="141">
        <v>15292351396</v>
      </c>
      <c r="O198" s="143">
        <f t="shared" si="130"/>
        <v>0.92983038185706879</v>
      </c>
      <c r="P198" s="141">
        <v>1587130177</v>
      </c>
      <c r="Q198" s="143">
        <f t="shared" si="130"/>
        <v>9.6503266261773205E-2</v>
      </c>
      <c r="R198" s="141">
        <v>1517101132</v>
      </c>
      <c r="S198" s="143">
        <f t="shared" ref="S198" si="193">+R198/$M198</f>
        <v>9.2245246551967947E-2</v>
      </c>
    </row>
    <row r="199" spans="1:19" ht="24.95" customHeight="1">
      <c r="A199" s="32" t="e">
        <v>#REF!</v>
      </c>
      <c r="B199" s="144" t="s">
        <v>702</v>
      </c>
      <c r="C199" s="145" t="s">
        <v>167</v>
      </c>
      <c r="D199" s="145">
        <v>4103</v>
      </c>
      <c r="E199" s="145" t="s">
        <v>172</v>
      </c>
      <c r="F199" s="145">
        <v>21</v>
      </c>
      <c r="G199" s="145" t="s">
        <v>175</v>
      </c>
      <c r="H199" s="145" t="s">
        <v>223</v>
      </c>
      <c r="I199" s="145" t="s">
        <v>54</v>
      </c>
      <c r="J199" s="145">
        <v>13</v>
      </c>
      <c r="K199" s="146" t="s">
        <v>29</v>
      </c>
      <c r="L199" s="147" t="s">
        <v>178</v>
      </c>
      <c r="M199" s="148">
        <v>16446388174</v>
      </c>
      <c r="N199" s="148">
        <v>15292351396</v>
      </c>
      <c r="O199" s="150">
        <f t="shared" si="130"/>
        <v>0.92983038185706879</v>
      </c>
      <c r="P199" s="148">
        <v>1587130177</v>
      </c>
      <c r="Q199" s="150">
        <f t="shared" si="130"/>
        <v>9.6503266261773205E-2</v>
      </c>
      <c r="R199" s="148">
        <v>1517101132</v>
      </c>
      <c r="S199" s="150">
        <f t="shared" ref="S199" si="194">+R199/$M199</f>
        <v>9.2245246551967947E-2</v>
      </c>
    </row>
    <row r="200" spans="1:19" ht="49.5" customHeight="1">
      <c r="A200" s="32" t="e">
        <v>#REF!</v>
      </c>
      <c r="B200" s="132" t="s">
        <v>704</v>
      </c>
      <c r="C200" s="133" t="s">
        <v>167</v>
      </c>
      <c r="D200" s="133">
        <v>4103</v>
      </c>
      <c r="E200" s="133" t="s">
        <v>172</v>
      </c>
      <c r="F200" s="133">
        <v>22</v>
      </c>
      <c r="G200" s="133"/>
      <c r="H200" s="133"/>
      <c r="I200" s="133"/>
      <c r="J200" s="133"/>
      <c r="K200" s="134"/>
      <c r="L200" s="134" t="s">
        <v>239</v>
      </c>
      <c r="M200" s="135">
        <v>167533000000</v>
      </c>
      <c r="N200" s="135">
        <v>134723492207</v>
      </c>
      <c r="O200" s="137">
        <f t="shared" ref="O200:Q230" si="195">+N200/$M200</f>
        <v>0.80416092475512291</v>
      </c>
      <c r="P200" s="135">
        <v>26059110895</v>
      </c>
      <c r="Q200" s="137">
        <f t="shared" si="195"/>
        <v>0.15554613655220165</v>
      </c>
      <c r="R200" s="135">
        <v>26004368740</v>
      </c>
      <c r="S200" s="137">
        <f t="shared" ref="S200" si="196">+R200/$M200</f>
        <v>0.15521938209188638</v>
      </c>
    </row>
    <row r="201" spans="1:19" ht="32.25" customHeight="1">
      <c r="A201" s="32" t="e">
        <v>#REF!</v>
      </c>
      <c r="B201" s="138" t="s">
        <v>705</v>
      </c>
      <c r="C201" s="139" t="s">
        <v>167</v>
      </c>
      <c r="D201" s="139">
        <v>4103</v>
      </c>
      <c r="E201" s="139" t="s">
        <v>172</v>
      </c>
      <c r="F201" s="139">
        <v>22</v>
      </c>
      <c r="G201" s="139" t="s">
        <v>175</v>
      </c>
      <c r="H201" s="139" t="s">
        <v>219</v>
      </c>
      <c r="I201" s="139"/>
      <c r="J201" s="139">
        <v>13</v>
      </c>
      <c r="K201" s="140" t="s">
        <v>29</v>
      </c>
      <c r="L201" s="140" t="s">
        <v>240</v>
      </c>
      <c r="M201" s="141">
        <v>5834100502</v>
      </c>
      <c r="N201" s="141">
        <v>3919643191</v>
      </c>
      <c r="O201" s="143">
        <f t="shared" si="195"/>
        <v>0.67185047457723757</v>
      </c>
      <c r="P201" s="141">
        <v>0</v>
      </c>
      <c r="Q201" s="143">
        <f t="shared" si="195"/>
        <v>0</v>
      </c>
      <c r="R201" s="141">
        <v>0</v>
      </c>
      <c r="S201" s="143">
        <f t="shared" ref="S201" si="197">+R201/$M201</f>
        <v>0</v>
      </c>
    </row>
    <row r="202" spans="1:19" ht="24.95" customHeight="1">
      <c r="A202" s="32" t="e">
        <v>#REF!</v>
      </c>
      <c r="B202" s="144" t="s">
        <v>706</v>
      </c>
      <c r="C202" s="145" t="s">
        <v>167</v>
      </c>
      <c r="D202" s="145">
        <v>4103</v>
      </c>
      <c r="E202" s="145" t="s">
        <v>172</v>
      </c>
      <c r="F202" s="145">
        <v>22</v>
      </c>
      <c r="G202" s="145" t="s">
        <v>175</v>
      </c>
      <c r="H202" s="145" t="s">
        <v>219</v>
      </c>
      <c r="I202" s="145" t="s">
        <v>54</v>
      </c>
      <c r="J202" s="145">
        <v>13</v>
      </c>
      <c r="K202" s="146" t="s">
        <v>29</v>
      </c>
      <c r="L202" s="147" t="s">
        <v>178</v>
      </c>
      <c r="M202" s="148">
        <v>5834100502</v>
      </c>
      <c r="N202" s="148">
        <v>3919643191</v>
      </c>
      <c r="O202" s="150">
        <f t="shared" si="195"/>
        <v>0.67185047457723757</v>
      </c>
      <c r="P202" s="148">
        <v>0</v>
      </c>
      <c r="Q202" s="150">
        <f t="shared" si="195"/>
        <v>0</v>
      </c>
      <c r="R202" s="148">
        <v>0</v>
      </c>
      <c r="S202" s="150">
        <f t="shared" ref="S202" si="198">+R202/$M202</f>
        <v>0</v>
      </c>
    </row>
    <row r="203" spans="1:19" ht="32.25" customHeight="1">
      <c r="A203" s="32" t="e">
        <v>#REF!</v>
      </c>
      <c r="B203" s="138" t="s">
        <v>707</v>
      </c>
      <c r="C203" s="139" t="s">
        <v>167</v>
      </c>
      <c r="D203" s="139">
        <v>4103</v>
      </c>
      <c r="E203" s="139" t="s">
        <v>172</v>
      </c>
      <c r="F203" s="139">
        <v>22</v>
      </c>
      <c r="G203" s="139" t="s">
        <v>175</v>
      </c>
      <c r="H203" s="139" t="s">
        <v>234</v>
      </c>
      <c r="I203" s="139"/>
      <c r="J203" s="139">
        <v>13</v>
      </c>
      <c r="K203" s="140" t="s">
        <v>29</v>
      </c>
      <c r="L203" s="140" t="s">
        <v>241</v>
      </c>
      <c r="M203" s="141">
        <v>21263252053</v>
      </c>
      <c r="N203" s="141">
        <v>17919558020</v>
      </c>
      <c r="O203" s="143">
        <f t="shared" si="195"/>
        <v>0.84274775915435551</v>
      </c>
      <c r="P203" s="141">
        <v>0</v>
      </c>
      <c r="Q203" s="143">
        <f t="shared" si="195"/>
        <v>0</v>
      </c>
      <c r="R203" s="141">
        <v>0</v>
      </c>
      <c r="S203" s="143">
        <f t="shared" ref="S203" si="199">+R203/$M203</f>
        <v>0</v>
      </c>
    </row>
    <row r="204" spans="1:19" ht="24.95" customHeight="1">
      <c r="A204" s="32" t="e">
        <v>#REF!</v>
      </c>
      <c r="B204" s="144" t="s">
        <v>708</v>
      </c>
      <c r="C204" s="145" t="s">
        <v>167</v>
      </c>
      <c r="D204" s="145">
        <v>4103</v>
      </c>
      <c r="E204" s="145" t="s">
        <v>172</v>
      </c>
      <c r="F204" s="145">
        <v>22</v>
      </c>
      <c r="G204" s="145" t="s">
        <v>175</v>
      </c>
      <c r="H204" s="145" t="s">
        <v>234</v>
      </c>
      <c r="I204" s="145" t="s">
        <v>54</v>
      </c>
      <c r="J204" s="145">
        <v>13</v>
      </c>
      <c r="K204" s="146" t="s">
        <v>29</v>
      </c>
      <c r="L204" s="147" t="s">
        <v>178</v>
      </c>
      <c r="M204" s="148">
        <v>21263252053</v>
      </c>
      <c r="N204" s="148">
        <v>17919558020</v>
      </c>
      <c r="O204" s="150">
        <f t="shared" si="195"/>
        <v>0.84274775915435551</v>
      </c>
      <c r="P204" s="148">
        <v>0</v>
      </c>
      <c r="Q204" s="150">
        <f t="shared" si="195"/>
        <v>0</v>
      </c>
      <c r="R204" s="148">
        <v>0</v>
      </c>
      <c r="S204" s="150">
        <f t="shared" ref="S204" si="200">+R204/$M204</f>
        <v>0</v>
      </c>
    </row>
    <row r="205" spans="1:19" ht="32.25" customHeight="1">
      <c r="A205" s="32" t="e">
        <v>#REF!</v>
      </c>
      <c r="B205" s="138" t="s">
        <v>710</v>
      </c>
      <c r="C205" s="139" t="s">
        <v>167</v>
      </c>
      <c r="D205" s="139">
        <v>4103</v>
      </c>
      <c r="E205" s="139" t="s">
        <v>172</v>
      </c>
      <c r="F205" s="139">
        <v>22</v>
      </c>
      <c r="G205" s="139" t="s">
        <v>175</v>
      </c>
      <c r="H205" s="139">
        <v>4103051</v>
      </c>
      <c r="I205" s="139"/>
      <c r="J205" s="139">
        <v>13</v>
      </c>
      <c r="K205" s="140" t="s">
        <v>29</v>
      </c>
      <c r="L205" s="140" t="s">
        <v>242</v>
      </c>
      <c r="M205" s="141">
        <v>5191519285</v>
      </c>
      <c r="N205" s="141">
        <v>3945310447</v>
      </c>
      <c r="O205" s="143">
        <f t="shared" si="195"/>
        <v>0.75995295989736467</v>
      </c>
      <c r="P205" s="141">
        <v>0</v>
      </c>
      <c r="Q205" s="143">
        <f t="shared" si="195"/>
        <v>0</v>
      </c>
      <c r="R205" s="141">
        <v>0</v>
      </c>
      <c r="S205" s="143">
        <f t="shared" ref="S205" si="201">+R205/$M205</f>
        <v>0</v>
      </c>
    </row>
    <row r="206" spans="1:19" ht="24.95" customHeight="1">
      <c r="A206" s="32" t="e">
        <v>#REF!</v>
      </c>
      <c r="B206" s="144" t="s">
        <v>711</v>
      </c>
      <c r="C206" s="145" t="s">
        <v>167</v>
      </c>
      <c r="D206" s="145">
        <v>4103</v>
      </c>
      <c r="E206" s="145" t="s">
        <v>172</v>
      </c>
      <c r="F206" s="145">
        <v>22</v>
      </c>
      <c r="G206" s="145" t="s">
        <v>175</v>
      </c>
      <c r="H206" s="145">
        <v>4103051</v>
      </c>
      <c r="I206" s="145" t="s">
        <v>54</v>
      </c>
      <c r="J206" s="145">
        <v>13</v>
      </c>
      <c r="K206" s="146" t="s">
        <v>29</v>
      </c>
      <c r="L206" s="147" t="s">
        <v>178</v>
      </c>
      <c r="M206" s="148">
        <v>5191519285</v>
      </c>
      <c r="N206" s="148">
        <v>3945310447</v>
      </c>
      <c r="O206" s="150">
        <f t="shared" si="195"/>
        <v>0.75995295989736467</v>
      </c>
      <c r="P206" s="148">
        <v>0</v>
      </c>
      <c r="Q206" s="150">
        <f t="shared" si="195"/>
        <v>0</v>
      </c>
      <c r="R206" s="148">
        <v>0</v>
      </c>
      <c r="S206" s="150">
        <f t="shared" ref="S206" si="202">+R206/$M206</f>
        <v>0</v>
      </c>
    </row>
    <row r="207" spans="1:19" ht="32.25" customHeight="1">
      <c r="A207" s="32" t="e">
        <v>#REF!</v>
      </c>
      <c r="B207" s="138" t="s">
        <v>712</v>
      </c>
      <c r="C207" s="139" t="s">
        <v>167</v>
      </c>
      <c r="D207" s="139">
        <v>4103</v>
      </c>
      <c r="E207" s="139" t="s">
        <v>172</v>
      </c>
      <c r="F207" s="139">
        <v>22</v>
      </c>
      <c r="G207" s="139" t="s">
        <v>175</v>
      </c>
      <c r="H207" s="139">
        <v>4103055</v>
      </c>
      <c r="I207" s="139"/>
      <c r="J207" s="139">
        <v>13</v>
      </c>
      <c r="K207" s="140" t="s">
        <v>29</v>
      </c>
      <c r="L207" s="140" t="s">
        <v>243</v>
      </c>
      <c r="M207" s="141">
        <v>7874924941</v>
      </c>
      <c r="N207" s="141">
        <v>894550970</v>
      </c>
      <c r="O207" s="143">
        <f t="shared" si="195"/>
        <v>0.1135948566750917</v>
      </c>
      <c r="P207" s="141">
        <v>0</v>
      </c>
      <c r="Q207" s="143">
        <f t="shared" si="195"/>
        <v>0</v>
      </c>
      <c r="R207" s="141">
        <v>0</v>
      </c>
      <c r="S207" s="143">
        <f t="shared" ref="S207" si="203">+R207/$M207</f>
        <v>0</v>
      </c>
    </row>
    <row r="208" spans="1:19" ht="24.95" customHeight="1">
      <c r="A208" s="32" t="e">
        <v>#REF!</v>
      </c>
      <c r="B208" s="144" t="s">
        <v>713</v>
      </c>
      <c r="C208" s="145" t="s">
        <v>167</v>
      </c>
      <c r="D208" s="145">
        <v>4103</v>
      </c>
      <c r="E208" s="145" t="s">
        <v>172</v>
      </c>
      <c r="F208" s="145">
        <v>22</v>
      </c>
      <c r="G208" s="145" t="s">
        <v>175</v>
      </c>
      <c r="H208" s="145" t="s">
        <v>203</v>
      </c>
      <c r="I208" s="145" t="s">
        <v>54</v>
      </c>
      <c r="J208" s="145">
        <v>13</v>
      </c>
      <c r="K208" s="146" t="s">
        <v>29</v>
      </c>
      <c r="L208" s="147" t="s">
        <v>178</v>
      </c>
      <c r="M208" s="148">
        <v>7874924941</v>
      </c>
      <c r="N208" s="148">
        <v>894550970</v>
      </c>
      <c r="O208" s="150">
        <f t="shared" si="195"/>
        <v>0.1135948566750917</v>
      </c>
      <c r="P208" s="148">
        <v>0</v>
      </c>
      <c r="Q208" s="150">
        <f t="shared" si="195"/>
        <v>0</v>
      </c>
      <c r="R208" s="148">
        <v>0</v>
      </c>
      <c r="S208" s="150">
        <f t="shared" ref="S208" si="204">+R208/$M208</f>
        <v>0</v>
      </c>
    </row>
    <row r="209" spans="1:19" ht="32.25" customHeight="1">
      <c r="A209" s="32" t="e">
        <v>#REF!</v>
      </c>
      <c r="B209" s="138" t="s">
        <v>715</v>
      </c>
      <c r="C209" s="139" t="s">
        <v>167</v>
      </c>
      <c r="D209" s="139">
        <v>4103</v>
      </c>
      <c r="E209" s="139" t="s">
        <v>172</v>
      </c>
      <c r="F209" s="139">
        <v>22</v>
      </c>
      <c r="G209" s="139" t="s">
        <v>175</v>
      </c>
      <c r="H209" s="139">
        <v>4103057</v>
      </c>
      <c r="I209" s="139"/>
      <c r="J209" s="139">
        <v>13</v>
      </c>
      <c r="K209" s="140" t="s">
        <v>29</v>
      </c>
      <c r="L209" s="140" t="s">
        <v>244</v>
      </c>
      <c r="M209" s="141">
        <v>64906595848</v>
      </c>
      <c r="N209" s="141">
        <v>63964877172</v>
      </c>
      <c r="O209" s="143">
        <f t="shared" si="195"/>
        <v>0.98549117137177644</v>
      </c>
      <c r="P209" s="141">
        <v>26059110895</v>
      </c>
      <c r="Q209" s="143">
        <f t="shared" si="195"/>
        <v>0.40148632900153819</v>
      </c>
      <c r="R209" s="141">
        <v>26004368740</v>
      </c>
      <c r="S209" s="143">
        <f t="shared" ref="S209" si="205">+R209/$M209</f>
        <v>0.40064293004824542</v>
      </c>
    </row>
    <row r="210" spans="1:19" ht="24.95" customHeight="1">
      <c r="A210" s="32" t="e">
        <v>#REF!</v>
      </c>
      <c r="B210" s="144" t="s">
        <v>716</v>
      </c>
      <c r="C210" s="145" t="s">
        <v>167</v>
      </c>
      <c r="D210" s="145">
        <v>4103</v>
      </c>
      <c r="E210" s="145" t="s">
        <v>172</v>
      </c>
      <c r="F210" s="145">
        <v>22</v>
      </c>
      <c r="G210" s="145" t="s">
        <v>175</v>
      </c>
      <c r="H210" s="145" t="s">
        <v>221</v>
      </c>
      <c r="I210" s="145" t="s">
        <v>54</v>
      </c>
      <c r="J210" s="145">
        <v>13</v>
      </c>
      <c r="K210" s="146" t="s">
        <v>29</v>
      </c>
      <c r="L210" s="147" t="s">
        <v>178</v>
      </c>
      <c r="M210" s="148">
        <v>4796601848</v>
      </c>
      <c r="N210" s="148">
        <v>3854883172</v>
      </c>
      <c r="O210" s="150">
        <f t="shared" si="195"/>
        <v>0.80366961739952192</v>
      </c>
      <c r="P210" s="148">
        <v>487842895</v>
      </c>
      <c r="Q210" s="150">
        <f t="shared" si="195"/>
        <v>0.10170593900834439</v>
      </c>
      <c r="R210" s="148">
        <v>433100740</v>
      </c>
      <c r="S210" s="150">
        <f t="shared" ref="S210" si="206">+R210/$M210</f>
        <v>9.0293243784782026E-2</v>
      </c>
    </row>
    <row r="211" spans="1:19" ht="24.95" customHeight="1">
      <c r="A211" s="32" t="e">
        <v>#REF!</v>
      </c>
      <c r="B211" s="144" t="s">
        <v>717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221</v>
      </c>
      <c r="I211" s="145" t="s">
        <v>65</v>
      </c>
      <c r="J211" s="145">
        <v>13</v>
      </c>
      <c r="K211" s="146" t="s">
        <v>29</v>
      </c>
      <c r="L211" s="147" t="s">
        <v>127</v>
      </c>
      <c r="M211" s="148">
        <v>60109994000</v>
      </c>
      <c r="N211" s="148">
        <v>60109994000</v>
      </c>
      <c r="O211" s="150">
        <f t="shared" si="195"/>
        <v>1</v>
      </c>
      <c r="P211" s="148">
        <v>25571268000</v>
      </c>
      <c r="Q211" s="150">
        <f t="shared" si="195"/>
        <v>0.42540792800611493</v>
      </c>
      <c r="R211" s="148">
        <v>25571268000</v>
      </c>
      <c r="S211" s="150">
        <f t="shared" ref="S211" si="207">+R211/$M211</f>
        <v>0.42540792800611493</v>
      </c>
    </row>
    <row r="212" spans="1:19" ht="32.25" customHeight="1">
      <c r="A212" s="32" t="e">
        <v>#REF!</v>
      </c>
      <c r="B212" s="138" t="s">
        <v>718</v>
      </c>
      <c r="C212" s="139" t="s">
        <v>167</v>
      </c>
      <c r="D212" s="139">
        <v>4103</v>
      </c>
      <c r="E212" s="139" t="s">
        <v>172</v>
      </c>
      <c r="F212" s="139">
        <v>22</v>
      </c>
      <c r="G212" s="139" t="s">
        <v>175</v>
      </c>
      <c r="H212" s="139">
        <v>4103062</v>
      </c>
      <c r="I212" s="139"/>
      <c r="J212" s="139">
        <v>13</v>
      </c>
      <c r="K212" s="140" t="s">
        <v>29</v>
      </c>
      <c r="L212" s="140" t="s">
        <v>245</v>
      </c>
      <c r="M212" s="141">
        <v>62462607371</v>
      </c>
      <c r="N212" s="141">
        <v>44079552407</v>
      </c>
      <c r="O212" s="143">
        <f t="shared" si="195"/>
        <v>0.70569504319899967</v>
      </c>
      <c r="P212" s="141">
        <v>0</v>
      </c>
      <c r="Q212" s="143">
        <f t="shared" si="195"/>
        <v>0</v>
      </c>
      <c r="R212" s="141">
        <v>0</v>
      </c>
      <c r="S212" s="143">
        <f t="shared" ref="S212" si="208">+R212/$M212</f>
        <v>0</v>
      </c>
    </row>
    <row r="213" spans="1:19" ht="24.95" customHeight="1">
      <c r="A213" s="32" t="e">
        <v>#REF!</v>
      </c>
      <c r="B213" s="144" t="s">
        <v>719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 t="s">
        <v>246</v>
      </c>
      <c r="I213" s="145" t="s">
        <v>54</v>
      </c>
      <c r="J213" s="145">
        <v>13</v>
      </c>
      <c r="K213" s="146" t="s">
        <v>29</v>
      </c>
      <c r="L213" s="147" t="s">
        <v>178</v>
      </c>
      <c r="M213" s="148">
        <v>6064335371</v>
      </c>
      <c r="N213" s="148">
        <v>4249430407</v>
      </c>
      <c r="O213" s="150">
        <f t="shared" si="195"/>
        <v>0.70072483578679046</v>
      </c>
      <c r="P213" s="148">
        <v>0</v>
      </c>
      <c r="Q213" s="150">
        <f t="shared" si="195"/>
        <v>0</v>
      </c>
      <c r="R213" s="148">
        <v>0</v>
      </c>
      <c r="S213" s="150">
        <f t="shared" ref="S213" si="209">+R213/$M213</f>
        <v>0</v>
      </c>
    </row>
    <row r="214" spans="1:19" ht="24.95" customHeight="1">
      <c r="A214" s="32" t="e">
        <v>#REF!</v>
      </c>
      <c r="B214" s="144" t="s">
        <v>720</v>
      </c>
      <c r="C214" s="145" t="s">
        <v>167</v>
      </c>
      <c r="D214" s="145">
        <v>4103</v>
      </c>
      <c r="E214" s="145" t="s">
        <v>172</v>
      </c>
      <c r="F214" s="145">
        <v>22</v>
      </c>
      <c r="G214" s="145" t="s">
        <v>175</v>
      </c>
      <c r="H214" s="145" t="s">
        <v>246</v>
      </c>
      <c r="I214" s="145" t="s">
        <v>65</v>
      </c>
      <c r="J214" s="145">
        <v>13</v>
      </c>
      <c r="K214" s="146" t="s">
        <v>29</v>
      </c>
      <c r="L214" s="147" t="s">
        <v>127</v>
      </c>
      <c r="M214" s="148">
        <v>56398272000</v>
      </c>
      <c r="N214" s="148">
        <v>39830122000</v>
      </c>
      <c r="O214" s="150">
        <f t="shared" si="195"/>
        <v>0.70622947454844009</v>
      </c>
      <c r="P214" s="148">
        <v>0</v>
      </c>
      <c r="Q214" s="150">
        <f t="shared" si="195"/>
        <v>0</v>
      </c>
      <c r="R214" s="148">
        <v>0</v>
      </c>
      <c r="S214" s="150">
        <f t="shared" ref="S214" si="210">+R214/$M214</f>
        <v>0</v>
      </c>
    </row>
    <row r="215" spans="1:19" ht="39.75" customHeight="1">
      <c r="A215" s="32"/>
      <c r="B215" s="132" t="s">
        <v>685</v>
      </c>
      <c r="C215" s="133" t="s">
        <v>167</v>
      </c>
      <c r="D215" s="133" t="s">
        <v>190</v>
      </c>
      <c r="E215" s="133" t="s">
        <v>172</v>
      </c>
      <c r="F215" s="133">
        <v>23</v>
      </c>
      <c r="G215" s="133"/>
      <c r="H215" s="133"/>
      <c r="I215" s="133"/>
      <c r="J215" s="133"/>
      <c r="K215" s="134"/>
      <c r="L215" s="134" t="s">
        <v>273</v>
      </c>
      <c r="M215" s="135">
        <v>1612279801419</v>
      </c>
      <c r="N215" s="135">
        <v>461037447713.21002</v>
      </c>
      <c r="O215" s="137">
        <f t="shared" si="195"/>
        <v>0.28595374531606838</v>
      </c>
      <c r="P215" s="135">
        <v>400434513943</v>
      </c>
      <c r="Q215" s="137">
        <f t="shared" si="195"/>
        <v>0.24836539761310009</v>
      </c>
      <c r="R215" s="135">
        <v>400401975432</v>
      </c>
      <c r="S215" s="137">
        <f t="shared" ref="S215" si="211">+R215/$M215</f>
        <v>0.24834521593559514</v>
      </c>
    </row>
    <row r="216" spans="1:19" ht="32.25" customHeight="1">
      <c r="A216" s="32"/>
      <c r="B216" s="138" t="s">
        <v>721</v>
      </c>
      <c r="C216" s="139" t="s">
        <v>167</v>
      </c>
      <c r="D216" s="139" t="s">
        <v>190</v>
      </c>
      <c r="E216" s="139" t="s">
        <v>172</v>
      </c>
      <c r="F216" s="139">
        <v>23</v>
      </c>
      <c r="G216" s="139" t="s">
        <v>175</v>
      </c>
      <c r="H216" s="139">
        <v>4103065</v>
      </c>
      <c r="I216" s="139"/>
      <c r="J216" s="139">
        <v>11</v>
      </c>
      <c r="K216" s="140" t="s">
        <v>29</v>
      </c>
      <c r="L216" s="140" t="s">
        <v>248</v>
      </c>
      <c r="M216" s="141">
        <v>1612279801419</v>
      </c>
      <c r="N216" s="141">
        <v>461037447713.21002</v>
      </c>
      <c r="O216" s="143">
        <f t="shared" si="195"/>
        <v>0.28595374531606838</v>
      </c>
      <c r="P216" s="141">
        <v>400434513943</v>
      </c>
      <c r="Q216" s="143">
        <f t="shared" si="195"/>
        <v>0.24836539761310009</v>
      </c>
      <c r="R216" s="141">
        <v>400401975432</v>
      </c>
      <c r="S216" s="143">
        <f t="shared" ref="S216" si="212">+R216/$M216</f>
        <v>0.24834521593559514</v>
      </c>
    </row>
    <row r="217" spans="1:19" ht="24.95" customHeight="1">
      <c r="A217" s="32"/>
      <c r="B217" s="144" t="s">
        <v>722</v>
      </c>
      <c r="C217" s="145" t="s">
        <v>167</v>
      </c>
      <c r="D217" s="145" t="s">
        <v>190</v>
      </c>
      <c r="E217" s="145" t="s">
        <v>172</v>
      </c>
      <c r="F217" s="145">
        <v>23</v>
      </c>
      <c r="G217" s="145" t="s">
        <v>175</v>
      </c>
      <c r="H217" s="145">
        <v>4103065</v>
      </c>
      <c r="I217" s="145" t="s">
        <v>54</v>
      </c>
      <c r="J217" s="145">
        <v>11</v>
      </c>
      <c r="K217" s="146" t="s">
        <v>29</v>
      </c>
      <c r="L217" s="147" t="s">
        <v>178</v>
      </c>
      <c r="M217" s="148">
        <v>82083094704.350006</v>
      </c>
      <c r="N217" s="148">
        <v>29572092713.209999</v>
      </c>
      <c r="O217" s="150">
        <f t="shared" si="195"/>
        <v>0.3602701971669548</v>
      </c>
      <c r="P217" s="148">
        <v>144418943</v>
      </c>
      <c r="Q217" s="150">
        <f t="shared" si="195"/>
        <v>1.7594237098415163E-3</v>
      </c>
      <c r="R217" s="148">
        <v>111880432</v>
      </c>
      <c r="S217" s="150">
        <f t="shared" ref="S217" si="213">+R217/$M217</f>
        <v>1.3630143015803092E-3</v>
      </c>
    </row>
    <row r="218" spans="1:19" ht="24.95" customHeight="1">
      <c r="A218" s="32"/>
      <c r="B218" s="144" t="s">
        <v>723</v>
      </c>
      <c r="C218" s="145" t="s">
        <v>167</v>
      </c>
      <c r="D218" s="145" t="s">
        <v>190</v>
      </c>
      <c r="E218" s="145" t="s">
        <v>172</v>
      </c>
      <c r="F218" s="145">
        <v>23</v>
      </c>
      <c r="G218" s="145" t="s">
        <v>175</v>
      </c>
      <c r="H218" s="145">
        <v>4103065</v>
      </c>
      <c r="I218" s="145" t="s">
        <v>65</v>
      </c>
      <c r="J218" s="145">
        <v>11</v>
      </c>
      <c r="K218" s="146" t="s">
        <v>29</v>
      </c>
      <c r="L218" s="147" t="s">
        <v>127</v>
      </c>
      <c r="M218" s="148">
        <v>697379609845.65002</v>
      </c>
      <c r="N218" s="148">
        <v>431465355000</v>
      </c>
      <c r="O218" s="150">
        <f t="shared" si="195"/>
        <v>0.6186951108242118</v>
      </c>
      <c r="P218" s="148">
        <v>400290095000</v>
      </c>
      <c r="Q218" s="150">
        <f t="shared" si="195"/>
        <v>0.57399168164465775</v>
      </c>
      <c r="R218" s="148">
        <v>400290095000</v>
      </c>
      <c r="S218" s="150">
        <f t="shared" ref="S218" si="214">+R218/$M218</f>
        <v>0.57399168164465775</v>
      </c>
    </row>
    <row r="219" spans="1:19" ht="24.95" customHeight="1">
      <c r="A219" s="32"/>
      <c r="B219" s="144" t="s">
        <v>723</v>
      </c>
      <c r="C219" s="145" t="s">
        <v>167</v>
      </c>
      <c r="D219" s="145" t="s">
        <v>190</v>
      </c>
      <c r="E219" s="145" t="s">
        <v>172</v>
      </c>
      <c r="F219" s="145">
        <v>23</v>
      </c>
      <c r="G219" s="145" t="s">
        <v>175</v>
      </c>
      <c r="H219" s="145">
        <v>4103065</v>
      </c>
      <c r="I219" s="145" t="s">
        <v>65</v>
      </c>
      <c r="J219" s="145">
        <v>13</v>
      </c>
      <c r="K219" s="146" t="s">
        <v>29</v>
      </c>
      <c r="L219" s="147" t="s">
        <v>127</v>
      </c>
      <c r="M219" s="148">
        <v>48925749186</v>
      </c>
      <c r="N219" s="148">
        <v>0</v>
      </c>
      <c r="O219" s="150">
        <f t="shared" si="195"/>
        <v>0</v>
      </c>
      <c r="P219" s="148">
        <v>0</v>
      </c>
      <c r="Q219" s="150">
        <f t="shared" si="195"/>
        <v>0</v>
      </c>
      <c r="R219" s="148">
        <v>0</v>
      </c>
      <c r="S219" s="150">
        <f t="shared" ref="S219" si="215">+R219/$M219</f>
        <v>0</v>
      </c>
    </row>
    <row r="220" spans="1:19" ht="24.95" customHeight="1">
      <c r="A220" s="32"/>
      <c r="B220" s="144" t="s">
        <v>723</v>
      </c>
      <c r="C220" s="145" t="s">
        <v>167</v>
      </c>
      <c r="D220" s="145" t="s">
        <v>190</v>
      </c>
      <c r="E220" s="145" t="s">
        <v>172</v>
      </c>
      <c r="F220" s="145">
        <v>23</v>
      </c>
      <c r="G220" s="145" t="s">
        <v>175</v>
      </c>
      <c r="H220" s="145">
        <v>4103065</v>
      </c>
      <c r="I220" s="145" t="s">
        <v>65</v>
      </c>
      <c r="J220" s="145">
        <v>16</v>
      </c>
      <c r="K220" s="146" t="s">
        <v>156</v>
      </c>
      <c r="L220" s="147" t="s">
        <v>127</v>
      </c>
      <c r="M220" s="148">
        <v>783891347683</v>
      </c>
      <c r="N220" s="148">
        <v>0</v>
      </c>
      <c r="O220" s="150">
        <f t="shared" si="195"/>
        <v>0</v>
      </c>
      <c r="P220" s="148">
        <v>0</v>
      </c>
      <c r="Q220" s="150">
        <f t="shared" si="195"/>
        <v>0</v>
      </c>
      <c r="R220" s="148">
        <v>0</v>
      </c>
      <c r="S220" s="150">
        <f t="shared" ref="S220" si="216">+R220/$M220</f>
        <v>0</v>
      </c>
    </row>
    <row r="221" spans="1:19" ht="49.5" customHeight="1">
      <c r="A221" s="32" t="e">
        <v>#REF!</v>
      </c>
      <c r="B221" s="132" t="s">
        <v>732</v>
      </c>
      <c r="C221" s="133" t="s">
        <v>167</v>
      </c>
      <c r="D221" s="133" t="s">
        <v>190</v>
      </c>
      <c r="E221" s="133" t="s">
        <v>172</v>
      </c>
      <c r="F221" s="133">
        <v>24</v>
      </c>
      <c r="G221" s="133"/>
      <c r="H221" s="133"/>
      <c r="I221" s="133"/>
      <c r="J221" s="133"/>
      <c r="K221" s="134"/>
      <c r="L221" s="134" t="s">
        <v>249</v>
      </c>
      <c r="M221" s="135">
        <v>7237101000000</v>
      </c>
      <c r="N221" s="135">
        <v>1384002107812.3999</v>
      </c>
      <c r="O221" s="137">
        <f t="shared" si="195"/>
        <v>0.19123708620515312</v>
      </c>
      <c r="P221" s="135">
        <v>1359873747953.1201</v>
      </c>
      <c r="Q221" s="137">
        <f t="shared" si="195"/>
        <v>0.18790310484172049</v>
      </c>
      <c r="R221" s="135">
        <v>1359597589180.1201</v>
      </c>
      <c r="S221" s="137">
        <f t="shared" ref="S221" si="217">+R221/$M221</f>
        <v>0.18786494608547263</v>
      </c>
    </row>
    <row r="222" spans="1:19" ht="32.25" customHeight="1">
      <c r="A222" s="32" t="e">
        <v>#REF!</v>
      </c>
      <c r="B222" s="138" t="s">
        <v>733</v>
      </c>
      <c r="C222" s="139" t="s">
        <v>167</v>
      </c>
      <c r="D222" s="139" t="s">
        <v>190</v>
      </c>
      <c r="E222" s="139" t="s">
        <v>172</v>
      </c>
      <c r="F222" s="139">
        <v>24</v>
      </c>
      <c r="G222" s="139" t="s">
        <v>175</v>
      </c>
      <c r="H222" s="139">
        <v>4103061</v>
      </c>
      <c r="I222" s="139"/>
      <c r="J222" s="139">
        <v>13</v>
      </c>
      <c r="K222" s="140" t="s">
        <v>29</v>
      </c>
      <c r="L222" s="140" t="s">
        <v>231</v>
      </c>
      <c r="M222" s="141">
        <v>7237101000000</v>
      </c>
      <c r="N222" s="141">
        <v>1384002107812.3999</v>
      </c>
      <c r="O222" s="143">
        <f t="shared" si="195"/>
        <v>0.19123708620515312</v>
      </c>
      <c r="P222" s="141">
        <v>1359873747953.1201</v>
      </c>
      <c r="Q222" s="143">
        <f t="shared" si="195"/>
        <v>0.18790310484172049</v>
      </c>
      <c r="R222" s="141">
        <v>1359597589180.1201</v>
      </c>
      <c r="S222" s="143">
        <f t="shared" ref="S222" si="218">+R222/$M222</f>
        <v>0.18786494608547263</v>
      </c>
    </row>
    <row r="223" spans="1:19" ht="24.95" customHeight="1">
      <c r="A223" s="32" t="e">
        <v>#REF!</v>
      </c>
      <c r="B223" s="144" t="s">
        <v>734</v>
      </c>
      <c r="C223" s="145" t="s">
        <v>167</v>
      </c>
      <c r="D223" s="145" t="s">
        <v>190</v>
      </c>
      <c r="E223" s="145" t="s">
        <v>172</v>
      </c>
      <c r="F223" s="145">
        <v>24</v>
      </c>
      <c r="G223" s="145" t="s">
        <v>175</v>
      </c>
      <c r="H223" s="145">
        <v>4103061</v>
      </c>
      <c r="I223" s="145" t="s">
        <v>54</v>
      </c>
      <c r="J223" s="145">
        <v>13</v>
      </c>
      <c r="K223" s="146" t="s">
        <v>29</v>
      </c>
      <c r="L223" s="147" t="s">
        <v>178</v>
      </c>
      <c r="M223" s="148">
        <v>100180639294.83</v>
      </c>
      <c r="N223" s="148">
        <v>19919847812.400002</v>
      </c>
      <c r="O223" s="150">
        <f t="shared" si="195"/>
        <v>0.19883929622146063</v>
      </c>
      <c r="P223" s="148">
        <v>1724387953.1199999</v>
      </c>
      <c r="Q223" s="150">
        <f t="shared" si="195"/>
        <v>1.7212786475090801E-2</v>
      </c>
      <c r="R223" s="148">
        <v>1448229180.1199999</v>
      </c>
      <c r="S223" s="150">
        <f t="shared" ref="S223" si="219">+R223/$M223</f>
        <v>1.445617826272684E-2</v>
      </c>
    </row>
    <row r="224" spans="1:19" ht="24.95" customHeight="1">
      <c r="A224" s="32" t="e">
        <v>#REF!</v>
      </c>
      <c r="B224" s="144" t="s">
        <v>735</v>
      </c>
      <c r="C224" s="145" t="s">
        <v>167</v>
      </c>
      <c r="D224" s="145" t="s">
        <v>190</v>
      </c>
      <c r="E224" s="145" t="s">
        <v>172</v>
      </c>
      <c r="F224" s="145">
        <v>24</v>
      </c>
      <c r="G224" s="145" t="s">
        <v>175</v>
      </c>
      <c r="H224" s="145">
        <v>4103061</v>
      </c>
      <c r="I224" s="145" t="s">
        <v>65</v>
      </c>
      <c r="J224" s="145">
        <v>13</v>
      </c>
      <c r="K224" s="146" t="s">
        <v>29</v>
      </c>
      <c r="L224" s="147" t="s">
        <v>127</v>
      </c>
      <c r="M224" s="148">
        <v>7136920360705.1699</v>
      </c>
      <c r="N224" s="148">
        <v>1364082260000</v>
      </c>
      <c r="O224" s="150">
        <f t="shared" si="195"/>
        <v>0.1911303743152909</v>
      </c>
      <c r="P224" s="148">
        <v>1358149360000</v>
      </c>
      <c r="Q224" s="150">
        <f t="shared" si="195"/>
        <v>0.19029907738326041</v>
      </c>
      <c r="R224" s="148">
        <v>1358149360000</v>
      </c>
      <c r="S224" s="150">
        <f t="shared" ref="S224" si="220">+R224/$M224</f>
        <v>0.19029907738326041</v>
      </c>
    </row>
    <row r="225" spans="1:42" ht="36.75" customHeight="1">
      <c r="A225" s="32" t="e">
        <v>#REF!</v>
      </c>
      <c r="B225" s="124" t="s">
        <v>544</v>
      </c>
      <c r="C225" s="123" t="s">
        <v>167</v>
      </c>
      <c r="D225" s="123">
        <v>4199</v>
      </c>
      <c r="E225" s="123"/>
      <c r="F225" s="123"/>
      <c r="G225" s="123"/>
      <c r="H225" s="123"/>
      <c r="I225" s="123"/>
      <c r="J225" s="124"/>
      <c r="K225" s="124"/>
      <c r="L225" s="124" t="s">
        <v>250</v>
      </c>
      <c r="M225" s="125">
        <v>5000000000</v>
      </c>
      <c r="N225" s="125">
        <v>606264266</v>
      </c>
      <c r="O225" s="126">
        <f t="shared" si="195"/>
        <v>0.1212528532</v>
      </c>
      <c r="P225" s="125">
        <v>606264266</v>
      </c>
      <c r="Q225" s="126">
        <f t="shared" si="195"/>
        <v>0.1212528532</v>
      </c>
      <c r="R225" s="125">
        <v>606264266</v>
      </c>
      <c r="S225" s="126">
        <f t="shared" ref="S225" si="221">+R225/$M225</f>
        <v>0.1212528532</v>
      </c>
    </row>
    <row r="226" spans="1:42" ht="24" customHeight="1">
      <c r="A226" s="32" t="e">
        <v>#REF!</v>
      </c>
      <c r="B226" s="129" t="s">
        <v>300</v>
      </c>
      <c r="C226" s="128" t="s">
        <v>167</v>
      </c>
      <c r="D226" s="128">
        <v>4199</v>
      </c>
      <c r="E226" s="128">
        <v>1500</v>
      </c>
      <c r="F226" s="128"/>
      <c r="G226" s="128"/>
      <c r="H226" s="128"/>
      <c r="I226" s="128"/>
      <c r="J226" s="129"/>
      <c r="K226" s="129"/>
      <c r="L226" s="129" t="s">
        <v>170</v>
      </c>
      <c r="M226" s="130">
        <v>5000000000</v>
      </c>
      <c r="N226" s="130">
        <v>606264266</v>
      </c>
      <c r="O226" s="131">
        <f t="shared" si="195"/>
        <v>0.1212528532</v>
      </c>
      <c r="P226" s="130">
        <v>606264266</v>
      </c>
      <c r="Q226" s="131">
        <f t="shared" si="195"/>
        <v>0.1212528532</v>
      </c>
      <c r="R226" s="130">
        <v>606264266</v>
      </c>
      <c r="S226" s="131">
        <f t="shared" ref="S226" si="222">+R226/$M226</f>
        <v>0.1212528532</v>
      </c>
    </row>
    <row r="227" spans="1:42" ht="37.5" customHeight="1">
      <c r="A227" s="32" t="e">
        <v>#REF!</v>
      </c>
      <c r="B227" s="132" t="s">
        <v>547</v>
      </c>
      <c r="C227" s="133" t="s">
        <v>167</v>
      </c>
      <c r="D227" s="133" t="s">
        <v>251</v>
      </c>
      <c r="E227" s="133" t="s">
        <v>172</v>
      </c>
      <c r="F227" s="133" t="s">
        <v>252</v>
      </c>
      <c r="G227" s="133"/>
      <c r="H227" s="133"/>
      <c r="I227" s="133"/>
      <c r="J227" s="133"/>
      <c r="K227" s="134"/>
      <c r="L227" s="134" t="s">
        <v>274</v>
      </c>
      <c r="M227" s="135">
        <v>5000000000</v>
      </c>
      <c r="N227" s="135">
        <v>606264266</v>
      </c>
      <c r="O227" s="137">
        <f t="shared" si="195"/>
        <v>0.1212528532</v>
      </c>
      <c r="P227" s="135">
        <v>606264266</v>
      </c>
      <c r="Q227" s="137">
        <f t="shared" si="195"/>
        <v>0.1212528532</v>
      </c>
      <c r="R227" s="135">
        <v>606264266</v>
      </c>
      <c r="S227" s="137">
        <f t="shared" ref="S227" si="223">+R227/$M227</f>
        <v>0.1212528532</v>
      </c>
    </row>
    <row r="228" spans="1:42" ht="32.25" customHeight="1">
      <c r="A228" s="32" t="e">
        <v>#REF!</v>
      </c>
      <c r="B228" s="138" t="s">
        <v>548</v>
      </c>
      <c r="C228" s="139" t="s">
        <v>167</v>
      </c>
      <c r="D228" s="139" t="s">
        <v>251</v>
      </c>
      <c r="E228" s="139" t="s">
        <v>172</v>
      </c>
      <c r="F228" s="139" t="s">
        <v>252</v>
      </c>
      <c r="G228" s="139" t="s">
        <v>175</v>
      </c>
      <c r="H228" s="139" t="s">
        <v>254</v>
      </c>
      <c r="I228" s="139"/>
      <c r="J228" s="139">
        <v>13</v>
      </c>
      <c r="K228" s="140" t="s">
        <v>29</v>
      </c>
      <c r="L228" s="140" t="s">
        <v>255</v>
      </c>
      <c r="M228" s="141">
        <v>5000000000</v>
      </c>
      <c r="N228" s="141">
        <v>606264266</v>
      </c>
      <c r="O228" s="143">
        <f t="shared" si="195"/>
        <v>0.1212528532</v>
      </c>
      <c r="P228" s="141">
        <v>606264266</v>
      </c>
      <c r="Q228" s="143">
        <f t="shared" si="195"/>
        <v>0.1212528532</v>
      </c>
      <c r="R228" s="141">
        <v>606264266</v>
      </c>
      <c r="S228" s="143">
        <f t="shared" ref="S228" si="224">+R228/$M228</f>
        <v>0.1212528532</v>
      </c>
    </row>
    <row r="229" spans="1:42" ht="24.95" customHeight="1">
      <c r="A229" s="32" t="e">
        <v>#REF!</v>
      </c>
      <c r="B229" s="144" t="s">
        <v>549</v>
      </c>
      <c r="C229" s="145" t="s">
        <v>167</v>
      </c>
      <c r="D229" s="145" t="s">
        <v>251</v>
      </c>
      <c r="E229" s="145" t="s">
        <v>172</v>
      </c>
      <c r="F229" s="145" t="s">
        <v>252</v>
      </c>
      <c r="G229" s="145" t="s">
        <v>175</v>
      </c>
      <c r="H229" s="145" t="s">
        <v>254</v>
      </c>
      <c r="I229" s="145" t="s">
        <v>54</v>
      </c>
      <c r="J229" s="145">
        <v>13</v>
      </c>
      <c r="K229" s="146" t="s">
        <v>29</v>
      </c>
      <c r="L229" s="147" t="s">
        <v>178</v>
      </c>
      <c r="M229" s="148">
        <v>5000000000</v>
      </c>
      <c r="N229" s="148">
        <v>606264266</v>
      </c>
      <c r="O229" s="150">
        <f t="shared" si="195"/>
        <v>0.1212528532</v>
      </c>
      <c r="P229" s="148">
        <v>606264266</v>
      </c>
      <c r="Q229" s="150">
        <f t="shared" si="195"/>
        <v>0.1212528532</v>
      </c>
      <c r="R229" s="148">
        <v>606264266</v>
      </c>
      <c r="S229" s="150">
        <f t="shared" ref="S229" si="225">+R229/$M229</f>
        <v>0.1212528532</v>
      </c>
    </row>
    <row r="230" spans="1:42" ht="35.1" customHeight="1">
      <c r="A230" s="32"/>
      <c r="B230" s="118"/>
      <c r="C230" s="118"/>
      <c r="D230" s="119"/>
      <c r="E230" s="119"/>
      <c r="F230" s="119"/>
      <c r="G230" s="119"/>
      <c r="H230" s="119"/>
      <c r="I230" s="119"/>
      <c r="J230" s="119"/>
      <c r="K230" s="119"/>
      <c r="L230" s="119" t="s">
        <v>256</v>
      </c>
      <c r="M230" s="120">
        <v>13097444876291</v>
      </c>
      <c r="N230" s="120">
        <v>3602201701385.3901</v>
      </c>
      <c r="O230" s="121">
        <f t="shared" si="195"/>
        <v>0.27503087322826586</v>
      </c>
      <c r="P230" s="120">
        <v>2532820147781.8003</v>
      </c>
      <c r="Q230" s="121">
        <f t="shared" si="195"/>
        <v>0.19338276829602943</v>
      </c>
      <c r="R230" s="120">
        <v>2529212786072.8003</v>
      </c>
      <c r="S230" s="121">
        <f t="shared" ref="S230" si="226">+R230/$M230</f>
        <v>0.19310734345224712</v>
      </c>
    </row>
    <row r="231" spans="1:42" s="90" customFormat="1" ht="16.5">
      <c r="A231" s="32"/>
      <c r="B231" s="32"/>
      <c r="C231" s="82"/>
      <c r="D231" s="82"/>
      <c r="E231" s="82"/>
      <c r="F231" s="82"/>
      <c r="G231" s="82"/>
      <c r="H231" s="83"/>
      <c r="I231" s="84"/>
      <c r="J231" s="84"/>
      <c r="K231" s="85"/>
      <c r="L231" s="84"/>
      <c r="M231" s="86"/>
      <c r="N231" s="86"/>
      <c r="O231" s="87"/>
      <c r="P231" s="88"/>
      <c r="Q231" s="87"/>
      <c r="R231" s="86"/>
      <c r="S231" s="89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</row>
    <row r="232" spans="1:42" s="8" customFormat="1" ht="16.5">
      <c r="A232" s="32" t="e">
        <v>#REF!</v>
      </c>
      <c r="B232" s="32"/>
      <c r="C232" s="91"/>
      <c r="D232" s="91"/>
      <c r="E232" s="91"/>
      <c r="F232" s="91"/>
      <c r="G232" s="91"/>
      <c r="H232" s="92"/>
      <c r="I232" s="93"/>
      <c r="J232" s="93"/>
      <c r="K232" s="94"/>
      <c r="L232" s="93"/>
      <c r="M232" s="559">
        <f>+M230-'VIG_2021-IVTrim'!M244</f>
        <v>-1272715919589</v>
      </c>
      <c r="N232" s="95">
        <v>3602201701385.3901</v>
      </c>
      <c r="O232" s="361">
        <v>0.27503087322826586</v>
      </c>
      <c r="P232" s="95">
        <v>2532820147781.7998</v>
      </c>
      <c r="Q232" s="361">
        <v>0.29686887138838197</v>
      </c>
      <c r="R232" s="95">
        <v>2529212786072.7998</v>
      </c>
      <c r="S232" s="361">
        <v>0.70212969615223841</v>
      </c>
    </row>
    <row r="233" spans="1:42" s="8" customFormat="1" ht="16.5">
      <c r="A233" s="32"/>
      <c r="B233" s="32"/>
      <c r="C233" s="94"/>
      <c r="D233" s="93"/>
      <c r="E233" s="93"/>
      <c r="F233" s="93"/>
      <c r="G233" s="93"/>
      <c r="H233" s="93"/>
      <c r="I233" s="93"/>
      <c r="J233" s="93"/>
      <c r="K233" s="94"/>
      <c r="L233" s="97"/>
      <c r="M233" s="362">
        <v>0</v>
      </c>
      <c r="N233" s="362">
        <v>0</v>
      </c>
      <c r="O233" s="363"/>
      <c r="P233" s="362">
        <v>0</v>
      </c>
      <c r="Q233" s="363"/>
      <c r="R233" s="362">
        <v>0</v>
      </c>
      <c r="S233" s="363"/>
    </row>
    <row r="234" spans="1:42" s="374" customFormat="1" ht="16.5">
      <c r="A234" s="369"/>
      <c r="B234" s="375"/>
      <c r="C234" s="370"/>
      <c r="D234" s="371"/>
      <c r="E234" s="371"/>
      <c r="F234" s="371"/>
      <c r="G234" s="371"/>
      <c r="H234" s="371"/>
      <c r="I234" s="371"/>
      <c r="J234" s="371"/>
      <c r="K234" s="370"/>
      <c r="L234" s="86"/>
      <c r="M234" s="359"/>
      <c r="N234" s="359"/>
      <c r="O234" s="372"/>
      <c r="P234" s="359"/>
      <c r="Q234" s="372"/>
      <c r="R234" s="359"/>
      <c r="S234" s="37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</row>
    <row r="235" spans="1:42" ht="18">
      <c r="A235" s="30"/>
      <c r="B235" s="31"/>
      <c r="C235" s="312"/>
      <c r="D235" s="317"/>
      <c r="E235" s="312"/>
      <c r="F235" s="312"/>
      <c r="G235" s="312"/>
      <c r="H235" s="312"/>
      <c r="I235" s="312"/>
      <c r="J235" s="312"/>
      <c r="K235" s="317"/>
      <c r="L235" s="312"/>
      <c r="M235" s="359"/>
      <c r="N235" s="332"/>
      <c r="O235" s="333"/>
      <c r="P235" s="332"/>
      <c r="Q235" s="333"/>
      <c r="R235" s="332"/>
      <c r="S235" s="333"/>
    </row>
    <row r="236" spans="1:42" ht="18">
      <c r="A236" s="30"/>
      <c r="B236" s="31"/>
      <c r="C236" s="312"/>
      <c r="D236" s="317"/>
      <c r="E236" s="312"/>
      <c r="F236" s="312"/>
      <c r="G236" s="312"/>
      <c r="H236" s="312"/>
      <c r="I236" s="312"/>
      <c r="J236" s="312"/>
      <c r="K236" s="317"/>
      <c r="L236" s="312"/>
      <c r="M236" s="332"/>
      <c r="N236" s="332"/>
      <c r="O236" s="333"/>
      <c r="P236" s="332"/>
      <c r="Q236" s="333"/>
      <c r="R236" s="332"/>
      <c r="S236" s="333"/>
    </row>
    <row r="237" spans="1:42" ht="18">
      <c r="A237" s="1"/>
      <c r="B237" s="2"/>
      <c r="C237" s="312"/>
      <c r="D237" s="312"/>
      <c r="E237" s="312"/>
      <c r="F237" s="312"/>
      <c r="G237" s="312"/>
      <c r="H237" s="312"/>
      <c r="I237" s="312"/>
      <c r="J237" s="312"/>
      <c r="K237" s="317"/>
      <c r="L237" s="312"/>
      <c r="M237" s="332"/>
      <c r="N237" s="332"/>
      <c r="O237" s="333"/>
      <c r="P237" s="332"/>
      <c r="Q237" s="333"/>
      <c r="R237" s="332"/>
      <c r="S237" s="333"/>
      <c r="T237" s="315"/>
    </row>
    <row r="238" spans="1:42" ht="30">
      <c r="A238" s="1"/>
      <c r="B238" s="2"/>
      <c r="C238" s="318"/>
      <c r="D238" s="318"/>
      <c r="E238" s="318"/>
      <c r="F238" s="318"/>
      <c r="G238" s="318"/>
      <c r="H238" s="318"/>
      <c r="I238" s="312"/>
      <c r="J238" s="312"/>
      <c r="K238" s="317"/>
      <c r="L238" s="336" t="s">
        <v>738</v>
      </c>
      <c r="M238" s="319"/>
      <c r="N238" s="319"/>
      <c r="O238" s="319"/>
      <c r="P238" s="319"/>
      <c r="Q238" s="320"/>
      <c r="R238" s="376"/>
      <c r="S238" s="319"/>
    </row>
    <row r="239" spans="1:42" ht="30">
      <c r="A239" s="1"/>
      <c r="B239" s="2"/>
      <c r="C239" s="321"/>
      <c r="D239" s="322"/>
      <c r="E239" s="322"/>
      <c r="F239" s="322"/>
      <c r="G239" s="322"/>
      <c r="H239" s="322"/>
      <c r="I239" s="322"/>
      <c r="J239" s="322"/>
      <c r="K239" s="321"/>
      <c r="L239" s="337" t="s">
        <v>739</v>
      </c>
      <c r="M239" s="360"/>
      <c r="N239" s="323"/>
      <c r="O239" s="323"/>
      <c r="P239" s="323"/>
      <c r="Q239" s="324"/>
      <c r="R239" s="323"/>
      <c r="S239" s="323"/>
    </row>
    <row r="240" spans="1:42" ht="30">
      <c r="A240" s="325"/>
      <c r="B240" s="313"/>
      <c r="C240" s="308"/>
      <c r="D240" s="308"/>
      <c r="E240" s="308"/>
      <c r="F240" s="308"/>
      <c r="G240" s="308"/>
      <c r="H240" s="308"/>
      <c r="I240" s="308"/>
      <c r="J240" s="308"/>
      <c r="K240" s="336"/>
      <c r="L240" s="308"/>
      <c r="M240" s="334"/>
      <c r="N240" s="334"/>
      <c r="O240" s="329"/>
      <c r="P240" s="329"/>
      <c r="Q240" s="329"/>
    </row>
  </sheetData>
  <sheetProtection selectLockedCells="1" selectUnlockedCells="1"/>
  <autoFilter ref="A6:S233" xr:uid="{00000000-0009-0000-0000-000002000000}"/>
  <mergeCells count="9">
    <mergeCell ref="M5:M6"/>
    <mergeCell ref="N5:O5"/>
    <mergeCell ref="P5:Q5"/>
    <mergeCell ref="R5:S5"/>
    <mergeCell ref="B5:B6"/>
    <mergeCell ref="C5:I5"/>
    <mergeCell ref="J5:J6"/>
    <mergeCell ref="K5:K6"/>
    <mergeCell ref="L5:L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4987-B6A3-408D-9E2D-F392D1496575}">
  <sheetPr>
    <tabColor rgb="FF00B0F0"/>
    <pageSetUpPr fitToPage="1"/>
  </sheetPr>
  <dimension ref="A1:AS206"/>
  <sheetViews>
    <sheetView showGridLines="0" zoomScale="80" zoomScaleNormal="80" workbookViewId="0"/>
  </sheetViews>
  <sheetFormatPr baseColWidth="10" defaultColWidth="11.42578125" defaultRowHeight="12.75" outlineLevelCol="1"/>
  <cols>
    <col min="1" max="1" width="5.7109375" style="109" customWidth="1"/>
    <col min="2" max="2" width="24.4257812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56.7109375" style="9" customWidth="1"/>
    <col min="14" max="14" width="20.28515625" style="13" bestFit="1" customWidth="1"/>
    <col min="15" max="15" width="19.5703125" style="13" bestFit="1" customWidth="1"/>
    <col min="16" max="16" width="11.5703125" style="13" customWidth="1"/>
    <col min="17" max="17" width="19.5703125" style="13" bestFit="1" customWidth="1"/>
    <col min="18" max="18" width="14.140625" style="13" customWidth="1"/>
    <col min="19" max="19" width="19.5703125" style="13" bestFit="1" customWidth="1"/>
    <col min="20" max="20" width="13.42578125" style="13" customWidth="1"/>
    <col min="21" max="21" width="11.42578125" style="13"/>
    <col min="22" max="22" width="18.28515625" style="291" bestFit="1" customWidth="1"/>
    <col min="23" max="23" width="27.7109375" style="13" bestFit="1" customWidth="1"/>
    <col min="24" max="24" width="13.85546875" style="13" customWidth="1"/>
    <col min="25" max="16384" width="11.42578125" style="13"/>
  </cols>
  <sheetData>
    <row r="1" spans="1:23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6"/>
      <c r="O1" s="5">
        <v>13</v>
      </c>
      <c r="P1" s="7"/>
      <c r="Q1" s="5">
        <v>14</v>
      </c>
      <c r="R1" s="7"/>
      <c r="S1" s="5">
        <v>16</v>
      </c>
      <c r="T1" s="7"/>
      <c r="V1" s="290"/>
    </row>
    <row r="2" spans="1:23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303" t="s">
        <v>0</v>
      </c>
      <c r="O2" s="303"/>
      <c r="P2" s="303"/>
      <c r="Q2" s="303"/>
      <c r="R2" s="303"/>
      <c r="S2" s="303"/>
      <c r="T2" s="303"/>
    </row>
    <row r="3" spans="1:23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302" t="s">
        <v>740</v>
      </c>
      <c r="O3" s="302"/>
      <c r="P3" s="302"/>
      <c r="Q3" s="302"/>
      <c r="R3" s="302"/>
      <c r="S3" s="302"/>
      <c r="T3" s="302"/>
    </row>
    <row r="4" spans="1:23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1"/>
      <c r="Q4" s="20"/>
      <c r="R4" s="21"/>
      <c r="S4" s="20"/>
      <c r="T4" s="21"/>
    </row>
    <row r="5" spans="1:23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166" t="s">
        <v>6</v>
      </c>
      <c r="O5" s="782" t="s">
        <v>7</v>
      </c>
      <c r="P5" s="783"/>
      <c r="Q5" s="776" t="s">
        <v>8</v>
      </c>
      <c r="R5" s="778"/>
      <c r="S5" s="779" t="s">
        <v>9</v>
      </c>
      <c r="T5" s="781"/>
      <c r="V5" s="292"/>
    </row>
    <row r="6" spans="1:23" s="25" customFormat="1" ht="33.7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6</v>
      </c>
      <c r="O6" s="176" t="s">
        <v>18</v>
      </c>
      <c r="P6" s="177" t="s">
        <v>19</v>
      </c>
      <c r="Q6" s="175" t="s">
        <v>18</v>
      </c>
      <c r="R6" s="310" t="s">
        <v>737</v>
      </c>
      <c r="S6" s="175" t="s">
        <v>18</v>
      </c>
      <c r="T6" s="178" t="s">
        <v>20</v>
      </c>
      <c r="V6" s="292"/>
    </row>
    <row r="7" spans="1:23" ht="35.1" customHeight="1" thickBot="1">
      <c r="A7" s="32" t="s">
        <v>551</v>
      </c>
      <c r="B7" s="180" t="s">
        <v>23</v>
      </c>
      <c r="C7" s="181" t="s">
        <v>23</v>
      </c>
      <c r="D7" s="182"/>
      <c r="E7" s="182"/>
      <c r="F7" s="182"/>
      <c r="G7" s="182"/>
      <c r="H7" s="182"/>
      <c r="I7" s="182"/>
      <c r="J7" s="183"/>
      <c r="K7" s="184"/>
      <c r="L7" s="185"/>
      <c r="M7" s="180" t="s">
        <v>24</v>
      </c>
      <c r="N7" s="186">
        <v>151200000000</v>
      </c>
      <c r="O7" s="186">
        <v>117708924172.38</v>
      </c>
      <c r="P7" s="187">
        <f>+O7/$N7</f>
        <v>0.77849817574325397</v>
      </c>
      <c r="Q7" s="186">
        <v>29674692767.5</v>
      </c>
      <c r="R7" s="187">
        <f>+Q7/$N7</f>
        <v>0.19626119555224869</v>
      </c>
      <c r="S7" s="186">
        <v>29640818750.5</v>
      </c>
      <c r="T7" s="187">
        <f>+S7/$N7</f>
        <v>0.19603716104828042</v>
      </c>
      <c r="V7" s="13"/>
    </row>
    <row r="8" spans="1:23" ht="35.1" customHeight="1">
      <c r="A8" s="32" t="s">
        <v>302</v>
      </c>
      <c r="B8" s="188" t="s">
        <v>303</v>
      </c>
      <c r="C8" s="189" t="s">
        <v>23</v>
      </c>
      <c r="D8" s="190" t="s">
        <v>25</v>
      </c>
      <c r="E8" s="191"/>
      <c r="F8" s="191"/>
      <c r="G8" s="191"/>
      <c r="H8" s="191"/>
      <c r="I8" s="191"/>
      <c r="J8" s="191"/>
      <c r="K8" s="192"/>
      <c r="L8" s="193"/>
      <c r="M8" s="188" t="s">
        <v>26</v>
      </c>
      <c r="N8" s="194">
        <v>99738000000</v>
      </c>
      <c r="O8" s="194">
        <v>89763954000</v>
      </c>
      <c r="P8" s="195">
        <f t="shared" ref="P8:R71" si="0">+O8/$N8</f>
        <v>0.89999753353786927</v>
      </c>
      <c r="Q8" s="194">
        <v>21677585215</v>
      </c>
      <c r="R8" s="195">
        <f t="shared" si="0"/>
        <v>0.21734529682768855</v>
      </c>
      <c r="S8" s="194">
        <v>21666326515</v>
      </c>
      <c r="T8" s="195">
        <f t="shared" ref="T8" si="1">+S8/$N8</f>
        <v>0.21723241407487617</v>
      </c>
      <c r="V8" s="13"/>
    </row>
    <row r="9" spans="1:23" ht="24.95" customHeight="1">
      <c r="A9" s="32" t="s">
        <v>304</v>
      </c>
      <c r="B9" s="196" t="s">
        <v>305</v>
      </c>
      <c r="C9" s="197" t="s">
        <v>23</v>
      </c>
      <c r="D9" s="198" t="s">
        <v>25</v>
      </c>
      <c r="E9" s="198" t="s">
        <v>25</v>
      </c>
      <c r="F9" s="198"/>
      <c r="G9" s="198"/>
      <c r="H9" s="198"/>
      <c r="I9" s="198"/>
      <c r="J9" s="198"/>
      <c r="K9" s="199"/>
      <c r="L9" s="200"/>
      <c r="M9" s="196" t="s">
        <v>27</v>
      </c>
      <c r="N9" s="201">
        <v>99738000000</v>
      </c>
      <c r="O9" s="201">
        <v>89763954000</v>
      </c>
      <c r="P9" s="202">
        <f t="shared" si="0"/>
        <v>0.89999753353786927</v>
      </c>
      <c r="Q9" s="201">
        <v>21677585215</v>
      </c>
      <c r="R9" s="202">
        <f t="shared" si="0"/>
        <v>0.21734529682768855</v>
      </c>
      <c r="S9" s="201">
        <v>21666326515</v>
      </c>
      <c r="T9" s="202">
        <f t="shared" ref="T9" si="2">+S9/$N9</f>
        <v>0.21723241407487617</v>
      </c>
      <c r="V9" s="13"/>
      <c r="W9" s="293"/>
    </row>
    <row r="10" spans="1:23" ht="24.95" customHeight="1">
      <c r="A10" s="32" t="s">
        <v>306</v>
      </c>
      <c r="B10" s="203" t="s">
        <v>307</v>
      </c>
      <c r="C10" s="204" t="s">
        <v>23</v>
      </c>
      <c r="D10" s="205" t="s">
        <v>25</v>
      </c>
      <c r="E10" s="205" t="s">
        <v>25</v>
      </c>
      <c r="F10" s="205" t="s">
        <v>25</v>
      </c>
      <c r="G10" s="205"/>
      <c r="H10" s="205"/>
      <c r="I10" s="205"/>
      <c r="J10" s="205"/>
      <c r="K10" s="206" t="s">
        <v>28</v>
      </c>
      <c r="L10" s="207" t="s">
        <v>29</v>
      </c>
      <c r="M10" s="203" t="s">
        <v>30</v>
      </c>
      <c r="N10" s="208">
        <v>68019000000</v>
      </c>
      <c r="O10" s="208">
        <v>61031327000</v>
      </c>
      <c r="P10" s="209">
        <f t="shared" si="0"/>
        <v>0.89726880724503444</v>
      </c>
      <c r="Q10" s="208">
        <v>14684948411</v>
      </c>
      <c r="R10" s="209">
        <f t="shared" si="0"/>
        <v>0.21589480014407739</v>
      </c>
      <c r="S10" s="208">
        <v>14684948411</v>
      </c>
      <c r="T10" s="209">
        <f t="shared" ref="T10" si="3">+S10/$N10</f>
        <v>0.21589480014407739</v>
      </c>
      <c r="V10" s="13"/>
      <c r="W10" s="293"/>
    </row>
    <row r="11" spans="1:23" ht="24.95" customHeight="1">
      <c r="A11" s="32" t="s">
        <v>308</v>
      </c>
      <c r="B11" s="210" t="s">
        <v>309</v>
      </c>
      <c r="C11" s="211" t="s">
        <v>23</v>
      </c>
      <c r="D11" s="212" t="s">
        <v>25</v>
      </c>
      <c r="E11" s="212" t="s">
        <v>25</v>
      </c>
      <c r="F11" s="212" t="s">
        <v>25</v>
      </c>
      <c r="G11" s="212" t="s">
        <v>31</v>
      </c>
      <c r="H11" s="212"/>
      <c r="I11" s="212"/>
      <c r="J11" s="212"/>
      <c r="K11" s="213" t="s">
        <v>28</v>
      </c>
      <c r="L11" s="214" t="s">
        <v>29</v>
      </c>
      <c r="M11" s="210" t="s">
        <v>32</v>
      </c>
      <c r="N11" s="215">
        <v>68019000000</v>
      </c>
      <c r="O11" s="215">
        <v>61031327000</v>
      </c>
      <c r="P11" s="216">
        <f t="shared" si="0"/>
        <v>0.89726880724503444</v>
      </c>
      <c r="Q11" s="215">
        <v>14684948411</v>
      </c>
      <c r="R11" s="216">
        <f t="shared" si="0"/>
        <v>0.21589480014407739</v>
      </c>
      <c r="S11" s="215">
        <v>14684948411</v>
      </c>
      <c r="T11" s="216">
        <f t="shared" ref="T11" si="4">+S11/$N11</f>
        <v>0.21589480014407739</v>
      </c>
      <c r="V11" s="13"/>
      <c r="W11" s="293"/>
    </row>
    <row r="12" spans="1:23" ht="24.95" customHeight="1">
      <c r="A12" s="32" t="s">
        <v>310</v>
      </c>
      <c r="B12" s="217" t="s">
        <v>311</v>
      </c>
      <c r="C12" s="218" t="s">
        <v>23</v>
      </c>
      <c r="D12" s="219" t="s">
        <v>25</v>
      </c>
      <c r="E12" s="219" t="s">
        <v>25</v>
      </c>
      <c r="F12" s="219" t="s">
        <v>25</v>
      </c>
      <c r="G12" s="219" t="s">
        <v>31</v>
      </c>
      <c r="H12" s="219" t="s">
        <v>31</v>
      </c>
      <c r="I12" s="219"/>
      <c r="J12" s="219"/>
      <c r="K12" s="220" t="s">
        <v>28</v>
      </c>
      <c r="L12" s="221" t="s">
        <v>29</v>
      </c>
      <c r="M12" s="217" t="s">
        <v>33</v>
      </c>
      <c r="N12" s="222">
        <v>54858000000</v>
      </c>
      <c r="O12" s="222">
        <v>48931483000</v>
      </c>
      <c r="P12" s="224">
        <f t="shared" si="0"/>
        <v>0.89196622188194974</v>
      </c>
      <c r="Q12" s="222">
        <v>13549602323</v>
      </c>
      <c r="R12" s="224">
        <f t="shared" si="0"/>
        <v>0.24699409973021255</v>
      </c>
      <c r="S12" s="222">
        <v>13549602323</v>
      </c>
      <c r="T12" s="224">
        <f t="shared" ref="T12" si="5">+S12/$N12</f>
        <v>0.24699409973021255</v>
      </c>
      <c r="V12" s="13"/>
      <c r="W12" s="293"/>
    </row>
    <row r="13" spans="1:23" ht="24.95" customHeight="1">
      <c r="A13" s="32" t="s">
        <v>312</v>
      </c>
      <c r="B13" s="217" t="s">
        <v>313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34</v>
      </c>
      <c r="I13" s="219"/>
      <c r="J13" s="219"/>
      <c r="K13" s="220" t="s">
        <v>28</v>
      </c>
      <c r="L13" s="221" t="s">
        <v>29</v>
      </c>
      <c r="M13" s="217" t="s">
        <v>35</v>
      </c>
      <c r="N13" s="222">
        <v>263000000</v>
      </c>
      <c r="O13" s="222">
        <v>263000000</v>
      </c>
      <c r="P13" s="224">
        <f t="shared" si="0"/>
        <v>1</v>
      </c>
      <c r="Q13" s="222">
        <v>68945282</v>
      </c>
      <c r="R13" s="224">
        <f t="shared" si="0"/>
        <v>0.26214936121673005</v>
      </c>
      <c r="S13" s="222">
        <v>68945282</v>
      </c>
      <c r="T13" s="224">
        <f t="shared" ref="T13" si="6">+S13/$N13</f>
        <v>0.26214936121673005</v>
      </c>
      <c r="V13" s="13"/>
      <c r="W13" s="293"/>
    </row>
    <row r="14" spans="1:23" ht="24.95" customHeight="1">
      <c r="A14" s="32" t="s">
        <v>314</v>
      </c>
      <c r="B14" s="217" t="s">
        <v>315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36</v>
      </c>
      <c r="I14" s="219"/>
      <c r="J14" s="219"/>
      <c r="K14" s="220" t="s">
        <v>28</v>
      </c>
      <c r="L14" s="221" t="s">
        <v>29</v>
      </c>
      <c r="M14" s="217" t="s">
        <v>37</v>
      </c>
      <c r="N14" s="222">
        <v>550000000</v>
      </c>
      <c r="O14" s="222">
        <v>494639000</v>
      </c>
      <c r="P14" s="224">
        <f t="shared" si="0"/>
        <v>0.89934363636363635</v>
      </c>
      <c r="Q14" s="222">
        <v>136683123</v>
      </c>
      <c r="R14" s="224">
        <f t="shared" si="0"/>
        <v>0.24851476909090908</v>
      </c>
      <c r="S14" s="222">
        <v>136683123</v>
      </c>
      <c r="T14" s="224">
        <f t="shared" ref="T14" si="7">+S14/$N14</f>
        <v>0.24851476909090908</v>
      </c>
      <c r="V14" s="13"/>
      <c r="W14" s="293"/>
    </row>
    <row r="15" spans="1:23" ht="24.95" customHeight="1">
      <c r="A15" s="32" t="s">
        <v>316</v>
      </c>
      <c r="B15" s="217" t="s">
        <v>317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38</v>
      </c>
      <c r="I15" s="219"/>
      <c r="J15" s="219"/>
      <c r="K15" s="220" t="s">
        <v>28</v>
      </c>
      <c r="L15" s="221" t="s">
        <v>29</v>
      </c>
      <c r="M15" s="217" t="s">
        <v>39</v>
      </c>
      <c r="N15" s="222">
        <v>100000000</v>
      </c>
      <c r="O15" s="222">
        <v>94700000</v>
      </c>
      <c r="P15" s="224">
        <f t="shared" si="0"/>
        <v>0.94699999999999995</v>
      </c>
      <c r="Q15" s="222">
        <v>23071207</v>
      </c>
      <c r="R15" s="224">
        <f t="shared" si="0"/>
        <v>0.23071206999999999</v>
      </c>
      <c r="S15" s="222">
        <v>23071207</v>
      </c>
      <c r="T15" s="224">
        <f t="shared" ref="T15" si="8">+S15/$N15</f>
        <v>0.23071206999999999</v>
      </c>
      <c r="V15" s="13"/>
      <c r="W15" s="293"/>
    </row>
    <row r="16" spans="1:23" ht="24.95" customHeight="1">
      <c r="A16" s="32" t="s">
        <v>318</v>
      </c>
      <c r="B16" s="217" t="s">
        <v>319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40</v>
      </c>
      <c r="I16" s="219"/>
      <c r="J16" s="219"/>
      <c r="K16" s="220" t="s">
        <v>28</v>
      </c>
      <c r="L16" s="221" t="s">
        <v>29</v>
      </c>
      <c r="M16" s="217" t="s">
        <v>41</v>
      </c>
      <c r="N16" s="222">
        <v>98000000</v>
      </c>
      <c r="O16" s="222">
        <v>90000000</v>
      </c>
      <c r="P16" s="224">
        <f t="shared" si="0"/>
        <v>0.91836734693877553</v>
      </c>
      <c r="Q16" s="222">
        <v>34480093</v>
      </c>
      <c r="R16" s="224">
        <f t="shared" si="0"/>
        <v>0.3518376836734694</v>
      </c>
      <c r="S16" s="222">
        <v>34480093</v>
      </c>
      <c r="T16" s="224">
        <f t="shared" ref="T16" si="9">+S16/$N16</f>
        <v>0.3518376836734694</v>
      </c>
      <c r="V16" s="13"/>
      <c r="W16" s="293"/>
    </row>
    <row r="17" spans="1:23" ht="24.95" customHeight="1">
      <c r="A17" s="32" t="s">
        <v>320</v>
      </c>
      <c r="B17" s="217" t="s">
        <v>321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42</v>
      </c>
      <c r="I17" s="219"/>
      <c r="J17" s="219"/>
      <c r="K17" s="220" t="s">
        <v>28</v>
      </c>
      <c r="L17" s="221" t="s">
        <v>29</v>
      </c>
      <c r="M17" s="217" t="s">
        <v>43</v>
      </c>
      <c r="N17" s="222">
        <v>2500000000</v>
      </c>
      <c r="O17" s="222">
        <v>2242820000</v>
      </c>
      <c r="P17" s="224">
        <f t="shared" si="0"/>
        <v>0.89712800000000004</v>
      </c>
      <c r="Q17" s="222">
        <v>19389594</v>
      </c>
      <c r="R17" s="224">
        <f t="shared" si="0"/>
        <v>7.7558376E-3</v>
      </c>
      <c r="S17" s="222">
        <v>19389594</v>
      </c>
      <c r="T17" s="224">
        <f t="shared" ref="T17" si="10">+S17/$N17</f>
        <v>7.7558376E-3</v>
      </c>
      <c r="V17" s="13"/>
      <c r="W17" s="293"/>
    </row>
    <row r="18" spans="1:23" ht="24.95" customHeight="1">
      <c r="A18" s="32" t="s">
        <v>322</v>
      </c>
      <c r="B18" s="217" t="s">
        <v>323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44</v>
      </c>
      <c r="I18" s="219"/>
      <c r="J18" s="219"/>
      <c r="K18" s="220" t="s">
        <v>28</v>
      </c>
      <c r="L18" s="221" t="s">
        <v>29</v>
      </c>
      <c r="M18" s="217" t="s">
        <v>45</v>
      </c>
      <c r="N18" s="222">
        <v>1800000000</v>
      </c>
      <c r="O18" s="222">
        <v>1622800000</v>
      </c>
      <c r="P18" s="224">
        <f t="shared" si="0"/>
        <v>0.90155555555555555</v>
      </c>
      <c r="Q18" s="222">
        <v>463431564</v>
      </c>
      <c r="R18" s="224">
        <f t="shared" si="0"/>
        <v>0.25746197999999998</v>
      </c>
      <c r="S18" s="222">
        <v>463431564</v>
      </c>
      <c r="T18" s="224">
        <f t="shared" ref="T18" si="11">+S18/$N18</f>
        <v>0.25746197999999998</v>
      </c>
      <c r="V18" s="13"/>
      <c r="W18" s="293"/>
    </row>
    <row r="19" spans="1:23" ht="24.95" customHeight="1">
      <c r="A19" s="32" t="s">
        <v>324</v>
      </c>
      <c r="B19" s="217" t="s">
        <v>325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46</v>
      </c>
      <c r="I19" s="219"/>
      <c r="J19" s="219"/>
      <c r="K19" s="220" t="s">
        <v>28</v>
      </c>
      <c r="L19" s="221" t="s">
        <v>29</v>
      </c>
      <c r="M19" s="217" t="s">
        <v>47</v>
      </c>
      <c r="N19" s="222">
        <v>250000000</v>
      </c>
      <c r="O19" s="222">
        <v>250000000</v>
      </c>
      <c r="P19" s="224">
        <f t="shared" si="0"/>
        <v>1</v>
      </c>
      <c r="Q19" s="222">
        <v>23031904</v>
      </c>
      <c r="R19" s="224">
        <f t="shared" si="0"/>
        <v>9.2127615999999996E-2</v>
      </c>
      <c r="S19" s="222">
        <v>23031904</v>
      </c>
      <c r="T19" s="224">
        <f t="shared" ref="T19" si="12">+S19/$N19</f>
        <v>9.2127615999999996E-2</v>
      </c>
      <c r="V19" s="13"/>
      <c r="W19" s="293"/>
    </row>
    <row r="20" spans="1:23" ht="24.95" customHeight="1">
      <c r="A20" s="32" t="s">
        <v>326</v>
      </c>
      <c r="B20" s="217" t="s">
        <v>327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48</v>
      </c>
      <c r="I20" s="219"/>
      <c r="J20" s="219"/>
      <c r="K20" s="220" t="s">
        <v>28</v>
      </c>
      <c r="L20" s="221" t="s">
        <v>29</v>
      </c>
      <c r="M20" s="217" t="s">
        <v>49</v>
      </c>
      <c r="N20" s="222">
        <v>5000000000</v>
      </c>
      <c r="O20" s="222">
        <v>4441885000</v>
      </c>
      <c r="P20" s="224">
        <f t="shared" si="0"/>
        <v>0.88837699999999997</v>
      </c>
      <c r="Q20" s="222">
        <v>8424450</v>
      </c>
      <c r="R20" s="224">
        <f t="shared" si="0"/>
        <v>1.6848900000000001E-3</v>
      </c>
      <c r="S20" s="222">
        <v>8424450</v>
      </c>
      <c r="T20" s="224">
        <f t="shared" ref="T20" si="13">+S20/$N20</f>
        <v>1.6848900000000001E-3</v>
      </c>
      <c r="V20" s="13"/>
      <c r="W20" s="293"/>
    </row>
    <row r="21" spans="1:23" ht="24.95" customHeight="1">
      <c r="A21" s="32" t="s">
        <v>328</v>
      </c>
      <c r="B21" s="217" t="s">
        <v>329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50</v>
      </c>
      <c r="I21" s="219"/>
      <c r="J21" s="219"/>
      <c r="K21" s="220" t="s">
        <v>28</v>
      </c>
      <c r="L21" s="221" t="s">
        <v>29</v>
      </c>
      <c r="M21" s="217" t="s">
        <v>51</v>
      </c>
      <c r="N21" s="222">
        <v>2600000000</v>
      </c>
      <c r="O21" s="222">
        <v>2600000000</v>
      </c>
      <c r="P21" s="224">
        <f t="shared" si="0"/>
        <v>1</v>
      </c>
      <c r="Q21" s="222">
        <v>357888871</v>
      </c>
      <c r="R21" s="224">
        <f t="shared" si="0"/>
        <v>0.13764956576923076</v>
      </c>
      <c r="S21" s="222">
        <v>357888871</v>
      </c>
      <c r="T21" s="224">
        <f t="shared" ref="T21" si="14">+S21/$N21</f>
        <v>0.13764956576923076</v>
      </c>
      <c r="V21" s="13"/>
      <c r="W21" s="293"/>
    </row>
    <row r="22" spans="1:23" ht="24.95" customHeight="1">
      <c r="A22" s="32" t="s">
        <v>330</v>
      </c>
      <c r="B22" s="226" t="s">
        <v>331</v>
      </c>
      <c r="C22" s="227" t="s">
        <v>23</v>
      </c>
      <c r="D22" s="228" t="s">
        <v>25</v>
      </c>
      <c r="E22" s="228" t="s">
        <v>25</v>
      </c>
      <c r="F22" s="228" t="s">
        <v>54</v>
      </c>
      <c r="G22" s="228"/>
      <c r="H22" s="228"/>
      <c r="I22" s="228"/>
      <c r="J22" s="228"/>
      <c r="K22" s="229" t="s">
        <v>28</v>
      </c>
      <c r="L22" s="230" t="s">
        <v>29</v>
      </c>
      <c r="M22" s="231" t="s">
        <v>55</v>
      </c>
      <c r="N22" s="232">
        <v>24735000000</v>
      </c>
      <c r="O22" s="232">
        <v>22257548000</v>
      </c>
      <c r="P22" s="233">
        <f t="shared" si="0"/>
        <v>0.89984022639983829</v>
      </c>
      <c r="Q22" s="232">
        <v>5661062946</v>
      </c>
      <c r="R22" s="233">
        <f t="shared" si="0"/>
        <v>0.22886852419648271</v>
      </c>
      <c r="S22" s="232">
        <v>5649804246</v>
      </c>
      <c r="T22" s="233">
        <f t="shared" ref="T22" si="15">+S22/$N22</f>
        <v>0.22841335136446331</v>
      </c>
      <c r="V22" s="13"/>
      <c r="W22" s="293"/>
    </row>
    <row r="23" spans="1:23" ht="24.95" customHeight="1">
      <c r="A23" s="32" t="s">
        <v>332</v>
      </c>
      <c r="B23" s="217" t="s">
        <v>333</v>
      </c>
      <c r="C23" s="218" t="s">
        <v>23</v>
      </c>
      <c r="D23" s="219" t="s">
        <v>25</v>
      </c>
      <c r="E23" s="219" t="s">
        <v>25</v>
      </c>
      <c r="F23" s="219" t="s">
        <v>54</v>
      </c>
      <c r="G23" s="219" t="s">
        <v>31</v>
      </c>
      <c r="H23" s="219"/>
      <c r="I23" s="219"/>
      <c r="J23" s="219"/>
      <c r="K23" s="220" t="s">
        <v>28</v>
      </c>
      <c r="L23" s="221" t="s">
        <v>29</v>
      </c>
      <c r="M23" s="217" t="s">
        <v>56</v>
      </c>
      <c r="N23" s="222">
        <v>7000000000</v>
      </c>
      <c r="O23" s="222">
        <v>6261000000</v>
      </c>
      <c r="P23" s="224">
        <f t="shared" si="0"/>
        <v>0.89442857142857146</v>
      </c>
      <c r="Q23" s="222">
        <v>1775405458</v>
      </c>
      <c r="R23" s="224">
        <f t="shared" si="0"/>
        <v>0.25362935114285712</v>
      </c>
      <c r="S23" s="222">
        <v>1775405458</v>
      </c>
      <c r="T23" s="224">
        <f t="shared" ref="T23" si="16">+S23/$N23</f>
        <v>0.25362935114285712</v>
      </c>
      <c r="V23" s="13"/>
      <c r="W23" s="293"/>
    </row>
    <row r="24" spans="1:23" ht="24.95" customHeight="1">
      <c r="A24" s="32" t="s">
        <v>334</v>
      </c>
      <c r="B24" s="217" t="s">
        <v>335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34</v>
      </c>
      <c r="H24" s="219"/>
      <c r="I24" s="219"/>
      <c r="J24" s="219"/>
      <c r="K24" s="220" t="s">
        <v>28</v>
      </c>
      <c r="L24" s="221" t="s">
        <v>29</v>
      </c>
      <c r="M24" s="217" t="s">
        <v>57</v>
      </c>
      <c r="N24" s="222">
        <v>6000000000</v>
      </c>
      <c r="O24" s="222">
        <v>5476480000</v>
      </c>
      <c r="P24" s="224">
        <f t="shared" si="0"/>
        <v>0.91274666666666671</v>
      </c>
      <c r="Q24" s="222">
        <v>1260156158</v>
      </c>
      <c r="R24" s="224">
        <f t="shared" si="0"/>
        <v>0.21002602633333334</v>
      </c>
      <c r="S24" s="222">
        <v>1260156158</v>
      </c>
      <c r="T24" s="224">
        <f t="shared" ref="T24" si="17">+S24/$N24</f>
        <v>0.21002602633333334</v>
      </c>
      <c r="V24" s="13"/>
      <c r="W24" s="293"/>
    </row>
    <row r="25" spans="1:23" ht="24.95" customHeight="1">
      <c r="A25" s="32" t="s">
        <v>336</v>
      </c>
      <c r="B25" s="217" t="s">
        <v>337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36</v>
      </c>
      <c r="H25" s="219"/>
      <c r="I25" s="219"/>
      <c r="J25" s="219"/>
      <c r="K25" s="220" t="s">
        <v>28</v>
      </c>
      <c r="L25" s="221" t="s">
        <v>29</v>
      </c>
      <c r="M25" s="217" t="s">
        <v>58</v>
      </c>
      <c r="N25" s="222">
        <v>5555000000</v>
      </c>
      <c r="O25" s="222">
        <v>4950300000</v>
      </c>
      <c r="P25" s="224">
        <f t="shared" si="0"/>
        <v>0.89114311431143112</v>
      </c>
      <c r="Q25" s="222">
        <v>1195752630</v>
      </c>
      <c r="R25" s="224">
        <f t="shared" si="0"/>
        <v>0.21525699909991</v>
      </c>
      <c r="S25" s="222">
        <v>1195752630</v>
      </c>
      <c r="T25" s="224">
        <f t="shared" ref="T25" si="18">+S25/$N25</f>
        <v>0.21525699909991</v>
      </c>
      <c r="V25" s="13"/>
      <c r="W25" s="293"/>
    </row>
    <row r="26" spans="1:23" ht="24.95" customHeight="1">
      <c r="A26" s="32" t="s">
        <v>338</v>
      </c>
      <c r="B26" s="217" t="s">
        <v>339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38</v>
      </c>
      <c r="H26" s="219"/>
      <c r="I26" s="219"/>
      <c r="J26" s="219"/>
      <c r="K26" s="220" t="s">
        <v>28</v>
      </c>
      <c r="L26" s="221" t="s">
        <v>29</v>
      </c>
      <c r="M26" s="217" t="s">
        <v>59</v>
      </c>
      <c r="N26" s="222">
        <v>2500000000</v>
      </c>
      <c r="O26" s="222">
        <v>2243000000</v>
      </c>
      <c r="P26" s="224">
        <f t="shared" si="0"/>
        <v>0.8972</v>
      </c>
      <c r="Q26" s="222">
        <v>574027000</v>
      </c>
      <c r="R26" s="224">
        <f t="shared" si="0"/>
        <v>0.2296108</v>
      </c>
      <c r="S26" s="222">
        <v>574027000</v>
      </c>
      <c r="T26" s="224">
        <f t="shared" ref="T26" si="19">+S26/$N26</f>
        <v>0.2296108</v>
      </c>
      <c r="V26" s="13"/>
      <c r="W26" s="293"/>
    </row>
    <row r="27" spans="1:23" ht="24.95" customHeight="1">
      <c r="A27" s="32" t="s">
        <v>340</v>
      </c>
      <c r="B27" s="217" t="s">
        <v>341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40</v>
      </c>
      <c r="H27" s="219"/>
      <c r="I27" s="219"/>
      <c r="J27" s="219"/>
      <c r="K27" s="220" t="s">
        <v>28</v>
      </c>
      <c r="L27" s="221" t="s">
        <v>29</v>
      </c>
      <c r="M27" s="217" t="s">
        <v>60</v>
      </c>
      <c r="N27" s="222">
        <v>500000000</v>
      </c>
      <c r="O27" s="222">
        <v>467850000</v>
      </c>
      <c r="P27" s="224">
        <f t="shared" si="0"/>
        <v>0.93569999999999998</v>
      </c>
      <c r="Q27" s="222">
        <v>137784200</v>
      </c>
      <c r="R27" s="224">
        <f t="shared" si="0"/>
        <v>0.27556839999999999</v>
      </c>
      <c r="S27" s="222">
        <v>126525500</v>
      </c>
      <c r="T27" s="224">
        <f t="shared" ref="T27" si="20">+S27/$N27</f>
        <v>0.25305100000000003</v>
      </c>
      <c r="V27" s="13"/>
      <c r="W27" s="293"/>
    </row>
    <row r="28" spans="1:23" ht="24.95" customHeight="1">
      <c r="A28" s="32" t="s">
        <v>342</v>
      </c>
      <c r="B28" s="217" t="s">
        <v>343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42</v>
      </c>
      <c r="H28" s="219"/>
      <c r="I28" s="219"/>
      <c r="J28" s="219"/>
      <c r="K28" s="220" t="s">
        <v>28</v>
      </c>
      <c r="L28" s="221" t="s">
        <v>29</v>
      </c>
      <c r="M28" s="217" t="s">
        <v>61</v>
      </c>
      <c r="N28" s="222">
        <v>1890000000</v>
      </c>
      <c r="O28" s="222">
        <v>1697400000</v>
      </c>
      <c r="P28" s="224">
        <f t="shared" si="0"/>
        <v>0.89809523809523806</v>
      </c>
      <c r="Q28" s="222">
        <v>430565700</v>
      </c>
      <c r="R28" s="224">
        <f t="shared" si="0"/>
        <v>0.22781253968253967</v>
      </c>
      <c r="S28" s="222">
        <v>430565700</v>
      </c>
      <c r="T28" s="224">
        <f t="shared" ref="T28" si="21">+S28/$N28</f>
        <v>0.22781253968253967</v>
      </c>
      <c r="V28" s="13"/>
      <c r="W28" s="293"/>
    </row>
    <row r="29" spans="1:23" ht="24.95" customHeight="1">
      <c r="A29" s="32" t="s">
        <v>344</v>
      </c>
      <c r="B29" s="217" t="s">
        <v>345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44</v>
      </c>
      <c r="H29" s="219"/>
      <c r="I29" s="219"/>
      <c r="J29" s="219"/>
      <c r="K29" s="220" t="s">
        <v>28</v>
      </c>
      <c r="L29" s="221" t="s">
        <v>29</v>
      </c>
      <c r="M29" s="217" t="s">
        <v>62</v>
      </c>
      <c r="N29" s="222">
        <v>320000000</v>
      </c>
      <c r="O29" s="222">
        <v>287880000</v>
      </c>
      <c r="P29" s="224">
        <f t="shared" si="0"/>
        <v>0.89962500000000001</v>
      </c>
      <c r="Q29" s="222">
        <v>71872500</v>
      </c>
      <c r="R29" s="224">
        <f t="shared" si="0"/>
        <v>0.22460156249999999</v>
      </c>
      <c r="S29" s="222">
        <v>71872500</v>
      </c>
      <c r="T29" s="224">
        <f t="shared" ref="T29" si="22">+S29/$N29</f>
        <v>0.22460156249999999</v>
      </c>
      <c r="V29" s="13"/>
      <c r="W29" s="293"/>
    </row>
    <row r="30" spans="1:23" ht="24.95" customHeight="1">
      <c r="A30" s="32" t="s">
        <v>346</v>
      </c>
      <c r="B30" s="217" t="s">
        <v>347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46</v>
      </c>
      <c r="H30" s="219"/>
      <c r="I30" s="219"/>
      <c r="J30" s="219"/>
      <c r="K30" s="220" t="s">
        <v>28</v>
      </c>
      <c r="L30" s="221" t="s">
        <v>29</v>
      </c>
      <c r="M30" s="217" t="s">
        <v>63</v>
      </c>
      <c r="N30" s="222">
        <v>320000000</v>
      </c>
      <c r="O30" s="222">
        <v>287880000</v>
      </c>
      <c r="P30" s="224">
        <f t="shared" si="0"/>
        <v>0.89962500000000001</v>
      </c>
      <c r="Q30" s="222">
        <v>71872500</v>
      </c>
      <c r="R30" s="224">
        <f t="shared" si="0"/>
        <v>0.22460156249999999</v>
      </c>
      <c r="S30" s="222">
        <v>71872500</v>
      </c>
      <c r="T30" s="224">
        <f t="shared" ref="T30" si="23">+S30/$N30</f>
        <v>0.22460156249999999</v>
      </c>
      <c r="V30" s="13"/>
      <c r="W30" s="293"/>
    </row>
    <row r="31" spans="1:23" ht="24.95" customHeight="1">
      <c r="A31" s="32" t="s">
        <v>348</v>
      </c>
      <c r="B31" s="217" t="s">
        <v>349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48</v>
      </c>
      <c r="H31" s="219"/>
      <c r="I31" s="219"/>
      <c r="J31" s="219"/>
      <c r="K31" s="220" t="s">
        <v>28</v>
      </c>
      <c r="L31" s="221" t="s">
        <v>29</v>
      </c>
      <c r="M31" s="217" t="s">
        <v>64</v>
      </c>
      <c r="N31" s="222">
        <v>650000000</v>
      </c>
      <c r="O31" s="222">
        <v>585758000</v>
      </c>
      <c r="P31" s="224">
        <f t="shared" si="0"/>
        <v>0.90116615384615384</v>
      </c>
      <c r="Q31" s="222">
        <v>143626800</v>
      </c>
      <c r="R31" s="224">
        <f t="shared" si="0"/>
        <v>0.22096430769230768</v>
      </c>
      <c r="S31" s="222">
        <v>143626800</v>
      </c>
      <c r="T31" s="224">
        <f t="shared" ref="T31" si="24">+S31/$N31</f>
        <v>0.22096430769230768</v>
      </c>
      <c r="V31" s="13"/>
      <c r="W31" s="293"/>
    </row>
    <row r="32" spans="1:23" ht="24.95" customHeight="1">
      <c r="A32" s="32" t="s">
        <v>350</v>
      </c>
      <c r="B32" s="226" t="s">
        <v>351</v>
      </c>
      <c r="C32" s="227" t="s">
        <v>23</v>
      </c>
      <c r="D32" s="228" t="s">
        <v>25</v>
      </c>
      <c r="E32" s="228" t="s">
        <v>25</v>
      </c>
      <c r="F32" s="228" t="s">
        <v>65</v>
      </c>
      <c r="G32" s="228"/>
      <c r="H32" s="228"/>
      <c r="I32" s="228"/>
      <c r="J32" s="228"/>
      <c r="K32" s="229" t="s">
        <v>28</v>
      </c>
      <c r="L32" s="230" t="s">
        <v>29</v>
      </c>
      <c r="M32" s="231" t="s">
        <v>66</v>
      </c>
      <c r="N32" s="232">
        <v>6984000000</v>
      </c>
      <c r="O32" s="232">
        <v>6475079000</v>
      </c>
      <c r="P32" s="233">
        <f t="shared" si="0"/>
        <v>0.92713044100801834</v>
      </c>
      <c r="Q32" s="232">
        <v>1331573858</v>
      </c>
      <c r="R32" s="233">
        <f t="shared" si="0"/>
        <v>0.19066063258877433</v>
      </c>
      <c r="S32" s="232">
        <v>1331573858</v>
      </c>
      <c r="T32" s="233">
        <f t="shared" ref="T32" si="25">+S32/$N32</f>
        <v>0.19066063258877433</v>
      </c>
      <c r="V32" s="13"/>
      <c r="W32" s="293"/>
    </row>
    <row r="33" spans="1:23" ht="24.95" customHeight="1">
      <c r="A33" s="32" t="s">
        <v>352</v>
      </c>
      <c r="B33" s="210" t="s">
        <v>353</v>
      </c>
      <c r="C33" s="211" t="s">
        <v>23</v>
      </c>
      <c r="D33" s="212" t="s">
        <v>25</v>
      </c>
      <c r="E33" s="212" t="s">
        <v>25</v>
      </c>
      <c r="F33" s="212" t="s">
        <v>65</v>
      </c>
      <c r="G33" s="212" t="s">
        <v>31</v>
      </c>
      <c r="H33" s="212"/>
      <c r="I33" s="212"/>
      <c r="J33" s="212"/>
      <c r="K33" s="213" t="s">
        <v>28</v>
      </c>
      <c r="L33" s="214" t="s">
        <v>29</v>
      </c>
      <c r="M33" s="210" t="s">
        <v>67</v>
      </c>
      <c r="N33" s="215">
        <v>3400000000</v>
      </c>
      <c r="O33" s="215">
        <v>3400000000</v>
      </c>
      <c r="P33" s="216">
        <f t="shared" si="0"/>
        <v>1</v>
      </c>
      <c r="Q33" s="215">
        <v>576251274</v>
      </c>
      <c r="R33" s="216">
        <f t="shared" si="0"/>
        <v>0.16948566882352942</v>
      </c>
      <c r="S33" s="215">
        <v>576251274</v>
      </c>
      <c r="T33" s="216">
        <f t="shared" ref="T33" si="26">+S33/$N33</f>
        <v>0.16948566882352942</v>
      </c>
      <c r="V33" s="13"/>
      <c r="W33" s="293"/>
    </row>
    <row r="34" spans="1:23" ht="24.95" customHeight="1">
      <c r="A34" s="32" t="s">
        <v>354</v>
      </c>
      <c r="B34" s="217" t="s">
        <v>355</v>
      </c>
      <c r="C34" s="218" t="s">
        <v>23</v>
      </c>
      <c r="D34" s="219" t="s">
        <v>25</v>
      </c>
      <c r="E34" s="219" t="s">
        <v>25</v>
      </c>
      <c r="F34" s="219" t="s">
        <v>65</v>
      </c>
      <c r="G34" s="219" t="s">
        <v>31</v>
      </c>
      <c r="H34" s="219" t="s">
        <v>31</v>
      </c>
      <c r="I34" s="219"/>
      <c r="J34" s="219"/>
      <c r="K34" s="220" t="s">
        <v>28</v>
      </c>
      <c r="L34" s="221" t="s">
        <v>29</v>
      </c>
      <c r="M34" s="217" t="s">
        <v>68</v>
      </c>
      <c r="N34" s="222">
        <v>2580000000</v>
      </c>
      <c r="O34" s="222">
        <v>2580000000</v>
      </c>
      <c r="P34" s="224">
        <f t="shared" si="0"/>
        <v>1</v>
      </c>
      <c r="Q34" s="222">
        <v>440757430</v>
      </c>
      <c r="R34" s="224">
        <f t="shared" si="0"/>
        <v>0.17083621317829456</v>
      </c>
      <c r="S34" s="222">
        <v>440757430</v>
      </c>
      <c r="T34" s="224">
        <f t="shared" ref="T34" si="27">+S34/$N34</f>
        <v>0.17083621317829456</v>
      </c>
      <c r="V34" s="13"/>
      <c r="W34" s="293"/>
    </row>
    <row r="35" spans="1:23" ht="24.95" customHeight="1">
      <c r="A35" s="32" t="s">
        <v>356</v>
      </c>
      <c r="B35" s="217" t="s">
        <v>357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34</v>
      </c>
      <c r="I35" s="219"/>
      <c r="J35" s="219"/>
      <c r="K35" s="220" t="s">
        <v>28</v>
      </c>
      <c r="L35" s="221" t="s">
        <v>29</v>
      </c>
      <c r="M35" s="217" t="s">
        <v>69</v>
      </c>
      <c r="N35" s="222">
        <v>500000000</v>
      </c>
      <c r="O35" s="222">
        <v>500000000</v>
      </c>
      <c r="P35" s="224">
        <f t="shared" si="0"/>
        <v>1</v>
      </c>
      <c r="Q35" s="222">
        <v>91192378</v>
      </c>
      <c r="R35" s="224">
        <f t="shared" si="0"/>
        <v>0.18238475600000001</v>
      </c>
      <c r="S35" s="222">
        <v>91192378</v>
      </c>
      <c r="T35" s="224">
        <f t="shared" ref="T35" si="28">+S35/$N35</f>
        <v>0.18238475600000001</v>
      </c>
      <c r="V35" s="13"/>
      <c r="W35" s="293"/>
    </row>
    <row r="36" spans="1:23" ht="24.95" customHeight="1">
      <c r="A36" s="32" t="s">
        <v>358</v>
      </c>
      <c r="B36" s="234" t="s">
        <v>359</v>
      </c>
      <c r="C36" s="235" t="s">
        <v>23</v>
      </c>
      <c r="D36" s="236" t="s">
        <v>25</v>
      </c>
      <c r="E36" s="236" t="s">
        <v>25</v>
      </c>
      <c r="F36" s="236" t="s">
        <v>65</v>
      </c>
      <c r="G36" s="236" t="s">
        <v>31</v>
      </c>
      <c r="H36" s="236" t="s">
        <v>36</v>
      </c>
      <c r="I36" s="236"/>
      <c r="J36" s="236"/>
      <c r="K36" s="237" t="s">
        <v>28</v>
      </c>
      <c r="L36" s="238" t="s">
        <v>29</v>
      </c>
      <c r="M36" s="234" t="s">
        <v>70</v>
      </c>
      <c r="N36" s="239">
        <v>320000000</v>
      </c>
      <c r="O36" s="239">
        <v>320000000</v>
      </c>
      <c r="P36" s="240">
        <f t="shared" si="0"/>
        <v>1</v>
      </c>
      <c r="Q36" s="239">
        <v>44301466</v>
      </c>
      <c r="R36" s="240">
        <f t="shared" si="0"/>
        <v>0.13844208124999999</v>
      </c>
      <c r="S36" s="239">
        <v>44301466</v>
      </c>
      <c r="T36" s="240">
        <f t="shared" ref="T36" si="29">+S36/$N36</f>
        <v>0.13844208124999999</v>
      </c>
      <c r="V36" s="13"/>
      <c r="W36" s="293"/>
    </row>
    <row r="37" spans="1:23" ht="24.95" customHeight="1">
      <c r="A37" s="32" t="s">
        <v>360</v>
      </c>
      <c r="B37" s="217" t="s">
        <v>361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34</v>
      </c>
      <c r="H37" s="219"/>
      <c r="I37" s="219"/>
      <c r="J37" s="219"/>
      <c r="K37" s="220" t="s">
        <v>28</v>
      </c>
      <c r="L37" s="221" t="s">
        <v>29</v>
      </c>
      <c r="M37" s="217" t="s">
        <v>71</v>
      </c>
      <c r="N37" s="222">
        <v>2160000000</v>
      </c>
      <c r="O37" s="222">
        <v>1681079000</v>
      </c>
      <c r="P37" s="224">
        <f t="shared" si="0"/>
        <v>0.77827731481481477</v>
      </c>
      <c r="Q37" s="222">
        <v>542754818</v>
      </c>
      <c r="R37" s="224">
        <f t="shared" si="0"/>
        <v>0.2512753787037037</v>
      </c>
      <c r="S37" s="222">
        <v>542754818</v>
      </c>
      <c r="T37" s="224">
        <f t="shared" ref="T37" si="30">+S37/$N37</f>
        <v>0.2512753787037037</v>
      </c>
      <c r="V37" s="13"/>
      <c r="W37" s="293"/>
    </row>
    <row r="38" spans="1:23" ht="24.95" customHeight="1">
      <c r="A38" s="32" t="s">
        <v>362</v>
      </c>
      <c r="B38" s="217" t="s">
        <v>363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40</v>
      </c>
      <c r="H38" s="219"/>
      <c r="I38" s="219"/>
      <c r="J38" s="219"/>
      <c r="K38" s="220" t="s">
        <v>28</v>
      </c>
      <c r="L38" s="221" t="s">
        <v>29</v>
      </c>
      <c r="M38" s="217" t="s">
        <v>72</v>
      </c>
      <c r="N38" s="222">
        <v>24000000</v>
      </c>
      <c r="O38" s="222">
        <v>24000000</v>
      </c>
      <c r="P38" s="224">
        <f t="shared" si="0"/>
        <v>1</v>
      </c>
      <c r="Q38" s="222">
        <v>1045353</v>
      </c>
      <c r="R38" s="224">
        <f t="shared" si="0"/>
        <v>4.3556375000000001E-2</v>
      </c>
      <c r="S38" s="222">
        <v>1045353</v>
      </c>
      <c r="T38" s="224">
        <f t="shared" ref="T38" si="31">+S38/$N38</f>
        <v>4.3556375000000001E-2</v>
      </c>
      <c r="V38" s="13"/>
      <c r="W38" s="293"/>
    </row>
    <row r="39" spans="1:23" ht="24.95" customHeight="1">
      <c r="A39" s="32" t="s">
        <v>365</v>
      </c>
      <c r="B39" s="217" t="s">
        <v>366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74</v>
      </c>
      <c r="H39" s="219"/>
      <c r="I39" s="219"/>
      <c r="J39" s="219"/>
      <c r="K39" s="220" t="s">
        <v>28</v>
      </c>
      <c r="L39" s="221" t="s">
        <v>29</v>
      </c>
      <c r="M39" s="217" t="s">
        <v>75</v>
      </c>
      <c r="N39" s="222">
        <v>30000000</v>
      </c>
      <c r="O39" s="222">
        <v>0</v>
      </c>
      <c r="P39" s="224">
        <f t="shared" si="0"/>
        <v>0</v>
      </c>
      <c r="Q39" s="222">
        <v>0</v>
      </c>
      <c r="R39" s="224">
        <f t="shared" si="0"/>
        <v>0</v>
      </c>
      <c r="S39" s="222">
        <v>0</v>
      </c>
      <c r="T39" s="224">
        <f t="shared" ref="T39" si="32">+S39/$N39</f>
        <v>0</v>
      </c>
      <c r="V39" s="13"/>
      <c r="W39" s="293"/>
    </row>
    <row r="40" spans="1:23" ht="24.95" customHeight="1">
      <c r="A40" s="32" t="s">
        <v>367</v>
      </c>
      <c r="B40" s="217" t="s">
        <v>368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76</v>
      </c>
      <c r="H40" s="219"/>
      <c r="I40" s="219"/>
      <c r="J40" s="219"/>
      <c r="K40" s="220" t="s">
        <v>28</v>
      </c>
      <c r="L40" s="221" t="s">
        <v>29</v>
      </c>
      <c r="M40" s="217" t="s">
        <v>77</v>
      </c>
      <c r="N40" s="222">
        <v>770000000</v>
      </c>
      <c r="O40" s="222">
        <v>770000000</v>
      </c>
      <c r="P40" s="224">
        <f t="shared" si="0"/>
        <v>1</v>
      </c>
      <c r="Q40" s="222">
        <v>205774743</v>
      </c>
      <c r="R40" s="224">
        <f t="shared" si="0"/>
        <v>0.26723992597402596</v>
      </c>
      <c r="S40" s="222">
        <v>205774743</v>
      </c>
      <c r="T40" s="224">
        <f t="shared" ref="T40" si="33">+S40/$N40</f>
        <v>0.26723992597402596</v>
      </c>
      <c r="V40" s="13"/>
      <c r="W40" s="293"/>
    </row>
    <row r="41" spans="1:23" ht="24.95" customHeight="1">
      <c r="A41" s="32" t="s">
        <v>369</v>
      </c>
      <c r="B41" s="217" t="s">
        <v>370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78</v>
      </c>
      <c r="H41" s="219"/>
      <c r="I41" s="219"/>
      <c r="J41" s="219"/>
      <c r="K41" s="220" t="s">
        <v>28</v>
      </c>
      <c r="L41" s="221" t="s">
        <v>29</v>
      </c>
      <c r="M41" s="217" t="s">
        <v>79</v>
      </c>
      <c r="N41" s="222">
        <v>600000000</v>
      </c>
      <c r="O41" s="222">
        <v>600000000</v>
      </c>
      <c r="P41" s="224">
        <f t="shared" si="0"/>
        <v>1</v>
      </c>
      <c r="Q41" s="222">
        <v>5747670</v>
      </c>
      <c r="R41" s="224">
        <f t="shared" si="0"/>
        <v>9.5794499999999998E-3</v>
      </c>
      <c r="S41" s="222">
        <v>5747670</v>
      </c>
      <c r="T41" s="224">
        <f t="shared" ref="T41" si="34">+S41/$N41</f>
        <v>9.5794499999999998E-3</v>
      </c>
      <c r="V41" s="13"/>
      <c r="W41" s="293"/>
    </row>
    <row r="42" spans="1:23" ht="35.1" customHeight="1">
      <c r="A42" s="32" t="s">
        <v>371</v>
      </c>
      <c r="B42" s="188" t="s">
        <v>372</v>
      </c>
      <c r="C42" s="189" t="s">
        <v>23</v>
      </c>
      <c r="D42" s="191" t="s">
        <v>54</v>
      </c>
      <c r="E42" s="191"/>
      <c r="F42" s="191"/>
      <c r="G42" s="191"/>
      <c r="H42" s="191"/>
      <c r="I42" s="191"/>
      <c r="J42" s="191"/>
      <c r="K42" s="192"/>
      <c r="L42" s="193"/>
      <c r="M42" s="188" t="s">
        <v>80</v>
      </c>
      <c r="N42" s="194">
        <v>42289000000</v>
      </c>
      <c r="O42" s="194">
        <v>27120402947.100002</v>
      </c>
      <c r="P42" s="195">
        <f t="shared" si="0"/>
        <v>0.64131104890397039</v>
      </c>
      <c r="Q42" s="194">
        <v>7705492697.2199993</v>
      </c>
      <c r="R42" s="195">
        <f t="shared" si="0"/>
        <v>0.18221033122608715</v>
      </c>
      <c r="S42" s="194">
        <v>7683074163.2200003</v>
      </c>
      <c r="T42" s="195">
        <f t="shared" ref="T42" si="35">+S42/$N42</f>
        <v>0.18168020438459173</v>
      </c>
      <c r="V42" s="13"/>
      <c r="W42" s="293"/>
    </row>
    <row r="43" spans="1:23" ht="24.95" customHeight="1">
      <c r="A43" s="32" t="s">
        <v>376</v>
      </c>
      <c r="B43" s="196" t="s">
        <v>377</v>
      </c>
      <c r="C43" s="197" t="s">
        <v>23</v>
      </c>
      <c r="D43" s="198" t="s">
        <v>54</v>
      </c>
      <c r="E43" s="198" t="s">
        <v>54</v>
      </c>
      <c r="F43" s="198"/>
      <c r="G43" s="198"/>
      <c r="H43" s="198"/>
      <c r="I43" s="198"/>
      <c r="J43" s="198"/>
      <c r="K43" s="199"/>
      <c r="L43" s="200"/>
      <c r="M43" s="196" t="s">
        <v>86</v>
      </c>
      <c r="N43" s="201">
        <v>42289000000</v>
      </c>
      <c r="O43" s="201">
        <v>27120402947.100002</v>
      </c>
      <c r="P43" s="202">
        <f t="shared" si="0"/>
        <v>0.64131104890397039</v>
      </c>
      <c r="Q43" s="201">
        <v>7705492697.2199993</v>
      </c>
      <c r="R43" s="202">
        <f t="shared" si="0"/>
        <v>0.18221033122608715</v>
      </c>
      <c r="S43" s="201">
        <v>7683074163.2200003</v>
      </c>
      <c r="T43" s="202">
        <f t="shared" ref="T43" si="36">+S43/$N43</f>
        <v>0.18168020438459173</v>
      </c>
      <c r="V43" s="13"/>
      <c r="W43" s="293"/>
    </row>
    <row r="44" spans="1:23" ht="24.95" customHeight="1">
      <c r="A44" s="32" t="s">
        <v>378</v>
      </c>
      <c r="B44" s="203" t="s">
        <v>379</v>
      </c>
      <c r="C44" s="204" t="s">
        <v>23</v>
      </c>
      <c r="D44" s="205" t="s">
        <v>54</v>
      </c>
      <c r="E44" s="205" t="s">
        <v>54</v>
      </c>
      <c r="F44" s="205" t="s">
        <v>25</v>
      </c>
      <c r="G44" s="205"/>
      <c r="H44" s="205"/>
      <c r="I44" s="205"/>
      <c r="J44" s="205"/>
      <c r="K44" s="206" t="s">
        <v>28</v>
      </c>
      <c r="L44" s="207" t="s">
        <v>29</v>
      </c>
      <c r="M44" s="203" t="s">
        <v>87</v>
      </c>
      <c r="N44" s="208">
        <v>841064202</v>
      </c>
      <c r="O44" s="208">
        <v>206470015.03999999</v>
      </c>
      <c r="P44" s="209">
        <f t="shared" si="0"/>
        <v>0.24548662818965156</v>
      </c>
      <c r="Q44" s="208">
        <v>54358487</v>
      </c>
      <c r="R44" s="209">
        <f t="shared" si="0"/>
        <v>6.463060355052419E-2</v>
      </c>
      <c r="S44" s="208">
        <v>54358487</v>
      </c>
      <c r="T44" s="209">
        <f t="shared" ref="T44" si="37">+S44/$N44</f>
        <v>6.463060355052419E-2</v>
      </c>
      <c r="V44" s="13"/>
      <c r="W44" s="293"/>
    </row>
    <row r="45" spans="1:23" ht="24.95" customHeight="1">
      <c r="A45" s="32" t="s">
        <v>380</v>
      </c>
      <c r="B45" s="210" t="s">
        <v>381</v>
      </c>
      <c r="C45" s="211" t="s">
        <v>23</v>
      </c>
      <c r="D45" s="212" t="s">
        <v>54</v>
      </c>
      <c r="E45" s="212" t="s">
        <v>54</v>
      </c>
      <c r="F45" s="212" t="s">
        <v>25</v>
      </c>
      <c r="G45" s="212" t="s">
        <v>31</v>
      </c>
      <c r="H45" s="212"/>
      <c r="I45" s="212"/>
      <c r="J45" s="212"/>
      <c r="K45" s="213" t="s">
        <v>28</v>
      </c>
      <c r="L45" s="214" t="s">
        <v>29</v>
      </c>
      <c r="M45" s="210" t="s">
        <v>88</v>
      </c>
      <c r="N45" s="215">
        <v>59000000</v>
      </c>
      <c r="O45" s="215">
        <v>0</v>
      </c>
      <c r="P45" s="216">
        <f t="shared" si="0"/>
        <v>0</v>
      </c>
      <c r="Q45" s="215">
        <v>0</v>
      </c>
      <c r="R45" s="216">
        <f t="shared" si="0"/>
        <v>0</v>
      </c>
      <c r="S45" s="215">
        <v>0</v>
      </c>
      <c r="T45" s="216">
        <f t="shared" ref="T45" si="38">+S45/$N45</f>
        <v>0</v>
      </c>
      <c r="V45" s="13"/>
      <c r="W45" s="293"/>
    </row>
    <row r="46" spans="1:23" ht="24.95" customHeight="1">
      <c r="A46" s="32" t="s">
        <v>554</v>
      </c>
      <c r="B46" s="217" t="s">
        <v>555</v>
      </c>
      <c r="C46" s="218" t="s">
        <v>23</v>
      </c>
      <c r="D46" s="219" t="s">
        <v>54</v>
      </c>
      <c r="E46" s="219" t="s">
        <v>54</v>
      </c>
      <c r="F46" s="219" t="s">
        <v>25</v>
      </c>
      <c r="G46" s="219" t="s">
        <v>31</v>
      </c>
      <c r="H46" s="225" t="s">
        <v>40</v>
      </c>
      <c r="I46" s="219"/>
      <c r="J46" s="219"/>
      <c r="K46" s="220">
        <v>10</v>
      </c>
      <c r="L46" s="221" t="s">
        <v>29</v>
      </c>
      <c r="M46" s="217" t="s">
        <v>89</v>
      </c>
      <c r="N46" s="222">
        <v>41000000</v>
      </c>
      <c r="O46" s="222">
        <v>0</v>
      </c>
      <c r="P46" s="224">
        <f t="shared" si="0"/>
        <v>0</v>
      </c>
      <c r="Q46" s="222">
        <v>0</v>
      </c>
      <c r="R46" s="224">
        <f t="shared" si="0"/>
        <v>0</v>
      </c>
      <c r="S46" s="222">
        <v>0</v>
      </c>
      <c r="T46" s="224">
        <f t="shared" ref="T46" si="39">+S46/$N46</f>
        <v>0</v>
      </c>
      <c r="V46" s="13"/>
      <c r="W46" s="293"/>
    </row>
    <row r="47" spans="1:23" ht="24.95" customHeight="1">
      <c r="A47" s="32" t="s">
        <v>556</v>
      </c>
      <c r="B47" s="217" t="s">
        <v>557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44</v>
      </c>
      <c r="I47" s="219"/>
      <c r="J47" s="219"/>
      <c r="K47" s="220">
        <v>10</v>
      </c>
      <c r="L47" s="221" t="s">
        <v>29</v>
      </c>
      <c r="M47" s="217" t="s">
        <v>90</v>
      </c>
      <c r="N47" s="222">
        <v>18000000</v>
      </c>
      <c r="O47" s="222">
        <v>0</v>
      </c>
      <c r="P47" s="224">
        <f t="shared" si="0"/>
        <v>0</v>
      </c>
      <c r="Q47" s="222">
        <v>0</v>
      </c>
      <c r="R47" s="224">
        <f t="shared" si="0"/>
        <v>0</v>
      </c>
      <c r="S47" s="222">
        <v>0</v>
      </c>
      <c r="T47" s="224">
        <f t="shared" ref="T47" si="40">+S47/$N47</f>
        <v>0</v>
      </c>
      <c r="V47" s="13"/>
      <c r="W47" s="293"/>
    </row>
    <row r="48" spans="1:23" ht="33">
      <c r="A48" s="32" t="s">
        <v>382</v>
      </c>
      <c r="B48" s="210" t="s">
        <v>383</v>
      </c>
      <c r="C48" s="211" t="s">
        <v>23</v>
      </c>
      <c r="D48" s="212" t="s">
        <v>54</v>
      </c>
      <c r="E48" s="212" t="s">
        <v>54</v>
      </c>
      <c r="F48" s="212" t="s">
        <v>25</v>
      </c>
      <c r="G48" s="212" t="s">
        <v>34</v>
      </c>
      <c r="H48" s="212"/>
      <c r="I48" s="212"/>
      <c r="J48" s="212"/>
      <c r="K48" s="213" t="s">
        <v>28</v>
      </c>
      <c r="L48" s="214" t="s">
        <v>29</v>
      </c>
      <c r="M48" s="210" t="s">
        <v>91</v>
      </c>
      <c r="N48" s="215">
        <v>140000000</v>
      </c>
      <c r="O48" s="215">
        <v>0</v>
      </c>
      <c r="P48" s="216">
        <f t="shared" si="0"/>
        <v>0</v>
      </c>
      <c r="Q48" s="215">
        <v>0</v>
      </c>
      <c r="R48" s="216">
        <f t="shared" si="0"/>
        <v>0</v>
      </c>
      <c r="S48" s="215">
        <v>0</v>
      </c>
      <c r="T48" s="216">
        <f t="shared" ref="T48" si="41">+S48/$N48</f>
        <v>0</v>
      </c>
      <c r="V48" s="13"/>
      <c r="W48" s="293"/>
    </row>
    <row r="49" spans="1:45" ht="24.95" customHeight="1">
      <c r="A49" s="32" t="s">
        <v>558</v>
      </c>
      <c r="B49" s="217" t="s">
        <v>559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34</v>
      </c>
      <c r="H49" s="219" t="s">
        <v>46</v>
      </c>
      <c r="I49" s="219"/>
      <c r="J49" s="219"/>
      <c r="K49" s="220">
        <v>10</v>
      </c>
      <c r="L49" s="221" t="s">
        <v>29</v>
      </c>
      <c r="M49" s="217" t="s">
        <v>92</v>
      </c>
      <c r="N49" s="222">
        <v>140000000</v>
      </c>
      <c r="O49" s="222">
        <v>0</v>
      </c>
      <c r="P49" s="224">
        <f t="shared" si="0"/>
        <v>0</v>
      </c>
      <c r="Q49" s="222">
        <v>0</v>
      </c>
      <c r="R49" s="224">
        <f t="shared" si="0"/>
        <v>0</v>
      </c>
      <c r="S49" s="222">
        <v>0</v>
      </c>
      <c r="T49" s="224">
        <f t="shared" ref="T49" si="42">+S49/$N49</f>
        <v>0</v>
      </c>
      <c r="V49" s="13"/>
      <c r="W49" s="293"/>
    </row>
    <row r="50" spans="1:45" ht="33">
      <c r="A50" s="32" t="s">
        <v>384</v>
      </c>
      <c r="B50" s="210" t="s">
        <v>385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36</v>
      </c>
      <c r="H50" s="212"/>
      <c r="I50" s="212"/>
      <c r="J50" s="212"/>
      <c r="K50" s="213" t="s">
        <v>28</v>
      </c>
      <c r="L50" s="214" t="s">
        <v>29</v>
      </c>
      <c r="M50" s="210" t="s">
        <v>93</v>
      </c>
      <c r="N50" s="215">
        <v>344064202</v>
      </c>
      <c r="O50" s="215">
        <v>156770338.57999998</v>
      </c>
      <c r="P50" s="216">
        <f t="shared" si="0"/>
        <v>0.4556426901395571</v>
      </c>
      <c r="Q50" s="215">
        <v>12594053</v>
      </c>
      <c r="R50" s="216">
        <f t="shared" si="0"/>
        <v>3.6603787684950727E-2</v>
      </c>
      <c r="S50" s="215">
        <v>12594053</v>
      </c>
      <c r="T50" s="216">
        <f t="shared" ref="T50" si="43">+S50/$N50</f>
        <v>3.6603787684950727E-2</v>
      </c>
      <c r="V50" s="13"/>
      <c r="W50" s="293"/>
    </row>
    <row r="51" spans="1:45" ht="33">
      <c r="A51" s="32" t="s">
        <v>560</v>
      </c>
      <c r="B51" s="217" t="s">
        <v>561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36</v>
      </c>
      <c r="H51" s="225" t="s">
        <v>34</v>
      </c>
      <c r="I51" s="219"/>
      <c r="J51" s="219"/>
      <c r="K51" s="220">
        <v>10</v>
      </c>
      <c r="L51" s="221" t="s">
        <v>29</v>
      </c>
      <c r="M51" s="217" t="s">
        <v>94</v>
      </c>
      <c r="N51" s="222">
        <v>106000000</v>
      </c>
      <c r="O51" s="222">
        <v>500000</v>
      </c>
      <c r="P51" s="224">
        <f t="shared" si="0"/>
        <v>4.7169811320754715E-3</v>
      </c>
      <c r="Q51" s="222">
        <v>500000</v>
      </c>
      <c r="R51" s="224">
        <f t="shared" si="0"/>
        <v>4.7169811320754715E-3</v>
      </c>
      <c r="S51" s="222">
        <v>500000</v>
      </c>
      <c r="T51" s="224">
        <f t="shared" ref="T51" si="44">+S51/$N51</f>
        <v>4.7169811320754715E-3</v>
      </c>
      <c r="V51" s="13"/>
      <c r="W51" s="293"/>
    </row>
    <row r="52" spans="1:45" ht="33">
      <c r="A52" s="32" t="s">
        <v>562</v>
      </c>
      <c r="B52" s="217" t="s">
        <v>563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36</v>
      </c>
      <c r="I52" s="219"/>
      <c r="J52" s="219"/>
      <c r="K52" s="220">
        <v>10</v>
      </c>
      <c r="L52" s="221" t="s">
        <v>29</v>
      </c>
      <c r="M52" s="217" t="s">
        <v>95</v>
      </c>
      <c r="N52" s="222">
        <v>98064202</v>
      </c>
      <c r="O52" s="222">
        <v>98064202</v>
      </c>
      <c r="P52" s="224">
        <f t="shared" si="0"/>
        <v>1</v>
      </c>
      <c r="Q52" s="222">
        <v>11594053</v>
      </c>
      <c r="R52" s="224">
        <f t="shared" si="0"/>
        <v>0.1182292086565901</v>
      </c>
      <c r="S52" s="222">
        <v>11594053</v>
      </c>
      <c r="T52" s="224">
        <f t="shared" ref="T52" si="45">+S52/$N52</f>
        <v>0.1182292086565901</v>
      </c>
      <c r="V52" s="13"/>
      <c r="W52" s="293"/>
    </row>
    <row r="53" spans="1:45" ht="33">
      <c r="A53" s="32" t="s">
        <v>564</v>
      </c>
      <c r="B53" s="217" t="s">
        <v>565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40</v>
      </c>
      <c r="I53" s="219"/>
      <c r="J53" s="219"/>
      <c r="K53" s="220">
        <v>10</v>
      </c>
      <c r="L53" s="221" t="s">
        <v>29</v>
      </c>
      <c r="M53" s="217" t="s">
        <v>96</v>
      </c>
      <c r="N53" s="222">
        <v>6000000</v>
      </c>
      <c r="O53" s="222">
        <v>0</v>
      </c>
      <c r="P53" s="224">
        <f t="shared" si="0"/>
        <v>0</v>
      </c>
      <c r="Q53" s="222">
        <v>0</v>
      </c>
      <c r="R53" s="224">
        <f t="shared" si="0"/>
        <v>0</v>
      </c>
      <c r="S53" s="222">
        <v>0</v>
      </c>
      <c r="T53" s="224">
        <f t="shared" ref="T53" si="46">+S53/$N53</f>
        <v>0</v>
      </c>
      <c r="V53" s="13"/>
      <c r="W53" s="293"/>
    </row>
    <row r="54" spans="1:45" ht="24.95" customHeight="1">
      <c r="A54" s="32" t="s">
        <v>566</v>
      </c>
      <c r="B54" s="217" t="s">
        <v>567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42</v>
      </c>
      <c r="I54" s="219"/>
      <c r="J54" s="219"/>
      <c r="K54" s="220">
        <v>10</v>
      </c>
      <c r="L54" s="221" t="s">
        <v>29</v>
      </c>
      <c r="M54" s="217" t="s">
        <v>97</v>
      </c>
      <c r="N54" s="222">
        <v>16000000</v>
      </c>
      <c r="O54" s="222">
        <v>0</v>
      </c>
      <c r="P54" s="224">
        <f t="shared" si="0"/>
        <v>0</v>
      </c>
      <c r="Q54" s="222">
        <v>0</v>
      </c>
      <c r="R54" s="224">
        <f t="shared" si="0"/>
        <v>0</v>
      </c>
      <c r="S54" s="222">
        <v>0</v>
      </c>
      <c r="T54" s="224">
        <f t="shared" ref="T54" si="47">+S54/$N54</f>
        <v>0</v>
      </c>
      <c r="V54" s="13"/>
      <c r="W54" s="293"/>
    </row>
    <row r="55" spans="1:45" ht="33">
      <c r="A55" s="32" t="s">
        <v>568</v>
      </c>
      <c r="B55" s="217" t="s">
        <v>569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44</v>
      </c>
      <c r="I55" s="219"/>
      <c r="J55" s="219"/>
      <c r="K55" s="220">
        <v>10</v>
      </c>
      <c r="L55" s="221" t="s">
        <v>29</v>
      </c>
      <c r="M55" s="217" t="s">
        <v>98</v>
      </c>
      <c r="N55" s="222">
        <v>8000000</v>
      </c>
      <c r="O55" s="222">
        <v>0</v>
      </c>
      <c r="P55" s="224">
        <f t="shared" si="0"/>
        <v>0</v>
      </c>
      <c r="Q55" s="222">
        <v>0</v>
      </c>
      <c r="R55" s="224">
        <f t="shared" si="0"/>
        <v>0</v>
      </c>
      <c r="S55" s="222">
        <v>0</v>
      </c>
      <c r="T55" s="224">
        <f t="shared" ref="T55" si="48">+S55/$N55</f>
        <v>0</v>
      </c>
      <c r="V55" s="13"/>
      <c r="W55" s="293"/>
    </row>
    <row r="56" spans="1:45" ht="24.95" customHeight="1">
      <c r="A56" s="32" t="s">
        <v>570</v>
      </c>
      <c r="B56" s="217" t="s">
        <v>571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46</v>
      </c>
      <c r="I56" s="219"/>
      <c r="J56" s="219"/>
      <c r="K56" s="220">
        <v>10</v>
      </c>
      <c r="L56" s="221" t="s">
        <v>29</v>
      </c>
      <c r="M56" s="217" t="s">
        <v>99</v>
      </c>
      <c r="N56" s="222">
        <v>110000000</v>
      </c>
      <c r="O56" s="222">
        <v>58206136.579999998</v>
      </c>
      <c r="P56" s="224">
        <f t="shared" si="0"/>
        <v>0.5291466961818182</v>
      </c>
      <c r="Q56" s="222">
        <v>500000</v>
      </c>
      <c r="R56" s="224">
        <f t="shared" si="0"/>
        <v>4.5454545454545452E-3</v>
      </c>
      <c r="S56" s="222">
        <v>500000</v>
      </c>
      <c r="T56" s="224">
        <f t="shared" ref="T56" si="49">+S56/$N56</f>
        <v>4.5454545454545452E-3</v>
      </c>
      <c r="V56" s="13"/>
      <c r="W56" s="293"/>
    </row>
    <row r="57" spans="1:45" ht="24.95" customHeight="1">
      <c r="A57" s="32" t="s">
        <v>386</v>
      </c>
      <c r="B57" s="210" t="s">
        <v>387</v>
      </c>
      <c r="C57" s="211" t="s">
        <v>23</v>
      </c>
      <c r="D57" s="212" t="s">
        <v>54</v>
      </c>
      <c r="E57" s="212" t="s">
        <v>54</v>
      </c>
      <c r="F57" s="212" t="s">
        <v>25</v>
      </c>
      <c r="G57" s="212" t="s">
        <v>38</v>
      </c>
      <c r="H57" s="212"/>
      <c r="I57" s="212"/>
      <c r="J57" s="212"/>
      <c r="K57" s="213" t="s">
        <v>28</v>
      </c>
      <c r="L57" s="214" t="s">
        <v>29</v>
      </c>
      <c r="M57" s="210" t="s">
        <v>100</v>
      </c>
      <c r="N57" s="215">
        <v>298000000</v>
      </c>
      <c r="O57" s="215">
        <v>49699676.460000001</v>
      </c>
      <c r="P57" s="216">
        <f t="shared" si="0"/>
        <v>0.16677743778523491</v>
      </c>
      <c r="Q57" s="215">
        <v>41764434</v>
      </c>
      <c r="R57" s="216">
        <f t="shared" si="0"/>
        <v>0.14014910738255035</v>
      </c>
      <c r="S57" s="215">
        <v>41764434</v>
      </c>
      <c r="T57" s="216">
        <f t="shared" ref="T57" si="50">+S57/$N57</f>
        <v>0.14014910738255035</v>
      </c>
      <c r="V57" s="13"/>
      <c r="W57" s="293"/>
    </row>
    <row r="58" spans="1:45" ht="24.95" customHeight="1">
      <c r="A58" s="32" t="s">
        <v>572</v>
      </c>
      <c r="B58" s="217" t="s">
        <v>573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25" t="s">
        <v>38</v>
      </c>
      <c r="H58" s="225" t="s">
        <v>34</v>
      </c>
      <c r="I58" s="219"/>
      <c r="J58" s="219"/>
      <c r="K58" s="220">
        <v>10</v>
      </c>
      <c r="L58" s="221" t="s">
        <v>29</v>
      </c>
      <c r="M58" s="217" t="s">
        <v>101</v>
      </c>
      <c r="N58" s="222">
        <v>37000000</v>
      </c>
      <c r="O58" s="222">
        <v>0</v>
      </c>
      <c r="P58" s="224">
        <f t="shared" si="0"/>
        <v>0</v>
      </c>
      <c r="Q58" s="222">
        <v>0</v>
      </c>
      <c r="R58" s="224">
        <f t="shared" si="0"/>
        <v>0</v>
      </c>
      <c r="S58" s="222">
        <v>0</v>
      </c>
      <c r="T58" s="224">
        <f t="shared" ref="T58" si="51">+S58/$N58</f>
        <v>0</v>
      </c>
      <c r="V58" s="13"/>
      <c r="W58" s="293"/>
    </row>
    <row r="59" spans="1:45" s="64" customFormat="1" ht="24.95" customHeight="1">
      <c r="A59" s="32" t="s">
        <v>574</v>
      </c>
      <c r="B59" s="217" t="s">
        <v>575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40</v>
      </c>
      <c r="I59" s="219"/>
      <c r="J59" s="219"/>
      <c r="K59" s="220">
        <v>10</v>
      </c>
      <c r="L59" s="221" t="s">
        <v>29</v>
      </c>
      <c r="M59" s="217" t="s">
        <v>102</v>
      </c>
      <c r="N59" s="222">
        <v>82000000</v>
      </c>
      <c r="O59" s="222">
        <v>0</v>
      </c>
      <c r="P59" s="224">
        <f t="shared" si="0"/>
        <v>0</v>
      </c>
      <c r="Q59" s="222">
        <v>0</v>
      </c>
      <c r="R59" s="224">
        <f t="shared" si="0"/>
        <v>0</v>
      </c>
      <c r="S59" s="222">
        <v>0</v>
      </c>
      <c r="T59" s="224">
        <f t="shared" ref="T59" si="52">+S59/$N59</f>
        <v>0</v>
      </c>
      <c r="U59" s="13"/>
      <c r="V59" s="13"/>
      <c r="W59" s="29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</row>
    <row r="60" spans="1:45" s="64" customFormat="1" ht="24.95" customHeight="1">
      <c r="A60" s="32" t="s">
        <v>576</v>
      </c>
      <c r="B60" s="217" t="s">
        <v>577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42</v>
      </c>
      <c r="I60" s="219"/>
      <c r="J60" s="219"/>
      <c r="K60" s="220">
        <v>10</v>
      </c>
      <c r="L60" s="221" t="s">
        <v>29</v>
      </c>
      <c r="M60" s="217" t="s">
        <v>84</v>
      </c>
      <c r="N60" s="222">
        <v>30000000</v>
      </c>
      <c r="O60" s="222">
        <v>0</v>
      </c>
      <c r="P60" s="224">
        <f t="shared" si="0"/>
        <v>0</v>
      </c>
      <c r="Q60" s="222">
        <v>0</v>
      </c>
      <c r="R60" s="224">
        <f t="shared" si="0"/>
        <v>0</v>
      </c>
      <c r="S60" s="222">
        <v>0</v>
      </c>
      <c r="T60" s="224">
        <f t="shared" ref="T60" si="53">+S60/$N60</f>
        <v>0</v>
      </c>
      <c r="U60" s="13"/>
      <c r="V60" s="13"/>
      <c r="W60" s="29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</row>
    <row r="61" spans="1:45" ht="24.95" customHeight="1">
      <c r="A61" s="32" t="s">
        <v>578</v>
      </c>
      <c r="B61" s="217" t="s">
        <v>579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44</v>
      </c>
      <c r="I61" s="219"/>
      <c r="J61" s="219"/>
      <c r="K61" s="220">
        <v>10</v>
      </c>
      <c r="L61" s="221" t="s">
        <v>29</v>
      </c>
      <c r="M61" s="217" t="s">
        <v>85</v>
      </c>
      <c r="N61" s="222">
        <v>149000000</v>
      </c>
      <c r="O61" s="222">
        <v>49699676.460000001</v>
      </c>
      <c r="P61" s="224">
        <f t="shared" si="0"/>
        <v>0.33355487557046981</v>
      </c>
      <c r="Q61" s="222">
        <v>41764434</v>
      </c>
      <c r="R61" s="224">
        <f t="shared" si="0"/>
        <v>0.2802982147651007</v>
      </c>
      <c r="S61" s="222">
        <v>41764434</v>
      </c>
      <c r="T61" s="224">
        <f t="shared" ref="T61" si="54">+S61/$N61</f>
        <v>0.2802982147651007</v>
      </c>
      <c r="V61" s="13"/>
      <c r="W61" s="293"/>
    </row>
    <row r="62" spans="1:45" ht="24.95" customHeight="1">
      <c r="A62" s="32" t="s">
        <v>388</v>
      </c>
      <c r="B62" s="203" t="s">
        <v>389</v>
      </c>
      <c r="C62" s="204" t="s">
        <v>23</v>
      </c>
      <c r="D62" s="205" t="s">
        <v>54</v>
      </c>
      <c r="E62" s="205" t="s">
        <v>54</v>
      </c>
      <c r="F62" s="205" t="s">
        <v>54</v>
      </c>
      <c r="G62" s="205"/>
      <c r="H62" s="205"/>
      <c r="I62" s="205"/>
      <c r="J62" s="205"/>
      <c r="K62" s="206" t="s">
        <v>28</v>
      </c>
      <c r="L62" s="207" t="s">
        <v>29</v>
      </c>
      <c r="M62" s="203" t="s">
        <v>103</v>
      </c>
      <c r="N62" s="208">
        <v>41447935798</v>
      </c>
      <c r="O62" s="208">
        <v>26913932932.060001</v>
      </c>
      <c r="P62" s="209">
        <f t="shared" si="0"/>
        <v>0.64934314372680257</v>
      </c>
      <c r="Q62" s="208">
        <v>7651134210.2199993</v>
      </c>
      <c r="R62" s="209">
        <f t="shared" si="0"/>
        <v>0.18459626668764509</v>
      </c>
      <c r="S62" s="208">
        <v>7628715676.2200003</v>
      </c>
      <c r="T62" s="209">
        <f t="shared" ref="T62" si="55">+S62/$N62</f>
        <v>0.18405538247789197</v>
      </c>
      <c r="V62" s="13"/>
      <c r="W62" s="293"/>
    </row>
    <row r="63" spans="1:45" ht="49.5">
      <c r="A63" s="32" t="s">
        <v>390</v>
      </c>
      <c r="B63" s="210" t="s">
        <v>391</v>
      </c>
      <c r="C63" s="211" t="s">
        <v>23</v>
      </c>
      <c r="D63" s="212" t="s">
        <v>54</v>
      </c>
      <c r="E63" s="212" t="s">
        <v>54</v>
      </c>
      <c r="F63" s="212" t="s">
        <v>54</v>
      </c>
      <c r="G63" s="212" t="s">
        <v>42</v>
      </c>
      <c r="H63" s="212"/>
      <c r="I63" s="212"/>
      <c r="J63" s="212"/>
      <c r="K63" s="213" t="s">
        <v>28</v>
      </c>
      <c r="L63" s="214" t="s">
        <v>29</v>
      </c>
      <c r="M63" s="210" t="s">
        <v>104</v>
      </c>
      <c r="N63" s="215">
        <v>7714163474</v>
      </c>
      <c r="O63" s="215">
        <v>3832620780.8200002</v>
      </c>
      <c r="P63" s="216">
        <f t="shared" si="0"/>
        <v>0.49682908506379936</v>
      </c>
      <c r="Q63" s="215">
        <v>1426545711.8199999</v>
      </c>
      <c r="R63" s="216">
        <f t="shared" si="0"/>
        <v>0.18492552259594491</v>
      </c>
      <c r="S63" s="215">
        <v>1424610691.6900001</v>
      </c>
      <c r="T63" s="216">
        <f t="shared" ref="T63" si="56">+S63/$N63</f>
        <v>0.18467468267836712</v>
      </c>
      <c r="V63" s="13"/>
      <c r="W63" s="293"/>
    </row>
    <row r="64" spans="1:45" ht="24.95" customHeight="1">
      <c r="A64" s="32" t="s">
        <v>582</v>
      </c>
      <c r="B64" s="217" t="s">
        <v>583</v>
      </c>
      <c r="C64" s="248" t="s">
        <v>23</v>
      </c>
      <c r="D64" s="249" t="s">
        <v>54</v>
      </c>
      <c r="E64" s="249" t="s">
        <v>54</v>
      </c>
      <c r="F64" s="249" t="s">
        <v>54</v>
      </c>
      <c r="G64" s="249" t="s">
        <v>42</v>
      </c>
      <c r="H64" s="225" t="s">
        <v>36</v>
      </c>
      <c r="I64" s="219"/>
      <c r="J64" s="219"/>
      <c r="K64" s="220">
        <v>10</v>
      </c>
      <c r="L64" s="221" t="s">
        <v>29</v>
      </c>
      <c r="M64" s="217" t="s">
        <v>105</v>
      </c>
      <c r="N64" s="222">
        <v>12000000</v>
      </c>
      <c r="O64" s="222">
        <v>2000000</v>
      </c>
      <c r="P64" s="224">
        <f t="shared" si="0"/>
        <v>0.16666666666666666</v>
      </c>
      <c r="Q64" s="222">
        <v>2000000</v>
      </c>
      <c r="R64" s="224">
        <f t="shared" si="0"/>
        <v>0.16666666666666666</v>
      </c>
      <c r="S64" s="222">
        <v>2000000</v>
      </c>
      <c r="T64" s="224">
        <f t="shared" ref="T64" si="57">+S64/$N64</f>
        <v>0.16666666666666666</v>
      </c>
      <c r="V64" s="13"/>
      <c r="W64" s="293"/>
    </row>
    <row r="65" spans="1:45" ht="24.95" customHeight="1">
      <c r="A65" s="32" t="s">
        <v>584</v>
      </c>
      <c r="B65" s="217" t="s">
        <v>585</v>
      </c>
      <c r="C65" s="248" t="s">
        <v>23</v>
      </c>
      <c r="D65" s="249" t="s">
        <v>54</v>
      </c>
      <c r="E65" s="249" t="s">
        <v>54</v>
      </c>
      <c r="F65" s="249" t="s">
        <v>54</v>
      </c>
      <c r="G65" s="249" t="s">
        <v>42</v>
      </c>
      <c r="H65" s="225" t="s">
        <v>38</v>
      </c>
      <c r="I65" s="219"/>
      <c r="J65" s="219"/>
      <c r="K65" s="220">
        <v>10</v>
      </c>
      <c r="L65" s="221" t="s">
        <v>29</v>
      </c>
      <c r="M65" s="217" t="s">
        <v>106</v>
      </c>
      <c r="N65" s="222">
        <v>4854325294</v>
      </c>
      <c r="O65" s="222">
        <v>1699962449</v>
      </c>
      <c r="P65" s="224">
        <f t="shared" si="0"/>
        <v>0.35019541255324865</v>
      </c>
      <c r="Q65" s="222">
        <v>882500972</v>
      </c>
      <c r="R65" s="224">
        <f t="shared" si="0"/>
        <v>0.1817968344830086</v>
      </c>
      <c r="S65" s="222">
        <v>882010972</v>
      </c>
      <c r="T65" s="224">
        <f t="shared" ref="T65" si="58">+S65/$N65</f>
        <v>0.18169589357560675</v>
      </c>
      <c r="V65" s="13"/>
      <c r="W65" s="293"/>
    </row>
    <row r="66" spans="1:45" ht="24.95" customHeight="1">
      <c r="A66" s="32" t="s">
        <v>586</v>
      </c>
      <c r="B66" s="217" t="s">
        <v>587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40</v>
      </c>
      <c r="I66" s="219"/>
      <c r="J66" s="219"/>
      <c r="K66" s="220">
        <v>10</v>
      </c>
      <c r="L66" s="221" t="s">
        <v>29</v>
      </c>
      <c r="M66" s="217" t="s">
        <v>107</v>
      </c>
      <c r="N66" s="222">
        <v>94600000</v>
      </c>
      <c r="O66" s="222">
        <v>91279990</v>
      </c>
      <c r="P66" s="224">
        <f t="shared" si="0"/>
        <v>0.96490475687103594</v>
      </c>
      <c r="Q66" s="222">
        <v>3000000</v>
      </c>
      <c r="R66" s="224">
        <f t="shared" si="0"/>
        <v>3.1712473572938688E-2</v>
      </c>
      <c r="S66" s="222">
        <v>3000000</v>
      </c>
      <c r="T66" s="224">
        <f t="shared" ref="T66" si="59">+S66/$N66</f>
        <v>3.1712473572938688E-2</v>
      </c>
      <c r="V66" s="13"/>
      <c r="W66" s="293"/>
    </row>
    <row r="67" spans="1:45" ht="24.95" customHeight="1">
      <c r="A67" s="32" t="s">
        <v>588</v>
      </c>
      <c r="B67" s="217" t="s">
        <v>589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42</v>
      </c>
      <c r="I67" s="219"/>
      <c r="J67" s="219"/>
      <c r="K67" s="220">
        <v>10</v>
      </c>
      <c r="L67" s="221" t="s">
        <v>29</v>
      </c>
      <c r="M67" s="217" t="s">
        <v>259</v>
      </c>
      <c r="N67" s="222">
        <v>0</v>
      </c>
      <c r="O67" s="222">
        <v>0</v>
      </c>
      <c r="P67" s="224" t="e">
        <f t="shared" si="0"/>
        <v>#DIV/0!</v>
      </c>
      <c r="Q67" s="222">
        <v>0</v>
      </c>
      <c r="R67" s="224" t="e">
        <f t="shared" si="0"/>
        <v>#DIV/0!</v>
      </c>
      <c r="S67" s="222">
        <v>0</v>
      </c>
      <c r="T67" s="224" t="e">
        <f t="shared" ref="T67" si="60">+S67/$N67</f>
        <v>#DIV/0!</v>
      </c>
      <c r="V67" s="13"/>
      <c r="W67" s="293"/>
    </row>
    <row r="68" spans="1:45" ht="24.95" customHeight="1">
      <c r="A68" s="32" t="s">
        <v>590</v>
      </c>
      <c r="B68" s="217" t="s">
        <v>591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46</v>
      </c>
      <c r="I68" s="219"/>
      <c r="J68" s="219"/>
      <c r="K68" s="220">
        <v>10</v>
      </c>
      <c r="L68" s="221" t="s">
        <v>29</v>
      </c>
      <c r="M68" s="217" t="s">
        <v>108</v>
      </c>
      <c r="N68" s="222">
        <v>2023178180</v>
      </c>
      <c r="O68" s="222">
        <v>1847178180</v>
      </c>
      <c r="P68" s="224">
        <f t="shared" si="0"/>
        <v>0.91300815630583754</v>
      </c>
      <c r="Q68" s="222">
        <v>346844578</v>
      </c>
      <c r="R68" s="224">
        <f t="shared" si="0"/>
        <v>0.17143550747468025</v>
      </c>
      <c r="S68" s="222">
        <v>346844578</v>
      </c>
      <c r="T68" s="224">
        <f t="shared" ref="T68" si="61">+S68/$N68</f>
        <v>0.17143550747468025</v>
      </c>
      <c r="V68" s="13"/>
      <c r="W68" s="293"/>
    </row>
    <row r="69" spans="1:45" ht="33">
      <c r="A69" s="32" t="s">
        <v>592</v>
      </c>
      <c r="B69" s="217" t="s">
        <v>593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48</v>
      </c>
      <c r="I69" s="219"/>
      <c r="J69" s="219"/>
      <c r="K69" s="220">
        <v>10</v>
      </c>
      <c r="L69" s="221" t="s">
        <v>29</v>
      </c>
      <c r="M69" s="217" t="s">
        <v>109</v>
      </c>
      <c r="N69" s="222">
        <v>730060000</v>
      </c>
      <c r="O69" s="222">
        <v>192200161.81999999</v>
      </c>
      <c r="P69" s="224">
        <f t="shared" si="0"/>
        <v>0.26326625458181518</v>
      </c>
      <c r="Q69" s="222">
        <v>192200161.81999999</v>
      </c>
      <c r="R69" s="224">
        <f t="shared" si="0"/>
        <v>0.26326625458181518</v>
      </c>
      <c r="S69" s="222">
        <v>190755141.69</v>
      </c>
      <c r="T69" s="224">
        <f t="shared" ref="T69" si="62">+S69/$N69</f>
        <v>0.26128693763526284</v>
      </c>
      <c r="V69" s="13"/>
      <c r="W69" s="293"/>
    </row>
    <row r="70" spans="1:45" ht="33">
      <c r="A70" s="32" t="s">
        <v>392</v>
      </c>
      <c r="B70" s="210" t="s">
        <v>393</v>
      </c>
      <c r="C70" s="211" t="s">
        <v>23</v>
      </c>
      <c r="D70" s="212" t="s">
        <v>54</v>
      </c>
      <c r="E70" s="212" t="s">
        <v>54</v>
      </c>
      <c r="F70" s="212" t="s">
        <v>54</v>
      </c>
      <c r="G70" s="212" t="s">
        <v>44</v>
      </c>
      <c r="H70" s="212"/>
      <c r="I70" s="212"/>
      <c r="J70" s="212"/>
      <c r="K70" s="213" t="s">
        <v>28</v>
      </c>
      <c r="L70" s="214" t="s">
        <v>29</v>
      </c>
      <c r="M70" s="210" t="s">
        <v>110</v>
      </c>
      <c r="N70" s="215">
        <v>11712111078</v>
      </c>
      <c r="O70" s="215">
        <v>10974754265</v>
      </c>
      <c r="P70" s="216">
        <f t="shared" si="0"/>
        <v>0.93704321893044118</v>
      </c>
      <c r="Q70" s="215">
        <v>3505341604</v>
      </c>
      <c r="R70" s="216">
        <f t="shared" si="0"/>
        <v>0.29929203886944217</v>
      </c>
      <c r="S70" s="215">
        <v>3505341604</v>
      </c>
      <c r="T70" s="216">
        <f t="shared" ref="T70" si="63">+S70/$N70</f>
        <v>0.29929203886944217</v>
      </c>
      <c r="V70" s="13"/>
      <c r="W70" s="293"/>
    </row>
    <row r="71" spans="1:45" ht="24.95" customHeight="1">
      <c r="A71" s="32" t="s">
        <v>594</v>
      </c>
      <c r="B71" s="217" t="s">
        <v>595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44</v>
      </c>
      <c r="H71" s="225" t="s">
        <v>31</v>
      </c>
      <c r="I71" s="219"/>
      <c r="J71" s="219"/>
      <c r="K71" s="220">
        <v>10</v>
      </c>
      <c r="L71" s="221" t="s">
        <v>29</v>
      </c>
      <c r="M71" s="217" t="s">
        <v>111</v>
      </c>
      <c r="N71" s="222">
        <v>23540850</v>
      </c>
      <c r="O71" s="222">
        <v>8409000</v>
      </c>
      <c r="P71" s="224">
        <f t="shared" si="0"/>
        <v>0.35720885184689594</v>
      </c>
      <c r="Q71" s="222">
        <v>8409000</v>
      </c>
      <c r="R71" s="224">
        <f t="shared" si="0"/>
        <v>0.35720885184689594</v>
      </c>
      <c r="S71" s="222">
        <v>8409000</v>
      </c>
      <c r="T71" s="224">
        <f t="shared" ref="T71" si="64">+S71/$N71</f>
        <v>0.35720885184689594</v>
      </c>
      <c r="V71" s="13"/>
      <c r="W71" s="293"/>
    </row>
    <row r="72" spans="1:45" ht="24.95" customHeight="1">
      <c r="A72" s="32" t="s">
        <v>596</v>
      </c>
      <c r="B72" s="217" t="s">
        <v>597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44</v>
      </c>
      <c r="H72" s="225" t="s">
        <v>34</v>
      </c>
      <c r="I72" s="219"/>
      <c r="J72" s="219"/>
      <c r="K72" s="220">
        <v>10</v>
      </c>
      <c r="L72" s="221" t="s">
        <v>29</v>
      </c>
      <c r="M72" s="217" t="s">
        <v>112</v>
      </c>
      <c r="N72" s="222">
        <v>11688570228</v>
      </c>
      <c r="O72" s="222">
        <v>10966345265</v>
      </c>
      <c r="P72" s="224">
        <f t="shared" ref="P72:R135" si="65">+O72/$N72</f>
        <v>0.93821100879644725</v>
      </c>
      <c r="Q72" s="222">
        <v>3496932604</v>
      </c>
      <c r="R72" s="224">
        <f t="shared" si="65"/>
        <v>0.29917539406343208</v>
      </c>
      <c r="S72" s="222">
        <v>3496932604</v>
      </c>
      <c r="T72" s="224">
        <f t="shared" ref="T72" si="66">+S72/$N72</f>
        <v>0.29917539406343208</v>
      </c>
      <c r="V72" s="13"/>
      <c r="W72" s="293"/>
    </row>
    <row r="73" spans="1:45" ht="24.95" customHeight="1">
      <c r="A73" s="32" t="s">
        <v>394</v>
      </c>
      <c r="B73" s="210" t="s">
        <v>395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46</v>
      </c>
      <c r="H73" s="212"/>
      <c r="I73" s="212"/>
      <c r="J73" s="212"/>
      <c r="K73" s="213" t="s">
        <v>28</v>
      </c>
      <c r="L73" s="214" t="s">
        <v>29</v>
      </c>
      <c r="M73" s="210" t="s">
        <v>113</v>
      </c>
      <c r="N73" s="215">
        <v>18444649676</v>
      </c>
      <c r="O73" s="215">
        <v>11602776805.84</v>
      </c>
      <c r="P73" s="216">
        <f t="shared" si="65"/>
        <v>0.62905921281537924</v>
      </c>
      <c r="Q73" s="215">
        <v>2535511219</v>
      </c>
      <c r="R73" s="216">
        <f t="shared" si="65"/>
        <v>0.13746594614367671</v>
      </c>
      <c r="S73" s="215">
        <v>2531463651</v>
      </c>
      <c r="T73" s="216">
        <f t="shared" ref="T73" si="67">+S73/$N73</f>
        <v>0.13724650212760159</v>
      </c>
      <c r="V73" s="13"/>
      <c r="W73" s="293"/>
    </row>
    <row r="74" spans="1:45" ht="24.95" customHeight="1">
      <c r="A74" s="32" t="s">
        <v>598</v>
      </c>
      <c r="B74" s="217" t="s">
        <v>599</v>
      </c>
      <c r="C74" s="218" t="s">
        <v>23</v>
      </c>
      <c r="D74" s="249" t="s">
        <v>54</v>
      </c>
      <c r="E74" s="249" t="s">
        <v>54</v>
      </c>
      <c r="F74" s="249" t="s">
        <v>54</v>
      </c>
      <c r="G74" s="249" t="s">
        <v>46</v>
      </c>
      <c r="H74" s="225" t="s">
        <v>34</v>
      </c>
      <c r="I74" s="219"/>
      <c r="J74" s="219"/>
      <c r="K74" s="220">
        <v>10</v>
      </c>
      <c r="L74" s="221" t="s">
        <v>29</v>
      </c>
      <c r="M74" s="217" t="s">
        <v>114</v>
      </c>
      <c r="N74" s="222">
        <v>172000000</v>
      </c>
      <c r="O74" s="222">
        <v>30256280</v>
      </c>
      <c r="P74" s="224">
        <f t="shared" si="65"/>
        <v>0.17590860465116279</v>
      </c>
      <c r="Q74" s="222">
        <v>600000</v>
      </c>
      <c r="R74" s="224">
        <f t="shared" si="65"/>
        <v>3.4883720930232558E-3</v>
      </c>
      <c r="S74" s="222">
        <v>600000</v>
      </c>
      <c r="T74" s="224">
        <f t="shared" ref="T74" si="68">+S74/$N74</f>
        <v>3.4883720930232558E-3</v>
      </c>
      <c r="V74" s="13"/>
      <c r="W74" s="293"/>
    </row>
    <row r="75" spans="1:45" ht="24.95" customHeight="1">
      <c r="A75" s="32" t="s">
        <v>600</v>
      </c>
      <c r="B75" s="217" t="s">
        <v>601</v>
      </c>
      <c r="C75" s="218" t="s">
        <v>23</v>
      </c>
      <c r="D75" s="249" t="s">
        <v>54</v>
      </c>
      <c r="E75" s="249" t="s">
        <v>54</v>
      </c>
      <c r="F75" s="249" t="s">
        <v>54</v>
      </c>
      <c r="G75" s="249" t="s">
        <v>46</v>
      </c>
      <c r="H75" s="225" t="s">
        <v>36</v>
      </c>
      <c r="I75" s="219"/>
      <c r="J75" s="219"/>
      <c r="K75" s="220">
        <v>10</v>
      </c>
      <c r="L75" s="221" t="s">
        <v>29</v>
      </c>
      <c r="M75" s="217" t="s">
        <v>115</v>
      </c>
      <c r="N75" s="222">
        <v>8905440197.6299992</v>
      </c>
      <c r="O75" s="222">
        <v>7221444965</v>
      </c>
      <c r="P75" s="224">
        <f t="shared" si="65"/>
        <v>0.81090263981805633</v>
      </c>
      <c r="Q75" s="222">
        <v>849160618</v>
      </c>
      <c r="R75" s="224">
        <f t="shared" si="65"/>
        <v>9.5353020081588635E-2</v>
      </c>
      <c r="S75" s="222">
        <v>845643931</v>
      </c>
      <c r="T75" s="224">
        <f t="shared" ref="T75" si="69">+S75/$N75</f>
        <v>9.4958128091753496E-2</v>
      </c>
      <c r="V75" s="13"/>
      <c r="W75" s="293"/>
    </row>
    <row r="76" spans="1:45" ht="33">
      <c r="A76" s="32" t="s">
        <v>602</v>
      </c>
      <c r="B76" s="217" t="s">
        <v>603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38</v>
      </c>
      <c r="I76" s="219"/>
      <c r="J76" s="219"/>
      <c r="K76" s="220">
        <v>10</v>
      </c>
      <c r="L76" s="221" t="s">
        <v>29</v>
      </c>
      <c r="M76" s="217" t="s">
        <v>116</v>
      </c>
      <c r="N76" s="222">
        <v>2485623197.3699999</v>
      </c>
      <c r="O76" s="222">
        <v>687612004.63</v>
      </c>
      <c r="P76" s="224">
        <f t="shared" si="65"/>
        <v>0.27663565634467518</v>
      </c>
      <c r="Q76" s="222">
        <v>369853068</v>
      </c>
      <c r="R76" s="224">
        <f t="shared" si="65"/>
        <v>0.14879691676169418</v>
      </c>
      <c r="S76" s="222">
        <v>369322187</v>
      </c>
      <c r="T76" s="224">
        <f t="shared" ref="T76" si="70">+S76/$N76</f>
        <v>0.14858333611899591</v>
      </c>
      <c r="V76" s="13"/>
      <c r="W76" s="293"/>
    </row>
    <row r="77" spans="1:45" ht="24.95" customHeight="1">
      <c r="A77" s="32" t="s">
        <v>604</v>
      </c>
      <c r="B77" s="217" t="s">
        <v>605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40</v>
      </c>
      <c r="I77" s="219"/>
      <c r="J77" s="219"/>
      <c r="K77" s="220">
        <v>10</v>
      </c>
      <c r="L77" s="221" t="s">
        <v>29</v>
      </c>
      <c r="M77" s="217" t="s">
        <v>117</v>
      </c>
      <c r="N77" s="222">
        <v>5520992290</v>
      </c>
      <c r="O77" s="222">
        <v>2969439663.21</v>
      </c>
      <c r="P77" s="224">
        <f t="shared" si="65"/>
        <v>0.53784528346262195</v>
      </c>
      <c r="Q77" s="222">
        <v>754372140</v>
      </c>
      <c r="R77" s="224">
        <f t="shared" si="65"/>
        <v>0.13663705732144754</v>
      </c>
      <c r="S77" s="222">
        <v>754372140</v>
      </c>
      <c r="T77" s="224">
        <f t="shared" ref="T77" si="71">+S77/$N77</f>
        <v>0.13663705732144754</v>
      </c>
      <c r="V77" s="13"/>
      <c r="W77" s="293"/>
    </row>
    <row r="78" spans="1:45" ht="33">
      <c r="A78" s="32" t="s">
        <v>606</v>
      </c>
      <c r="B78" s="217" t="s">
        <v>607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44</v>
      </c>
      <c r="I78" s="219"/>
      <c r="J78" s="219"/>
      <c r="K78" s="220">
        <v>10</v>
      </c>
      <c r="L78" s="221" t="s">
        <v>29</v>
      </c>
      <c r="M78" s="217" t="s">
        <v>118</v>
      </c>
      <c r="N78" s="222">
        <v>1283593991</v>
      </c>
      <c r="O78" s="222">
        <v>648725393</v>
      </c>
      <c r="P78" s="224">
        <f t="shared" si="65"/>
        <v>0.50539765498169897</v>
      </c>
      <c r="Q78" s="222">
        <v>561025393</v>
      </c>
      <c r="R78" s="224">
        <f t="shared" si="65"/>
        <v>0.43707386987915559</v>
      </c>
      <c r="S78" s="222">
        <v>561025393</v>
      </c>
      <c r="T78" s="224">
        <f t="shared" ref="T78" si="72">+S78/$N78</f>
        <v>0.43707386987915559</v>
      </c>
      <c r="V78" s="13"/>
      <c r="W78" s="293"/>
    </row>
    <row r="79" spans="1:45" s="250" customFormat="1" ht="49.5">
      <c r="A79" s="32" t="s">
        <v>608</v>
      </c>
      <c r="B79" s="217" t="s">
        <v>609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48</v>
      </c>
      <c r="I79" s="219"/>
      <c r="J79" s="219"/>
      <c r="K79" s="220">
        <v>10</v>
      </c>
      <c r="L79" s="221" t="s">
        <v>29</v>
      </c>
      <c r="M79" s="217" t="s">
        <v>119</v>
      </c>
      <c r="N79" s="222">
        <v>77000000</v>
      </c>
      <c r="O79" s="222">
        <v>45298500</v>
      </c>
      <c r="P79" s="224">
        <f t="shared" si="65"/>
        <v>0.58829220779220781</v>
      </c>
      <c r="Q79" s="222">
        <v>500000</v>
      </c>
      <c r="R79" s="224">
        <f t="shared" si="65"/>
        <v>6.4935064935064939E-3</v>
      </c>
      <c r="S79" s="222">
        <v>500000</v>
      </c>
      <c r="T79" s="224">
        <f t="shared" ref="T79" si="73">+S79/$N79</f>
        <v>6.4935064935064939E-3</v>
      </c>
      <c r="U79" s="13"/>
      <c r="V79" s="13"/>
      <c r="W79" s="29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</row>
    <row r="80" spans="1:45" ht="24.95" customHeight="1">
      <c r="A80" s="32" t="s">
        <v>396</v>
      </c>
      <c r="B80" s="210" t="s">
        <v>397</v>
      </c>
      <c r="C80" s="211" t="s">
        <v>23</v>
      </c>
      <c r="D80" s="212" t="s">
        <v>54</v>
      </c>
      <c r="E80" s="212" t="s">
        <v>54</v>
      </c>
      <c r="F80" s="212" t="s">
        <v>54</v>
      </c>
      <c r="G80" s="212" t="s">
        <v>48</v>
      </c>
      <c r="H80" s="212"/>
      <c r="I80" s="212"/>
      <c r="J80" s="212"/>
      <c r="K80" s="213" t="s">
        <v>28</v>
      </c>
      <c r="L80" s="214" t="s">
        <v>29</v>
      </c>
      <c r="M80" s="210" t="s">
        <v>120</v>
      </c>
      <c r="N80" s="215">
        <v>2406701500</v>
      </c>
      <c r="O80" s="215">
        <v>221509947.40000001</v>
      </c>
      <c r="P80" s="216">
        <f t="shared" si="65"/>
        <v>9.2038812208327464E-2</v>
      </c>
      <c r="Q80" s="215">
        <v>24202793.399999999</v>
      </c>
      <c r="R80" s="216">
        <f t="shared" si="65"/>
        <v>1.0056416801169567E-2</v>
      </c>
      <c r="S80" s="215">
        <v>24017729.530000001</v>
      </c>
      <c r="T80" s="216">
        <f t="shared" ref="T80" si="74">+S80/$N80</f>
        <v>9.979521569251526E-3</v>
      </c>
      <c r="V80" s="13"/>
      <c r="W80" s="293"/>
    </row>
    <row r="81" spans="1:45" ht="24.95" customHeight="1">
      <c r="A81" s="32" t="s">
        <v>610</v>
      </c>
      <c r="B81" s="217" t="s">
        <v>611</v>
      </c>
      <c r="C81" s="218" t="s">
        <v>23</v>
      </c>
      <c r="D81" s="219" t="s">
        <v>54</v>
      </c>
      <c r="E81" s="219" t="s">
        <v>54</v>
      </c>
      <c r="F81" s="219" t="s">
        <v>54</v>
      </c>
      <c r="G81" s="219" t="s">
        <v>48</v>
      </c>
      <c r="H81" s="225" t="s">
        <v>34</v>
      </c>
      <c r="I81" s="219"/>
      <c r="J81" s="219"/>
      <c r="K81" s="220">
        <v>10</v>
      </c>
      <c r="L81" s="221" t="s">
        <v>29</v>
      </c>
      <c r="M81" s="217" t="s">
        <v>121</v>
      </c>
      <c r="N81" s="222">
        <v>730000000</v>
      </c>
      <c r="O81" s="222">
        <v>0</v>
      </c>
      <c r="P81" s="224">
        <f t="shared" si="65"/>
        <v>0</v>
      </c>
      <c r="Q81" s="222">
        <v>0</v>
      </c>
      <c r="R81" s="224">
        <f t="shared" si="65"/>
        <v>0</v>
      </c>
      <c r="S81" s="222">
        <v>0</v>
      </c>
      <c r="T81" s="224">
        <f t="shared" ref="T81" si="75">+S81/$N81</f>
        <v>0</v>
      </c>
      <c r="V81" s="13"/>
      <c r="W81" s="293"/>
    </row>
    <row r="82" spans="1:45" ht="34.5" customHeight="1">
      <c r="A82" s="32" t="s">
        <v>612</v>
      </c>
      <c r="B82" s="217" t="s">
        <v>613</v>
      </c>
      <c r="C82" s="218" t="s">
        <v>23</v>
      </c>
      <c r="D82" s="219" t="s">
        <v>54</v>
      </c>
      <c r="E82" s="219" t="s">
        <v>54</v>
      </c>
      <c r="F82" s="219" t="s">
        <v>54</v>
      </c>
      <c r="G82" s="219" t="s">
        <v>48</v>
      </c>
      <c r="H82" s="225" t="s">
        <v>36</v>
      </c>
      <c r="I82" s="219"/>
      <c r="J82" s="219"/>
      <c r="K82" s="220">
        <v>10</v>
      </c>
      <c r="L82" s="221" t="s">
        <v>29</v>
      </c>
      <c r="M82" s="217" t="s">
        <v>122</v>
      </c>
      <c r="N82" s="222">
        <v>365636000</v>
      </c>
      <c r="O82" s="222">
        <v>130658154</v>
      </c>
      <c r="P82" s="224">
        <f t="shared" si="65"/>
        <v>0.35734488398297759</v>
      </c>
      <c r="Q82" s="222">
        <v>16162000</v>
      </c>
      <c r="R82" s="224">
        <f t="shared" si="65"/>
        <v>4.4202430832850158E-2</v>
      </c>
      <c r="S82" s="222">
        <v>16162000</v>
      </c>
      <c r="T82" s="224">
        <f t="shared" ref="T82" si="76">+S82/$N82</f>
        <v>4.4202430832850158E-2</v>
      </c>
      <c r="V82" s="13"/>
      <c r="W82" s="293"/>
    </row>
    <row r="83" spans="1:45" ht="49.5">
      <c r="A83" s="32" t="s">
        <v>614</v>
      </c>
      <c r="B83" s="217" t="s">
        <v>615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38</v>
      </c>
      <c r="I83" s="219"/>
      <c r="J83" s="219"/>
      <c r="K83" s="220">
        <v>10</v>
      </c>
      <c r="L83" s="221" t="s">
        <v>29</v>
      </c>
      <c r="M83" s="217" t="s">
        <v>123</v>
      </c>
      <c r="N83" s="222">
        <v>55000000</v>
      </c>
      <c r="O83" s="222">
        <v>7975293.4000000004</v>
      </c>
      <c r="P83" s="224">
        <f t="shared" si="65"/>
        <v>0.14500533454545456</v>
      </c>
      <c r="Q83" s="222">
        <v>7975293.4000000004</v>
      </c>
      <c r="R83" s="224">
        <f t="shared" si="65"/>
        <v>0.14500533454545456</v>
      </c>
      <c r="S83" s="222">
        <v>7790229.5300000003</v>
      </c>
      <c r="T83" s="224">
        <f t="shared" ref="T83" si="77">+S83/$N83</f>
        <v>0.14164053690909092</v>
      </c>
      <c r="V83" s="13"/>
      <c r="W83" s="293"/>
    </row>
    <row r="84" spans="1:45" ht="24.95" customHeight="1">
      <c r="A84" s="32" t="s">
        <v>616</v>
      </c>
      <c r="B84" s="217" t="s">
        <v>617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42</v>
      </c>
      <c r="I84" s="219"/>
      <c r="J84" s="219"/>
      <c r="K84" s="220">
        <v>10</v>
      </c>
      <c r="L84" s="221" t="s">
        <v>29</v>
      </c>
      <c r="M84" s="217" t="s">
        <v>124</v>
      </c>
      <c r="N84" s="222">
        <v>1160000000</v>
      </c>
      <c r="O84" s="222">
        <v>82811000</v>
      </c>
      <c r="P84" s="224">
        <f t="shared" si="65"/>
        <v>7.138879310344827E-2</v>
      </c>
      <c r="Q84" s="222">
        <v>0</v>
      </c>
      <c r="R84" s="224">
        <f t="shared" si="65"/>
        <v>0</v>
      </c>
      <c r="S84" s="222">
        <v>0</v>
      </c>
      <c r="T84" s="224">
        <f t="shared" ref="T84" si="78">+S84/$N84</f>
        <v>0</v>
      </c>
      <c r="V84" s="13"/>
      <c r="W84" s="293"/>
    </row>
    <row r="85" spans="1:45" ht="24.95" customHeight="1">
      <c r="A85" s="32" t="s">
        <v>618</v>
      </c>
      <c r="B85" s="217" t="s">
        <v>619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44</v>
      </c>
      <c r="I85" s="219"/>
      <c r="J85" s="219"/>
      <c r="K85" s="220">
        <v>10</v>
      </c>
      <c r="L85" s="221" t="s">
        <v>29</v>
      </c>
      <c r="M85" s="217" t="s">
        <v>125</v>
      </c>
      <c r="N85" s="222">
        <v>96065500</v>
      </c>
      <c r="O85" s="222">
        <v>65500</v>
      </c>
      <c r="P85" s="224">
        <f t="shared" si="65"/>
        <v>6.818264621534266E-4</v>
      </c>
      <c r="Q85" s="222">
        <v>65500</v>
      </c>
      <c r="R85" s="224">
        <f t="shared" si="65"/>
        <v>6.818264621534266E-4</v>
      </c>
      <c r="S85" s="222">
        <v>65500</v>
      </c>
      <c r="T85" s="224">
        <f t="shared" ref="T85" si="79">+S85/$N85</f>
        <v>6.818264621534266E-4</v>
      </c>
      <c r="V85" s="13"/>
      <c r="W85" s="293"/>
    </row>
    <row r="86" spans="1:45" ht="24.95" customHeight="1">
      <c r="A86" s="32" t="s">
        <v>398</v>
      </c>
      <c r="B86" s="210" t="s">
        <v>399</v>
      </c>
      <c r="C86" s="211" t="s">
        <v>23</v>
      </c>
      <c r="D86" s="212" t="s">
        <v>54</v>
      </c>
      <c r="E86" s="212" t="s">
        <v>54</v>
      </c>
      <c r="F86" s="212" t="s">
        <v>54</v>
      </c>
      <c r="G86" s="212" t="s">
        <v>50</v>
      </c>
      <c r="H86" s="212"/>
      <c r="I86" s="212"/>
      <c r="J86" s="212"/>
      <c r="K86" s="213" t="s">
        <v>28</v>
      </c>
      <c r="L86" s="214" t="s">
        <v>29</v>
      </c>
      <c r="M86" s="210" t="s">
        <v>126</v>
      </c>
      <c r="N86" s="215">
        <v>1170310070</v>
      </c>
      <c r="O86" s="215">
        <v>282271133</v>
      </c>
      <c r="P86" s="216">
        <f t="shared" si="65"/>
        <v>0.24119345824307911</v>
      </c>
      <c r="Q86" s="215">
        <v>159532882</v>
      </c>
      <c r="R86" s="216">
        <f t="shared" si="65"/>
        <v>0.13631676432554324</v>
      </c>
      <c r="S86" s="215">
        <v>143282000</v>
      </c>
      <c r="T86" s="216">
        <f t="shared" ref="T86" si="80">+S86/$N86</f>
        <v>0.12243080160798753</v>
      </c>
      <c r="V86" s="13"/>
      <c r="W86" s="293"/>
    </row>
    <row r="87" spans="1:45" ht="35.1" customHeight="1">
      <c r="A87" s="32" t="s">
        <v>400</v>
      </c>
      <c r="B87" s="188" t="s">
        <v>401</v>
      </c>
      <c r="C87" s="189" t="s">
        <v>23</v>
      </c>
      <c r="D87" s="191" t="s">
        <v>65</v>
      </c>
      <c r="E87" s="191"/>
      <c r="F87" s="191"/>
      <c r="G87" s="191"/>
      <c r="H87" s="191"/>
      <c r="I87" s="191"/>
      <c r="J87" s="191"/>
      <c r="K87" s="192"/>
      <c r="L87" s="193"/>
      <c r="M87" s="188" t="s">
        <v>127</v>
      </c>
      <c r="N87" s="194">
        <v>3349000000</v>
      </c>
      <c r="O87" s="194">
        <v>751990874</v>
      </c>
      <c r="P87" s="195">
        <f t="shared" si="65"/>
        <v>0.22454191519856673</v>
      </c>
      <c r="Q87" s="194">
        <v>219038504</v>
      </c>
      <c r="R87" s="195">
        <f t="shared" si="65"/>
        <v>6.5404151687070769E-2</v>
      </c>
      <c r="S87" s="194">
        <v>219038504</v>
      </c>
      <c r="T87" s="195">
        <f t="shared" ref="T87" si="81">+S87/$N87</f>
        <v>6.5404151687070769E-2</v>
      </c>
      <c r="V87" s="13"/>
      <c r="W87" s="293"/>
    </row>
    <row r="88" spans="1:45" ht="24.95" customHeight="1">
      <c r="A88" s="32" t="s">
        <v>620</v>
      </c>
      <c r="B88" s="196" t="s">
        <v>621</v>
      </c>
      <c r="C88" s="197" t="s">
        <v>23</v>
      </c>
      <c r="D88" s="198" t="s">
        <v>65</v>
      </c>
      <c r="E88" s="198" t="s">
        <v>65</v>
      </c>
      <c r="F88" s="198"/>
      <c r="G88" s="198"/>
      <c r="H88" s="198"/>
      <c r="I88" s="198"/>
      <c r="J88" s="198"/>
      <c r="K88" s="199"/>
      <c r="L88" s="200"/>
      <c r="M88" s="196" t="s">
        <v>128</v>
      </c>
      <c r="N88" s="201">
        <v>0</v>
      </c>
      <c r="O88" s="201">
        <v>0</v>
      </c>
      <c r="P88" s="202" t="e">
        <f t="shared" si="65"/>
        <v>#DIV/0!</v>
      </c>
      <c r="Q88" s="201">
        <v>0</v>
      </c>
      <c r="R88" s="202" t="e">
        <f t="shared" si="65"/>
        <v>#DIV/0!</v>
      </c>
      <c r="S88" s="201">
        <v>0</v>
      </c>
      <c r="T88" s="202" t="e">
        <f t="shared" ref="T88" si="82">+S88/$N88</f>
        <v>#DIV/0!</v>
      </c>
      <c r="V88" s="13"/>
      <c r="W88" s="293"/>
    </row>
    <row r="89" spans="1:45" ht="24.95" customHeight="1">
      <c r="A89" s="32" t="s">
        <v>742</v>
      </c>
      <c r="B89" s="203" t="s">
        <v>623</v>
      </c>
      <c r="C89" s="204" t="s">
        <v>23</v>
      </c>
      <c r="D89" s="205" t="s">
        <v>65</v>
      </c>
      <c r="E89" s="205" t="s">
        <v>65</v>
      </c>
      <c r="F89" s="256" t="s">
        <v>25</v>
      </c>
      <c r="G89" s="205"/>
      <c r="H89" s="205"/>
      <c r="I89" s="205"/>
      <c r="J89" s="205"/>
      <c r="K89" s="206">
        <v>10</v>
      </c>
      <c r="L89" s="207" t="s">
        <v>29</v>
      </c>
      <c r="M89" s="203" t="s">
        <v>129</v>
      </c>
      <c r="N89" s="208">
        <v>0</v>
      </c>
      <c r="O89" s="208">
        <v>0</v>
      </c>
      <c r="P89" s="209" t="e">
        <f t="shared" si="65"/>
        <v>#DIV/0!</v>
      </c>
      <c r="Q89" s="208">
        <v>0</v>
      </c>
      <c r="R89" s="209" t="e">
        <f t="shared" si="65"/>
        <v>#DIV/0!</v>
      </c>
      <c r="S89" s="208">
        <v>0</v>
      </c>
      <c r="T89" s="209" t="e">
        <f t="shared" ref="T89" si="83">+S89/$N89</f>
        <v>#DIV/0!</v>
      </c>
      <c r="V89" s="13"/>
      <c r="W89" s="293"/>
    </row>
    <row r="90" spans="1:45" ht="24.95" customHeight="1">
      <c r="A90" s="32" t="s">
        <v>626</v>
      </c>
      <c r="B90" s="217" t="s">
        <v>627</v>
      </c>
      <c r="C90" s="218" t="s">
        <v>23</v>
      </c>
      <c r="D90" s="219" t="s">
        <v>65</v>
      </c>
      <c r="E90" s="219" t="s">
        <v>65</v>
      </c>
      <c r="F90" s="219" t="s">
        <v>25</v>
      </c>
      <c r="G90" s="219" t="s">
        <v>134</v>
      </c>
      <c r="H90" s="219"/>
      <c r="I90" s="219"/>
      <c r="J90" s="219"/>
      <c r="K90" s="220" t="s">
        <v>28</v>
      </c>
      <c r="L90" s="221" t="s">
        <v>29</v>
      </c>
      <c r="M90" s="217" t="s">
        <v>135</v>
      </c>
      <c r="N90" s="222">
        <v>0</v>
      </c>
      <c r="O90" s="222">
        <v>0</v>
      </c>
      <c r="P90" s="224" t="e">
        <f t="shared" si="65"/>
        <v>#DIV/0!</v>
      </c>
      <c r="Q90" s="222">
        <v>0</v>
      </c>
      <c r="R90" s="224" t="e">
        <f t="shared" si="65"/>
        <v>#DIV/0!</v>
      </c>
      <c r="S90" s="222">
        <v>0</v>
      </c>
      <c r="T90" s="224" t="e">
        <f t="shared" ref="T90" si="84">+S90/$N90</f>
        <v>#DIV/0!</v>
      </c>
      <c r="V90" s="13"/>
      <c r="W90" s="293"/>
    </row>
    <row r="91" spans="1:45" ht="24.95" customHeight="1">
      <c r="A91" s="32" t="s">
        <v>402</v>
      </c>
      <c r="B91" s="196" t="s">
        <v>403</v>
      </c>
      <c r="C91" s="197" t="s">
        <v>23</v>
      </c>
      <c r="D91" s="198" t="s">
        <v>65</v>
      </c>
      <c r="E91" s="198" t="s">
        <v>136</v>
      </c>
      <c r="F91" s="198"/>
      <c r="G91" s="198"/>
      <c r="H91" s="198"/>
      <c r="I91" s="198"/>
      <c r="J91" s="198"/>
      <c r="K91" s="199"/>
      <c r="L91" s="200"/>
      <c r="M91" s="196" t="s">
        <v>137</v>
      </c>
      <c r="N91" s="201">
        <v>752000000</v>
      </c>
      <c r="O91" s="201">
        <v>751990874</v>
      </c>
      <c r="P91" s="202">
        <f t="shared" si="65"/>
        <v>0.99998786436170217</v>
      </c>
      <c r="Q91" s="201">
        <v>219038504</v>
      </c>
      <c r="R91" s="202">
        <f t="shared" si="65"/>
        <v>0.2912746063829787</v>
      </c>
      <c r="S91" s="201">
        <v>219038504</v>
      </c>
      <c r="T91" s="202">
        <f t="shared" ref="T91" si="85">+S91/$N91</f>
        <v>0.2912746063829787</v>
      </c>
      <c r="V91" s="13"/>
      <c r="W91" s="293"/>
    </row>
    <row r="92" spans="1:45" ht="24.95" customHeight="1">
      <c r="A92" s="32" t="s">
        <v>404</v>
      </c>
      <c r="B92" s="203" t="s">
        <v>405</v>
      </c>
      <c r="C92" s="204" t="s">
        <v>23</v>
      </c>
      <c r="D92" s="205" t="s">
        <v>65</v>
      </c>
      <c r="E92" s="205" t="s">
        <v>136</v>
      </c>
      <c r="F92" s="205" t="s">
        <v>54</v>
      </c>
      <c r="G92" s="205"/>
      <c r="H92" s="205"/>
      <c r="I92" s="205"/>
      <c r="J92" s="205"/>
      <c r="K92" s="206" t="s">
        <v>28</v>
      </c>
      <c r="L92" s="207" t="s">
        <v>29</v>
      </c>
      <c r="M92" s="203" t="s">
        <v>138</v>
      </c>
      <c r="N92" s="208">
        <v>752000000</v>
      </c>
      <c r="O92" s="208">
        <v>751990874</v>
      </c>
      <c r="P92" s="209">
        <f t="shared" si="65"/>
        <v>0.99998786436170217</v>
      </c>
      <c r="Q92" s="208">
        <v>219038504</v>
      </c>
      <c r="R92" s="209">
        <f t="shared" si="65"/>
        <v>0.2912746063829787</v>
      </c>
      <c r="S92" s="208">
        <v>219038504</v>
      </c>
      <c r="T92" s="209">
        <f t="shared" ref="T92" si="86">+S92/$N92</f>
        <v>0.2912746063829787</v>
      </c>
      <c r="V92" s="13"/>
      <c r="W92" s="293"/>
    </row>
    <row r="93" spans="1:45" s="64" customFormat="1" ht="24.95" customHeight="1">
      <c r="A93" s="32" t="s">
        <v>406</v>
      </c>
      <c r="B93" s="210" t="s">
        <v>407</v>
      </c>
      <c r="C93" s="211" t="s">
        <v>23</v>
      </c>
      <c r="D93" s="212" t="s">
        <v>65</v>
      </c>
      <c r="E93" s="212" t="s">
        <v>136</v>
      </c>
      <c r="F93" s="212" t="s">
        <v>54</v>
      </c>
      <c r="G93" s="212" t="s">
        <v>52</v>
      </c>
      <c r="H93" s="212"/>
      <c r="I93" s="212"/>
      <c r="J93" s="212"/>
      <c r="K93" s="213" t="s">
        <v>28</v>
      </c>
      <c r="L93" s="214" t="s">
        <v>29</v>
      </c>
      <c r="M93" s="210" t="s">
        <v>139</v>
      </c>
      <c r="N93" s="215">
        <v>752000000</v>
      </c>
      <c r="O93" s="215">
        <v>751990874</v>
      </c>
      <c r="P93" s="216">
        <f t="shared" si="65"/>
        <v>0.99998786436170217</v>
      </c>
      <c r="Q93" s="215">
        <v>219038504</v>
      </c>
      <c r="R93" s="216">
        <f t="shared" si="65"/>
        <v>0.2912746063829787</v>
      </c>
      <c r="S93" s="215">
        <v>219038504</v>
      </c>
      <c r="T93" s="216">
        <f t="shared" ref="T93" si="87">+S93/$N93</f>
        <v>0.2912746063829787</v>
      </c>
      <c r="U93" s="13"/>
      <c r="V93" s="13"/>
      <c r="W93" s="29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</row>
    <row r="94" spans="1:45" ht="24.95" customHeight="1">
      <c r="A94" s="32" t="s">
        <v>408</v>
      </c>
      <c r="B94" s="217" t="s">
        <v>409</v>
      </c>
      <c r="C94" s="218" t="s">
        <v>23</v>
      </c>
      <c r="D94" s="219" t="s">
        <v>65</v>
      </c>
      <c r="E94" s="219" t="s">
        <v>136</v>
      </c>
      <c r="F94" s="219" t="s">
        <v>54</v>
      </c>
      <c r="G94" s="219" t="s">
        <v>52</v>
      </c>
      <c r="H94" s="219" t="s">
        <v>31</v>
      </c>
      <c r="I94" s="219"/>
      <c r="J94" s="219"/>
      <c r="K94" s="220" t="s">
        <v>28</v>
      </c>
      <c r="L94" s="221" t="s">
        <v>29</v>
      </c>
      <c r="M94" s="217" t="s">
        <v>140</v>
      </c>
      <c r="N94" s="222">
        <v>402000000</v>
      </c>
      <c r="O94" s="222">
        <v>402000000</v>
      </c>
      <c r="P94" s="224">
        <f t="shared" si="65"/>
        <v>1</v>
      </c>
      <c r="Q94" s="222">
        <v>168284543</v>
      </c>
      <c r="R94" s="224">
        <f t="shared" si="65"/>
        <v>0.41861826616915421</v>
      </c>
      <c r="S94" s="222">
        <v>168284543</v>
      </c>
      <c r="T94" s="224">
        <f t="shared" ref="T94" si="88">+S94/$N94</f>
        <v>0.41861826616915421</v>
      </c>
      <c r="V94" s="13"/>
      <c r="W94" s="293"/>
    </row>
    <row r="95" spans="1:45" ht="24.95" customHeight="1">
      <c r="A95" s="32" t="s">
        <v>410</v>
      </c>
      <c r="B95" s="217" t="s">
        <v>411</v>
      </c>
      <c r="C95" s="218" t="s">
        <v>23</v>
      </c>
      <c r="D95" s="219" t="s">
        <v>65</v>
      </c>
      <c r="E95" s="219" t="s">
        <v>136</v>
      </c>
      <c r="F95" s="219" t="s">
        <v>54</v>
      </c>
      <c r="G95" s="219" t="s">
        <v>52</v>
      </c>
      <c r="H95" s="219" t="s">
        <v>34</v>
      </c>
      <c r="I95" s="219"/>
      <c r="J95" s="219"/>
      <c r="K95" s="220" t="s">
        <v>28</v>
      </c>
      <c r="L95" s="221" t="s">
        <v>29</v>
      </c>
      <c r="M95" s="217" t="s">
        <v>141</v>
      </c>
      <c r="N95" s="222">
        <v>314000000</v>
      </c>
      <c r="O95" s="222">
        <v>314000000</v>
      </c>
      <c r="P95" s="224">
        <f t="shared" si="65"/>
        <v>1</v>
      </c>
      <c r="Q95" s="222">
        <v>14763087</v>
      </c>
      <c r="R95" s="224">
        <f t="shared" si="65"/>
        <v>4.7016200636942673E-2</v>
      </c>
      <c r="S95" s="222">
        <v>14763087</v>
      </c>
      <c r="T95" s="224">
        <f t="shared" ref="T95" si="89">+S95/$N95</f>
        <v>4.7016200636942673E-2</v>
      </c>
      <c r="V95" s="13"/>
      <c r="W95" s="293"/>
    </row>
    <row r="96" spans="1:45" s="64" customFormat="1" ht="24.95" customHeight="1">
      <c r="A96" s="32" t="s">
        <v>412</v>
      </c>
      <c r="B96" s="217" t="s">
        <v>413</v>
      </c>
      <c r="C96" s="218" t="s">
        <v>23</v>
      </c>
      <c r="D96" s="219" t="s">
        <v>65</v>
      </c>
      <c r="E96" s="219" t="s">
        <v>136</v>
      </c>
      <c r="F96" s="219" t="s">
        <v>54</v>
      </c>
      <c r="G96" s="225" t="s">
        <v>142</v>
      </c>
      <c r="H96" s="219"/>
      <c r="I96" s="219"/>
      <c r="J96" s="219"/>
      <c r="K96" s="220" t="s">
        <v>28</v>
      </c>
      <c r="L96" s="221" t="s">
        <v>29</v>
      </c>
      <c r="M96" s="217" t="s">
        <v>260</v>
      </c>
      <c r="N96" s="222">
        <v>36000000</v>
      </c>
      <c r="O96" s="222">
        <v>35990874</v>
      </c>
      <c r="P96" s="224">
        <f t="shared" si="65"/>
        <v>0.99974649999999998</v>
      </c>
      <c r="Q96" s="222">
        <v>35990874</v>
      </c>
      <c r="R96" s="224">
        <f t="shared" si="65"/>
        <v>0.99974649999999998</v>
      </c>
      <c r="S96" s="222">
        <v>35990874</v>
      </c>
      <c r="T96" s="224">
        <f t="shared" ref="T96" si="90">+S96/$N96</f>
        <v>0.99974649999999998</v>
      </c>
      <c r="U96" s="13"/>
      <c r="V96" s="13"/>
      <c r="W96" s="29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</row>
    <row r="97" spans="1:23" ht="24.95" customHeight="1">
      <c r="A97" s="32" t="s">
        <v>414</v>
      </c>
      <c r="B97" s="196" t="s">
        <v>415</v>
      </c>
      <c r="C97" s="197" t="s">
        <v>23</v>
      </c>
      <c r="D97" s="198" t="s">
        <v>65</v>
      </c>
      <c r="E97" s="198" t="s">
        <v>28</v>
      </c>
      <c r="F97" s="198"/>
      <c r="G97" s="198"/>
      <c r="H97" s="198"/>
      <c r="I97" s="198"/>
      <c r="J97" s="198"/>
      <c r="K97" s="199"/>
      <c r="L97" s="200"/>
      <c r="M97" s="196" t="s">
        <v>143</v>
      </c>
      <c r="N97" s="201">
        <v>2597000000</v>
      </c>
      <c r="O97" s="201">
        <v>0</v>
      </c>
      <c r="P97" s="202">
        <f t="shared" si="65"/>
        <v>0</v>
      </c>
      <c r="Q97" s="201">
        <v>0</v>
      </c>
      <c r="R97" s="202">
        <f t="shared" si="65"/>
        <v>0</v>
      </c>
      <c r="S97" s="201">
        <v>0</v>
      </c>
      <c r="T97" s="202">
        <f t="shared" ref="T97" si="91">+S97/$N97</f>
        <v>0</v>
      </c>
      <c r="V97" s="13"/>
      <c r="W97" s="293"/>
    </row>
    <row r="98" spans="1:23" ht="16.5">
      <c r="A98" s="32" t="s">
        <v>416</v>
      </c>
      <c r="B98" s="203" t="s">
        <v>417</v>
      </c>
      <c r="C98" s="204" t="s">
        <v>23</v>
      </c>
      <c r="D98" s="205" t="s">
        <v>65</v>
      </c>
      <c r="E98" s="205" t="s">
        <v>28</v>
      </c>
      <c r="F98" s="205" t="s">
        <v>25</v>
      </c>
      <c r="G98" s="205"/>
      <c r="H98" s="205"/>
      <c r="I98" s="205"/>
      <c r="J98" s="205"/>
      <c r="K98" s="206" t="s">
        <v>144</v>
      </c>
      <c r="L98" s="207" t="s">
        <v>29</v>
      </c>
      <c r="M98" s="203" t="s">
        <v>145</v>
      </c>
      <c r="N98" s="208">
        <v>2597000000</v>
      </c>
      <c r="O98" s="208">
        <v>0</v>
      </c>
      <c r="P98" s="209">
        <f t="shared" si="65"/>
        <v>0</v>
      </c>
      <c r="Q98" s="208">
        <v>0</v>
      </c>
      <c r="R98" s="209">
        <f t="shared" si="65"/>
        <v>0</v>
      </c>
      <c r="S98" s="208">
        <v>0</v>
      </c>
      <c r="T98" s="209">
        <f t="shared" ref="T98" si="92">+S98/$N98</f>
        <v>0</v>
      </c>
      <c r="V98" s="13"/>
      <c r="W98" s="293"/>
    </row>
    <row r="99" spans="1:23" ht="24.95" customHeight="1">
      <c r="A99" s="32" t="s">
        <v>628</v>
      </c>
      <c r="B99" s="217" t="s">
        <v>418</v>
      </c>
      <c r="C99" s="218" t="s">
        <v>23</v>
      </c>
      <c r="D99" s="219" t="s">
        <v>65</v>
      </c>
      <c r="E99" s="219" t="s">
        <v>28</v>
      </c>
      <c r="F99" s="219" t="s">
        <v>25</v>
      </c>
      <c r="G99" s="219" t="s">
        <v>31</v>
      </c>
      <c r="H99" s="219"/>
      <c r="I99" s="219"/>
      <c r="J99" s="219"/>
      <c r="K99" s="220">
        <v>10</v>
      </c>
      <c r="L99" s="221" t="s">
        <v>29</v>
      </c>
      <c r="M99" s="259" t="s">
        <v>146</v>
      </c>
      <c r="N99" s="222">
        <v>2597000000</v>
      </c>
      <c r="O99" s="222">
        <v>0</v>
      </c>
      <c r="P99" s="224">
        <f t="shared" si="65"/>
        <v>0</v>
      </c>
      <c r="Q99" s="222">
        <v>0</v>
      </c>
      <c r="R99" s="224">
        <f t="shared" si="65"/>
        <v>0</v>
      </c>
      <c r="S99" s="222">
        <v>0</v>
      </c>
      <c r="T99" s="224">
        <f t="shared" ref="T99" si="93">+S99/$N99</f>
        <v>0</v>
      </c>
      <c r="V99" s="13"/>
      <c r="W99" s="293"/>
    </row>
    <row r="100" spans="1:23" ht="35.1" customHeight="1">
      <c r="A100" s="32" t="s">
        <v>420</v>
      </c>
      <c r="B100" s="188" t="s">
        <v>421</v>
      </c>
      <c r="C100" s="189" t="s">
        <v>23</v>
      </c>
      <c r="D100" s="191" t="s">
        <v>148</v>
      </c>
      <c r="E100" s="191"/>
      <c r="F100" s="191"/>
      <c r="G100" s="191"/>
      <c r="H100" s="191"/>
      <c r="I100" s="191"/>
      <c r="J100" s="191"/>
      <c r="K100" s="192"/>
      <c r="L100" s="193"/>
      <c r="M100" s="188" t="s">
        <v>149</v>
      </c>
      <c r="N100" s="194">
        <v>5824000000</v>
      </c>
      <c r="O100" s="194">
        <v>72576351.280000001</v>
      </c>
      <c r="P100" s="195">
        <f t="shared" si="65"/>
        <v>1.2461598777472528E-2</v>
      </c>
      <c r="Q100" s="194">
        <v>72576351.280000001</v>
      </c>
      <c r="R100" s="195">
        <f t="shared" si="65"/>
        <v>1.2461598777472528E-2</v>
      </c>
      <c r="S100" s="194">
        <v>72379568.280000001</v>
      </c>
      <c r="T100" s="195">
        <f t="shared" ref="T100" si="94">+S100/$N100</f>
        <v>1.2427810487637362E-2</v>
      </c>
      <c r="V100" s="13"/>
      <c r="W100" s="293"/>
    </row>
    <row r="101" spans="1:23" ht="24.95" customHeight="1">
      <c r="A101" s="32" t="s">
        <v>422</v>
      </c>
      <c r="B101" s="196" t="s">
        <v>423</v>
      </c>
      <c r="C101" s="197" t="s">
        <v>23</v>
      </c>
      <c r="D101" s="198" t="s">
        <v>148</v>
      </c>
      <c r="E101" s="198" t="s">
        <v>25</v>
      </c>
      <c r="F101" s="198"/>
      <c r="G101" s="198"/>
      <c r="H101" s="198"/>
      <c r="I101" s="198"/>
      <c r="J101" s="198"/>
      <c r="K101" s="199"/>
      <c r="L101" s="200"/>
      <c r="M101" s="196" t="s">
        <v>150</v>
      </c>
      <c r="N101" s="201">
        <v>84000000</v>
      </c>
      <c r="O101" s="201">
        <v>68457587.210000008</v>
      </c>
      <c r="P101" s="202">
        <f t="shared" si="65"/>
        <v>0.81497127630952393</v>
      </c>
      <c r="Q101" s="201">
        <v>68457587.210000008</v>
      </c>
      <c r="R101" s="202">
        <f t="shared" si="65"/>
        <v>0.81497127630952393</v>
      </c>
      <c r="S101" s="201">
        <v>68260804.210000008</v>
      </c>
      <c r="T101" s="202">
        <f t="shared" ref="T101" si="95">+S101/$N101</f>
        <v>0.81262862154761917</v>
      </c>
      <c r="V101" s="13"/>
      <c r="W101" s="293"/>
    </row>
    <row r="102" spans="1:23" ht="16.5">
      <c r="A102" s="32" t="s">
        <v>424</v>
      </c>
      <c r="B102" s="203" t="s">
        <v>425</v>
      </c>
      <c r="C102" s="204" t="s">
        <v>23</v>
      </c>
      <c r="D102" s="205" t="s">
        <v>148</v>
      </c>
      <c r="E102" s="205" t="s">
        <v>25</v>
      </c>
      <c r="F102" s="205" t="s">
        <v>54</v>
      </c>
      <c r="G102" s="205"/>
      <c r="H102" s="205"/>
      <c r="I102" s="205"/>
      <c r="J102" s="205"/>
      <c r="K102" s="206" t="s">
        <v>28</v>
      </c>
      <c r="L102" s="207" t="s">
        <v>29</v>
      </c>
      <c r="M102" s="203" t="s">
        <v>151</v>
      </c>
      <c r="N102" s="208">
        <v>84000000</v>
      </c>
      <c r="O102" s="208">
        <v>68457587.210000008</v>
      </c>
      <c r="P102" s="209">
        <f t="shared" si="65"/>
        <v>0.81497127630952393</v>
      </c>
      <c r="Q102" s="208">
        <v>68457587.210000008</v>
      </c>
      <c r="R102" s="209">
        <f t="shared" si="65"/>
        <v>0.81497127630952393</v>
      </c>
      <c r="S102" s="208">
        <v>68260804.210000008</v>
      </c>
      <c r="T102" s="209">
        <f t="shared" ref="T102" si="96">+S102/$N102</f>
        <v>0.81262862154761917</v>
      </c>
      <c r="V102" s="13"/>
      <c r="W102" s="293"/>
    </row>
    <row r="103" spans="1:23" ht="24.95" customHeight="1">
      <c r="A103" s="32" t="s">
        <v>426</v>
      </c>
      <c r="B103" s="217" t="s">
        <v>427</v>
      </c>
      <c r="C103" s="218" t="s">
        <v>23</v>
      </c>
      <c r="D103" s="219" t="s">
        <v>148</v>
      </c>
      <c r="E103" s="219" t="s">
        <v>25</v>
      </c>
      <c r="F103" s="219" t="s">
        <v>54</v>
      </c>
      <c r="G103" s="219" t="s">
        <v>31</v>
      </c>
      <c r="H103" s="219"/>
      <c r="I103" s="219"/>
      <c r="J103" s="219"/>
      <c r="K103" s="220" t="s">
        <v>28</v>
      </c>
      <c r="L103" s="221" t="s">
        <v>29</v>
      </c>
      <c r="M103" s="259" t="s">
        <v>152</v>
      </c>
      <c r="N103" s="222">
        <v>51000000</v>
      </c>
      <c r="O103" s="222">
        <v>49978748</v>
      </c>
      <c r="P103" s="224">
        <f t="shared" si="65"/>
        <v>0.97997545098039218</v>
      </c>
      <c r="Q103" s="222">
        <v>49978748</v>
      </c>
      <c r="R103" s="224">
        <f t="shared" si="65"/>
        <v>0.97997545098039218</v>
      </c>
      <c r="S103" s="222">
        <v>49978748</v>
      </c>
      <c r="T103" s="224">
        <f t="shared" ref="T103" si="97">+S103/$N103</f>
        <v>0.97997545098039218</v>
      </c>
      <c r="V103" s="13"/>
      <c r="W103" s="293"/>
    </row>
    <row r="104" spans="1:23" ht="24.95" customHeight="1">
      <c r="A104" s="32" t="s">
        <v>428</v>
      </c>
      <c r="B104" s="217" t="s">
        <v>429</v>
      </c>
      <c r="C104" s="218" t="s">
        <v>23</v>
      </c>
      <c r="D104" s="219" t="s">
        <v>148</v>
      </c>
      <c r="E104" s="219" t="s">
        <v>25</v>
      </c>
      <c r="F104" s="219" t="s">
        <v>54</v>
      </c>
      <c r="G104" s="219" t="s">
        <v>38</v>
      </c>
      <c r="H104" s="219"/>
      <c r="I104" s="219"/>
      <c r="J104" s="219"/>
      <c r="K104" s="220" t="s">
        <v>28</v>
      </c>
      <c r="L104" s="221" t="s">
        <v>29</v>
      </c>
      <c r="M104" s="259" t="s">
        <v>153</v>
      </c>
      <c r="N104" s="222">
        <v>26000000</v>
      </c>
      <c r="O104" s="222">
        <v>12151739.210000001</v>
      </c>
      <c r="P104" s="224">
        <f t="shared" si="65"/>
        <v>0.46737458500000001</v>
      </c>
      <c r="Q104" s="222">
        <v>12151739.210000001</v>
      </c>
      <c r="R104" s="224">
        <f t="shared" si="65"/>
        <v>0.46737458500000001</v>
      </c>
      <c r="S104" s="222">
        <v>11954956.210000001</v>
      </c>
      <c r="T104" s="224">
        <f t="shared" ref="T104" si="98">+S104/$N104</f>
        <v>0.45980600807692312</v>
      </c>
      <c r="V104" s="13"/>
      <c r="W104" s="293"/>
    </row>
    <row r="105" spans="1:23" ht="24.95" customHeight="1">
      <c r="A105" s="32" t="s">
        <v>430</v>
      </c>
      <c r="B105" s="217" t="s">
        <v>431</v>
      </c>
      <c r="C105" s="218" t="s">
        <v>23</v>
      </c>
      <c r="D105" s="219" t="s">
        <v>148</v>
      </c>
      <c r="E105" s="219" t="s">
        <v>25</v>
      </c>
      <c r="F105" s="219" t="s">
        <v>54</v>
      </c>
      <c r="G105" s="219" t="s">
        <v>42</v>
      </c>
      <c r="H105" s="219"/>
      <c r="I105" s="219"/>
      <c r="J105" s="219"/>
      <c r="K105" s="220" t="s">
        <v>28</v>
      </c>
      <c r="L105" s="221" t="s">
        <v>29</v>
      </c>
      <c r="M105" s="259" t="s">
        <v>154</v>
      </c>
      <c r="N105" s="222">
        <v>7000000</v>
      </c>
      <c r="O105" s="222">
        <v>6327100</v>
      </c>
      <c r="P105" s="224">
        <f t="shared" si="65"/>
        <v>0.90387142857142855</v>
      </c>
      <c r="Q105" s="222">
        <v>6327100</v>
      </c>
      <c r="R105" s="224">
        <f t="shared" si="65"/>
        <v>0.90387142857142855</v>
      </c>
      <c r="S105" s="222">
        <v>6327100</v>
      </c>
      <c r="T105" s="224">
        <f t="shared" ref="T105" si="99">+S105/$N105</f>
        <v>0.90387142857142855</v>
      </c>
      <c r="V105" s="13"/>
      <c r="W105" s="293"/>
    </row>
    <row r="106" spans="1:23" ht="24.95" customHeight="1">
      <c r="A106" s="32" t="s">
        <v>629</v>
      </c>
      <c r="B106" s="196" t="s">
        <v>432</v>
      </c>
      <c r="C106" s="197" t="s">
        <v>23</v>
      </c>
      <c r="D106" s="198" t="s">
        <v>148</v>
      </c>
      <c r="E106" s="198" t="s">
        <v>136</v>
      </c>
      <c r="F106" s="198"/>
      <c r="G106" s="198"/>
      <c r="H106" s="198"/>
      <c r="I106" s="198"/>
      <c r="J106" s="198"/>
      <c r="K106" s="199"/>
      <c r="L106" s="200"/>
      <c r="M106" s="196" t="s">
        <v>155</v>
      </c>
      <c r="N106" s="201">
        <v>5740000000</v>
      </c>
      <c r="O106" s="201">
        <v>4118764.07</v>
      </c>
      <c r="P106" s="202">
        <f t="shared" si="65"/>
        <v>7.1755471602787449E-4</v>
      </c>
      <c r="Q106" s="201">
        <v>4118764.07</v>
      </c>
      <c r="R106" s="202">
        <f t="shared" si="65"/>
        <v>7.1755471602787449E-4</v>
      </c>
      <c r="S106" s="201">
        <v>4118764.07</v>
      </c>
      <c r="T106" s="202">
        <f t="shared" ref="T106" si="100">+S106/$N106</f>
        <v>7.1755471602787449E-4</v>
      </c>
      <c r="V106" s="13"/>
      <c r="W106" s="293"/>
    </row>
    <row r="107" spans="1:23" ht="24.95" customHeight="1" thickBot="1">
      <c r="A107" s="32" t="s">
        <v>433</v>
      </c>
      <c r="B107" s="217" t="s">
        <v>434</v>
      </c>
      <c r="C107" s="218" t="s">
        <v>23</v>
      </c>
      <c r="D107" s="219" t="s">
        <v>148</v>
      </c>
      <c r="E107" s="219" t="s">
        <v>136</v>
      </c>
      <c r="F107" s="219" t="s">
        <v>25</v>
      </c>
      <c r="G107" s="219"/>
      <c r="H107" s="219"/>
      <c r="I107" s="219"/>
      <c r="J107" s="219"/>
      <c r="K107" s="220" t="s">
        <v>144</v>
      </c>
      <c r="L107" s="221" t="s">
        <v>156</v>
      </c>
      <c r="M107" s="259" t="s">
        <v>157</v>
      </c>
      <c r="N107" s="222">
        <v>5740000000</v>
      </c>
      <c r="O107" s="222">
        <v>4118764.07</v>
      </c>
      <c r="P107" s="224">
        <f t="shared" si="65"/>
        <v>7.1755471602787449E-4</v>
      </c>
      <c r="Q107" s="222">
        <v>4118764.07</v>
      </c>
      <c r="R107" s="224">
        <f t="shared" si="65"/>
        <v>7.1755471602787449E-4</v>
      </c>
      <c r="S107" s="222">
        <v>4118764.07</v>
      </c>
      <c r="T107" s="224">
        <f t="shared" ref="T107" si="101">+S107/$N107</f>
        <v>7.1755471602787449E-4</v>
      </c>
      <c r="V107" s="13"/>
      <c r="W107" s="293"/>
    </row>
    <row r="108" spans="1:23" ht="35.1" customHeight="1" thickBot="1">
      <c r="A108" s="32" t="s">
        <v>435</v>
      </c>
      <c r="B108" s="260" t="s">
        <v>278</v>
      </c>
      <c r="C108" s="261" t="s">
        <v>167</v>
      </c>
      <c r="D108" s="262"/>
      <c r="E108" s="262"/>
      <c r="F108" s="262"/>
      <c r="G108" s="262"/>
      <c r="H108" s="262"/>
      <c r="I108" s="262"/>
      <c r="J108" s="262"/>
      <c r="K108" s="263"/>
      <c r="L108" s="264"/>
      <c r="M108" s="260" t="s">
        <v>168</v>
      </c>
      <c r="N108" s="265">
        <v>2905582139470</v>
      </c>
      <c r="O108" s="265">
        <v>2561042894663.7896</v>
      </c>
      <c r="P108" s="187">
        <f t="shared" si="65"/>
        <v>0.8814216125140909</v>
      </c>
      <c r="Q108" s="265">
        <v>1073546948569.2999</v>
      </c>
      <c r="R108" s="187">
        <f t="shared" si="65"/>
        <v>0.36947740488421471</v>
      </c>
      <c r="S108" s="265">
        <v>1073146637855.7999</v>
      </c>
      <c r="T108" s="187">
        <f t="shared" ref="T108" si="102">+S108/$N108</f>
        <v>0.3693396319030065</v>
      </c>
      <c r="V108" s="13"/>
      <c r="W108" s="293"/>
    </row>
    <row r="109" spans="1:23" ht="35.1" customHeight="1">
      <c r="A109" s="32" t="s">
        <v>436</v>
      </c>
      <c r="B109" s="188" t="s">
        <v>437</v>
      </c>
      <c r="C109" s="189" t="s">
        <v>167</v>
      </c>
      <c r="D109" s="191">
        <v>4101</v>
      </c>
      <c r="E109" s="191"/>
      <c r="F109" s="191"/>
      <c r="G109" s="191"/>
      <c r="H109" s="191"/>
      <c r="I109" s="191"/>
      <c r="J109" s="191"/>
      <c r="K109" s="192"/>
      <c r="L109" s="193"/>
      <c r="M109" s="188" t="s">
        <v>169</v>
      </c>
      <c r="N109" s="194">
        <v>184499832863</v>
      </c>
      <c r="O109" s="194">
        <v>168483748116</v>
      </c>
      <c r="P109" s="195">
        <f t="shared" si="65"/>
        <v>0.91319187395203383</v>
      </c>
      <c r="Q109" s="194">
        <v>8499138224</v>
      </c>
      <c r="R109" s="195">
        <f t="shared" si="65"/>
        <v>4.6065831562628126E-2</v>
      </c>
      <c r="S109" s="194">
        <v>8499138224</v>
      </c>
      <c r="T109" s="195">
        <f t="shared" ref="T109" si="103">+S109/$N109</f>
        <v>4.6065831562628126E-2</v>
      </c>
      <c r="V109" s="13"/>
      <c r="W109" s="293"/>
    </row>
    <row r="110" spans="1:23" ht="24.95" customHeight="1">
      <c r="A110" s="32" t="s">
        <v>438</v>
      </c>
      <c r="B110" s="196" t="s">
        <v>295</v>
      </c>
      <c r="C110" s="197" t="s">
        <v>167</v>
      </c>
      <c r="D110" s="198">
        <v>4101</v>
      </c>
      <c r="E110" s="198">
        <v>1500</v>
      </c>
      <c r="F110" s="198"/>
      <c r="G110" s="198"/>
      <c r="H110" s="198"/>
      <c r="I110" s="198"/>
      <c r="J110" s="198"/>
      <c r="K110" s="199"/>
      <c r="L110" s="200"/>
      <c r="M110" s="196" t="s">
        <v>170</v>
      </c>
      <c r="N110" s="201">
        <v>184499832863</v>
      </c>
      <c r="O110" s="201">
        <v>168483748116</v>
      </c>
      <c r="P110" s="202">
        <f t="shared" si="65"/>
        <v>0.91319187395203383</v>
      </c>
      <c r="Q110" s="201">
        <v>8499138224</v>
      </c>
      <c r="R110" s="202">
        <f t="shared" si="65"/>
        <v>4.6065831562628126E-2</v>
      </c>
      <c r="S110" s="201">
        <v>8499138224</v>
      </c>
      <c r="T110" s="202">
        <f t="shared" ref="T110" si="104">+S110/$N110</f>
        <v>4.6065831562628126E-2</v>
      </c>
      <c r="V110" s="13"/>
      <c r="W110" s="293"/>
    </row>
    <row r="111" spans="1:23" ht="49.5">
      <c r="A111" s="32" t="s">
        <v>439</v>
      </c>
      <c r="B111" s="203" t="s">
        <v>440</v>
      </c>
      <c r="C111" s="227" t="s">
        <v>167</v>
      </c>
      <c r="D111" s="228" t="s">
        <v>171</v>
      </c>
      <c r="E111" s="228" t="s">
        <v>172</v>
      </c>
      <c r="F111" s="228" t="s">
        <v>261</v>
      </c>
      <c r="G111" s="228"/>
      <c r="H111" s="228"/>
      <c r="I111" s="228"/>
      <c r="J111" s="228"/>
      <c r="K111" s="229"/>
      <c r="L111" s="230"/>
      <c r="M111" s="231" t="s">
        <v>279</v>
      </c>
      <c r="N111" s="232">
        <v>66398074900</v>
      </c>
      <c r="O111" s="232">
        <v>61254503910</v>
      </c>
      <c r="P111" s="233">
        <f t="shared" si="65"/>
        <v>0.92253433555496045</v>
      </c>
      <c r="Q111" s="232">
        <v>63418841</v>
      </c>
      <c r="R111" s="233">
        <f t="shared" si="65"/>
        <v>9.5513071870702683E-4</v>
      </c>
      <c r="S111" s="232">
        <v>63418841</v>
      </c>
      <c r="T111" s="233">
        <f t="shared" ref="T111" si="105">+S111/$N111</f>
        <v>9.5513071870702683E-4</v>
      </c>
      <c r="V111" s="13"/>
      <c r="W111" s="293"/>
    </row>
    <row r="112" spans="1:23" ht="24.95" customHeight="1">
      <c r="A112" s="32" t="s">
        <v>630</v>
      </c>
      <c r="B112" s="210" t="s">
        <v>441</v>
      </c>
      <c r="C112" s="211" t="s">
        <v>167</v>
      </c>
      <c r="D112" s="212" t="s">
        <v>171</v>
      </c>
      <c r="E112" s="212" t="s">
        <v>172</v>
      </c>
      <c r="F112" s="212" t="s">
        <v>261</v>
      </c>
      <c r="G112" s="212" t="s">
        <v>175</v>
      </c>
      <c r="H112" s="212" t="s">
        <v>176</v>
      </c>
      <c r="I112" s="212"/>
      <c r="J112" s="212"/>
      <c r="K112" s="213">
        <v>11</v>
      </c>
      <c r="L112" s="214" t="s">
        <v>29</v>
      </c>
      <c r="M112" s="210" t="s">
        <v>177</v>
      </c>
      <c r="N112" s="215">
        <v>37511369742</v>
      </c>
      <c r="O112" s="215">
        <v>34622400000</v>
      </c>
      <c r="P112" s="216">
        <f t="shared" si="65"/>
        <v>0.92298415755356078</v>
      </c>
      <c r="Q112" s="215">
        <v>0</v>
      </c>
      <c r="R112" s="216">
        <f t="shared" si="65"/>
        <v>0</v>
      </c>
      <c r="S112" s="215">
        <v>0</v>
      </c>
      <c r="T112" s="216">
        <f t="shared" ref="T112" si="106">+S112/$N112</f>
        <v>0</v>
      </c>
      <c r="V112" s="13"/>
      <c r="W112" s="293"/>
    </row>
    <row r="113" spans="1:23" ht="24.95" customHeight="1">
      <c r="A113" s="32" t="s">
        <v>631</v>
      </c>
      <c r="B113" s="217" t="s">
        <v>442</v>
      </c>
      <c r="C113" s="218" t="s">
        <v>167</v>
      </c>
      <c r="D113" s="219" t="s">
        <v>171</v>
      </c>
      <c r="E113" s="219" t="s">
        <v>172</v>
      </c>
      <c r="F113" s="219" t="s">
        <v>261</v>
      </c>
      <c r="G113" s="219" t="s">
        <v>175</v>
      </c>
      <c r="H113" s="219" t="s">
        <v>176</v>
      </c>
      <c r="I113" s="219" t="s">
        <v>54</v>
      </c>
      <c r="J113" s="219"/>
      <c r="K113" s="220">
        <v>11</v>
      </c>
      <c r="L113" s="221" t="s">
        <v>29</v>
      </c>
      <c r="M113" s="217" t="s">
        <v>178</v>
      </c>
      <c r="N113" s="222">
        <v>37511369742</v>
      </c>
      <c r="O113" s="222">
        <v>34622400000</v>
      </c>
      <c r="P113" s="224">
        <f t="shared" si="65"/>
        <v>0.92298415755356078</v>
      </c>
      <c r="Q113" s="222">
        <v>0</v>
      </c>
      <c r="R113" s="224">
        <f t="shared" si="65"/>
        <v>0</v>
      </c>
      <c r="S113" s="222">
        <v>0</v>
      </c>
      <c r="T113" s="224">
        <f t="shared" ref="T113" si="107">+S113/$N113</f>
        <v>0</v>
      </c>
      <c r="V113" s="13"/>
      <c r="W113" s="293"/>
    </row>
    <row r="114" spans="1:23" ht="49.5">
      <c r="A114" s="32" t="s">
        <v>632</v>
      </c>
      <c r="B114" s="210" t="s">
        <v>443</v>
      </c>
      <c r="C114" s="211" t="s">
        <v>167</v>
      </c>
      <c r="D114" s="212" t="s">
        <v>171</v>
      </c>
      <c r="E114" s="212" t="s">
        <v>172</v>
      </c>
      <c r="F114" s="212" t="s">
        <v>261</v>
      </c>
      <c r="G114" s="212" t="s">
        <v>175</v>
      </c>
      <c r="H114" s="212" t="s">
        <v>179</v>
      </c>
      <c r="I114" s="212"/>
      <c r="J114" s="212"/>
      <c r="K114" s="213">
        <v>11</v>
      </c>
      <c r="L114" s="214" t="s">
        <v>29</v>
      </c>
      <c r="M114" s="210" t="s">
        <v>180</v>
      </c>
      <c r="N114" s="215">
        <v>8799663116</v>
      </c>
      <c r="O114" s="215">
        <v>8799663116</v>
      </c>
      <c r="P114" s="216">
        <f t="shared" si="65"/>
        <v>1</v>
      </c>
      <c r="Q114" s="215">
        <v>0</v>
      </c>
      <c r="R114" s="216">
        <f t="shared" si="65"/>
        <v>0</v>
      </c>
      <c r="S114" s="215">
        <v>0</v>
      </c>
      <c r="T114" s="216">
        <f t="shared" ref="T114" si="108">+S114/$N114</f>
        <v>0</v>
      </c>
      <c r="V114" s="13"/>
      <c r="W114" s="293"/>
    </row>
    <row r="115" spans="1:23" ht="24.95" customHeight="1">
      <c r="A115" s="32" t="s">
        <v>633</v>
      </c>
      <c r="B115" s="217" t="s">
        <v>444</v>
      </c>
      <c r="C115" s="218" t="s">
        <v>167</v>
      </c>
      <c r="D115" s="219" t="s">
        <v>171</v>
      </c>
      <c r="E115" s="219" t="s">
        <v>172</v>
      </c>
      <c r="F115" s="219">
        <v>5</v>
      </c>
      <c r="G115" s="219" t="s">
        <v>175</v>
      </c>
      <c r="H115" s="219" t="s">
        <v>179</v>
      </c>
      <c r="I115" s="219" t="s">
        <v>54</v>
      </c>
      <c r="J115" s="219"/>
      <c r="K115" s="220">
        <v>11</v>
      </c>
      <c r="L115" s="221" t="s">
        <v>29</v>
      </c>
      <c r="M115" s="259" t="s">
        <v>178</v>
      </c>
      <c r="N115" s="222">
        <v>8799663116</v>
      </c>
      <c r="O115" s="222">
        <v>8799663116</v>
      </c>
      <c r="P115" s="224">
        <f t="shared" si="65"/>
        <v>1</v>
      </c>
      <c r="Q115" s="222">
        <v>0</v>
      </c>
      <c r="R115" s="224">
        <f t="shared" si="65"/>
        <v>0</v>
      </c>
      <c r="S115" s="222">
        <v>0</v>
      </c>
      <c r="T115" s="224">
        <f t="shared" ref="T115" si="109">+S115/$N115</f>
        <v>0</v>
      </c>
      <c r="V115" s="13"/>
      <c r="W115" s="293"/>
    </row>
    <row r="116" spans="1:23" ht="49.5">
      <c r="A116" s="32" t="s">
        <v>634</v>
      </c>
      <c r="B116" s="210" t="s">
        <v>445</v>
      </c>
      <c r="C116" s="211" t="s">
        <v>167</v>
      </c>
      <c r="D116" s="212" t="s">
        <v>171</v>
      </c>
      <c r="E116" s="212" t="s">
        <v>172</v>
      </c>
      <c r="F116" s="212" t="s">
        <v>261</v>
      </c>
      <c r="G116" s="212" t="s">
        <v>175</v>
      </c>
      <c r="H116" s="212" t="s">
        <v>181</v>
      </c>
      <c r="I116" s="212"/>
      <c r="J116" s="212"/>
      <c r="K116" s="213">
        <v>11</v>
      </c>
      <c r="L116" s="214" t="s">
        <v>29</v>
      </c>
      <c r="M116" s="210" t="s">
        <v>182</v>
      </c>
      <c r="N116" s="215">
        <v>4325174580</v>
      </c>
      <c r="O116" s="215">
        <v>3015271633</v>
      </c>
      <c r="P116" s="216">
        <f t="shared" si="65"/>
        <v>0.69714449144848156</v>
      </c>
      <c r="Q116" s="215">
        <v>63418841</v>
      </c>
      <c r="R116" s="216">
        <f t="shared" si="65"/>
        <v>1.4662723972635574E-2</v>
      </c>
      <c r="S116" s="215">
        <v>63418841</v>
      </c>
      <c r="T116" s="216">
        <f t="shared" ref="T116" si="110">+S116/$N116</f>
        <v>1.4662723972635574E-2</v>
      </c>
      <c r="V116" s="13"/>
      <c r="W116" s="293"/>
    </row>
    <row r="117" spans="1:23" ht="24.95" customHeight="1">
      <c r="A117" s="32" t="s">
        <v>635</v>
      </c>
      <c r="B117" s="217" t="s">
        <v>446</v>
      </c>
      <c r="C117" s="218" t="s">
        <v>167</v>
      </c>
      <c r="D117" s="219" t="s">
        <v>171</v>
      </c>
      <c r="E117" s="219" t="s">
        <v>172</v>
      </c>
      <c r="F117" s="219" t="s">
        <v>261</v>
      </c>
      <c r="G117" s="219" t="s">
        <v>175</v>
      </c>
      <c r="H117" s="219" t="s">
        <v>181</v>
      </c>
      <c r="I117" s="225" t="s">
        <v>54</v>
      </c>
      <c r="J117" s="219"/>
      <c r="K117" s="220">
        <v>11</v>
      </c>
      <c r="L117" s="221" t="s">
        <v>29</v>
      </c>
      <c r="M117" s="217" t="s">
        <v>178</v>
      </c>
      <c r="N117" s="222">
        <v>4325174580</v>
      </c>
      <c r="O117" s="222">
        <v>3015271633</v>
      </c>
      <c r="P117" s="224">
        <f t="shared" si="65"/>
        <v>0.69714449144848156</v>
      </c>
      <c r="Q117" s="222">
        <v>63418841</v>
      </c>
      <c r="R117" s="224">
        <f t="shared" si="65"/>
        <v>1.4662723972635574E-2</v>
      </c>
      <c r="S117" s="222">
        <v>63418841</v>
      </c>
      <c r="T117" s="224">
        <f t="shared" ref="T117" si="111">+S117/$N117</f>
        <v>1.4662723972635574E-2</v>
      </c>
      <c r="V117" s="13"/>
      <c r="W117" s="293"/>
    </row>
    <row r="118" spans="1:23" ht="49.5">
      <c r="A118" s="32" t="s">
        <v>636</v>
      </c>
      <c r="B118" s="210" t="s">
        <v>447</v>
      </c>
      <c r="C118" s="211" t="s">
        <v>167</v>
      </c>
      <c r="D118" s="212" t="s">
        <v>171</v>
      </c>
      <c r="E118" s="212" t="s">
        <v>172</v>
      </c>
      <c r="F118" s="212" t="s">
        <v>261</v>
      </c>
      <c r="G118" s="212" t="s">
        <v>175</v>
      </c>
      <c r="H118" s="212" t="s">
        <v>183</v>
      </c>
      <c r="I118" s="212"/>
      <c r="J118" s="212"/>
      <c r="K118" s="213">
        <v>11</v>
      </c>
      <c r="L118" s="214" t="s">
        <v>29</v>
      </c>
      <c r="M118" s="210" t="s">
        <v>184</v>
      </c>
      <c r="N118" s="215">
        <v>7972098301</v>
      </c>
      <c r="O118" s="215">
        <v>7027400000</v>
      </c>
      <c r="P118" s="216">
        <f t="shared" si="65"/>
        <v>0.8814994164232145</v>
      </c>
      <c r="Q118" s="215">
        <v>0</v>
      </c>
      <c r="R118" s="216">
        <f t="shared" si="65"/>
        <v>0</v>
      </c>
      <c r="S118" s="215">
        <v>0</v>
      </c>
      <c r="T118" s="216">
        <f t="shared" ref="T118" si="112">+S118/$N118</f>
        <v>0</v>
      </c>
      <c r="V118" s="13"/>
      <c r="W118" s="293"/>
    </row>
    <row r="119" spans="1:23" ht="24.95" customHeight="1">
      <c r="A119" s="32" t="s">
        <v>637</v>
      </c>
      <c r="B119" s="217" t="s">
        <v>448</v>
      </c>
      <c r="C119" s="218" t="s">
        <v>167</v>
      </c>
      <c r="D119" s="219" t="s">
        <v>171</v>
      </c>
      <c r="E119" s="219" t="s">
        <v>172</v>
      </c>
      <c r="F119" s="219" t="s">
        <v>261</v>
      </c>
      <c r="G119" s="219" t="s">
        <v>175</v>
      </c>
      <c r="H119" s="219" t="s">
        <v>183</v>
      </c>
      <c r="I119" s="219" t="s">
        <v>54</v>
      </c>
      <c r="J119" s="219"/>
      <c r="K119" s="220">
        <v>11</v>
      </c>
      <c r="L119" s="221" t="s">
        <v>29</v>
      </c>
      <c r="M119" s="217" t="s">
        <v>178</v>
      </c>
      <c r="N119" s="223">
        <v>7972098301</v>
      </c>
      <c r="O119" s="222">
        <v>7027400000</v>
      </c>
      <c r="P119" s="224">
        <f t="shared" si="65"/>
        <v>0.8814994164232145</v>
      </c>
      <c r="Q119" s="222">
        <v>0</v>
      </c>
      <c r="R119" s="224">
        <f t="shared" si="65"/>
        <v>0</v>
      </c>
      <c r="S119" s="222">
        <v>0</v>
      </c>
      <c r="T119" s="224">
        <f t="shared" ref="T119" si="113">+S119/$N119</f>
        <v>0</v>
      </c>
      <c r="V119" s="13"/>
      <c r="W119" s="293"/>
    </row>
    <row r="120" spans="1:23" ht="24.95" customHeight="1">
      <c r="A120" s="32" t="s">
        <v>638</v>
      </c>
      <c r="B120" s="210" t="s">
        <v>449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185</v>
      </c>
      <c r="I120" s="212"/>
      <c r="J120" s="212"/>
      <c r="K120" s="213">
        <v>11</v>
      </c>
      <c r="L120" s="214" t="s">
        <v>29</v>
      </c>
      <c r="M120" s="210" t="s">
        <v>186</v>
      </c>
      <c r="N120" s="215">
        <v>5196200000</v>
      </c>
      <c r="O120" s="215">
        <v>5196200000</v>
      </c>
      <c r="P120" s="216">
        <f t="shared" si="65"/>
        <v>1</v>
      </c>
      <c r="Q120" s="215">
        <v>0</v>
      </c>
      <c r="R120" s="216">
        <f t="shared" si="65"/>
        <v>0</v>
      </c>
      <c r="S120" s="215">
        <v>0</v>
      </c>
      <c r="T120" s="216">
        <f t="shared" ref="T120" si="114">+S120/$N120</f>
        <v>0</v>
      </c>
      <c r="V120" s="13"/>
      <c r="W120" s="293"/>
    </row>
    <row r="121" spans="1:23" ht="24.95" customHeight="1">
      <c r="A121" s="32" t="s">
        <v>639</v>
      </c>
      <c r="B121" s="217" t="s">
        <v>450</v>
      </c>
      <c r="C121" s="218" t="s">
        <v>167</v>
      </c>
      <c r="D121" s="219" t="s">
        <v>171</v>
      </c>
      <c r="E121" s="219" t="s">
        <v>172</v>
      </c>
      <c r="F121" s="219">
        <v>5</v>
      </c>
      <c r="G121" s="219" t="s">
        <v>175</v>
      </c>
      <c r="H121" s="219" t="s">
        <v>185</v>
      </c>
      <c r="I121" s="219" t="s">
        <v>54</v>
      </c>
      <c r="J121" s="219"/>
      <c r="K121" s="220">
        <v>11</v>
      </c>
      <c r="L121" s="221" t="s">
        <v>29</v>
      </c>
      <c r="M121" s="259" t="s">
        <v>178</v>
      </c>
      <c r="N121" s="222">
        <v>5196200000</v>
      </c>
      <c r="O121" s="222">
        <v>5196200000</v>
      </c>
      <c r="P121" s="224">
        <f t="shared" si="65"/>
        <v>1</v>
      </c>
      <c r="Q121" s="222">
        <v>0</v>
      </c>
      <c r="R121" s="224">
        <f t="shared" si="65"/>
        <v>0</v>
      </c>
      <c r="S121" s="222">
        <v>0</v>
      </c>
      <c r="T121" s="224">
        <f t="shared" ref="T121" si="115">+S121/$N121</f>
        <v>0</v>
      </c>
      <c r="V121" s="13"/>
      <c r="W121" s="293"/>
    </row>
    <row r="122" spans="1:23" ht="49.5">
      <c r="A122" s="32" t="s">
        <v>640</v>
      </c>
      <c r="B122" s="210" t="s">
        <v>451</v>
      </c>
      <c r="C122" s="211" t="s">
        <v>167</v>
      </c>
      <c r="D122" s="212" t="s">
        <v>171</v>
      </c>
      <c r="E122" s="212" t="s">
        <v>172</v>
      </c>
      <c r="F122" s="212" t="s">
        <v>261</v>
      </c>
      <c r="G122" s="212" t="s">
        <v>175</v>
      </c>
      <c r="H122" s="212" t="s">
        <v>187</v>
      </c>
      <c r="I122" s="212"/>
      <c r="J122" s="212"/>
      <c r="K122" s="213">
        <v>11</v>
      </c>
      <c r="L122" s="214" t="s">
        <v>29</v>
      </c>
      <c r="M122" s="210" t="s">
        <v>188</v>
      </c>
      <c r="N122" s="215">
        <v>2593569161</v>
      </c>
      <c r="O122" s="215">
        <v>2593569161</v>
      </c>
      <c r="P122" s="216">
        <f t="shared" si="65"/>
        <v>1</v>
      </c>
      <c r="Q122" s="215">
        <v>0</v>
      </c>
      <c r="R122" s="216">
        <f t="shared" si="65"/>
        <v>0</v>
      </c>
      <c r="S122" s="215">
        <v>0</v>
      </c>
      <c r="T122" s="216">
        <f t="shared" ref="T122" si="116">+S122/$N122</f>
        <v>0</v>
      </c>
      <c r="V122" s="13"/>
      <c r="W122" s="293"/>
    </row>
    <row r="123" spans="1:23" ht="24.95" customHeight="1">
      <c r="A123" s="32" t="s">
        <v>641</v>
      </c>
      <c r="B123" s="217" t="s">
        <v>452</v>
      </c>
      <c r="C123" s="218" t="s">
        <v>167</v>
      </c>
      <c r="D123" s="219" t="s">
        <v>171</v>
      </c>
      <c r="E123" s="219" t="s">
        <v>172</v>
      </c>
      <c r="F123" s="219" t="s">
        <v>261</v>
      </c>
      <c r="G123" s="219" t="s">
        <v>175</v>
      </c>
      <c r="H123" s="219" t="s">
        <v>187</v>
      </c>
      <c r="I123" s="219" t="s">
        <v>54</v>
      </c>
      <c r="J123" s="219"/>
      <c r="K123" s="220">
        <v>11</v>
      </c>
      <c r="L123" s="221" t="s">
        <v>29</v>
      </c>
      <c r="M123" s="217" t="s">
        <v>178</v>
      </c>
      <c r="N123" s="222">
        <v>2593569161</v>
      </c>
      <c r="O123" s="222">
        <v>2593569161</v>
      </c>
      <c r="P123" s="224">
        <f t="shared" si="65"/>
        <v>1</v>
      </c>
      <c r="Q123" s="222">
        <v>0</v>
      </c>
      <c r="R123" s="224">
        <f t="shared" si="65"/>
        <v>0</v>
      </c>
      <c r="S123" s="222">
        <v>0</v>
      </c>
      <c r="T123" s="224">
        <f t="shared" ref="T123" si="117">+S123/$N123</f>
        <v>0</v>
      </c>
      <c r="V123" s="13"/>
      <c r="W123" s="293"/>
    </row>
    <row r="124" spans="1:23" ht="66">
      <c r="A124" s="32" t="s">
        <v>453</v>
      </c>
      <c r="B124" s="226" t="s">
        <v>454</v>
      </c>
      <c r="C124" s="227" t="s">
        <v>167</v>
      </c>
      <c r="D124" s="228" t="s">
        <v>171</v>
      </c>
      <c r="E124" s="228" t="s">
        <v>172</v>
      </c>
      <c r="F124" s="228" t="s">
        <v>173</v>
      </c>
      <c r="G124" s="228"/>
      <c r="H124" s="228"/>
      <c r="I124" s="228"/>
      <c r="J124" s="228"/>
      <c r="K124" s="229"/>
      <c r="L124" s="230"/>
      <c r="M124" s="231" t="s">
        <v>174</v>
      </c>
      <c r="N124" s="232">
        <v>118101757963</v>
      </c>
      <c r="O124" s="232">
        <v>107229244206</v>
      </c>
      <c r="P124" s="233">
        <f t="shared" si="65"/>
        <v>0.907939441846359</v>
      </c>
      <c r="Q124" s="232">
        <v>8435719383</v>
      </c>
      <c r="R124" s="233">
        <f t="shared" si="65"/>
        <v>7.1427551363315175E-2</v>
      </c>
      <c r="S124" s="232">
        <v>8435719383</v>
      </c>
      <c r="T124" s="233">
        <f t="shared" ref="T124" si="118">+S124/$N124</f>
        <v>7.1427551363315175E-2</v>
      </c>
      <c r="V124" s="13"/>
      <c r="W124" s="293"/>
    </row>
    <row r="125" spans="1:23" ht="24.95" customHeight="1">
      <c r="A125" s="32" t="s">
        <v>455</v>
      </c>
      <c r="B125" s="210" t="s">
        <v>456</v>
      </c>
      <c r="C125" s="211" t="s">
        <v>167</v>
      </c>
      <c r="D125" s="212" t="s">
        <v>171</v>
      </c>
      <c r="E125" s="212" t="s">
        <v>172</v>
      </c>
      <c r="F125" s="212" t="s">
        <v>173</v>
      </c>
      <c r="G125" s="212" t="s">
        <v>175</v>
      </c>
      <c r="H125" s="212" t="s">
        <v>176</v>
      </c>
      <c r="I125" s="212"/>
      <c r="J125" s="212"/>
      <c r="K125" s="213" t="s">
        <v>144</v>
      </c>
      <c r="L125" s="214" t="s">
        <v>29</v>
      </c>
      <c r="M125" s="210" t="s">
        <v>177</v>
      </c>
      <c r="N125" s="215">
        <v>4947405600</v>
      </c>
      <c r="O125" s="215">
        <v>1947405600</v>
      </c>
      <c r="P125" s="216">
        <f t="shared" si="65"/>
        <v>0.39362157814592763</v>
      </c>
      <c r="Q125" s="215">
        <v>623536251</v>
      </c>
      <c r="R125" s="216">
        <f t="shared" si="65"/>
        <v>0.12603297595006158</v>
      </c>
      <c r="S125" s="215">
        <v>623536251</v>
      </c>
      <c r="T125" s="216">
        <f t="shared" ref="T125" si="119">+S125/$N125</f>
        <v>0.12603297595006158</v>
      </c>
      <c r="V125" s="13"/>
      <c r="W125" s="293"/>
    </row>
    <row r="126" spans="1:23" ht="24.95" customHeight="1">
      <c r="A126" s="32" t="s">
        <v>457</v>
      </c>
      <c r="B126" s="217" t="s">
        <v>458</v>
      </c>
      <c r="C126" s="218" t="s">
        <v>167</v>
      </c>
      <c r="D126" s="219" t="s">
        <v>171</v>
      </c>
      <c r="E126" s="219" t="s">
        <v>172</v>
      </c>
      <c r="F126" s="219" t="s">
        <v>173</v>
      </c>
      <c r="G126" s="219" t="s">
        <v>175</v>
      </c>
      <c r="H126" s="219" t="s">
        <v>176</v>
      </c>
      <c r="I126" s="219" t="s">
        <v>54</v>
      </c>
      <c r="J126" s="219"/>
      <c r="K126" s="220" t="s">
        <v>144</v>
      </c>
      <c r="L126" s="221" t="s">
        <v>29</v>
      </c>
      <c r="M126" s="259" t="s">
        <v>178</v>
      </c>
      <c r="N126" s="222">
        <v>4947405600</v>
      </c>
      <c r="O126" s="222">
        <v>1947405600</v>
      </c>
      <c r="P126" s="224">
        <f t="shared" si="65"/>
        <v>0.39362157814592763</v>
      </c>
      <c r="Q126" s="222">
        <v>623536251</v>
      </c>
      <c r="R126" s="224">
        <f t="shared" si="65"/>
        <v>0.12603297595006158</v>
      </c>
      <c r="S126" s="222">
        <v>623536251</v>
      </c>
      <c r="T126" s="224">
        <f t="shared" ref="T126" si="120">+S126/$N126</f>
        <v>0.12603297595006158</v>
      </c>
      <c r="V126" s="13"/>
      <c r="W126" s="293"/>
    </row>
    <row r="127" spans="1:23" ht="49.5">
      <c r="A127" s="32" t="s">
        <v>459</v>
      </c>
      <c r="B127" s="210" t="s">
        <v>460</v>
      </c>
      <c r="C127" s="211" t="s">
        <v>167</v>
      </c>
      <c r="D127" s="212" t="s">
        <v>171</v>
      </c>
      <c r="E127" s="212" t="s">
        <v>172</v>
      </c>
      <c r="F127" s="212" t="s">
        <v>173</v>
      </c>
      <c r="G127" s="212" t="s">
        <v>175</v>
      </c>
      <c r="H127" s="212" t="s">
        <v>179</v>
      </c>
      <c r="I127" s="212"/>
      <c r="J127" s="212"/>
      <c r="K127" s="213" t="s">
        <v>144</v>
      </c>
      <c r="L127" s="214" t="s">
        <v>29</v>
      </c>
      <c r="M127" s="210" t="s">
        <v>180</v>
      </c>
      <c r="N127" s="215">
        <v>27420887861</v>
      </c>
      <c r="O127" s="215">
        <v>27306887861</v>
      </c>
      <c r="P127" s="216">
        <f t="shared" si="65"/>
        <v>0.99584258538316195</v>
      </c>
      <c r="Q127" s="215">
        <v>7696085751</v>
      </c>
      <c r="R127" s="216">
        <f t="shared" si="65"/>
        <v>0.28066508240041121</v>
      </c>
      <c r="S127" s="215">
        <v>7696085751</v>
      </c>
      <c r="T127" s="216">
        <f t="shared" ref="T127" si="121">+S127/$N127</f>
        <v>0.28066508240041121</v>
      </c>
      <c r="V127" s="13"/>
      <c r="W127" s="293"/>
    </row>
    <row r="128" spans="1:23" ht="24.95" customHeight="1">
      <c r="A128" s="32" t="s">
        <v>461</v>
      </c>
      <c r="B128" s="217" t="s">
        <v>462</v>
      </c>
      <c r="C128" s="218" t="s">
        <v>167</v>
      </c>
      <c r="D128" s="219" t="s">
        <v>171</v>
      </c>
      <c r="E128" s="219" t="s">
        <v>172</v>
      </c>
      <c r="F128" s="219" t="s">
        <v>173</v>
      </c>
      <c r="G128" s="219" t="s">
        <v>175</v>
      </c>
      <c r="H128" s="219" t="s">
        <v>179</v>
      </c>
      <c r="I128" s="219" t="s">
        <v>54</v>
      </c>
      <c r="J128" s="219"/>
      <c r="K128" s="220" t="s">
        <v>144</v>
      </c>
      <c r="L128" s="221" t="s">
        <v>29</v>
      </c>
      <c r="M128" s="259" t="s">
        <v>178</v>
      </c>
      <c r="N128" s="222">
        <v>27420887861</v>
      </c>
      <c r="O128" s="222">
        <v>27306887861</v>
      </c>
      <c r="P128" s="224">
        <f t="shared" si="65"/>
        <v>0.99584258538316195</v>
      </c>
      <c r="Q128" s="222">
        <v>7696085751</v>
      </c>
      <c r="R128" s="224">
        <f t="shared" si="65"/>
        <v>0.28066508240041121</v>
      </c>
      <c r="S128" s="222">
        <v>7696085751</v>
      </c>
      <c r="T128" s="224">
        <f t="shared" ref="T128" si="122">+S128/$N128</f>
        <v>0.28066508240041121</v>
      </c>
      <c r="V128" s="13"/>
      <c r="W128" s="293"/>
    </row>
    <row r="129" spans="1:45" ht="49.5">
      <c r="A129" s="32" t="s">
        <v>463</v>
      </c>
      <c r="B129" s="210" t="s">
        <v>464</v>
      </c>
      <c r="C129" s="211" t="s">
        <v>167</v>
      </c>
      <c r="D129" s="212" t="s">
        <v>171</v>
      </c>
      <c r="E129" s="212" t="s">
        <v>172</v>
      </c>
      <c r="F129" s="212" t="s">
        <v>173</v>
      </c>
      <c r="G129" s="212" t="s">
        <v>175</v>
      </c>
      <c r="H129" s="212" t="s">
        <v>181</v>
      </c>
      <c r="I129" s="212"/>
      <c r="J129" s="212"/>
      <c r="K129" s="213" t="s">
        <v>144</v>
      </c>
      <c r="L129" s="214" t="s">
        <v>29</v>
      </c>
      <c r="M129" s="210" t="s">
        <v>182</v>
      </c>
      <c r="N129" s="215">
        <v>17722088000</v>
      </c>
      <c r="O129" s="215">
        <v>17722088000</v>
      </c>
      <c r="P129" s="216">
        <f t="shared" si="65"/>
        <v>1</v>
      </c>
      <c r="Q129" s="215">
        <v>0</v>
      </c>
      <c r="R129" s="216">
        <f t="shared" si="65"/>
        <v>0</v>
      </c>
      <c r="S129" s="215">
        <v>0</v>
      </c>
      <c r="T129" s="216">
        <f t="shared" ref="T129" si="123">+S129/$N129</f>
        <v>0</v>
      </c>
      <c r="V129" s="13"/>
      <c r="W129" s="293"/>
    </row>
    <row r="130" spans="1:45" ht="24.95" customHeight="1">
      <c r="A130" s="32" t="s">
        <v>465</v>
      </c>
      <c r="B130" s="217" t="s">
        <v>466</v>
      </c>
      <c r="C130" s="218" t="s">
        <v>167</v>
      </c>
      <c r="D130" s="219" t="s">
        <v>171</v>
      </c>
      <c r="E130" s="219" t="s">
        <v>172</v>
      </c>
      <c r="F130" s="219" t="s">
        <v>173</v>
      </c>
      <c r="G130" s="219" t="s">
        <v>175</v>
      </c>
      <c r="H130" s="219" t="s">
        <v>181</v>
      </c>
      <c r="I130" s="219" t="s">
        <v>54</v>
      </c>
      <c r="J130" s="219"/>
      <c r="K130" s="220" t="s">
        <v>144</v>
      </c>
      <c r="L130" s="221" t="s">
        <v>29</v>
      </c>
      <c r="M130" s="259" t="s">
        <v>178</v>
      </c>
      <c r="N130" s="222">
        <v>17722088000</v>
      </c>
      <c r="O130" s="222">
        <v>17722088000</v>
      </c>
      <c r="P130" s="224">
        <f t="shared" si="65"/>
        <v>1</v>
      </c>
      <c r="Q130" s="222">
        <v>0</v>
      </c>
      <c r="R130" s="224">
        <f t="shared" si="65"/>
        <v>0</v>
      </c>
      <c r="S130" s="222">
        <v>0</v>
      </c>
      <c r="T130" s="224">
        <f t="shared" ref="T130" si="124">+S130/$N130</f>
        <v>0</v>
      </c>
      <c r="V130" s="13"/>
      <c r="W130" s="293"/>
    </row>
    <row r="131" spans="1:45" ht="49.5">
      <c r="A131" s="32" t="s">
        <v>467</v>
      </c>
      <c r="B131" s="210" t="s">
        <v>468</v>
      </c>
      <c r="C131" s="211" t="s">
        <v>167</v>
      </c>
      <c r="D131" s="212" t="s">
        <v>171</v>
      </c>
      <c r="E131" s="212" t="s">
        <v>172</v>
      </c>
      <c r="F131" s="212" t="s">
        <v>173</v>
      </c>
      <c r="G131" s="212" t="s">
        <v>175</v>
      </c>
      <c r="H131" s="212" t="s">
        <v>183</v>
      </c>
      <c r="I131" s="212"/>
      <c r="J131" s="212"/>
      <c r="K131" s="213" t="s">
        <v>144</v>
      </c>
      <c r="L131" s="214" t="s">
        <v>29</v>
      </c>
      <c r="M131" s="210" t="s">
        <v>184</v>
      </c>
      <c r="N131" s="215">
        <v>16276997084</v>
      </c>
      <c r="O131" s="215">
        <v>15587071741</v>
      </c>
      <c r="P131" s="216">
        <f t="shared" si="65"/>
        <v>0.9576134750507399</v>
      </c>
      <c r="Q131" s="215">
        <v>116097381</v>
      </c>
      <c r="R131" s="216">
        <f t="shared" si="65"/>
        <v>7.1326043987635576E-3</v>
      </c>
      <c r="S131" s="215">
        <v>116097381</v>
      </c>
      <c r="T131" s="216">
        <f t="shared" ref="T131" si="125">+S131/$N131</f>
        <v>7.1326043987635576E-3</v>
      </c>
      <c r="V131" s="13"/>
      <c r="W131" s="293"/>
    </row>
    <row r="132" spans="1:45" ht="24.95" customHeight="1">
      <c r="A132" s="32" t="s">
        <v>469</v>
      </c>
      <c r="B132" s="217" t="s">
        <v>470</v>
      </c>
      <c r="C132" s="218" t="s">
        <v>167</v>
      </c>
      <c r="D132" s="219" t="s">
        <v>171</v>
      </c>
      <c r="E132" s="219" t="s">
        <v>172</v>
      </c>
      <c r="F132" s="219" t="s">
        <v>173</v>
      </c>
      <c r="G132" s="219" t="s">
        <v>175</v>
      </c>
      <c r="H132" s="219" t="s">
        <v>183</v>
      </c>
      <c r="I132" s="219" t="s">
        <v>54</v>
      </c>
      <c r="J132" s="219"/>
      <c r="K132" s="220" t="s">
        <v>144</v>
      </c>
      <c r="L132" s="221" t="s">
        <v>29</v>
      </c>
      <c r="M132" s="259" t="s">
        <v>178</v>
      </c>
      <c r="N132" s="222">
        <v>16276997084</v>
      </c>
      <c r="O132" s="222">
        <v>15587071741</v>
      </c>
      <c r="P132" s="224">
        <f t="shared" si="65"/>
        <v>0.9576134750507399</v>
      </c>
      <c r="Q132" s="222">
        <v>116097381</v>
      </c>
      <c r="R132" s="224">
        <f t="shared" si="65"/>
        <v>7.1326043987635576E-3</v>
      </c>
      <c r="S132" s="222">
        <v>116097381</v>
      </c>
      <c r="T132" s="224">
        <f t="shared" ref="T132" si="126">+S132/$N132</f>
        <v>7.1326043987635576E-3</v>
      </c>
      <c r="V132" s="13"/>
      <c r="W132" s="293"/>
    </row>
    <row r="133" spans="1:45" ht="24.95" customHeight="1">
      <c r="A133" s="32" t="s">
        <v>471</v>
      </c>
      <c r="B133" s="210" t="s">
        <v>472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185</v>
      </c>
      <c r="I133" s="212"/>
      <c r="J133" s="212"/>
      <c r="K133" s="213" t="s">
        <v>144</v>
      </c>
      <c r="L133" s="214" t="s">
        <v>29</v>
      </c>
      <c r="M133" s="210" t="s">
        <v>186</v>
      </c>
      <c r="N133" s="215">
        <v>30467075662</v>
      </c>
      <c r="O133" s="215">
        <v>23398487248</v>
      </c>
      <c r="P133" s="216">
        <f t="shared" si="65"/>
        <v>0.76799255391562626</v>
      </c>
      <c r="Q133" s="215">
        <v>0</v>
      </c>
      <c r="R133" s="216">
        <f t="shared" si="65"/>
        <v>0</v>
      </c>
      <c r="S133" s="215">
        <v>0</v>
      </c>
      <c r="T133" s="216">
        <f t="shared" ref="T133" si="127">+S133/$N133</f>
        <v>0</v>
      </c>
      <c r="V133" s="13"/>
      <c r="W133" s="293"/>
    </row>
    <row r="134" spans="1:45" ht="24.95" customHeight="1">
      <c r="A134" s="32" t="s">
        <v>473</v>
      </c>
      <c r="B134" s="217" t="s">
        <v>474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185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30467075662</v>
      </c>
      <c r="O134" s="222">
        <v>23398487248</v>
      </c>
      <c r="P134" s="224">
        <f t="shared" si="65"/>
        <v>0.76799255391562626</v>
      </c>
      <c r="Q134" s="222">
        <v>0</v>
      </c>
      <c r="R134" s="224">
        <f t="shared" si="65"/>
        <v>0</v>
      </c>
      <c r="S134" s="222">
        <v>0</v>
      </c>
      <c r="T134" s="224">
        <f t="shared" ref="T134" si="128">+S134/$N134</f>
        <v>0</v>
      </c>
      <c r="V134" s="13"/>
      <c r="W134" s="293"/>
    </row>
    <row r="135" spans="1:45" ht="49.5">
      <c r="A135" s="32" t="s">
        <v>475</v>
      </c>
      <c r="B135" s="210" t="s">
        <v>476</v>
      </c>
      <c r="C135" s="211" t="s">
        <v>167</v>
      </c>
      <c r="D135" s="212" t="s">
        <v>171</v>
      </c>
      <c r="E135" s="212" t="s">
        <v>172</v>
      </c>
      <c r="F135" s="212" t="s">
        <v>173</v>
      </c>
      <c r="G135" s="212" t="s">
        <v>175</v>
      </c>
      <c r="H135" s="212" t="s">
        <v>187</v>
      </c>
      <c r="I135" s="212"/>
      <c r="J135" s="212"/>
      <c r="K135" s="213" t="s">
        <v>144</v>
      </c>
      <c r="L135" s="214" t="s">
        <v>29</v>
      </c>
      <c r="M135" s="210" t="s">
        <v>188</v>
      </c>
      <c r="N135" s="215">
        <v>21267303756</v>
      </c>
      <c r="O135" s="215">
        <v>21267303756</v>
      </c>
      <c r="P135" s="216">
        <f t="shared" si="65"/>
        <v>1</v>
      </c>
      <c r="Q135" s="215">
        <v>0</v>
      </c>
      <c r="R135" s="216">
        <f t="shared" si="65"/>
        <v>0</v>
      </c>
      <c r="S135" s="215">
        <v>0</v>
      </c>
      <c r="T135" s="216">
        <f t="shared" ref="T135" si="129">+S135/$N135</f>
        <v>0</v>
      </c>
      <c r="V135" s="13"/>
      <c r="W135" s="293"/>
    </row>
    <row r="136" spans="1:45" ht="24.95" customHeight="1">
      <c r="A136" s="32" t="s">
        <v>477</v>
      </c>
      <c r="B136" s="217" t="s">
        <v>478</v>
      </c>
      <c r="C136" s="218" t="s">
        <v>167</v>
      </c>
      <c r="D136" s="219" t="s">
        <v>171</v>
      </c>
      <c r="E136" s="219" t="s">
        <v>172</v>
      </c>
      <c r="F136" s="219" t="s">
        <v>173</v>
      </c>
      <c r="G136" s="219" t="s">
        <v>175</v>
      </c>
      <c r="H136" s="219" t="s">
        <v>187</v>
      </c>
      <c r="I136" s="219" t="s">
        <v>54</v>
      </c>
      <c r="J136" s="219"/>
      <c r="K136" s="220" t="s">
        <v>144</v>
      </c>
      <c r="L136" s="221" t="s">
        <v>29</v>
      </c>
      <c r="M136" s="259" t="s">
        <v>178</v>
      </c>
      <c r="N136" s="222">
        <v>4435143756</v>
      </c>
      <c r="O136" s="222">
        <v>4435143756</v>
      </c>
      <c r="P136" s="224">
        <f t="shared" ref="P136:R196" si="130">+O136/$N136</f>
        <v>1</v>
      </c>
      <c r="Q136" s="222">
        <v>0</v>
      </c>
      <c r="R136" s="224">
        <f t="shared" si="130"/>
        <v>0</v>
      </c>
      <c r="S136" s="222">
        <v>0</v>
      </c>
      <c r="T136" s="224">
        <f t="shared" ref="T136" si="131">+S136/$N136</f>
        <v>0</v>
      </c>
      <c r="V136" s="13"/>
      <c r="W136" s="293"/>
    </row>
    <row r="137" spans="1:45" ht="24.95" customHeight="1">
      <c r="A137" s="32" t="s">
        <v>479</v>
      </c>
      <c r="B137" s="217" t="s">
        <v>480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187</v>
      </c>
      <c r="I137" s="225" t="s">
        <v>65</v>
      </c>
      <c r="J137" s="219"/>
      <c r="K137" s="220" t="s">
        <v>144</v>
      </c>
      <c r="L137" s="221" t="s">
        <v>29</v>
      </c>
      <c r="M137" s="259" t="s">
        <v>127</v>
      </c>
      <c r="N137" s="222">
        <v>16832160000</v>
      </c>
      <c r="O137" s="222">
        <v>16832160000</v>
      </c>
      <c r="P137" s="224">
        <f t="shared" si="130"/>
        <v>1</v>
      </c>
      <c r="Q137" s="222">
        <v>0</v>
      </c>
      <c r="R137" s="224">
        <f t="shared" si="130"/>
        <v>0</v>
      </c>
      <c r="S137" s="222">
        <v>0</v>
      </c>
      <c r="T137" s="224">
        <f t="shared" ref="T137" si="132">+S137/$N137</f>
        <v>0</v>
      </c>
      <c r="V137" s="13"/>
      <c r="W137" s="293"/>
    </row>
    <row r="138" spans="1:45" ht="35.1" customHeight="1">
      <c r="A138" s="32" t="s">
        <v>481</v>
      </c>
      <c r="B138" s="188" t="s">
        <v>482</v>
      </c>
      <c r="C138" s="189" t="s">
        <v>167</v>
      </c>
      <c r="D138" s="191">
        <v>4103</v>
      </c>
      <c r="E138" s="191"/>
      <c r="F138" s="191"/>
      <c r="G138" s="191"/>
      <c r="H138" s="191"/>
      <c r="I138" s="191"/>
      <c r="J138" s="191"/>
      <c r="K138" s="192"/>
      <c r="L138" s="193"/>
      <c r="M138" s="188" t="s">
        <v>189</v>
      </c>
      <c r="N138" s="194">
        <v>2717855758141</v>
      </c>
      <c r="O138" s="194">
        <v>2390757926538.3896</v>
      </c>
      <c r="P138" s="195">
        <f t="shared" si="130"/>
        <v>0.8796485683160965</v>
      </c>
      <c r="Q138" s="194">
        <v>1063626590336.2999</v>
      </c>
      <c r="R138" s="195">
        <f t="shared" si="130"/>
        <v>0.39134769648843148</v>
      </c>
      <c r="S138" s="194">
        <v>1063226279622.7999</v>
      </c>
      <c r="T138" s="195">
        <f t="shared" ref="T138" si="133">+S138/$N138</f>
        <v>0.39120040732038019</v>
      </c>
      <c r="V138" s="13"/>
      <c r="W138" s="293"/>
    </row>
    <row r="139" spans="1:45" ht="24.95" customHeight="1">
      <c r="A139" s="32" t="s">
        <v>483</v>
      </c>
      <c r="B139" s="196" t="s">
        <v>296</v>
      </c>
      <c r="C139" s="197" t="s">
        <v>167</v>
      </c>
      <c r="D139" s="198">
        <v>4103</v>
      </c>
      <c r="E139" s="198">
        <v>1500</v>
      </c>
      <c r="F139" s="198"/>
      <c r="G139" s="198"/>
      <c r="H139" s="198"/>
      <c r="I139" s="198"/>
      <c r="J139" s="198"/>
      <c r="K139" s="199"/>
      <c r="L139" s="200"/>
      <c r="M139" s="196" t="s">
        <v>170</v>
      </c>
      <c r="N139" s="201">
        <v>2717855758141</v>
      </c>
      <c r="O139" s="201">
        <v>2390757926538.3896</v>
      </c>
      <c r="P139" s="202">
        <f t="shared" si="130"/>
        <v>0.8796485683160965</v>
      </c>
      <c r="Q139" s="201">
        <v>1063626590336.2999</v>
      </c>
      <c r="R139" s="202">
        <f t="shared" si="130"/>
        <v>0.39134769648843148</v>
      </c>
      <c r="S139" s="201">
        <v>1063226279622.7999</v>
      </c>
      <c r="T139" s="202">
        <f t="shared" ref="T139" si="134">+S139/$N139</f>
        <v>0.39120040732038019</v>
      </c>
      <c r="V139" s="13"/>
      <c r="W139" s="293"/>
    </row>
    <row r="140" spans="1:45" ht="49.5">
      <c r="A140" s="32" t="s">
        <v>484</v>
      </c>
      <c r="B140" s="203" t="s">
        <v>297</v>
      </c>
      <c r="C140" s="227" t="s">
        <v>167</v>
      </c>
      <c r="D140" s="228" t="s">
        <v>190</v>
      </c>
      <c r="E140" s="228" t="s">
        <v>172</v>
      </c>
      <c r="F140" s="228" t="s">
        <v>191</v>
      </c>
      <c r="G140" s="228"/>
      <c r="H140" s="228"/>
      <c r="I140" s="228"/>
      <c r="J140" s="228"/>
      <c r="K140" s="229"/>
      <c r="L140" s="230"/>
      <c r="M140" s="231" t="s">
        <v>280</v>
      </c>
      <c r="N140" s="232">
        <v>1819080064351</v>
      </c>
      <c r="O140" s="232">
        <v>1763646761031.6699</v>
      </c>
      <c r="P140" s="233">
        <f t="shared" si="130"/>
        <v>0.96952673804431622</v>
      </c>
      <c r="Q140" s="232">
        <v>960928530384.95996</v>
      </c>
      <c r="R140" s="233">
        <f t="shared" si="130"/>
        <v>0.52824971765483786</v>
      </c>
      <c r="S140" s="232">
        <v>960928530384.95996</v>
      </c>
      <c r="T140" s="233">
        <f t="shared" ref="T140" si="135">+S140/$N140</f>
        <v>0.52824971765483786</v>
      </c>
      <c r="V140" s="13"/>
      <c r="W140" s="293"/>
    </row>
    <row r="141" spans="1:45" ht="33">
      <c r="A141" s="32" t="s">
        <v>485</v>
      </c>
      <c r="B141" s="210" t="s">
        <v>486</v>
      </c>
      <c r="C141" s="211" t="s">
        <v>167</v>
      </c>
      <c r="D141" s="212" t="s">
        <v>190</v>
      </c>
      <c r="E141" s="212" t="s">
        <v>172</v>
      </c>
      <c r="F141" s="212" t="s">
        <v>191</v>
      </c>
      <c r="G141" s="212" t="s">
        <v>175</v>
      </c>
      <c r="H141" s="212" t="s">
        <v>193</v>
      </c>
      <c r="I141" s="212"/>
      <c r="J141" s="212"/>
      <c r="K141" s="213"/>
      <c r="L141" s="214"/>
      <c r="M141" s="210" t="s">
        <v>194</v>
      </c>
      <c r="N141" s="215">
        <v>1813368757333</v>
      </c>
      <c r="O141" s="215">
        <v>1758535454013.6699</v>
      </c>
      <c r="P141" s="216">
        <f t="shared" si="130"/>
        <v>0.96976163667892035</v>
      </c>
      <c r="Q141" s="215">
        <v>960928530384.95996</v>
      </c>
      <c r="R141" s="216">
        <f t="shared" si="130"/>
        <v>0.52991346988807686</v>
      </c>
      <c r="S141" s="215">
        <v>960928530384.95996</v>
      </c>
      <c r="T141" s="216">
        <f t="shared" ref="T141" si="136">+S141/$N141</f>
        <v>0.52991346988807686</v>
      </c>
      <c r="V141" s="13"/>
      <c r="W141" s="293"/>
    </row>
    <row r="142" spans="1:45" s="64" customFormat="1" ht="24.95" customHeight="1">
      <c r="A142" s="32" t="s">
        <v>487</v>
      </c>
      <c r="B142" s="217" t="s">
        <v>488</v>
      </c>
      <c r="C142" s="266" t="s">
        <v>167</v>
      </c>
      <c r="D142" s="267" t="s">
        <v>190</v>
      </c>
      <c r="E142" s="267" t="s">
        <v>172</v>
      </c>
      <c r="F142" s="267" t="s">
        <v>191</v>
      </c>
      <c r="G142" s="267" t="s">
        <v>175</v>
      </c>
      <c r="H142" s="267" t="s">
        <v>193</v>
      </c>
      <c r="I142" s="267" t="s">
        <v>54</v>
      </c>
      <c r="J142" s="219"/>
      <c r="K142" s="220">
        <v>10</v>
      </c>
      <c r="L142" s="221" t="s">
        <v>29</v>
      </c>
      <c r="M142" s="259" t="s">
        <v>178</v>
      </c>
      <c r="N142" s="222">
        <v>165854000591.17001</v>
      </c>
      <c r="O142" s="222">
        <v>111044697271.84</v>
      </c>
      <c r="P142" s="224">
        <f t="shared" si="130"/>
        <v>0.66953282330261721</v>
      </c>
      <c r="Q142" s="222">
        <v>19024655484.959999</v>
      </c>
      <c r="R142" s="224">
        <f t="shared" si="130"/>
        <v>0.11470724502965569</v>
      </c>
      <c r="S142" s="222">
        <v>19024655484.959999</v>
      </c>
      <c r="T142" s="224">
        <f t="shared" ref="T142" si="137">+S142/$N142</f>
        <v>0.11470724502965569</v>
      </c>
      <c r="U142" s="13"/>
      <c r="V142" s="13"/>
      <c r="W142" s="29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</row>
    <row r="143" spans="1:45" ht="24.95" customHeight="1">
      <c r="A143" s="32" t="s">
        <v>490</v>
      </c>
      <c r="B143" s="217" t="s">
        <v>491</v>
      </c>
      <c r="C143" s="266" t="s">
        <v>167</v>
      </c>
      <c r="D143" s="267" t="s">
        <v>190</v>
      </c>
      <c r="E143" s="267" t="s">
        <v>172</v>
      </c>
      <c r="F143" s="267" t="s">
        <v>191</v>
      </c>
      <c r="G143" s="267" t="s">
        <v>175</v>
      </c>
      <c r="H143" s="267" t="s">
        <v>193</v>
      </c>
      <c r="I143" s="267" t="s">
        <v>65</v>
      </c>
      <c r="J143" s="219"/>
      <c r="K143" s="220">
        <v>10</v>
      </c>
      <c r="L143" s="221" t="s">
        <v>29</v>
      </c>
      <c r="M143" s="259" t="s">
        <v>127</v>
      </c>
      <c r="N143" s="222">
        <v>16342698825.83</v>
      </c>
      <c r="O143" s="222">
        <v>16318698825.83</v>
      </c>
      <c r="P143" s="224">
        <f t="shared" si="130"/>
        <v>0.99853145430532764</v>
      </c>
      <c r="Q143" s="222">
        <v>16318698825</v>
      </c>
      <c r="R143" s="224">
        <f t="shared" si="130"/>
        <v>0.99853145425454037</v>
      </c>
      <c r="S143" s="222">
        <v>16318698825</v>
      </c>
      <c r="T143" s="224">
        <f t="shared" ref="T143" si="138">+S143/$N143</f>
        <v>0.99853145425454037</v>
      </c>
      <c r="V143" s="13"/>
      <c r="W143" s="293"/>
    </row>
    <row r="144" spans="1:45" ht="24.95" customHeight="1">
      <c r="A144" s="32" t="s">
        <v>492</v>
      </c>
      <c r="B144" s="217" t="s">
        <v>491</v>
      </c>
      <c r="C144" s="266" t="s">
        <v>167</v>
      </c>
      <c r="D144" s="267" t="s">
        <v>190</v>
      </c>
      <c r="E144" s="267" t="s">
        <v>172</v>
      </c>
      <c r="F144" s="267" t="s">
        <v>191</v>
      </c>
      <c r="G144" s="267" t="s">
        <v>175</v>
      </c>
      <c r="H144" s="267" t="s">
        <v>193</v>
      </c>
      <c r="I144" s="267" t="s">
        <v>65</v>
      </c>
      <c r="J144" s="267"/>
      <c r="K144" s="268" t="s">
        <v>144</v>
      </c>
      <c r="L144" s="269" t="s">
        <v>29</v>
      </c>
      <c r="M144" s="259" t="s">
        <v>127</v>
      </c>
      <c r="N144" s="222">
        <v>1631172057916</v>
      </c>
      <c r="O144" s="222">
        <v>1631172057916</v>
      </c>
      <c r="P144" s="224">
        <f t="shared" si="130"/>
        <v>1</v>
      </c>
      <c r="Q144" s="222">
        <v>925585176075</v>
      </c>
      <c r="R144" s="224">
        <f t="shared" si="130"/>
        <v>0.56743564946639402</v>
      </c>
      <c r="S144" s="222">
        <v>925585176075</v>
      </c>
      <c r="T144" s="224">
        <f t="shared" ref="T144" si="139">+S144/$N144</f>
        <v>0.56743564946639402</v>
      </c>
      <c r="V144" s="13"/>
      <c r="W144" s="293"/>
    </row>
    <row r="145" spans="1:45" ht="33">
      <c r="A145" s="32" t="s">
        <v>493</v>
      </c>
      <c r="B145" s="210" t="s">
        <v>494</v>
      </c>
      <c r="C145" s="211" t="s">
        <v>167</v>
      </c>
      <c r="D145" s="212" t="s">
        <v>190</v>
      </c>
      <c r="E145" s="212" t="s">
        <v>172</v>
      </c>
      <c r="F145" s="212" t="s">
        <v>191</v>
      </c>
      <c r="G145" s="212" t="s">
        <v>175</v>
      </c>
      <c r="H145" s="212">
        <v>4103009</v>
      </c>
      <c r="I145" s="212"/>
      <c r="J145" s="212"/>
      <c r="K145" s="252">
        <v>10</v>
      </c>
      <c r="L145" s="214" t="s">
        <v>29</v>
      </c>
      <c r="M145" s="210" t="s">
        <v>195</v>
      </c>
      <c r="N145" s="215">
        <v>5711307018</v>
      </c>
      <c r="O145" s="215">
        <v>5111307018</v>
      </c>
      <c r="P145" s="216">
        <f t="shared" si="130"/>
        <v>0.89494523790981395</v>
      </c>
      <c r="Q145" s="215">
        <v>0</v>
      </c>
      <c r="R145" s="216">
        <f t="shared" si="130"/>
        <v>0</v>
      </c>
      <c r="S145" s="215">
        <v>0</v>
      </c>
      <c r="T145" s="216">
        <f t="shared" ref="T145" si="140">+S145/$N145</f>
        <v>0</v>
      </c>
      <c r="V145" s="13"/>
      <c r="W145" s="293"/>
    </row>
    <row r="146" spans="1:45" ht="24.95" customHeight="1">
      <c r="A146" s="32" t="s">
        <v>495</v>
      </c>
      <c r="B146" s="217" t="s">
        <v>496</v>
      </c>
      <c r="C146" s="266" t="s">
        <v>167</v>
      </c>
      <c r="D146" s="267" t="s">
        <v>190</v>
      </c>
      <c r="E146" s="267" t="s">
        <v>172</v>
      </c>
      <c r="F146" s="267" t="s">
        <v>191</v>
      </c>
      <c r="G146" s="267" t="s">
        <v>175</v>
      </c>
      <c r="H146" s="267">
        <v>4103009</v>
      </c>
      <c r="I146" s="267" t="s">
        <v>54</v>
      </c>
      <c r="J146" s="219"/>
      <c r="K146" s="270">
        <v>10</v>
      </c>
      <c r="L146" s="221" t="s">
        <v>29</v>
      </c>
      <c r="M146" s="259" t="s">
        <v>178</v>
      </c>
      <c r="N146" s="222">
        <v>5711307018</v>
      </c>
      <c r="O146" s="222">
        <v>5111307018</v>
      </c>
      <c r="P146" s="224">
        <f t="shared" si="130"/>
        <v>0.89494523790981395</v>
      </c>
      <c r="Q146" s="222">
        <v>0</v>
      </c>
      <c r="R146" s="224">
        <f t="shared" si="130"/>
        <v>0</v>
      </c>
      <c r="S146" s="222">
        <v>0</v>
      </c>
      <c r="T146" s="224">
        <f t="shared" ref="T146" si="141">+S146/$N146</f>
        <v>0</v>
      </c>
      <c r="V146" s="13"/>
      <c r="W146" s="293"/>
    </row>
    <row r="147" spans="1:45" s="64" customFormat="1" ht="49.5">
      <c r="A147" s="32" t="s">
        <v>499</v>
      </c>
      <c r="B147" s="226" t="s">
        <v>298</v>
      </c>
      <c r="C147" s="227" t="s">
        <v>167</v>
      </c>
      <c r="D147" s="228" t="s">
        <v>190</v>
      </c>
      <c r="E147" s="228" t="s">
        <v>172</v>
      </c>
      <c r="F147" s="228" t="s">
        <v>22</v>
      </c>
      <c r="G147" s="228"/>
      <c r="H147" s="228"/>
      <c r="I147" s="228"/>
      <c r="J147" s="228"/>
      <c r="K147" s="229"/>
      <c r="L147" s="230"/>
      <c r="M147" s="231" t="s">
        <v>264</v>
      </c>
      <c r="N147" s="232">
        <v>25903028858</v>
      </c>
      <c r="O147" s="232">
        <v>15237614719</v>
      </c>
      <c r="P147" s="233">
        <f t="shared" si="130"/>
        <v>0.58825609941340706</v>
      </c>
      <c r="Q147" s="232">
        <v>75394636</v>
      </c>
      <c r="R147" s="233">
        <f t="shared" si="130"/>
        <v>2.9106494230196869E-3</v>
      </c>
      <c r="S147" s="232">
        <v>75394636</v>
      </c>
      <c r="T147" s="233">
        <f t="shared" ref="T147" si="142">+S147/$N147</f>
        <v>2.9106494230196869E-3</v>
      </c>
      <c r="U147" s="13"/>
      <c r="V147" s="13"/>
      <c r="W147" s="29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</row>
    <row r="148" spans="1:45" ht="33">
      <c r="A148" s="32" t="s">
        <v>642</v>
      </c>
      <c r="B148" s="210" t="s">
        <v>500</v>
      </c>
      <c r="C148" s="211" t="s">
        <v>167</v>
      </c>
      <c r="D148" s="212" t="s">
        <v>190</v>
      </c>
      <c r="E148" s="212" t="s">
        <v>172</v>
      </c>
      <c r="F148" s="212" t="s">
        <v>22</v>
      </c>
      <c r="G148" s="212" t="s">
        <v>175</v>
      </c>
      <c r="H148" s="212" t="s">
        <v>197</v>
      </c>
      <c r="I148" s="212"/>
      <c r="J148" s="212"/>
      <c r="K148" s="213">
        <v>11</v>
      </c>
      <c r="L148" s="214" t="s">
        <v>29</v>
      </c>
      <c r="M148" s="210" t="s">
        <v>198</v>
      </c>
      <c r="N148" s="215">
        <v>7218669145</v>
      </c>
      <c r="O148" s="215">
        <v>4406021511</v>
      </c>
      <c r="P148" s="216">
        <f t="shared" si="130"/>
        <v>0.61036479474223082</v>
      </c>
      <c r="Q148" s="215">
        <v>0</v>
      </c>
      <c r="R148" s="216">
        <f t="shared" si="130"/>
        <v>0</v>
      </c>
      <c r="S148" s="215">
        <v>0</v>
      </c>
      <c r="T148" s="216">
        <f t="shared" ref="T148" si="143">+S148/$N148</f>
        <v>0</v>
      </c>
      <c r="V148" s="13"/>
      <c r="W148" s="293"/>
    </row>
    <row r="149" spans="1:45" ht="24.95" customHeight="1">
      <c r="A149" s="32" t="s">
        <v>643</v>
      </c>
      <c r="B149" s="217" t="s">
        <v>501</v>
      </c>
      <c r="C149" s="218" t="s">
        <v>167</v>
      </c>
      <c r="D149" s="219" t="s">
        <v>190</v>
      </c>
      <c r="E149" s="219" t="s">
        <v>172</v>
      </c>
      <c r="F149" s="219" t="s">
        <v>22</v>
      </c>
      <c r="G149" s="219" t="s">
        <v>175</v>
      </c>
      <c r="H149" s="219" t="s">
        <v>197</v>
      </c>
      <c r="I149" s="219" t="s">
        <v>54</v>
      </c>
      <c r="J149" s="219"/>
      <c r="K149" s="220">
        <v>11</v>
      </c>
      <c r="L149" s="221" t="s">
        <v>29</v>
      </c>
      <c r="M149" s="259" t="s">
        <v>178</v>
      </c>
      <c r="N149" s="222">
        <v>7218669145</v>
      </c>
      <c r="O149" s="222">
        <v>4406021511</v>
      </c>
      <c r="P149" s="224">
        <f t="shared" si="130"/>
        <v>0.61036479474223082</v>
      </c>
      <c r="Q149" s="222">
        <v>0</v>
      </c>
      <c r="R149" s="224">
        <f t="shared" si="130"/>
        <v>0</v>
      </c>
      <c r="S149" s="222">
        <v>0</v>
      </c>
      <c r="T149" s="224">
        <f t="shared" ref="T149" si="144">+S149/$N149</f>
        <v>0</v>
      </c>
      <c r="V149" s="13"/>
      <c r="W149" s="293"/>
    </row>
    <row r="150" spans="1:45" ht="33">
      <c r="A150" s="32" t="s">
        <v>644</v>
      </c>
      <c r="B150" s="210" t="s">
        <v>502</v>
      </c>
      <c r="C150" s="211" t="s">
        <v>167</v>
      </c>
      <c r="D150" s="212" t="s">
        <v>190</v>
      </c>
      <c r="E150" s="212" t="s">
        <v>172</v>
      </c>
      <c r="F150" s="212" t="s">
        <v>22</v>
      </c>
      <c r="G150" s="212" t="s">
        <v>175</v>
      </c>
      <c r="H150" s="212" t="s">
        <v>199</v>
      </c>
      <c r="I150" s="212"/>
      <c r="J150" s="212"/>
      <c r="K150" s="213">
        <v>11</v>
      </c>
      <c r="L150" s="214" t="s">
        <v>29</v>
      </c>
      <c r="M150" s="210" t="s">
        <v>200</v>
      </c>
      <c r="N150" s="215">
        <v>4348087590</v>
      </c>
      <c r="O150" s="215">
        <v>2653919568</v>
      </c>
      <c r="P150" s="216">
        <f t="shared" si="130"/>
        <v>0.61036478982246078</v>
      </c>
      <c r="Q150" s="215">
        <v>0</v>
      </c>
      <c r="R150" s="216">
        <f t="shared" si="130"/>
        <v>0</v>
      </c>
      <c r="S150" s="215">
        <v>0</v>
      </c>
      <c r="T150" s="216">
        <f t="shared" ref="T150" si="145">+S150/$N150</f>
        <v>0</v>
      </c>
      <c r="V150" s="13"/>
      <c r="W150" s="293"/>
    </row>
    <row r="151" spans="1:45" ht="24.95" customHeight="1">
      <c r="A151" s="32" t="s">
        <v>645</v>
      </c>
      <c r="B151" s="217" t="s">
        <v>503</v>
      </c>
      <c r="C151" s="218" t="s">
        <v>167</v>
      </c>
      <c r="D151" s="219" t="s">
        <v>190</v>
      </c>
      <c r="E151" s="219" t="s">
        <v>172</v>
      </c>
      <c r="F151" s="219" t="s">
        <v>22</v>
      </c>
      <c r="G151" s="219" t="s">
        <v>175</v>
      </c>
      <c r="H151" s="219" t="s">
        <v>199</v>
      </c>
      <c r="I151" s="219" t="s">
        <v>54</v>
      </c>
      <c r="J151" s="219"/>
      <c r="K151" s="220">
        <v>11</v>
      </c>
      <c r="L151" s="221" t="s">
        <v>29</v>
      </c>
      <c r="M151" s="259" t="s">
        <v>178</v>
      </c>
      <c r="N151" s="222">
        <v>4348087590</v>
      </c>
      <c r="O151" s="222">
        <v>2653919568</v>
      </c>
      <c r="P151" s="224">
        <f t="shared" si="130"/>
        <v>0.61036478982246078</v>
      </c>
      <c r="Q151" s="222">
        <v>0</v>
      </c>
      <c r="R151" s="224">
        <f t="shared" si="130"/>
        <v>0</v>
      </c>
      <c r="S151" s="222">
        <v>0</v>
      </c>
      <c r="T151" s="224">
        <f t="shared" ref="T151" si="146">+S151/$N151</f>
        <v>0</v>
      </c>
      <c r="V151" s="13"/>
      <c r="W151" s="293"/>
    </row>
    <row r="152" spans="1:45" ht="66">
      <c r="A152" s="32" t="s">
        <v>646</v>
      </c>
      <c r="B152" s="210" t="s">
        <v>504</v>
      </c>
      <c r="C152" s="211" t="s">
        <v>167</v>
      </c>
      <c r="D152" s="212" t="s">
        <v>190</v>
      </c>
      <c r="E152" s="212" t="s">
        <v>172</v>
      </c>
      <c r="F152" s="212" t="s">
        <v>22</v>
      </c>
      <c r="G152" s="212" t="s">
        <v>175</v>
      </c>
      <c r="H152" s="212" t="s">
        <v>201</v>
      </c>
      <c r="I152" s="212"/>
      <c r="J152" s="212"/>
      <c r="K152" s="213">
        <v>11</v>
      </c>
      <c r="L152" s="214" t="s">
        <v>29</v>
      </c>
      <c r="M152" s="210" t="s">
        <v>202</v>
      </c>
      <c r="N152" s="215">
        <v>2171371771</v>
      </c>
      <c r="O152" s="215">
        <v>720246821</v>
      </c>
      <c r="P152" s="216">
        <f t="shared" si="130"/>
        <v>0.33170129160714784</v>
      </c>
      <c r="Q152" s="215">
        <v>75394636</v>
      </c>
      <c r="R152" s="216">
        <f t="shared" si="130"/>
        <v>3.4722122211839332E-2</v>
      </c>
      <c r="S152" s="215">
        <v>75394636</v>
      </c>
      <c r="T152" s="216">
        <f t="shared" ref="T152" si="147">+S152/$N152</f>
        <v>3.4722122211839332E-2</v>
      </c>
      <c r="V152" s="13"/>
      <c r="W152" s="293"/>
    </row>
    <row r="153" spans="1:45" ht="24.95" customHeight="1">
      <c r="A153" s="32" t="s">
        <v>647</v>
      </c>
      <c r="B153" s="217" t="s">
        <v>505</v>
      </c>
      <c r="C153" s="218" t="s">
        <v>167</v>
      </c>
      <c r="D153" s="219" t="s">
        <v>190</v>
      </c>
      <c r="E153" s="219" t="s">
        <v>172</v>
      </c>
      <c r="F153" s="219" t="s">
        <v>22</v>
      </c>
      <c r="G153" s="219" t="s">
        <v>175</v>
      </c>
      <c r="H153" s="219" t="s">
        <v>201</v>
      </c>
      <c r="I153" s="219" t="s">
        <v>54</v>
      </c>
      <c r="J153" s="219"/>
      <c r="K153" s="220">
        <v>11</v>
      </c>
      <c r="L153" s="221" t="s">
        <v>29</v>
      </c>
      <c r="M153" s="259" t="s">
        <v>178</v>
      </c>
      <c r="N153" s="222">
        <v>2171371771</v>
      </c>
      <c r="O153" s="222">
        <v>720246821</v>
      </c>
      <c r="P153" s="224">
        <f t="shared" si="130"/>
        <v>0.33170129160714784</v>
      </c>
      <c r="Q153" s="222">
        <v>75394636</v>
      </c>
      <c r="R153" s="224">
        <f t="shared" si="130"/>
        <v>3.4722122211839332E-2</v>
      </c>
      <c r="S153" s="222">
        <v>75394636</v>
      </c>
      <c r="T153" s="224">
        <f t="shared" ref="T153" si="148">+S153/$N153</f>
        <v>3.4722122211839332E-2</v>
      </c>
      <c r="V153" s="13"/>
      <c r="W153" s="293"/>
    </row>
    <row r="154" spans="1:45" ht="49.5">
      <c r="A154" s="32" t="s">
        <v>648</v>
      </c>
      <c r="B154" s="210" t="s">
        <v>506</v>
      </c>
      <c r="C154" s="211" t="s">
        <v>167</v>
      </c>
      <c r="D154" s="212" t="s">
        <v>190</v>
      </c>
      <c r="E154" s="212" t="s">
        <v>172</v>
      </c>
      <c r="F154" s="212" t="s">
        <v>22</v>
      </c>
      <c r="G154" s="212" t="s">
        <v>175</v>
      </c>
      <c r="H154" s="212" t="s">
        <v>203</v>
      </c>
      <c r="I154" s="212"/>
      <c r="J154" s="212"/>
      <c r="K154" s="213">
        <v>11</v>
      </c>
      <c r="L154" s="214" t="s">
        <v>29</v>
      </c>
      <c r="M154" s="210" t="s">
        <v>204</v>
      </c>
      <c r="N154" s="215">
        <v>12164900352</v>
      </c>
      <c r="O154" s="215">
        <v>7457426819</v>
      </c>
      <c r="P154" s="216">
        <f t="shared" si="130"/>
        <v>0.61302818791885494</v>
      </c>
      <c r="Q154" s="215">
        <v>0</v>
      </c>
      <c r="R154" s="216">
        <f t="shared" si="130"/>
        <v>0</v>
      </c>
      <c r="S154" s="215">
        <v>0</v>
      </c>
      <c r="T154" s="216">
        <f t="shared" ref="T154" si="149">+S154/$N154</f>
        <v>0</v>
      </c>
      <c r="V154" s="13"/>
      <c r="W154" s="293"/>
    </row>
    <row r="155" spans="1:45" ht="24.95" customHeight="1">
      <c r="A155" s="32" t="s">
        <v>649</v>
      </c>
      <c r="B155" s="217" t="s">
        <v>507</v>
      </c>
      <c r="C155" s="218" t="s">
        <v>167</v>
      </c>
      <c r="D155" s="219" t="s">
        <v>190</v>
      </c>
      <c r="E155" s="219" t="s">
        <v>172</v>
      </c>
      <c r="F155" s="219" t="s">
        <v>22</v>
      </c>
      <c r="G155" s="219" t="s">
        <v>175</v>
      </c>
      <c r="H155" s="219" t="s">
        <v>203</v>
      </c>
      <c r="I155" s="219" t="s">
        <v>54</v>
      </c>
      <c r="J155" s="219"/>
      <c r="K155" s="220">
        <v>11</v>
      </c>
      <c r="L155" s="221" t="s">
        <v>29</v>
      </c>
      <c r="M155" s="259" t="s">
        <v>178</v>
      </c>
      <c r="N155" s="222">
        <v>12164900352</v>
      </c>
      <c r="O155" s="222">
        <v>7457426819</v>
      </c>
      <c r="P155" s="224">
        <f t="shared" si="130"/>
        <v>0.61302818791885494</v>
      </c>
      <c r="Q155" s="222">
        <v>0</v>
      </c>
      <c r="R155" s="224">
        <f t="shared" si="130"/>
        <v>0</v>
      </c>
      <c r="S155" s="222">
        <v>0</v>
      </c>
      <c r="T155" s="224">
        <f t="shared" ref="T155" si="150">+S155/$N155</f>
        <v>0</v>
      </c>
      <c r="V155" s="13"/>
      <c r="W155" s="293"/>
    </row>
    <row r="156" spans="1:45" ht="49.5">
      <c r="A156" s="32" t="s">
        <v>508</v>
      </c>
      <c r="B156" s="226" t="s">
        <v>299</v>
      </c>
      <c r="C156" s="227" t="s">
        <v>167</v>
      </c>
      <c r="D156" s="228" t="s">
        <v>190</v>
      </c>
      <c r="E156" s="228" t="s">
        <v>172</v>
      </c>
      <c r="F156" s="228" t="s">
        <v>205</v>
      </c>
      <c r="G156" s="228"/>
      <c r="H156" s="228"/>
      <c r="I156" s="228"/>
      <c r="J156" s="228"/>
      <c r="K156" s="229"/>
      <c r="L156" s="230"/>
      <c r="M156" s="231" t="s">
        <v>281</v>
      </c>
      <c r="N156" s="232">
        <v>526882227478</v>
      </c>
      <c r="O156" s="232">
        <v>500455440263.75</v>
      </c>
      <c r="P156" s="233">
        <f t="shared" si="130"/>
        <v>0.94984308478054813</v>
      </c>
      <c r="Q156" s="232">
        <v>47321679247.959999</v>
      </c>
      <c r="R156" s="233">
        <f t="shared" si="130"/>
        <v>8.9814529281946442E-2</v>
      </c>
      <c r="S156" s="232">
        <v>46921368534.459999</v>
      </c>
      <c r="T156" s="233">
        <f t="shared" ref="T156" si="151">+S156/$N156</f>
        <v>8.9054756618108175E-2</v>
      </c>
      <c r="V156" s="13"/>
      <c r="W156" s="293"/>
    </row>
    <row r="157" spans="1:45" ht="33">
      <c r="A157" s="32" t="s">
        <v>509</v>
      </c>
      <c r="B157" s="210" t="s">
        <v>510</v>
      </c>
      <c r="C157" s="211" t="s">
        <v>167</v>
      </c>
      <c r="D157" s="212" t="s">
        <v>190</v>
      </c>
      <c r="E157" s="212" t="s">
        <v>172</v>
      </c>
      <c r="F157" s="212" t="s">
        <v>205</v>
      </c>
      <c r="G157" s="212" t="s">
        <v>175</v>
      </c>
      <c r="H157" s="212" t="s">
        <v>207</v>
      </c>
      <c r="I157" s="212"/>
      <c r="J157" s="212"/>
      <c r="K157" s="213"/>
      <c r="L157" s="214"/>
      <c r="M157" s="210" t="s">
        <v>208</v>
      </c>
      <c r="N157" s="215">
        <v>504515344888.78998</v>
      </c>
      <c r="O157" s="215">
        <v>491124189525.75</v>
      </c>
      <c r="P157" s="216">
        <f t="shared" si="130"/>
        <v>0.97345738737442811</v>
      </c>
      <c r="Q157" s="215">
        <v>46628130411.959999</v>
      </c>
      <c r="R157" s="216">
        <f t="shared" si="130"/>
        <v>9.2421629756847562E-2</v>
      </c>
      <c r="S157" s="215">
        <v>46227819698.459999</v>
      </c>
      <c r="T157" s="216">
        <f t="shared" ref="T157" si="152">+S157/$N157</f>
        <v>9.1628173784585223E-2</v>
      </c>
      <c r="V157" s="13"/>
      <c r="W157" s="293"/>
    </row>
    <row r="158" spans="1:45" ht="24.95" customHeight="1">
      <c r="A158" s="32" t="s">
        <v>512</v>
      </c>
      <c r="B158" s="217" t="s">
        <v>511</v>
      </c>
      <c r="C158" s="266" t="s">
        <v>167</v>
      </c>
      <c r="D158" s="267" t="s">
        <v>190</v>
      </c>
      <c r="E158" s="267" t="s">
        <v>172</v>
      </c>
      <c r="F158" s="267" t="s">
        <v>205</v>
      </c>
      <c r="G158" s="267" t="s">
        <v>175</v>
      </c>
      <c r="H158" s="267" t="s">
        <v>207</v>
      </c>
      <c r="I158" s="267" t="s">
        <v>54</v>
      </c>
      <c r="J158" s="267"/>
      <c r="K158" s="268">
        <v>11</v>
      </c>
      <c r="L158" s="269" t="s">
        <v>29</v>
      </c>
      <c r="M158" s="259" t="s">
        <v>178</v>
      </c>
      <c r="N158" s="222">
        <v>38113136466</v>
      </c>
      <c r="O158" s="222">
        <v>36249682146</v>
      </c>
      <c r="P158" s="224">
        <f t="shared" si="130"/>
        <v>0.95110729546852302</v>
      </c>
      <c r="Q158" s="222">
        <v>0</v>
      </c>
      <c r="R158" s="224">
        <f t="shared" si="130"/>
        <v>0</v>
      </c>
      <c r="S158" s="222">
        <v>0</v>
      </c>
      <c r="T158" s="224">
        <f t="shared" ref="T158" si="153">+S158/$N158</f>
        <v>0</v>
      </c>
      <c r="V158" s="13"/>
      <c r="W158" s="293"/>
    </row>
    <row r="159" spans="1:45" ht="24.95" customHeight="1">
      <c r="A159" s="32" t="s">
        <v>513</v>
      </c>
      <c r="B159" s="217" t="s">
        <v>514</v>
      </c>
      <c r="C159" s="266" t="s">
        <v>167</v>
      </c>
      <c r="D159" s="267" t="s">
        <v>190</v>
      </c>
      <c r="E159" s="267" t="s">
        <v>172</v>
      </c>
      <c r="F159" s="267" t="s">
        <v>205</v>
      </c>
      <c r="G159" s="267" t="s">
        <v>175</v>
      </c>
      <c r="H159" s="267" t="s">
        <v>207</v>
      </c>
      <c r="I159" s="267" t="s">
        <v>65</v>
      </c>
      <c r="J159" s="267"/>
      <c r="K159" s="271" t="s">
        <v>28</v>
      </c>
      <c r="L159" s="269" t="s">
        <v>29</v>
      </c>
      <c r="M159" s="259" t="s">
        <v>127</v>
      </c>
      <c r="N159" s="222">
        <v>0</v>
      </c>
      <c r="O159" s="222">
        <v>0</v>
      </c>
      <c r="P159" s="224" t="e">
        <f t="shared" si="130"/>
        <v>#DIV/0!</v>
      </c>
      <c r="Q159" s="222">
        <v>0</v>
      </c>
      <c r="R159" s="224" t="e">
        <f t="shared" si="130"/>
        <v>#DIV/0!</v>
      </c>
      <c r="S159" s="222">
        <v>0</v>
      </c>
      <c r="T159" s="224" t="e">
        <f t="shared" ref="T159" si="154">+S159/$N159</f>
        <v>#DIV/0!</v>
      </c>
      <c r="V159" s="13"/>
      <c r="W159" s="293"/>
    </row>
    <row r="160" spans="1:45" ht="24.95" customHeight="1">
      <c r="A160" s="32" t="s">
        <v>515</v>
      </c>
      <c r="B160" s="217" t="s">
        <v>514</v>
      </c>
      <c r="C160" s="266" t="s">
        <v>167</v>
      </c>
      <c r="D160" s="267" t="s">
        <v>190</v>
      </c>
      <c r="E160" s="267" t="s">
        <v>172</v>
      </c>
      <c r="F160" s="267" t="s">
        <v>205</v>
      </c>
      <c r="G160" s="267" t="s">
        <v>175</v>
      </c>
      <c r="H160" s="267" t="s">
        <v>207</v>
      </c>
      <c r="I160" s="272" t="s">
        <v>65</v>
      </c>
      <c r="J160" s="273"/>
      <c r="K160" s="268">
        <v>11</v>
      </c>
      <c r="L160" s="269" t="s">
        <v>29</v>
      </c>
      <c r="M160" s="259" t="s">
        <v>127</v>
      </c>
      <c r="N160" s="222">
        <v>466402208422.78998</v>
      </c>
      <c r="O160" s="222">
        <v>454874507379.75</v>
      </c>
      <c r="P160" s="224">
        <f t="shared" si="130"/>
        <v>0.97528377688857293</v>
      </c>
      <c r="Q160" s="222">
        <v>46628130411.959999</v>
      </c>
      <c r="R160" s="224">
        <f t="shared" si="130"/>
        <v>9.9974077244702836E-2</v>
      </c>
      <c r="S160" s="222">
        <v>46227819698.459999</v>
      </c>
      <c r="T160" s="224">
        <f t="shared" ref="T160" si="155">+S160/$N160</f>
        <v>9.9115782180334011E-2</v>
      </c>
      <c r="V160" s="13"/>
      <c r="W160" s="293"/>
    </row>
    <row r="161" spans="1:45" ht="33">
      <c r="A161" s="32" t="s">
        <v>650</v>
      </c>
      <c r="B161" s="210" t="s">
        <v>516</v>
      </c>
      <c r="C161" s="211" t="s">
        <v>167</v>
      </c>
      <c r="D161" s="212" t="s">
        <v>190</v>
      </c>
      <c r="E161" s="212" t="s">
        <v>172</v>
      </c>
      <c r="F161" s="212" t="s">
        <v>205</v>
      </c>
      <c r="G161" s="212" t="s">
        <v>175</v>
      </c>
      <c r="H161" s="212" t="s">
        <v>209</v>
      </c>
      <c r="I161" s="212"/>
      <c r="J161" s="212"/>
      <c r="K161" s="213">
        <v>11</v>
      </c>
      <c r="L161" s="214" t="s">
        <v>29</v>
      </c>
      <c r="M161" s="210" t="s">
        <v>210</v>
      </c>
      <c r="N161" s="215">
        <v>22366882589.209999</v>
      </c>
      <c r="O161" s="215">
        <v>9331250738</v>
      </c>
      <c r="P161" s="216">
        <f t="shared" si="130"/>
        <v>0.4171904913786012</v>
      </c>
      <c r="Q161" s="215">
        <v>693548836</v>
      </c>
      <c r="R161" s="216">
        <f t="shared" si="130"/>
        <v>3.1007845337131367E-2</v>
      </c>
      <c r="S161" s="215">
        <v>693548836</v>
      </c>
      <c r="T161" s="216">
        <f t="shared" ref="T161" si="156">+S161/$N161</f>
        <v>3.1007845337131367E-2</v>
      </c>
      <c r="V161" s="13"/>
      <c r="W161" s="293"/>
    </row>
    <row r="162" spans="1:45" ht="24.95" customHeight="1">
      <c r="A162" s="32" t="s">
        <v>518</v>
      </c>
      <c r="B162" s="217" t="s">
        <v>517</v>
      </c>
      <c r="C162" s="266" t="s">
        <v>167</v>
      </c>
      <c r="D162" s="267" t="s">
        <v>190</v>
      </c>
      <c r="E162" s="267" t="s">
        <v>172</v>
      </c>
      <c r="F162" s="267" t="s">
        <v>205</v>
      </c>
      <c r="G162" s="267" t="s">
        <v>175</v>
      </c>
      <c r="H162" s="267" t="s">
        <v>209</v>
      </c>
      <c r="I162" s="267" t="s">
        <v>54</v>
      </c>
      <c r="J162" s="267"/>
      <c r="K162" s="268">
        <v>11</v>
      </c>
      <c r="L162" s="269" t="s">
        <v>29</v>
      </c>
      <c r="M162" s="259" t="s">
        <v>178</v>
      </c>
      <c r="N162" s="222">
        <v>22366882589.209999</v>
      </c>
      <c r="O162" s="222">
        <v>9331250738</v>
      </c>
      <c r="P162" s="224">
        <f t="shared" si="130"/>
        <v>0.4171904913786012</v>
      </c>
      <c r="Q162" s="222">
        <v>693548836</v>
      </c>
      <c r="R162" s="224">
        <f t="shared" si="130"/>
        <v>3.1007845337131367E-2</v>
      </c>
      <c r="S162" s="222">
        <v>693548836</v>
      </c>
      <c r="T162" s="224">
        <f t="shared" ref="T162" si="157">+S162/$N162</f>
        <v>3.1007845337131367E-2</v>
      </c>
      <c r="V162" s="13"/>
      <c r="W162" s="293"/>
    </row>
    <row r="163" spans="1:45" ht="33">
      <c r="A163" s="32" t="s">
        <v>519</v>
      </c>
      <c r="B163" s="226" t="s">
        <v>520</v>
      </c>
      <c r="C163" s="227" t="s">
        <v>167</v>
      </c>
      <c r="D163" s="228" t="s">
        <v>190</v>
      </c>
      <c r="E163" s="228" t="s">
        <v>172</v>
      </c>
      <c r="F163" s="228" t="s">
        <v>211</v>
      </c>
      <c r="G163" s="228"/>
      <c r="H163" s="228"/>
      <c r="I163" s="228"/>
      <c r="J163" s="228"/>
      <c r="K163" s="229"/>
      <c r="L163" s="230"/>
      <c r="M163" s="231" t="s">
        <v>282</v>
      </c>
      <c r="N163" s="232">
        <v>1000000000</v>
      </c>
      <c r="O163" s="232">
        <v>0</v>
      </c>
      <c r="P163" s="233">
        <f t="shared" si="130"/>
        <v>0</v>
      </c>
      <c r="Q163" s="232">
        <v>0</v>
      </c>
      <c r="R163" s="233">
        <f t="shared" si="130"/>
        <v>0</v>
      </c>
      <c r="S163" s="232">
        <v>0</v>
      </c>
      <c r="T163" s="233">
        <f t="shared" ref="T163" si="158">+S163/$N163</f>
        <v>0</v>
      </c>
      <c r="V163" s="13"/>
      <c r="W163" s="293"/>
    </row>
    <row r="164" spans="1:45" s="90" customFormat="1" ht="33">
      <c r="A164" s="32" t="s">
        <v>521</v>
      </c>
      <c r="B164" s="210" t="s">
        <v>522</v>
      </c>
      <c r="C164" s="211" t="s">
        <v>167</v>
      </c>
      <c r="D164" s="212" t="s">
        <v>190</v>
      </c>
      <c r="E164" s="212" t="s">
        <v>172</v>
      </c>
      <c r="F164" s="212" t="s">
        <v>211</v>
      </c>
      <c r="G164" s="212" t="s">
        <v>175</v>
      </c>
      <c r="H164" s="212" t="s">
        <v>213</v>
      </c>
      <c r="I164" s="212"/>
      <c r="J164" s="212"/>
      <c r="K164" s="213" t="s">
        <v>144</v>
      </c>
      <c r="L164" s="214" t="s">
        <v>29</v>
      </c>
      <c r="M164" s="210" t="s">
        <v>214</v>
      </c>
      <c r="N164" s="215">
        <v>730000000</v>
      </c>
      <c r="O164" s="215">
        <v>0</v>
      </c>
      <c r="P164" s="216">
        <f t="shared" si="130"/>
        <v>0</v>
      </c>
      <c r="Q164" s="215">
        <v>0</v>
      </c>
      <c r="R164" s="216">
        <f t="shared" si="130"/>
        <v>0</v>
      </c>
      <c r="S164" s="215">
        <v>0</v>
      </c>
      <c r="T164" s="216">
        <f t="shared" ref="T164" si="159">+S164/$N164</f>
        <v>0</v>
      </c>
      <c r="U164" s="13"/>
      <c r="V164" s="13"/>
      <c r="W164" s="29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</row>
    <row r="165" spans="1:45" s="90" customFormat="1" ht="24.95" customHeight="1">
      <c r="A165" s="32" t="s">
        <v>523</v>
      </c>
      <c r="B165" s="217" t="s">
        <v>524</v>
      </c>
      <c r="C165" s="218" t="s">
        <v>167</v>
      </c>
      <c r="D165" s="219" t="s">
        <v>190</v>
      </c>
      <c r="E165" s="219" t="s">
        <v>172</v>
      </c>
      <c r="F165" s="219" t="s">
        <v>211</v>
      </c>
      <c r="G165" s="219" t="s">
        <v>175</v>
      </c>
      <c r="H165" s="219" t="s">
        <v>213</v>
      </c>
      <c r="I165" s="219" t="s">
        <v>54</v>
      </c>
      <c r="J165" s="219"/>
      <c r="K165" s="220" t="s">
        <v>144</v>
      </c>
      <c r="L165" s="221" t="s">
        <v>29</v>
      </c>
      <c r="M165" s="259" t="s">
        <v>178</v>
      </c>
      <c r="N165" s="222">
        <v>730000000</v>
      </c>
      <c r="O165" s="222">
        <v>0</v>
      </c>
      <c r="P165" s="224">
        <f t="shared" si="130"/>
        <v>0</v>
      </c>
      <c r="Q165" s="222">
        <v>0</v>
      </c>
      <c r="R165" s="224">
        <f t="shared" si="130"/>
        <v>0</v>
      </c>
      <c r="S165" s="222">
        <v>0</v>
      </c>
      <c r="T165" s="224">
        <f t="shared" ref="T165" si="160">+S165/$N165</f>
        <v>0</v>
      </c>
      <c r="U165" s="13"/>
      <c r="V165" s="13"/>
      <c r="W165" s="29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</row>
    <row r="166" spans="1:45" s="90" customFormat="1" ht="24.95" customHeight="1">
      <c r="A166" s="32" t="s">
        <v>525</v>
      </c>
      <c r="B166" s="210" t="s">
        <v>526</v>
      </c>
      <c r="C166" s="211" t="s">
        <v>167</v>
      </c>
      <c r="D166" s="212" t="s">
        <v>190</v>
      </c>
      <c r="E166" s="212" t="s">
        <v>172</v>
      </c>
      <c r="F166" s="212" t="s">
        <v>211</v>
      </c>
      <c r="G166" s="212" t="s">
        <v>175</v>
      </c>
      <c r="H166" s="212" t="s">
        <v>215</v>
      </c>
      <c r="I166" s="212"/>
      <c r="J166" s="212"/>
      <c r="K166" s="213" t="s">
        <v>144</v>
      </c>
      <c r="L166" s="214" t="s">
        <v>29</v>
      </c>
      <c r="M166" s="210" t="s">
        <v>216</v>
      </c>
      <c r="N166" s="215">
        <v>270000000</v>
      </c>
      <c r="O166" s="215">
        <v>0</v>
      </c>
      <c r="P166" s="216">
        <f t="shared" si="130"/>
        <v>0</v>
      </c>
      <c r="Q166" s="215">
        <v>0</v>
      </c>
      <c r="R166" s="216">
        <f t="shared" si="130"/>
        <v>0</v>
      </c>
      <c r="S166" s="215">
        <v>0</v>
      </c>
      <c r="T166" s="216">
        <f t="shared" ref="T166" si="161">+S166/$N166</f>
        <v>0</v>
      </c>
      <c r="U166" s="13"/>
      <c r="V166" s="13"/>
      <c r="W166" s="29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</row>
    <row r="167" spans="1:45" s="90" customFormat="1" ht="24.95" customHeight="1">
      <c r="A167" s="32" t="s">
        <v>527</v>
      </c>
      <c r="B167" s="217" t="s">
        <v>528</v>
      </c>
      <c r="C167" s="218" t="s">
        <v>167</v>
      </c>
      <c r="D167" s="219" t="s">
        <v>190</v>
      </c>
      <c r="E167" s="219" t="s">
        <v>172</v>
      </c>
      <c r="F167" s="219" t="s">
        <v>211</v>
      </c>
      <c r="G167" s="219" t="s">
        <v>175</v>
      </c>
      <c r="H167" s="219" t="s">
        <v>215</v>
      </c>
      <c r="I167" s="219" t="s">
        <v>54</v>
      </c>
      <c r="J167" s="219"/>
      <c r="K167" s="220" t="s">
        <v>144</v>
      </c>
      <c r="L167" s="221" t="s">
        <v>29</v>
      </c>
      <c r="M167" s="259" t="s">
        <v>178</v>
      </c>
      <c r="N167" s="222">
        <v>270000000</v>
      </c>
      <c r="O167" s="222">
        <v>0</v>
      </c>
      <c r="P167" s="224">
        <f t="shared" si="130"/>
        <v>0</v>
      </c>
      <c r="Q167" s="222">
        <v>0</v>
      </c>
      <c r="R167" s="224">
        <f t="shared" si="130"/>
        <v>0</v>
      </c>
      <c r="S167" s="222">
        <v>0</v>
      </c>
      <c r="T167" s="224">
        <f t="shared" ref="T167" si="162">+S167/$N167</f>
        <v>0</v>
      </c>
      <c r="U167" s="13"/>
      <c r="V167" s="13"/>
      <c r="W167" s="29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</row>
    <row r="168" spans="1:45" s="90" customFormat="1" ht="82.5">
      <c r="A168" s="32" t="s">
        <v>529</v>
      </c>
      <c r="B168" s="226" t="s">
        <v>530</v>
      </c>
      <c r="C168" s="227" t="s">
        <v>167</v>
      </c>
      <c r="D168" s="228" t="s">
        <v>190</v>
      </c>
      <c r="E168" s="228" t="s">
        <v>172</v>
      </c>
      <c r="F168" s="228" t="s">
        <v>217</v>
      </c>
      <c r="G168" s="228"/>
      <c r="H168" s="228"/>
      <c r="I168" s="228"/>
      <c r="J168" s="228"/>
      <c r="K168" s="229"/>
      <c r="L168" s="230"/>
      <c r="M168" s="231" t="s">
        <v>283</v>
      </c>
      <c r="N168" s="232">
        <v>43583395677</v>
      </c>
      <c r="O168" s="232">
        <v>38767685879</v>
      </c>
      <c r="P168" s="233">
        <f t="shared" si="130"/>
        <v>0.88950586058760528</v>
      </c>
      <c r="Q168" s="232">
        <v>2239678341</v>
      </c>
      <c r="R168" s="233">
        <f t="shared" si="130"/>
        <v>5.1388339669502431E-2</v>
      </c>
      <c r="S168" s="232">
        <v>2239678341</v>
      </c>
      <c r="T168" s="233">
        <f t="shared" ref="T168" si="163">+S168/$N168</f>
        <v>5.1388339669502431E-2</v>
      </c>
      <c r="U168" s="13"/>
      <c r="V168" s="13"/>
      <c r="W168" s="29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</row>
    <row r="169" spans="1:45" s="90" customFormat="1" ht="24.95" customHeight="1">
      <c r="A169" s="32" t="s">
        <v>651</v>
      </c>
      <c r="B169" s="210" t="s">
        <v>531</v>
      </c>
      <c r="C169" s="211" t="s">
        <v>167</v>
      </c>
      <c r="D169" s="212" t="s">
        <v>190</v>
      </c>
      <c r="E169" s="212" t="s">
        <v>172</v>
      </c>
      <c r="F169" s="212" t="s">
        <v>217</v>
      </c>
      <c r="G169" s="212" t="s">
        <v>175</v>
      </c>
      <c r="H169" s="212" t="s">
        <v>219</v>
      </c>
      <c r="I169" s="212"/>
      <c r="J169" s="212"/>
      <c r="K169" s="213">
        <v>11</v>
      </c>
      <c r="L169" s="214" t="s">
        <v>29</v>
      </c>
      <c r="M169" s="210" t="s">
        <v>220</v>
      </c>
      <c r="N169" s="215">
        <v>18254788268</v>
      </c>
      <c r="O169" s="215">
        <v>13771684585</v>
      </c>
      <c r="P169" s="216">
        <f t="shared" si="130"/>
        <v>0.75441491748996492</v>
      </c>
      <c r="Q169" s="215">
        <v>292348870</v>
      </c>
      <c r="R169" s="216">
        <f t="shared" si="130"/>
        <v>1.6014914317712316E-2</v>
      </c>
      <c r="S169" s="215">
        <v>292348870</v>
      </c>
      <c r="T169" s="216">
        <f t="shared" ref="T169" si="164">+S169/$N169</f>
        <v>1.6014914317712316E-2</v>
      </c>
      <c r="U169" s="13"/>
      <c r="V169" s="13"/>
      <c r="W169" s="29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</row>
    <row r="170" spans="1:45" s="90" customFormat="1" ht="24.95" customHeight="1">
      <c r="A170" s="32" t="s">
        <v>652</v>
      </c>
      <c r="B170" s="217" t="s">
        <v>532</v>
      </c>
      <c r="C170" s="266" t="s">
        <v>167</v>
      </c>
      <c r="D170" s="267" t="s">
        <v>190</v>
      </c>
      <c r="E170" s="267" t="s">
        <v>172</v>
      </c>
      <c r="F170" s="267" t="s">
        <v>217</v>
      </c>
      <c r="G170" s="267" t="s">
        <v>175</v>
      </c>
      <c r="H170" s="267" t="s">
        <v>219</v>
      </c>
      <c r="I170" s="267" t="s">
        <v>54</v>
      </c>
      <c r="J170" s="267"/>
      <c r="K170" s="268">
        <v>11</v>
      </c>
      <c r="L170" s="269" t="s">
        <v>29</v>
      </c>
      <c r="M170" s="259" t="s">
        <v>178</v>
      </c>
      <c r="N170" s="222">
        <v>18254788268</v>
      </c>
      <c r="O170" s="222">
        <v>13771684585</v>
      </c>
      <c r="P170" s="224">
        <f t="shared" si="130"/>
        <v>0.75441491748996492</v>
      </c>
      <c r="Q170" s="222">
        <v>292348870</v>
      </c>
      <c r="R170" s="224">
        <f t="shared" si="130"/>
        <v>1.6014914317712316E-2</v>
      </c>
      <c r="S170" s="222">
        <v>292348870</v>
      </c>
      <c r="T170" s="224">
        <f t="shared" ref="T170" si="165">+S170/$N170</f>
        <v>1.6014914317712316E-2</v>
      </c>
      <c r="U170" s="13"/>
      <c r="V170" s="13"/>
      <c r="W170" s="29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</row>
    <row r="171" spans="1:45" s="90" customFormat="1" ht="33">
      <c r="A171" s="32" t="s">
        <v>653</v>
      </c>
      <c r="B171" s="210" t="s">
        <v>533</v>
      </c>
      <c r="C171" s="211" t="s">
        <v>167</v>
      </c>
      <c r="D171" s="212" t="s">
        <v>190</v>
      </c>
      <c r="E171" s="212" t="s">
        <v>172</v>
      </c>
      <c r="F171" s="212" t="s">
        <v>217</v>
      </c>
      <c r="G171" s="212" t="s">
        <v>175</v>
      </c>
      <c r="H171" s="212" t="s">
        <v>221</v>
      </c>
      <c r="I171" s="212"/>
      <c r="J171" s="212"/>
      <c r="K171" s="213">
        <v>11</v>
      </c>
      <c r="L171" s="214" t="s">
        <v>29</v>
      </c>
      <c r="M171" s="210" t="s">
        <v>222</v>
      </c>
      <c r="N171" s="215">
        <v>21101342352</v>
      </c>
      <c r="O171" s="215">
        <v>21101342352</v>
      </c>
      <c r="P171" s="216">
        <f t="shared" si="130"/>
        <v>1</v>
      </c>
      <c r="Q171" s="215">
        <v>0</v>
      </c>
      <c r="R171" s="216">
        <f t="shared" si="130"/>
        <v>0</v>
      </c>
      <c r="S171" s="215">
        <v>0</v>
      </c>
      <c r="T171" s="216">
        <f t="shared" ref="T171" si="166">+S171/$N171</f>
        <v>0</v>
      </c>
      <c r="U171" s="13"/>
      <c r="V171" s="13"/>
      <c r="W171" s="29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</row>
    <row r="172" spans="1:45" s="90" customFormat="1" ht="24.95" customHeight="1">
      <c r="A172" s="32" t="s">
        <v>654</v>
      </c>
      <c r="B172" s="217" t="s">
        <v>535</v>
      </c>
      <c r="C172" s="266" t="s">
        <v>167</v>
      </c>
      <c r="D172" s="267" t="s">
        <v>190</v>
      </c>
      <c r="E172" s="267" t="s">
        <v>172</v>
      </c>
      <c r="F172" s="267" t="s">
        <v>217</v>
      </c>
      <c r="G172" s="267" t="s">
        <v>175</v>
      </c>
      <c r="H172" s="267" t="s">
        <v>221</v>
      </c>
      <c r="I172" s="274" t="s">
        <v>65</v>
      </c>
      <c r="J172" s="267"/>
      <c r="K172" s="268">
        <v>11</v>
      </c>
      <c r="L172" s="269" t="s">
        <v>29</v>
      </c>
      <c r="M172" s="259" t="s">
        <v>127</v>
      </c>
      <c r="N172" s="222">
        <v>21101342352</v>
      </c>
      <c r="O172" s="222">
        <v>21101342352</v>
      </c>
      <c r="P172" s="224">
        <f t="shared" si="130"/>
        <v>1</v>
      </c>
      <c r="Q172" s="222">
        <v>0</v>
      </c>
      <c r="R172" s="224">
        <f t="shared" si="130"/>
        <v>0</v>
      </c>
      <c r="S172" s="222">
        <v>0</v>
      </c>
      <c r="T172" s="224">
        <f t="shared" ref="T172" si="167">+S172/$N172</f>
        <v>0</v>
      </c>
      <c r="U172" s="13"/>
      <c r="V172" s="13"/>
      <c r="W172" s="29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</row>
    <row r="173" spans="1:45" s="90" customFormat="1" ht="49.5">
      <c r="A173" s="32" t="s">
        <v>655</v>
      </c>
      <c r="B173" s="210" t="s">
        <v>536</v>
      </c>
      <c r="C173" s="211" t="s">
        <v>167</v>
      </c>
      <c r="D173" s="212" t="s">
        <v>190</v>
      </c>
      <c r="E173" s="212" t="s">
        <v>172</v>
      </c>
      <c r="F173" s="212" t="s">
        <v>217</v>
      </c>
      <c r="G173" s="212" t="s">
        <v>175</v>
      </c>
      <c r="H173" s="212" t="s">
        <v>223</v>
      </c>
      <c r="I173" s="212"/>
      <c r="J173" s="212"/>
      <c r="K173" s="213">
        <v>11</v>
      </c>
      <c r="L173" s="214" t="s">
        <v>29</v>
      </c>
      <c r="M173" s="210" t="s">
        <v>224</v>
      </c>
      <c r="N173" s="215">
        <v>2919317645</v>
      </c>
      <c r="O173" s="215">
        <v>2919317645</v>
      </c>
      <c r="P173" s="216">
        <f t="shared" si="130"/>
        <v>1</v>
      </c>
      <c r="Q173" s="215">
        <v>971988174</v>
      </c>
      <c r="R173" s="216">
        <f t="shared" si="130"/>
        <v>0.33295046726578464</v>
      </c>
      <c r="S173" s="215">
        <v>971988174</v>
      </c>
      <c r="T173" s="216">
        <f t="shared" ref="T173" si="168">+S173/$N173</f>
        <v>0.33295046726578464</v>
      </c>
      <c r="U173" s="13"/>
      <c r="V173" s="13"/>
      <c r="W173" s="29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</row>
    <row r="174" spans="1:45" s="90" customFormat="1" ht="24.95" customHeight="1">
      <c r="A174" s="32" t="s">
        <v>538</v>
      </c>
      <c r="B174" s="217" t="s">
        <v>537</v>
      </c>
      <c r="C174" s="266" t="s">
        <v>167</v>
      </c>
      <c r="D174" s="267" t="s">
        <v>190</v>
      </c>
      <c r="E174" s="267" t="s">
        <v>172</v>
      </c>
      <c r="F174" s="267" t="s">
        <v>217</v>
      </c>
      <c r="G174" s="267" t="s">
        <v>175</v>
      </c>
      <c r="H174" s="267" t="s">
        <v>223</v>
      </c>
      <c r="I174" s="267" t="s">
        <v>54</v>
      </c>
      <c r="J174" s="267"/>
      <c r="K174" s="268">
        <v>11</v>
      </c>
      <c r="L174" s="269" t="s">
        <v>29</v>
      </c>
      <c r="M174" s="259" t="s">
        <v>178</v>
      </c>
      <c r="N174" s="222">
        <v>2919317645</v>
      </c>
      <c r="O174" s="222">
        <v>2919317645</v>
      </c>
      <c r="P174" s="224">
        <f t="shared" si="130"/>
        <v>1</v>
      </c>
      <c r="Q174" s="222">
        <v>971988174</v>
      </c>
      <c r="R174" s="224">
        <f t="shared" si="130"/>
        <v>0.33295046726578464</v>
      </c>
      <c r="S174" s="222">
        <v>971988174</v>
      </c>
      <c r="T174" s="224">
        <f t="shared" ref="T174" si="169">+S174/$N174</f>
        <v>0.33295046726578464</v>
      </c>
      <c r="U174" s="13"/>
      <c r="V174" s="13"/>
      <c r="W174" s="29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</row>
    <row r="175" spans="1:45" s="90" customFormat="1" ht="49.5">
      <c r="A175" s="32" t="s">
        <v>656</v>
      </c>
      <c r="B175" s="210" t="s">
        <v>540</v>
      </c>
      <c r="C175" s="211" t="s">
        <v>167</v>
      </c>
      <c r="D175" s="212" t="s">
        <v>190</v>
      </c>
      <c r="E175" s="212" t="s">
        <v>172</v>
      </c>
      <c r="F175" s="212" t="s">
        <v>217</v>
      </c>
      <c r="G175" s="212" t="s">
        <v>175</v>
      </c>
      <c r="H175" s="212" t="s">
        <v>225</v>
      </c>
      <c r="I175" s="212"/>
      <c r="J175" s="212"/>
      <c r="K175" s="213">
        <v>11</v>
      </c>
      <c r="L175" s="214" t="s">
        <v>29</v>
      </c>
      <c r="M175" s="210" t="s">
        <v>226</v>
      </c>
      <c r="N175" s="215">
        <v>1307947412</v>
      </c>
      <c r="O175" s="215">
        <v>975341297</v>
      </c>
      <c r="P175" s="216">
        <f t="shared" si="130"/>
        <v>0.74570375540450251</v>
      </c>
      <c r="Q175" s="215">
        <v>975341297</v>
      </c>
      <c r="R175" s="216">
        <f t="shared" si="130"/>
        <v>0.74570375540450251</v>
      </c>
      <c r="S175" s="215">
        <v>975341297</v>
      </c>
      <c r="T175" s="216">
        <f t="shared" ref="T175" si="170">+S175/$N175</f>
        <v>0.74570375540450251</v>
      </c>
      <c r="U175" s="13"/>
      <c r="V175" s="13"/>
      <c r="W175" s="29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</row>
    <row r="176" spans="1:45" s="90" customFormat="1" ht="24.95" customHeight="1">
      <c r="A176" s="32" t="s">
        <v>542</v>
      </c>
      <c r="B176" s="217" t="s">
        <v>541</v>
      </c>
      <c r="C176" s="266" t="s">
        <v>167</v>
      </c>
      <c r="D176" s="267" t="s">
        <v>190</v>
      </c>
      <c r="E176" s="267" t="s">
        <v>172</v>
      </c>
      <c r="F176" s="267" t="s">
        <v>217</v>
      </c>
      <c r="G176" s="267" t="s">
        <v>175</v>
      </c>
      <c r="H176" s="267" t="s">
        <v>225</v>
      </c>
      <c r="I176" s="267" t="s">
        <v>54</v>
      </c>
      <c r="J176" s="267"/>
      <c r="K176" s="268">
        <v>11</v>
      </c>
      <c r="L176" s="269" t="s">
        <v>29</v>
      </c>
      <c r="M176" s="259" t="s">
        <v>178</v>
      </c>
      <c r="N176" s="222">
        <v>1307947412</v>
      </c>
      <c r="O176" s="222">
        <v>975341297</v>
      </c>
      <c r="P176" s="224">
        <f t="shared" si="130"/>
        <v>0.74570375540450251</v>
      </c>
      <c r="Q176" s="222">
        <v>975341297</v>
      </c>
      <c r="R176" s="224">
        <f t="shared" si="130"/>
        <v>0.74570375540450251</v>
      </c>
      <c r="S176" s="222">
        <v>975341297</v>
      </c>
      <c r="T176" s="224">
        <f t="shared" ref="T176" si="171">+S176/$N176</f>
        <v>0.74570375540450251</v>
      </c>
      <c r="U176" s="13"/>
      <c r="V176" s="13"/>
      <c r="W176" s="29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</row>
    <row r="177" spans="1:45" s="90" customFormat="1" ht="66">
      <c r="A177" s="32" t="s">
        <v>657</v>
      </c>
      <c r="B177" s="226" t="s">
        <v>658</v>
      </c>
      <c r="C177" s="227" t="s">
        <v>167</v>
      </c>
      <c r="D177" s="228" t="s">
        <v>190</v>
      </c>
      <c r="E177" s="228" t="s">
        <v>172</v>
      </c>
      <c r="F177" s="228">
        <v>18</v>
      </c>
      <c r="G177" s="228"/>
      <c r="H177" s="228"/>
      <c r="I177" s="228"/>
      <c r="J177" s="228"/>
      <c r="K177" s="229"/>
      <c r="L177" s="230"/>
      <c r="M177" s="231" t="s">
        <v>284</v>
      </c>
      <c r="N177" s="232">
        <v>10125561842</v>
      </c>
      <c r="O177" s="232">
        <v>3442064618.9200001</v>
      </c>
      <c r="P177" s="233">
        <f t="shared" si="130"/>
        <v>0.33993813603928608</v>
      </c>
      <c r="Q177" s="232">
        <v>373515036.38</v>
      </c>
      <c r="R177" s="233">
        <f t="shared" si="130"/>
        <v>3.6888327009242119E-2</v>
      </c>
      <c r="S177" s="232">
        <v>373515036.38</v>
      </c>
      <c r="T177" s="233">
        <f t="shared" ref="T177" si="172">+S177/$N177</f>
        <v>3.6888327009242119E-2</v>
      </c>
      <c r="U177" s="13"/>
      <c r="V177" s="13"/>
      <c r="W177" s="29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</row>
    <row r="178" spans="1:45" s="90" customFormat="1" ht="33">
      <c r="A178" s="32" t="s">
        <v>659</v>
      </c>
      <c r="B178" s="210" t="s">
        <v>660</v>
      </c>
      <c r="C178" s="211" t="s">
        <v>167</v>
      </c>
      <c r="D178" s="212" t="s">
        <v>190</v>
      </c>
      <c r="E178" s="212" t="s">
        <v>172</v>
      </c>
      <c r="F178" s="212">
        <v>18</v>
      </c>
      <c r="G178" s="212" t="s">
        <v>175</v>
      </c>
      <c r="H178" s="212">
        <v>4103050</v>
      </c>
      <c r="I178" s="212"/>
      <c r="J178" s="212"/>
      <c r="K178" s="213">
        <v>11</v>
      </c>
      <c r="L178" s="214" t="s">
        <v>29</v>
      </c>
      <c r="M178" s="210" t="s">
        <v>269</v>
      </c>
      <c r="N178" s="215">
        <v>10125561842</v>
      </c>
      <c r="O178" s="215">
        <v>3442064618.9200001</v>
      </c>
      <c r="P178" s="216">
        <f t="shared" si="130"/>
        <v>0.33993813603928608</v>
      </c>
      <c r="Q178" s="215">
        <v>373515036.38</v>
      </c>
      <c r="R178" s="216">
        <f t="shared" si="130"/>
        <v>3.6888327009242119E-2</v>
      </c>
      <c r="S178" s="215">
        <v>373515036.38</v>
      </c>
      <c r="T178" s="216">
        <f t="shared" ref="T178" si="173">+S178/$N178</f>
        <v>3.6888327009242119E-2</v>
      </c>
      <c r="U178" s="13"/>
      <c r="V178" s="13"/>
      <c r="W178" s="29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</row>
    <row r="179" spans="1:45" s="90" customFormat="1" ht="24.95" customHeight="1">
      <c r="A179" s="32" t="s">
        <v>661</v>
      </c>
      <c r="B179" s="217" t="s">
        <v>662</v>
      </c>
      <c r="C179" s="266" t="s">
        <v>167</v>
      </c>
      <c r="D179" s="267" t="s">
        <v>190</v>
      </c>
      <c r="E179" s="267" t="s">
        <v>172</v>
      </c>
      <c r="F179" s="267">
        <v>18</v>
      </c>
      <c r="G179" s="267" t="s">
        <v>175</v>
      </c>
      <c r="H179" s="267">
        <v>4103050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10125561842</v>
      </c>
      <c r="O179" s="222">
        <v>3442064618.9200001</v>
      </c>
      <c r="P179" s="224">
        <f t="shared" si="130"/>
        <v>0.33993813603928608</v>
      </c>
      <c r="Q179" s="222">
        <v>373515036.38</v>
      </c>
      <c r="R179" s="224">
        <f t="shared" si="130"/>
        <v>3.6888327009242119E-2</v>
      </c>
      <c r="S179" s="222">
        <v>373515036.38</v>
      </c>
      <c r="T179" s="224">
        <f t="shared" ref="T179" si="174">+S179/$N179</f>
        <v>3.6888327009242119E-2</v>
      </c>
      <c r="U179" s="13"/>
      <c r="V179" s="13"/>
      <c r="W179" s="29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</row>
    <row r="180" spans="1:45" s="90" customFormat="1" ht="33">
      <c r="A180" s="32" t="s">
        <v>663</v>
      </c>
      <c r="B180" s="226" t="s">
        <v>664</v>
      </c>
      <c r="C180" s="227" t="s">
        <v>167</v>
      </c>
      <c r="D180" s="228" t="s">
        <v>190</v>
      </c>
      <c r="E180" s="228" t="s">
        <v>172</v>
      </c>
      <c r="F180" s="228">
        <v>19</v>
      </c>
      <c r="G180" s="228"/>
      <c r="H180" s="228"/>
      <c r="I180" s="228"/>
      <c r="J180" s="228"/>
      <c r="K180" s="229"/>
      <c r="L180" s="230"/>
      <c r="M180" s="231" t="s">
        <v>285</v>
      </c>
      <c r="N180" s="232">
        <v>11281479935</v>
      </c>
      <c r="O180" s="232">
        <v>3562360026.0500002</v>
      </c>
      <c r="P180" s="233">
        <f t="shared" si="130"/>
        <v>0.31577062996832783</v>
      </c>
      <c r="Q180" s="232">
        <v>187792690</v>
      </c>
      <c r="R180" s="233">
        <f t="shared" si="130"/>
        <v>1.6646104153178198E-2</v>
      </c>
      <c r="S180" s="232">
        <v>187792690</v>
      </c>
      <c r="T180" s="233">
        <f t="shared" ref="T180" si="175">+S180/$N180</f>
        <v>1.6646104153178198E-2</v>
      </c>
      <c r="U180" s="13"/>
      <c r="V180" s="13"/>
      <c r="W180" s="29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</row>
    <row r="181" spans="1:45" s="90" customFormat="1" ht="49.5">
      <c r="A181" s="32" t="s">
        <v>665</v>
      </c>
      <c r="B181" s="210" t="s">
        <v>666</v>
      </c>
      <c r="C181" s="211" t="s">
        <v>167</v>
      </c>
      <c r="D181" s="212" t="s">
        <v>190</v>
      </c>
      <c r="E181" s="212" t="s">
        <v>172</v>
      </c>
      <c r="F181" s="212">
        <v>19</v>
      </c>
      <c r="G181" s="212" t="s">
        <v>175</v>
      </c>
      <c r="H181" s="212">
        <v>4103049</v>
      </c>
      <c r="I181" s="212"/>
      <c r="J181" s="212"/>
      <c r="K181" s="213">
        <v>11</v>
      </c>
      <c r="L181" s="214" t="s">
        <v>29</v>
      </c>
      <c r="M181" s="210" t="s">
        <v>228</v>
      </c>
      <c r="N181" s="215">
        <v>218772000</v>
      </c>
      <c r="O181" s="215">
        <v>193677224</v>
      </c>
      <c r="P181" s="216">
        <f t="shared" si="130"/>
        <v>0.88529256029107928</v>
      </c>
      <c r="Q181" s="215">
        <v>2041410</v>
      </c>
      <c r="R181" s="216">
        <f t="shared" si="130"/>
        <v>9.3312215457188302E-3</v>
      </c>
      <c r="S181" s="215">
        <v>2041410</v>
      </c>
      <c r="T181" s="216">
        <f t="shared" ref="T181" si="176">+S181/$N181</f>
        <v>9.3312215457188302E-3</v>
      </c>
      <c r="U181" s="13"/>
      <c r="V181" s="13"/>
      <c r="W181" s="29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</row>
    <row r="182" spans="1:45" s="90" customFormat="1" ht="24.95" customHeight="1">
      <c r="A182" s="32" t="s">
        <v>667</v>
      </c>
      <c r="B182" s="217" t="s">
        <v>668</v>
      </c>
      <c r="C182" s="266" t="s">
        <v>167</v>
      </c>
      <c r="D182" s="267" t="s">
        <v>190</v>
      </c>
      <c r="E182" s="267" t="s">
        <v>172</v>
      </c>
      <c r="F182" s="267">
        <v>19</v>
      </c>
      <c r="G182" s="267" t="s">
        <v>175</v>
      </c>
      <c r="H182" s="267">
        <v>4103049</v>
      </c>
      <c r="I182" s="267" t="s">
        <v>54</v>
      </c>
      <c r="J182" s="267"/>
      <c r="K182" s="268">
        <v>11</v>
      </c>
      <c r="L182" s="269" t="s">
        <v>29</v>
      </c>
      <c r="M182" s="259" t="s">
        <v>178</v>
      </c>
      <c r="N182" s="222">
        <v>218772000</v>
      </c>
      <c r="O182" s="222">
        <v>193677224</v>
      </c>
      <c r="P182" s="224">
        <f t="shared" si="130"/>
        <v>0.88529256029107928</v>
      </c>
      <c r="Q182" s="222">
        <v>2041410</v>
      </c>
      <c r="R182" s="224">
        <f t="shared" si="130"/>
        <v>9.3312215457188302E-3</v>
      </c>
      <c r="S182" s="222">
        <v>2041410</v>
      </c>
      <c r="T182" s="224">
        <f t="shared" ref="T182" si="177">+S182/$N182</f>
        <v>9.3312215457188302E-3</v>
      </c>
      <c r="U182" s="13"/>
      <c r="V182" s="13"/>
      <c r="W182" s="29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</row>
    <row r="183" spans="1:45" s="90" customFormat="1" ht="34.5" customHeight="1">
      <c r="A183" s="32" t="s">
        <v>669</v>
      </c>
      <c r="B183" s="210" t="s">
        <v>670</v>
      </c>
      <c r="C183" s="211" t="s">
        <v>167</v>
      </c>
      <c r="D183" s="212" t="s">
        <v>190</v>
      </c>
      <c r="E183" s="212" t="s">
        <v>172</v>
      </c>
      <c r="F183" s="212">
        <v>19</v>
      </c>
      <c r="G183" s="212" t="s">
        <v>175</v>
      </c>
      <c r="H183" s="212">
        <v>4103052</v>
      </c>
      <c r="I183" s="212"/>
      <c r="J183" s="212"/>
      <c r="K183" s="213">
        <v>11</v>
      </c>
      <c r="L183" s="214" t="s">
        <v>29</v>
      </c>
      <c r="M183" s="210" t="s">
        <v>229</v>
      </c>
      <c r="N183" s="215">
        <v>9835707936</v>
      </c>
      <c r="O183" s="215">
        <v>3368682802.0500002</v>
      </c>
      <c r="P183" s="216">
        <f t="shared" si="130"/>
        <v>0.34249520461259048</v>
      </c>
      <c r="Q183" s="215">
        <v>185751280</v>
      </c>
      <c r="R183" s="216">
        <f t="shared" si="130"/>
        <v>1.8885400136793976E-2</v>
      </c>
      <c r="S183" s="215">
        <v>185751280</v>
      </c>
      <c r="T183" s="216">
        <f t="shared" ref="T183" si="178">+S183/$N183</f>
        <v>1.8885400136793976E-2</v>
      </c>
      <c r="U183" s="13"/>
      <c r="V183" s="13"/>
      <c r="W183" s="29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</row>
    <row r="184" spans="1:45" s="90" customFormat="1" ht="24.95" customHeight="1">
      <c r="A184" s="32" t="s">
        <v>671</v>
      </c>
      <c r="B184" s="217" t="s">
        <v>672</v>
      </c>
      <c r="C184" s="266" t="s">
        <v>167</v>
      </c>
      <c r="D184" s="267" t="s">
        <v>190</v>
      </c>
      <c r="E184" s="267" t="s">
        <v>172</v>
      </c>
      <c r="F184" s="267">
        <v>19</v>
      </c>
      <c r="G184" s="267" t="s">
        <v>175</v>
      </c>
      <c r="H184" s="267">
        <v>4103052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9835707936</v>
      </c>
      <c r="O184" s="222">
        <v>3368682802.0500002</v>
      </c>
      <c r="P184" s="224">
        <f t="shared" si="130"/>
        <v>0.34249520461259048</v>
      </c>
      <c r="Q184" s="222">
        <v>185751280</v>
      </c>
      <c r="R184" s="224">
        <f t="shared" si="130"/>
        <v>1.8885400136793976E-2</v>
      </c>
      <c r="S184" s="222">
        <v>185751280</v>
      </c>
      <c r="T184" s="224">
        <f t="shared" ref="T184" si="179">+S184/$N184</f>
        <v>1.8885400136793976E-2</v>
      </c>
      <c r="U184" s="13"/>
      <c r="V184" s="13"/>
      <c r="W184" s="29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</row>
    <row r="185" spans="1:45" s="90" customFormat="1" ht="24.95" customHeight="1">
      <c r="A185" s="32" t="s">
        <v>673</v>
      </c>
      <c r="B185" s="210" t="s">
        <v>674</v>
      </c>
      <c r="C185" s="211" t="s">
        <v>167</v>
      </c>
      <c r="D185" s="212" t="s">
        <v>190</v>
      </c>
      <c r="E185" s="212" t="s">
        <v>172</v>
      </c>
      <c r="F185" s="212">
        <v>19</v>
      </c>
      <c r="G185" s="212" t="s">
        <v>175</v>
      </c>
      <c r="H185" s="212">
        <v>4103060</v>
      </c>
      <c r="I185" s="212"/>
      <c r="J185" s="212"/>
      <c r="K185" s="213">
        <v>11</v>
      </c>
      <c r="L185" s="214" t="s">
        <v>29</v>
      </c>
      <c r="M185" s="210" t="s">
        <v>216</v>
      </c>
      <c r="N185" s="215">
        <v>1226999999</v>
      </c>
      <c r="O185" s="215">
        <v>0</v>
      </c>
      <c r="P185" s="216">
        <f t="shared" si="130"/>
        <v>0</v>
      </c>
      <c r="Q185" s="215">
        <v>0</v>
      </c>
      <c r="R185" s="216">
        <f t="shared" si="130"/>
        <v>0</v>
      </c>
      <c r="S185" s="215">
        <v>0</v>
      </c>
      <c r="T185" s="216">
        <f t="shared" ref="T185" si="180">+S185/$N185</f>
        <v>0</v>
      </c>
      <c r="U185" s="13"/>
      <c r="V185" s="13"/>
      <c r="W185" s="29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</row>
    <row r="186" spans="1:45" s="90" customFormat="1" ht="24.95" customHeight="1">
      <c r="A186" s="32" t="s">
        <v>675</v>
      </c>
      <c r="B186" s="217" t="s">
        <v>676</v>
      </c>
      <c r="C186" s="266" t="s">
        <v>167</v>
      </c>
      <c r="D186" s="267" t="s">
        <v>190</v>
      </c>
      <c r="E186" s="267" t="s">
        <v>172</v>
      </c>
      <c r="F186" s="267">
        <v>19</v>
      </c>
      <c r="G186" s="267" t="s">
        <v>175</v>
      </c>
      <c r="H186" s="267">
        <v>4103060</v>
      </c>
      <c r="I186" s="267" t="s">
        <v>54</v>
      </c>
      <c r="J186" s="267"/>
      <c r="K186" s="268">
        <v>11</v>
      </c>
      <c r="L186" s="269" t="s">
        <v>29</v>
      </c>
      <c r="M186" s="259" t="s">
        <v>178</v>
      </c>
      <c r="N186" s="222">
        <v>1226999999</v>
      </c>
      <c r="O186" s="222">
        <v>0</v>
      </c>
      <c r="P186" s="224">
        <f t="shared" si="130"/>
        <v>0</v>
      </c>
      <c r="Q186" s="222">
        <v>0</v>
      </c>
      <c r="R186" s="224">
        <f t="shared" si="130"/>
        <v>0</v>
      </c>
      <c r="S186" s="222">
        <v>0</v>
      </c>
      <c r="T186" s="224">
        <f t="shared" ref="T186" si="181">+S186/$N186</f>
        <v>0</v>
      </c>
      <c r="U186" s="13"/>
      <c r="V186" s="13"/>
      <c r="W186" s="29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</row>
    <row r="187" spans="1:45" s="90" customFormat="1" ht="49.5">
      <c r="A187" s="32" t="s">
        <v>677</v>
      </c>
      <c r="B187" s="226" t="s">
        <v>678</v>
      </c>
      <c r="C187" s="227" t="s">
        <v>167</v>
      </c>
      <c r="D187" s="228" t="s">
        <v>190</v>
      </c>
      <c r="E187" s="228" t="s">
        <v>172</v>
      </c>
      <c r="F187" s="228">
        <v>20</v>
      </c>
      <c r="G187" s="228"/>
      <c r="H187" s="228"/>
      <c r="I187" s="228"/>
      <c r="J187" s="228"/>
      <c r="K187" s="229"/>
      <c r="L187" s="230"/>
      <c r="M187" s="231" t="s">
        <v>741</v>
      </c>
      <c r="N187" s="232">
        <v>280000000000</v>
      </c>
      <c r="O187" s="232">
        <v>65646000000</v>
      </c>
      <c r="P187" s="233">
        <f t="shared" si="130"/>
        <v>0.23444999999999999</v>
      </c>
      <c r="Q187" s="232">
        <v>52500000000</v>
      </c>
      <c r="R187" s="233">
        <f t="shared" si="130"/>
        <v>0.1875</v>
      </c>
      <c r="S187" s="232">
        <v>52500000000</v>
      </c>
      <c r="T187" s="233">
        <f t="shared" ref="T187" si="182">+S187/$N187</f>
        <v>0.1875</v>
      </c>
      <c r="U187" s="13"/>
      <c r="V187" s="13"/>
      <c r="W187" s="29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</row>
    <row r="188" spans="1:45" s="90" customFormat="1" ht="33">
      <c r="A188" s="32" t="s">
        <v>679</v>
      </c>
      <c r="B188" s="210" t="s">
        <v>680</v>
      </c>
      <c r="C188" s="211" t="s">
        <v>167</v>
      </c>
      <c r="D188" s="212" t="s">
        <v>190</v>
      </c>
      <c r="E188" s="212" t="s">
        <v>172</v>
      </c>
      <c r="F188" s="212">
        <v>20</v>
      </c>
      <c r="G188" s="212" t="s">
        <v>175</v>
      </c>
      <c r="H188" s="212">
        <v>4103061</v>
      </c>
      <c r="I188" s="212"/>
      <c r="J188" s="212"/>
      <c r="K188" s="213">
        <v>11</v>
      </c>
      <c r="L188" s="214" t="s">
        <v>29</v>
      </c>
      <c r="M188" s="210" t="s">
        <v>231</v>
      </c>
      <c r="N188" s="215">
        <v>280000000000</v>
      </c>
      <c r="O188" s="215">
        <v>65646000000</v>
      </c>
      <c r="P188" s="216">
        <f t="shared" si="130"/>
        <v>0.23444999999999999</v>
      </c>
      <c r="Q188" s="215">
        <v>52500000000</v>
      </c>
      <c r="R188" s="216">
        <f t="shared" si="130"/>
        <v>0.1875</v>
      </c>
      <c r="S188" s="215">
        <v>52500000000</v>
      </c>
      <c r="T188" s="216">
        <f t="shared" ref="T188" si="183">+S188/$N188</f>
        <v>0.1875</v>
      </c>
      <c r="U188" s="13"/>
      <c r="V188" s="13"/>
      <c r="W188" s="29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</row>
    <row r="189" spans="1:45" ht="24.95" customHeight="1">
      <c r="A189" s="32" t="s">
        <v>743</v>
      </c>
      <c r="B189" s="217" t="s">
        <v>744</v>
      </c>
      <c r="C189" s="218" t="s">
        <v>167</v>
      </c>
      <c r="D189" s="219" t="s">
        <v>171</v>
      </c>
      <c r="E189" s="219" t="s">
        <v>172</v>
      </c>
      <c r="F189" s="219">
        <v>20</v>
      </c>
      <c r="G189" s="219" t="s">
        <v>175</v>
      </c>
      <c r="H189" s="219">
        <v>4103061</v>
      </c>
      <c r="I189" s="219" t="s">
        <v>54</v>
      </c>
      <c r="J189" s="219"/>
      <c r="K189" s="220" t="s">
        <v>144</v>
      </c>
      <c r="L189" s="221" t="s">
        <v>29</v>
      </c>
      <c r="M189" s="259" t="s">
        <v>178</v>
      </c>
      <c r="N189" s="222">
        <v>19919000000</v>
      </c>
      <c r="O189" s="222">
        <v>13146000000</v>
      </c>
      <c r="P189" s="224">
        <f t="shared" si="130"/>
        <v>0.65997289020533156</v>
      </c>
      <c r="Q189" s="222">
        <v>0</v>
      </c>
      <c r="R189" s="224">
        <f t="shared" si="130"/>
        <v>0</v>
      </c>
      <c r="S189" s="222">
        <v>0</v>
      </c>
      <c r="T189" s="224">
        <f t="shared" ref="T189" si="184">+S189/$N189</f>
        <v>0</v>
      </c>
      <c r="V189" s="13"/>
      <c r="W189" s="293"/>
    </row>
    <row r="190" spans="1:45" ht="24.95" customHeight="1">
      <c r="A190" s="32" t="s">
        <v>745</v>
      </c>
      <c r="B190" s="217" t="s">
        <v>746</v>
      </c>
      <c r="C190" s="218" t="s">
        <v>167</v>
      </c>
      <c r="D190" s="219" t="s">
        <v>171</v>
      </c>
      <c r="E190" s="219" t="s">
        <v>172</v>
      </c>
      <c r="F190" s="219">
        <v>20</v>
      </c>
      <c r="G190" s="219" t="s">
        <v>175</v>
      </c>
      <c r="H190" s="219">
        <v>4103061</v>
      </c>
      <c r="I190" s="225" t="s">
        <v>65</v>
      </c>
      <c r="J190" s="219"/>
      <c r="K190" s="220" t="s">
        <v>144</v>
      </c>
      <c r="L190" s="221" t="s">
        <v>29</v>
      </c>
      <c r="M190" s="259" t="s">
        <v>127</v>
      </c>
      <c r="N190" s="222">
        <v>260081000000</v>
      </c>
      <c r="O190" s="222">
        <v>52500000000</v>
      </c>
      <c r="P190" s="224">
        <f t="shared" si="130"/>
        <v>0.20186018971012876</v>
      </c>
      <c r="Q190" s="222">
        <v>52500000000</v>
      </c>
      <c r="R190" s="224">
        <f t="shared" si="130"/>
        <v>0.20186018971012876</v>
      </c>
      <c r="S190" s="222">
        <v>52500000000</v>
      </c>
      <c r="T190" s="224">
        <f t="shared" ref="T190" si="185">+S190/$N190</f>
        <v>0.20186018971012876</v>
      </c>
      <c r="V190" s="13"/>
      <c r="W190" s="293"/>
    </row>
    <row r="191" spans="1:45" s="90" customFormat="1" ht="35.1" customHeight="1">
      <c r="A191" s="32" t="s">
        <v>543</v>
      </c>
      <c r="B191" s="188" t="s">
        <v>544</v>
      </c>
      <c r="C191" s="189" t="s">
        <v>167</v>
      </c>
      <c r="D191" s="191">
        <v>4199</v>
      </c>
      <c r="E191" s="191"/>
      <c r="F191" s="191"/>
      <c r="G191" s="191"/>
      <c r="H191" s="191"/>
      <c r="I191" s="191"/>
      <c r="J191" s="191"/>
      <c r="K191" s="192"/>
      <c r="L191" s="193"/>
      <c r="M191" s="188" t="s">
        <v>250</v>
      </c>
      <c r="N191" s="194">
        <v>3226548466</v>
      </c>
      <c r="O191" s="194">
        <v>1801220009.4000001</v>
      </c>
      <c r="P191" s="195">
        <f t="shared" si="130"/>
        <v>0.55824979180709444</v>
      </c>
      <c r="Q191" s="194">
        <v>1421220009</v>
      </c>
      <c r="R191" s="195">
        <f t="shared" si="130"/>
        <v>0.44047688233299886</v>
      </c>
      <c r="S191" s="194">
        <v>1421220009</v>
      </c>
      <c r="T191" s="195">
        <f t="shared" ref="T191" si="186">+S191/$N191</f>
        <v>0.44047688233299886</v>
      </c>
      <c r="U191" s="13"/>
      <c r="V191" s="13"/>
      <c r="W191" s="29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</row>
    <row r="192" spans="1:45" s="90" customFormat="1" ht="24.95" customHeight="1">
      <c r="A192" s="32" t="s">
        <v>545</v>
      </c>
      <c r="B192" s="196" t="s">
        <v>300</v>
      </c>
      <c r="C192" s="197" t="s">
        <v>167</v>
      </c>
      <c r="D192" s="198">
        <v>4199</v>
      </c>
      <c r="E192" s="198">
        <v>1500</v>
      </c>
      <c r="F192" s="198"/>
      <c r="G192" s="198"/>
      <c r="H192" s="198"/>
      <c r="I192" s="198"/>
      <c r="J192" s="198"/>
      <c r="K192" s="199"/>
      <c r="L192" s="200"/>
      <c r="M192" s="196" t="s">
        <v>170</v>
      </c>
      <c r="N192" s="201">
        <v>3226548466</v>
      </c>
      <c r="O192" s="201">
        <v>1801220009.4000001</v>
      </c>
      <c r="P192" s="202">
        <f t="shared" si="130"/>
        <v>0.55824979180709444</v>
      </c>
      <c r="Q192" s="201">
        <v>1421220009</v>
      </c>
      <c r="R192" s="202">
        <f t="shared" si="130"/>
        <v>0.44047688233299886</v>
      </c>
      <c r="S192" s="201">
        <v>1421220009</v>
      </c>
      <c r="T192" s="202">
        <f t="shared" ref="T192" si="187">+S192/$N192</f>
        <v>0.44047688233299886</v>
      </c>
      <c r="U192" s="13"/>
      <c r="V192" s="13"/>
      <c r="W192" s="29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</row>
    <row r="193" spans="1:45" s="90" customFormat="1" ht="49.5">
      <c r="A193" s="32" t="s">
        <v>546</v>
      </c>
      <c r="B193" s="203" t="s">
        <v>547</v>
      </c>
      <c r="C193" s="227" t="s">
        <v>167</v>
      </c>
      <c r="D193" s="228" t="s">
        <v>251</v>
      </c>
      <c r="E193" s="228" t="s">
        <v>172</v>
      </c>
      <c r="F193" s="228" t="s">
        <v>252</v>
      </c>
      <c r="G193" s="228"/>
      <c r="H193" s="228"/>
      <c r="I193" s="228"/>
      <c r="J193" s="228"/>
      <c r="K193" s="229"/>
      <c r="L193" s="230"/>
      <c r="M193" s="231" t="s">
        <v>287</v>
      </c>
      <c r="N193" s="232">
        <v>3226548466</v>
      </c>
      <c r="O193" s="232">
        <v>1801220009.4000001</v>
      </c>
      <c r="P193" s="233">
        <f t="shared" si="130"/>
        <v>0.55824979180709444</v>
      </c>
      <c r="Q193" s="232">
        <v>1421220009</v>
      </c>
      <c r="R193" s="233">
        <f t="shared" si="130"/>
        <v>0.44047688233299886</v>
      </c>
      <c r="S193" s="232">
        <v>1421220009</v>
      </c>
      <c r="T193" s="233">
        <f t="shared" ref="T193" si="188">+S193/$N193</f>
        <v>0.44047688233299886</v>
      </c>
      <c r="U193" s="13"/>
      <c r="V193" s="13"/>
      <c r="W193" s="29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</row>
    <row r="194" spans="1:45" s="90" customFormat="1" ht="24.95" customHeight="1">
      <c r="A194" s="32" t="s">
        <v>688</v>
      </c>
      <c r="B194" s="210" t="s">
        <v>548</v>
      </c>
      <c r="C194" s="211" t="s">
        <v>167</v>
      </c>
      <c r="D194" s="212" t="s">
        <v>251</v>
      </c>
      <c r="E194" s="212" t="s">
        <v>172</v>
      </c>
      <c r="F194" s="212" t="s">
        <v>252</v>
      </c>
      <c r="G194" s="212" t="s">
        <v>175</v>
      </c>
      <c r="H194" s="212" t="s">
        <v>254</v>
      </c>
      <c r="I194" s="212"/>
      <c r="J194" s="212"/>
      <c r="K194" s="213">
        <v>11</v>
      </c>
      <c r="L194" s="214" t="s">
        <v>29</v>
      </c>
      <c r="M194" s="210" t="s">
        <v>255</v>
      </c>
      <c r="N194" s="215">
        <v>3226548466</v>
      </c>
      <c r="O194" s="215">
        <v>1801220009.4000001</v>
      </c>
      <c r="P194" s="216">
        <f t="shared" si="130"/>
        <v>0.55824979180709444</v>
      </c>
      <c r="Q194" s="215">
        <v>1421220009</v>
      </c>
      <c r="R194" s="216">
        <f t="shared" si="130"/>
        <v>0.44047688233299886</v>
      </c>
      <c r="S194" s="215">
        <v>1421220009</v>
      </c>
      <c r="T194" s="216">
        <f t="shared" ref="T194" si="189">+S194/$N194</f>
        <v>0.44047688233299886</v>
      </c>
      <c r="U194" s="13"/>
      <c r="V194" s="13"/>
      <c r="W194" s="29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</row>
    <row r="195" spans="1:45" s="90" customFormat="1" ht="24.95" customHeight="1" thickBot="1">
      <c r="A195" s="32" t="s">
        <v>689</v>
      </c>
      <c r="B195" s="217" t="s">
        <v>549</v>
      </c>
      <c r="C195" s="218" t="s">
        <v>167</v>
      </c>
      <c r="D195" s="219" t="s">
        <v>251</v>
      </c>
      <c r="E195" s="219" t="s">
        <v>172</v>
      </c>
      <c r="F195" s="219" t="s">
        <v>252</v>
      </c>
      <c r="G195" s="219" t="s">
        <v>175</v>
      </c>
      <c r="H195" s="219" t="s">
        <v>254</v>
      </c>
      <c r="I195" s="219" t="s">
        <v>54</v>
      </c>
      <c r="J195" s="219"/>
      <c r="K195" s="275">
        <v>11</v>
      </c>
      <c r="L195" s="276" t="s">
        <v>29</v>
      </c>
      <c r="M195" s="217" t="s">
        <v>178</v>
      </c>
      <c r="N195" s="222">
        <v>3226548466</v>
      </c>
      <c r="O195" s="222">
        <v>1801220009.4000001</v>
      </c>
      <c r="P195" s="224">
        <f t="shared" si="130"/>
        <v>0.55824979180709444</v>
      </c>
      <c r="Q195" s="222">
        <v>1421220009</v>
      </c>
      <c r="R195" s="224">
        <f t="shared" si="130"/>
        <v>0.44047688233299886</v>
      </c>
      <c r="S195" s="222">
        <v>1421220009</v>
      </c>
      <c r="T195" s="224">
        <f t="shared" ref="T195" si="190">+S195/$N195</f>
        <v>0.44047688233299886</v>
      </c>
      <c r="U195" s="13"/>
      <c r="V195" s="13"/>
      <c r="W195" s="29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</row>
    <row r="196" spans="1:45" s="90" customFormat="1" ht="35.1" customHeight="1" thickBot="1">
      <c r="A196" s="32"/>
      <c r="B196" s="277" t="s">
        <v>288</v>
      </c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60" t="s">
        <v>256</v>
      </c>
      <c r="N196" s="265">
        <v>3056782139470</v>
      </c>
      <c r="O196" s="265">
        <v>2678751818836.1694</v>
      </c>
      <c r="P196" s="187">
        <f t="shared" si="130"/>
        <v>0.87633063025571878</v>
      </c>
      <c r="Q196" s="265">
        <v>1103221641336.7998</v>
      </c>
      <c r="R196" s="187">
        <f t="shared" si="130"/>
        <v>0.36090947637114951</v>
      </c>
      <c r="S196" s="265">
        <v>1102787456606.2998</v>
      </c>
      <c r="T196" s="187">
        <f t="shared" ref="T196" si="191">+S196/$N196</f>
        <v>0.36076743656893601</v>
      </c>
      <c r="U196" s="13"/>
      <c r="V196" s="13"/>
      <c r="W196" s="29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</row>
    <row r="197" spans="1:45" s="90" customFormat="1" ht="16.5">
      <c r="A197" s="32"/>
      <c r="B197" s="279"/>
      <c r="C197" s="82"/>
      <c r="D197" s="82"/>
      <c r="E197" s="82"/>
      <c r="F197" s="82"/>
      <c r="G197" s="82"/>
      <c r="H197" s="83"/>
      <c r="I197" s="84"/>
      <c r="J197" s="84"/>
      <c r="K197" s="84"/>
      <c r="L197" s="84"/>
      <c r="M197" s="84"/>
      <c r="N197" s="86"/>
      <c r="O197" s="86"/>
      <c r="P197" s="87"/>
      <c r="Q197" s="86"/>
      <c r="R197" s="87"/>
      <c r="S197" s="86"/>
      <c r="T197" s="89"/>
      <c r="U197" s="13"/>
      <c r="V197" s="13"/>
      <c r="W197" s="29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</row>
    <row r="198" spans="1:45" s="90" customFormat="1" ht="16.5">
      <c r="A198" s="32" t="s">
        <v>550</v>
      </c>
      <c r="B198" s="279"/>
      <c r="C198" s="82"/>
      <c r="D198" s="82"/>
      <c r="E198" s="82"/>
      <c r="F198" s="82"/>
      <c r="G198" s="82"/>
      <c r="H198" s="83"/>
      <c r="I198" s="84"/>
      <c r="J198" s="84"/>
      <c r="K198" s="84"/>
      <c r="L198" s="84"/>
      <c r="M198" s="84"/>
      <c r="N198" s="86" t="e">
        <f>+N196-#REF!</f>
        <v>#REF!</v>
      </c>
      <c r="O198" s="86"/>
      <c r="P198" s="87"/>
      <c r="Q198" s="86"/>
      <c r="R198" s="87"/>
      <c r="S198" s="86"/>
      <c r="T198" s="89"/>
      <c r="U198" s="13"/>
      <c r="V198" s="13"/>
      <c r="W198" s="29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</row>
    <row r="199" spans="1:45" s="8" customFormat="1" ht="16.5">
      <c r="A199" s="32"/>
      <c r="B199" s="280"/>
      <c r="C199" s="94"/>
      <c r="D199" s="93"/>
      <c r="E199" s="93"/>
      <c r="F199" s="93"/>
      <c r="G199" s="93"/>
      <c r="H199" s="93"/>
      <c r="I199" s="93"/>
      <c r="J199" s="93"/>
      <c r="K199" s="93"/>
      <c r="L199" s="93"/>
      <c r="M199" s="97" t="s">
        <v>289</v>
      </c>
      <c r="N199" s="281">
        <v>3056782139470</v>
      </c>
      <c r="O199" s="281">
        <v>2678751818836.1699</v>
      </c>
      <c r="P199" s="282">
        <v>0.89587823487473217</v>
      </c>
      <c r="Q199" s="281">
        <v>1103221641336.8</v>
      </c>
      <c r="R199" s="282">
        <v>0.94058496898218857</v>
      </c>
      <c r="S199" s="281">
        <v>1102787456606.3</v>
      </c>
      <c r="T199" s="282">
        <v>5.7359234477478316E-2</v>
      </c>
      <c r="W199" s="297"/>
    </row>
    <row r="200" spans="1:45" s="289" customFormat="1" ht="16.5">
      <c r="A200" s="22"/>
      <c r="B200" s="283"/>
      <c r="C200" s="284"/>
      <c r="D200" s="285"/>
      <c r="E200" s="285"/>
      <c r="F200" s="285"/>
      <c r="G200" s="285"/>
      <c r="H200" s="285"/>
      <c r="I200" s="285"/>
      <c r="J200" s="285"/>
      <c r="K200" s="285"/>
      <c r="L200" s="285"/>
      <c r="M200" s="286" t="s">
        <v>290</v>
      </c>
      <c r="N200" s="98">
        <v>0</v>
      </c>
      <c r="O200" s="98">
        <v>0</v>
      </c>
      <c r="P200" s="287">
        <v>-1.9547604619013392E-2</v>
      </c>
      <c r="Q200" s="98">
        <v>0</v>
      </c>
      <c r="R200" s="287">
        <v>-0.35242664598237938</v>
      </c>
      <c r="S200" s="98">
        <v>0</v>
      </c>
      <c r="T200" s="288">
        <v>0</v>
      </c>
      <c r="U200" s="8"/>
      <c r="V200" s="8"/>
      <c r="W200" s="297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s="8" customFormat="1" ht="18">
      <c r="A201" s="30"/>
      <c r="B201" s="280"/>
      <c r="C201" s="327"/>
      <c r="D201" s="328"/>
      <c r="E201" s="327"/>
      <c r="F201" s="327"/>
      <c r="G201" s="327"/>
      <c r="H201" s="327"/>
      <c r="I201" s="327"/>
      <c r="J201" s="327"/>
      <c r="K201" s="327"/>
      <c r="L201" s="327"/>
      <c r="M201" s="327"/>
      <c r="N201" s="330"/>
      <c r="O201" s="330"/>
      <c r="P201" s="331"/>
      <c r="Q201" s="330"/>
      <c r="R201" s="331"/>
      <c r="S201" s="330"/>
      <c r="T201" s="331"/>
      <c r="W201" s="297"/>
    </row>
    <row r="202" spans="1:45" ht="18">
      <c r="A202" s="30"/>
      <c r="B202" s="279"/>
      <c r="C202" s="312"/>
      <c r="D202" s="317"/>
      <c r="E202" s="312"/>
      <c r="F202" s="312"/>
      <c r="G202" s="312"/>
      <c r="H202" s="312"/>
      <c r="I202" s="312"/>
      <c r="J202" s="312"/>
      <c r="K202" s="312"/>
      <c r="L202" s="312"/>
      <c r="M202" s="312"/>
      <c r="N202" s="332"/>
      <c r="O202" s="332"/>
      <c r="P202" s="333"/>
      <c r="Q202" s="332"/>
      <c r="R202" s="333"/>
      <c r="S202" s="332"/>
      <c r="T202" s="333"/>
      <c r="V202" s="13"/>
      <c r="W202" s="293"/>
    </row>
    <row r="203" spans="1:45" ht="18">
      <c r="A203" s="1"/>
      <c r="B203" s="156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32"/>
      <c r="O203" s="332"/>
      <c r="P203" s="333"/>
      <c r="Q203" s="332"/>
      <c r="R203" s="333"/>
      <c r="S203" s="332"/>
      <c r="T203" s="333"/>
      <c r="V203" s="13"/>
      <c r="W203" s="293"/>
    </row>
    <row r="204" spans="1:45" ht="30">
      <c r="A204" s="1"/>
      <c r="B204" s="156"/>
      <c r="C204" s="318"/>
      <c r="D204" s="318"/>
      <c r="E204" s="318"/>
      <c r="F204" s="318"/>
      <c r="G204" s="318"/>
      <c r="H204" s="318"/>
      <c r="I204" s="312"/>
      <c r="J204" s="312"/>
      <c r="K204" s="312"/>
      <c r="L204" s="312"/>
      <c r="M204" s="336" t="s">
        <v>738</v>
      </c>
      <c r="N204" s="319"/>
      <c r="O204" s="319"/>
      <c r="P204" s="319"/>
      <c r="Q204" s="319"/>
      <c r="R204" s="320"/>
      <c r="S204" s="319"/>
      <c r="T204" s="319"/>
    </row>
    <row r="205" spans="1:45" ht="30">
      <c r="A205" s="1"/>
      <c r="B205" s="156"/>
      <c r="C205" s="321"/>
      <c r="D205" s="322"/>
      <c r="E205" s="322"/>
      <c r="F205" s="322"/>
      <c r="G205" s="322"/>
      <c r="H205" s="322"/>
      <c r="I205" s="322"/>
      <c r="J205" s="322"/>
      <c r="K205" s="322"/>
      <c r="L205" s="322"/>
      <c r="M205" s="337" t="s">
        <v>739</v>
      </c>
      <c r="N205" s="323"/>
      <c r="O205" s="323"/>
      <c r="P205" s="323"/>
      <c r="Q205" s="323"/>
      <c r="R205" s="324"/>
      <c r="S205" s="323"/>
      <c r="T205" s="323"/>
    </row>
    <row r="206" spans="1:45" ht="30">
      <c r="A206" s="325"/>
      <c r="B206" s="314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34"/>
      <c r="O206" s="334"/>
      <c r="P206" s="329"/>
      <c r="Q206" s="329"/>
      <c r="R206" s="329"/>
    </row>
  </sheetData>
  <sheetProtection selectLockedCells="1" selectUnlockedCells="1"/>
  <autoFilter ref="A6:T199" xr:uid="{00000000-0009-0000-0000-000002000000}"/>
  <mergeCells count="3">
    <mergeCell ref="O5:P5"/>
    <mergeCell ref="Q5:R5"/>
    <mergeCell ref="S5:T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F542B-B835-4EA3-BE17-20CC7D79C36A}">
  <sheetPr>
    <tabColor rgb="FF00B0F0"/>
    <pageSetUpPr fitToPage="1"/>
  </sheetPr>
  <dimension ref="A1:BB248"/>
  <sheetViews>
    <sheetView showGridLines="0" zoomScale="80" zoomScaleNormal="80" workbookViewId="0"/>
  </sheetViews>
  <sheetFormatPr baseColWidth="10" defaultColWidth="11.42578125" defaultRowHeight="12.75" outlineLevelCol="1"/>
  <cols>
    <col min="1" max="1" width="2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6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0.7109375" style="13" bestFit="1" customWidth="1"/>
    <col min="24" max="24" width="19.8554687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929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112" t="s">
        <v>2</v>
      </c>
      <c r="C5" s="824" t="s">
        <v>2</v>
      </c>
      <c r="D5" s="825"/>
      <c r="E5" s="825"/>
      <c r="F5" s="825"/>
      <c r="G5" s="825"/>
      <c r="H5" s="825"/>
      <c r="I5" s="826"/>
      <c r="J5" s="827" t="s">
        <v>3</v>
      </c>
      <c r="K5" s="563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561" t="s">
        <v>6</v>
      </c>
      <c r="T5" s="806" t="s">
        <v>7</v>
      </c>
      <c r="U5" s="807"/>
      <c r="V5" s="808"/>
      <c r="W5" s="809" t="s">
        <v>8</v>
      </c>
      <c r="X5" s="810"/>
      <c r="Y5" s="823"/>
      <c r="Z5" s="806" t="s">
        <v>9</v>
      </c>
      <c r="AA5" s="807"/>
      <c r="AB5" s="808"/>
    </row>
    <row r="6" spans="1:28" s="25" customFormat="1" ht="48.75" customHeight="1">
      <c r="A6" s="22"/>
      <c r="B6" s="564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28"/>
      <c r="K6" s="563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562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926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825131782</v>
      </c>
      <c r="Q8" s="120">
        <v>825131782</v>
      </c>
      <c r="R8" s="120">
        <v>10390000000</v>
      </c>
      <c r="S8" s="120">
        <v>180813900000</v>
      </c>
      <c r="T8" s="120">
        <v>55806677918.310005</v>
      </c>
      <c r="U8" s="120">
        <v>125007222081.69</v>
      </c>
      <c r="V8" s="121">
        <v>0.30864152544859663</v>
      </c>
      <c r="W8" s="120">
        <v>42362261610.459999</v>
      </c>
      <c r="X8" s="120">
        <v>13444416307.849998</v>
      </c>
      <c r="Y8" s="121">
        <v>0.24091052915799752</v>
      </c>
      <c r="Z8" s="120">
        <v>42312678486.459999</v>
      </c>
      <c r="AA8" s="120">
        <v>49583124</v>
      </c>
      <c r="AB8" s="718">
        <v>0.75820099072009683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719">
        <v>0</v>
      </c>
      <c r="Q9" s="719">
        <v>0</v>
      </c>
      <c r="R9" s="719">
        <v>0</v>
      </c>
      <c r="S9" s="125">
        <v>118340000000</v>
      </c>
      <c r="T9" s="125">
        <v>34804122851</v>
      </c>
      <c r="U9" s="125">
        <v>83535877149</v>
      </c>
      <c r="V9" s="126">
        <v>0.29410277886597941</v>
      </c>
      <c r="W9" s="125">
        <v>31339802334</v>
      </c>
      <c r="X9" s="125">
        <v>3464320517</v>
      </c>
      <c r="Y9" s="126">
        <v>9.9537647646835106E-2</v>
      </c>
      <c r="Z9" s="125">
        <v>31339802334</v>
      </c>
      <c r="AA9" s="125">
        <v>0</v>
      </c>
      <c r="AB9" s="720">
        <v>0.90046235235316485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721">
        <v>0</v>
      </c>
      <c r="Q10" s="721">
        <v>0</v>
      </c>
      <c r="R10" s="721">
        <v>0</v>
      </c>
      <c r="S10" s="130">
        <v>118340000000</v>
      </c>
      <c r="T10" s="130">
        <v>34804122851</v>
      </c>
      <c r="U10" s="130">
        <v>83535877149</v>
      </c>
      <c r="V10" s="131">
        <v>0.29410277886597941</v>
      </c>
      <c r="W10" s="130">
        <v>31339802334</v>
      </c>
      <c r="X10" s="130">
        <v>3464320517</v>
      </c>
      <c r="Y10" s="131">
        <v>9.9537647646835106E-2</v>
      </c>
      <c r="Z10" s="130">
        <v>31339802334</v>
      </c>
      <c r="AA10" s="130">
        <v>0</v>
      </c>
      <c r="AB10" s="722">
        <v>0.90046235235316485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5">
        <v>81484000000</v>
      </c>
      <c r="T11" s="135">
        <v>21249760212</v>
      </c>
      <c r="U11" s="135">
        <v>60234239788</v>
      </c>
      <c r="V11" s="137">
        <v>0.2607844510824211</v>
      </c>
      <c r="W11" s="135">
        <v>21131734148</v>
      </c>
      <c r="X11" s="135">
        <v>118026064</v>
      </c>
      <c r="Y11" s="137">
        <v>5.5542303923669326E-3</v>
      </c>
      <c r="Z11" s="135">
        <v>21131734148</v>
      </c>
      <c r="AA11" s="135">
        <v>0</v>
      </c>
      <c r="AB11" s="723">
        <v>0.99444576960763309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1">
        <v>81484000000</v>
      </c>
      <c r="T12" s="141">
        <v>21249760212</v>
      </c>
      <c r="U12" s="141">
        <v>60234239788</v>
      </c>
      <c r="V12" s="143">
        <v>0.2607844510824211</v>
      </c>
      <c r="W12" s="141">
        <v>21131734148</v>
      </c>
      <c r="X12" s="141">
        <v>118026064</v>
      </c>
      <c r="Y12" s="143">
        <v>5.5542303923669326E-3</v>
      </c>
      <c r="Z12" s="141">
        <v>21131734148</v>
      </c>
      <c r="AA12" s="141">
        <v>0</v>
      </c>
      <c r="AB12" s="724">
        <v>0.99444576960763309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19545555132</v>
      </c>
      <c r="U13" s="148">
        <v>47529444868</v>
      </c>
      <c r="V13" s="150">
        <v>0.29139851109951548</v>
      </c>
      <c r="W13" s="148">
        <v>19543024790</v>
      </c>
      <c r="X13" s="148">
        <v>2530342</v>
      </c>
      <c r="Y13" s="150">
        <v>1.2945869190777404E-4</v>
      </c>
      <c r="Z13" s="148">
        <v>19543024790</v>
      </c>
      <c r="AA13" s="148">
        <v>0</v>
      </c>
      <c r="AB13" s="150">
        <v>0.99987054130809228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93857136</v>
      </c>
      <c r="U14" s="148">
        <v>204142864</v>
      </c>
      <c r="V14" s="150">
        <v>0.31495683221476511</v>
      </c>
      <c r="W14" s="148">
        <v>93857136</v>
      </c>
      <c r="X14" s="148">
        <v>0</v>
      </c>
      <c r="Y14" s="150">
        <v>0</v>
      </c>
      <c r="Z14" s="148">
        <v>93857136</v>
      </c>
      <c r="AA14" s="148">
        <v>0</v>
      </c>
      <c r="AB14" s="150">
        <v>1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150244641</v>
      </c>
      <c r="U15" s="148">
        <v>389755359</v>
      </c>
      <c r="V15" s="150">
        <v>0.27823081666666666</v>
      </c>
      <c r="W15" s="148">
        <v>150244641</v>
      </c>
      <c r="X15" s="148">
        <v>0</v>
      </c>
      <c r="Y15" s="150">
        <v>0</v>
      </c>
      <c r="Z15" s="148">
        <v>150244641</v>
      </c>
      <c r="AA15" s="148">
        <v>0</v>
      </c>
      <c r="AB15" s="150">
        <v>1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30634197</v>
      </c>
      <c r="U16" s="148">
        <v>65365803</v>
      </c>
      <c r="V16" s="150">
        <v>0.31910621875</v>
      </c>
      <c r="W16" s="148">
        <v>30634197</v>
      </c>
      <c r="X16" s="148">
        <v>0</v>
      </c>
      <c r="Y16" s="150">
        <v>0</v>
      </c>
      <c r="Z16" s="148">
        <v>30634197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46423553</v>
      </c>
      <c r="U17" s="148">
        <v>53576447</v>
      </c>
      <c r="V17" s="150">
        <v>0.46423553000000001</v>
      </c>
      <c r="W17" s="148">
        <v>46423553</v>
      </c>
      <c r="X17" s="148">
        <v>0</v>
      </c>
      <c r="Y17" s="150">
        <v>0</v>
      </c>
      <c r="Z17" s="148">
        <v>46423553</v>
      </c>
      <c r="AA17" s="148">
        <v>0</v>
      </c>
      <c r="AB17" s="150">
        <v>1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/>
      <c r="Q18" s="148"/>
      <c r="R18" s="148"/>
      <c r="S18" s="148">
        <v>2650000000</v>
      </c>
      <c r="T18" s="148">
        <v>65509359</v>
      </c>
      <c r="U18" s="148">
        <v>2584490641</v>
      </c>
      <c r="V18" s="150">
        <v>2.4720512830188678E-2</v>
      </c>
      <c r="W18" s="148">
        <v>37098593</v>
      </c>
      <c r="X18" s="148">
        <v>28410766</v>
      </c>
      <c r="Y18" s="150">
        <v>0.43369018463453446</v>
      </c>
      <c r="Z18" s="148">
        <v>37098593</v>
      </c>
      <c r="AA18" s="148">
        <v>0</v>
      </c>
      <c r="AB18" s="150">
        <v>0.56630981536546554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671485795</v>
      </c>
      <c r="U19" s="148">
        <v>1178514205</v>
      </c>
      <c r="V19" s="150">
        <v>0.36296529459459459</v>
      </c>
      <c r="W19" s="148">
        <v>658422791</v>
      </c>
      <c r="X19" s="148">
        <v>13063004</v>
      </c>
      <c r="Y19" s="150">
        <v>1.9453879884383855E-2</v>
      </c>
      <c r="Z19" s="148">
        <v>658422791</v>
      </c>
      <c r="AA19" s="148">
        <v>0</v>
      </c>
      <c r="AB19" s="150">
        <v>0.98054612011561615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32505827</v>
      </c>
      <c r="U20" s="148">
        <v>107494173</v>
      </c>
      <c r="V20" s="150">
        <v>0.23218447857142857</v>
      </c>
      <c r="W20" s="148">
        <v>32505827</v>
      </c>
      <c r="X20" s="148">
        <v>0</v>
      </c>
      <c r="Y20" s="150">
        <v>0</v>
      </c>
      <c r="Z20" s="148">
        <v>32505827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/>
      <c r="R21" s="148"/>
      <c r="S21" s="148">
        <v>5900000000</v>
      </c>
      <c r="T21" s="148">
        <v>43311451</v>
      </c>
      <c r="U21" s="148">
        <v>5856688549</v>
      </c>
      <c r="V21" s="150">
        <v>7.3409238983050849E-3</v>
      </c>
      <c r="W21" s="148">
        <v>19855023</v>
      </c>
      <c r="X21" s="148">
        <v>23456428</v>
      </c>
      <c r="Y21" s="150">
        <v>0.54157566782973865</v>
      </c>
      <c r="Z21" s="148">
        <v>19855023</v>
      </c>
      <c r="AA21" s="148">
        <v>0</v>
      </c>
      <c r="AB21" s="150">
        <v>0.45842433217026141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559148649</v>
      </c>
      <c r="U22" s="148">
        <v>2240851351</v>
      </c>
      <c r="V22" s="150">
        <v>0.19969594607142857</v>
      </c>
      <c r="W22" s="148">
        <v>508583125</v>
      </c>
      <c r="X22" s="148">
        <v>50565524</v>
      </c>
      <c r="Y22" s="150">
        <v>9.0433061209095403E-2</v>
      </c>
      <c r="Z22" s="148">
        <v>508583125</v>
      </c>
      <c r="AA22" s="148">
        <v>0</v>
      </c>
      <c r="AB22" s="150">
        <v>0.90956693879090456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11084472</v>
      </c>
      <c r="U23" s="148">
        <v>23915528</v>
      </c>
      <c r="V23" s="150">
        <v>0.31669920000000001</v>
      </c>
      <c r="W23" s="148">
        <v>11084472</v>
      </c>
      <c r="X23" s="148">
        <v>0</v>
      </c>
      <c r="Y23" s="150">
        <v>0</v>
      </c>
      <c r="Z23" s="148">
        <v>11084472</v>
      </c>
      <c r="AA23" s="148">
        <v>0</v>
      </c>
      <c r="AB23" s="150">
        <v>1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29242000000</v>
      </c>
      <c r="T24" s="135">
        <v>11276698800</v>
      </c>
      <c r="U24" s="135">
        <v>17965301200</v>
      </c>
      <c r="V24" s="137">
        <v>0.38563363655016758</v>
      </c>
      <c r="W24" s="135">
        <v>8120563819</v>
      </c>
      <c r="X24" s="135">
        <v>3156134981</v>
      </c>
      <c r="Y24" s="137">
        <v>0.2798811103299132</v>
      </c>
      <c r="Z24" s="135">
        <v>8120563819</v>
      </c>
      <c r="AA24" s="136">
        <v>0</v>
      </c>
      <c r="AB24" s="723">
        <v>0.72011888967008675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2463015600</v>
      </c>
      <c r="U25" s="148">
        <v>6434384400</v>
      </c>
      <c r="V25" s="150">
        <v>0.27682419583249041</v>
      </c>
      <c r="W25" s="148">
        <v>2463015600</v>
      </c>
      <c r="X25" s="148">
        <v>0</v>
      </c>
      <c r="Y25" s="150">
        <v>0</v>
      </c>
      <c r="Z25" s="148">
        <v>2463015600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1753088300</v>
      </c>
      <c r="U26" s="148">
        <v>4549311700</v>
      </c>
      <c r="V26" s="150">
        <v>0.27816201764407211</v>
      </c>
      <c r="W26" s="148">
        <v>1753088300</v>
      </c>
      <c r="X26" s="148">
        <v>0</v>
      </c>
      <c r="Y26" s="150">
        <v>0</v>
      </c>
      <c r="Z26" s="148">
        <v>1753088300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1843865019</v>
      </c>
      <c r="X27" s="148">
        <v>3156134981</v>
      </c>
      <c r="Y27" s="150">
        <v>0.6312269962</v>
      </c>
      <c r="Z27" s="148">
        <v>1843865019</v>
      </c>
      <c r="AA27" s="148">
        <v>0</v>
      </c>
      <c r="AB27" s="150">
        <v>0.3687730038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827250800</v>
      </c>
      <c r="U28" s="148">
        <v>2360449200</v>
      </c>
      <c r="V28" s="150">
        <v>0.25951337955265552</v>
      </c>
      <c r="W28" s="148">
        <v>827250800</v>
      </c>
      <c r="X28" s="148">
        <v>0</v>
      </c>
      <c r="Y28" s="150">
        <v>0</v>
      </c>
      <c r="Z28" s="148">
        <v>827250800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198749900</v>
      </c>
      <c r="U29" s="148">
        <v>521250100</v>
      </c>
      <c r="V29" s="150">
        <v>0.2760415277777778</v>
      </c>
      <c r="W29" s="148">
        <v>198749900</v>
      </c>
      <c r="X29" s="148">
        <v>0</v>
      </c>
      <c r="Y29" s="150">
        <v>0</v>
      </c>
      <c r="Z29" s="148">
        <v>198749900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620488700</v>
      </c>
      <c r="U30" s="148">
        <v>1794311300</v>
      </c>
      <c r="V30" s="150">
        <v>0.25695241841974492</v>
      </c>
      <c r="W30" s="148">
        <v>620488700</v>
      </c>
      <c r="X30" s="148">
        <v>0</v>
      </c>
      <c r="Y30" s="150">
        <v>0</v>
      </c>
      <c r="Z30" s="148">
        <v>620488700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103563000</v>
      </c>
      <c r="U31" s="148">
        <v>298937000</v>
      </c>
      <c r="V31" s="150">
        <v>0.25729937888198756</v>
      </c>
      <c r="W31" s="148">
        <v>103563000</v>
      </c>
      <c r="X31" s="148">
        <v>0</v>
      </c>
      <c r="Y31" s="150">
        <v>0</v>
      </c>
      <c r="Z31" s="148">
        <v>103563000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103563000</v>
      </c>
      <c r="U32" s="148">
        <v>298937000</v>
      </c>
      <c r="V32" s="150">
        <v>0.25729937888198756</v>
      </c>
      <c r="W32" s="148">
        <v>103563000</v>
      </c>
      <c r="X32" s="148">
        <v>0</v>
      </c>
      <c r="Y32" s="150">
        <v>0</v>
      </c>
      <c r="Z32" s="148">
        <v>103563000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206979500</v>
      </c>
      <c r="U33" s="148">
        <v>598020500</v>
      </c>
      <c r="V33" s="150">
        <v>0.25711739130434785</v>
      </c>
      <c r="W33" s="148">
        <v>206979500</v>
      </c>
      <c r="X33" s="148">
        <v>0</v>
      </c>
      <c r="Y33" s="150">
        <v>0</v>
      </c>
      <c r="Z33" s="148">
        <v>206979500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7614000000</v>
      </c>
      <c r="T34" s="135">
        <v>2277663839</v>
      </c>
      <c r="U34" s="135">
        <v>5336336161</v>
      </c>
      <c r="V34" s="137">
        <v>0.29914156015235094</v>
      </c>
      <c r="W34" s="135">
        <v>2087504367</v>
      </c>
      <c r="X34" s="135">
        <v>190159472</v>
      </c>
      <c r="Y34" s="137">
        <v>8.348882251363697E-2</v>
      </c>
      <c r="Z34" s="135">
        <v>2087504367</v>
      </c>
      <c r="AA34" s="136">
        <v>0</v>
      </c>
      <c r="AB34" s="723">
        <v>0.91651117748636302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3537000000</v>
      </c>
      <c r="T35" s="141">
        <v>935586486</v>
      </c>
      <c r="U35" s="141">
        <v>2601413514</v>
      </c>
      <c r="V35" s="143">
        <v>0.26451413231552162</v>
      </c>
      <c r="W35" s="141">
        <v>822982039</v>
      </c>
      <c r="X35" s="142">
        <v>112604447</v>
      </c>
      <c r="Y35" s="143">
        <v>0.12035706873175164</v>
      </c>
      <c r="Z35" s="141">
        <v>822982039</v>
      </c>
      <c r="AA35" s="142">
        <v>0</v>
      </c>
      <c r="AB35" s="724">
        <v>0.87964293126824833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613295974</v>
      </c>
      <c r="U36" s="148">
        <v>2123704026</v>
      </c>
      <c r="V36" s="150">
        <v>0.22407598611618559</v>
      </c>
      <c r="W36" s="148">
        <v>613295974</v>
      </c>
      <c r="X36" s="148">
        <v>0</v>
      </c>
      <c r="Y36" s="150">
        <v>0</v>
      </c>
      <c r="Z36" s="148">
        <v>613295974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256184517</v>
      </c>
      <c r="U37" s="148">
        <v>193815483</v>
      </c>
      <c r="V37" s="150">
        <v>0.5692989266666667</v>
      </c>
      <c r="W37" s="148">
        <v>149008539</v>
      </c>
      <c r="X37" s="148">
        <v>107175978</v>
      </c>
      <c r="Y37" s="150">
        <v>0.41835462679424923</v>
      </c>
      <c r="Z37" s="148">
        <v>149008539</v>
      </c>
      <c r="AA37" s="148">
        <v>0</v>
      </c>
      <c r="AB37" s="150">
        <v>0.58164537320575072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66105995</v>
      </c>
      <c r="U38" s="148">
        <v>283894005</v>
      </c>
      <c r="V38" s="150">
        <v>0.18887427142857144</v>
      </c>
      <c r="W38" s="148">
        <v>60677526</v>
      </c>
      <c r="X38" s="148">
        <v>5428469</v>
      </c>
      <c r="Y38" s="150">
        <v>8.2117650600372932E-2</v>
      </c>
      <c r="Z38" s="148">
        <v>60677526</v>
      </c>
      <c r="AA38" s="148">
        <v>0</v>
      </c>
      <c r="AB38" s="150">
        <v>0.9178823493996271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946051300</v>
      </c>
      <c r="U39" s="148">
        <v>1653948700</v>
      </c>
      <c r="V39" s="150">
        <v>0.3638658846153846</v>
      </c>
      <c r="W39" s="148">
        <v>944786129</v>
      </c>
      <c r="X39" s="148">
        <v>1265171</v>
      </c>
      <c r="Y39" s="150">
        <v>1.337317542928169E-3</v>
      </c>
      <c r="Z39" s="148">
        <v>944786129</v>
      </c>
      <c r="AA39" s="148">
        <v>0</v>
      </c>
      <c r="AB39" s="150">
        <v>0.99866268245707179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1534011</v>
      </c>
      <c r="U40" s="148">
        <v>10465989</v>
      </c>
      <c r="V40" s="150">
        <v>0.12783425000000001</v>
      </c>
      <c r="W40" s="148">
        <v>1534011</v>
      </c>
      <c r="X40" s="148">
        <v>0</v>
      </c>
      <c r="Y40" s="150">
        <v>0</v>
      </c>
      <c r="Z40" s="148">
        <v>1534011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302130433</v>
      </c>
      <c r="U43" s="148">
        <v>537869567</v>
      </c>
      <c r="V43" s="150">
        <v>0.35967908690476191</v>
      </c>
      <c r="W43" s="148">
        <v>302130433</v>
      </c>
      <c r="X43" s="148">
        <v>0</v>
      </c>
      <c r="Y43" s="150">
        <v>0</v>
      </c>
      <c r="Z43" s="148">
        <v>302130433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92361609</v>
      </c>
      <c r="U44" s="148">
        <v>497638391</v>
      </c>
      <c r="V44" s="150">
        <v>0.15654509999999999</v>
      </c>
      <c r="W44" s="148">
        <v>16071755</v>
      </c>
      <c r="X44" s="148">
        <v>76289854</v>
      </c>
      <c r="Y44" s="150">
        <v>0.82599095907911257</v>
      </c>
      <c r="Z44" s="148">
        <v>16071755</v>
      </c>
      <c r="AA44" s="148">
        <v>0</v>
      </c>
      <c r="AB44" s="150">
        <v>0.17400904092088737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19">
        <v>0</v>
      </c>
      <c r="O45" s="719">
        <v>0</v>
      </c>
      <c r="P45" s="725">
        <v>825131782</v>
      </c>
      <c r="Q45" s="725">
        <v>825131782</v>
      </c>
      <c r="R45" s="719">
        <v>0</v>
      </c>
      <c r="S45" s="125">
        <v>42290000000</v>
      </c>
      <c r="T45" s="125">
        <v>19891978327.579998</v>
      </c>
      <c r="U45" s="125">
        <v>22398021672.420002</v>
      </c>
      <c r="V45" s="126">
        <v>0.4703707336859777</v>
      </c>
      <c r="W45" s="125">
        <v>10060926369.92</v>
      </c>
      <c r="X45" s="125">
        <v>9831051957.6599979</v>
      </c>
      <c r="Y45" s="126">
        <v>0.49422193186433139</v>
      </c>
      <c r="Z45" s="125">
        <v>10011727583.92</v>
      </c>
      <c r="AA45" s="125">
        <v>49198786</v>
      </c>
      <c r="AB45" s="720">
        <v>0.5033047703474951</v>
      </c>
    </row>
    <row r="46" spans="1:28" ht="24" customHeight="1">
      <c r="A46" s="32" t="e">
        <v>#REF!</v>
      </c>
      <c r="B46" s="127" t="s">
        <v>377</v>
      </c>
      <c r="C46" s="128" t="s">
        <v>23</v>
      </c>
      <c r="D46" s="128" t="s">
        <v>54</v>
      </c>
      <c r="E46" s="128" t="s">
        <v>54</v>
      </c>
      <c r="F46" s="128"/>
      <c r="G46" s="128"/>
      <c r="H46" s="128"/>
      <c r="I46" s="128"/>
      <c r="J46" s="129"/>
      <c r="K46" s="129"/>
      <c r="L46" s="129" t="s">
        <v>86</v>
      </c>
      <c r="M46" s="130">
        <v>42290000000</v>
      </c>
      <c r="N46" s="721">
        <v>0</v>
      </c>
      <c r="O46" s="721">
        <v>0</v>
      </c>
      <c r="P46" s="726">
        <v>825131782</v>
      </c>
      <c r="Q46" s="726">
        <v>825131782</v>
      </c>
      <c r="R46" s="721">
        <v>0</v>
      </c>
      <c r="S46" s="130">
        <v>42290000000</v>
      </c>
      <c r="T46" s="130">
        <v>19891978327.579998</v>
      </c>
      <c r="U46" s="130">
        <v>22398021672.420002</v>
      </c>
      <c r="V46" s="131">
        <v>0.4703707336859777</v>
      </c>
      <c r="W46" s="130">
        <v>10060926369.92</v>
      </c>
      <c r="X46" s="130">
        <v>9831051957.6599979</v>
      </c>
      <c r="Y46" s="131">
        <v>0.49422193186433139</v>
      </c>
      <c r="Z46" s="130">
        <v>10011727583.92</v>
      </c>
      <c r="AA46" s="130">
        <v>49198786</v>
      </c>
      <c r="AB46" s="722">
        <v>0.5033047703474951</v>
      </c>
    </row>
    <row r="47" spans="1:28" ht="24.95" customHeight="1">
      <c r="A47" s="32" t="e">
        <v>#REF!</v>
      </c>
      <c r="B47" s="132" t="s">
        <v>379</v>
      </c>
      <c r="C47" s="133" t="s">
        <v>23</v>
      </c>
      <c r="D47" s="133" t="s">
        <v>54</v>
      </c>
      <c r="E47" s="133" t="s">
        <v>54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87</v>
      </c>
      <c r="M47" s="135">
        <v>979241390</v>
      </c>
      <c r="N47" s="136">
        <v>0</v>
      </c>
      <c r="O47" s="136">
        <v>0</v>
      </c>
      <c r="P47" s="135">
        <v>83000000</v>
      </c>
      <c r="Q47" s="136">
        <v>0</v>
      </c>
      <c r="R47" s="136">
        <v>0</v>
      </c>
      <c r="S47" s="135">
        <v>1062241390</v>
      </c>
      <c r="T47" s="135">
        <v>126410108</v>
      </c>
      <c r="U47" s="135">
        <v>935831282</v>
      </c>
      <c r="V47" s="137">
        <v>0.11900318438919048</v>
      </c>
      <c r="W47" s="135">
        <v>14374793.35</v>
      </c>
      <c r="X47" s="135">
        <v>112035314.65000001</v>
      </c>
      <c r="Y47" s="137">
        <v>0.88628446271084593</v>
      </c>
      <c r="Z47" s="135">
        <v>14374793.35</v>
      </c>
      <c r="AA47" s="135">
        <v>0</v>
      </c>
      <c r="AB47" s="723">
        <v>0.11371553728915412</v>
      </c>
    </row>
    <row r="48" spans="1:28" ht="24.95" customHeight="1">
      <c r="A48" s="32" t="e">
        <v>#REF!</v>
      </c>
      <c r="B48" s="138" t="s">
        <v>381</v>
      </c>
      <c r="C48" s="139" t="s">
        <v>23</v>
      </c>
      <c r="D48" s="139" t="s">
        <v>54</v>
      </c>
      <c r="E48" s="139" t="s">
        <v>54</v>
      </c>
      <c r="F48" s="139" t="s">
        <v>25</v>
      </c>
      <c r="G48" s="139" t="s">
        <v>31</v>
      </c>
      <c r="H48" s="140"/>
      <c r="I48" s="140"/>
      <c r="J48" s="139" t="s">
        <v>28</v>
      </c>
      <c r="K48" s="140" t="s">
        <v>29</v>
      </c>
      <c r="L48" s="140" t="s">
        <v>88</v>
      </c>
      <c r="M48" s="141">
        <v>23000000</v>
      </c>
      <c r="N48" s="142">
        <v>0</v>
      </c>
      <c r="O48" s="142">
        <v>0</v>
      </c>
      <c r="P48" s="141">
        <v>3000000</v>
      </c>
      <c r="Q48" s="142">
        <v>0</v>
      </c>
      <c r="R48" s="142">
        <v>0</v>
      </c>
      <c r="S48" s="141">
        <v>26000000</v>
      </c>
      <c r="T48" s="141">
        <v>13000000</v>
      </c>
      <c r="U48" s="141">
        <v>13000000</v>
      </c>
      <c r="V48" s="143">
        <v>0.5</v>
      </c>
      <c r="W48" s="141">
        <v>0</v>
      </c>
      <c r="X48" s="141">
        <v>13000000</v>
      </c>
      <c r="Y48" s="143">
        <v>1</v>
      </c>
      <c r="Z48" s="141">
        <v>0</v>
      </c>
      <c r="AA48" s="141">
        <v>0</v>
      </c>
      <c r="AB48" s="724">
        <v>0</v>
      </c>
    </row>
    <row r="49" spans="1:28" ht="24.95" customHeight="1">
      <c r="A49" s="32" t="e">
        <v>#REF!</v>
      </c>
      <c r="B49" s="144" t="s">
        <v>555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40</v>
      </c>
      <c r="I49" s="145"/>
      <c r="J49" s="145">
        <v>10</v>
      </c>
      <c r="K49" s="146" t="s">
        <v>29</v>
      </c>
      <c r="L49" s="147" t="s">
        <v>89</v>
      </c>
      <c r="M49" s="148">
        <v>13000000</v>
      </c>
      <c r="N49" s="148"/>
      <c r="O49" s="148"/>
      <c r="P49" s="148"/>
      <c r="Q49" s="148"/>
      <c r="R49" s="148"/>
      <c r="S49" s="148">
        <v>13000000</v>
      </c>
      <c r="T49" s="148">
        <v>13000000</v>
      </c>
      <c r="U49" s="148">
        <v>0</v>
      </c>
      <c r="V49" s="150">
        <v>1</v>
      </c>
      <c r="W49" s="148">
        <v>0</v>
      </c>
      <c r="X49" s="148">
        <v>13000000</v>
      </c>
      <c r="Y49" s="150">
        <v>1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44" t="s">
        <v>557</v>
      </c>
      <c r="C50" s="145" t="s">
        <v>23</v>
      </c>
      <c r="D50" s="145" t="s">
        <v>54</v>
      </c>
      <c r="E50" s="145" t="s">
        <v>54</v>
      </c>
      <c r="F50" s="145" t="s">
        <v>25</v>
      </c>
      <c r="G50" s="145" t="s">
        <v>31</v>
      </c>
      <c r="H50" s="145" t="s">
        <v>44</v>
      </c>
      <c r="I50" s="145"/>
      <c r="J50" s="145">
        <v>10</v>
      </c>
      <c r="K50" s="146" t="s">
        <v>29</v>
      </c>
      <c r="L50" s="147" t="s">
        <v>90</v>
      </c>
      <c r="M50" s="148">
        <v>10000000</v>
      </c>
      <c r="N50" s="148"/>
      <c r="O50" s="148"/>
      <c r="P50" s="148">
        <v>3000000</v>
      </c>
      <c r="Q50" s="148"/>
      <c r="R50" s="148"/>
      <c r="S50" s="148">
        <v>13000000</v>
      </c>
      <c r="T50" s="148">
        <v>0</v>
      </c>
      <c r="U50" s="148">
        <v>13000000</v>
      </c>
      <c r="V50" s="150">
        <v>0</v>
      </c>
      <c r="W50" s="148">
        <v>0</v>
      </c>
      <c r="X50" s="148">
        <v>0</v>
      </c>
      <c r="Y50" s="150">
        <v>0</v>
      </c>
      <c r="Z50" s="148">
        <v>0</v>
      </c>
      <c r="AA50" s="148">
        <v>0</v>
      </c>
      <c r="AB50" s="150">
        <v>0</v>
      </c>
    </row>
    <row r="51" spans="1:28" ht="24.95" customHeight="1">
      <c r="A51" s="32" t="e">
        <v>#REF!</v>
      </c>
      <c r="B51" s="138" t="s">
        <v>383</v>
      </c>
      <c r="C51" s="139" t="s">
        <v>23</v>
      </c>
      <c r="D51" s="139" t="s">
        <v>54</v>
      </c>
      <c r="E51" s="139" t="s">
        <v>54</v>
      </c>
      <c r="F51" s="139" t="s">
        <v>25</v>
      </c>
      <c r="G51" s="139" t="s">
        <v>34</v>
      </c>
      <c r="H51" s="140"/>
      <c r="I51" s="140"/>
      <c r="J51" s="139" t="s">
        <v>28</v>
      </c>
      <c r="K51" s="140" t="s">
        <v>29</v>
      </c>
      <c r="L51" s="140" t="s">
        <v>91</v>
      </c>
      <c r="M51" s="141">
        <v>130000000</v>
      </c>
      <c r="N51" s="142">
        <v>0</v>
      </c>
      <c r="O51" s="142">
        <v>0</v>
      </c>
      <c r="P51" s="142">
        <v>0</v>
      </c>
      <c r="Q51" s="142">
        <v>0</v>
      </c>
      <c r="R51" s="142">
        <v>0</v>
      </c>
      <c r="S51" s="141">
        <v>130000000</v>
      </c>
      <c r="T51" s="141">
        <v>0</v>
      </c>
      <c r="U51" s="141">
        <v>130000000</v>
      </c>
      <c r="V51" s="143">
        <v>0</v>
      </c>
      <c r="W51" s="141">
        <v>0</v>
      </c>
      <c r="X51" s="141">
        <v>0</v>
      </c>
      <c r="Y51" s="141">
        <v>0</v>
      </c>
      <c r="Z51" s="141">
        <v>0</v>
      </c>
      <c r="AA51" s="142">
        <v>0</v>
      </c>
      <c r="AB51" s="724">
        <v>0</v>
      </c>
    </row>
    <row r="52" spans="1:28" ht="24.95" customHeight="1">
      <c r="A52" s="32" t="e">
        <v>#REF!</v>
      </c>
      <c r="B52" s="144" t="s">
        <v>559</v>
      </c>
      <c r="C52" s="145" t="s">
        <v>23</v>
      </c>
      <c r="D52" s="145" t="s">
        <v>54</v>
      </c>
      <c r="E52" s="145" t="s">
        <v>54</v>
      </c>
      <c r="F52" s="145" t="s">
        <v>25</v>
      </c>
      <c r="G52" s="145" t="s">
        <v>34</v>
      </c>
      <c r="H52" s="145" t="s">
        <v>46</v>
      </c>
      <c r="I52" s="145"/>
      <c r="J52" s="145">
        <v>10</v>
      </c>
      <c r="K52" s="146" t="s">
        <v>29</v>
      </c>
      <c r="L52" s="147" t="s">
        <v>92</v>
      </c>
      <c r="M52" s="148">
        <v>130000000</v>
      </c>
      <c r="N52" s="148"/>
      <c r="O52" s="148"/>
      <c r="P52" s="148"/>
      <c r="Q52" s="148"/>
      <c r="R52" s="148"/>
      <c r="S52" s="148">
        <v>130000000</v>
      </c>
      <c r="T52" s="148">
        <v>0</v>
      </c>
      <c r="U52" s="148">
        <v>130000000</v>
      </c>
      <c r="V52" s="150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0</v>
      </c>
      <c r="AB52" s="150">
        <v>0</v>
      </c>
    </row>
    <row r="53" spans="1:28" ht="24.95" customHeight="1">
      <c r="A53" s="32" t="e">
        <v>#REF!</v>
      </c>
      <c r="B53" s="138" t="s">
        <v>385</v>
      </c>
      <c r="C53" s="139" t="s">
        <v>23</v>
      </c>
      <c r="D53" s="139" t="s">
        <v>54</v>
      </c>
      <c r="E53" s="139" t="s">
        <v>54</v>
      </c>
      <c r="F53" s="139" t="s">
        <v>25</v>
      </c>
      <c r="G53" s="139" t="s">
        <v>36</v>
      </c>
      <c r="H53" s="140"/>
      <c r="I53" s="140"/>
      <c r="J53" s="139" t="s">
        <v>28</v>
      </c>
      <c r="K53" s="140" t="s">
        <v>29</v>
      </c>
      <c r="L53" s="140" t="s">
        <v>93</v>
      </c>
      <c r="M53" s="141">
        <v>617241390</v>
      </c>
      <c r="N53" s="142">
        <v>0</v>
      </c>
      <c r="O53" s="142">
        <v>0</v>
      </c>
      <c r="P53" s="141">
        <v>80000000</v>
      </c>
      <c r="Q53" s="142">
        <v>0</v>
      </c>
      <c r="R53" s="142">
        <v>0</v>
      </c>
      <c r="S53" s="141">
        <v>697241390</v>
      </c>
      <c r="T53" s="141">
        <v>90410108</v>
      </c>
      <c r="U53" s="141">
        <v>606831282</v>
      </c>
      <c r="V53" s="143">
        <v>0.12966830325434353</v>
      </c>
      <c r="W53" s="141">
        <v>14374793.35</v>
      </c>
      <c r="X53" s="141">
        <v>76035314.650000006</v>
      </c>
      <c r="Y53" s="143">
        <v>0.84100457716519939</v>
      </c>
      <c r="Z53" s="141">
        <v>14374793.35</v>
      </c>
      <c r="AA53" s="142">
        <v>0</v>
      </c>
      <c r="AB53" s="724">
        <v>0.15899542283480073</v>
      </c>
    </row>
    <row r="54" spans="1:28" ht="24.95" customHeight="1">
      <c r="A54" s="32" t="e">
        <v>#REF!</v>
      </c>
      <c r="B54" s="144" t="s">
        <v>561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34</v>
      </c>
      <c r="I54" s="145"/>
      <c r="J54" s="145">
        <v>10</v>
      </c>
      <c r="K54" s="146" t="s">
        <v>29</v>
      </c>
      <c r="L54" s="147" t="s">
        <v>94</v>
      </c>
      <c r="M54" s="148">
        <v>245100000</v>
      </c>
      <c r="N54" s="148"/>
      <c r="O54" s="148"/>
      <c r="P54" s="148">
        <v>80000000</v>
      </c>
      <c r="Q54" s="148"/>
      <c r="R54" s="148"/>
      <c r="S54" s="148">
        <v>325100000</v>
      </c>
      <c r="T54" s="148">
        <v>3800000</v>
      </c>
      <c r="U54" s="148">
        <v>321300000</v>
      </c>
      <c r="V54" s="150">
        <v>1.1688711165795141E-2</v>
      </c>
      <c r="W54" s="148">
        <v>300000</v>
      </c>
      <c r="X54" s="148">
        <v>3500000</v>
      </c>
      <c r="Y54" s="150">
        <v>0.92105263157894735</v>
      </c>
      <c r="Z54" s="148">
        <v>300000</v>
      </c>
      <c r="AA54" s="148">
        <v>0</v>
      </c>
      <c r="AB54" s="150">
        <v>7.8947368421052627E-2</v>
      </c>
    </row>
    <row r="55" spans="1:28" ht="24.95" customHeight="1">
      <c r="A55" s="32" t="e">
        <v>#REF!</v>
      </c>
      <c r="B55" s="144" t="s">
        <v>563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36</v>
      </c>
      <c r="I55" s="145"/>
      <c r="J55" s="145">
        <v>10</v>
      </c>
      <c r="K55" s="146" t="s">
        <v>29</v>
      </c>
      <c r="L55" s="147" t="s">
        <v>95</v>
      </c>
      <c r="M55" s="148">
        <v>57946108</v>
      </c>
      <c r="N55" s="148"/>
      <c r="O55" s="148"/>
      <c r="P55" s="148"/>
      <c r="Q55" s="148"/>
      <c r="R55" s="148"/>
      <c r="S55" s="148">
        <v>57946108</v>
      </c>
      <c r="T55" s="148">
        <v>33610108</v>
      </c>
      <c r="U55" s="148">
        <v>24336000</v>
      </c>
      <c r="V55" s="150">
        <v>0.58002356258335763</v>
      </c>
      <c r="W55" s="148">
        <v>14074793.35</v>
      </c>
      <c r="X55" s="148">
        <v>19535314.649999999</v>
      </c>
      <c r="Y55" s="150">
        <v>0.58123331975011794</v>
      </c>
      <c r="Z55" s="148">
        <v>14074793.35</v>
      </c>
      <c r="AA55" s="148">
        <v>0</v>
      </c>
      <c r="AB55" s="150">
        <v>0.41876668024988195</v>
      </c>
    </row>
    <row r="56" spans="1:28" ht="24.95" customHeight="1">
      <c r="A56" s="32" t="e">
        <v>#REF!</v>
      </c>
      <c r="B56" s="144" t="s">
        <v>565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40</v>
      </c>
      <c r="I56" s="145"/>
      <c r="J56" s="145">
        <v>10</v>
      </c>
      <c r="K56" s="146" t="s">
        <v>29</v>
      </c>
      <c r="L56" s="147" t="s">
        <v>96</v>
      </c>
      <c r="M56" s="148">
        <v>47000000</v>
      </c>
      <c r="N56" s="148"/>
      <c r="O56" s="148"/>
      <c r="P56" s="148"/>
      <c r="Q56" s="148"/>
      <c r="R56" s="148"/>
      <c r="S56" s="148">
        <v>47000000</v>
      </c>
      <c r="T56" s="148">
        <v>7000000</v>
      </c>
      <c r="U56" s="148">
        <v>40000000</v>
      </c>
      <c r="V56" s="150">
        <v>0.14893617021276595</v>
      </c>
      <c r="W56" s="148">
        <v>0</v>
      </c>
      <c r="X56" s="148">
        <v>7000000</v>
      </c>
      <c r="Y56" s="150">
        <v>1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44" t="s">
        <v>567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42</v>
      </c>
      <c r="I57" s="145"/>
      <c r="J57" s="145">
        <v>10</v>
      </c>
      <c r="K57" s="146" t="s">
        <v>29</v>
      </c>
      <c r="L57" s="147" t="s">
        <v>97</v>
      </c>
      <c r="M57" s="148">
        <v>123000000</v>
      </c>
      <c r="N57" s="148"/>
      <c r="O57" s="148"/>
      <c r="P57" s="148"/>
      <c r="Q57" s="148"/>
      <c r="R57" s="148"/>
      <c r="S57" s="148">
        <v>123000000</v>
      </c>
      <c r="T57" s="148">
        <v>23000000</v>
      </c>
      <c r="U57" s="148">
        <v>100000000</v>
      </c>
      <c r="V57" s="150">
        <v>0.18699186991869918</v>
      </c>
      <c r="W57" s="148">
        <v>0</v>
      </c>
      <c r="X57" s="148">
        <v>23000000</v>
      </c>
      <c r="Y57" s="150">
        <v>1</v>
      </c>
      <c r="Z57" s="148">
        <v>0</v>
      </c>
      <c r="AA57" s="148">
        <v>0</v>
      </c>
      <c r="AB57" s="150">
        <v>0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144195282</v>
      </c>
      <c r="N58" s="148"/>
      <c r="O58" s="148"/>
      <c r="P58" s="148"/>
      <c r="Q58" s="148"/>
      <c r="R58" s="148"/>
      <c r="S58" s="148">
        <v>144195282</v>
      </c>
      <c r="T58" s="148">
        <v>23000000</v>
      </c>
      <c r="U58" s="148">
        <v>121195282</v>
      </c>
      <c r="V58" s="150">
        <v>0.15950591226694921</v>
      </c>
      <c r="W58" s="148">
        <v>0</v>
      </c>
      <c r="X58" s="148">
        <v>23000000</v>
      </c>
      <c r="Y58" s="150">
        <v>1</v>
      </c>
      <c r="Z58" s="148">
        <v>0</v>
      </c>
      <c r="AA58" s="148">
        <v>0</v>
      </c>
      <c r="AB58" s="150">
        <v>0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209000000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  <c r="S59" s="141">
        <v>209000000</v>
      </c>
      <c r="T59" s="141">
        <v>23000000</v>
      </c>
      <c r="U59" s="141">
        <v>186000000</v>
      </c>
      <c r="V59" s="143">
        <v>0.11004784688995216</v>
      </c>
      <c r="W59" s="141">
        <v>0</v>
      </c>
      <c r="X59" s="141">
        <v>23000000</v>
      </c>
      <c r="Y59" s="143">
        <v>1</v>
      </c>
      <c r="Z59" s="141">
        <v>0</v>
      </c>
      <c r="AA59" s="142">
        <v>0</v>
      </c>
      <c r="AB59" s="724">
        <v>0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>
        <v>28000000</v>
      </c>
      <c r="N60" s="148"/>
      <c r="O60" s="148"/>
      <c r="P60" s="149"/>
      <c r="Q60" s="148"/>
      <c r="R60" s="148"/>
      <c r="S60" s="148">
        <v>28000000</v>
      </c>
      <c r="T60" s="148">
        <v>23000000</v>
      </c>
      <c r="U60" s="148">
        <v>5000000</v>
      </c>
      <c r="V60" s="150">
        <v>0.8214285714285714</v>
      </c>
      <c r="W60" s="148">
        <v>0</v>
      </c>
      <c r="X60" s="148">
        <v>23000000</v>
      </c>
      <c r="Y60" s="150">
        <v>1</v>
      </c>
      <c r="Z60" s="148">
        <v>0</v>
      </c>
      <c r="AA60" s="148">
        <v>0</v>
      </c>
      <c r="AB60" s="150">
        <v>0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/>
      <c r="R61" s="148"/>
      <c r="S61" s="148">
        <v>10000000</v>
      </c>
      <c r="T61" s="148">
        <v>0</v>
      </c>
      <c r="U61" s="148">
        <v>10000000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108000000</v>
      </c>
      <c r="N62" s="148"/>
      <c r="O62" s="148"/>
      <c r="P62" s="148"/>
      <c r="Q62" s="148"/>
      <c r="R62" s="148"/>
      <c r="S62" s="148">
        <v>108000000</v>
      </c>
      <c r="T62" s="148">
        <v>0</v>
      </c>
      <c r="U62" s="148">
        <v>108000000</v>
      </c>
      <c r="V62" s="150">
        <v>0</v>
      </c>
      <c r="W62" s="148">
        <v>0</v>
      </c>
      <c r="X62" s="148">
        <v>0</v>
      </c>
      <c r="Y62" s="150">
        <v>0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63000000</v>
      </c>
      <c r="N63" s="148"/>
      <c r="O63" s="148"/>
      <c r="P63" s="149"/>
      <c r="Q63" s="148"/>
      <c r="R63" s="148"/>
      <c r="S63" s="148">
        <v>63000000</v>
      </c>
      <c r="T63" s="148">
        <v>0</v>
      </c>
      <c r="U63" s="148">
        <v>63000000</v>
      </c>
      <c r="V63" s="150">
        <v>0</v>
      </c>
      <c r="W63" s="148">
        <v>0</v>
      </c>
      <c r="X63" s="148">
        <v>0</v>
      </c>
      <c r="Y63" s="150">
        <v>0</v>
      </c>
      <c r="Z63" s="148">
        <v>0</v>
      </c>
      <c r="AA63" s="148">
        <v>0</v>
      </c>
      <c r="AB63" s="150">
        <v>0</v>
      </c>
    </row>
    <row r="64" spans="1:28" ht="24.95" customHeight="1">
      <c r="A64" s="32" t="e">
        <v>#REF!</v>
      </c>
      <c r="B64" s="132" t="s">
        <v>389</v>
      </c>
      <c r="C64" s="133" t="s">
        <v>23</v>
      </c>
      <c r="D64" s="133" t="s">
        <v>54</v>
      </c>
      <c r="E64" s="133" t="s">
        <v>54</v>
      </c>
      <c r="F64" s="133" t="s">
        <v>54</v>
      </c>
      <c r="G64" s="133"/>
      <c r="H64" s="134"/>
      <c r="I64" s="134"/>
      <c r="J64" s="133" t="s">
        <v>28</v>
      </c>
      <c r="K64" s="134" t="s">
        <v>29</v>
      </c>
      <c r="L64" s="134" t="s">
        <v>103</v>
      </c>
      <c r="M64" s="135">
        <v>41310758610</v>
      </c>
      <c r="N64" s="136">
        <v>0</v>
      </c>
      <c r="O64" s="136">
        <v>0</v>
      </c>
      <c r="P64" s="727">
        <v>742131782</v>
      </c>
      <c r="Q64" s="727">
        <v>825131782</v>
      </c>
      <c r="R64" s="136">
        <v>0</v>
      </c>
      <c r="S64" s="135">
        <v>41227758610</v>
      </c>
      <c r="T64" s="135">
        <v>19765568219.579998</v>
      </c>
      <c r="U64" s="135">
        <v>21462190390.420002</v>
      </c>
      <c r="V64" s="137">
        <v>0.47942378838867461</v>
      </c>
      <c r="W64" s="135">
        <v>10046551576.57</v>
      </c>
      <c r="X64" s="135">
        <v>9719016643.0099983</v>
      </c>
      <c r="Y64" s="137">
        <v>0.49171450752335211</v>
      </c>
      <c r="Z64" s="135">
        <v>9997352790.5699997</v>
      </c>
      <c r="AA64" s="135">
        <v>49198786</v>
      </c>
      <c r="AB64" s="723">
        <v>0.50579637678549039</v>
      </c>
    </row>
    <row r="65" spans="1:28" ht="31.5" customHeight="1">
      <c r="A65" s="32" t="e">
        <v>#REF!</v>
      </c>
      <c r="B65" s="138" t="s">
        <v>391</v>
      </c>
      <c r="C65" s="139" t="s">
        <v>23</v>
      </c>
      <c r="D65" s="139" t="s">
        <v>54</v>
      </c>
      <c r="E65" s="139" t="s">
        <v>54</v>
      </c>
      <c r="F65" s="139" t="s">
        <v>54</v>
      </c>
      <c r="G65" s="139" t="s">
        <v>42</v>
      </c>
      <c r="H65" s="140"/>
      <c r="I65" s="140"/>
      <c r="J65" s="139" t="s">
        <v>28</v>
      </c>
      <c r="K65" s="140" t="s">
        <v>29</v>
      </c>
      <c r="L65" s="140" t="s">
        <v>104</v>
      </c>
      <c r="M65" s="141">
        <v>6238453772</v>
      </c>
      <c r="N65" s="142">
        <v>0</v>
      </c>
      <c r="O65" s="142">
        <v>0</v>
      </c>
      <c r="P65" s="141">
        <v>63000000</v>
      </c>
      <c r="Q65" s="141">
        <v>130000000</v>
      </c>
      <c r="R65" s="142">
        <v>0</v>
      </c>
      <c r="S65" s="141">
        <v>6171453772</v>
      </c>
      <c r="T65" s="141">
        <v>4484510331</v>
      </c>
      <c r="U65" s="141">
        <v>1686943441</v>
      </c>
      <c r="V65" s="143">
        <v>0.72665379936025876</v>
      </c>
      <c r="W65" s="141">
        <v>2466599164.6799998</v>
      </c>
      <c r="X65" s="141">
        <v>2017911166.3199999</v>
      </c>
      <c r="Y65" s="143">
        <v>0.44997357958366579</v>
      </c>
      <c r="Z65" s="141">
        <v>2458883583.6799998</v>
      </c>
      <c r="AA65" s="141">
        <v>7715581</v>
      </c>
      <c r="AB65" s="724">
        <v>0.54830592465860006</v>
      </c>
    </row>
    <row r="66" spans="1:28" ht="24.95" customHeight="1">
      <c r="A66" s="32" t="e">
        <v>#REF!</v>
      </c>
      <c r="B66" s="144" t="s">
        <v>583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36</v>
      </c>
      <c r="I66" s="145"/>
      <c r="J66" s="145">
        <v>10</v>
      </c>
      <c r="K66" s="146" t="s">
        <v>29</v>
      </c>
      <c r="L66" s="147" t="s">
        <v>105</v>
      </c>
      <c r="M66" s="148">
        <v>120448180</v>
      </c>
      <c r="N66" s="148"/>
      <c r="O66" s="148"/>
      <c r="P66" s="148"/>
      <c r="Q66" s="148"/>
      <c r="R66" s="148"/>
      <c r="S66" s="148">
        <v>120448180</v>
      </c>
      <c r="T66" s="148">
        <v>88734079</v>
      </c>
      <c r="U66" s="148">
        <v>31714101</v>
      </c>
      <c r="V66" s="150">
        <v>0.73669920956879553</v>
      </c>
      <c r="W66" s="148">
        <v>27028095</v>
      </c>
      <c r="X66" s="148">
        <v>61705984</v>
      </c>
      <c r="Y66" s="150">
        <v>0.6954034424586748</v>
      </c>
      <c r="Z66" s="148">
        <v>27028095</v>
      </c>
      <c r="AA66" s="148">
        <v>0</v>
      </c>
      <c r="AB66" s="150">
        <v>0.30459655754132525</v>
      </c>
    </row>
    <row r="67" spans="1:28" ht="24.95" customHeight="1">
      <c r="A67" s="32" t="e">
        <v>#REF!</v>
      </c>
      <c r="B67" s="144" t="s">
        <v>585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38</v>
      </c>
      <c r="I67" s="145"/>
      <c r="J67" s="145">
        <v>10</v>
      </c>
      <c r="K67" s="146" t="s">
        <v>29</v>
      </c>
      <c r="L67" s="147" t="s">
        <v>106</v>
      </c>
      <c r="M67" s="148">
        <v>2721505592</v>
      </c>
      <c r="N67" s="148"/>
      <c r="O67" s="148"/>
      <c r="P67" s="148">
        <v>63000000</v>
      </c>
      <c r="Q67" s="148">
        <v>130000000</v>
      </c>
      <c r="R67" s="148"/>
      <c r="S67" s="148">
        <v>2654505592</v>
      </c>
      <c r="T67" s="148">
        <v>1887041023</v>
      </c>
      <c r="U67" s="148">
        <v>767464569</v>
      </c>
      <c r="V67" s="150">
        <v>0.71088229336832376</v>
      </c>
      <c r="W67" s="148">
        <v>1232955574</v>
      </c>
      <c r="X67" s="148">
        <v>654085449</v>
      </c>
      <c r="Y67" s="150">
        <v>0.34661962354169762</v>
      </c>
      <c r="Z67" s="148">
        <v>1232955574</v>
      </c>
      <c r="AA67" s="148">
        <v>0</v>
      </c>
      <c r="AB67" s="150">
        <v>0.65338037645830238</v>
      </c>
    </row>
    <row r="68" spans="1:28" ht="24.95" customHeight="1">
      <c r="A68" s="32" t="e">
        <v>#REF!</v>
      </c>
      <c r="B68" s="144" t="s">
        <v>587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40</v>
      </c>
      <c r="I68" s="145"/>
      <c r="J68" s="145">
        <v>10</v>
      </c>
      <c r="K68" s="146" t="s">
        <v>29</v>
      </c>
      <c r="L68" s="147" t="s">
        <v>107</v>
      </c>
      <c r="M68" s="148">
        <v>50000000</v>
      </c>
      <c r="N68" s="148"/>
      <c r="O68" s="148"/>
      <c r="P68" s="148"/>
      <c r="Q68" s="148"/>
      <c r="R68" s="148"/>
      <c r="S68" s="148">
        <v>50000000</v>
      </c>
      <c r="T68" s="148">
        <v>0</v>
      </c>
      <c r="U68" s="148">
        <v>50000000</v>
      </c>
      <c r="V68" s="150">
        <v>0</v>
      </c>
      <c r="W68" s="148">
        <v>0</v>
      </c>
      <c r="X68" s="148">
        <v>0</v>
      </c>
      <c r="Y68" s="150">
        <v>0</v>
      </c>
      <c r="Z68" s="148">
        <v>0</v>
      </c>
      <c r="AA68" s="148">
        <v>0</v>
      </c>
      <c r="AB68" s="150">
        <v>0</v>
      </c>
    </row>
    <row r="69" spans="1:28" ht="24.95" customHeight="1">
      <c r="A69" s="32" t="e">
        <v>#REF!</v>
      </c>
      <c r="B69" s="144" t="s">
        <v>591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46</v>
      </c>
      <c r="I69" s="145"/>
      <c r="J69" s="145">
        <v>10</v>
      </c>
      <c r="K69" s="146" t="s">
        <v>29</v>
      </c>
      <c r="L69" s="147" t="s">
        <v>108</v>
      </c>
      <c r="M69" s="148">
        <v>2216500000</v>
      </c>
      <c r="N69" s="148"/>
      <c r="O69" s="148"/>
      <c r="P69" s="148"/>
      <c r="Q69" s="148"/>
      <c r="R69" s="148"/>
      <c r="S69" s="148">
        <v>2216500000</v>
      </c>
      <c r="T69" s="148">
        <v>2163500000</v>
      </c>
      <c r="U69" s="148">
        <v>53000000</v>
      </c>
      <c r="V69" s="150">
        <v>0.97608842770133097</v>
      </c>
      <c r="W69" s="148">
        <v>865115373</v>
      </c>
      <c r="X69" s="148">
        <v>1298384627</v>
      </c>
      <c r="Y69" s="150">
        <v>0.60013155858562517</v>
      </c>
      <c r="Z69" s="148">
        <v>865115373</v>
      </c>
      <c r="AA69" s="148">
        <v>0</v>
      </c>
      <c r="AB69" s="150">
        <v>0.39986844141437483</v>
      </c>
    </row>
    <row r="70" spans="1:28" ht="24.95" customHeight="1">
      <c r="A70" s="32" t="e">
        <v>#REF!</v>
      </c>
      <c r="B70" s="144" t="s">
        <v>593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48</v>
      </c>
      <c r="I70" s="145"/>
      <c r="J70" s="145">
        <v>10</v>
      </c>
      <c r="K70" s="146" t="s">
        <v>29</v>
      </c>
      <c r="L70" s="147" t="s">
        <v>109</v>
      </c>
      <c r="M70" s="148">
        <v>1130000000</v>
      </c>
      <c r="N70" s="148"/>
      <c r="O70" s="148"/>
      <c r="P70" s="148"/>
      <c r="Q70" s="148"/>
      <c r="R70" s="148"/>
      <c r="S70" s="148">
        <v>1130000000</v>
      </c>
      <c r="T70" s="148">
        <v>345235229</v>
      </c>
      <c r="U70" s="148">
        <v>784764771</v>
      </c>
      <c r="V70" s="150">
        <v>0.3055179017699115</v>
      </c>
      <c r="W70" s="148">
        <v>341500122.68000001</v>
      </c>
      <c r="X70" s="148">
        <v>3735106.3199999928</v>
      </c>
      <c r="Y70" s="150">
        <v>1.0819018472764241E-2</v>
      </c>
      <c r="Z70" s="148">
        <v>333784541.68000001</v>
      </c>
      <c r="AA70" s="148">
        <v>7715581</v>
      </c>
      <c r="AB70" s="150">
        <v>0.96683221653488904</v>
      </c>
    </row>
    <row r="71" spans="1:28" ht="24.95" customHeight="1">
      <c r="A71" s="32" t="e">
        <v>#REF!</v>
      </c>
      <c r="B71" s="138" t="s">
        <v>393</v>
      </c>
      <c r="C71" s="139" t="s">
        <v>23</v>
      </c>
      <c r="D71" s="139" t="s">
        <v>54</v>
      </c>
      <c r="E71" s="139" t="s">
        <v>54</v>
      </c>
      <c r="F71" s="139" t="s">
        <v>54</v>
      </c>
      <c r="G71" s="139" t="s">
        <v>44</v>
      </c>
      <c r="H71" s="140"/>
      <c r="I71" s="140"/>
      <c r="J71" s="139" t="s">
        <v>28</v>
      </c>
      <c r="K71" s="140" t="s">
        <v>29</v>
      </c>
      <c r="L71" s="140" t="s">
        <v>110</v>
      </c>
      <c r="M71" s="141">
        <v>15484127230</v>
      </c>
      <c r="N71" s="142">
        <v>0</v>
      </c>
      <c r="O71" s="142">
        <v>0</v>
      </c>
      <c r="P71" s="141">
        <v>3200000</v>
      </c>
      <c r="Q71" s="142">
        <v>0</v>
      </c>
      <c r="R71" s="142">
        <v>0</v>
      </c>
      <c r="S71" s="141">
        <v>15487327230</v>
      </c>
      <c r="T71" s="141">
        <v>7450010606</v>
      </c>
      <c r="U71" s="141">
        <v>8037316624</v>
      </c>
      <c r="V71" s="143">
        <v>0.4810391422200227</v>
      </c>
      <c r="W71" s="141">
        <v>4896381922</v>
      </c>
      <c r="X71" s="141">
        <v>2553628684</v>
      </c>
      <c r="Y71" s="143">
        <v>0.3427684628990178</v>
      </c>
      <c r="Z71" s="141">
        <v>4896381922</v>
      </c>
      <c r="AA71" s="141">
        <v>0</v>
      </c>
      <c r="AB71" s="724">
        <v>0.65723153710098225</v>
      </c>
    </row>
    <row r="72" spans="1:28" ht="24.95" customHeight="1">
      <c r="A72" s="32" t="e">
        <v>#REF!</v>
      </c>
      <c r="B72" s="144" t="s">
        <v>595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31</v>
      </c>
      <c r="I72" s="145"/>
      <c r="J72" s="145">
        <v>10</v>
      </c>
      <c r="K72" s="146" t="s">
        <v>29</v>
      </c>
      <c r="L72" s="147" t="s">
        <v>111</v>
      </c>
      <c r="M72" s="148">
        <v>260000000</v>
      </c>
      <c r="N72" s="148"/>
      <c r="O72" s="148"/>
      <c r="P72" s="148">
        <v>3200000</v>
      </c>
      <c r="Q72" s="148"/>
      <c r="R72" s="148"/>
      <c r="S72" s="148">
        <v>263200000</v>
      </c>
      <c r="T72" s="148">
        <v>13084824</v>
      </c>
      <c r="U72" s="148">
        <v>250115176</v>
      </c>
      <c r="V72" s="150">
        <v>4.9714376899696051E-2</v>
      </c>
      <c r="W72" s="148">
        <v>10336009</v>
      </c>
      <c r="X72" s="148">
        <v>2748815</v>
      </c>
      <c r="Y72" s="150">
        <v>0.21007657420535422</v>
      </c>
      <c r="Z72" s="148">
        <v>10336009</v>
      </c>
      <c r="AA72" s="148">
        <v>0</v>
      </c>
      <c r="AB72" s="150">
        <v>0.78992342579464581</v>
      </c>
    </row>
    <row r="73" spans="1:28" ht="24.95" customHeight="1">
      <c r="A73" s="32" t="e">
        <v>#REF!</v>
      </c>
      <c r="B73" s="144" t="s">
        <v>597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44</v>
      </c>
      <c r="H73" s="145" t="s">
        <v>34</v>
      </c>
      <c r="I73" s="145"/>
      <c r="J73" s="145">
        <v>10</v>
      </c>
      <c r="K73" s="146" t="s">
        <v>29</v>
      </c>
      <c r="L73" s="147" t="s">
        <v>112</v>
      </c>
      <c r="M73" s="148">
        <v>15224127230</v>
      </c>
      <c r="N73" s="148"/>
      <c r="O73" s="148"/>
      <c r="P73" s="148"/>
      <c r="Q73" s="148"/>
      <c r="R73" s="148"/>
      <c r="S73" s="148">
        <v>15224127230</v>
      </c>
      <c r="T73" s="148">
        <v>7436925782</v>
      </c>
      <c r="U73" s="148">
        <v>7787201448</v>
      </c>
      <c r="V73" s="150">
        <v>0.48849603459337354</v>
      </c>
      <c r="W73" s="148">
        <v>4886045913</v>
      </c>
      <c r="X73" s="148">
        <v>2550879869</v>
      </c>
      <c r="Y73" s="150">
        <v>0.34300192630320914</v>
      </c>
      <c r="Z73" s="148">
        <v>4886045913</v>
      </c>
      <c r="AA73" s="148">
        <v>0</v>
      </c>
      <c r="AB73" s="150">
        <v>0.65699807369679086</v>
      </c>
    </row>
    <row r="74" spans="1:28" ht="24.95" customHeight="1">
      <c r="A74" s="32" t="e">
        <v>#REF!</v>
      </c>
      <c r="B74" s="138" t="s">
        <v>395</v>
      </c>
      <c r="C74" s="139" t="s">
        <v>23</v>
      </c>
      <c r="D74" s="139" t="s">
        <v>54</v>
      </c>
      <c r="E74" s="139" t="s">
        <v>54</v>
      </c>
      <c r="F74" s="139" t="s">
        <v>54</v>
      </c>
      <c r="G74" s="139" t="s">
        <v>46</v>
      </c>
      <c r="H74" s="140"/>
      <c r="I74" s="140"/>
      <c r="J74" s="139" t="s">
        <v>28</v>
      </c>
      <c r="K74" s="140" t="s">
        <v>29</v>
      </c>
      <c r="L74" s="140" t="s">
        <v>113</v>
      </c>
      <c r="M74" s="141">
        <v>15733677608</v>
      </c>
      <c r="N74" s="142">
        <v>0</v>
      </c>
      <c r="O74" s="142">
        <v>0</v>
      </c>
      <c r="P74" s="141">
        <v>675931782</v>
      </c>
      <c r="Q74" s="141">
        <v>315131782</v>
      </c>
      <c r="R74" s="142">
        <v>0</v>
      </c>
      <c r="S74" s="141">
        <v>16094477608</v>
      </c>
      <c r="T74" s="141">
        <v>7364990101.579999</v>
      </c>
      <c r="U74" s="141">
        <v>8729487506.420002</v>
      </c>
      <c r="V74" s="143">
        <v>0.45760976410437332</v>
      </c>
      <c r="W74" s="141">
        <v>2472773156.4799995</v>
      </c>
      <c r="X74" s="141">
        <v>4892216945.0999994</v>
      </c>
      <c r="Y74" s="143">
        <v>0.6642530237821338</v>
      </c>
      <c r="Z74" s="141">
        <v>2431873123.4799995</v>
      </c>
      <c r="AA74" s="141">
        <v>40900033</v>
      </c>
      <c r="AB74" s="724">
        <v>0.33019367167354291</v>
      </c>
    </row>
    <row r="75" spans="1:28" ht="24.95" customHeight="1">
      <c r="A75" s="32" t="e">
        <v>#REF!</v>
      </c>
      <c r="B75" s="144" t="s">
        <v>599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34</v>
      </c>
      <c r="I75" s="145"/>
      <c r="J75" s="145">
        <v>10</v>
      </c>
      <c r="K75" s="146" t="s">
        <v>29</v>
      </c>
      <c r="L75" s="147" t="s">
        <v>114</v>
      </c>
      <c r="M75" s="148">
        <v>50358513</v>
      </c>
      <c r="N75" s="148"/>
      <c r="O75" s="148"/>
      <c r="P75" s="148"/>
      <c r="Q75" s="148"/>
      <c r="R75" s="148"/>
      <c r="S75" s="148">
        <v>50358513</v>
      </c>
      <c r="T75" s="148">
        <v>33192800</v>
      </c>
      <c r="U75" s="148">
        <v>17165713</v>
      </c>
      <c r="V75" s="150">
        <v>0.65912986747642843</v>
      </c>
      <c r="W75" s="148">
        <v>514896</v>
      </c>
      <c r="X75" s="148">
        <v>32677904</v>
      </c>
      <c r="Y75" s="150">
        <v>0.9844877202284833</v>
      </c>
      <c r="Z75" s="148">
        <v>514896</v>
      </c>
      <c r="AA75" s="148">
        <v>0</v>
      </c>
      <c r="AB75" s="150">
        <v>1.5512279771516714E-2</v>
      </c>
    </row>
    <row r="76" spans="1:28" ht="24.95" customHeight="1">
      <c r="A76" s="32" t="e">
        <v>#REF!</v>
      </c>
      <c r="B76" s="144" t="s">
        <v>601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36</v>
      </c>
      <c r="I76" s="145"/>
      <c r="J76" s="145">
        <v>10</v>
      </c>
      <c r="K76" s="146" t="s">
        <v>29</v>
      </c>
      <c r="L76" s="147" t="s">
        <v>115</v>
      </c>
      <c r="M76" s="148">
        <v>6350236530</v>
      </c>
      <c r="N76" s="148"/>
      <c r="O76" s="148"/>
      <c r="P76" s="148"/>
      <c r="Q76" s="148">
        <v>102453777</v>
      </c>
      <c r="R76" s="148"/>
      <c r="S76" s="148">
        <v>6247782753</v>
      </c>
      <c r="T76" s="148">
        <v>1918970994</v>
      </c>
      <c r="U76" s="148">
        <v>4328811759</v>
      </c>
      <c r="V76" s="150">
        <v>0.30714432141203485</v>
      </c>
      <c r="W76" s="148">
        <v>445438076</v>
      </c>
      <c r="X76" s="148">
        <v>1473532918</v>
      </c>
      <c r="Y76" s="150">
        <v>0.76787659772203931</v>
      </c>
      <c r="Z76" s="148">
        <v>404643906</v>
      </c>
      <c r="AA76" s="148">
        <v>40794170</v>
      </c>
      <c r="AB76" s="150">
        <v>0.21086504551928625</v>
      </c>
    </row>
    <row r="77" spans="1:28" ht="24.95" customHeight="1">
      <c r="A77" s="32" t="e">
        <v>#REF!</v>
      </c>
      <c r="B77" s="144" t="s">
        <v>603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38</v>
      </c>
      <c r="I77" s="145"/>
      <c r="J77" s="145">
        <v>10</v>
      </c>
      <c r="K77" s="146" t="s">
        <v>29</v>
      </c>
      <c r="L77" s="147" t="s">
        <v>116</v>
      </c>
      <c r="M77" s="148">
        <v>2503588821</v>
      </c>
      <c r="N77" s="148"/>
      <c r="O77" s="148"/>
      <c r="P77" s="148"/>
      <c r="Q77" s="148">
        <v>187634033</v>
      </c>
      <c r="R77" s="148"/>
      <c r="S77" s="148">
        <v>2315954788</v>
      </c>
      <c r="T77" s="148">
        <v>1040026816.75</v>
      </c>
      <c r="U77" s="148">
        <v>1275927971.25</v>
      </c>
      <c r="V77" s="150">
        <v>0.44907043183176337</v>
      </c>
      <c r="W77" s="148">
        <v>685920238.75999999</v>
      </c>
      <c r="X77" s="148">
        <v>354106577.99000001</v>
      </c>
      <c r="Y77" s="150">
        <v>0.34047831487322078</v>
      </c>
      <c r="Z77" s="148">
        <v>685814375.75999999</v>
      </c>
      <c r="AA77" s="148">
        <v>105863</v>
      </c>
      <c r="AB77" s="150">
        <v>0.65941989640528176</v>
      </c>
    </row>
    <row r="78" spans="1:28" ht="24.95" customHeight="1">
      <c r="A78" s="32" t="e">
        <v>#REF!</v>
      </c>
      <c r="B78" s="144" t="s">
        <v>605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40</v>
      </c>
      <c r="I78" s="145"/>
      <c r="J78" s="145">
        <v>10</v>
      </c>
      <c r="K78" s="146" t="s">
        <v>29</v>
      </c>
      <c r="L78" s="147" t="s">
        <v>117</v>
      </c>
      <c r="M78" s="148">
        <v>5781495027</v>
      </c>
      <c r="N78" s="148"/>
      <c r="O78" s="148"/>
      <c r="P78" s="148">
        <v>383040355</v>
      </c>
      <c r="Q78" s="148">
        <v>25043972</v>
      </c>
      <c r="R78" s="148"/>
      <c r="S78" s="148">
        <v>6139491410</v>
      </c>
      <c r="T78" s="148">
        <v>3812275869.2199998</v>
      </c>
      <c r="U78" s="148">
        <v>2327215540.7800002</v>
      </c>
      <c r="V78" s="150">
        <v>0.62094326950446854</v>
      </c>
      <c r="W78" s="148">
        <v>1286441941.98</v>
      </c>
      <c r="X78" s="148">
        <v>2525833927.2399998</v>
      </c>
      <c r="Y78" s="150">
        <v>0.66255276739896352</v>
      </c>
      <c r="Z78" s="148">
        <v>1286441941.98</v>
      </c>
      <c r="AA78" s="148">
        <v>0</v>
      </c>
      <c r="AB78" s="150">
        <v>0.33744723260103654</v>
      </c>
    </row>
    <row r="79" spans="1:28" ht="24.95" customHeight="1">
      <c r="A79" s="32" t="e">
        <v>#REF!</v>
      </c>
      <c r="B79" s="144" t="s">
        <v>607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44</v>
      </c>
      <c r="I79" s="145"/>
      <c r="J79" s="145">
        <v>10</v>
      </c>
      <c r="K79" s="146" t="s">
        <v>29</v>
      </c>
      <c r="L79" s="147" t="s">
        <v>118</v>
      </c>
      <c r="M79" s="148">
        <v>729998717</v>
      </c>
      <c r="N79" s="148"/>
      <c r="O79" s="148"/>
      <c r="P79" s="148">
        <v>292891427</v>
      </c>
      <c r="Q79" s="149"/>
      <c r="R79" s="148"/>
      <c r="S79" s="148">
        <v>1022890144</v>
      </c>
      <c r="T79" s="148">
        <v>418523621.61000001</v>
      </c>
      <c r="U79" s="148">
        <v>604366522.38999999</v>
      </c>
      <c r="V79" s="150">
        <v>0.40915793750183987</v>
      </c>
      <c r="W79" s="148">
        <v>52458003.740000002</v>
      </c>
      <c r="X79" s="148">
        <v>366065617.87</v>
      </c>
      <c r="Y79" s="150">
        <v>0.87465939547640914</v>
      </c>
      <c r="Z79" s="148">
        <v>52458003.740000002</v>
      </c>
      <c r="AA79" s="148">
        <v>0</v>
      </c>
      <c r="AB79" s="150">
        <v>0.12534060452359086</v>
      </c>
    </row>
    <row r="80" spans="1:28" ht="24.95" customHeight="1">
      <c r="A80" s="32" t="e">
        <v>#REF!</v>
      </c>
      <c r="B80" s="144" t="s">
        <v>609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48</v>
      </c>
      <c r="I80" s="145"/>
      <c r="J80" s="145">
        <v>10</v>
      </c>
      <c r="K80" s="146" t="s">
        <v>29</v>
      </c>
      <c r="L80" s="147" t="s">
        <v>119</v>
      </c>
      <c r="M80" s="148">
        <v>318000000</v>
      </c>
      <c r="N80" s="148"/>
      <c r="O80" s="148"/>
      <c r="P80" s="148"/>
      <c r="Q80" s="148"/>
      <c r="R80" s="148"/>
      <c r="S80" s="148">
        <v>318000000</v>
      </c>
      <c r="T80" s="148">
        <v>142000000</v>
      </c>
      <c r="U80" s="148">
        <v>176000000</v>
      </c>
      <c r="V80" s="150">
        <v>0.44654088050314467</v>
      </c>
      <c r="W80" s="148">
        <v>2000000</v>
      </c>
      <c r="X80" s="148">
        <v>140000000</v>
      </c>
      <c r="Y80" s="150">
        <v>0.9859154929577465</v>
      </c>
      <c r="Z80" s="148">
        <v>2000000</v>
      </c>
      <c r="AA80" s="148">
        <v>0</v>
      </c>
      <c r="AB80" s="150">
        <v>1.4084507042253521E-2</v>
      </c>
    </row>
    <row r="81" spans="1:28" ht="24.95" customHeight="1">
      <c r="A81" s="32" t="e">
        <v>#REF!</v>
      </c>
      <c r="B81" s="138" t="s">
        <v>397</v>
      </c>
      <c r="C81" s="139" t="s">
        <v>23</v>
      </c>
      <c r="D81" s="139" t="s">
        <v>54</v>
      </c>
      <c r="E81" s="139" t="s">
        <v>54</v>
      </c>
      <c r="F81" s="139" t="s">
        <v>54</v>
      </c>
      <c r="G81" s="139" t="s">
        <v>48</v>
      </c>
      <c r="H81" s="140"/>
      <c r="I81" s="140"/>
      <c r="J81" s="139" t="s">
        <v>28</v>
      </c>
      <c r="K81" s="140" t="s">
        <v>29</v>
      </c>
      <c r="L81" s="140" t="s">
        <v>120</v>
      </c>
      <c r="M81" s="141">
        <v>2932500000</v>
      </c>
      <c r="N81" s="142">
        <v>0</v>
      </c>
      <c r="O81" s="142">
        <v>0</v>
      </c>
      <c r="P81" s="142">
        <v>0</v>
      </c>
      <c r="Q81" s="141">
        <v>380000000</v>
      </c>
      <c r="R81" s="142">
        <v>0</v>
      </c>
      <c r="S81" s="141">
        <v>2552500000</v>
      </c>
      <c r="T81" s="141">
        <v>143687185</v>
      </c>
      <c r="U81" s="141">
        <v>2408812815</v>
      </c>
      <c r="V81" s="143">
        <v>5.6292726738491672E-2</v>
      </c>
      <c r="W81" s="141">
        <v>26257447.41</v>
      </c>
      <c r="X81" s="141">
        <v>117429737.59</v>
      </c>
      <c r="Y81" s="143">
        <v>0.81725964350961433</v>
      </c>
      <c r="Z81" s="141">
        <v>25674275.41</v>
      </c>
      <c r="AA81" s="141">
        <v>583172</v>
      </c>
      <c r="AB81" s="724">
        <v>0.17868173428270587</v>
      </c>
    </row>
    <row r="82" spans="1:28" ht="24.95" customHeight="1">
      <c r="A82" s="32" t="e">
        <v>#REF!</v>
      </c>
      <c r="B82" s="144" t="s">
        <v>611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34</v>
      </c>
      <c r="I82" s="145"/>
      <c r="J82" s="145">
        <v>10</v>
      </c>
      <c r="K82" s="146" t="s">
        <v>29</v>
      </c>
      <c r="L82" s="147" t="s">
        <v>121</v>
      </c>
      <c r="M82" s="148">
        <v>1250000000</v>
      </c>
      <c r="N82" s="148"/>
      <c r="O82" s="148"/>
      <c r="P82" s="148"/>
      <c r="Q82" s="148">
        <v>380000000</v>
      </c>
      <c r="R82" s="148"/>
      <c r="S82" s="148">
        <v>870000000</v>
      </c>
      <c r="T82" s="148">
        <v>0</v>
      </c>
      <c r="U82" s="148">
        <v>870000000</v>
      </c>
      <c r="V82" s="150">
        <v>0</v>
      </c>
      <c r="W82" s="148">
        <v>0</v>
      </c>
      <c r="X82" s="148">
        <v>0</v>
      </c>
      <c r="Y82" s="150">
        <v>0</v>
      </c>
      <c r="Z82" s="148">
        <v>0</v>
      </c>
      <c r="AA82" s="148">
        <v>0</v>
      </c>
      <c r="AB82" s="150">
        <v>0</v>
      </c>
    </row>
    <row r="83" spans="1:28" ht="24.95" customHeight="1">
      <c r="A83" s="32" t="e">
        <v>#REF!</v>
      </c>
      <c r="B83" s="144" t="s">
        <v>613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36</v>
      </c>
      <c r="I83" s="145"/>
      <c r="J83" s="145">
        <v>10</v>
      </c>
      <c r="K83" s="146" t="s">
        <v>29</v>
      </c>
      <c r="L83" s="147" t="s">
        <v>122</v>
      </c>
      <c r="M83" s="148">
        <v>300000000</v>
      </c>
      <c r="N83" s="148"/>
      <c r="O83" s="148"/>
      <c r="P83" s="148"/>
      <c r="Q83" s="148"/>
      <c r="R83" s="148"/>
      <c r="S83" s="148">
        <v>300000000</v>
      </c>
      <c r="T83" s="148">
        <v>122398700</v>
      </c>
      <c r="U83" s="148">
        <v>177601300</v>
      </c>
      <c r="V83" s="150">
        <v>0.40799566666666665</v>
      </c>
      <c r="W83" s="148">
        <v>5118575</v>
      </c>
      <c r="X83" s="148">
        <v>117280125</v>
      </c>
      <c r="Y83" s="150">
        <v>0.95818113264274862</v>
      </c>
      <c r="Z83" s="148">
        <v>5118575</v>
      </c>
      <c r="AA83" s="148">
        <v>0</v>
      </c>
      <c r="AB83" s="150">
        <v>4.1818867357251342E-2</v>
      </c>
    </row>
    <row r="84" spans="1:28" ht="24.95" customHeight="1">
      <c r="A84" s="32" t="e">
        <v>#REF!</v>
      </c>
      <c r="B84" s="144" t="s">
        <v>615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38</v>
      </c>
      <c r="I84" s="145"/>
      <c r="J84" s="145">
        <v>10</v>
      </c>
      <c r="K84" s="146" t="s">
        <v>29</v>
      </c>
      <c r="L84" s="147" t="s">
        <v>123</v>
      </c>
      <c r="M84" s="148">
        <v>87500000</v>
      </c>
      <c r="N84" s="148"/>
      <c r="O84" s="148"/>
      <c r="P84" s="148"/>
      <c r="Q84" s="148"/>
      <c r="R84" s="148"/>
      <c r="S84" s="148">
        <v>87500000</v>
      </c>
      <c r="T84" s="148">
        <v>21288485</v>
      </c>
      <c r="U84" s="148">
        <v>66211515</v>
      </c>
      <c r="V84" s="150">
        <v>0.24329697142857143</v>
      </c>
      <c r="W84" s="148">
        <v>21138872.41</v>
      </c>
      <c r="X84" s="148">
        <v>149612.58999999985</v>
      </c>
      <c r="Y84" s="150">
        <v>7.0278645944039627E-3</v>
      </c>
      <c r="Z84" s="148">
        <v>20555700.41</v>
      </c>
      <c r="AA84" s="148">
        <v>583172</v>
      </c>
      <c r="AB84" s="150">
        <v>0.96557835891093236</v>
      </c>
    </row>
    <row r="85" spans="1:28" ht="24.95" customHeight="1">
      <c r="A85" s="32" t="e">
        <v>#REF!</v>
      </c>
      <c r="B85" s="144" t="s">
        <v>617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42</v>
      </c>
      <c r="I85" s="145"/>
      <c r="J85" s="145">
        <v>10</v>
      </c>
      <c r="K85" s="146" t="s">
        <v>29</v>
      </c>
      <c r="L85" s="147" t="s">
        <v>124</v>
      </c>
      <c r="M85" s="148">
        <v>1250000000</v>
      </c>
      <c r="N85" s="148"/>
      <c r="O85" s="148"/>
      <c r="P85" s="148"/>
      <c r="Q85" s="148"/>
      <c r="R85" s="148"/>
      <c r="S85" s="148">
        <v>1250000000</v>
      </c>
      <c r="T85" s="148">
        <v>0</v>
      </c>
      <c r="U85" s="148">
        <v>1250000000</v>
      </c>
      <c r="V85" s="150">
        <v>0</v>
      </c>
      <c r="W85" s="148">
        <v>0</v>
      </c>
      <c r="X85" s="148">
        <v>0</v>
      </c>
      <c r="Y85" s="150">
        <v>0</v>
      </c>
      <c r="Z85" s="148">
        <v>0</v>
      </c>
      <c r="AA85" s="148">
        <v>0</v>
      </c>
      <c r="AB85" s="150">
        <v>0</v>
      </c>
    </row>
    <row r="86" spans="1:28" ht="24.95" customHeight="1">
      <c r="A86" s="32" t="e">
        <v>#REF!</v>
      </c>
      <c r="B86" s="144" t="s">
        <v>619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44</v>
      </c>
      <c r="I86" s="145"/>
      <c r="J86" s="145">
        <v>10</v>
      </c>
      <c r="K86" s="146" t="s">
        <v>29</v>
      </c>
      <c r="L86" s="147" t="s">
        <v>125</v>
      </c>
      <c r="M86" s="148">
        <v>45000000</v>
      </c>
      <c r="N86" s="148"/>
      <c r="O86" s="148"/>
      <c r="P86" s="149"/>
      <c r="Q86" s="148"/>
      <c r="R86" s="148"/>
      <c r="S86" s="148">
        <v>45000000</v>
      </c>
      <c r="T86" s="148">
        <v>0</v>
      </c>
      <c r="U86" s="148">
        <v>45000000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399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50</v>
      </c>
      <c r="H87" s="145"/>
      <c r="I87" s="145"/>
      <c r="J87" s="145" t="s">
        <v>28</v>
      </c>
      <c r="K87" s="146" t="s">
        <v>29</v>
      </c>
      <c r="L87" s="152" t="s">
        <v>126</v>
      </c>
      <c r="M87" s="153">
        <v>922000000</v>
      </c>
      <c r="N87" s="153"/>
      <c r="O87" s="153"/>
      <c r="P87" s="153"/>
      <c r="Q87" s="153"/>
      <c r="R87" s="153"/>
      <c r="S87" s="153">
        <v>922000000</v>
      </c>
      <c r="T87" s="153">
        <v>322369996</v>
      </c>
      <c r="U87" s="153">
        <v>599630004</v>
      </c>
      <c r="V87" s="154">
        <v>0.34964207809110631</v>
      </c>
      <c r="W87" s="153">
        <v>184539886</v>
      </c>
      <c r="X87" s="153">
        <v>137830110</v>
      </c>
      <c r="Y87" s="154">
        <v>0.42755253810903665</v>
      </c>
      <c r="Z87" s="153">
        <v>184539886</v>
      </c>
      <c r="AA87" s="148">
        <v>0</v>
      </c>
      <c r="AB87" s="150">
        <v>0.57244746189096329</v>
      </c>
    </row>
    <row r="88" spans="1:28" ht="36" customHeight="1">
      <c r="A88" s="32" t="e">
        <v>#REF!</v>
      </c>
      <c r="B88" s="122" t="s">
        <v>401</v>
      </c>
      <c r="C88" s="123" t="s">
        <v>23</v>
      </c>
      <c r="D88" s="123" t="s">
        <v>65</v>
      </c>
      <c r="E88" s="123"/>
      <c r="F88" s="123"/>
      <c r="G88" s="123"/>
      <c r="H88" s="123"/>
      <c r="I88" s="123"/>
      <c r="J88" s="124"/>
      <c r="K88" s="124"/>
      <c r="L88" s="124" t="s">
        <v>127</v>
      </c>
      <c r="M88" s="125">
        <v>13468000000</v>
      </c>
      <c r="N88" s="719">
        <v>0</v>
      </c>
      <c r="O88" s="719">
        <v>0</v>
      </c>
      <c r="P88" s="719">
        <v>0</v>
      </c>
      <c r="Q88" s="719">
        <v>0</v>
      </c>
      <c r="R88" s="125">
        <v>10390000000</v>
      </c>
      <c r="S88" s="125">
        <v>3078000000</v>
      </c>
      <c r="T88" s="125">
        <v>1084467309.73</v>
      </c>
      <c r="U88" s="125">
        <v>1993532690.27</v>
      </c>
      <c r="V88" s="126">
        <v>0.35232856066601692</v>
      </c>
      <c r="W88" s="125">
        <v>935893767.73000002</v>
      </c>
      <c r="X88" s="125">
        <v>148573542</v>
      </c>
      <c r="Y88" s="126">
        <v>0.13700140213261972</v>
      </c>
      <c r="Z88" s="125">
        <v>935893767.73000002</v>
      </c>
      <c r="AA88" s="125">
        <v>0</v>
      </c>
      <c r="AB88" s="720">
        <v>0.86299859786738031</v>
      </c>
    </row>
    <row r="89" spans="1:28" ht="24" customHeight="1">
      <c r="A89" s="32" t="e">
        <v>#REF!</v>
      </c>
      <c r="B89" s="127" t="s">
        <v>621</v>
      </c>
      <c r="C89" s="128" t="s">
        <v>23</v>
      </c>
      <c r="D89" s="128" t="s">
        <v>65</v>
      </c>
      <c r="E89" s="128" t="s">
        <v>65</v>
      </c>
      <c r="F89" s="128"/>
      <c r="G89" s="128"/>
      <c r="H89" s="128"/>
      <c r="I89" s="128"/>
      <c r="J89" s="129"/>
      <c r="K89" s="129"/>
      <c r="L89" s="129" t="s">
        <v>128</v>
      </c>
      <c r="M89" s="130">
        <v>10390000000</v>
      </c>
      <c r="N89" s="721">
        <v>0</v>
      </c>
      <c r="O89" s="721">
        <v>0</v>
      </c>
      <c r="P89" s="721">
        <v>0</v>
      </c>
      <c r="Q89" s="721">
        <v>0</v>
      </c>
      <c r="R89" s="130">
        <v>10390000000</v>
      </c>
      <c r="S89" s="130">
        <v>0</v>
      </c>
      <c r="T89" s="130">
        <v>0</v>
      </c>
      <c r="U89" s="130">
        <v>0</v>
      </c>
      <c r="V89" s="131">
        <v>0</v>
      </c>
      <c r="W89" s="130">
        <v>0</v>
      </c>
      <c r="X89" s="130">
        <v>0</v>
      </c>
      <c r="Y89" s="131">
        <v>0</v>
      </c>
      <c r="Z89" s="130">
        <v>0</v>
      </c>
      <c r="AA89" s="130">
        <v>0</v>
      </c>
      <c r="AB89" s="722">
        <v>0</v>
      </c>
    </row>
    <row r="90" spans="1:28" ht="24" customHeight="1">
      <c r="A90" s="32" t="e">
        <v>#REF!</v>
      </c>
      <c r="B90" s="132" t="s">
        <v>623</v>
      </c>
      <c r="C90" s="133" t="s">
        <v>23</v>
      </c>
      <c r="D90" s="133" t="s">
        <v>65</v>
      </c>
      <c r="E90" s="133" t="s">
        <v>65</v>
      </c>
      <c r="F90" s="133" t="s">
        <v>25</v>
      </c>
      <c r="G90" s="133"/>
      <c r="H90" s="133"/>
      <c r="I90" s="133"/>
      <c r="J90" s="133"/>
      <c r="K90" s="134"/>
      <c r="L90" s="134" t="s">
        <v>129</v>
      </c>
      <c r="M90" s="135">
        <v>10390000000</v>
      </c>
      <c r="N90" s="136">
        <v>0</v>
      </c>
      <c r="O90" s="136">
        <v>0</v>
      </c>
      <c r="P90" s="136">
        <v>0</v>
      </c>
      <c r="Q90" s="136">
        <v>0</v>
      </c>
      <c r="R90" s="135">
        <v>10390000000</v>
      </c>
      <c r="S90" s="135">
        <v>0</v>
      </c>
      <c r="T90" s="135">
        <v>0</v>
      </c>
      <c r="U90" s="135">
        <v>0</v>
      </c>
      <c r="V90" s="137">
        <v>0</v>
      </c>
      <c r="W90" s="135">
        <v>0</v>
      </c>
      <c r="X90" s="135">
        <v>0</v>
      </c>
      <c r="Y90" s="137">
        <v>0</v>
      </c>
      <c r="Z90" s="135">
        <v>0</v>
      </c>
      <c r="AA90" s="135">
        <v>0</v>
      </c>
      <c r="AB90" s="723">
        <v>0</v>
      </c>
    </row>
    <row r="91" spans="1:28" ht="24.95" hidden="1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131</v>
      </c>
      <c r="M91" s="148"/>
      <c r="N91" s="148"/>
      <c r="O91" s="148"/>
      <c r="P91" s="148"/>
      <c r="Q91" s="148"/>
      <c r="R91" s="148"/>
      <c r="S91" s="148">
        <v>0</v>
      </c>
      <c r="T91" s="149"/>
      <c r="U91" s="148">
        <v>0</v>
      </c>
      <c r="V91" s="150">
        <v>0</v>
      </c>
      <c r="W91" s="148"/>
      <c r="X91" s="148">
        <v>0</v>
      </c>
      <c r="Y91" s="150">
        <v>0</v>
      </c>
      <c r="Z91" s="148"/>
      <c r="AA91" s="148">
        <v>0</v>
      </c>
      <c r="AB91" s="150">
        <v>0</v>
      </c>
    </row>
    <row r="92" spans="1:28" ht="24.95" hidden="1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132</v>
      </c>
      <c r="M92" s="148"/>
      <c r="N92" s="148"/>
      <c r="O92" s="148"/>
      <c r="P92" s="148"/>
      <c r="Q92" s="148"/>
      <c r="R92" s="148"/>
      <c r="S92" s="148">
        <v>0</v>
      </c>
      <c r="T92" s="149"/>
      <c r="U92" s="148">
        <v>0</v>
      </c>
      <c r="V92" s="150">
        <v>0</v>
      </c>
      <c r="W92" s="148"/>
      <c r="X92" s="148">
        <v>0</v>
      </c>
      <c r="Y92" s="150">
        <v>0</v>
      </c>
      <c r="Z92" s="148"/>
      <c r="AA92" s="148">
        <v>0</v>
      </c>
      <c r="AB92" s="150">
        <v>0</v>
      </c>
    </row>
    <row r="93" spans="1:28" ht="24.95" hidden="1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133</v>
      </c>
      <c r="M93" s="148"/>
      <c r="N93" s="148"/>
      <c r="O93" s="148"/>
      <c r="P93" s="148"/>
      <c r="Q93" s="148"/>
      <c r="R93" s="148"/>
      <c r="S93" s="148">
        <v>0</v>
      </c>
      <c r="T93" s="149"/>
      <c r="U93" s="148">
        <v>0</v>
      </c>
      <c r="V93" s="150">
        <v>0</v>
      </c>
      <c r="W93" s="148"/>
      <c r="X93" s="148">
        <v>0</v>
      </c>
      <c r="Y93" s="150">
        <v>0</v>
      </c>
      <c r="Z93" s="148"/>
      <c r="AA93" s="148">
        <v>0</v>
      </c>
      <c r="AB93" s="150">
        <v>0</v>
      </c>
    </row>
    <row r="94" spans="1:28" ht="24.95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 t="s">
        <v>28</v>
      </c>
      <c r="K94" s="146" t="s">
        <v>29</v>
      </c>
      <c r="L94" s="147" t="s">
        <v>135</v>
      </c>
      <c r="M94" s="149">
        <v>10390000000</v>
      </c>
      <c r="N94" s="148"/>
      <c r="O94" s="148"/>
      <c r="P94" s="148"/>
      <c r="Q94" s="148"/>
      <c r="R94" s="149">
        <v>10390000000</v>
      </c>
      <c r="S94" s="149">
        <v>0</v>
      </c>
      <c r="T94" s="149">
        <v>0</v>
      </c>
      <c r="U94" s="148">
        <v>0</v>
      </c>
      <c r="V94" s="150">
        <v>0</v>
      </c>
      <c r="W94" s="148"/>
      <c r="X94" s="148">
        <v>0</v>
      </c>
      <c r="Y94" s="150">
        <v>0</v>
      </c>
      <c r="Z94" s="148"/>
      <c r="AA94" s="148">
        <v>0</v>
      </c>
      <c r="AB94" s="150">
        <v>0</v>
      </c>
    </row>
    <row r="95" spans="1:28" ht="24.95" hidden="1" customHeight="1">
      <c r="A95" s="32" t="e">
        <v>#REF!</v>
      </c>
      <c r="B95" s="144" t="s">
        <v>627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134</v>
      </c>
      <c r="H95" s="145"/>
      <c r="I95" s="145"/>
      <c r="J95" s="145">
        <v>11</v>
      </c>
      <c r="K95" s="146" t="s">
        <v>29</v>
      </c>
      <c r="L95" s="147" t="s">
        <v>135</v>
      </c>
      <c r="M95" s="148"/>
      <c r="N95" s="148"/>
      <c r="O95" s="148"/>
      <c r="P95" s="148"/>
      <c r="Q95" s="148"/>
      <c r="R95" s="148"/>
      <c r="S95" s="148">
        <v>0</v>
      </c>
      <c r="T95" s="148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" customHeight="1">
      <c r="A96" s="32" t="e">
        <v>#REF!</v>
      </c>
      <c r="B96" s="127" t="s">
        <v>403</v>
      </c>
      <c r="C96" s="128" t="s">
        <v>23</v>
      </c>
      <c r="D96" s="128" t="s">
        <v>65</v>
      </c>
      <c r="E96" s="128" t="s">
        <v>136</v>
      </c>
      <c r="F96" s="128"/>
      <c r="G96" s="128"/>
      <c r="H96" s="128"/>
      <c r="I96" s="128"/>
      <c r="J96" s="129"/>
      <c r="K96" s="129"/>
      <c r="L96" s="129" t="s">
        <v>137</v>
      </c>
      <c r="M96" s="130">
        <v>719000000</v>
      </c>
      <c r="N96" s="721">
        <v>0</v>
      </c>
      <c r="O96" s="721">
        <v>0</v>
      </c>
      <c r="P96" s="721">
        <v>0</v>
      </c>
      <c r="Q96" s="721">
        <v>0</v>
      </c>
      <c r="R96" s="721">
        <v>0</v>
      </c>
      <c r="S96" s="130">
        <v>719000000</v>
      </c>
      <c r="T96" s="130">
        <v>212109659</v>
      </c>
      <c r="U96" s="130">
        <v>506890341</v>
      </c>
      <c r="V96" s="131">
        <v>0.29500647983310152</v>
      </c>
      <c r="W96" s="130">
        <v>63536117</v>
      </c>
      <c r="X96" s="130">
        <v>148573542</v>
      </c>
      <c r="Y96" s="131">
        <v>0.70045627672240984</v>
      </c>
      <c r="Z96" s="130">
        <v>63536117</v>
      </c>
      <c r="AA96" s="721">
        <v>0</v>
      </c>
      <c r="AB96" s="722">
        <v>0.2995437232775901</v>
      </c>
    </row>
    <row r="97" spans="1:30" ht="24" customHeight="1">
      <c r="A97" s="32" t="e">
        <v>#REF!</v>
      </c>
      <c r="B97" s="132" t="s">
        <v>405</v>
      </c>
      <c r="C97" s="133" t="s">
        <v>23</v>
      </c>
      <c r="D97" s="133" t="s">
        <v>65</v>
      </c>
      <c r="E97" s="133" t="s">
        <v>136</v>
      </c>
      <c r="F97" s="133" t="s">
        <v>54</v>
      </c>
      <c r="G97" s="133"/>
      <c r="H97" s="133"/>
      <c r="I97" s="133"/>
      <c r="J97" s="133" t="s">
        <v>28</v>
      </c>
      <c r="K97" s="134" t="s">
        <v>29</v>
      </c>
      <c r="L97" s="134" t="s">
        <v>138</v>
      </c>
      <c r="M97" s="135">
        <v>719000000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5">
        <v>719000000</v>
      </c>
      <c r="T97" s="135">
        <v>212109659</v>
      </c>
      <c r="U97" s="135">
        <v>506890341</v>
      </c>
      <c r="V97" s="137">
        <v>0.29500647983310152</v>
      </c>
      <c r="W97" s="135">
        <v>63536117</v>
      </c>
      <c r="X97" s="135">
        <v>148573542</v>
      </c>
      <c r="Y97" s="137">
        <v>0.70045627672240984</v>
      </c>
      <c r="Z97" s="135">
        <v>63536117</v>
      </c>
      <c r="AA97" s="136">
        <v>0</v>
      </c>
      <c r="AB97" s="723">
        <v>0.2995437232775901</v>
      </c>
    </row>
    <row r="98" spans="1:30" ht="24.95" customHeight="1">
      <c r="A98" s="32" t="e">
        <v>#REF!</v>
      </c>
      <c r="B98" s="138" t="s">
        <v>407</v>
      </c>
      <c r="C98" s="139" t="s">
        <v>23</v>
      </c>
      <c r="D98" s="139" t="s">
        <v>65</v>
      </c>
      <c r="E98" s="139" t="s">
        <v>136</v>
      </c>
      <c r="F98" s="139" t="s">
        <v>54</v>
      </c>
      <c r="G98" s="139" t="s">
        <v>52</v>
      </c>
      <c r="H98" s="139"/>
      <c r="I98" s="139"/>
      <c r="J98" s="139" t="s">
        <v>28</v>
      </c>
      <c r="K98" s="140" t="s">
        <v>29</v>
      </c>
      <c r="L98" s="140" t="s">
        <v>139</v>
      </c>
      <c r="M98" s="141">
        <v>719000000</v>
      </c>
      <c r="N98" s="142">
        <v>0</v>
      </c>
      <c r="O98" s="142">
        <v>0</v>
      </c>
      <c r="P98" s="142">
        <v>0</v>
      </c>
      <c r="Q98" s="142">
        <v>0</v>
      </c>
      <c r="R98" s="142">
        <v>0</v>
      </c>
      <c r="S98" s="141">
        <v>719000000</v>
      </c>
      <c r="T98" s="141">
        <v>212109659</v>
      </c>
      <c r="U98" s="141">
        <v>506890341</v>
      </c>
      <c r="V98" s="143">
        <v>0.29500647983310152</v>
      </c>
      <c r="W98" s="141">
        <v>63536117</v>
      </c>
      <c r="X98" s="141">
        <v>148573542</v>
      </c>
      <c r="Y98" s="143">
        <v>0.70045627672240984</v>
      </c>
      <c r="Z98" s="141">
        <v>63536117</v>
      </c>
      <c r="AA98" s="142">
        <v>0</v>
      </c>
      <c r="AB98" s="724">
        <v>0.2995437232775901</v>
      </c>
    </row>
    <row r="99" spans="1:30" ht="24.95" customHeight="1">
      <c r="A99" s="32" t="e">
        <v>#REF!</v>
      </c>
      <c r="B99" s="144" t="s">
        <v>409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31</v>
      </c>
      <c r="I99" s="145"/>
      <c r="J99" s="145" t="s">
        <v>28</v>
      </c>
      <c r="K99" s="146" t="s">
        <v>29</v>
      </c>
      <c r="L99" s="147" t="s">
        <v>140</v>
      </c>
      <c r="M99" s="148">
        <v>359500000</v>
      </c>
      <c r="N99" s="148"/>
      <c r="O99" s="148"/>
      <c r="P99" s="148"/>
      <c r="Q99" s="148"/>
      <c r="R99" s="148"/>
      <c r="S99" s="148">
        <v>359500000</v>
      </c>
      <c r="T99" s="148">
        <v>116485484</v>
      </c>
      <c r="U99" s="148">
        <v>243014516</v>
      </c>
      <c r="V99" s="150">
        <v>0.32402081780250347</v>
      </c>
      <c r="W99" s="148">
        <v>55656307</v>
      </c>
      <c r="X99" s="148">
        <v>60829177</v>
      </c>
      <c r="Y99" s="150">
        <v>0.52220392542645055</v>
      </c>
      <c r="Z99" s="148">
        <v>55656307</v>
      </c>
      <c r="AA99" s="148">
        <v>0</v>
      </c>
      <c r="AB99" s="150">
        <v>0.47779607457354945</v>
      </c>
    </row>
    <row r="100" spans="1:30" ht="24.95" customHeight="1">
      <c r="A100" s="32" t="e">
        <v>#REF!</v>
      </c>
      <c r="B100" s="144" t="s">
        <v>411</v>
      </c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52</v>
      </c>
      <c r="H100" s="145" t="s">
        <v>34</v>
      </c>
      <c r="I100" s="145"/>
      <c r="J100" s="145" t="s">
        <v>28</v>
      </c>
      <c r="K100" s="146" t="s">
        <v>29</v>
      </c>
      <c r="L100" s="147" t="s">
        <v>141</v>
      </c>
      <c r="M100" s="148">
        <v>359500000</v>
      </c>
      <c r="N100" s="148"/>
      <c r="O100" s="148"/>
      <c r="P100" s="148"/>
      <c r="Q100" s="148"/>
      <c r="R100" s="148"/>
      <c r="S100" s="148">
        <v>359500000</v>
      </c>
      <c r="T100" s="148">
        <v>95624175</v>
      </c>
      <c r="U100" s="148">
        <v>263875825</v>
      </c>
      <c r="V100" s="150">
        <v>0.26599214186369957</v>
      </c>
      <c r="W100" s="148">
        <v>7879810</v>
      </c>
      <c r="X100" s="148">
        <v>87744365</v>
      </c>
      <c r="Y100" s="150">
        <v>0.91759604723387156</v>
      </c>
      <c r="Z100" s="148">
        <v>7879810</v>
      </c>
      <c r="AA100" s="148">
        <v>0</v>
      </c>
      <c r="AB100" s="150">
        <v>8.2403952766128441E-2</v>
      </c>
    </row>
    <row r="101" spans="1:30" ht="24.95" hidden="1" customHeight="1">
      <c r="A101" s="32" t="e">
        <v>#REF!</v>
      </c>
      <c r="B101" s="32"/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142</v>
      </c>
      <c r="H101" s="145"/>
      <c r="I101" s="145"/>
      <c r="J101" s="145" t="s">
        <v>28</v>
      </c>
      <c r="K101" s="146" t="s">
        <v>29</v>
      </c>
      <c r="L101" s="147" t="s">
        <v>260</v>
      </c>
      <c r="M101" s="148">
        <v>0</v>
      </c>
      <c r="N101" s="148"/>
      <c r="O101" s="148"/>
      <c r="P101" s="148"/>
      <c r="Q101" s="148"/>
      <c r="R101" s="148"/>
      <c r="S101" s="148">
        <v>0</v>
      </c>
      <c r="T101" s="148">
        <v>0</v>
      </c>
      <c r="U101" s="148">
        <v>0</v>
      </c>
      <c r="V101" s="150">
        <v>0</v>
      </c>
      <c r="W101" s="148">
        <v>0</v>
      </c>
      <c r="X101" s="148">
        <v>0</v>
      </c>
      <c r="Y101" s="150">
        <v>0</v>
      </c>
      <c r="Z101" s="148">
        <v>0</v>
      </c>
      <c r="AA101" s="148">
        <v>0</v>
      </c>
      <c r="AB101" s="150">
        <v>0</v>
      </c>
    </row>
    <row r="102" spans="1:30" ht="24" customHeight="1">
      <c r="A102" s="32" t="e">
        <v>#REF!</v>
      </c>
      <c r="B102" s="127" t="s">
        <v>415</v>
      </c>
      <c r="C102" s="128" t="s">
        <v>23</v>
      </c>
      <c r="D102" s="128" t="s">
        <v>65</v>
      </c>
      <c r="E102" s="128" t="s">
        <v>28</v>
      </c>
      <c r="F102" s="128"/>
      <c r="G102" s="128"/>
      <c r="H102" s="128"/>
      <c r="I102" s="128"/>
      <c r="J102" s="129"/>
      <c r="K102" s="129"/>
      <c r="L102" s="129" t="s">
        <v>143</v>
      </c>
      <c r="M102" s="130">
        <v>2359000000</v>
      </c>
      <c r="N102" s="721">
        <v>0</v>
      </c>
      <c r="O102" s="721">
        <v>0</v>
      </c>
      <c r="P102" s="721">
        <v>0</v>
      </c>
      <c r="Q102" s="721">
        <v>0</v>
      </c>
      <c r="R102" s="721">
        <v>0</v>
      </c>
      <c r="S102" s="130">
        <v>2359000000</v>
      </c>
      <c r="T102" s="130">
        <v>872357650.73000002</v>
      </c>
      <c r="U102" s="130">
        <v>1486642349.27</v>
      </c>
      <c r="V102" s="131">
        <v>0.3697997671598135</v>
      </c>
      <c r="W102" s="130">
        <v>872357650.73000002</v>
      </c>
      <c r="X102" s="130">
        <v>0</v>
      </c>
      <c r="Y102" s="131">
        <v>0</v>
      </c>
      <c r="Z102" s="130">
        <v>872357650.73000002</v>
      </c>
      <c r="AA102" s="130">
        <v>0</v>
      </c>
      <c r="AB102" s="722">
        <v>1</v>
      </c>
    </row>
    <row r="103" spans="1:30" ht="24" customHeight="1">
      <c r="A103" s="32" t="e">
        <v>#REF!</v>
      </c>
      <c r="B103" s="132" t="s">
        <v>417</v>
      </c>
      <c r="C103" s="133" t="s">
        <v>23</v>
      </c>
      <c r="D103" s="133" t="s">
        <v>65</v>
      </c>
      <c r="E103" s="133" t="s">
        <v>28</v>
      </c>
      <c r="F103" s="133" t="s">
        <v>25</v>
      </c>
      <c r="G103" s="133"/>
      <c r="H103" s="133"/>
      <c r="I103" s="133"/>
      <c r="J103" s="133" t="s">
        <v>144</v>
      </c>
      <c r="K103" s="134" t="s">
        <v>29</v>
      </c>
      <c r="L103" s="134" t="s">
        <v>145</v>
      </c>
      <c r="M103" s="135">
        <v>2359000000</v>
      </c>
      <c r="N103" s="135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2359000000</v>
      </c>
      <c r="T103" s="135">
        <v>872357650.73000002</v>
      </c>
      <c r="U103" s="135">
        <v>1486642349.27</v>
      </c>
      <c r="V103" s="137">
        <v>0.3697997671598135</v>
      </c>
      <c r="W103" s="135">
        <v>872357650.73000002</v>
      </c>
      <c r="X103" s="135">
        <v>0</v>
      </c>
      <c r="Y103" s="137">
        <v>0</v>
      </c>
      <c r="Z103" s="135">
        <v>872357650.73000002</v>
      </c>
      <c r="AA103" s="135">
        <v>0</v>
      </c>
      <c r="AB103" s="723">
        <v>1</v>
      </c>
    </row>
    <row r="104" spans="1:30" ht="24.95" customHeight="1">
      <c r="A104" s="32" t="e">
        <v>#REF!</v>
      </c>
      <c r="B104" s="144" t="s">
        <v>418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45" t="s">
        <v>31</v>
      </c>
      <c r="H104" s="145"/>
      <c r="I104" s="145"/>
      <c r="J104" s="145">
        <v>10</v>
      </c>
      <c r="K104" s="146" t="s">
        <v>29</v>
      </c>
      <c r="L104" s="147" t="s">
        <v>146</v>
      </c>
      <c r="M104" s="149">
        <v>2311820000</v>
      </c>
      <c r="N104" s="148"/>
      <c r="O104" s="148"/>
      <c r="P104" s="148"/>
      <c r="Q104" s="148"/>
      <c r="R104" s="148"/>
      <c r="S104" s="148">
        <v>2311820000</v>
      </c>
      <c r="T104" s="149">
        <v>852945057.73000002</v>
      </c>
      <c r="U104" s="148">
        <v>1458874942.27</v>
      </c>
      <c r="V104" s="150">
        <v>0.36894959717019493</v>
      </c>
      <c r="W104" s="148">
        <v>852945057.73000002</v>
      </c>
      <c r="X104" s="148">
        <v>0</v>
      </c>
      <c r="Y104" s="150">
        <v>0</v>
      </c>
      <c r="Z104" s="148">
        <v>852945057.73000002</v>
      </c>
      <c r="AA104" s="148">
        <v>0</v>
      </c>
      <c r="AB104" s="150">
        <v>1</v>
      </c>
    </row>
    <row r="105" spans="1:30" ht="24.95" customHeight="1">
      <c r="A105" s="32" t="e">
        <v>#REF!</v>
      </c>
      <c r="B105" s="144" t="s">
        <v>419</v>
      </c>
      <c r="C105" s="145" t="s">
        <v>23</v>
      </c>
      <c r="D105" s="145" t="s">
        <v>65</v>
      </c>
      <c r="E105" s="145" t="s">
        <v>28</v>
      </c>
      <c r="F105" s="145" t="s">
        <v>25</v>
      </c>
      <c r="G105" s="151" t="s">
        <v>34</v>
      </c>
      <c r="H105" s="145"/>
      <c r="I105" s="145"/>
      <c r="J105" s="145">
        <v>10</v>
      </c>
      <c r="K105" s="146" t="s">
        <v>29</v>
      </c>
      <c r="L105" s="147" t="s">
        <v>147</v>
      </c>
      <c r="M105" s="149">
        <v>47180000</v>
      </c>
      <c r="N105" s="148"/>
      <c r="O105" s="148"/>
      <c r="P105" s="148"/>
      <c r="Q105" s="148"/>
      <c r="R105" s="148"/>
      <c r="S105" s="148">
        <v>47180000</v>
      </c>
      <c r="T105" s="149">
        <v>19412593</v>
      </c>
      <c r="U105" s="148">
        <v>27767407</v>
      </c>
      <c r="V105" s="150">
        <v>0.41145809665112337</v>
      </c>
      <c r="W105" s="148">
        <v>19412593</v>
      </c>
      <c r="X105" s="148">
        <v>0</v>
      </c>
      <c r="Y105" s="150">
        <v>0</v>
      </c>
      <c r="Z105" s="148">
        <v>19412593</v>
      </c>
      <c r="AA105" s="148">
        <v>0</v>
      </c>
      <c r="AB105" s="150">
        <v>1</v>
      </c>
    </row>
    <row r="106" spans="1:30" ht="24" customHeight="1">
      <c r="A106" s="32" t="e">
        <v>#REF!</v>
      </c>
      <c r="B106" s="122" t="s">
        <v>421</v>
      </c>
      <c r="C106" s="123" t="s">
        <v>23</v>
      </c>
      <c r="D106" s="123" t="s">
        <v>148</v>
      </c>
      <c r="E106" s="123"/>
      <c r="F106" s="123"/>
      <c r="G106" s="123"/>
      <c r="H106" s="123"/>
      <c r="I106" s="123"/>
      <c r="J106" s="124"/>
      <c r="K106" s="124"/>
      <c r="L106" s="124" t="s">
        <v>149</v>
      </c>
      <c r="M106" s="125">
        <v>17105900000</v>
      </c>
      <c r="N106" s="719">
        <v>0</v>
      </c>
      <c r="O106" s="719">
        <v>0</v>
      </c>
      <c r="P106" s="719">
        <v>0</v>
      </c>
      <c r="Q106" s="719">
        <v>0</v>
      </c>
      <c r="R106" s="719">
        <v>0</v>
      </c>
      <c r="S106" s="125">
        <v>17105900000</v>
      </c>
      <c r="T106" s="125">
        <v>26109430</v>
      </c>
      <c r="U106" s="125">
        <v>17079790570</v>
      </c>
      <c r="V106" s="126">
        <v>1.5263406193184808E-3</v>
      </c>
      <c r="W106" s="125">
        <v>25639138.810000002</v>
      </c>
      <c r="X106" s="125">
        <v>470291.18999999948</v>
      </c>
      <c r="Y106" s="126">
        <v>1.8012311643724105E-2</v>
      </c>
      <c r="Z106" s="125">
        <v>25254800.810000002</v>
      </c>
      <c r="AA106" s="125">
        <v>384338</v>
      </c>
      <c r="AB106" s="720">
        <v>0.96726741296152396</v>
      </c>
    </row>
    <row r="107" spans="1:30" ht="24" customHeight="1">
      <c r="A107" s="32" t="e">
        <v>#REF!</v>
      </c>
      <c r="B107" s="127" t="s">
        <v>423</v>
      </c>
      <c r="C107" s="128" t="s">
        <v>23</v>
      </c>
      <c r="D107" s="128" t="s">
        <v>148</v>
      </c>
      <c r="E107" s="128" t="s">
        <v>25</v>
      </c>
      <c r="F107" s="128"/>
      <c r="G107" s="128"/>
      <c r="H107" s="128"/>
      <c r="I107" s="128"/>
      <c r="J107" s="129"/>
      <c r="K107" s="129"/>
      <c r="L107" s="129" t="s">
        <v>150</v>
      </c>
      <c r="M107" s="130">
        <v>137900000</v>
      </c>
      <c r="N107" s="721">
        <v>0</v>
      </c>
      <c r="O107" s="721">
        <v>0</v>
      </c>
      <c r="P107" s="721">
        <v>0</v>
      </c>
      <c r="Q107" s="721">
        <v>0</v>
      </c>
      <c r="R107" s="721">
        <v>0</v>
      </c>
      <c r="S107" s="130">
        <v>137900000</v>
      </c>
      <c r="T107" s="130">
        <v>26109430</v>
      </c>
      <c r="U107" s="130">
        <v>111790570</v>
      </c>
      <c r="V107" s="131">
        <v>0.18933596809282088</v>
      </c>
      <c r="W107" s="130">
        <v>25639138.810000002</v>
      </c>
      <c r="X107" s="130">
        <v>470291.18999999948</v>
      </c>
      <c r="Y107" s="131">
        <v>1.8012311643724105E-2</v>
      </c>
      <c r="Z107" s="130">
        <v>25254800.810000002</v>
      </c>
      <c r="AA107" s="130">
        <v>384338</v>
      </c>
      <c r="AB107" s="722">
        <v>0.96726741296152396</v>
      </c>
    </row>
    <row r="108" spans="1:30" ht="24" customHeight="1">
      <c r="A108" s="32" t="e">
        <v>#REF!</v>
      </c>
      <c r="B108" s="132" t="s">
        <v>425</v>
      </c>
      <c r="C108" s="133" t="s">
        <v>23</v>
      </c>
      <c r="D108" s="133" t="s">
        <v>148</v>
      </c>
      <c r="E108" s="133" t="s">
        <v>25</v>
      </c>
      <c r="F108" s="133" t="s">
        <v>54</v>
      </c>
      <c r="G108" s="133"/>
      <c r="H108" s="133"/>
      <c r="I108" s="133"/>
      <c r="J108" s="133" t="s">
        <v>28</v>
      </c>
      <c r="K108" s="134" t="s">
        <v>29</v>
      </c>
      <c r="L108" s="134" t="s">
        <v>151</v>
      </c>
      <c r="M108" s="135">
        <v>137900000</v>
      </c>
      <c r="N108" s="136">
        <v>0</v>
      </c>
      <c r="O108" s="136">
        <v>0</v>
      </c>
      <c r="P108" s="136">
        <v>0</v>
      </c>
      <c r="Q108" s="136">
        <v>0</v>
      </c>
      <c r="R108" s="136">
        <v>0</v>
      </c>
      <c r="S108" s="135">
        <v>137900000</v>
      </c>
      <c r="T108" s="135">
        <v>26109430</v>
      </c>
      <c r="U108" s="135">
        <v>111790570</v>
      </c>
      <c r="V108" s="137">
        <v>0.18933596809282088</v>
      </c>
      <c r="W108" s="135">
        <v>25639138.810000002</v>
      </c>
      <c r="X108" s="136">
        <v>470291.18999999948</v>
      </c>
      <c r="Y108" s="137">
        <v>1.8012311643724105E-2</v>
      </c>
      <c r="Z108" s="135">
        <v>25254800.810000002</v>
      </c>
      <c r="AA108" s="135">
        <v>384338</v>
      </c>
      <c r="AB108" s="723">
        <v>0.96726741296152396</v>
      </c>
    </row>
    <row r="109" spans="1:30" ht="24.95" customHeight="1">
      <c r="A109" s="32" t="e">
        <v>#REF!</v>
      </c>
      <c r="B109" s="144" t="s">
        <v>427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31</v>
      </c>
      <c r="H109" s="145"/>
      <c r="I109" s="145"/>
      <c r="J109" s="145" t="s">
        <v>28</v>
      </c>
      <c r="K109" s="146" t="s">
        <v>29</v>
      </c>
      <c r="L109" s="147" t="s">
        <v>152</v>
      </c>
      <c r="M109" s="148">
        <v>61800000</v>
      </c>
      <c r="N109" s="148">
        <v>0</v>
      </c>
      <c r="O109" s="148"/>
      <c r="P109" s="148"/>
      <c r="Q109" s="148"/>
      <c r="R109" s="148"/>
      <c r="S109" s="148">
        <v>61800000</v>
      </c>
      <c r="T109" s="148">
        <v>8168614</v>
      </c>
      <c r="U109" s="148">
        <v>53631386</v>
      </c>
      <c r="V109" s="150">
        <v>0.13217822006472493</v>
      </c>
      <c r="W109" s="148">
        <v>8168614</v>
      </c>
      <c r="X109" s="148">
        <v>0</v>
      </c>
      <c r="Y109" s="150">
        <v>0</v>
      </c>
      <c r="Z109" s="148">
        <v>8168614</v>
      </c>
      <c r="AA109" s="148">
        <v>0</v>
      </c>
      <c r="AB109" s="150">
        <v>1</v>
      </c>
    </row>
    <row r="110" spans="1:30" ht="24.95" customHeight="1">
      <c r="A110" s="32" t="e">
        <v>#REF!</v>
      </c>
      <c r="B110" s="144" t="s">
        <v>429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38</v>
      </c>
      <c r="H110" s="145"/>
      <c r="I110" s="145"/>
      <c r="J110" s="145" t="s">
        <v>28</v>
      </c>
      <c r="K110" s="146" t="s">
        <v>29</v>
      </c>
      <c r="L110" s="147" t="s">
        <v>153</v>
      </c>
      <c r="M110" s="148">
        <v>50000000</v>
      </c>
      <c r="N110" s="148"/>
      <c r="O110" s="148"/>
      <c r="P110" s="148"/>
      <c r="Q110" s="148"/>
      <c r="R110" s="148"/>
      <c r="S110" s="148">
        <v>50000000</v>
      </c>
      <c r="T110" s="148">
        <v>13891666</v>
      </c>
      <c r="U110" s="148">
        <v>36108334</v>
      </c>
      <c r="V110" s="150">
        <v>0.27783331999999999</v>
      </c>
      <c r="W110" s="148">
        <v>13421374.810000001</v>
      </c>
      <c r="X110" s="148">
        <v>470291.18999999948</v>
      </c>
      <c r="Y110" s="150">
        <v>3.3854196465708253E-2</v>
      </c>
      <c r="Z110" s="148">
        <v>13037036.810000001</v>
      </c>
      <c r="AA110" s="148">
        <v>384338</v>
      </c>
      <c r="AB110" s="150">
        <v>0.93847899956707859</v>
      </c>
    </row>
    <row r="111" spans="1:30" ht="24.95" customHeight="1">
      <c r="A111" s="32" t="e">
        <v>#REF!</v>
      </c>
      <c r="B111" s="144" t="s">
        <v>431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42</v>
      </c>
      <c r="H111" s="145"/>
      <c r="I111" s="145"/>
      <c r="J111" s="145" t="s">
        <v>28</v>
      </c>
      <c r="K111" s="146" t="s">
        <v>29</v>
      </c>
      <c r="L111" s="147" t="s">
        <v>154</v>
      </c>
      <c r="M111" s="148">
        <v>26100000</v>
      </c>
      <c r="N111" s="148">
        <v>0</v>
      </c>
      <c r="O111" s="148"/>
      <c r="P111" s="148"/>
      <c r="Q111" s="148"/>
      <c r="R111" s="148"/>
      <c r="S111" s="148">
        <v>26100000</v>
      </c>
      <c r="T111" s="148">
        <v>4049150</v>
      </c>
      <c r="U111" s="148">
        <v>22050850</v>
      </c>
      <c r="V111" s="150">
        <v>0.15513984674329501</v>
      </c>
      <c r="W111" s="148">
        <v>4049150</v>
      </c>
      <c r="X111" s="148">
        <v>0</v>
      </c>
      <c r="Y111" s="150">
        <v>0</v>
      </c>
      <c r="Z111" s="148">
        <v>4049150</v>
      </c>
      <c r="AA111" s="148">
        <v>0</v>
      </c>
      <c r="AB111" s="150">
        <v>1</v>
      </c>
    </row>
    <row r="112" spans="1:30" ht="24" customHeight="1">
      <c r="A112" s="32" t="e">
        <v>#REF!</v>
      </c>
      <c r="B112" s="127" t="s">
        <v>432</v>
      </c>
      <c r="C112" s="128" t="s">
        <v>23</v>
      </c>
      <c r="D112" s="128" t="s">
        <v>148</v>
      </c>
      <c r="E112" s="128" t="s">
        <v>136</v>
      </c>
      <c r="F112" s="128"/>
      <c r="G112" s="128"/>
      <c r="H112" s="128"/>
      <c r="I112" s="128"/>
      <c r="J112" s="129"/>
      <c r="K112" s="129"/>
      <c r="L112" s="129" t="s">
        <v>155</v>
      </c>
      <c r="M112" s="130">
        <v>16968000000</v>
      </c>
      <c r="N112" s="721">
        <v>0</v>
      </c>
      <c r="O112" s="721">
        <v>0</v>
      </c>
      <c r="P112" s="721">
        <v>0</v>
      </c>
      <c r="Q112" s="721">
        <v>0</v>
      </c>
      <c r="R112" s="721">
        <v>0</v>
      </c>
      <c r="S112" s="130">
        <v>16968000000</v>
      </c>
      <c r="T112" s="130">
        <v>0</v>
      </c>
      <c r="U112" s="130">
        <v>16968000000</v>
      </c>
      <c r="V112" s="131">
        <v>0</v>
      </c>
      <c r="W112" s="130">
        <v>0</v>
      </c>
      <c r="X112" s="130">
        <v>0</v>
      </c>
      <c r="Y112" s="131">
        <v>0</v>
      </c>
      <c r="Z112" s="130">
        <v>0</v>
      </c>
      <c r="AA112" s="130">
        <v>0</v>
      </c>
      <c r="AB112" s="722">
        <v>0</v>
      </c>
    </row>
    <row r="113" spans="1:28" ht="24.95" hidden="1" customHeight="1">
      <c r="A113" s="32"/>
      <c r="B113" s="32"/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>
        <v>10</v>
      </c>
      <c r="K113" s="146" t="s">
        <v>156</v>
      </c>
      <c r="L113" s="147" t="s">
        <v>157</v>
      </c>
      <c r="M113" s="148">
        <v>0</v>
      </c>
      <c r="N113" s="148"/>
      <c r="O113" s="148"/>
      <c r="P113" s="148"/>
      <c r="Q113" s="148"/>
      <c r="R113" s="148"/>
      <c r="S113" s="148">
        <v>0</v>
      </c>
      <c r="T113" s="148">
        <v>0</v>
      </c>
      <c r="U113" s="148">
        <v>0</v>
      </c>
      <c r="V113" s="150">
        <v>0</v>
      </c>
      <c r="W113" s="148">
        <v>0</v>
      </c>
      <c r="X113" s="148">
        <v>0</v>
      </c>
      <c r="Y113" s="150">
        <v>0</v>
      </c>
      <c r="Z113" s="148">
        <v>0</v>
      </c>
      <c r="AA113" s="148">
        <v>0</v>
      </c>
      <c r="AB113" s="150">
        <v>0</v>
      </c>
    </row>
    <row r="114" spans="1:28" ht="24.95" customHeight="1">
      <c r="A114" s="32" t="e">
        <v>#REF!</v>
      </c>
      <c r="B114" s="144" t="s">
        <v>434</v>
      </c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 t="s">
        <v>144</v>
      </c>
      <c r="K114" s="146" t="s">
        <v>156</v>
      </c>
      <c r="L114" s="147" t="s">
        <v>157</v>
      </c>
      <c r="M114" s="149">
        <v>16968000000</v>
      </c>
      <c r="N114" s="148"/>
      <c r="O114" s="148"/>
      <c r="P114" s="148"/>
      <c r="Q114" s="148"/>
      <c r="R114" s="148"/>
      <c r="S114" s="149">
        <v>16968000000</v>
      </c>
      <c r="T114" s="149">
        <v>0</v>
      </c>
      <c r="U114" s="148">
        <v>16968000000</v>
      </c>
      <c r="V114" s="150">
        <v>0</v>
      </c>
      <c r="W114" s="148"/>
      <c r="X114" s="148">
        <v>0</v>
      </c>
      <c r="Y114" s="150">
        <v>0</v>
      </c>
      <c r="Z114" s="148"/>
      <c r="AA114" s="148">
        <v>0</v>
      </c>
      <c r="AB114" s="150">
        <v>0</v>
      </c>
    </row>
    <row r="115" spans="1:28" ht="35.1" customHeight="1">
      <c r="A115" s="32" t="e">
        <v>#REF!</v>
      </c>
      <c r="B115" s="117" t="s">
        <v>162</v>
      </c>
      <c r="C115" s="118" t="s">
        <v>162</v>
      </c>
      <c r="D115" s="119"/>
      <c r="E115" s="119"/>
      <c r="F115" s="119"/>
      <c r="G115" s="119"/>
      <c r="H115" s="119"/>
      <c r="I115" s="119"/>
      <c r="J115" s="119"/>
      <c r="K115" s="119"/>
      <c r="L115" s="119" t="s">
        <v>163</v>
      </c>
      <c r="M115" s="120">
        <v>381865302</v>
      </c>
      <c r="N115" s="717">
        <v>0</v>
      </c>
      <c r="O115" s="717">
        <v>0</v>
      </c>
      <c r="P115" s="717">
        <v>0</v>
      </c>
      <c r="Q115" s="717">
        <v>0</v>
      </c>
      <c r="R115" s="717">
        <v>0</v>
      </c>
      <c r="S115" s="120">
        <v>381865302</v>
      </c>
      <c r="T115" s="120">
        <v>0</v>
      </c>
      <c r="U115" s="120">
        <v>381865302</v>
      </c>
      <c r="V115" s="121">
        <v>0</v>
      </c>
      <c r="W115" s="120">
        <v>0</v>
      </c>
      <c r="X115" s="120">
        <v>0</v>
      </c>
      <c r="Y115" s="121">
        <v>0</v>
      </c>
      <c r="Z115" s="120">
        <v>0</v>
      </c>
      <c r="AA115" s="120">
        <v>0</v>
      </c>
      <c r="AB115" s="718">
        <v>0</v>
      </c>
    </row>
    <row r="116" spans="1:28" ht="24" customHeight="1">
      <c r="A116" s="32" t="e">
        <v>#REF!</v>
      </c>
      <c r="B116" s="122" t="s">
        <v>729</v>
      </c>
      <c r="C116" s="123" t="s">
        <v>162</v>
      </c>
      <c r="D116" s="123">
        <v>10</v>
      </c>
      <c r="E116" s="123"/>
      <c r="F116" s="123"/>
      <c r="G116" s="123"/>
      <c r="H116" s="123"/>
      <c r="I116" s="123"/>
      <c r="J116" s="124"/>
      <c r="K116" s="124"/>
      <c r="L116" s="124" t="s">
        <v>164</v>
      </c>
      <c r="M116" s="125">
        <v>381865302</v>
      </c>
      <c r="N116" s="719">
        <v>0</v>
      </c>
      <c r="O116" s="719">
        <v>0</v>
      </c>
      <c r="P116" s="125">
        <v>0</v>
      </c>
      <c r="Q116" s="125">
        <v>0</v>
      </c>
      <c r="R116" s="719">
        <v>0</v>
      </c>
      <c r="S116" s="125">
        <v>381865302</v>
      </c>
      <c r="T116" s="125">
        <v>0</v>
      </c>
      <c r="U116" s="125">
        <v>381865302</v>
      </c>
      <c r="V116" s="126">
        <v>0</v>
      </c>
      <c r="W116" s="125">
        <v>0</v>
      </c>
      <c r="X116" s="125">
        <v>0</v>
      </c>
      <c r="Y116" s="126">
        <v>0</v>
      </c>
      <c r="Z116" s="125">
        <v>0</v>
      </c>
      <c r="AA116" s="125">
        <v>0</v>
      </c>
      <c r="AB116" s="720">
        <v>0</v>
      </c>
    </row>
    <row r="117" spans="1:28" ht="24" customHeight="1">
      <c r="A117" s="32" t="e">
        <v>#REF!</v>
      </c>
      <c r="B117" s="127" t="s">
        <v>730</v>
      </c>
      <c r="C117" s="128" t="s">
        <v>162</v>
      </c>
      <c r="D117" s="128">
        <v>10</v>
      </c>
      <c r="E117" s="128" t="s">
        <v>136</v>
      </c>
      <c r="F117" s="128"/>
      <c r="G117" s="128"/>
      <c r="H117" s="128"/>
      <c r="I117" s="128"/>
      <c r="J117" s="129"/>
      <c r="K117" s="129"/>
      <c r="L117" s="129" t="s">
        <v>165</v>
      </c>
      <c r="M117" s="130">
        <v>381865302</v>
      </c>
      <c r="N117" s="130">
        <v>0</v>
      </c>
      <c r="O117" s="130">
        <v>0</v>
      </c>
      <c r="P117" s="130">
        <v>0</v>
      </c>
      <c r="Q117" s="130">
        <v>0</v>
      </c>
      <c r="R117" s="130">
        <v>0</v>
      </c>
      <c r="S117" s="130">
        <v>381865302</v>
      </c>
      <c r="T117" s="130">
        <v>0</v>
      </c>
      <c r="U117" s="130">
        <v>381865302</v>
      </c>
      <c r="V117" s="131">
        <v>0</v>
      </c>
      <c r="W117" s="130">
        <v>0</v>
      </c>
      <c r="X117" s="130">
        <v>0</v>
      </c>
      <c r="Y117" s="131">
        <v>0</v>
      </c>
      <c r="Z117" s="130">
        <v>0</v>
      </c>
      <c r="AA117" s="130">
        <v>0</v>
      </c>
      <c r="AB117" s="722">
        <v>0</v>
      </c>
    </row>
    <row r="118" spans="1:28" ht="24.95" customHeight="1">
      <c r="A118" s="32" t="e">
        <v>#REF!</v>
      </c>
      <c r="B118" s="144" t="s">
        <v>731</v>
      </c>
      <c r="C118" s="145" t="s">
        <v>162</v>
      </c>
      <c r="D118" s="145">
        <v>10</v>
      </c>
      <c r="E118" s="145" t="s">
        <v>136</v>
      </c>
      <c r="F118" s="145" t="s">
        <v>25</v>
      </c>
      <c r="G118" s="145"/>
      <c r="H118" s="145"/>
      <c r="I118" s="145"/>
      <c r="J118" s="145" t="s">
        <v>144</v>
      </c>
      <c r="K118" s="146" t="s">
        <v>29</v>
      </c>
      <c r="L118" s="147" t="s">
        <v>166</v>
      </c>
      <c r="M118" s="149">
        <v>381865302</v>
      </c>
      <c r="N118" s="148"/>
      <c r="O118" s="148"/>
      <c r="P118" s="148"/>
      <c r="Q118" s="148"/>
      <c r="R118" s="148"/>
      <c r="S118" s="149">
        <v>381865302</v>
      </c>
      <c r="T118" s="149">
        <v>0</v>
      </c>
      <c r="U118" s="148">
        <v>381865302</v>
      </c>
      <c r="V118" s="150">
        <v>0</v>
      </c>
      <c r="W118" s="148"/>
      <c r="X118" s="148">
        <v>0</v>
      </c>
      <c r="Y118" s="150">
        <v>0</v>
      </c>
      <c r="Z118" s="148"/>
      <c r="AA118" s="148">
        <v>0</v>
      </c>
      <c r="AB118" s="150">
        <v>0</v>
      </c>
    </row>
    <row r="119" spans="1:28" ht="35.1" customHeight="1">
      <c r="A119" s="32" t="e">
        <v>#REF!</v>
      </c>
      <c r="B119" s="117" t="s">
        <v>167</v>
      </c>
      <c r="C119" s="118" t="s">
        <v>167</v>
      </c>
      <c r="D119" s="119"/>
      <c r="E119" s="119"/>
      <c r="F119" s="119"/>
      <c r="G119" s="119"/>
      <c r="H119" s="119"/>
      <c r="I119" s="119"/>
      <c r="J119" s="119"/>
      <c r="K119" s="119"/>
      <c r="L119" s="119" t="s">
        <v>168</v>
      </c>
      <c r="M119" s="120">
        <v>12916249110989</v>
      </c>
      <c r="N119" s="120">
        <v>5269349000</v>
      </c>
      <c r="O119" s="717">
        <v>0</v>
      </c>
      <c r="P119" s="120">
        <v>63933777195.980003</v>
      </c>
      <c r="Q119" s="120">
        <v>63933777195.980003</v>
      </c>
      <c r="R119" s="717">
        <v>0</v>
      </c>
      <c r="S119" s="120">
        <v>12921518459989</v>
      </c>
      <c r="T119" s="120">
        <v>4370017552408.77</v>
      </c>
      <c r="U119" s="120">
        <v>8551500907580.2295</v>
      </c>
      <c r="V119" s="121">
        <v>0.33819690510371259</v>
      </c>
      <c r="W119" s="120">
        <v>2837157459992.6802</v>
      </c>
      <c r="X119" s="120">
        <v>1532860092416.0898</v>
      </c>
      <c r="Y119" s="121">
        <v>0.35076749098437182</v>
      </c>
      <c r="Z119" s="120">
        <v>2835660858425.6802</v>
      </c>
      <c r="AA119" s="120">
        <v>1496601567</v>
      </c>
      <c r="AB119" s="718">
        <v>0.64889003863672201</v>
      </c>
    </row>
    <row r="120" spans="1:28" ht="27.75" hidden="1" customHeight="1">
      <c r="A120" s="32" t="e">
        <v>#REF!</v>
      </c>
      <c r="B120" s="122" t="s">
        <v>437</v>
      </c>
      <c r="C120" s="123" t="s">
        <v>167</v>
      </c>
      <c r="D120" s="123">
        <v>4101</v>
      </c>
      <c r="E120" s="123"/>
      <c r="F120" s="123"/>
      <c r="G120" s="123"/>
      <c r="H120" s="123"/>
      <c r="I120" s="123"/>
      <c r="J120" s="124"/>
      <c r="K120" s="124"/>
      <c r="L120" s="124" t="s">
        <v>169</v>
      </c>
      <c r="M120" s="125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125">
        <v>0</v>
      </c>
      <c r="T120" s="125">
        <v>0</v>
      </c>
      <c r="U120" s="125">
        <v>0</v>
      </c>
      <c r="V120" s="126">
        <v>0</v>
      </c>
      <c r="W120" s="125">
        <v>0</v>
      </c>
      <c r="X120" s="125">
        <v>0</v>
      </c>
      <c r="Y120" s="126">
        <v>0</v>
      </c>
      <c r="Z120" s="125">
        <v>0</v>
      </c>
      <c r="AA120" s="125">
        <v>0</v>
      </c>
      <c r="AB120" s="720">
        <v>0</v>
      </c>
    </row>
    <row r="121" spans="1:28" ht="24" hidden="1" customHeight="1">
      <c r="A121" s="32" t="e">
        <v>#REF!</v>
      </c>
      <c r="B121" s="127" t="s">
        <v>295</v>
      </c>
      <c r="C121" s="128" t="s">
        <v>167</v>
      </c>
      <c r="D121" s="128">
        <v>4101</v>
      </c>
      <c r="E121" s="128">
        <v>1500</v>
      </c>
      <c r="F121" s="128"/>
      <c r="G121" s="128"/>
      <c r="H121" s="128"/>
      <c r="I121" s="128"/>
      <c r="J121" s="129"/>
      <c r="K121" s="129"/>
      <c r="L121" s="129" t="s">
        <v>170</v>
      </c>
      <c r="M121" s="130"/>
      <c r="N121" s="721"/>
      <c r="O121" s="721"/>
      <c r="P121" s="721"/>
      <c r="Q121" s="721"/>
      <c r="R121" s="721"/>
      <c r="S121" s="130"/>
      <c r="T121" s="130"/>
      <c r="U121" s="721"/>
      <c r="V121" s="131">
        <v>0</v>
      </c>
      <c r="W121" s="130"/>
      <c r="X121" s="721"/>
      <c r="Y121" s="131">
        <v>0</v>
      </c>
      <c r="Z121" s="130"/>
      <c r="AA121" s="721"/>
      <c r="AB121" s="722">
        <v>0</v>
      </c>
    </row>
    <row r="122" spans="1:28" ht="54.75" hidden="1" customHeight="1">
      <c r="A122" s="32" t="e">
        <v>#REF!</v>
      </c>
      <c r="B122" s="132" t="s">
        <v>454</v>
      </c>
      <c r="C122" s="133" t="s">
        <v>167</v>
      </c>
      <c r="D122" s="133" t="s">
        <v>171</v>
      </c>
      <c r="E122" s="133" t="s">
        <v>172</v>
      </c>
      <c r="F122" s="133" t="s">
        <v>173</v>
      </c>
      <c r="G122" s="133"/>
      <c r="H122" s="133"/>
      <c r="I122" s="133"/>
      <c r="J122" s="133"/>
      <c r="K122" s="134"/>
      <c r="L122" s="134" t="s">
        <v>174</v>
      </c>
      <c r="M122" s="135">
        <v>0</v>
      </c>
      <c r="N122" s="136">
        <v>0</v>
      </c>
      <c r="O122" s="136">
        <v>0</v>
      </c>
      <c r="P122" s="136">
        <v>0</v>
      </c>
      <c r="Q122" s="136">
        <v>0</v>
      </c>
      <c r="R122" s="136">
        <v>0</v>
      </c>
      <c r="S122" s="135">
        <v>0</v>
      </c>
      <c r="T122" s="135">
        <v>0</v>
      </c>
      <c r="U122" s="135">
        <v>0</v>
      </c>
      <c r="V122" s="137">
        <v>0</v>
      </c>
      <c r="W122" s="135">
        <v>0</v>
      </c>
      <c r="X122" s="136">
        <v>0</v>
      </c>
      <c r="Y122" s="137">
        <v>0</v>
      </c>
      <c r="Z122" s="135">
        <v>0</v>
      </c>
      <c r="AA122" s="135">
        <v>0</v>
      </c>
      <c r="AB122" s="723">
        <v>0</v>
      </c>
    </row>
    <row r="123" spans="1:28" ht="31.5" hidden="1" customHeight="1">
      <c r="A123" s="32" t="e">
        <v>#REF!</v>
      </c>
      <c r="B123" s="138" t="s">
        <v>456</v>
      </c>
      <c r="C123" s="139" t="s">
        <v>167</v>
      </c>
      <c r="D123" s="139" t="s">
        <v>171</v>
      </c>
      <c r="E123" s="139" t="s">
        <v>172</v>
      </c>
      <c r="F123" s="139" t="s">
        <v>173</v>
      </c>
      <c r="G123" s="139" t="s">
        <v>175</v>
      </c>
      <c r="H123" s="139" t="s">
        <v>176</v>
      </c>
      <c r="I123" s="139"/>
      <c r="J123" s="139" t="s">
        <v>144</v>
      </c>
      <c r="K123" s="140" t="s">
        <v>29</v>
      </c>
      <c r="L123" s="140" t="s">
        <v>177</v>
      </c>
      <c r="M123" s="141">
        <v>0</v>
      </c>
      <c r="N123" s="142">
        <v>0</v>
      </c>
      <c r="O123" s="142">
        <v>0</v>
      </c>
      <c r="P123" s="142">
        <v>0</v>
      </c>
      <c r="Q123" s="142">
        <v>0</v>
      </c>
      <c r="R123" s="142">
        <v>0</v>
      </c>
      <c r="S123" s="141">
        <v>0</v>
      </c>
      <c r="T123" s="141">
        <v>0</v>
      </c>
      <c r="U123" s="141">
        <v>0</v>
      </c>
      <c r="V123" s="143">
        <v>0</v>
      </c>
      <c r="W123" s="141">
        <v>0</v>
      </c>
      <c r="X123" s="142">
        <v>0</v>
      </c>
      <c r="Y123" s="143">
        <v>0</v>
      </c>
      <c r="Z123" s="141">
        <v>0</v>
      </c>
      <c r="AA123" s="141">
        <v>0</v>
      </c>
      <c r="AB123" s="724">
        <v>0</v>
      </c>
    </row>
    <row r="124" spans="1:28" ht="24.95" hidden="1" customHeight="1">
      <c r="A124" s="32" t="e">
        <v>#REF!</v>
      </c>
      <c r="B124" s="144" t="s">
        <v>458</v>
      </c>
      <c r="C124" s="145" t="s">
        <v>167</v>
      </c>
      <c r="D124" s="145" t="s">
        <v>171</v>
      </c>
      <c r="E124" s="145" t="s">
        <v>172</v>
      </c>
      <c r="F124" s="145" t="s">
        <v>173</v>
      </c>
      <c r="G124" s="145" t="s">
        <v>175</v>
      </c>
      <c r="H124" s="145" t="s">
        <v>176</v>
      </c>
      <c r="I124" s="145" t="s">
        <v>54</v>
      </c>
      <c r="J124" s="145" t="s">
        <v>144</v>
      </c>
      <c r="K124" s="146" t="s">
        <v>29</v>
      </c>
      <c r="L124" s="147" t="s">
        <v>178</v>
      </c>
      <c r="M124" s="148"/>
      <c r="N124" s="148"/>
      <c r="O124" s="148"/>
      <c r="P124" s="148"/>
      <c r="Q124" s="148"/>
      <c r="R124" s="148"/>
      <c r="S124" s="148">
        <v>0</v>
      </c>
      <c r="T124" s="148"/>
      <c r="U124" s="148">
        <v>0</v>
      </c>
      <c r="V124" s="150">
        <v>0</v>
      </c>
      <c r="W124" s="148"/>
      <c r="X124" s="148">
        <v>0</v>
      </c>
      <c r="Y124" s="150">
        <v>0</v>
      </c>
      <c r="Z124" s="148"/>
      <c r="AA124" s="148">
        <v>0</v>
      </c>
      <c r="AB124" s="150">
        <v>0</v>
      </c>
    </row>
    <row r="125" spans="1:28" ht="31.5" hidden="1" customHeight="1">
      <c r="A125" s="32" t="e">
        <v>#REF!</v>
      </c>
      <c r="B125" s="138" t="s">
        <v>460</v>
      </c>
      <c r="C125" s="139" t="s">
        <v>167</v>
      </c>
      <c r="D125" s="139" t="s">
        <v>171</v>
      </c>
      <c r="E125" s="139" t="s">
        <v>172</v>
      </c>
      <c r="F125" s="139" t="s">
        <v>173</v>
      </c>
      <c r="G125" s="139" t="s">
        <v>175</v>
      </c>
      <c r="H125" s="139" t="s">
        <v>179</v>
      </c>
      <c r="I125" s="139"/>
      <c r="J125" s="139" t="s">
        <v>144</v>
      </c>
      <c r="K125" s="140" t="s">
        <v>29</v>
      </c>
      <c r="L125" s="140" t="s">
        <v>180</v>
      </c>
      <c r="M125" s="141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1">
        <v>0</v>
      </c>
      <c r="T125" s="141">
        <v>0</v>
      </c>
      <c r="U125" s="141">
        <v>0</v>
      </c>
      <c r="V125" s="143">
        <v>0</v>
      </c>
      <c r="W125" s="141">
        <v>0</v>
      </c>
      <c r="X125" s="142">
        <v>0</v>
      </c>
      <c r="Y125" s="143">
        <v>0</v>
      </c>
      <c r="Z125" s="141">
        <v>0</v>
      </c>
      <c r="AA125" s="141">
        <v>0</v>
      </c>
      <c r="AB125" s="724">
        <v>0</v>
      </c>
    </row>
    <row r="126" spans="1:28" ht="24.95" hidden="1" customHeight="1">
      <c r="A126" s="32" t="e">
        <v>#REF!</v>
      </c>
      <c r="B126" s="144" t="s">
        <v>462</v>
      </c>
      <c r="C126" s="145" t="s">
        <v>167</v>
      </c>
      <c r="D126" s="145" t="s">
        <v>171</v>
      </c>
      <c r="E126" s="145" t="s">
        <v>172</v>
      </c>
      <c r="F126" s="145" t="s">
        <v>173</v>
      </c>
      <c r="G126" s="145" t="s">
        <v>175</v>
      </c>
      <c r="H126" s="145" t="s">
        <v>179</v>
      </c>
      <c r="I126" s="145" t="s">
        <v>54</v>
      </c>
      <c r="J126" s="145" t="s">
        <v>144</v>
      </c>
      <c r="K126" s="146" t="s">
        <v>29</v>
      </c>
      <c r="L126" s="147" t="s">
        <v>178</v>
      </c>
      <c r="M126" s="148"/>
      <c r="N126" s="148"/>
      <c r="O126" s="148"/>
      <c r="P126" s="148"/>
      <c r="Q126" s="148"/>
      <c r="R126" s="148"/>
      <c r="S126" s="148">
        <v>0</v>
      </c>
      <c r="T126" s="148"/>
      <c r="U126" s="148">
        <v>0</v>
      </c>
      <c r="V126" s="150">
        <v>0</v>
      </c>
      <c r="W126" s="148"/>
      <c r="X126" s="148">
        <v>0</v>
      </c>
      <c r="Y126" s="150">
        <v>0</v>
      </c>
      <c r="Z126" s="148"/>
      <c r="AA126" s="148">
        <v>0</v>
      </c>
      <c r="AB126" s="150">
        <v>0</v>
      </c>
    </row>
    <row r="127" spans="1:28" ht="31.5" hidden="1" customHeight="1">
      <c r="A127" s="32" t="e">
        <v>#REF!</v>
      </c>
      <c r="B127" s="144" t="s">
        <v>690</v>
      </c>
      <c r="C127" s="139" t="s">
        <v>167</v>
      </c>
      <c r="D127" s="139" t="s">
        <v>171</v>
      </c>
      <c r="E127" s="139" t="s">
        <v>172</v>
      </c>
      <c r="F127" s="139" t="s">
        <v>173</v>
      </c>
      <c r="G127" s="139" t="s">
        <v>175</v>
      </c>
      <c r="H127" s="139" t="s">
        <v>181</v>
      </c>
      <c r="I127" s="139"/>
      <c r="J127" s="139" t="s">
        <v>144</v>
      </c>
      <c r="K127" s="140" t="s">
        <v>29</v>
      </c>
      <c r="L127" s="140" t="s">
        <v>182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144" t="s">
        <v>466</v>
      </c>
      <c r="C128" s="145" t="s">
        <v>167</v>
      </c>
      <c r="D128" s="145" t="s">
        <v>171</v>
      </c>
      <c r="E128" s="145" t="s">
        <v>172</v>
      </c>
      <c r="F128" s="145" t="s">
        <v>173</v>
      </c>
      <c r="G128" s="145" t="s">
        <v>175</v>
      </c>
      <c r="H128" s="145" t="s">
        <v>181</v>
      </c>
      <c r="I128" s="145" t="s">
        <v>54</v>
      </c>
      <c r="J128" s="145" t="s">
        <v>144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31.5" hidden="1" customHeight="1">
      <c r="A129" s="32" t="e">
        <v>#REF!</v>
      </c>
      <c r="B129" s="144" t="s">
        <v>691</v>
      </c>
      <c r="C129" s="139" t="s">
        <v>167</v>
      </c>
      <c r="D129" s="139" t="s">
        <v>171</v>
      </c>
      <c r="E129" s="139" t="s">
        <v>172</v>
      </c>
      <c r="F129" s="139" t="s">
        <v>173</v>
      </c>
      <c r="G129" s="139" t="s">
        <v>175</v>
      </c>
      <c r="H129" s="139" t="s">
        <v>183</v>
      </c>
      <c r="I129" s="139"/>
      <c r="J129" s="139" t="s">
        <v>144</v>
      </c>
      <c r="K129" s="140" t="s">
        <v>29</v>
      </c>
      <c r="L129" s="140" t="s">
        <v>184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144" t="s">
        <v>470</v>
      </c>
      <c r="C130" s="145" t="s">
        <v>167</v>
      </c>
      <c r="D130" s="145" t="s">
        <v>171</v>
      </c>
      <c r="E130" s="145" t="s">
        <v>172</v>
      </c>
      <c r="F130" s="145" t="s">
        <v>173</v>
      </c>
      <c r="G130" s="145" t="s">
        <v>175</v>
      </c>
      <c r="H130" s="145" t="s">
        <v>183</v>
      </c>
      <c r="I130" s="145" t="s">
        <v>54</v>
      </c>
      <c r="J130" s="145" t="s">
        <v>144</v>
      </c>
      <c r="K130" s="146" t="s">
        <v>29</v>
      </c>
      <c r="L130" s="147" t="s">
        <v>178</v>
      </c>
      <c r="M130" s="148">
        <v>0</v>
      </c>
      <c r="N130" s="148"/>
      <c r="O130" s="148"/>
      <c r="P130" s="148"/>
      <c r="Q130" s="148"/>
      <c r="R130" s="148"/>
      <c r="S130" s="148">
        <v>0</v>
      </c>
      <c r="T130" s="148">
        <v>0</v>
      </c>
      <c r="U130" s="148">
        <v>0</v>
      </c>
      <c r="V130" s="150">
        <v>0</v>
      </c>
      <c r="W130" s="148">
        <v>0</v>
      </c>
      <c r="X130" s="148">
        <v>0</v>
      </c>
      <c r="Y130" s="150">
        <v>0</v>
      </c>
      <c r="Z130" s="148">
        <v>0</v>
      </c>
      <c r="AA130" s="148">
        <v>0</v>
      </c>
      <c r="AB130" s="150">
        <v>0</v>
      </c>
    </row>
    <row r="131" spans="1:28" ht="31.5" hidden="1" customHeight="1">
      <c r="A131" s="32" t="e">
        <v>#REF!</v>
      </c>
      <c r="B131" s="138" t="s">
        <v>472</v>
      </c>
      <c r="C131" s="139" t="s">
        <v>167</v>
      </c>
      <c r="D131" s="139" t="s">
        <v>171</v>
      </c>
      <c r="E131" s="139" t="s">
        <v>172</v>
      </c>
      <c r="F131" s="139" t="s">
        <v>173</v>
      </c>
      <c r="G131" s="139" t="s">
        <v>175</v>
      </c>
      <c r="H131" s="139" t="s">
        <v>185</v>
      </c>
      <c r="I131" s="139"/>
      <c r="J131" s="139" t="s">
        <v>144</v>
      </c>
      <c r="K131" s="140" t="s">
        <v>29</v>
      </c>
      <c r="L131" s="140" t="s">
        <v>186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144" t="s">
        <v>474</v>
      </c>
      <c r="C132" s="145" t="s">
        <v>167</v>
      </c>
      <c r="D132" s="145" t="s">
        <v>171</v>
      </c>
      <c r="E132" s="145" t="s">
        <v>172</v>
      </c>
      <c r="F132" s="145" t="s">
        <v>173</v>
      </c>
      <c r="G132" s="145" t="s">
        <v>175</v>
      </c>
      <c r="H132" s="145" t="s">
        <v>185</v>
      </c>
      <c r="I132" s="145" t="s">
        <v>54</v>
      </c>
      <c r="J132" s="145" t="s">
        <v>144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31.5" hidden="1" customHeight="1">
      <c r="A133" s="32" t="e">
        <v>#REF!</v>
      </c>
      <c r="B133" s="32"/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187</v>
      </c>
      <c r="I133" s="139"/>
      <c r="J133" s="139" t="s">
        <v>144</v>
      </c>
      <c r="K133" s="140" t="s">
        <v>29</v>
      </c>
      <c r="L133" s="140" t="s">
        <v>188</v>
      </c>
      <c r="M133" s="141">
        <v>0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1">
        <v>0</v>
      </c>
      <c r="T133" s="141">
        <v>0</v>
      </c>
      <c r="U133" s="141">
        <v>0</v>
      </c>
      <c r="V133" s="143">
        <v>0</v>
      </c>
      <c r="W133" s="141">
        <v>0</v>
      </c>
      <c r="X133" s="142">
        <v>0</v>
      </c>
      <c r="Y133" s="143">
        <v>0</v>
      </c>
      <c r="Z133" s="141">
        <v>0</v>
      </c>
      <c r="AA133" s="141">
        <v>0</v>
      </c>
      <c r="AB133" s="724">
        <v>0</v>
      </c>
    </row>
    <row r="134" spans="1:28" ht="24.95" hidden="1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24.95" hidden="1" customHeight="1">
      <c r="A135" s="32" t="e">
        <v>#REF!</v>
      </c>
      <c r="B135" s="32"/>
      <c r="C135" s="145" t="s">
        <v>167</v>
      </c>
      <c r="D135" s="145" t="s">
        <v>171</v>
      </c>
      <c r="E135" s="145" t="s">
        <v>172</v>
      </c>
      <c r="F135" s="145" t="s">
        <v>173</v>
      </c>
      <c r="G135" s="145" t="s">
        <v>175</v>
      </c>
      <c r="H135" s="145" t="s">
        <v>187</v>
      </c>
      <c r="I135" s="145" t="s">
        <v>65</v>
      </c>
      <c r="J135" s="145" t="s">
        <v>144</v>
      </c>
      <c r="K135" s="146" t="s">
        <v>29</v>
      </c>
      <c r="L135" s="147" t="s">
        <v>127</v>
      </c>
      <c r="M135" s="148">
        <v>0</v>
      </c>
      <c r="N135" s="148"/>
      <c r="O135" s="148"/>
      <c r="P135" s="148"/>
      <c r="Q135" s="148"/>
      <c r="R135" s="148"/>
      <c r="S135" s="148">
        <v>0</v>
      </c>
      <c r="T135" s="148">
        <v>0</v>
      </c>
      <c r="U135" s="148">
        <v>0</v>
      </c>
      <c r="V135" s="150">
        <v>0</v>
      </c>
      <c r="W135" s="148">
        <v>0</v>
      </c>
      <c r="X135" s="148">
        <v>0</v>
      </c>
      <c r="Y135" s="150">
        <v>0</v>
      </c>
      <c r="Z135" s="148">
        <v>0</v>
      </c>
      <c r="AA135" s="148">
        <v>0</v>
      </c>
      <c r="AB135" s="150">
        <v>0</v>
      </c>
    </row>
    <row r="136" spans="1:28" ht="35.25" customHeight="1">
      <c r="A136" s="32" t="e">
        <v>#REF!</v>
      </c>
      <c r="B136" s="122" t="s">
        <v>482</v>
      </c>
      <c r="C136" s="123" t="s">
        <v>167</v>
      </c>
      <c r="D136" s="123">
        <v>4103</v>
      </c>
      <c r="E136" s="123"/>
      <c r="F136" s="123"/>
      <c r="G136" s="123"/>
      <c r="H136" s="123"/>
      <c r="I136" s="123"/>
      <c r="J136" s="124"/>
      <c r="K136" s="124"/>
      <c r="L136" s="124" t="s">
        <v>189</v>
      </c>
      <c r="M136" s="125">
        <v>12911249110989</v>
      </c>
      <c r="N136" s="719">
        <v>5269349000</v>
      </c>
      <c r="O136" s="719">
        <v>0</v>
      </c>
      <c r="P136" s="125">
        <v>63933777195.980003</v>
      </c>
      <c r="Q136" s="125">
        <v>63933777195.980003</v>
      </c>
      <c r="R136" s="719">
        <v>0</v>
      </c>
      <c r="S136" s="125">
        <v>12916518459989</v>
      </c>
      <c r="T136" s="125">
        <v>4369411288142.77</v>
      </c>
      <c r="U136" s="125">
        <v>8547107171846.2295</v>
      </c>
      <c r="V136" s="126">
        <v>0.33828088440996901</v>
      </c>
      <c r="W136" s="125">
        <v>2836551195726.6802</v>
      </c>
      <c r="X136" s="125">
        <v>1532860092416.0898</v>
      </c>
      <c r="Y136" s="126">
        <v>0.35081616065207633</v>
      </c>
      <c r="Z136" s="125">
        <v>2835054594159.6802</v>
      </c>
      <c r="AA136" s="125">
        <v>1496601567</v>
      </c>
      <c r="AB136" s="720">
        <v>0.64884132145059015</v>
      </c>
    </row>
    <row r="137" spans="1:28" ht="24" customHeight="1">
      <c r="A137" s="32" t="e">
        <v>#REF!</v>
      </c>
      <c r="B137" s="127" t="s">
        <v>296</v>
      </c>
      <c r="C137" s="128" t="s">
        <v>167</v>
      </c>
      <c r="D137" s="128">
        <v>4103</v>
      </c>
      <c r="E137" s="128">
        <v>1500</v>
      </c>
      <c r="F137" s="128"/>
      <c r="G137" s="128"/>
      <c r="H137" s="128"/>
      <c r="I137" s="128"/>
      <c r="J137" s="129"/>
      <c r="K137" s="129"/>
      <c r="L137" s="129" t="s">
        <v>170</v>
      </c>
      <c r="M137" s="130">
        <v>12911249110989</v>
      </c>
      <c r="N137" s="130">
        <v>5269349000</v>
      </c>
      <c r="O137" s="130">
        <v>0</v>
      </c>
      <c r="P137" s="130">
        <v>63933777195.980003</v>
      </c>
      <c r="Q137" s="130">
        <v>63933777195.980003</v>
      </c>
      <c r="R137" s="130">
        <v>0</v>
      </c>
      <c r="S137" s="130">
        <v>12916518459989</v>
      </c>
      <c r="T137" s="130">
        <v>4369411288142.77</v>
      </c>
      <c r="U137" s="130">
        <v>8547107171846.2295</v>
      </c>
      <c r="V137" s="131">
        <v>0.33828088440996901</v>
      </c>
      <c r="W137" s="130">
        <v>2836551195726.6802</v>
      </c>
      <c r="X137" s="130">
        <v>1532860092416.0898</v>
      </c>
      <c r="Y137" s="131">
        <v>0.35081616065207633</v>
      </c>
      <c r="Z137" s="130">
        <v>2835054594159.6802</v>
      </c>
      <c r="AA137" s="130">
        <v>1496601567</v>
      </c>
      <c r="AB137" s="722">
        <v>0.64884132145059015</v>
      </c>
    </row>
    <row r="138" spans="1:28" ht="42.75" customHeight="1">
      <c r="A138" s="32" t="e">
        <v>#REF!</v>
      </c>
      <c r="B138" s="132" t="s">
        <v>297</v>
      </c>
      <c r="C138" s="133" t="s">
        <v>167</v>
      </c>
      <c r="D138" s="133" t="s">
        <v>190</v>
      </c>
      <c r="E138" s="133" t="s">
        <v>172</v>
      </c>
      <c r="F138" s="133" t="s">
        <v>191</v>
      </c>
      <c r="G138" s="133"/>
      <c r="H138" s="133"/>
      <c r="I138" s="133"/>
      <c r="J138" s="133"/>
      <c r="K138" s="134"/>
      <c r="L138" s="134" t="s">
        <v>263</v>
      </c>
      <c r="M138" s="135">
        <v>2205025363612</v>
      </c>
      <c r="N138" s="136">
        <v>0</v>
      </c>
      <c r="O138" s="136">
        <v>0</v>
      </c>
      <c r="P138" s="135">
        <v>24985024990</v>
      </c>
      <c r="Q138" s="135">
        <v>24985024990</v>
      </c>
      <c r="R138" s="136">
        <v>0</v>
      </c>
      <c r="S138" s="135">
        <v>2205025363612</v>
      </c>
      <c r="T138" s="135">
        <v>1100026493610.9299</v>
      </c>
      <c r="U138" s="135">
        <v>1104998870001.0698</v>
      </c>
      <c r="V138" s="137">
        <v>0.49887248997852907</v>
      </c>
      <c r="W138" s="135">
        <v>522359729523.96997</v>
      </c>
      <c r="X138" s="135">
        <v>577666764086.95996</v>
      </c>
      <c r="Y138" s="137">
        <v>0.52513895569071245</v>
      </c>
      <c r="Z138" s="135">
        <v>521775663823.96997</v>
      </c>
      <c r="AA138" s="135">
        <v>584065700</v>
      </c>
      <c r="AB138" s="723">
        <v>0.47433008827923523</v>
      </c>
    </row>
    <row r="139" spans="1:28" ht="30.75" customHeight="1">
      <c r="A139" s="32" t="e">
        <v>#REF!</v>
      </c>
      <c r="B139" s="138" t="s">
        <v>486</v>
      </c>
      <c r="C139" s="139" t="s">
        <v>167</v>
      </c>
      <c r="D139" s="139" t="s">
        <v>190</v>
      </c>
      <c r="E139" s="139" t="s">
        <v>172</v>
      </c>
      <c r="F139" s="139" t="s">
        <v>191</v>
      </c>
      <c r="G139" s="139" t="s">
        <v>175</v>
      </c>
      <c r="H139" s="139" t="s">
        <v>193</v>
      </c>
      <c r="I139" s="139"/>
      <c r="J139" s="139"/>
      <c r="K139" s="140"/>
      <c r="L139" s="140" t="s">
        <v>194</v>
      </c>
      <c r="M139" s="141">
        <v>2199003443612</v>
      </c>
      <c r="N139" s="142">
        <v>0</v>
      </c>
      <c r="O139" s="142">
        <v>0</v>
      </c>
      <c r="P139" s="141">
        <v>24242911136</v>
      </c>
      <c r="Q139" s="141">
        <v>24985024990</v>
      </c>
      <c r="R139" s="142">
        <v>0</v>
      </c>
      <c r="S139" s="141">
        <v>2198261329758</v>
      </c>
      <c r="T139" s="141">
        <v>1100026493610.9299</v>
      </c>
      <c r="U139" s="141">
        <v>1098234836147.0699</v>
      </c>
      <c r="V139" s="143">
        <v>0.50040751694068542</v>
      </c>
      <c r="W139" s="141">
        <v>522359729523.96997</v>
      </c>
      <c r="X139" s="141">
        <v>577666764086.95996</v>
      </c>
      <c r="Y139" s="143">
        <v>0.52513895569071245</v>
      </c>
      <c r="Z139" s="141">
        <v>521775663823.96997</v>
      </c>
      <c r="AA139" s="141">
        <v>584065700</v>
      </c>
      <c r="AB139" s="724">
        <v>0.47433008827923523</v>
      </c>
    </row>
    <row r="140" spans="1:28" ht="24.95" customHeight="1">
      <c r="A140" s="32" t="e">
        <v>#REF!</v>
      </c>
      <c r="B140" s="144" t="s">
        <v>488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54</v>
      </c>
      <c r="J140" s="145">
        <v>11</v>
      </c>
      <c r="K140" s="146" t="s">
        <v>29</v>
      </c>
      <c r="L140" s="147" t="s">
        <v>178</v>
      </c>
      <c r="M140" s="148">
        <v>92687031389</v>
      </c>
      <c r="N140" s="148"/>
      <c r="O140" s="148"/>
      <c r="P140" s="148">
        <v>9770858686</v>
      </c>
      <c r="Q140" s="148">
        <v>15065613854</v>
      </c>
      <c r="R140" s="148"/>
      <c r="S140" s="148">
        <v>87392276221</v>
      </c>
      <c r="T140" s="148">
        <v>54410841196.93</v>
      </c>
      <c r="U140" s="148">
        <v>32981435024.07</v>
      </c>
      <c r="V140" s="150">
        <v>0.6226046917388256</v>
      </c>
      <c r="W140" s="148">
        <v>8405210423.9700003</v>
      </c>
      <c r="X140" s="148">
        <v>46005630772.959999</v>
      </c>
      <c r="Y140" s="150">
        <v>0.84552324060661199</v>
      </c>
      <c r="Z140" s="148">
        <v>7821144723.9700003</v>
      </c>
      <c r="AA140" s="148">
        <v>584065700</v>
      </c>
      <c r="AB140" s="150">
        <v>0.14374239677094516</v>
      </c>
    </row>
    <row r="141" spans="1:28" ht="24.95" customHeight="1">
      <c r="A141" s="32" t="e">
        <v>#REF!</v>
      </c>
      <c r="B141" s="144" t="s">
        <v>488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54</v>
      </c>
      <c r="J141" s="145">
        <v>13</v>
      </c>
      <c r="K141" s="146" t="s">
        <v>29</v>
      </c>
      <c r="L141" s="147" t="s">
        <v>178</v>
      </c>
      <c r="M141" s="148"/>
      <c r="N141" s="148"/>
      <c r="O141" s="148"/>
      <c r="P141" s="148">
        <v>148552450</v>
      </c>
      <c r="Q141" s="148"/>
      <c r="R141" s="148"/>
      <c r="S141" s="148">
        <v>148552450</v>
      </c>
      <c r="T141" s="148">
        <v>67000000</v>
      </c>
      <c r="U141" s="148">
        <v>81552450</v>
      </c>
      <c r="V141" s="150">
        <v>0.45101915182146102</v>
      </c>
      <c r="W141" s="148">
        <v>8540000</v>
      </c>
      <c r="X141" s="148">
        <v>58460000</v>
      </c>
      <c r="Y141" s="150">
        <v>0.8725373134328358</v>
      </c>
      <c r="Z141" s="148">
        <v>8540000</v>
      </c>
      <c r="AA141" s="148">
        <v>0</v>
      </c>
      <c r="AB141" s="150">
        <v>0.12746268656716417</v>
      </c>
    </row>
    <row r="142" spans="1:28" ht="24.95" customHeight="1">
      <c r="A142" s="32" t="e">
        <v>#REF!</v>
      </c>
      <c r="B142" s="144" t="s">
        <v>491</v>
      </c>
      <c r="C142" s="145" t="s">
        <v>167</v>
      </c>
      <c r="D142" s="145" t="s">
        <v>190</v>
      </c>
      <c r="E142" s="145" t="s">
        <v>172</v>
      </c>
      <c r="F142" s="145" t="s">
        <v>191</v>
      </c>
      <c r="G142" s="145" t="s">
        <v>175</v>
      </c>
      <c r="H142" s="145" t="s">
        <v>193</v>
      </c>
      <c r="I142" s="145" t="s">
        <v>65</v>
      </c>
      <c r="J142" s="145" t="s">
        <v>144</v>
      </c>
      <c r="K142" s="146" t="s">
        <v>29</v>
      </c>
      <c r="L142" s="147" t="s">
        <v>127</v>
      </c>
      <c r="M142" s="148">
        <v>240070263035</v>
      </c>
      <c r="N142" s="148"/>
      <c r="O142" s="148"/>
      <c r="P142" s="148">
        <v>14323500000</v>
      </c>
      <c r="Q142" s="148">
        <v>9770858686</v>
      </c>
      <c r="R142" s="148"/>
      <c r="S142" s="148">
        <v>244622904349</v>
      </c>
      <c r="T142" s="148">
        <v>229793405664</v>
      </c>
      <c r="U142" s="148">
        <v>14829498685</v>
      </c>
      <c r="V142" s="150">
        <v>0.93937812681741784</v>
      </c>
      <c r="W142" s="148">
        <v>211870650000</v>
      </c>
      <c r="X142" s="148">
        <v>17922755664</v>
      </c>
      <c r="Y142" s="150">
        <v>7.79950826361238E-2</v>
      </c>
      <c r="Z142" s="148">
        <v>211870650000</v>
      </c>
      <c r="AA142" s="148">
        <v>0</v>
      </c>
      <c r="AB142" s="150">
        <v>0.92200491736387624</v>
      </c>
    </row>
    <row r="143" spans="1:28" ht="24.95" customHeight="1">
      <c r="A143" s="32" t="e">
        <v>#REF!</v>
      </c>
      <c r="B143" s="144" t="s">
        <v>491</v>
      </c>
      <c r="C143" s="145" t="s">
        <v>167</v>
      </c>
      <c r="D143" s="145" t="s">
        <v>190</v>
      </c>
      <c r="E143" s="145" t="s">
        <v>172</v>
      </c>
      <c r="F143" s="145" t="s">
        <v>191</v>
      </c>
      <c r="G143" s="145" t="s">
        <v>175</v>
      </c>
      <c r="H143" s="145" t="s">
        <v>193</v>
      </c>
      <c r="I143" s="145" t="s">
        <v>65</v>
      </c>
      <c r="J143" s="145">
        <v>13</v>
      </c>
      <c r="K143" s="146" t="s">
        <v>29</v>
      </c>
      <c r="L143" s="147" t="s">
        <v>127</v>
      </c>
      <c r="M143" s="148">
        <v>1866246149188</v>
      </c>
      <c r="N143" s="148"/>
      <c r="O143" s="148"/>
      <c r="P143" s="148"/>
      <c r="Q143" s="148">
        <v>148552450</v>
      </c>
      <c r="R143" s="148"/>
      <c r="S143" s="148">
        <v>1866097596738</v>
      </c>
      <c r="T143" s="148">
        <v>815755246750</v>
      </c>
      <c r="U143" s="148">
        <v>1050342349988</v>
      </c>
      <c r="V143" s="150">
        <v>0.43714500687207736</v>
      </c>
      <c r="W143" s="148">
        <v>302075329100</v>
      </c>
      <c r="X143" s="148">
        <v>513679917650</v>
      </c>
      <c r="Y143" s="150">
        <v>0.62969857649891969</v>
      </c>
      <c r="Z143" s="148">
        <v>302075329100</v>
      </c>
      <c r="AA143" s="148">
        <v>0</v>
      </c>
      <c r="AB143" s="150">
        <v>0.37030142350108031</v>
      </c>
    </row>
    <row r="144" spans="1:28" ht="32.25" customHeight="1">
      <c r="A144" s="32" t="e">
        <v>#REF!</v>
      </c>
      <c r="B144" s="138" t="s">
        <v>494</v>
      </c>
      <c r="C144" s="139" t="s">
        <v>167</v>
      </c>
      <c r="D144" s="139" t="s">
        <v>190</v>
      </c>
      <c r="E144" s="139" t="s">
        <v>172</v>
      </c>
      <c r="F144" s="139" t="s">
        <v>191</v>
      </c>
      <c r="G144" s="139" t="s">
        <v>175</v>
      </c>
      <c r="H144" s="139">
        <v>4103009</v>
      </c>
      <c r="I144" s="139"/>
      <c r="J144" s="139"/>
      <c r="K144" s="140" t="s">
        <v>29</v>
      </c>
      <c r="L144" s="140" t="s">
        <v>195</v>
      </c>
      <c r="M144" s="141">
        <v>5421920000</v>
      </c>
      <c r="N144" s="142">
        <v>0</v>
      </c>
      <c r="O144" s="142">
        <v>0</v>
      </c>
      <c r="P144" s="141">
        <v>742113854</v>
      </c>
      <c r="Q144" s="142">
        <v>0</v>
      </c>
      <c r="R144" s="142">
        <v>0</v>
      </c>
      <c r="S144" s="141">
        <v>6164033854</v>
      </c>
      <c r="T144" s="141">
        <v>0</v>
      </c>
      <c r="U144" s="141">
        <v>6164033854</v>
      </c>
      <c r="V144" s="143">
        <v>0</v>
      </c>
      <c r="W144" s="141">
        <v>0</v>
      </c>
      <c r="X144" s="141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customHeight="1">
      <c r="A145" s="32" t="e">
        <v>#REF!</v>
      </c>
      <c r="B145" s="144" t="s">
        <v>496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>
        <v>4103009</v>
      </c>
      <c r="I145" s="145" t="s">
        <v>54</v>
      </c>
      <c r="J145" s="145">
        <v>11</v>
      </c>
      <c r="K145" s="146" t="s">
        <v>29</v>
      </c>
      <c r="L145" s="147" t="s">
        <v>178</v>
      </c>
      <c r="M145" s="148">
        <v>5421920000</v>
      </c>
      <c r="N145" s="148"/>
      <c r="O145" s="148"/>
      <c r="P145" s="148">
        <v>742113854</v>
      </c>
      <c r="Q145" s="148"/>
      <c r="R145" s="148"/>
      <c r="S145" s="148">
        <v>6164033854</v>
      </c>
      <c r="T145" s="148">
        <v>0</v>
      </c>
      <c r="U145" s="148">
        <v>6164033854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32.25" customHeight="1">
      <c r="A146" s="32" t="e">
        <v>#REF!</v>
      </c>
      <c r="B146" s="138" t="s">
        <v>497</v>
      </c>
      <c r="C146" s="139" t="s">
        <v>167</v>
      </c>
      <c r="D146" s="139" t="s">
        <v>190</v>
      </c>
      <c r="E146" s="139" t="s">
        <v>172</v>
      </c>
      <c r="F146" s="139" t="s">
        <v>191</v>
      </c>
      <c r="G146" s="139" t="s">
        <v>175</v>
      </c>
      <c r="H146" s="139">
        <v>4103047</v>
      </c>
      <c r="I146" s="139"/>
      <c r="J146" s="139">
        <v>11</v>
      </c>
      <c r="K146" s="140" t="s">
        <v>29</v>
      </c>
      <c r="L146" s="140" t="s">
        <v>195</v>
      </c>
      <c r="M146" s="141">
        <v>600000000</v>
      </c>
      <c r="N146" s="142">
        <v>0</v>
      </c>
      <c r="O146" s="142">
        <v>0</v>
      </c>
      <c r="P146" s="142">
        <v>0</v>
      </c>
      <c r="Q146" s="142">
        <v>0</v>
      </c>
      <c r="R146" s="142">
        <v>0</v>
      </c>
      <c r="S146" s="141">
        <v>600000000</v>
      </c>
      <c r="T146" s="141">
        <v>0</v>
      </c>
      <c r="U146" s="141">
        <v>600000000</v>
      </c>
      <c r="V146" s="143">
        <v>0</v>
      </c>
      <c r="W146" s="141">
        <v>0</v>
      </c>
      <c r="X146" s="141">
        <v>0</v>
      </c>
      <c r="Y146" s="143">
        <v>0</v>
      </c>
      <c r="Z146" s="141">
        <v>0</v>
      </c>
      <c r="AA146" s="141">
        <v>0</v>
      </c>
      <c r="AB146" s="724">
        <v>0</v>
      </c>
    </row>
    <row r="147" spans="1:28" ht="24.95" customHeight="1">
      <c r="A147" s="32" t="e">
        <v>#REF!</v>
      </c>
      <c r="B147" s="144" t="s">
        <v>498</v>
      </c>
      <c r="C147" s="145" t="s">
        <v>167</v>
      </c>
      <c r="D147" s="145" t="s">
        <v>190</v>
      </c>
      <c r="E147" s="145" t="s">
        <v>172</v>
      </c>
      <c r="F147" s="145" t="s">
        <v>191</v>
      </c>
      <c r="G147" s="145" t="s">
        <v>175</v>
      </c>
      <c r="H147" s="145">
        <v>4103047</v>
      </c>
      <c r="I147" s="145" t="s">
        <v>54</v>
      </c>
      <c r="J147" s="145">
        <v>11</v>
      </c>
      <c r="K147" s="146" t="s">
        <v>29</v>
      </c>
      <c r="L147" s="147" t="s">
        <v>178</v>
      </c>
      <c r="M147" s="148">
        <v>600000000</v>
      </c>
      <c r="N147" s="148"/>
      <c r="O147" s="148"/>
      <c r="P147" s="148"/>
      <c r="Q147" s="148"/>
      <c r="R147" s="148"/>
      <c r="S147" s="148">
        <v>600000000</v>
      </c>
      <c r="T147" s="148">
        <v>0</v>
      </c>
      <c r="U147" s="148">
        <v>600000000</v>
      </c>
      <c r="V147" s="150">
        <v>0</v>
      </c>
      <c r="W147" s="148">
        <v>0</v>
      </c>
      <c r="X147" s="148">
        <v>0</v>
      </c>
      <c r="Y147" s="150">
        <v>0</v>
      </c>
      <c r="Z147" s="148">
        <v>0</v>
      </c>
      <c r="AA147" s="148">
        <v>0</v>
      </c>
      <c r="AB147" s="150">
        <v>0</v>
      </c>
    </row>
    <row r="148" spans="1:28" ht="42" customHeight="1">
      <c r="A148" s="32" t="e">
        <v>#REF!</v>
      </c>
      <c r="B148" s="132" t="s">
        <v>298</v>
      </c>
      <c r="C148" s="133" t="s">
        <v>167</v>
      </c>
      <c r="D148" s="133" t="s">
        <v>190</v>
      </c>
      <c r="E148" s="133" t="s">
        <v>172</v>
      </c>
      <c r="F148" s="133" t="s">
        <v>22</v>
      </c>
      <c r="G148" s="133"/>
      <c r="H148" s="133"/>
      <c r="I148" s="133"/>
      <c r="J148" s="133"/>
      <c r="K148" s="134"/>
      <c r="L148" s="134" t="s">
        <v>264</v>
      </c>
      <c r="M148" s="135">
        <v>127000000000</v>
      </c>
      <c r="N148" s="136">
        <v>0</v>
      </c>
      <c r="O148" s="136">
        <v>0</v>
      </c>
      <c r="P148" s="136">
        <v>0</v>
      </c>
      <c r="Q148" s="135">
        <v>1000000000</v>
      </c>
      <c r="R148" s="136">
        <v>0</v>
      </c>
      <c r="S148" s="135">
        <v>126000000000</v>
      </c>
      <c r="T148" s="135">
        <v>116812244400</v>
      </c>
      <c r="U148" s="135">
        <v>9187755600</v>
      </c>
      <c r="V148" s="137">
        <v>0.92708130476190476</v>
      </c>
      <c r="W148" s="135">
        <v>16443635891.66</v>
      </c>
      <c r="X148" s="135">
        <v>100368608508.34</v>
      </c>
      <c r="Y148" s="137">
        <v>0.85923020333936839</v>
      </c>
      <c r="Z148" s="135">
        <v>16286415590.66</v>
      </c>
      <c r="AA148" s="135">
        <v>157220301</v>
      </c>
      <c r="AB148" s="723">
        <v>0.13942387353581231</v>
      </c>
    </row>
    <row r="149" spans="1:28" ht="32.25" customHeight="1">
      <c r="A149" s="32" t="e">
        <v>#REF!</v>
      </c>
      <c r="B149" s="138" t="s">
        <v>500</v>
      </c>
      <c r="C149" s="139" t="s">
        <v>167</v>
      </c>
      <c r="D149" s="139" t="s">
        <v>190</v>
      </c>
      <c r="E149" s="139" t="s">
        <v>172</v>
      </c>
      <c r="F149" s="139" t="s">
        <v>22</v>
      </c>
      <c r="G149" s="139" t="s">
        <v>175</v>
      </c>
      <c r="H149" s="139" t="s">
        <v>197</v>
      </c>
      <c r="I149" s="139"/>
      <c r="J149" s="139">
        <v>13</v>
      </c>
      <c r="K149" s="140" t="s">
        <v>29</v>
      </c>
      <c r="L149" s="140" t="s">
        <v>198</v>
      </c>
      <c r="M149" s="141">
        <v>12543853246</v>
      </c>
      <c r="N149" s="142">
        <v>0</v>
      </c>
      <c r="O149" s="142">
        <v>0</v>
      </c>
      <c r="P149" s="142">
        <v>0</v>
      </c>
      <c r="Q149" s="142">
        <v>0</v>
      </c>
      <c r="R149" s="142">
        <v>0</v>
      </c>
      <c r="S149" s="141">
        <v>12543853246</v>
      </c>
      <c r="T149" s="141">
        <v>12497150539</v>
      </c>
      <c r="U149" s="141">
        <v>46702707</v>
      </c>
      <c r="V149" s="143">
        <v>0.99627684523374882</v>
      </c>
      <c r="W149" s="141">
        <v>0</v>
      </c>
      <c r="X149" s="142">
        <v>12497150539</v>
      </c>
      <c r="Y149" s="143">
        <v>1</v>
      </c>
      <c r="Z149" s="141">
        <v>0</v>
      </c>
      <c r="AA149" s="141">
        <v>0</v>
      </c>
      <c r="AB149" s="724">
        <v>0</v>
      </c>
    </row>
    <row r="150" spans="1:28" ht="24.95" customHeight="1">
      <c r="A150" s="32" t="e">
        <v>#REF!</v>
      </c>
      <c r="B150" s="144" t="s">
        <v>501</v>
      </c>
      <c r="C150" s="145" t="s">
        <v>167</v>
      </c>
      <c r="D150" s="145" t="s">
        <v>190</v>
      </c>
      <c r="E150" s="145" t="s">
        <v>172</v>
      </c>
      <c r="F150" s="145" t="s">
        <v>22</v>
      </c>
      <c r="G150" s="145" t="s">
        <v>175</v>
      </c>
      <c r="H150" s="145" t="s">
        <v>197</v>
      </c>
      <c r="I150" s="145" t="s">
        <v>54</v>
      </c>
      <c r="J150" s="145">
        <v>13</v>
      </c>
      <c r="K150" s="146" t="s">
        <v>29</v>
      </c>
      <c r="L150" s="147" t="s">
        <v>178</v>
      </c>
      <c r="M150" s="148">
        <v>12543853246</v>
      </c>
      <c r="N150" s="148"/>
      <c r="O150" s="148"/>
      <c r="P150" s="148"/>
      <c r="Q150" s="148">
        <v>0</v>
      </c>
      <c r="R150" s="148">
        <v>0</v>
      </c>
      <c r="S150" s="148">
        <v>12543853246</v>
      </c>
      <c r="T150" s="148">
        <v>12497150539</v>
      </c>
      <c r="U150" s="148">
        <v>46702707</v>
      </c>
      <c r="V150" s="150">
        <v>0.99627684523374882</v>
      </c>
      <c r="W150" s="148"/>
      <c r="X150" s="148">
        <v>12497150539</v>
      </c>
      <c r="Y150" s="150">
        <v>1</v>
      </c>
      <c r="Z150" s="148"/>
      <c r="AA150" s="148">
        <v>0</v>
      </c>
      <c r="AB150" s="150">
        <v>0</v>
      </c>
    </row>
    <row r="151" spans="1:28" ht="32.25" customHeight="1">
      <c r="A151" s="32" t="e">
        <v>#REF!</v>
      </c>
      <c r="B151" s="138" t="s">
        <v>502</v>
      </c>
      <c r="C151" s="139" t="s">
        <v>167</v>
      </c>
      <c r="D151" s="139" t="s">
        <v>190</v>
      </c>
      <c r="E151" s="139" t="s">
        <v>172</v>
      </c>
      <c r="F151" s="139" t="s">
        <v>22</v>
      </c>
      <c r="G151" s="139" t="s">
        <v>175</v>
      </c>
      <c r="H151" s="139" t="s">
        <v>199</v>
      </c>
      <c r="I151" s="139"/>
      <c r="J151" s="139">
        <v>13</v>
      </c>
      <c r="K151" s="140" t="s">
        <v>29</v>
      </c>
      <c r="L151" s="140" t="s">
        <v>200</v>
      </c>
      <c r="M151" s="141">
        <v>6747471657</v>
      </c>
      <c r="N151" s="142">
        <v>0</v>
      </c>
      <c r="O151" s="142">
        <v>0</v>
      </c>
      <c r="P151" s="142">
        <v>0</v>
      </c>
      <c r="Q151" s="141">
        <v>1000000000</v>
      </c>
      <c r="R151" s="142">
        <v>0</v>
      </c>
      <c r="S151" s="141">
        <v>5747471657</v>
      </c>
      <c r="T151" s="141">
        <v>5632124153</v>
      </c>
      <c r="U151" s="141">
        <v>115347504</v>
      </c>
      <c r="V151" s="143">
        <v>0.97993073983070189</v>
      </c>
      <c r="W151" s="141">
        <v>0</v>
      </c>
      <c r="X151" s="142">
        <v>5632124153</v>
      </c>
      <c r="Y151" s="143">
        <v>1</v>
      </c>
      <c r="Z151" s="141">
        <v>0</v>
      </c>
      <c r="AA151" s="141">
        <v>0</v>
      </c>
      <c r="AB151" s="724">
        <v>0</v>
      </c>
    </row>
    <row r="152" spans="1:28" ht="24.95" customHeight="1">
      <c r="A152" s="32" t="e">
        <v>#REF!</v>
      </c>
      <c r="B152" s="144" t="s">
        <v>503</v>
      </c>
      <c r="C152" s="145" t="s">
        <v>167</v>
      </c>
      <c r="D152" s="145" t="s">
        <v>190</v>
      </c>
      <c r="E152" s="145" t="s">
        <v>172</v>
      </c>
      <c r="F152" s="145" t="s">
        <v>22</v>
      </c>
      <c r="G152" s="145" t="s">
        <v>175</v>
      </c>
      <c r="H152" s="145" t="s">
        <v>199</v>
      </c>
      <c r="I152" s="145" t="s">
        <v>54</v>
      </c>
      <c r="J152" s="145">
        <v>13</v>
      </c>
      <c r="K152" s="146" t="s">
        <v>29</v>
      </c>
      <c r="L152" s="147" t="s">
        <v>178</v>
      </c>
      <c r="M152" s="148">
        <v>6747471657</v>
      </c>
      <c r="N152" s="148"/>
      <c r="O152" s="148"/>
      <c r="P152" s="148"/>
      <c r="Q152" s="148">
        <v>1000000000</v>
      </c>
      <c r="R152" s="148">
        <v>0</v>
      </c>
      <c r="S152" s="148">
        <v>5747471657</v>
      </c>
      <c r="T152" s="148">
        <v>5632124153</v>
      </c>
      <c r="U152" s="148">
        <v>115347504</v>
      </c>
      <c r="V152" s="150">
        <v>0.97993073983070189</v>
      </c>
      <c r="W152" s="148"/>
      <c r="X152" s="148">
        <v>5632124153</v>
      </c>
      <c r="Y152" s="150">
        <v>1</v>
      </c>
      <c r="Z152" s="148"/>
      <c r="AA152" s="148">
        <v>0</v>
      </c>
      <c r="AB152" s="150">
        <v>0</v>
      </c>
    </row>
    <row r="153" spans="1:28" ht="32.25" customHeight="1">
      <c r="A153" s="32" t="e">
        <v>#REF!</v>
      </c>
      <c r="B153" s="138" t="s">
        <v>504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201</v>
      </c>
      <c r="I153" s="139"/>
      <c r="J153" s="139">
        <v>13</v>
      </c>
      <c r="K153" s="140" t="s">
        <v>29</v>
      </c>
      <c r="L153" s="140" t="s">
        <v>202</v>
      </c>
      <c r="M153" s="141">
        <v>11231519737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1">
        <v>11231519737</v>
      </c>
      <c r="T153" s="141">
        <v>7970688852</v>
      </c>
      <c r="U153" s="141">
        <v>3260830885</v>
      </c>
      <c r="V153" s="143">
        <v>0.70967144595242593</v>
      </c>
      <c r="W153" s="141">
        <v>1033194998.66</v>
      </c>
      <c r="X153" s="141">
        <v>6937493853.3400002</v>
      </c>
      <c r="Y153" s="143">
        <v>0.8703756955208769</v>
      </c>
      <c r="Z153" s="141">
        <v>875974697.65999997</v>
      </c>
      <c r="AA153" s="141">
        <v>157220301</v>
      </c>
      <c r="AB153" s="724">
        <v>0.10989949726116846</v>
      </c>
    </row>
    <row r="154" spans="1:28" ht="24.95" customHeight="1">
      <c r="A154" s="32" t="e">
        <v>#REF!</v>
      </c>
      <c r="B154" s="144" t="s">
        <v>505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201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11231519737</v>
      </c>
      <c r="N154" s="148"/>
      <c r="O154" s="148"/>
      <c r="P154" s="148"/>
      <c r="Q154" s="148">
        <v>0</v>
      </c>
      <c r="R154" s="148">
        <v>0</v>
      </c>
      <c r="S154" s="148">
        <v>11231519737</v>
      </c>
      <c r="T154" s="148">
        <v>7970688852</v>
      </c>
      <c r="U154" s="148">
        <v>3260830885</v>
      </c>
      <c r="V154" s="150">
        <v>0.70967144595242593</v>
      </c>
      <c r="W154" s="148">
        <v>1033194998.66</v>
      </c>
      <c r="X154" s="148">
        <v>6937493853.3400002</v>
      </c>
      <c r="Y154" s="150">
        <v>0.8703756955208769</v>
      </c>
      <c r="Z154" s="148">
        <v>875974697.65999997</v>
      </c>
      <c r="AA154" s="148">
        <v>157220301</v>
      </c>
      <c r="AB154" s="150">
        <v>0.10989949726116846</v>
      </c>
    </row>
    <row r="155" spans="1:28" ht="32.25" customHeight="1">
      <c r="A155" s="32" t="e">
        <v>#REF!</v>
      </c>
      <c r="B155" s="138" t="s">
        <v>506</v>
      </c>
      <c r="C155" s="139" t="s">
        <v>167</v>
      </c>
      <c r="D155" s="139" t="s">
        <v>190</v>
      </c>
      <c r="E155" s="139" t="s">
        <v>172</v>
      </c>
      <c r="F155" s="139" t="s">
        <v>22</v>
      </c>
      <c r="G155" s="139" t="s">
        <v>175</v>
      </c>
      <c r="H155" s="139" t="s">
        <v>203</v>
      </c>
      <c r="I155" s="139"/>
      <c r="J155" s="139">
        <v>13</v>
      </c>
      <c r="K155" s="140" t="s">
        <v>29</v>
      </c>
      <c r="L155" s="140" t="s">
        <v>204</v>
      </c>
      <c r="M155" s="141">
        <v>96477155360</v>
      </c>
      <c r="N155" s="142">
        <v>0</v>
      </c>
      <c r="O155" s="142">
        <v>0</v>
      </c>
      <c r="P155" s="142">
        <v>0</v>
      </c>
      <c r="Q155" s="142">
        <v>0</v>
      </c>
      <c r="R155" s="142">
        <v>0</v>
      </c>
      <c r="S155" s="141">
        <v>96477155360</v>
      </c>
      <c r="T155" s="141">
        <v>90712280856</v>
      </c>
      <c r="U155" s="141">
        <v>5764874504</v>
      </c>
      <c r="V155" s="143">
        <v>0.94024622220163268</v>
      </c>
      <c r="W155" s="141">
        <v>15410440893</v>
      </c>
      <c r="X155" s="141">
        <v>75301839963</v>
      </c>
      <c r="Y155" s="143">
        <v>0.83011736947213244</v>
      </c>
      <c r="Z155" s="141">
        <v>15410440893</v>
      </c>
      <c r="AA155" s="141">
        <v>0</v>
      </c>
      <c r="AB155" s="724">
        <v>0.16988263052786753</v>
      </c>
    </row>
    <row r="156" spans="1:28" ht="24.95" customHeight="1">
      <c r="A156" s="32" t="e">
        <v>#REF!</v>
      </c>
      <c r="B156" s="144" t="s">
        <v>507</v>
      </c>
      <c r="C156" s="145" t="s">
        <v>167</v>
      </c>
      <c r="D156" s="145" t="s">
        <v>190</v>
      </c>
      <c r="E156" s="145" t="s">
        <v>172</v>
      </c>
      <c r="F156" s="145" t="s">
        <v>22</v>
      </c>
      <c r="G156" s="145" t="s">
        <v>175</v>
      </c>
      <c r="H156" s="145" t="s">
        <v>203</v>
      </c>
      <c r="I156" s="145" t="s">
        <v>54</v>
      </c>
      <c r="J156" s="145">
        <v>13</v>
      </c>
      <c r="K156" s="146" t="s">
        <v>29</v>
      </c>
      <c r="L156" s="147" t="s">
        <v>178</v>
      </c>
      <c r="M156" s="148">
        <v>96477155360</v>
      </c>
      <c r="N156" s="148"/>
      <c r="O156" s="148"/>
      <c r="P156" s="149"/>
      <c r="Q156" s="148">
        <v>0</v>
      </c>
      <c r="R156" s="148">
        <v>0</v>
      </c>
      <c r="S156" s="148">
        <v>96477155360</v>
      </c>
      <c r="T156" s="148">
        <v>90712280856</v>
      </c>
      <c r="U156" s="148">
        <v>5764874504</v>
      </c>
      <c r="V156" s="150">
        <v>0.94024622220163268</v>
      </c>
      <c r="W156" s="148">
        <v>15410440893</v>
      </c>
      <c r="X156" s="148">
        <v>75301839963</v>
      </c>
      <c r="Y156" s="150">
        <v>0.83011736947213244</v>
      </c>
      <c r="Z156" s="148">
        <v>15410440893</v>
      </c>
      <c r="AA156" s="148">
        <v>0</v>
      </c>
      <c r="AB156" s="150">
        <v>0.16988263052786753</v>
      </c>
    </row>
    <row r="157" spans="1:28" ht="42" customHeight="1">
      <c r="A157" s="32" t="e">
        <v>#REF!</v>
      </c>
      <c r="B157" s="132" t="s">
        <v>299</v>
      </c>
      <c r="C157" s="133" t="s">
        <v>167</v>
      </c>
      <c r="D157" s="133" t="s">
        <v>190</v>
      </c>
      <c r="E157" s="133" t="s">
        <v>172</v>
      </c>
      <c r="F157" s="133" t="s">
        <v>205</v>
      </c>
      <c r="G157" s="133"/>
      <c r="H157" s="133"/>
      <c r="I157" s="133"/>
      <c r="J157" s="133"/>
      <c r="K157" s="134"/>
      <c r="L157" s="134" t="s">
        <v>265</v>
      </c>
      <c r="M157" s="135">
        <v>662805945958</v>
      </c>
      <c r="N157" s="136">
        <v>0</v>
      </c>
      <c r="O157" s="136">
        <v>0</v>
      </c>
      <c r="P157" s="135">
        <v>9104254902.6599998</v>
      </c>
      <c r="Q157" s="135">
        <v>9104254902.6599998</v>
      </c>
      <c r="R157" s="136">
        <v>0</v>
      </c>
      <c r="S157" s="135">
        <v>662805945958</v>
      </c>
      <c r="T157" s="135">
        <v>618704206104.62</v>
      </c>
      <c r="U157" s="135">
        <v>44101739853.380051</v>
      </c>
      <c r="V157" s="137">
        <v>0.93346206363668527</v>
      </c>
      <c r="W157" s="135">
        <v>5141030755.8100004</v>
      </c>
      <c r="X157" s="135">
        <v>613563175348.80994</v>
      </c>
      <c r="Y157" s="137">
        <v>0.99169064844705335</v>
      </c>
      <c r="Z157" s="135">
        <v>4809508947.8100004</v>
      </c>
      <c r="AA157" s="135">
        <v>331521808</v>
      </c>
      <c r="AB157" s="723">
        <v>7.7735190747947411E-3</v>
      </c>
    </row>
    <row r="158" spans="1:28" ht="30.75" hidden="1" customHeight="1">
      <c r="A158" s="32"/>
      <c r="B158" s="135"/>
      <c r="C158" s="133"/>
      <c r="D158" s="133"/>
      <c r="E158" s="133"/>
      <c r="F158" s="133"/>
      <c r="G158" s="133"/>
      <c r="H158" s="133"/>
      <c r="I158" s="133"/>
      <c r="J158" s="133"/>
      <c r="K158" s="134"/>
      <c r="L158" s="135"/>
      <c r="M158" s="729"/>
      <c r="N158" s="135"/>
      <c r="O158" s="135"/>
      <c r="P158" s="136"/>
      <c r="Q158" s="135"/>
      <c r="R158" s="729"/>
      <c r="S158" s="135">
        <v>0</v>
      </c>
      <c r="T158" s="135"/>
      <c r="U158" s="135">
        <v>0</v>
      </c>
      <c r="V158" s="137"/>
      <c r="W158" s="135"/>
      <c r="X158" s="135">
        <v>0</v>
      </c>
      <c r="Y158" s="137"/>
      <c r="Z158" s="135"/>
      <c r="AA158" s="135">
        <v>0</v>
      </c>
      <c r="AB158" s="723"/>
    </row>
    <row r="159" spans="1:28" ht="32.25" customHeight="1">
      <c r="A159" s="32" t="e">
        <v>#REF!</v>
      </c>
      <c r="B159" s="138" t="s">
        <v>510</v>
      </c>
      <c r="C159" s="139" t="s">
        <v>167</v>
      </c>
      <c r="D159" s="139" t="s">
        <v>190</v>
      </c>
      <c r="E159" s="139" t="s">
        <v>172</v>
      </c>
      <c r="F159" s="139" t="s">
        <v>205</v>
      </c>
      <c r="G159" s="139" t="s">
        <v>175</v>
      </c>
      <c r="H159" s="139" t="s">
        <v>207</v>
      </c>
      <c r="I159" s="139"/>
      <c r="J159" s="139"/>
      <c r="K159" s="140"/>
      <c r="L159" s="140" t="s">
        <v>208</v>
      </c>
      <c r="M159" s="141">
        <v>633930608285</v>
      </c>
      <c r="N159" s="142">
        <v>0</v>
      </c>
      <c r="O159" s="142">
        <v>0</v>
      </c>
      <c r="P159" s="141">
        <v>9048916207.7600002</v>
      </c>
      <c r="Q159" s="141">
        <v>6336316698.7600002</v>
      </c>
      <c r="R159" s="142">
        <v>0</v>
      </c>
      <c r="S159" s="141">
        <v>636643207794</v>
      </c>
      <c r="T159" s="141">
        <v>593662254286.71997</v>
      </c>
      <c r="U159" s="141">
        <v>42980953507.280052</v>
      </c>
      <c r="V159" s="143">
        <v>0.93248816137344626</v>
      </c>
      <c r="W159" s="141">
        <v>271292646.63</v>
      </c>
      <c r="X159" s="141">
        <v>593390961640.08997</v>
      </c>
      <c r="Y159" s="143">
        <v>0.99954301853508276</v>
      </c>
      <c r="Z159" s="141">
        <v>271292646.63</v>
      </c>
      <c r="AA159" s="141">
        <v>0</v>
      </c>
      <c r="AB159" s="724">
        <v>4.569814649172125E-4</v>
      </c>
    </row>
    <row r="160" spans="1:28" ht="24.95" customHeight="1">
      <c r="A160" s="32" t="e">
        <v>#REF!</v>
      </c>
      <c r="B160" s="144" t="s">
        <v>511</v>
      </c>
      <c r="C160" s="145" t="s">
        <v>167</v>
      </c>
      <c r="D160" s="145" t="s">
        <v>190</v>
      </c>
      <c r="E160" s="145" t="s">
        <v>172</v>
      </c>
      <c r="F160" s="145" t="s">
        <v>205</v>
      </c>
      <c r="G160" s="145" t="s">
        <v>175</v>
      </c>
      <c r="H160" s="145" t="s">
        <v>207</v>
      </c>
      <c r="I160" s="145" t="s">
        <v>54</v>
      </c>
      <c r="J160" s="145">
        <v>13</v>
      </c>
      <c r="K160" s="146" t="s">
        <v>29</v>
      </c>
      <c r="L160" s="147" t="s">
        <v>178</v>
      </c>
      <c r="M160" s="148">
        <v>74930114899</v>
      </c>
      <c r="N160" s="148"/>
      <c r="O160" s="148"/>
      <c r="P160" s="148">
        <v>437706085.34000003</v>
      </c>
      <c r="Q160" s="148">
        <v>5843271918.5200005</v>
      </c>
      <c r="R160" s="149">
        <v>0</v>
      </c>
      <c r="S160" s="148">
        <v>69524549065.819992</v>
      </c>
      <c r="T160" s="148">
        <v>64054015848.480003</v>
      </c>
      <c r="U160" s="148">
        <v>5470533217.3399887</v>
      </c>
      <c r="V160" s="150">
        <v>0.92131508523469963</v>
      </c>
      <c r="W160" s="148">
        <v>271292646.63</v>
      </c>
      <c r="X160" s="148">
        <v>63782723201.850006</v>
      </c>
      <c r="Y160" s="150">
        <v>0.99576462704115631</v>
      </c>
      <c r="Z160" s="148">
        <v>271292646.63</v>
      </c>
      <c r="AA160" s="148">
        <v>0</v>
      </c>
      <c r="AB160" s="150">
        <v>4.2353729588437312E-3</v>
      </c>
    </row>
    <row r="161" spans="1:28" ht="24.95" customHeight="1">
      <c r="A161" s="32" t="e">
        <v>#REF!</v>
      </c>
      <c r="B161" s="144" t="s">
        <v>514</v>
      </c>
      <c r="C161" s="145" t="s">
        <v>167</v>
      </c>
      <c r="D161" s="145" t="s">
        <v>190</v>
      </c>
      <c r="E161" s="145" t="s">
        <v>172</v>
      </c>
      <c r="F161" s="145" t="s">
        <v>205</v>
      </c>
      <c r="G161" s="145" t="s">
        <v>175</v>
      </c>
      <c r="H161" s="145" t="s">
        <v>207</v>
      </c>
      <c r="I161" s="145" t="s">
        <v>65</v>
      </c>
      <c r="J161" s="145">
        <v>13</v>
      </c>
      <c r="K161" s="146" t="s">
        <v>29</v>
      </c>
      <c r="L161" s="147" t="s">
        <v>127</v>
      </c>
      <c r="M161" s="148">
        <v>559000493386</v>
      </c>
      <c r="N161" s="149"/>
      <c r="O161" s="148"/>
      <c r="P161" s="148">
        <v>8611210122.4200001</v>
      </c>
      <c r="Q161" s="148">
        <v>493044780.24000007</v>
      </c>
      <c r="R161" s="149">
        <v>0</v>
      </c>
      <c r="S161" s="149">
        <v>567118658728.18005</v>
      </c>
      <c r="T161" s="148">
        <v>529608238438.23999</v>
      </c>
      <c r="U161" s="148">
        <v>37510420289.940063</v>
      </c>
      <c r="V161" s="150">
        <v>0.93385789779151174</v>
      </c>
      <c r="W161" s="148">
        <v>0</v>
      </c>
      <c r="X161" s="148">
        <v>529608238438.23999</v>
      </c>
      <c r="Y161" s="150">
        <v>1</v>
      </c>
      <c r="Z161" s="148">
        <v>0</v>
      </c>
      <c r="AA161" s="148">
        <v>0</v>
      </c>
      <c r="AB161" s="150">
        <v>0</v>
      </c>
    </row>
    <row r="162" spans="1:28" ht="32.25" customHeight="1">
      <c r="A162" s="32" t="e">
        <v>#REF!</v>
      </c>
      <c r="B162" s="138" t="s">
        <v>516</v>
      </c>
      <c r="C162" s="139" t="s">
        <v>167</v>
      </c>
      <c r="D162" s="139" t="s">
        <v>190</v>
      </c>
      <c r="E162" s="139" t="s">
        <v>172</v>
      </c>
      <c r="F162" s="139" t="s">
        <v>205</v>
      </c>
      <c r="G162" s="139" t="s">
        <v>175</v>
      </c>
      <c r="H162" s="139" t="s">
        <v>209</v>
      </c>
      <c r="I162" s="139"/>
      <c r="J162" s="139">
        <v>11</v>
      </c>
      <c r="K162" s="140" t="s">
        <v>29</v>
      </c>
      <c r="L162" s="140" t="s">
        <v>210</v>
      </c>
      <c r="M162" s="141">
        <v>28875337673</v>
      </c>
      <c r="N162" s="142">
        <v>0</v>
      </c>
      <c r="O162" s="142">
        <v>0</v>
      </c>
      <c r="P162" s="141">
        <v>55338694.899999999</v>
      </c>
      <c r="Q162" s="141">
        <v>2767938203.9000001</v>
      </c>
      <c r="R162" s="142">
        <v>0</v>
      </c>
      <c r="S162" s="141">
        <v>26162738164</v>
      </c>
      <c r="T162" s="141">
        <v>25041951817.900002</v>
      </c>
      <c r="U162" s="141">
        <v>1120786346.1000004</v>
      </c>
      <c r="V162" s="143">
        <v>0.9571609691969396</v>
      </c>
      <c r="W162" s="141">
        <v>4869738109.1800003</v>
      </c>
      <c r="X162" s="141">
        <v>20172213708.720001</v>
      </c>
      <c r="Y162" s="143">
        <v>0.80553679902462283</v>
      </c>
      <c r="Z162" s="141">
        <v>4538216301.1800003</v>
      </c>
      <c r="AA162" s="141">
        <v>331521808</v>
      </c>
      <c r="AB162" s="724">
        <v>0.18122454408430258</v>
      </c>
    </row>
    <row r="163" spans="1:28" ht="24.95" customHeight="1">
      <c r="A163" s="32" t="e">
        <v>#REF!</v>
      </c>
      <c r="B163" s="144" t="s">
        <v>517</v>
      </c>
      <c r="C163" s="145" t="s">
        <v>167</v>
      </c>
      <c r="D163" s="145" t="s">
        <v>190</v>
      </c>
      <c r="E163" s="145" t="s">
        <v>172</v>
      </c>
      <c r="F163" s="145" t="s">
        <v>205</v>
      </c>
      <c r="G163" s="145" t="s">
        <v>175</v>
      </c>
      <c r="H163" s="145" t="s">
        <v>209</v>
      </c>
      <c r="I163" s="145" t="s">
        <v>54</v>
      </c>
      <c r="J163" s="145">
        <v>11</v>
      </c>
      <c r="K163" s="146" t="s">
        <v>29</v>
      </c>
      <c r="L163" s="147" t="s">
        <v>178</v>
      </c>
      <c r="M163" s="148">
        <v>17101987014</v>
      </c>
      <c r="N163" s="148"/>
      <c r="O163" s="148"/>
      <c r="P163" s="148"/>
      <c r="Q163" s="149">
        <v>0</v>
      </c>
      <c r="R163" s="148">
        <v>0</v>
      </c>
      <c r="S163" s="148">
        <v>17101987014</v>
      </c>
      <c r="T163" s="148">
        <v>17028090391</v>
      </c>
      <c r="U163" s="148">
        <v>73896623</v>
      </c>
      <c r="V163" s="150">
        <v>0.99567906214994162</v>
      </c>
      <c r="W163" s="148">
        <v>3648633233</v>
      </c>
      <c r="X163" s="148">
        <v>13379457158</v>
      </c>
      <c r="Y163" s="150">
        <v>0.785728572657305</v>
      </c>
      <c r="Z163" s="148">
        <v>3430163759</v>
      </c>
      <c r="AA163" s="148">
        <v>218469474</v>
      </c>
      <c r="AB163" s="150">
        <v>0.20144148170677867</v>
      </c>
    </row>
    <row r="164" spans="1:28" ht="24.95" customHeight="1">
      <c r="A164" s="32" t="e">
        <v>#REF!</v>
      </c>
      <c r="B164" s="144" t="s">
        <v>517</v>
      </c>
      <c r="C164" s="145" t="s">
        <v>167</v>
      </c>
      <c r="D164" s="145" t="s">
        <v>190</v>
      </c>
      <c r="E164" s="145" t="s">
        <v>172</v>
      </c>
      <c r="F164" s="145" t="s">
        <v>205</v>
      </c>
      <c r="G164" s="145" t="s">
        <v>175</v>
      </c>
      <c r="H164" s="145" t="s">
        <v>209</v>
      </c>
      <c r="I164" s="145" t="s">
        <v>54</v>
      </c>
      <c r="J164" s="145">
        <v>13</v>
      </c>
      <c r="K164" s="146" t="s">
        <v>29</v>
      </c>
      <c r="L164" s="147" t="s">
        <v>178</v>
      </c>
      <c r="M164" s="148">
        <v>11773350659</v>
      </c>
      <c r="N164" s="148"/>
      <c r="O164" s="148"/>
      <c r="P164" s="148">
        <v>55338694.899999999</v>
      </c>
      <c r="Q164" s="148">
        <v>2767938203.9000001</v>
      </c>
      <c r="R164" s="148">
        <v>0</v>
      </c>
      <c r="S164" s="148">
        <v>9060751150</v>
      </c>
      <c r="T164" s="148">
        <v>8013861426.8999996</v>
      </c>
      <c r="U164" s="148">
        <v>1046889723.1000004</v>
      </c>
      <c r="V164" s="150">
        <v>0.88445883726759233</v>
      </c>
      <c r="W164" s="148">
        <v>1221104876.1800001</v>
      </c>
      <c r="X164" s="148">
        <v>6792756550.7199993</v>
      </c>
      <c r="Y164" s="150">
        <v>0.84762590577357166</v>
      </c>
      <c r="Z164" s="148">
        <v>1108052542.1800001</v>
      </c>
      <c r="AA164" s="148">
        <v>113052334</v>
      </c>
      <c r="AB164" s="150">
        <v>0.1382669955410781</v>
      </c>
    </row>
    <row r="165" spans="1:28" ht="38.25" customHeight="1">
      <c r="A165" s="32" t="e">
        <v>#REF!</v>
      </c>
      <c r="B165" s="132" t="s">
        <v>520</v>
      </c>
      <c r="C165" s="133" t="s">
        <v>167</v>
      </c>
      <c r="D165" s="133" t="s">
        <v>190</v>
      </c>
      <c r="E165" s="133" t="s">
        <v>172</v>
      </c>
      <c r="F165" s="133" t="s">
        <v>211</v>
      </c>
      <c r="G165" s="133"/>
      <c r="H165" s="133"/>
      <c r="I165" s="133"/>
      <c r="J165" s="133"/>
      <c r="K165" s="134"/>
      <c r="L165" s="134" t="s">
        <v>266</v>
      </c>
      <c r="M165" s="135">
        <v>1000000000</v>
      </c>
      <c r="N165" s="136">
        <v>0</v>
      </c>
      <c r="O165" s="136">
        <v>0</v>
      </c>
      <c r="P165" s="135">
        <v>1000000000</v>
      </c>
      <c r="Q165" s="136">
        <v>0</v>
      </c>
      <c r="R165" s="136">
        <v>0</v>
      </c>
      <c r="S165" s="135">
        <v>2000000000</v>
      </c>
      <c r="T165" s="135">
        <v>0</v>
      </c>
      <c r="U165" s="135">
        <v>2000000000</v>
      </c>
      <c r="V165" s="137">
        <v>0</v>
      </c>
      <c r="W165" s="135">
        <v>0</v>
      </c>
      <c r="X165" s="135">
        <v>0</v>
      </c>
      <c r="Y165" s="137">
        <v>0</v>
      </c>
      <c r="Z165" s="135">
        <v>0</v>
      </c>
      <c r="AA165" s="135">
        <v>0</v>
      </c>
      <c r="AB165" s="723">
        <v>0</v>
      </c>
    </row>
    <row r="166" spans="1:28" ht="32.25" customHeight="1">
      <c r="A166" s="32" t="e">
        <v>#REF!</v>
      </c>
      <c r="B166" s="138" t="s">
        <v>522</v>
      </c>
      <c r="C166" s="139" t="s">
        <v>167</v>
      </c>
      <c r="D166" s="139" t="s">
        <v>190</v>
      </c>
      <c r="E166" s="139" t="s">
        <v>172</v>
      </c>
      <c r="F166" s="139" t="s">
        <v>211</v>
      </c>
      <c r="G166" s="139" t="s">
        <v>175</v>
      </c>
      <c r="H166" s="139" t="s">
        <v>213</v>
      </c>
      <c r="I166" s="139"/>
      <c r="J166" s="139" t="s">
        <v>144</v>
      </c>
      <c r="K166" s="140" t="s">
        <v>29</v>
      </c>
      <c r="L166" s="140" t="s">
        <v>214</v>
      </c>
      <c r="M166" s="141">
        <v>820000000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1">
        <v>820000000</v>
      </c>
      <c r="T166" s="141">
        <v>0</v>
      </c>
      <c r="U166" s="141">
        <v>820000000</v>
      </c>
      <c r="V166" s="143">
        <v>0</v>
      </c>
      <c r="W166" s="141">
        <v>0</v>
      </c>
      <c r="X166" s="142">
        <v>0</v>
      </c>
      <c r="Y166" s="143">
        <v>0</v>
      </c>
      <c r="Z166" s="141">
        <v>0</v>
      </c>
      <c r="AA166" s="141">
        <v>0</v>
      </c>
      <c r="AB166" s="724">
        <v>0</v>
      </c>
    </row>
    <row r="167" spans="1:28" ht="24.95" customHeight="1">
      <c r="A167" s="32" t="e">
        <v>#REF!</v>
      </c>
      <c r="B167" s="144" t="s">
        <v>524</v>
      </c>
      <c r="C167" s="145" t="s">
        <v>167</v>
      </c>
      <c r="D167" s="145" t="s">
        <v>190</v>
      </c>
      <c r="E167" s="145" t="s">
        <v>172</v>
      </c>
      <c r="F167" s="145" t="s">
        <v>211</v>
      </c>
      <c r="G167" s="145" t="s">
        <v>175</v>
      </c>
      <c r="H167" s="145" t="s">
        <v>213</v>
      </c>
      <c r="I167" s="145" t="s">
        <v>54</v>
      </c>
      <c r="J167" s="145">
        <v>13</v>
      </c>
      <c r="K167" s="146" t="s">
        <v>29</v>
      </c>
      <c r="L167" s="147" t="s">
        <v>178</v>
      </c>
      <c r="M167" s="148">
        <v>820000000</v>
      </c>
      <c r="N167" s="148"/>
      <c r="O167" s="148"/>
      <c r="P167" s="148"/>
      <c r="Q167" s="149">
        <v>0</v>
      </c>
      <c r="R167" s="148">
        <v>0</v>
      </c>
      <c r="S167" s="148">
        <v>820000000</v>
      </c>
      <c r="T167" s="148">
        <v>0</v>
      </c>
      <c r="U167" s="148">
        <v>820000000</v>
      </c>
      <c r="V167" s="150">
        <v>0</v>
      </c>
      <c r="W167" s="148">
        <v>0</v>
      </c>
      <c r="X167" s="148">
        <v>0</v>
      </c>
      <c r="Y167" s="150">
        <v>0</v>
      </c>
      <c r="Z167" s="148">
        <v>0</v>
      </c>
      <c r="AA167" s="148">
        <v>0</v>
      </c>
      <c r="AB167" s="150">
        <v>0</v>
      </c>
    </row>
    <row r="168" spans="1:28" ht="32.25" customHeight="1">
      <c r="A168" s="32" t="e">
        <v>#REF!</v>
      </c>
      <c r="B168" s="138" t="s">
        <v>526</v>
      </c>
      <c r="C168" s="139" t="s">
        <v>167</v>
      </c>
      <c r="D168" s="139" t="s">
        <v>190</v>
      </c>
      <c r="E168" s="139" t="s">
        <v>172</v>
      </c>
      <c r="F168" s="139" t="s">
        <v>211</v>
      </c>
      <c r="G168" s="139" t="s">
        <v>175</v>
      </c>
      <c r="H168" s="139" t="s">
        <v>215</v>
      </c>
      <c r="I168" s="139"/>
      <c r="J168" s="139" t="s">
        <v>144</v>
      </c>
      <c r="K168" s="140" t="s">
        <v>29</v>
      </c>
      <c r="L168" s="140" t="s">
        <v>216</v>
      </c>
      <c r="M168" s="141">
        <v>180000000</v>
      </c>
      <c r="N168" s="142">
        <v>0</v>
      </c>
      <c r="O168" s="142">
        <v>0</v>
      </c>
      <c r="P168" s="141">
        <v>1000000000</v>
      </c>
      <c r="Q168" s="142">
        <v>0</v>
      </c>
      <c r="R168" s="142">
        <v>0</v>
      </c>
      <c r="S168" s="141">
        <v>1180000000</v>
      </c>
      <c r="T168" s="141">
        <v>0</v>
      </c>
      <c r="U168" s="141">
        <v>1180000000</v>
      </c>
      <c r="V168" s="143">
        <v>0</v>
      </c>
      <c r="W168" s="141">
        <v>0</v>
      </c>
      <c r="X168" s="141">
        <v>0</v>
      </c>
      <c r="Y168" s="143">
        <v>0</v>
      </c>
      <c r="Z168" s="141">
        <v>0</v>
      </c>
      <c r="AA168" s="141">
        <v>0</v>
      </c>
      <c r="AB168" s="724">
        <v>0</v>
      </c>
    </row>
    <row r="169" spans="1:28" ht="24.95" customHeight="1">
      <c r="A169" s="32" t="e">
        <v>#REF!</v>
      </c>
      <c r="B169" s="144" t="s">
        <v>528</v>
      </c>
      <c r="C169" s="145" t="s">
        <v>167</v>
      </c>
      <c r="D169" s="145" t="s">
        <v>190</v>
      </c>
      <c r="E169" s="145" t="s">
        <v>172</v>
      </c>
      <c r="F169" s="145" t="s">
        <v>211</v>
      </c>
      <c r="G169" s="145" t="s">
        <v>175</v>
      </c>
      <c r="H169" s="145" t="s">
        <v>215</v>
      </c>
      <c r="I169" s="145" t="s">
        <v>54</v>
      </c>
      <c r="J169" s="145">
        <v>13</v>
      </c>
      <c r="K169" s="146" t="s">
        <v>29</v>
      </c>
      <c r="L169" s="147" t="s">
        <v>178</v>
      </c>
      <c r="M169" s="148">
        <v>180000000</v>
      </c>
      <c r="N169" s="148"/>
      <c r="O169" s="148"/>
      <c r="P169" s="148">
        <v>1000000000</v>
      </c>
      <c r="Q169" s="149">
        <v>0</v>
      </c>
      <c r="R169" s="148">
        <v>0</v>
      </c>
      <c r="S169" s="148">
        <v>1180000000</v>
      </c>
      <c r="T169" s="148">
        <v>0</v>
      </c>
      <c r="U169" s="148">
        <v>1180000000</v>
      </c>
      <c r="V169" s="150">
        <v>0</v>
      </c>
      <c r="W169" s="148">
        <v>0</v>
      </c>
      <c r="X169" s="148">
        <v>0</v>
      </c>
      <c r="Y169" s="150">
        <v>0</v>
      </c>
      <c r="Z169" s="148">
        <v>0</v>
      </c>
      <c r="AA169" s="148">
        <v>0</v>
      </c>
      <c r="AB169" s="150">
        <v>0</v>
      </c>
    </row>
    <row r="170" spans="1:28" ht="49.5" customHeight="1">
      <c r="A170" s="32" t="e">
        <v>#REF!</v>
      </c>
      <c r="B170" s="132" t="s">
        <v>530</v>
      </c>
      <c r="C170" s="133" t="s">
        <v>167</v>
      </c>
      <c r="D170" s="133" t="s">
        <v>190</v>
      </c>
      <c r="E170" s="133" t="s">
        <v>172</v>
      </c>
      <c r="F170" s="133" t="s">
        <v>217</v>
      </c>
      <c r="G170" s="133"/>
      <c r="H170" s="133"/>
      <c r="I170" s="133"/>
      <c r="J170" s="133"/>
      <c r="K170" s="134"/>
      <c r="L170" s="134" t="s">
        <v>267</v>
      </c>
      <c r="M170" s="135">
        <v>20000000000</v>
      </c>
      <c r="N170" s="136">
        <v>0</v>
      </c>
      <c r="O170" s="136">
        <v>0</v>
      </c>
      <c r="P170" s="136">
        <v>0</v>
      </c>
      <c r="Q170" s="136">
        <v>0</v>
      </c>
      <c r="R170" s="136">
        <v>0</v>
      </c>
      <c r="S170" s="135">
        <v>20000000000</v>
      </c>
      <c r="T170" s="135">
        <v>2209914591</v>
      </c>
      <c r="U170" s="135">
        <v>17790085409</v>
      </c>
      <c r="V170" s="137">
        <v>0.11049572955</v>
      </c>
      <c r="W170" s="135">
        <v>216960808</v>
      </c>
      <c r="X170" s="135">
        <v>1992953783</v>
      </c>
      <c r="Y170" s="137">
        <v>0.90182389451448264</v>
      </c>
      <c r="Z170" s="135">
        <v>216960808</v>
      </c>
      <c r="AA170" s="135">
        <v>0</v>
      </c>
      <c r="AB170" s="723">
        <v>9.8176105485517376E-2</v>
      </c>
    </row>
    <row r="171" spans="1:28" ht="32.25" customHeight="1">
      <c r="A171" s="32" t="e">
        <v>#REF!</v>
      </c>
      <c r="B171" s="138" t="s">
        <v>531</v>
      </c>
      <c r="C171" s="139" t="s">
        <v>167</v>
      </c>
      <c r="D171" s="139" t="s">
        <v>190</v>
      </c>
      <c r="E171" s="139" t="s">
        <v>172</v>
      </c>
      <c r="F171" s="139" t="s">
        <v>217</v>
      </c>
      <c r="G171" s="139" t="s">
        <v>175</v>
      </c>
      <c r="H171" s="139" t="s">
        <v>219</v>
      </c>
      <c r="I171" s="139"/>
      <c r="J171" s="139">
        <v>11</v>
      </c>
      <c r="K171" s="140" t="s">
        <v>29</v>
      </c>
      <c r="L171" s="140" t="s">
        <v>220</v>
      </c>
      <c r="M171" s="141">
        <v>4242894515</v>
      </c>
      <c r="N171" s="142">
        <v>0</v>
      </c>
      <c r="O171" s="142">
        <v>0</v>
      </c>
      <c r="P171" s="142">
        <v>0</v>
      </c>
      <c r="Q171" s="142">
        <v>0</v>
      </c>
      <c r="R171" s="142">
        <v>0</v>
      </c>
      <c r="S171" s="141">
        <v>4242894515</v>
      </c>
      <c r="T171" s="141">
        <v>1009914591</v>
      </c>
      <c r="U171" s="141">
        <v>3232979924</v>
      </c>
      <c r="V171" s="143">
        <v>0.23802491139707252</v>
      </c>
      <c r="W171" s="141">
        <v>216960808</v>
      </c>
      <c r="X171" s="142">
        <v>792953783</v>
      </c>
      <c r="Y171" s="143">
        <v>0.78516915199218074</v>
      </c>
      <c r="Z171" s="141">
        <v>216960808</v>
      </c>
      <c r="AA171" s="141">
        <v>0</v>
      </c>
      <c r="AB171" s="724">
        <v>0.21483084800781932</v>
      </c>
    </row>
    <row r="172" spans="1:28" ht="24.95" customHeight="1">
      <c r="A172" s="32" t="e">
        <v>#REF!</v>
      </c>
      <c r="B172" s="144" t="s">
        <v>532</v>
      </c>
      <c r="C172" s="145" t="s">
        <v>167</v>
      </c>
      <c r="D172" s="145" t="s">
        <v>190</v>
      </c>
      <c r="E172" s="145" t="s">
        <v>172</v>
      </c>
      <c r="F172" s="145" t="s">
        <v>217</v>
      </c>
      <c r="G172" s="145" t="s">
        <v>175</v>
      </c>
      <c r="H172" s="145" t="s">
        <v>219</v>
      </c>
      <c r="I172" s="145" t="s">
        <v>54</v>
      </c>
      <c r="J172" s="145">
        <v>13</v>
      </c>
      <c r="K172" s="146" t="s">
        <v>29</v>
      </c>
      <c r="L172" s="147" t="s">
        <v>178</v>
      </c>
      <c r="M172" s="148">
        <v>4242894515</v>
      </c>
      <c r="N172" s="148"/>
      <c r="O172" s="148"/>
      <c r="P172" s="148"/>
      <c r="Q172" s="148">
        <v>0</v>
      </c>
      <c r="R172" s="148">
        <v>0</v>
      </c>
      <c r="S172" s="148">
        <v>4242894515</v>
      </c>
      <c r="T172" s="148">
        <v>1009914591</v>
      </c>
      <c r="U172" s="148">
        <v>3232979924</v>
      </c>
      <c r="V172" s="150">
        <v>0.23802491139707252</v>
      </c>
      <c r="W172" s="148">
        <v>216960808</v>
      </c>
      <c r="X172" s="148">
        <v>792953783</v>
      </c>
      <c r="Y172" s="150">
        <v>0.78516915199218074</v>
      </c>
      <c r="Z172" s="148">
        <v>216960808</v>
      </c>
      <c r="AA172" s="148">
        <v>0</v>
      </c>
      <c r="AB172" s="150">
        <v>0.21483084800781932</v>
      </c>
    </row>
    <row r="173" spans="1:28" ht="32.25" customHeight="1">
      <c r="A173" s="32" t="e">
        <v>#REF!</v>
      </c>
      <c r="B173" s="138" t="s">
        <v>533</v>
      </c>
      <c r="C173" s="139" t="s">
        <v>167</v>
      </c>
      <c r="D173" s="139" t="s">
        <v>190</v>
      </c>
      <c r="E173" s="139" t="s">
        <v>172</v>
      </c>
      <c r="F173" s="139" t="s">
        <v>217</v>
      </c>
      <c r="G173" s="139" t="s">
        <v>175</v>
      </c>
      <c r="H173" s="139" t="s">
        <v>221</v>
      </c>
      <c r="I173" s="139"/>
      <c r="J173" s="139">
        <v>11</v>
      </c>
      <c r="K173" s="140" t="s">
        <v>29</v>
      </c>
      <c r="L173" s="140" t="s">
        <v>222</v>
      </c>
      <c r="M173" s="141">
        <v>15757105485</v>
      </c>
      <c r="N173" s="142">
        <v>0</v>
      </c>
      <c r="O173" s="142">
        <v>0</v>
      </c>
      <c r="P173" s="142">
        <v>0</v>
      </c>
      <c r="Q173" s="142">
        <v>0</v>
      </c>
      <c r="R173" s="142">
        <v>0</v>
      </c>
      <c r="S173" s="141">
        <v>15757105485</v>
      </c>
      <c r="T173" s="141">
        <v>1200000000</v>
      </c>
      <c r="U173" s="141">
        <v>14557105485</v>
      </c>
      <c r="V173" s="143">
        <v>7.6156118973903036E-2</v>
      </c>
      <c r="W173" s="141">
        <v>0</v>
      </c>
      <c r="X173" s="141">
        <v>1200000000</v>
      </c>
      <c r="Y173" s="143">
        <v>1</v>
      </c>
      <c r="Z173" s="141">
        <v>0</v>
      </c>
      <c r="AA173" s="141">
        <v>0</v>
      </c>
      <c r="AB173" s="724">
        <v>0</v>
      </c>
    </row>
    <row r="174" spans="1:28" ht="24.95" customHeight="1">
      <c r="A174" s="32" t="e">
        <v>#REF!</v>
      </c>
      <c r="B174" s="144" t="s">
        <v>534</v>
      </c>
      <c r="C174" s="145" t="s">
        <v>167</v>
      </c>
      <c r="D174" s="145" t="s">
        <v>190</v>
      </c>
      <c r="E174" s="145" t="s">
        <v>172</v>
      </c>
      <c r="F174" s="145" t="s">
        <v>217</v>
      </c>
      <c r="G174" s="145" t="s">
        <v>175</v>
      </c>
      <c r="H174" s="145" t="s">
        <v>221</v>
      </c>
      <c r="I174" s="145" t="s">
        <v>54</v>
      </c>
      <c r="J174" s="145">
        <v>13</v>
      </c>
      <c r="K174" s="146" t="s">
        <v>29</v>
      </c>
      <c r="L174" s="147" t="s">
        <v>178</v>
      </c>
      <c r="M174" s="148">
        <v>15757105485</v>
      </c>
      <c r="N174" s="148"/>
      <c r="O174" s="148"/>
      <c r="P174" s="148"/>
      <c r="Q174" s="148">
        <v>0</v>
      </c>
      <c r="R174" s="148">
        <v>0</v>
      </c>
      <c r="S174" s="148">
        <v>15757105485</v>
      </c>
      <c r="T174" s="148">
        <v>1200000000</v>
      </c>
      <c r="U174" s="148">
        <v>14557105485</v>
      </c>
      <c r="V174" s="150">
        <v>7.6156118973903036E-2</v>
      </c>
      <c r="W174" s="148">
        <v>0</v>
      </c>
      <c r="X174" s="148">
        <v>1200000000</v>
      </c>
      <c r="Y174" s="150">
        <v>1</v>
      </c>
      <c r="Z174" s="148">
        <v>0</v>
      </c>
      <c r="AA174" s="148">
        <v>0</v>
      </c>
      <c r="AB174" s="150">
        <v>0</v>
      </c>
    </row>
    <row r="175" spans="1:28" ht="32.25" hidden="1" customHeight="1">
      <c r="A175" s="32" t="e">
        <v>#REF!</v>
      </c>
      <c r="B175" s="138" t="s">
        <v>536</v>
      </c>
      <c r="C175" s="139" t="s">
        <v>167</v>
      </c>
      <c r="D175" s="139" t="s">
        <v>190</v>
      </c>
      <c r="E175" s="139" t="s">
        <v>172</v>
      </c>
      <c r="F175" s="139" t="s">
        <v>217</v>
      </c>
      <c r="G175" s="139" t="s">
        <v>175</v>
      </c>
      <c r="H175" s="139" t="s">
        <v>223</v>
      </c>
      <c r="I175" s="139"/>
      <c r="J175" s="139">
        <v>11</v>
      </c>
      <c r="K175" s="140" t="s">
        <v>29</v>
      </c>
      <c r="L175" s="140" t="s">
        <v>224</v>
      </c>
      <c r="M175" s="142">
        <v>0</v>
      </c>
      <c r="N175" s="141">
        <v>0</v>
      </c>
      <c r="O175" s="141">
        <v>0</v>
      </c>
      <c r="P175" s="141">
        <v>0</v>
      </c>
      <c r="Q175" s="142">
        <v>0</v>
      </c>
      <c r="R175" s="142">
        <v>0</v>
      </c>
      <c r="S175" s="141">
        <v>0</v>
      </c>
      <c r="T175" s="141">
        <v>0</v>
      </c>
      <c r="U175" s="141">
        <v>0</v>
      </c>
      <c r="V175" s="143">
        <v>0</v>
      </c>
      <c r="W175" s="141">
        <v>0</v>
      </c>
      <c r="X175" s="141">
        <v>0</v>
      </c>
      <c r="Y175" s="143">
        <v>0</v>
      </c>
      <c r="Z175" s="141">
        <v>0</v>
      </c>
      <c r="AA175" s="141">
        <v>0</v>
      </c>
      <c r="AB175" s="724">
        <v>0</v>
      </c>
    </row>
    <row r="176" spans="1:28" ht="24.95" hidden="1" customHeight="1">
      <c r="A176" s="32" t="e">
        <v>#REF!</v>
      </c>
      <c r="B176" s="144" t="s">
        <v>537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223</v>
      </c>
      <c r="I176" s="145" t="s">
        <v>54</v>
      </c>
      <c r="J176" s="145">
        <v>11</v>
      </c>
      <c r="K176" s="146" t="s">
        <v>29</v>
      </c>
      <c r="L176" s="147" t="s">
        <v>178</v>
      </c>
      <c r="M176" s="148"/>
      <c r="N176" s="148"/>
      <c r="O176" s="148"/>
      <c r="P176" s="148"/>
      <c r="Q176" s="148"/>
      <c r="R176" s="148"/>
      <c r="S176" s="148">
        <v>0</v>
      </c>
      <c r="T176" s="148"/>
      <c r="U176" s="148">
        <v>0</v>
      </c>
      <c r="V176" s="150">
        <v>0</v>
      </c>
      <c r="W176" s="148"/>
      <c r="X176" s="148">
        <v>0</v>
      </c>
      <c r="Y176" s="150">
        <v>0</v>
      </c>
      <c r="Z176" s="148"/>
      <c r="AA176" s="148">
        <v>0</v>
      </c>
      <c r="AB176" s="150">
        <v>0</v>
      </c>
    </row>
    <row r="177" spans="1:28" ht="24.95" hidden="1" customHeight="1">
      <c r="A177" s="32" t="e">
        <v>#REF!</v>
      </c>
      <c r="B177" s="144" t="s">
        <v>539</v>
      </c>
      <c r="C177" s="145" t="s">
        <v>167</v>
      </c>
      <c r="D177" s="145" t="s">
        <v>190</v>
      </c>
      <c r="E177" s="145" t="s">
        <v>172</v>
      </c>
      <c r="F177" s="145" t="s">
        <v>217</v>
      </c>
      <c r="G177" s="145" t="s">
        <v>175</v>
      </c>
      <c r="H177" s="145" t="s">
        <v>223</v>
      </c>
      <c r="I177" s="145" t="s">
        <v>65</v>
      </c>
      <c r="J177" s="145">
        <v>11</v>
      </c>
      <c r="K177" s="146" t="s">
        <v>29</v>
      </c>
      <c r="L177" s="147" t="s">
        <v>127</v>
      </c>
      <c r="M177" s="148"/>
      <c r="N177" s="148"/>
      <c r="O177" s="148"/>
      <c r="P177" s="148"/>
      <c r="Q177" s="148"/>
      <c r="R177" s="148"/>
      <c r="S177" s="148">
        <v>0</v>
      </c>
      <c r="T177" s="148"/>
      <c r="U177" s="148">
        <v>0</v>
      </c>
      <c r="V177" s="150">
        <v>0</v>
      </c>
      <c r="W177" s="148"/>
      <c r="X177" s="148">
        <v>0</v>
      </c>
      <c r="Y177" s="150">
        <v>0</v>
      </c>
      <c r="Z177" s="148"/>
      <c r="AA177" s="148">
        <v>0</v>
      </c>
      <c r="AB177" s="150">
        <v>0</v>
      </c>
    </row>
    <row r="178" spans="1:28" ht="32.25" hidden="1" customHeight="1">
      <c r="A178" s="32" t="e">
        <v>#REF!</v>
      </c>
      <c r="B178" s="138" t="s">
        <v>540</v>
      </c>
      <c r="C178" s="139" t="s">
        <v>167</v>
      </c>
      <c r="D178" s="139" t="s">
        <v>190</v>
      </c>
      <c r="E178" s="139" t="s">
        <v>172</v>
      </c>
      <c r="F178" s="139" t="s">
        <v>217</v>
      </c>
      <c r="G178" s="139" t="s">
        <v>175</v>
      </c>
      <c r="H178" s="139" t="s">
        <v>225</v>
      </c>
      <c r="I178" s="139"/>
      <c r="J178" s="139">
        <v>11</v>
      </c>
      <c r="K178" s="140" t="s">
        <v>29</v>
      </c>
      <c r="L178" s="140" t="s">
        <v>226</v>
      </c>
      <c r="M178" s="142">
        <v>0</v>
      </c>
      <c r="N178" s="142">
        <v>0</v>
      </c>
      <c r="O178" s="142">
        <v>0</v>
      </c>
      <c r="P178" s="141">
        <v>0</v>
      </c>
      <c r="Q178" s="142">
        <v>0</v>
      </c>
      <c r="R178" s="142">
        <v>0</v>
      </c>
      <c r="S178" s="141">
        <v>0</v>
      </c>
      <c r="T178" s="141">
        <v>0</v>
      </c>
      <c r="U178" s="141">
        <v>0</v>
      </c>
      <c r="V178" s="143">
        <v>0</v>
      </c>
      <c r="W178" s="141">
        <v>0</v>
      </c>
      <c r="X178" s="142">
        <v>0</v>
      </c>
      <c r="Y178" s="143">
        <v>0</v>
      </c>
      <c r="Z178" s="141">
        <v>0</v>
      </c>
      <c r="AA178" s="141">
        <v>0</v>
      </c>
      <c r="AB178" s="724">
        <v>0</v>
      </c>
    </row>
    <row r="179" spans="1:28" ht="24.95" hidden="1" customHeight="1">
      <c r="A179" s="32" t="e">
        <v>#REF!</v>
      </c>
      <c r="B179" s="144" t="s">
        <v>541</v>
      </c>
      <c r="C179" s="145" t="s">
        <v>167</v>
      </c>
      <c r="D179" s="145" t="s">
        <v>190</v>
      </c>
      <c r="E179" s="145" t="s">
        <v>172</v>
      </c>
      <c r="F179" s="145" t="s">
        <v>217</v>
      </c>
      <c r="G179" s="145" t="s">
        <v>175</v>
      </c>
      <c r="H179" s="145" t="s">
        <v>225</v>
      </c>
      <c r="I179" s="145" t="s">
        <v>54</v>
      </c>
      <c r="J179" s="145">
        <v>11</v>
      </c>
      <c r="K179" s="146" t="s">
        <v>29</v>
      </c>
      <c r="L179" s="147" t="s">
        <v>178</v>
      </c>
      <c r="M179" s="148"/>
      <c r="N179" s="148"/>
      <c r="O179" s="148"/>
      <c r="P179" s="148"/>
      <c r="Q179" s="148"/>
      <c r="R179" s="148"/>
      <c r="S179" s="148">
        <v>0</v>
      </c>
      <c r="T179" s="148"/>
      <c r="U179" s="148">
        <v>0</v>
      </c>
      <c r="V179" s="150">
        <v>0</v>
      </c>
      <c r="W179" s="148"/>
      <c r="X179" s="148">
        <v>0</v>
      </c>
      <c r="Y179" s="150">
        <v>0</v>
      </c>
      <c r="Z179" s="148"/>
      <c r="AA179" s="148">
        <v>0</v>
      </c>
      <c r="AB179" s="150">
        <v>0</v>
      </c>
    </row>
    <row r="180" spans="1:28" ht="41.25" customHeight="1">
      <c r="A180" s="32" t="e">
        <v>#REF!</v>
      </c>
      <c r="B180" s="132" t="s">
        <v>664</v>
      </c>
      <c r="C180" s="133" t="s">
        <v>167</v>
      </c>
      <c r="D180" s="133" t="s">
        <v>190</v>
      </c>
      <c r="E180" s="133" t="s">
        <v>172</v>
      </c>
      <c r="F180" s="133">
        <v>19</v>
      </c>
      <c r="G180" s="133"/>
      <c r="H180" s="133"/>
      <c r="I180" s="133"/>
      <c r="J180" s="133"/>
      <c r="K180" s="134"/>
      <c r="L180" s="134" t="s">
        <v>270</v>
      </c>
      <c r="M180" s="135">
        <v>12800000000</v>
      </c>
      <c r="N180" s="135">
        <v>5269349000</v>
      </c>
      <c r="O180" s="135">
        <v>0</v>
      </c>
      <c r="P180" s="135">
        <v>0</v>
      </c>
      <c r="Q180" s="135">
        <v>0</v>
      </c>
      <c r="R180" s="135">
        <v>0</v>
      </c>
      <c r="S180" s="135">
        <v>18069349000</v>
      </c>
      <c r="T180" s="135">
        <v>12339311265.290001</v>
      </c>
      <c r="U180" s="135">
        <v>5730037734.7099991</v>
      </c>
      <c r="V180" s="137">
        <v>0.68288632121112947</v>
      </c>
      <c r="W180" s="135">
        <v>1542534363.5999999</v>
      </c>
      <c r="X180" s="135">
        <v>10796776901.690001</v>
      </c>
      <c r="Y180" s="137">
        <v>0.87499023807438192</v>
      </c>
      <c r="Z180" s="135">
        <v>1457533883.5999999</v>
      </c>
      <c r="AA180" s="135">
        <v>85000480</v>
      </c>
      <c r="AB180" s="723">
        <v>0.11812116999592884</v>
      </c>
    </row>
    <row r="181" spans="1:28" ht="32.25" customHeight="1">
      <c r="A181" s="32" t="e">
        <v>#REF!</v>
      </c>
      <c r="B181" s="138" t="s">
        <v>666</v>
      </c>
      <c r="C181" s="139" t="s">
        <v>167</v>
      </c>
      <c r="D181" s="139" t="s">
        <v>190</v>
      </c>
      <c r="E181" s="139" t="s">
        <v>172</v>
      </c>
      <c r="F181" s="139">
        <v>19</v>
      </c>
      <c r="G181" s="139" t="s">
        <v>175</v>
      </c>
      <c r="H181" s="139">
        <v>4103049</v>
      </c>
      <c r="I181" s="139"/>
      <c r="J181" s="139">
        <v>13</v>
      </c>
      <c r="K181" s="140" t="s">
        <v>29</v>
      </c>
      <c r="L181" s="140" t="s">
        <v>228</v>
      </c>
      <c r="M181" s="141">
        <v>321785352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1">
        <v>321785352</v>
      </c>
      <c r="T181" s="141">
        <v>283749332</v>
      </c>
      <c r="U181" s="141">
        <v>38036020</v>
      </c>
      <c r="V181" s="143">
        <v>0.88179691908412283</v>
      </c>
      <c r="W181" s="141">
        <v>95405239</v>
      </c>
      <c r="X181" s="141">
        <v>188344093</v>
      </c>
      <c r="Y181" s="143">
        <v>0.66376929127008477</v>
      </c>
      <c r="Z181" s="141">
        <v>95405239</v>
      </c>
      <c r="AA181" s="141">
        <v>0</v>
      </c>
      <c r="AB181" s="724">
        <v>0.33623070872991517</v>
      </c>
    </row>
    <row r="182" spans="1:28" ht="24.95" customHeight="1">
      <c r="A182" s="32" t="e">
        <v>#REF!</v>
      </c>
      <c r="B182" s="144" t="s">
        <v>668</v>
      </c>
      <c r="C182" s="145" t="s">
        <v>167</v>
      </c>
      <c r="D182" s="145" t="s">
        <v>190</v>
      </c>
      <c r="E182" s="145" t="s">
        <v>172</v>
      </c>
      <c r="F182" s="145">
        <v>19</v>
      </c>
      <c r="G182" s="145" t="s">
        <v>175</v>
      </c>
      <c r="H182" s="145">
        <v>4103049</v>
      </c>
      <c r="I182" s="145" t="s">
        <v>54</v>
      </c>
      <c r="J182" s="145">
        <v>13</v>
      </c>
      <c r="K182" s="146" t="s">
        <v>29</v>
      </c>
      <c r="L182" s="147" t="s">
        <v>178</v>
      </c>
      <c r="M182" s="148">
        <v>321785352</v>
      </c>
      <c r="N182" s="148"/>
      <c r="O182" s="148"/>
      <c r="P182" s="148"/>
      <c r="Q182" s="148">
        <v>0</v>
      </c>
      <c r="R182" s="148">
        <v>0</v>
      </c>
      <c r="S182" s="148">
        <v>321785352</v>
      </c>
      <c r="T182" s="148">
        <v>283749332</v>
      </c>
      <c r="U182" s="148">
        <v>38036020</v>
      </c>
      <c r="V182" s="150">
        <v>0.88179691908412283</v>
      </c>
      <c r="W182" s="148">
        <v>95405239</v>
      </c>
      <c r="X182" s="148">
        <v>188344093</v>
      </c>
      <c r="Y182" s="150">
        <v>0.66376929127008477</v>
      </c>
      <c r="Z182" s="148">
        <v>95405239</v>
      </c>
      <c r="AA182" s="148">
        <v>0</v>
      </c>
      <c r="AB182" s="150">
        <v>0.33623070872991517</v>
      </c>
    </row>
    <row r="183" spans="1:28" ht="32.25" customHeight="1">
      <c r="A183" s="32" t="e">
        <v>#REF!</v>
      </c>
      <c r="B183" s="138" t="s">
        <v>670</v>
      </c>
      <c r="C183" s="139" t="s">
        <v>167</v>
      </c>
      <c r="D183" s="139" t="s">
        <v>190</v>
      </c>
      <c r="E183" s="139" t="s">
        <v>172</v>
      </c>
      <c r="F183" s="139">
        <v>19</v>
      </c>
      <c r="G183" s="139" t="s">
        <v>175</v>
      </c>
      <c r="H183" s="139">
        <v>4103052</v>
      </c>
      <c r="I183" s="139"/>
      <c r="J183" s="139">
        <v>13</v>
      </c>
      <c r="K183" s="140" t="s">
        <v>29</v>
      </c>
      <c r="L183" s="140" t="s">
        <v>229</v>
      </c>
      <c r="M183" s="141">
        <v>12478214648</v>
      </c>
      <c r="N183" s="142">
        <v>0</v>
      </c>
      <c r="O183" s="142">
        <v>0</v>
      </c>
      <c r="P183" s="142">
        <v>0</v>
      </c>
      <c r="Q183" s="142">
        <v>0</v>
      </c>
      <c r="R183" s="142">
        <v>0</v>
      </c>
      <c r="S183" s="141">
        <v>12478214648</v>
      </c>
      <c r="T183" s="141">
        <v>12055561933.290001</v>
      </c>
      <c r="U183" s="141">
        <v>422652714.70999908</v>
      </c>
      <c r="V183" s="143">
        <v>0.96612875105672735</v>
      </c>
      <c r="W183" s="141">
        <v>1447129124.5999999</v>
      </c>
      <c r="X183" s="141">
        <v>10608432808.690001</v>
      </c>
      <c r="Y183" s="143">
        <v>0.87996170293780118</v>
      </c>
      <c r="Z183" s="141">
        <v>1362128644.5999999</v>
      </c>
      <c r="AA183" s="141">
        <v>85000480</v>
      </c>
      <c r="AB183" s="724">
        <v>0.11298756973232775</v>
      </c>
    </row>
    <row r="184" spans="1:28" ht="24.95" customHeight="1">
      <c r="A184" s="32" t="e">
        <v>#REF!</v>
      </c>
      <c r="B184" s="144" t="s">
        <v>672</v>
      </c>
      <c r="C184" s="145" t="s">
        <v>167</v>
      </c>
      <c r="D184" s="145" t="s">
        <v>190</v>
      </c>
      <c r="E184" s="145" t="s">
        <v>172</v>
      </c>
      <c r="F184" s="145">
        <v>19</v>
      </c>
      <c r="G184" s="145" t="s">
        <v>175</v>
      </c>
      <c r="H184" s="145">
        <v>4103052</v>
      </c>
      <c r="I184" s="145" t="s">
        <v>54</v>
      </c>
      <c r="J184" s="145">
        <v>13</v>
      </c>
      <c r="K184" s="146" t="s">
        <v>29</v>
      </c>
      <c r="L184" s="147" t="s">
        <v>178</v>
      </c>
      <c r="M184" s="148">
        <v>12478214648</v>
      </c>
      <c r="N184" s="148"/>
      <c r="O184" s="148"/>
      <c r="P184" s="148"/>
      <c r="Q184" s="148">
        <v>0</v>
      </c>
      <c r="R184" s="148">
        <v>0</v>
      </c>
      <c r="S184" s="148">
        <v>12478214648</v>
      </c>
      <c r="T184" s="148">
        <v>12055561933.290001</v>
      </c>
      <c r="U184" s="148">
        <v>422652714.70999908</v>
      </c>
      <c r="V184" s="150">
        <v>0.96612875105672735</v>
      </c>
      <c r="W184" s="148">
        <v>1447129124.5999999</v>
      </c>
      <c r="X184" s="148">
        <v>10608432808.690001</v>
      </c>
      <c r="Y184" s="150">
        <v>0.87996170293780118</v>
      </c>
      <c r="Z184" s="148">
        <v>1362128644.5999999</v>
      </c>
      <c r="AA184" s="148">
        <v>85000480</v>
      </c>
      <c r="AB184" s="150">
        <v>0.11298756973232775</v>
      </c>
    </row>
    <row r="185" spans="1:28" ht="32.25" customHeight="1">
      <c r="A185" s="32" t="e">
        <v>#REF!</v>
      </c>
      <c r="B185" s="138" t="s">
        <v>930</v>
      </c>
      <c r="C185" s="139" t="s">
        <v>167</v>
      </c>
      <c r="D185" s="139" t="s">
        <v>190</v>
      </c>
      <c r="E185" s="139" t="s">
        <v>172</v>
      </c>
      <c r="F185" s="139">
        <v>19</v>
      </c>
      <c r="G185" s="139"/>
      <c r="H185" s="139"/>
      <c r="I185" s="139"/>
      <c r="J185" s="139">
        <v>15</v>
      </c>
      <c r="K185" s="140" t="s">
        <v>29</v>
      </c>
      <c r="L185" s="140" t="s">
        <v>857</v>
      </c>
      <c r="M185" s="141">
        <v>0</v>
      </c>
      <c r="N185" s="141">
        <v>5269349000</v>
      </c>
      <c r="O185" s="142">
        <v>0</v>
      </c>
      <c r="P185" s="142">
        <v>0</v>
      </c>
      <c r="Q185" s="142">
        <v>0</v>
      </c>
      <c r="R185" s="142">
        <v>0</v>
      </c>
      <c r="S185" s="141">
        <v>5269349000</v>
      </c>
      <c r="T185" s="141">
        <v>0</v>
      </c>
      <c r="U185" s="141">
        <v>5269349000</v>
      </c>
      <c r="V185" s="143">
        <v>0</v>
      </c>
      <c r="W185" s="141">
        <v>0</v>
      </c>
      <c r="X185" s="141">
        <v>0</v>
      </c>
      <c r="Y185" s="143">
        <v>0</v>
      </c>
      <c r="Z185" s="141">
        <v>0</v>
      </c>
      <c r="AA185" s="141">
        <v>0</v>
      </c>
      <c r="AB185" s="724">
        <v>0</v>
      </c>
    </row>
    <row r="186" spans="1:28" ht="24.95" customHeight="1">
      <c r="A186" s="32" t="e">
        <v>#REF!</v>
      </c>
      <c r="B186" s="144" t="s">
        <v>931</v>
      </c>
      <c r="C186" s="145" t="s">
        <v>167</v>
      </c>
      <c r="D186" s="145" t="s">
        <v>190</v>
      </c>
      <c r="E186" s="145" t="s">
        <v>172</v>
      </c>
      <c r="F186" s="145">
        <v>19</v>
      </c>
      <c r="G186" s="145"/>
      <c r="H186" s="145"/>
      <c r="I186" s="145"/>
      <c r="J186" s="145">
        <v>15</v>
      </c>
      <c r="K186" s="146" t="s">
        <v>29</v>
      </c>
      <c r="L186" s="147" t="s">
        <v>857</v>
      </c>
      <c r="M186" s="148"/>
      <c r="N186" s="148">
        <v>5269349000</v>
      </c>
      <c r="O186" s="148"/>
      <c r="P186" s="148"/>
      <c r="Q186" s="148">
        <v>0</v>
      </c>
      <c r="R186" s="148">
        <v>0</v>
      </c>
      <c r="S186" s="148">
        <v>5269349000</v>
      </c>
      <c r="T186" s="148">
        <v>0</v>
      </c>
      <c r="U186" s="148">
        <v>5269349000</v>
      </c>
      <c r="V186" s="150">
        <v>0</v>
      </c>
      <c r="W186" s="148"/>
      <c r="X186" s="148">
        <v>0</v>
      </c>
      <c r="Y186" s="150">
        <v>0</v>
      </c>
      <c r="Z186" s="148"/>
      <c r="AA186" s="148">
        <v>0</v>
      </c>
      <c r="AB186" s="150">
        <v>0</v>
      </c>
    </row>
    <row r="187" spans="1:28" ht="49.5" customHeight="1">
      <c r="A187" s="32" t="e">
        <v>#REF!</v>
      </c>
      <c r="B187" s="132" t="s">
        <v>678</v>
      </c>
      <c r="C187" s="133" t="s">
        <v>167</v>
      </c>
      <c r="D187" s="133" t="s">
        <v>190</v>
      </c>
      <c r="E187" s="133" t="s">
        <v>172</v>
      </c>
      <c r="F187" s="133">
        <v>20</v>
      </c>
      <c r="G187" s="133"/>
      <c r="H187" s="133"/>
      <c r="I187" s="133"/>
      <c r="J187" s="133"/>
      <c r="K187" s="134"/>
      <c r="L187" s="134" t="s">
        <v>271</v>
      </c>
      <c r="M187" s="135">
        <v>839954000000</v>
      </c>
      <c r="N187" s="136">
        <v>0</v>
      </c>
      <c r="O187" s="136">
        <v>0</v>
      </c>
      <c r="P187" s="135">
        <v>185554780.13999999</v>
      </c>
      <c r="Q187" s="135">
        <v>185554780.13999999</v>
      </c>
      <c r="R187" s="136">
        <v>0</v>
      </c>
      <c r="S187" s="135">
        <v>839954000000</v>
      </c>
      <c r="T187" s="135">
        <v>345870265347.32001</v>
      </c>
      <c r="U187" s="135">
        <v>494083734652.67999</v>
      </c>
      <c r="V187" s="137">
        <v>0.41177286535610286</v>
      </c>
      <c r="W187" s="135">
        <v>318803986684.52002</v>
      </c>
      <c r="X187" s="135">
        <v>27066278662.799999</v>
      </c>
      <c r="Y187" s="137">
        <v>7.8255581281670081E-2</v>
      </c>
      <c r="Z187" s="135">
        <v>318796053051.52002</v>
      </c>
      <c r="AA187" s="135">
        <v>7933633</v>
      </c>
      <c r="AB187" s="723">
        <v>0.9217214805423869</v>
      </c>
    </row>
    <row r="188" spans="1:28" ht="32.25" customHeight="1">
      <c r="A188" s="32" t="e">
        <v>#REF!</v>
      </c>
      <c r="B188" s="138" t="s">
        <v>680</v>
      </c>
      <c r="C188" s="139" t="s">
        <v>167</v>
      </c>
      <c r="D188" s="139" t="s">
        <v>190</v>
      </c>
      <c r="E188" s="139" t="s">
        <v>172</v>
      </c>
      <c r="F188" s="139">
        <v>20</v>
      </c>
      <c r="G188" s="139" t="s">
        <v>175</v>
      </c>
      <c r="H188" s="139">
        <v>4103061</v>
      </c>
      <c r="I188" s="139"/>
      <c r="J188" s="139">
        <v>11</v>
      </c>
      <c r="K188" s="140" t="s">
        <v>29</v>
      </c>
      <c r="L188" s="140" t="s">
        <v>231</v>
      </c>
      <c r="M188" s="141">
        <v>839954000000</v>
      </c>
      <c r="N188" s="142">
        <v>0</v>
      </c>
      <c r="O188" s="142">
        <v>0</v>
      </c>
      <c r="P188" s="141">
        <v>185554780.13999999</v>
      </c>
      <c r="Q188" s="141">
        <v>185554780.13999999</v>
      </c>
      <c r="R188" s="142">
        <v>0</v>
      </c>
      <c r="S188" s="141">
        <v>839954000000</v>
      </c>
      <c r="T188" s="141">
        <v>345870265347.32001</v>
      </c>
      <c r="U188" s="141">
        <v>494083734652.67999</v>
      </c>
      <c r="V188" s="143">
        <v>0.41177286535610286</v>
      </c>
      <c r="W188" s="141">
        <v>318803986684.52002</v>
      </c>
      <c r="X188" s="141">
        <v>27066278662.799999</v>
      </c>
      <c r="Y188" s="143">
        <v>7.8255581281670081E-2</v>
      </c>
      <c r="Z188" s="141">
        <v>318796053051.52002</v>
      </c>
      <c r="AA188" s="141">
        <v>7933633</v>
      </c>
      <c r="AB188" s="724">
        <v>0.9217214805423869</v>
      </c>
    </row>
    <row r="189" spans="1:28" ht="24.95" customHeight="1">
      <c r="A189" s="32" t="e">
        <v>#REF!</v>
      </c>
      <c r="B189" s="144" t="s">
        <v>682</v>
      </c>
      <c r="C189" s="145" t="s">
        <v>167</v>
      </c>
      <c r="D189" s="145" t="s">
        <v>190</v>
      </c>
      <c r="E189" s="145" t="s">
        <v>172</v>
      </c>
      <c r="F189" s="145">
        <v>20</v>
      </c>
      <c r="G189" s="145" t="s">
        <v>175</v>
      </c>
      <c r="H189" s="145">
        <v>4103061</v>
      </c>
      <c r="I189" s="145" t="s">
        <v>54</v>
      </c>
      <c r="J189" s="145">
        <v>11</v>
      </c>
      <c r="K189" s="146" t="s">
        <v>29</v>
      </c>
      <c r="L189" s="147" t="s">
        <v>178</v>
      </c>
      <c r="M189" s="148">
        <v>34318600300</v>
      </c>
      <c r="N189" s="148"/>
      <c r="O189" s="148"/>
      <c r="P189" s="148">
        <v>185554780.13999999</v>
      </c>
      <c r="Q189" s="148">
        <v>0</v>
      </c>
      <c r="R189" s="148">
        <v>0</v>
      </c>
      <c r="S189" s="148">
        <v>34504155080.139999</v>
      </c>
      <c r="T189" s="148">
        <v>25870265347.32</v>
      </c>
      <c r="U189" s="148">
        <v>8633889732.8199997</v>
      </c>
      <c r="V189" s="150">
        <v>0.74977246326517011</v>
      </c>
      <c r="W189" s="148">
        <v>405234684.51999998</v>
      </c>
      <c r="X189" s="148">
        <v>25465030662.799999</v>
      </c>
      <c r="Y189" s="150">
        <v>0.98433588990760079</v>
      </c>
      <c r="Z189" s="148">
        <v>397301051.51999998</v>
      </c>
      <c r="AA189" s="148">
        <v>7933633</v>
      </c>
      <c r="AB189" s="150">
        <v>1.5357440141647326E-2</v>
      </c>
    </row>
    <row r="190" spans="1:28" ht="24.95" customHeight="1">
      <c r="A190" s="32" t="e">
        <v>#REF!</v>
      </c>
      <c r="B190" s="144" t="s">
        <v>684</v>
      </c>
      <c r="C190" s="145" t="s">
        <v>167</v>
      </c>
      <c r="D190" s="145" t="s">
        <v>190</v>
      </c>
      <c r="E190" s="145" t="s">
        <v>172</v>
      </c>
      <c r="F190" s="145">
        <v>20</v>
      </c>
      <c r="G190" s="145" t="s">
        <v>175</v>
      </c>
      <c r="H190" s="145">
        <v>4103061</v>
      </c>
      <c r="I190" s="145" t="s">
        <v>65</v>
      </c>
      <c r="J190" s="145">
        <v>11</v>
      </c>
      <c r="K190" s="146" t="s">
        <v>29</v>
      </c>
      <c r="L190" s="147" t="s">
        <v>127</v>
      </c>
      <c r="M190" s="148">
        <v>318915399700</v>
      </c>
      <c r="N190" s="148"/>
      <c r="O190" s="148"/>
      <c r="P190" s="148"/>
      <c r="Q190" s="148">
        <v>185554780.13999999</v>
      </c>
      <c r="R190" s="148">
        <v>0</v>
      </c>
      <c r="S190" s="148">
        <v>318729844919.85999</v>
      </c>
      <c r="T190" s="148">
        <v>160000000000</v>
      </c>
      <c r="U190" s="148">
        <v>158729844919.85999</v>
      </c>
      <c r="V190" s="150">
        <v>0.50199252611637202</v>
      </c>
      <c r="W190" s="148">
        <v>160000000000</v>
      </c>
      <c r="X190" s="148">
        <v>0</v>
      </c>
      <c r="Y190" s="150">
        <v>0</v>
      </c>
      <c r="Z190" s="148">
        <v>160000000000</v>
      </c>
      <c r="AA190" s="148">
        <v>0</v>
      </c>
      <c r="AB190" s="150">
        <v>1</v>
      </c>
    </row>
    <row r="191" spans="1:28" ht="24.95" customHeight="1">
      <c r="A191" s="32" t="e">
        <v>#REF!</v>
      </c>
      <c r="B191" s="144" t="s">
        <v>684</v>
      </c>
      <c r="C191" s="145" t="s">
        <v>167</v>
      </c>
      <c r="D191" s="145" t="s">
        <v>190</v>
      </c>
      <c r="E191" s="145" t="s">
        <v>172</v>
      </c>
      <c r="F191" s="145">
        <v>20</v>
      </c>
      <c r="G191" s="145" t="s">
        <v>175</v>
      </c>
      <c r="H191" s="145">
        <v>4103061</v>
      </c>
      <c r="I191" s="145" t="s">
        <v>65</v>
      </c>
      <c r="J191" s="145">
        <v>13</v>
      </c>
      <c r="K191" s="146" t="s">
        <v>29</v>
      </c>
      <c r="L191" s="147" t="s">
        <v>127</v>
      </c>
      <c r="M191" s="148">
        <v>486720000000</v>
      </c>
      <c r="N191" s="148"/>
      <c r="O191" s="148"/>
      <c r="P191" s="148"/>
      <c r="Q191" s="148">
        <v>0</v>
      </c>
      <c r="R191" s="148">
        <v>0</v>
      </c>
      <c r="S191" s="148">
        <v>486720000000</v>
      </c>
      <c r="T191" s="148">
        <v>160000000000</v>
      </c>
      <c r="U191" s="148">
        <v>326720000000</v>
      </c>
      <c r="V191" s="150">
        <v>0.32873109796186717</v>
      </c>
      <c r="W191" s="148">
        <v>158398752000</v>
      </c>
      <c r="X191" s="148">
        <v>1601248000</v>
      </c>
      <c r="Y191" s="150">
        <v>1.0007800000000001E-2</v>
      </c>
      <c r="Z191" s="148">
        <v>158398752000</v>
      </c>
      <c r="AA191" s="148">
        <v>0</v>
      </c>
      <c r="AB191" s="150">
        <v>0.98999219999999999</v>
      </c>
    </row>
    <row r="192" spans="1:28" ht="42" customHeight="1">
      <c r="A192" s="32" t="e">
        <v>#REF!</v>
      </c>
      <c r="B192" s="132" t="s">
        <v>692</v>
      </c>
      <c r="C192" s="133" t="s">
        <v>167</v>
      </c>
      <c r="D192" s="133">
        <v>4103</v>
      </c>
      <c r="E192" s="133" t="s">
        <v>172</v>
      </c>
      <c r="F192" s="133">
        <v>21</v>
      </c>
      <c r="G192" s="133"/>
      <c r="H192" s="133"/>
      <c r="I192" s="133"/>
      <c r="J192" s="133"/>
      <c r="K192" s="134"/>
      <c r="L192" s="134" t="s">
        <v>272</v>
      </c>
      <c r="M192" s="135">
        <v>25750000000</v>
      </c>
      <c r="N192" s="136">
        <v>0</v>
      </c>
      <c r="O192" s="136">
        <v>0</v>
      </c>
      <c r="P192" s="136">
        <v>0</v>
      </c>
      <c r="Q192" s="136">
        <v>0</v>
      </c>
      <c r="R192" s="136">
        <v>0</v>
      </c>
      <c r="S192" s="135">
        <v>25750000000</v>
      </c>
      <c r="T192" s="135">
        <v>24131401038</v>
      </c>
      <c r="U192" s="135">
        <v>1618598962</v>
      </c>
      <c r="V192" s="137">
        <v>0.93714178788349511</v>
      </c>
      <c r="W192" s="135">
        <v>10277970131</v>
      </c>
      <c r="X192" s="135">
        <v>13853430907</v>
      </c>
      <c r="Y192" s="137">
        <v>0.57408315767430329</v>
      </c>
      <c r="Z192" s="135">
        <v>10260407855</v>
      </c>
      <c r="AA192" s="135">
        <v>17562276</v>
      </c>
      <c r="AB192" s="723">
        <v>0.42518906543564611</v>
      </c>
    </row>
    <row r="193" spans="1:28" ht="32.25" customHeight="1">
      <c r="A193" s="32" t="e">
        <v>#REF!</v>
      </c>
      <c r="B193" s="138" t="s">
        <v>693</v>
      </c>
      <c r="C193" s="139" t="s">
        <v>167</v>
      </c>
      <c r="D193" s="139">
        <v>4103</v>
      </c>
      <c r="E193" s="139" t="s">
        <v>172</v>
      </c>
      <c r="F193" s="139">
        <v>21</v>
      </c>
      <c r="G193" s="139" t="s">
        <v>175</v>
      </c>
      <c r="H193" s="139" t="s">
        <v>219</v>
      </c>
      <c r="I193" s="139"/>
      <c r="J193" s="139">
        <v>13</v>
      </c>
      <c r="K193" s="140" t="s">
        <v>29</v>
      </c>
      <c r="L193" s="140" t="s">
        <v>233</v>
      </c>
      <c r="M193" s="141">
        <v>1870782718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1">
        <v>1870782718</v>
      </c>
      <c r="T193" s="141">
        <v>1779672321</v>
      </c>
      <c r="U193" s="141">
        <v>91110397</v>
      </c>
      <c r="V193" s="143">
        <v>0.95129824745366287</v>
      </c>
      <c r="W193" s="141">
        <v>1130607971</v>
      </c>
      <c r="X193" s="141">
        <v>649064350</v>
      </c>
      <c r="Y193" s="143">
        <v>0.36471003248243472</v>
      </c>
      <c r="Z193" s="141">
        <v>1130607971</v>
      </c>
      <c r="AA193" s="141">
        <v>0</v>
      </c>
      <c r="AB193" s="724">
        <v>0.63528996751756528</v>
      </c>
    </row>
    <row r="194" spans="1:28" ht="24.95" customHeight="1">
      <c r="A194" s="32" t="e">
        <v>#REF!</v>
      </c>
      <c r="B194" s="144" t="s">
        <v>694</v>
      </c>
      <c r="C194" s="145" t="s">
        <v>167</v>
      </c>
      <c r="D194" s="145">
        <v>4103</v>
      </c>
      <c r="E194" s="145" t="s">
        <v>172</v>
      </c>
      <c r="F194" s="145">
        <v>21</v>
      </c>
      <c r="G194" s="145" t="s">
        <v>175</v>
      </c>
      <c r="H194" s="145" t="s">
        <v>219</v>
      </c>
      <c r="I194" s="145" t="s">
        <v>54</v>
      </c>
      <c r="J194" s="145">
        <v>13</v>
      </c>
      <c r="K194" s="146" t="s">
        <v>29</v>
      </c>
      <c r="L194" s="147" t="s">
        <v>178</v>
      </c>
      <c r="M194" s="148">
        <v>1870782718</v>
      </c>
      <c r="N194" s="148"/>
      <c r="O194" s="148"/>
      <c r="P194" s="148"/>
      <c r="Q194" s="148">
        <v>0</v>
      </c>
      <c r="R194" s="148">
        <v>0</v>
      </c>
      <c r="S194" s="148">
        <v>1870782718</v>
      </c>
      <c r="T194" s="148">
        <v>1779672321</v>
      </c>
      <c r="U194" s="148">
        <v>91110397</v>
      </c>
      <c r="V194" s="150">
        <v>0.95129824745366287</v>
      </c>
      <c r="W194" s="148">
        <v>1130607971</v>
      </c>
      <c r="X194" s="148">
        <v>649064350</v>
      </c>
      <c r="Y194" s="150">
        <v>0.36471003248243472</v>
      </c>
      <c r="Z194" s="148">
        <v>1130607971</v>
      </c>
      <c r="AA194" s="148">
        <v>0</v>
      </c>
      <c r="AB194" s="150">
        <v>0.63528996751756528</v>
      </c>
    </row>
    <row r="195" spans="1:28" ht="32.25" customHeight="1">
      <c r="A195" s="32" t="e">
        <v>#REF!</v>
      </c>
      <c r="B195" s="138" t="s">
        <v>695</v>
      </c>
      <c r="C195" s="139" t="s">
        <v>167</v>
      </c>
      <c r="D195" s="139">
        <v>4103</v>
      </c>
      <c r="E195" s="139" t="s">
        <v>172</v>
      </c>
      <c r="F195" s="139">
        <v>21</v>
      </c>
      <c r="G195" s="139" t="s">
        <v>175</v>
      </c>
      <c r="H195" s="139" t="s">
        <v>234</v>
      </c>
      <c r="I195" s="139"/>
      <c r="J195" s="139">
        <v>13</v>
      </c>
      <c r="K195" s="140" t="s">
        <v>29</v>
      </c>
      <c r="L195" s="140" t="s">
        <v>235</v>
      </c>
      <c r="M195" s="141">
        <v>1237528721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1">
        <v>1237528721</v>
      </c>
      <c r="T195" s="141">
        <v>1177258904</v>
      </c>
      <c r="U195" s="141">
        <v>60269817</v>
      </c>
      <c r="V195" s="143">
        <v>0.95129824788931105</v>
      </c>
      <c r="W195" s="141">
        <v>747900771</v>
      </c>
      <c r="X195" s="142">
        <v>429358133</v>
      </c>
      <c r="Y195" s="143">
        <v>0.36471003238213773</v>
      </c>
      <c r="Z195" s="141">
        <v>747900771</v>
      </c>
      <c r="AA195" s="141">
        <v>0</v>
      </c>
      <c r="AB195" s="724">
        <v>0.63528996761786227</v>
      </c>
    </row>
    <row r="196" spans="1:28" ht="24.95" customHeight="1">
      <c r="A196" s="32" t="e">
        <v>#REF!</v>
      </c>
      <c r="B196" s="144" t="s">
        <v>696</v>
      </c>
      <c r="C196" s="145" t="s">
        <v>167</v>
      </c>
      <c r="D196" s="145">
        <v>4103</v>
      </c>
      <c r="E196" s="145" t="s">
        <v>172</v>
      </c>
      <c r="F196" s="145">
        <v>21</v>
      </c>
      <c r="G196" s="145" t="s">
        <v>175</v>
      </c>
      <c r="H196" s="145" t="s">
        <v>234</v>
      </c>
      <c r="I196" s="145" t="s">
        <v>54</v>
      </c>
      <c r="J196" s="145">
        <v>13</v>
      </c>
      <c r="K196" s="146" t="s">
        <v>29</v>
      </c>
      <c r="L196" s="147" t="s">
        <v>178</v>
      </c>
      <c r="M196" s="148">
        <v>1237528721</v>
      </c>
      <c r="N196" s="148"/>
      <c r="O196" s="148"/>
      <c r="P196" s="148"/>
      <c r="Q196" s="148">
        <v>0</v>
      </c>
      <c r="R196" s="148">
        <v>0</v>
      </c>
      <c r="S196" s="148">
        <v>1237528721</v>
      </c>
      <c r="T196" s="148">
        <v>1177258904</v>
      </c>
      <c r="U196" s="148">
        <v>60269817</v>
      </c>
      <c r="V196" s="150">
        <v>0.95129824788931105</v>
      </c>
      <c r="W196" s="148">
        <v>747900771</v>
      </c>
      <c r="X196" s="148">
        <v>429358133</v>
      </c>
      <c r="Y196" s="150">
        <v>0.36471003238213773</v>
      </c>
      <c r="Z196" s="148">
        <v>747900771</v>
      </c>
      <c r="AA196" s="148">
        <v>0</v>
      </c>
      <c r="AB196" s="150">
        <v>0.63528996761786227</v>
      </c>
    </row>
    <row r="197" spans="1:28" ht="32.25" customHeight="1">
      <c r="A197" s="32" t="e">
        <v>#REF!</v>
      </c>
      <c r="B197" s="138" t="s">
        <v>697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197</v>
      </c>
      <c r="I197" s="139"/>
      <c r="J197" s="139">
        <v>13</v>
      </c>
      <c r="K197" s="140" t="s">
        <v>29</v>
      </c>
      <c r="L197" s="140" t="s">
        <v>236</v>
      </c>
      <c r="M197" s="141">
        <v>1178285948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1">
        <v>1178285948</v>
      </c>
      <c r="T197" s="141">
        <v>1120901355</v>
      </c>
      <c r="U197" s="141">
        <v>57384593</v>
      </c>
      <c r="V197" s="143">
        <v>0.95129824547479025</v>
      </c>
      <c r="W197" s="141">
        <v>712097386</v>
      </c>
      <c r="X197" s="141">
        <v>408803969</v>
      </c>
      <c r="Y197" s="143">
        <v>0.36471003195459606</v>
      </c>
      <c r="Z197" s="141">
        <v>712097386</v>
      </c>
      <c r="AA197" s="141">
        <v>0</v>
      </c>
      <c r="AB197" s="724">
        <v>0.63528996804540394</v>
      </c>
    </row>
    <row r="198" spans="1:28" ht="24.95" customHeight="1">
      <c r="A198" s="32" t="e">
        <v>#REF!</v>
      </c>
      <c r="B198" s="144" t="s">
        <v>698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197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1178285948</v>
      </c>
      <c r="N198" s="148"/>
      <c r="O198" s="148"/>
      <c r="P198" s="148"/>
      <c r="Q198" s="148">
        <v>0</v>
      </c>
      <c r="R198" s="148">
        <v>0</v>
      </c>
      <c r="S198" s="148">
        <v>1178285948</v>
      </c>
      <c r="T198" s="148">
        <v>1120901355</v>
      </c>
      <c r="U198" s="148">
        <v>57384593</v>
      </c>
      <c r="V198" s="150">
        <v>0.95129824547479025</v>
      </c>
      <c r="W198" s="148">
        <v>712097386</v>
      </c>
      <c r="X198" s="148">
        <v>408803969</v>
      </c>
      <c r="Y198" s="150">
        <v>0.36471003195459606</v>
      </c>
      <c r="Z198" s="148">
        <v>712097386</v>
      </c>
      <c r="AA198" s="148">
        <v>0</v>
      </c>
      <c r="AB198" s="150">
        <v>0.63528996804540394</v>
      </c>
    </row>
    <row r="199" spans="1:28" ht="32.25" customHeight="1">
      <c r="A199" s="32" t="e">
        <v>#REF!</v>
      </c>
      <c r="B199" s="138" t="s">
        <v>699</v>
      </c>
      <c r="C199" s="139" t="s">
        <v>167</v>
      </c>
      <c r="D199" s="139">
        <v>4103</v>
      </c>
      <c r="E199" s="139" t="s">
        <v>172</v>
      </c>
      <c r="F199" s="139">
        <v>21</v>
      </c>
      <c r="G199" s="139" t="s">
        <v>175</v>
      </c>
      <c r="H199" s="139" t="s">
        <v>203</v>
      </c>
      <c r="I199" s="139"/>
      <c r="J199" s="139">
        <v>13</v>
      </c>
      <c r="K199" s="140" t="s">
        <v>29</v>
      </c>
      <c r="L199" s="140" t="s">
        <v>237</v>
      </c>
      <c r="M199" s="141">
        <v>5017014439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1">
        <v>5017014439</v>
      </c>
      <c r="T199" s="141">
        <v>4772677041</v>
      </c>
      <c r="U199" s="141">
        <v>244337398</v>
      </c>
      <c r="V199" s="143">
        <v>0.95129824700111854</v>
      </c>
      <c r="W199" s="141">
        <v>3034336892</v>
      </c>
      <c r="X199" s="141">
        <v>1738340149</v>
      </c>
      <c r="Y199" s="143">
        <v>0.36422748366727375</v>
      </c>
      <c r="Z199" s="141">
        <v>3034336892</v>
      </c>
      <c r="AA199" s="141">
        <v>0</v>
      </c>
      <c r="AB199" s="724">
        <v>0.63577251633272625</v>
      </c>
    </row>
    <row r="200" spans="1:28" ht="24.95" customHeight="1">
      <c r="A200" s="32" t="e">
        <v>#REF!</v>
      </c>
      <c r="B200" s="144" t="s">
        <v>700</v>
      </c>
      <c r="C200" s="145" t="s">
        <v>167</v>
      </c>
      <c r="D200" s="145">
        <v>4103</v>
      </c>
      <c r="E200" s="145" t="s">
        <v>172</v>
      </c>
      <c r="F200" s="145">
        <v>21</v>
      </c>
      <c r="G200" s="145" t="s">
        <v>175</v>
      </c>
      <c r="H200" s="145" t="s">
        <v>203</v>
      </c>
      <c r="I200" s="145" t="s">
        <v>54</v>
      </c>
      <c r="J200" s="145">
        <v>13</v>
      </c>
      <c r="K200" s="146" t="s">
        <v>29</v>
      </c>
      <c r="L200" s="147" t="s">
        <v>178</v>
      </c>
      <c r="M200" s="148">
        <v>5017014439</v>
      </c>
      <c r="N200" s="148"/>
      <c r="O200" s="148"/>
      <c r="P200" s="148"/>
      <c r="Q200" s="148">
        <v>0</v>
      </c>
      <c r="R200" s="148">
        <v>0</v>
      </c>
      <c r="S200" s="148">
        <v>5017014439</v>
      </c>
      <c r="T200" s="148">
        <v>4772677041</v>
      </c>
      <c r="U200" s="148">
        <v>244337398</v>
      </c>
      <c r="V200" s="150">
        <v>0.95129824700111854</v>
      </c>
      <c r="W200" s="148">
        <v>3034336892</v>
      </c>
      <c r="X200" s="148">
        <v>1738340149</v>
      </c>
      <c r="Y200" s="150">
        <v>0.36422748366727375</v>
      </c>
      <c r="Z200" s="148">
        <v>3034336892</v>
      </c>
      <c r="AA200" s="148">
        <v>0</v>
      </c>
      <c r="AB200" s="150">
        <v>0.63577251633272625</v>
      </c>
    </row>
    <row r="201" spans="1:28" ht="32.25" customHeight="1">
      <c r="A201" s="32" t="e">
        <v>#REF!</v>
      </c>
      <c r="B201" s="138" t="s">
        <v>701</v>
      </c>
      <c r="C201" s="139" t="s">
        <v>167</v>
      </c>
      <c r="D201" s="139">
        <v>4103</v>
      </c>
      <c r="E201" s="139" t="s">
        <v>172</v>
      </c>
      <c r="F201" s="139">
        <v>21</v>
      </c>
      <c r="G201" s="139" t="s">
        <v>175</v>
      </c>
      <c r="H201" s="139" t="s">
        <v>223</v>
      </c>
      <c r="I201" s="139"/>
      <c r="J201" s="139">
        <v>13</v>
      </c>
      <c r="K201" s="140" t="s">
        <v>29</v>
      </c>
      <c r="L201" s="140" t="s">
        <v>238</v>
      </c>
      <c r="M201" s="141">
        <v>16446388174</v>
      </c>
      <c r="N201" s="142">
        <v>0</v>
      </c>
      <c r="O201" s="142">
        <v>0</v>
      </c>
      <c r="P201" s="142">
        <v>0</v>
      </c>
      <c r="Q201" s="142">
        <v>0</v>
      </c>
      <c r="R201" s="142">
        <v>0</v>
      </c>
      <c r="S201" s="141">
        <v>16446388174</v>
      </c>
      <c r="T201" s="141">
        <v>15280891417</v>
      </c>
      <c r="U201" s="141">
        <v>1165496757</v>
      </c>
      <c r="V201" s="143">
        <v>0.92913357360477922</v>
      </c>
      <c r="W201" s="141">
        <v>4653027111</v>
      </c>
      <c r="X201" s="141">
        <v>10627864306</v>
      </c>
      <c r="Y201" s="143">
        <v>0.69550028306440914</v>
      </c>
      <c r="Z201" s="141">
        <v>4635464835</v>
      </c>
      <c r="AA201" s="141">
        <v>17562276</v>
      </c>
      <c r="AB201" s="724">
        <v>0.30335042037161802</v>
      </c>
    </row>
    <row r="202" spans="1:28" ht="24.95" customHeight="1">
      <c r="A202" s="32" t="e">
        <v>#REF!</v>
      </c>
      <c r="B202" s="144" t="s">
        <v>702</v>
      </c>
      <c r="C202" s="145" t="s">
        <v>167</v>
      </c>
      <c r="D202" s="145">
        <v>4103</v>
      </c>
      <c r="E202" s="145" t="s">
        <v>172</v>
      </c>
      <c r="F202" s="145">
        <v>21</v>
      </c>
      <c r="G202" s="145" t="s">
        <v>175</v>
      </c>
      <c r="H202" s="145" t="s">
        <v>223</v>
      </c>
      <c r="I202" s="145" t="s">
        <v>54</v>
      </c>
      <c r="J202" s="145">
        <v>13</v>
      </c>
      <c r="K202" s="146" t="s">
        <v>29</v>
      </c>
      <c r="L202" s="147" t="s">
        <v>178</v>
      </c>
      <c r="M202" s="148">
        <v>16446388174</v>
      </c>
      <c r="N202" s="148"/>
      <c r="O202" s="148"/>
      <c r="P202" s="148"/>
      <c r="Q202" s="148">
        <v>0</v>
      </c>
      <c r="R202" s="148">
        <v>0</v>
      </c>
      <c r="S202" s="148">
        <v>16446388174</v>
      </c>
      <c r="T202" s="148">
        <v>15280891417</v>
      </c>
      <c r="U202" s="148">
        <v>1165496757</v>
      </c>
      <c r="V202" s="150">
        <v>0.92913357360477922</v>
      </c>
      <c r="W202" s="148">
        <v>4653027111</v>
      </c>
      <c r="X202" s="148">
        <v>10627864306</v>
      </c>
      <c r="Y202" s="150">
        <v>0.69550028306440914</v>
      </c>
      <c r="Z202" s="148">
        <v>4635464835</v>
      </c>
      <c r="AA202" s="148">
        <v>17562276</v>
      </c>
      <c r="AB202" s="150">
        <v>0.30335042037161802</v>
      </c>
    </row>
    <row r="203" spans="1:28" ht="49.5" customHeight="1">
      <c r="A203" s="32" t="e">
        <v>#REF!</v>
      </c>
      <c r="B203" s="132" t="s">
        <v>704</v>
      </c>
      <c r="C203" s="133" t="s">
        <v>167</v>
      </c>
      <c r="D203" s="133">
        <v>4103</v>
      </c>
      <c r="E203" s="133" t="s">
        <v>172</v>
      </c>
      <c r="F203" s="133">
        <v>22</v>
      </c>
      <c r="G203" s="133"/>
      <c r="H203" s="133"/>
      <c r="I203" s="133"/>
      <c r="J203" s="133"/>
      <c r="K203" s="134"/>
      <c r="L203" s="134" t="s">
        <v>239</v>
      </c>
      <c r="M203" s="135">
        <v>167533000000</v>
      </c>
      <c r="N203" s="136">
        <v>0</v>
      </c>
      <c r="O203" s="136">
        <v>0</v>
      </c>
      <c r="P203" s="136">
        <v>0</v>
      </c>
      <c r="Q203" s="136">
        <v>0</v>
      </c>
      <c r="R203" s="136">
        <v>0</v>
      </c>
      <c r="S203" s="135">
        <v>167533000000</v>
      </c>
      <c r="T203" s="135">
        <v>134724064046</v>
      </c>
      <c r="U203" s="135">
        <v>32808935954</v>
      </c>
      <c r="V203" s="137">
        <v>0.80416433804683252</v>
      </c>
      <c r="W203" s="135">
        <v>46762967507</v>
      </c>
      <c r="X203" s="135">
        <v>87961096539</v>
      </c>
      <c r="Y203" s="137">
        <v>0.65289818238385888</v>
      </c>
      <c r="Z203" s="135">
        <v>46722784097</v>
      </c>
      <c r="AA203" s="135">
        <v>40183410</v>
      </c>
      <c r="AB203" s="723">
        <v>0.34680355308348654</v>
      </c>
    </row>
    <row r="204" spans="1:28" ht="32.25" customHeight="1">
      <c r="A204" s="32" t="e">
        <v>#REF!</v>
      </c>
      <c r="B204" s="138" t="s">
        <v>705</v>
      </c>
      <c r="C204" s="139" t="s">
        <v>167</v>
      </c>
      <c r="D204" s="139">
        <v>4103</v>
      </c>
      <c r="E204" s="139" t="s">
        <v>172</v>
      </c>
      <c r="F204" s="139">
        <v>22</v>
      </c>
      <c r="G204" s="139" t="s">
        <v>175</v>
      </c>
      <c r="H204" s="139" t="s">
        <v>219</v>
      </c>
      <c r="I204" s="139"/>
      <c r="J204" s="139">
        <v>13</v>
      </c>
      <c r="K204" s="140" t="s">
        <v>29</v>
      </c>
      <c r="L204" s="140" t="s">
        <v>240</v>
      </c>
      <c r="M204" s="141">
        <v>5834100502</v>
      </c>
      <c r="N204" s="142">
        <v>0</v>
      </c>
      <c r="O204" s="142">
        <v>0</v>
      </c>
      <c r="P204" s="142">
        <v>0</v>
      </c>
      <c r="Q204" s="142">
        <v>0</v>
      </c>
      <c r="R204" s="142">
        <v>0</v>
      </c>
      <c r="S204" s="141">
        <v>5834100502</v>
      </c>
      <c r="T204" s="141">
        <v>3919643191</v>
      </c>
      <c r="U204" s="141">
        <v>1914457311</v>
      </c>
      <c r="V204" s="143">
        <v>0.67185047457723757</v>
      </c>
      <c r="W204" s="141">
        <v>920049603</v>
      </c>
      <c r="X204" s="141">
        <v>2999593588</v>
      </c>
      <c r="Y204" s="143">
        <v>0.76527210305454563</v>
      </c>
      <c r="Z204" s="141">
        <v>920049603</v>
      </c>
      <c r="AA204" s="141">
        <v>0</v>
      </c>
      <c r="AB204" s="724">
        <v>0.2347278969454544</v>
      </c>
    </row>
    <row r="205" spans="1:28" ht="24.95" customHeight="1">
      <c r="A205" s="32" t="e">
        <v>#REF!</v>
      </c>
      <c r="B205" s="144" t="s">
        <v>706</v>
      </c>
      <c r="C205" s="145" t="s">
        <v>167</v>
      </c>
      <c r="D205" s="145">
        <v>4103</v>
      </c>
      <c r="E205" s="145" t="s">
        <v>172</v>
      </c>
      <c r="F205" s="145">
        <v>22</v>
      </c>
      <c r="G205" s="145" t="s">
        <v>175</v>
      </c>
      <c r="H205" s="145" t="s">
        <v>219</v>
      </c>
      <c r="I205" s="145" t="s">
        <v>54</v>
      </c>
      <c r="J205" s="145">
        <v>13</v>
      </c>
      <c r="K205" s="146" t="s">
        <v>29</v>
      </c>
      <c r="L205" s="147" t="s">
        <v>178</v>
      </c>
      <c r="M205" s="148">
        <v>5834100502</v>
      </c>
      <c r="N205" s="148"/>
      <c r="O205" s="148"/>
      <c r="P205" s="148"/>
      <c r="Q205" s="148">
        <v>0</v>
      </c>
      <c r="R205" s="148">
        <v>0</v>
      </c>
      <c r="S205" s="148">
        <v>5834100502</v>
      </c>
      <c r="T205" s="148">
        <v>3919643191</v>
      </c>
      <c r="U205" s="148">
        <v>1914457311</v>
      </c>
      <c r="V205" s="150">
        <v>0.67185047457723757</v>
      </c>
      <c r="W205" s="148">
        <v>920049603</v>
      </c>
      <c r="X205" s="148">
        <v>2999593588</v>
      </c>
      <c r="Y205" s="150">
        <v>0.76527210305454563</v>
      </c>
      <c r="Z205" s="148">
        <v>920049603</v>
      </c>
      <c r="AA205" s="148">
        <v>0</v>
      </c>
      <c r="AB205" s="150">
        <v>0.2347278969454544</v>
      </c>
    </row>
    <row r="206" spans="1:28" ht="32.25" customHeight="1">
      <c r="A206" s="32" t="e">
        <v>#REF!</v>
      </c>
      <c r="B206" s="138" t="s">
        <v>707</v>
      </c>
      <c r="C206" s="139" t="s">
        <v>167</v>
      </c>
      <c r="D206" s="139">
        <v>4103</v>
      </c>
      <c r="E206" s="139" t="s">
        <v>172</v>
      </c>
      <c r="F206" s="139">
        <v>22</v>
      </c>
      <c r="G206" s="139" t="s">
        <v>175</v>
      </c>
      <c r="H206" s="139" t="s">
        <v>234</v>
      </c>
      <c r="I206" s="139"/>
      <c r="J206" s="139">
        <v>13</v>
      </c>
      <c r="K206" s="140" t="s">
        <v>29</v>
      </c>
      <c r="L206" s="140" t="s">
        <v>241</v>
      </c>
      <c r="M206" s="141">
        <v>21263252053</v>
      </c>
      <c r="N206" s="142">
        <v>0</v>
      </c>
      <c r="O206" s="142">
        <v>0</v>
      </c>
      <c r="P206" s="142">
        <v>0</v>
      </c>
      <c r="Q206" s="142">
        <v>0</v>
      </c>
      <c r="R206" s="142">
        <v>0</v>
      </c>
      <c r="S206" s="141">
        <v>21263252053</v>
      </c>
      <c r="T206" s="141">
        <v>17919558020</v>
      </c>
      <c r="U206" s="141">
        <v>3343694033</v>
      </c>
      <c r="V206" s="143">
        <v>0.84274775915435551</v>
      </c>
      <c r="W206" s="141">
        <v>0</v>
      </c>
      <c r="X206" s="141">
        <v>17919558020</v>
      </c>
      <c r="Y206" s="143">
        <v>1</v>
      </c>
      <c r="Z206" s="141">
        <v>0</v>
      </c>
      <c r="AA206" s="141">
        <v>0</v>
      </c>
      <c r="AB206" s="724">
        <v>0</v>
      </c>
    </row>
    <row r="207" spans="1:28" ht="24.95" customHeight="1">
      <c r="A207" s="32" t="e">
        <v>#REF!</v>
      </c>
      <c r="B207" s="144" t="s">
        <v>708</v>
      </c>
      <c r="C207" s="145" t="s">
        <v>167</v>
      </c>
      <c r="D207" s="145">
        <v>4103</v>
      </c>
      <c r="E207" s="145" t="s">
        <v>172</v>
      </c>
      <c r="F207" s="145">
        <v>22</v>
      </c>
      <c r="G207" s="145" t="s">
        <v>175</v>
      </c>
      <c r="H207" s="145" t="s">
        <v>234</v>
      </c>
      <c r="I207" s="145" t="s">
        <v>54</v>
      </c>
      <c r="J207" s="145">
        <v>13</v>
      </c>
      <c r="K207" s="146" t="s">
        <v>29</v>
      </c>
      <c r="L207" s="147" t="s">
        <v>178</v>
      </c>
      <c r="M207" s="148">
        <v>21263252053</v>
      </c>
      <c r="N207" s="148"/>
      <c r="O207" s="148"/>
      <c r="P207" s="148"/>
      <c r="Q207" s="148">
        <v>0</v>
      </c>
      <c r="R207" s="148">
        <v>0</v>
      </c>
      <c r="S207" s="148">
        <v>21263252053</v>
      </c>
      <c r="T207" s="148">
        <v>17919558020</v>
      </c>
      <c r="U207" s="148">
        <v>3343694033</v>
      </c>
      <c r="V207" s="150">
        <v>0.84274775915435551</v>
      </c>
      <c r="W207" s="148">
        <v>0</v>
      </c>
      <c r="X207" s="148">
        <v>17919558020</v>
      </c>
      <c r="Y207" s="150">
        <v>1</v>
      </c>
      <c r="Z207" s="148">
        <v>0</v>
      </c>
      <c r="AA207" s="148">
        <v>0</v>
      </c>
      <c r="AB207" s="150">
        <v>0</v>
      </c>
    </row>
    <row r="208" spans="1:28" ht="32.25" customHeight="1">
      <c r="A208" s="32" t="e">
        <v>#REF!</v>
      </c>
      <c r="B208" s="138" t="s">
        <v>710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>
        <v>4103051</v>
      </c>
      <c r="I208" s="139"/>
      <c r="J208" s="139">
        <v>13</v>
      </c>
      <c r="K208" s="140" t="s">
        <v>29</v>
      </c>
      <c r="L208" s="140" t="s">
        <v>242</v>
      </c>
      <c r="M208" s="141">
        <v>5191519285</v>
      </c>
      <c r="N208" s="142">
        <v>0</v>
      </c>
      <c r="O208" s="142">
        <v>0</v>
      </c>
      <c r="P208" s="142">
        <v>0</v>
      </c>
      <c r="Q208" s="142">
        <v>0</v>
      </c>
      <c r="R208" s="142">
        <v>0</v>
      </c>
      <c r="S208" s="141">
        <v>5191519285</v>
      </c>
      <c r="T208" s="141">
        <v>3945310447</v>
      </c>
      <c r="U208" s="141">
        <v>1246208838</v>
      </c>
      <c r="V208" s="143">
        <v>0.75995295989736467</v>
      </c>
      <c r="W208" s="141">
        <v>955527278</v>
      </c>
      <c r="X208" s="141">
        <v>2989783169</v>
      </c>
      <c r="Y208" s="143">
        <v>0.75780682132971833</v>
      </c>
      <c r="Z208" s="141">
        <v>955527278</v>
      </c>
      <c r="AA208" s="141">
        <v>0</v>
      </c>
      <c r="AB208" s="724">
        <v>0.2421931786702817</v>
      </c>
    </row>
    <row r="209" spans="1:28" ht="24.95" customHeight="1">
      <c r="A209" s="32" t="e">
        <v>#REF!</v>
      </c>
      <c r="B209" s="144" t="s">
        <v>711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>
        <v>4103051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5191519285</v>
      </c>
      <c r="N209" s="148"/>
      <c r="O209" s="148"/>
      <c r="P209" s="148"/>
      <c r="Q209" s="148">
        <v>0</v>
      </c>
      <c r="R209" s="148">
        <v>0</v>
      </c>
      <c r="S209" s="148">
        <v>5191519285</v>
      </c>
      <c r="T209" s="148">
        <v>3945310447</v>
      </c>
      <c r="U209" s="148">
        <v>1246208838</v>
      </c>
      <c r="V209" s="150">
        <v>0.75995295989736467</v>
      </c>
      <c r="W209" s="148">
        <v>955527278</v>
      </c>
      <c r="X209" s="148">
        <v>2989783169</v>
      </c>
      <c r="Y209" s="150">
        <v>0.75780682132971833</v>
      </c>
      <c r="Z209" s="148">
        <v>955527278</v>
      </c>
      <c r="AA209" s="148">
        <v>0</v>
      </c>
      <c r="AB209" s="150">
        <v>0.2421931786702817</v>
      </c>
    </row>
    <row r="210" spans="1:28" ht="32.25" customHeight="1">
      <c r="A210" s="32" t="e">
        <v>#REF!</v>
      </c>
      <c r="B210" s="138" t="s">
        <v>712</v>
      </c>
      <c r="C210" s="139" t="s">
        <v>167</v>
      </c>
      <c r="D210" s="139">
        <v>4103</v>
      </c>
      <c r="E210" s="139" t="s">
        <v>172</v>
      </c>
      <c r="F210" s="139">
        <v>22</v>
      </c>
      <c r="G210" s="139" t="s">
        <v>175</v>
      </c>
      <c r="H210" s="139">
        <v>4103055</v>
      </c>
      <c r="I210" s="139"/>
      <c r="J210" s="139">
        <v>13</v>
      </c>
      <c r="K210" s="140" t="s">
        <v>29</v>
      </c>
      <c r="L210" s="140" t="s">
        <v>243</v>
      </c>
      <c r="M210" s="141">
        <v>7874924941</v>
      </c>
      <c r="N210" s="142">
        <v>0</v>
      </c>
      <c r="O210" s="142">
        <v>0</v>
      </c>
      <c r="P210" s="142">
        <v>0</v>
      </c>
      <c r="Q210" s="142">
        <v>0</v>
      </c>
      <c r="R210" s="142">
        <v>0</v>
      </c>
      <c r="S210" s="141">
        <v>7874924941</v>
      </c>
      <c r="T210" s="141">
        <v>894550970</v>
      </c>
      <c r="U210" s="141">
        <v>6980373971</v>
      </c>
      <c r="V210" s="143">
        <v>0.1135948566750917</v>
      </c>
      <c r="W210" s="141">
        <v>228694259</v>
      </c>
      <c r="X210" s="141">
        <v>665856711</v>
      </c>
      <c r="Y210" s="143">
        <v>0.74434742494326511</v>
      </c>
      <c r="Z210" s="141">
        <v>228694259</v>
      </c>
      <c r="AA210" s="141">
        <v>0</v>
      </c>
      <c r="AB210" s="724">
        <v>0.25565257505673489</v>
      </c>
    </row>
    <row r="211" spans="1:28" ht="24.95" customHeight="1">
      <c r="A211" s="32" t="e">
        <v>#REF!</v>
      </c>
      <c r="B211" s="144" t="s">
        <v>713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203</v>
      </c>
      <c r="I211" s="145" t="s">
        <v>54</v>
      </c>
      <c r="J211" s="145">
        <v>13</v>
      </c>
      <c r="K211" s="146" t="s">
        <v>29</v>
      </c>
      <c r="L211" s="147" t="s">
        <v>178</v>
      </c>
      <c r="M211" s="148">
        <v>7874924941</v>
      </c>
      <c r="N211" s="148"/>
      <c r="O211" s="148"/>
      <c r="P211" s="148"/>
      <c r="Q211" s="148">
        <v>0</v>
      </c>
      <c r="R211" s="148">
        <v>0</v>
      </c>
      <c r="S211" s="148">
        <v>7874924941</v>
      </c>
      <c r="T211" s="148">
        <v>894550970</v>
      </c>
      <c r="U211" s="148">
        <v>6980373971</v>
      </c>
      <c r="V211" s="150">
        <v>0.1135948566750917</v>
      </c>
      <c r="W211" s="148">
        <v>228694259</v>
      </c>
      <c r="X211" s="148">
        <v>665856711</v>
      </c>
      <c r="Y211" s="150">
        <v>0.74434742494326511</v>
      </c>
      <c r="Z211" s="148">
        <v>228694259</v>
      </c>
      <c r="AA211" s="148">
        <v>0</v>
      </c>
      <c r="AB211" s="150">
        <v>0.25565257505673489</v>
      </c>
    </row>
    <row r="212" spans="1:28" ht="32.25" customHeight="1">
      <c r="A212" s="32" t="e">
        <v>#REF!</v>
      </c>
      <c r="B212" s="138" t="s">
        <v>715</v>
      </c>
      <c r="C212" s="139" t="s">
        <v>167</v>
      </c>
      <c r="D212" s="139">
        <v>4103</v>
      </c>
      <c r="E212" s="139" t="s">
        <v>172</v>
      </c>
      <c r="F212" s="139">
        <v>22</v>
      </c>
      <c r="G212" s="139" t="s">
        <v>175</v>
      </c>
      <c r="H212" s="139">
        <v>4103057</v>
      </c>
      <c r="I212" s="139"/>
      <c r="J212" s="139">
        <v>13</v>
      </c>
      <c r="K212" s="140" t="s">
        <v>29</v>
      </c>
      <c r="L212" s="140" t="s">
        <v>244</v>
      </c>
      <c r="M212" s="141">
        <v>64906595848</v>
      </c>
      <c r="N212" s="142">
        <v>0</v>
      </c>
      <c r="O212" s="142">
        <v>0</v>
      </c>
      <c r="P212" s="142">
        <v>0</v>
      </c>
      <c r="Q212" s="142">
        <v>0</v>
      </c>
      <c r="R212" s="142">
        <v>0</v>
      </c>
      <c r="S212" s="141">
        <v>64906595848</v>
      </c>
      <c r="T212" s="141">
        <v>63965449011</v>
      </c>
      <c r="U212" s="141">
        <v>941146837</v>
      </c>
      <c r="V212" s="143">
        <v>0.98549998155497165</v>
      </c>
      <c r="W212" s="141">
        <v>44658696367</v>
      </c>
      <c r="X212" s="141">
        <v>19306752644</v>
      </c>
      <c r="Y212" s="143">
        <v>0.30183095628203688</v>
      </c>
      <c r="Z212" s="141">
        <v>44618512957</v>
      </c>
      <c r="AA212" s="141">
        <v>40183410</v>
      </c>
      <c r="AB212" s="724">
        <v>0.69754083879450379</v>
      </c>
    </row>
    <row r="213" spans="1:28" ht="24.95" customHeight="1">
      <c r="A213" s="32" t="e">
        <v>#REF!</v>
      </c>
      <c r="B213" s="144" t="s">
        <v>716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 t="s">
        <v>221</v>
      </c>
      <c r="I213" s="145" t="s">
        <v>54</v>
      </c>
      <c r="J213" s="145">
        <v>13</v>
      </c>
      <c r="K213" s="146" t="s">
        <v>29</v>
      </c>
      <c r="L213" s="147" t="s">
        <v>178</v>
      </c>
      <c r="M213" s="148">
        <v>4796601848</v>
      </c>
      <c r="N213" s="148"/>
      <c r="O213" s="148"/>
      <c r="P213" s="148"/>
      <c r="Q213" s="148">
        <v>0</v>
      </c>
      <c r="R213" s="148">
        <v>0</v>
      </c>
      <c r="S213" s="148">
        <v>4796601848</v>
      </c>
      <c r="T213" s="148">
        <v>3855455011</v>
      </c>
      <c r="U213" s="148">
        <v>941146837</v>
      </c>
      <c r="V213" s="150">
        <v>0.80378883492437003</v>
      </c>
      <c r="W213" s="148">
        <v>798454367</v>
      </c>
      <c r="X213" s="148">
        <v>3057000644</v>
      </c>
      <c r="Y213" s="150">
        <v>0.79290268860045587</v>
      </c>
      <c r="Z213" s="148">
        <v>758270957</v>
      </c>
      <c r="AA213" s="148">
        <v>40183410</v>
      </c>
      <c r="AB213" s="150">
        <v>0.19667482951728832</v>
      </c>
    </row>
    <row r="214" spans="1:28" ht="24.95" customHeight="1">
      <c r="A214" s="32" t="e">
        <v>#REF!</v>
      </c>
      <c r="B214" s="144" t="s">
        <v>717</v>
      </c>
      <c r="C214" s="145" t="s">
        <v>167</v>
      </c>
      <c r="D214" s="145">
        <v>4103</v>
      </c>
      <c r="E214" s="145" t="s">
        <v>172</v>
      </c>
      <c r="F214" s="145">
        <v>22</v>
      </c>
      <c r="G214" s="145" t="s">
        <v>175</v>
      </c>
      <c r="H214" s="145" t="s">
        <v>221</v>
      </c>
      <c r="I214" s="145" t="s">
        <v>65</v>
      </c>
      <c r="J214" s="145">
        <v>13</v>
      </c>
      <c r="K214" s="146" t="s">
        <v>29</v>
      </c>
      <c r="L214" s="147" t="s">
        <v>127</v>
      </c>
      <c r="M214" s="148">
        <v>60109994000</v>
      </c>
      <c r="N214" s="148"/>
      <c r="O214" s="148"/>
      <c r="P214" s="148"/>
      <c r="Q214" s="148">
        <v>0</v>
      </c>
      <c r="R214" s="148">
        <v>0</v>
      </c>
      <c r="S214" s="148">
        <v>60109994000</v>
      </c>
      <c r="T214" s="148">
        <v>60109994000</v>
      </c>
      <c r="U214" s="148">
        <v>0</v>
      </c>
      <c r="V214" s="150">
        <v>1</v>
      </c>
      <c r="W214" s="148">
        <v>43860242000</v>
      </c>
      <c r="X214" s="148">
        <v>16249752000</v>
      </c>
      <c r="Y214" s="150">
        <v>0.2703336154051188</v>
      </c>
      <c r="Z214" s="148">
        <v>43860242000</v>
      </c>
      <c r="AA214" s="148">
        <v>0</v>
      </c>
      <c r="AB214" s="150">
        <v>0.7296663845948812</v>
      </c>
    </row>
    <row r="215" spans="1:28" ht="32.25" customHeight="1">
      <c r="A215" s="32" t="e">
        <v>#REF!</v>
      </c>
      <c r="B215" s="138" t="s">
        <v>718</v>
      </c>
      <c r="C215" s="139" t="s">
        <v>167</v>
      </c>
      <c r="D215" s="139">
        <v>4103</v>
      </c>
      <c r="E215" s="139" t="s">
        <v>172</v>
      </c>
      <c r="F215" s="139">
        <v>22</v>
      </c>
      <c r="G215" s="139" t="s">
        <v>175</v>
      </c>
      <c r="H215" s="139">
        <v>4103062</v>
      </c>
      <c r="I215" s="139"/>
      <c r="J215" s="139">
        <v>13</v>
      </c>
      <c r="K215" s="140" t="s">
        <v>29</v>
      </c>
      <c r="L215" s="140" t="s">
        <v>245</v>
      </c>
      <c r="M215" s="141">
        <v>62462607371</v>
      </c>
      <c r="N215" s="142">
        <v>0</v>
      </c>
      <c r="O215" s="142">
        <v>0</v>
      </c>
      <c r="P215" s="142">
        <v>0</v>
      </c>
      <c r="Q215" s="142">
        <v>0</v>
      </c>
      <c r="R215" s="142">
        <v>0</v>
      </c>
      <c r="S215" s="141">
        <v>62462607371</v>
      </c>
      <c r="T215" s="141">
        <v>44079552407</v>
      </c>
      <c r="U215" s="141">
        <v>18383054964</v>
      </c>
      <c r="V215" s="143">
        <v>0.70569504319899967</v>
      </c>
      <c r="W215" s="141">
        <v>0</v>
      </c>
      <c r="X215" s="142">
        <v>44079552407</v>
      </c>
      <c r="Y215" s="143">
        <v>1</v>
      </c>
      <c r="Z215" s="141">
        <v>0</v>
      </c>
      <c r="AA215" s="141">
        <v>0</v>
      </c>
      <c r="AB215" s="724">
        <v>0</v>
      </c>
    </row>
    <row r="216" spans="1:28" ht="24.95" customHeight="1">
      <c r="A216" s="32" t="e">
        <v>#REF!</v>
      </c>
      <c r="B216" s="144" t="s">
        <v>719</v>
      </c>
      <c r="C216" s="145" t="s">
        <v>167</v>
      </c>
      <c r="D216" s="145">
        <v>4103</v>
      </c>
      <c r="E216" s="145" t="s">
        <v>172</v>
      </c>
      <c r="F216" s="145">
        <v>22</v>
      </c>
      <c r="G216" s="145" t="s">
        <v>175</v>
      </c>
      <c r="H216" s="145" t="s">
        <v>246</v>
      </c>
      <c r="I216" s="145" t="s">
        <v>54</v>
      </c>
      <c r="J216" s="145">
        <v>13</v>
      </c>
      <c r="K216" s="146" t="s">
        <v>29</v>
      </c>
      <c r="L216" s="147" t="s">
        <v>178</v>
      </c>
      <c r="M216" s="148">
        <v>6064335371</v>
      </c>
      <c r="N216" s="148"/>
      <c r="O216" s="148"/>
      <c r="P216" s="148"/>
      <c r="Q216" s="148">
        <v>0</v>
      </c>
      <c r="R216" s="148">
        <v>0</v>
      </c>
      <c r="S216" s="148">
        <v>6064335371</v>
      </c>
      <c r="T216" s="148">
        <v>4249430407</v>
      </c>
      <c r="U216" s="148">
        <v>1814904964</v>
      </c>
      <c r="V216" s="150">
        <v>0.70072483578679046</v>
      </c>
      <c r="W216" s="148">
        <v>0</v>
      </c>
      <c r="X216" s="148">
        <v>4249430407</v>
      </c>
      <c r="Y216" s="150">
        <v>1</v>
      </c>
      <c r="Z216" s="148">
        <v>0</v>
      </c>
      <c r="AA216" s="148">
        <v>0</v>
      </c>
      <c r="AB216" s="150">
        <v>0</v>
      </c>
    </row>
    <row r="217" spans="1:28" ht="24.95" customHeight="1">
      <c r="A217" s="32" t="e">
        <v>#REF!</v>
      </c>
      <c r="B217" s="144" t="s">
        <v>720</v>
      </c>
      <c r="C217" s="145" t="s">
        <v>167</v>
      </c>
      <c r="D217" s="145">
        <v>4103</v>
      </c>
      <c r="E217" s="145" t="s">
        <v>172</v>
      </c>
      <c r="F217" s="145">
        <v>22</v>
      </c>
      <c r="G217" s="145" t="s">
        <v>175</v>
      </c>
      <c r="H217" s="145" t="s">
        <v>246</v>
      </c>
      <c r="I217" s="145" t="s">
        <v>65</v>
      </c>
      <c r="J217" s="145">
        <v>13</v>
      </c>
      <c r="K217" s="146" t="s">
        <v>29</v>
      </c>
      <c r="L217" s="147" t="s">
        <v>127</v>
      </c>
      <c r="M217" s="148">
        <v>56398272000</v>
      </c>
      <c r="N217" s="148"/>
      <c r="O217" s="148"/>
      <c r="P217" s="148"/>
      <c r="Q217" s="148">
        <v>0</v>
      </c>
      <c r="R217" s="148">
        <v>0</v>
      </c>
      <c r="S217" s="148">
        <v>56398272000</v>
      </c>
      <c r="T217" s="148">
        <v>39830122000</v>
      </c>
      <c r="U217" s="148">
        <v>16568150000</v>
      </c>
      <c r="V217" s="150">
        <v>0.70622947454844009</v>
      </c>
      <c r="W217" s="148">
        <v>0</v>
      </c>
      <c r="X217" s="148">
        <v>39830122000</v>
      </c>
      <c r="Y217" s="150">
        <v>1</v>
      </c>
      <c r="Z217" s="148">
        <v>0</v>
      </c>
      <c r="AA217" s="148">
        <v>0</v>
      </c>
      <c r="AB217" s="150">
        <v>0</v>
      </c>
    </row>
    <row r="218" spans="1:28" ht="39.75" customHeight="1">
      <c r="A218" s="32"/>
      <c r="B218" s="132" t="s">
        <v>685</v>
      </c>
      <c r="C218" s="133" t="s">
        <v>167</v>
      </c>
      <c r="D218" s="133" t="s">
        <v>190</v>
      </c>
      <c r="E218" s="133" t="s">
        <v>172</v>
      </c>
      <c r="F218" s="133">
        <v>23</v>
      </c>
      <c r="G218" s="133"/>
      <c r="H218" s="133"/>
      <c r="I218" s="133"/>
      <c r="J218" s="133"/>
      <c r="K218" s="134"/>
      <c r="L218" s="134" t="s">
        <v>273</v>
      </c>
      <c r="M218" s="135">
        <v>1612279801419</v>
      </c>
      <c r="N218" s="136">
        <v>0</v>
      </c>
      <c r="O218" s="136">
        <v>0</v>
      </c>
      <c r="P218" s="135">
        <v>27826035802.349998</v>
      </c>
      <c r="Q218" s="135">
        <v>27826035802.349998</v>
      </c>
      <c r="R218" s="136">
        <v>0</v>
      </c>
      <c r="S218" s="135">
        <v>1612279801419</v>
      </c>
      <c r="T218" s="135">
        <v>630588167713.20996</v>
      </c>
      <c r="U218" s="135">
        <v>981691633705.79004</v>
      </c>
      <c r="V218" s="137">
        <v>0.39111583929676264</v>
      </c>
      <c r="W218" s="135">
        <v>554218285834</v>
      </c>
      <c r="X218" s="135">
        <v>76369881879.209991</v>
      </c>
      <c r="Y218" s="137">
        <v>0.12110896745202304</v>
      </c>
      <c r="Z218" s="135">
        <v>554212795523</v>
      </c>
      <c r="AA218" s="135">
        <v>5490311</v>
      </c>
      <c r="AB218" s="723">
        <v>0.87888232589713722</v>
      </c>
    </row>
    <row r="219" spans="1:28" ht="32.25" customHeight="1">
      <c r="A219" s="32"/>
      <c r="B219" s="138" t="s">
        <v>721</v>
      </c>
      <c r="C219" s="139" t="s">
        <v>167</v>
      </c>
      <c r="D219" s="139" t="s">
        <v>190</v>
      </c>
      <c r="E219" s="139" t="s">
        <v>172</v>
      </c>
      <c r="F219" s="139">
        <v>23</v>
      </c>
      <c r="G219" s="139" t="s">
        <v>175</v>
      </c>
      <c r="H219" s="139">
        <v>4103065</v>
      </c>
      <c r="I219" s="139"/>
      <c r="J219" s="139">
        <v>11</v>
      </c>
      <c r="K219" s="140" t="s">
        <v>29</v>
      </c>
      <c r="L219" s="140" t="s">
        <v>248</v>
      </c>
      <c r="M219" s="141">
        <v>1612279801419</v>
      </c>
      <c r="N219" s="142">
        <v>0</v>
      </c>
      <c r="O219" s="142">
        <v>0</v>
      </c>
      <c r="P219" s="141">
        <v>27826035802.349998</v>
      </c>
      <c r="Q219" s="141">
        <v>27826035802.349998</v>
      </c>
      <c r="R219" s="142">
        <v>0</v>
      </c>
      <c r="S219" s="141">
        <v>1612279801419</v>
      </c>
      <c r="T219" s="141">
        <v>630588167713.20996</v>
      </c>
      <c r="U219" s="141">
        <v>981691633705.79004</v>
      </c>
      <c r="V219" s="143">
        <v>0.39111583929676264</v>
      </c>
      <c r="W219" s="141">
        <v>554218285834</v>
      </c>
      <c r="X219" s="141">
        <v>76369881879.209991</v>
      </c>
      <c r="Y219" s="143">
        <v>0.12110896745202304</v>
      </c>
      <c r="Z219" s="141">
        <v>554212795523</v>
      </c>
      <c r="AA219" s="141">
        <v>5490311</v>
      </c>
      <c r="AB219" s="724">
        <v>0.87888232589713722</v>
      </c>
    </row>
    <row r="220" spans="1:28" ht="24.95" customHeight="1">
      <c r="A220" s="32"/>
      <c r="B220" s="144" t="s">
        <v>722</v>
      </c>
      <c r="C220" s="145" t="s">
        <v>167</v>
      </c>
      <c r="D220" s="145" t="s">
        <v>190</v>
      </c>
      <c r="E220" s="145" t="s">
        <v>172</v>
      </c>
      <c r="F220" s="145">
        <v>23</v>
      </c>
      <c r="G220" s="145" t="s">
        <v>175</v>
      </c>
      <c r="H220" s="145">
        <v>4103065</v>
      </c>
      <c r="I220" s="145" t="s">
        <v>54</v>
      </c>
      <c r="J220" s="145">
        <v>11</v>
      </c>
      <c r="K220" s="146" t="s">
        <v>29</v>
      </c>
      <c r="L220" s="147" t="s">
        <v>178</v>
      </c>
      <c r="M220" s="148">
        <v>54257058902</v>
      </c>
      <c r="N220" s="148"/>
      <c r="O220" s="148"/>
      <c r="P220" s="148">
        <v>27826035802.349998</v>
      </c>
      <c r="Q220" s="148">
        <v>0</v>
      </c>
      <c r="R220" s="148">
        <v>0</v>
      </c>
      <c r="S220" s="148">
        <v>82083094704.350006</v>
      </c>
      <c r="T220" s="148">
        <v>45429942713.209999</v>
      </c>
      <c r="U220" s="148">
        <v>36653151991.140007</v>
      </c>
      <c r="V220" s="150">
        <v>0.55346284002621104</v>
      </c>
      <c r="W220" s="148">
        <v>235320834</v>
      </c>
      <c r="X220" s="148">
        <v>45194621879.209999</v>
      </c>
      <c r="Y220" s="150">
        <v>0.99482013799829039</v>
      </c>
      <c r="Z220" s="148">
        <v>229830523</v>
      </c>
      <c r="AA220" s="148">
        <v>5490311</v>
      </c>
      <c r="AB220" s="150">
        <v>5.0590097471809158E-3</v>
      </c>
    </row>
    <row r="221" spans="1:28" ht="24.95" customHeight="1">
      <c r="A221" s="32"/>
      <c r="B221" s="144" t="s">
        <v>723</v>
      </c>
      <c r="C221" s="145" t="s">
        <v>167</v>
      </c>
      <c r="D221" s="145" t="s">
        <v>190</v>
      </c>
      <c r="E221" s="145" t="s">
        <v>172</v>
      </c>
      <c r="F221" s="145">
        <v>23</v>
      </c>
      <c r="G221" s="145" t="s">
        <v>175</v>
      </c>
      <c r="H221" s="145">
        <v>4103065</v>
      </c>
      <c r="I221" s="145" t="s">
        <v>65</v>
      </c>
      <c r="J221" s="145">
        <v>11</v>
      </c>
      <c r="K221" s="146" t="s">
        <v>29</v>
      </c>
      <c r="L221" s="147" t="s">
        <v>127</v>
      </c>
      <c r="M221" s="148">
        <v>725205645648</v>
      </c>
      <c r="N221" s="148"/>
      <c r="O221" s="148"/>
      <c r="P221" s="148"/>
      <c r="Q221" s="148">
        <v>27826035802.349998</v>
      </c>
      <c r="R221" s="148">
        <v>0</v>
      </c>
      <c r="S221" s="148">
        <v>697379609845.65002</v>
      </c>
      <c r="T221" s="148">
        <v>585158225000</v>
      </c>
      <c r="U221" s="148">
        <v>112221384845.65002</v>
      </c>
      <c r="V221" s="150">
        <v>0.83908135072878343</v>
      </c>
      <c r="W221" s="148">
        <v>553982965000</v>
      </c>
      <c r="X221" s="148">
        <v>31175260000</v>
      </c>
      <c r="Y221" s="150">
        <v>5.3276632999561785E-2</v>
      </c>
      <c r="Z221" s="148">
        <v>553982965000</v>
      </c>
      <c r="AA221" s="148">
        <v>0</v>
      </c>
      <c r="AB221" s="150">
        <v>0.94672336700043824</v>
      </c>
    </row>
    <row r="222" spans="1:28" ht="24.95" customHeight="1">
      <c r="A222" s="32"/>
      <c r="B222" s="144" t="s">
        <v>723</v>
      </c>
      <c r="C222" s="145" t="s">
        <v>167</v>
      </c>
      <c r="D222" s="145" t="s">
        <v>190</v>
      </c>
      <c r="E222" s="145" t="s">
        <v>172</v>
      </c>
      <c r="F222" s="145">
        <v>23</v>
      </c>
      <c r="G222" s="145" t="s">
        <v>175</v>
      </c>
      <c r="H222" s="145">
        <v>4103065</v>
      </c>
      <c r="I222" s="145" t="s">
        <v>65</v>
      </c>
      <c r="J222" s="145">
        <v>13</v>
      </c>
      <c r="K222" s="146" t="s">
        <v>29</v>
      </c>
      <c r="L222" s="147" t="s">
        <v>127</v>
      </c>
      <c r="M222" s="148">
        <v>48925749186</v>
      </c>
      <c r="N222" s="148"/>
      <c r="O222" s="148"/>
      <c r="P222" s="148"/>
      <c r="Q222" s="148">
        <v>0</v>
      </c>
      <c r="R222" s="148">
        <v>0</v>
      </c>
      <c r="S222" s="148">
        <v>48925749186</v>
      </c>
      <c r="T222" s="148">
        <v>0</v>
      </c>
      <c r="U222" s="148">
        <v>48925749186</v>
      </c>
      <c r="V222" s="150">
        <v>0</v>
      </c>
      <c r="W222" s="148">
        <v>0</v>
      </c>
      <c r="X222" s="148">
        <v>0</v>
      </c>
      <c r="Y222" s="150">
        <v>0</v>
      </c>
      <c r="Z222" s="148">
        <v>0</v>
      </c>
      <c r="AA222" s="148">
        <v>0</v>
      </c>
      <c r="AB222" s="150">
        <v>0</v>
      </c>
    </row>
    <row r="223" spans="1:28" ht="24.95" customHeight="1">
      <c r="A223" s="32"/>
      <c r="B223" s="144" t="s">
        <v>723</v>
      </c>
      <c r="C223" s="145" t="s">
        <v>167</v>
      </c>
      <c r="D223" s="145" t="s">
        <v>190</v>
      </c>
      <c r="E223" s="145" t="s">
        <v>172</v>
      </c>
      <c r="F223" s="145">
        <v>23</v>
      </c>
      <c r="G223" s="145" t="s">
        <v>175</v>
      </c>
      <c r="H223" s="145">
        <v>4103065</v>
      </c>
      <c r="I223" s="145" t="s">
        <v>65</v>
      </c>
      <c r="J223" s="145">
        <v>16</v>
      </c>
      <c r="K223" s="146" t="s">
        <v>156</v>
      </c>
      <c r="L223" s="147" t="s">
        <v>127</v>
      </c>
      <c r="M223" s="148">
        <v>783891347683</v>
      </c>
      <c r="N223" s="148"/>
      <c r="O223" s="148"/>
      <c r="P223" s="148"/>
      <c r="Q223" s="148">
        <v>0</v>
      </c>
      <c r="R223" s="148">
        <v>0</v>
      </c>
      <c r="S223" s="148">
        <v>783891347683</v>
      </c>
      <c r="T223" s="148">
        <v>0</v>
      </c>
      <c r="U223" s="148">
        <v>783891347683</v>
      </c>
      <c r="V223" s="150">
        <v>0</v>
      </c>
      <c r="W223" s="148">
        <v>0</v>
      </c>
      <c r="X223" s="148">
        <v>0</v>
      </c>
      <c r="Y223" s="150">
        <v>0</v>
      </c>
      <c r="Z223" s="148">
        <v>0</v>
      </c>
      <c r="AA223" s="148">
        <v>0</v>
      </c>
      <c r="AB223" s="150">
        <v>0</v>
      </c>
    </row>
    <row r="224" spans="1:28" ht="49.5" customHeight="1">
      <c r="A224" s="32" t="e">
        <v>#REF!</v>
      </c>
      <c r="B224" s="132" t="s">
        <v>732</v>
      </c>
      <c r="C224" s="133" t="s">
        <v>167</v>
      </c>
      <c r="D224" s="133" t="s">
        <v>190</v>
      </c>
      <c r="E224" s="133" t="s">
        <v>172</v>
      </c>
      <c r="F224" s="133">
        <v>24</v>
      </c>
      <c r="G224" s="133"/>
      <c r="H224" s="133"/>
      <c r="I224" s="133"/>
      <c r="J224" s="133"/>
      <c r="K224" s="134"/>
      <c r="L224" s="134" t="s">
        <v>249</v>
      </c>
      <c r="M224" s="135">
        <v>7237101000000</v>
      </c>
      <c r="N224" s="136">
        <v>0</v>
      </c>
      <c r="O224" s="136">
        <v>0</v>
      </c>
      <c r="P224" s="135">
        <v>832906720.83000004</v>
      </c>
      <c r="Q224" s="135">
        <v>832906720.83000004</v>
      </c>
      <c r="R224" s="136">
        <v>0</v>
      </c>
      <c r="S224" s="135">
        <v>7237101000000</v>
      </c>
      <c r="T224" s="135">
        <v>1384005220026.3999</v>
      </c>
      <c r="U224" s="135">
        <v>5853095779973.5996</v>
      </c>
      <c r="V224" s="137">
        <v>0.19123751624115787</v>
      </c>
      <c r="W224" s="135">
        <v>1360784094227.1201</v>
      </c>
      <c r="X224" s="135">
        <v>23221125799.280003</v>
      </c>
      <c r="Y224" s="137">
        <v>1.6778206803899957E-2</v>
      </c>
      <c r="Z224" s="135">
        <v>1360516470579.1201</v>
      </c>
      <c r="AA224" s="135">
        <v>267623648</v>
      </c>
      <c r="AB224" s="723">
        <v>0.98302842423756776</v>
      </c>
    </row>
    <row r="225" spans="1:51" ht="32.25" customHeight="1">
      <c r="A225" s="32" t="e">
        <v>#REF!</v>
      </c>
      <c r="B225" s="138" t="s">
        <v>733</v>
      </c>
      <c r="C225" s="139" t="s">
        <v>167</v>
      </c>
      <c r="D225" s="139" t="s">
        <v>190</v>
      </c>
      <c r="E225" s="139" t="s">
        <v>172</v>
      </c>
      <c r="F225" s="139">
        <v>24</v>
      </c>
      <c r="G225" s="139" t="s">
        <v>175</v>
      </c>
      <c r="H225" s="139">
        <v>4103061</v>
      </c>
      <c r="I225" s="139"/>
      <c r="J225" s="139">
        <v>13</v>
      </c>
      <c r="K225" s="140" t="s">
        <v>29</v>
      </c>
      <c r="L225" s="140" t="s">
        <v>231</v>
      </c>
      <c r="M225" s="141">
        <v>7237101000000</v>
      </c>
      <c r="N225" s="142">
        <v>0</v>
      </c>
      <c r="O225" s="142">
        <v>0</v>
      </c>
      <c r="P225" s="141">
        <v>832906720.83000004</v>
      </c>
      <c r="Q225" s="141">
        <v>832906720.83000004</v>
      </c>
      <c r="R225" s="142">
        <v>0</v>
      </c>
      <c r="S225" s="141">
        <v>7237101000000</v>
      </c>
      <c r="T225" s="141">
        <v>1384005220026.3999</v>
      </c>
      <c r="U225" s="141">
        <v>5853095779973.5996</v>
      </c>
      <c r="V225" s="143">
        <v>0.19123751624115787</v>
      </c>
      <c r="W225" s="141">
        <v>1360784094227.1201</v>
      </c>
      <c r="X225" s="141">
        <v>23221125799.280003</v>
      </c>
      <c r="Y225" s="143">
        <v>1.6778206803899957E-2</v>
      </c>
      <c r="Z225" s="141">
        <v>1360516470579.1201</v>
      </c>
      <c r="AA225" s="141">
        <v>267623648</v>
      </c>
      <c r="AB225" s="724">
        <v>0.98302842423756776</v>
      </c>
    </row>
    <row r="226" spans="1:51" ht="24.95" customHeight="1">
      <c r="A226" s="32" t="e">
        <v>#REF!</v>
      </c>
      <c r="B226" s="144" t="s">
        <v>734</v>
      </c>
      <c r="C226" s="145" t="s">
        <v>167</v>
      </c>
      <c r="D226" s="145" t="s">
        <v>190</v>
      </c>
      <c r="E226" s="145" t="s">
        <v>172</v>
      </c>
      <c r="F226" s="145">
        <v>24</v>
      </c>
      <c r="G226" s="145" t="s">
        <v>175</v>
      </c>
      <c r="H226" s="145">
        <v>4103061</v>
      </c>
      <c r="I226" s="145" t="s">
        <v>54</v>
      </c>
      <c r="J226" s="145">
        <v>13</v>
      </c>
      <c r="K226" s="146" t="s">
        <v>29</v>
      </c>
      <c r="L226" s="147" t="s">
        <v>178</v>
      </c>
      <c r="M226" s="148">
        <v>99347732574</v>
      </c>
      <c r="N226" s="148"/>
      <c r="O226" s="148"/>
      <c r="P226" s="148">
        <v>832906720.83000004</v>
      </c>
      <c r="Q226" s="148">
        <v>0</v>
      </c>
      <c r="R226" s="148">
        <v>0</v>
      </c>
      <c r="S226" s="148">
        <v>100180639294.83</v>
      </c>
      <c r="T226" s="148">
        <v>19922960026.400002</v>
      </c>
      <c r="U226" s="148">
        <v>80257679268.429993</v>
      </c>
      <c r="V226" s="150">
        <v>0.19887036224401655</v>
      </c>
      <c r="W226" s="148">
        <v>2634734227.1199999</v>
      </c>
      <c r="X226" s="148">
        <v>17288225799.280003</v>
      </c>
      <c r="Y226" s="150">
        <v>0.86775387675181292</v>
      </c>
      <c r="Z226" s="148">
        <v>2367110579.1199999</v>
      </c>
      <c r="AA226" s="148">
        <v>267623648</v>
      </c>
      <c r="AB226" s="150">
        <v>0.11881319723491546</v>
      </c>
    </row>
    <row r="227" spans="1:51" ht="24.95" customHeight="1">
      <c r="A227" s="32" t="e">
        <v>#REF!</v>
      </c>
      <c r="B227" s="144" t="s">
        <v>735</v>
      </c>
      <c r="C227" s="145" t="s">
        <v>167</v>
      </c>
      <c r="D227" s="145" t="s">
        <v>190</v>
      </c>
      <c r="E227" s="145" t="s">
        <v>172</v>
      </c>
      <c r="F227" s="145">
        <v>24</v>
      </c>
      <c r="G227" s="145" t="s">
        <v>175</v>
      </c>
      <c r="H227" s="145">
        <v>4103061</v>
      </c>
      <c r="I227" s="145" t="s">
        <v>65</v>
      </c>
      <c r="J227" s="145">
        <v>13</v>
      </c>
      <c r="K227" s="146" t="s">
        <v>29</v>
      </c>
      <c r="L227" s="147" t="s">
        <v>127</v>
      </c>
      <c r="M227" s="148">
        <v>7137753267426</v>
      </c>
      <c r="N227" s="148"/>
      <c r="O227" s="148"/>
      <c r="P227" s="148"/>
      <c r="Q227" s="148">
        <v>832906720.83000004</v>
      </c>
      <c r="R227" s="148">
        <v>0</v>
      </c>
      <c r="S227" s="148">
        <v>7136920360705.1699</v>
      </c>
      <c r="T227" s="148">
        <v>1364082260000</v>
      </c>
      <c r="U227" s="148">
        <v>5772838100705.1699</v>
      </c>
      <c r="V227" s="150">
        <v>0.1911303743152909</v>
      </c>
      <c r="W227" s="148">
        <v>1358149360000</v>
      </c>
      <c r="X227" s="148">
        <v>5932900000</v>
      </c>
      <c r="Y227" s="150">
        <v>4.3493711295680953E-3</v>
      </c>
      <c r="Z227" s="148">
        <v>1358149360000</v>
      </c>
      <c r="AA227" s="148">
        <v>0</v>
      </c>
      <c r="AB227" s="150">
        <v>0.99565062887043188</v>
      </c>
    </row>
    <row r="228" spans="1:51" ht="36.75" customHeight="1">
      <c r="A228" s="32" t="e">
        <v>#REF!</v>
      </c>
      <c r="B228" s="124" t="s">
        <v>544</v>
      </c>
      <c r="C228" s="123" t="s">
        <v>167</v>
      </c>
      <c r="D228" s="123">
        <v>4199</v>
      </c>
      <c r="E228" s="123"/>
      <c r="F228" s="123"/>
      <c r="G228" s="123"/>
      <c r="H228" s="123"/>
      <c r="I228" s="123"/>
      <c r="J228" s="124"/>
      <c r="K228" s="124"/>
      <c r="L228" s="124" t="s">
        <v>250</v>
      </c>
      <c r="M228" s="125">
        <v>5000000000</v>
      </c>
      <c r="N228" s="719">
        <v>0</v>
      </c>
      <c r="O228" s="719">
        <v>0</v>
      </c>
      <c r="P228" s="719">
        <v>0</v>
      </c>
      <c r="Q228" s="719">
        <v>0</v>
      </c>
      <c r="R228" s="719">
        <v>0</v>
      </c>
      <c r="S228" s="125">
        <v>5000000000</v>
      </c>
      <c r="T228" s="125">
        <v>606264266</v>
      </c>
      <c r="U228" s="125">
        <v>4393735734</v>
      </c>
      <c r="V228" s="126">
        <v>0.1212528532</v>
      </c>
      <c r="W228" s="125">
        <v>606264266</v>
      </c>
      <c r="X228" s="125">
        <v>0</v>
      </c>
      <c r="Y228" s="126">
        <v>0</v>
      </c>
      <c r="Z228" s="125">
        <v>606264266</v>
      </c>
      <c r="AA228" s="125">
        <v>0</v>
      </c>
      <c r="AB228" s="720">
        <v>1</v>
      </c>
    </row>
    <row r="229" spans="1:51" ht="24" customHeight="1">
      <c r="A229" s="32" t="e">
        <v>#REF!</v>
      </c>
      <c r="B229" s="129" t="s">
        <v>300</v>
      </c>
      <c r="C229" s="128" t="s">
        <v>167</v>
      </c>
      <c r="D229" s="128">
        <v>4199</v>
      </c>
      <c r="E229" s="128">
        <v>1500</v>
      </c>
      <c r="F229" s="128"/>
      <c r="G229" s="128"/>
      <c r="H229" s="128"/>
      <c r="I229" s="128"/>
      <c r="J229" s="129"/>
      <c r="K229" s="129"/>
      <c r="L229" s="129" t="s">
        <v>170</v>
      </c>
      <c r="M229" s="130">
        <v>5000000000</v>
      </c>
      <c r="N229" s="721">
        <v>0</v>
      </c>
      <c r="O229" s="721">
        <v>0</v>
      </c>
      <c r="P229" s="721">
        <v>0</v>
      </c>
      <c r="Q229" s="721">
        <v>0</v>
      </c>
      <c r="R229" s="721">
        <v>0</v>
      </c>
      <c r="S229" s="130">
        <v>5000000000</v>
      </c>
      <c r="T229" s="130">
        <v>606264266</v>
      </c>
      <c r="U229" s="130">
        <v>4393735734</v>
      </c>
      <c r="V229" s="131">
        <v>0.1212528532</v>
      </c>
      <c r="W229" s="130">
        <v>606264266</v>
      </c>
      <c r="X229" s="130">
        <v>0</v>
      </c>
      <c r="Y229" s="131">
        <v>0</v>
      </c>
      <c r="Z229" s="130">
        <v>606264266</v>
      </c>
      <c r="AA229" s="130">
        <v>0</v>
      </c>
      <c r="AB229" s="722">
        <v>1</v>
      </c>
    </row>
    <row r="230" spans="1:51" ht="37.5" customHeight="1">
      <c r="A230" s="32" t="e">
        <v>#REF!</v>
      </c>
      <c r="B230" s="132" t="s">
        <v>547</v>
      </c>
      <c r="C230" s="133" t="s">
        <v>167</v>
      </c>
      <c r="D230" s="133" t="s">
        <v>251</v>
      </c>
      <c r="E230" s="133" t="s">
        <v>172</v>
      </c>
      <c r="F230" s="133" t="s">
        <v>252</v>
      </c>
      <c r="G230" s="133"/>
      <c r="H230" s="133"/>
      <c r="I230" s="133"/>
      <c r="J230" s="133"/>
      <c r="K230" s="134"/>
      <c r="L230" s="134" t="s">
        <v>274</v>
      </c>
      <c r="M230" s="135">
        <v>5000000000</v>
      </c>
      <c r="N230" s="136">
        <v>0</v>
      </c>
      <c r="O230" s="136">
        <v>0</v>
      </c>
      <c r="P230" s="136">
        <v>0</v>
      </c>
      <c r="Q230" s="136">
        <v>0</v>
      </c>
      <c r="R230" s="136">
        <v>0</v>
      </c>
      <c r="S230" s="135">
        <v>5000000000</v>
      </c>
      <c r="T230" s="135">
        <v>606264266</v>
      </c>
      <c r="U230" s="135">
        <v>4393735734</v>
      </c>
      <c r="V230" s="137">
        <v>0.1212528532</v>
      </c>
      <c r="W230" s="135">
        <v>606264266</v>
      </c>
      <c r="X230" s="135">
        <v>0</v>
      </c>
      <c r="Y230" s="137">
        <v>0</v>
      </c>
      <c r="Z230" s="135">
        <v>606264266</v>
      </c>
      <c r="AA230" s="135">
        <v>0</v>
      </c>
      <c r="AB230" s="723">
        <v>1</v>
      </c>
    </row>
    <row r="231" spans="1:51" ht="32.25" customHeight="1">
      <c r="A231" s="32" t="e">
        <v>#REF!</v>
      </c>
      <c r="B231" s="138" t="s">
        <v>548</v>
      </c>
      <c r="C231" s="139" t="s">
        <v>167</v>
      </c>
      <c r="D231" s="139" t="s">
        <v>251</v>
      </c>
      <c r="E231" s="139" t="s">
        <v>172</v>
      </c>
      <c r="F231" s="139" t="s">
        <v>252</v>
      </c>
      <c r="G231" s="139" t="s">
        <v>175</v>
      </c>
      <c r="H231" s="139" t="s">
        <v>254</v>
      </c>
      <c r="I231" s="139"/>
      <c r="J231" s="139">
        <v>13</v>
      </c>
      <c r="K231" s="140" t="s">
        <v>29</v>
      </c>
      <c r="L231" s="140" t="s">
        <v>255</v>
      </c>
      <c r="M231" s="141">
        <v>5000000000</v>
      </c>
      <c r="N231" s="142">
        <v>0</v>
      </c>
      <c r="O231" s="142">
        <v>0</v>
      </c>
      <c r="P231" s="142">
        <v>0</v>
      </c>
      <c r="Q231" s="142">
        <v>0</v>
      </c>
      <c r="R231" s="142">
        <v>0</v>
      </c>
      <c r="S231" s="141">
        <v>5000000000</v>
      </c>
      <c r="T231" s="141">
        <v>606264266</v>
      </c>
      <c r="U231" s="141">
        <v>4393735734</v>
      </c>
      <c r="V231" s="143">
        <v>0.1212528532</v>
      </c>
      <c r="W231" s="141">
        <v>606264266</v>
      </c>
      <c r="X231" s="141">
        <v>0</v>
      </c>
      <c r="Y231" s="143">
        <v>0</v>
      </c>
      <c r="Z231" s="141">
        <v>606264266</v>
      </c>
      <c r="AA231" s="141">
        <v>0</v>
      </c>
      <c r="AB231" s="724">
        <v>1</v>
      </c>
    </row>
    <row r="232" spans="1:51" ht="24.95" customHeight="1">
      <c r="A232" s="32" t="e">
        <v>#REF!</v>
      </c>
      <c r="B232" s="144" t="s">
        <v>549</v>
      </c>
      <c r="C232" s="145" t="s">
        <v>167</v>
      </c>
      <c r="D232" s="145" t="s">
        <v>251</v>
      </c>
      <c r="E232" s="145" t="s">
        <v>172</v>
      </c>
      <c r="F232" s="145" t="s">
        <v>252</v>
      </c>
      <c r="G232" s="145" t="s">
        <v>175</v>
      </c>
      <c r="H232" s="145" t="s">
        <v>254</v>
      </c>
      <c r="I232" s="145" t="s">
        <v>54</v>
      </c>
      <c r="J232" s="145">
        <v>13</v>
      </c>
      <c r="K232" s="146" t="s">
        <v>29</v>
      </c>
      <c r="L232" s="147" t="s">
        <v>178</v>
      </c>
      <c r="M232" s="148">
        <v>5000000000</v>
      </c>
      <c r="N232" s="148">
        <v>0</v>
      </c>
      <c r="O232" s="148">
        <v>0</v>
      </c>
      <c r="P232" s="148">
        <v>0</v>
      </c>
      <c r="Q232" s="148">
        <v>0</v>
      </c>
      <c r="R232" s="148">
        <v>0</v>
      </c>
      <c r="S232" s="148">
        <v>5000000000</v>
      </c>
      <c r="T232" s="148">
        <v>606264266</v>
      </c>
      <c r="U232" s="148">
        <v>4393735734</v>
      </c>
      <c r="V232" s="150">
        <v>0.1212528532</v>
      </c>
      <c r="W232" s="148">
        <v>606264266</v>
      </c>
      <c r="X232" s="148">
        <v>0</v>
      </c>
      <c r="Y232" s="150">
        <v>0</v>
      </c>
      <c r="Z232" s="148">
        <v>606264266</v>
      </c>
      <c r="AA232" s="148">
        <v>0</v>
      </c>
      <c r="AB232" s="150">
        <v>1</v>
      </c>
    </row>
    <row r="233" spans="1:51" ht="35.1" customHeight="1">
      <c r="A233" s="32"/>
      <c r="B233" s="118"/>
      <c r="C233" s="118"/>
      <c r="D233" s="119"/>
      <c r="E233" s="119"/>
      <c r="F233" s="119"/>
      <c r="G233" s="119"/>
      <c r="H233" s="119"/>
      <c r="I233" s="119"/>
      <c r="J233" s="119"/>
      <c r="K233" s="119"/>
      <c r="L233" s="119" t="s">
        <v>256</v>
      </c>
      <c r="M233" s="120">
        <v>13107834876291</v>
      </c>
      <c r="N233" s="120">
        <v>5269349000</v>
      </c>
      <c r="O233" s="120">
        <v>0</v>
      </c>
      <c r="P233" s="120">
        <v>64758908977.980003</v>
      </c>
      <c r="Q233" s="120">
        <v>64758908977.980003</v>
      </c>
      <c r="R233" s="120">
        <v>10390000000</v>
      </c>
      <c r="S233" s="120">
        <v>13102714225291</v>
      </c>
      <c r="T233" s="120">
        <v>4425824230327.0801</v>
      </c>
      <c r="U233" s="120">
        <v>8676889994963.9199</v>
      </c>
      <c r="V233" s="121">
        <v>0.33777919248092175</v>
      </c>
      <c r="W233" s="120">
        <v>2879519721603.1401</v>
      </c>
      <c r="X233" s="120">
        <v>1546304508723.9399</v>
      </c>
      <c r="Y233" s="121">
        <v>0.349382268307945</v>
      </c>
      <c r="Z233" s="120">
        <v>2877973536912.1401</v>
      </c>
      <c r="AA233" s="120">
        <v>1546184691</v>
      </c>
      <c r="AB233" s="718">
        <v>0.6502683764961561</v>
      </c>
    </row>
    <row r="234" spans="1:51" s="90" customFormat="1" ht="16.5">
      <c r="A234" s="32"/>
      <c r="B234" s="32"/>
      <c r="C234" s="82"/>
      <c r="D234" s="82"/>
      <c r="E234" s="82"/>
      <c r="F234" s="82"/>
      <c r="G234" s="82"/>
      <c r="H234" s="83"/>
      <c r="I234" s="84"/>
      <c r="J234" s="84"/>
      <c r="K234" s="85"/>
      <c r="L234" s="84"/>
      <c r="M234" s="86"/>
      <c r="N234" s="86"/>
      <c r="O234" s="86"/>
      <c r="P234" s="86"/>
      <c r="Q234" s="86"/>
      <c r="R234" s="86"/>
      <c r="S234" s="86"/>
      <c r="T234" s="86"/>
      <c r="U234" s="86"/>
      <c r="V234" s="87"/>
      <c r="W234" s="88"/>
      <c r="X234" s="86"/>
      <c r="Y234" s="87"/>
      <c r="Z234" s="86"/>
      <c r="AA234" s="86"/>
      <c r="AB234" s="89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</row>
    <row r="235" spans="1:51" s="8" customFormat="1" ht="16.5">
      <c r="A235" s="32" t="e">
        <v>#REF!</v>
      </c>
      <c r="B235" s="32"/>
      <c r="C235" s="91"/>
      <c r="D235" s="91"/>
      <c r="E235" s="91"/>
      <c r="F235" s="91"/>
      <c r="G235" s="91"/>
      <c r="H235" s="92"/>
      <c r="I235" s="93"/>
      <c r="J235" s="93"/>
      <c r="K235" s="94"/>
      <c r="L235" s="93"/>
      <c r="M235" s="95">
        <v>13107834876291</v>
      </c>
      <c r="N235" s="95">
        <v>5269349000</v>
      </c>
      <c r="O235" s="95">
        <v>0</v>
      </c>
      <c r="P235" s="95">
        <v>64758908977.979996</v>
      </c>
      <c r="Q235" s="95">
        <v>64758908977.979996</v>
      </c>
      <c r="R235" s="95">
        <v>10390000000</v>
      </c>
      <c r="S235" s="95">
        <v>13102714225291</v>
      </c>
      <c r="T235" s="95">
        <v>4425824230327.0801</v>
      </c>
      <c r="U235" s="95">
        <v>8676889994963.9199</v>
      </c>
      <c r="V235" s="361">
        <v>0.33777919248092175</v>
      </c>
      <c r="W235" s="95">
        <v>2879519721603.1401</v>
      </c>
      <c r="X235" s="95">
        <v>1546304508723.9399</v>
      </c>
      <c r="Y235" s="361">
        <v>0.349382268307945</v>
      </c>
      <c r="Z235" s="95">
        <v>2877973536912.1401</v>
      </c>
      <c r="AA235" s="95">
        <v>1546184691</v>
      </c>
      <c r="AB235" s="361">
        <v>0.6502683764961561</v>
      </c>
    </row>
    <row r="236" spans="1:51" s="8" customFormat="1" ht="16.5">
      <c r="A236" s="32"/>
      <c r="B236" s="32"/>
      <c r="C236" s="94"/>
      <c r="D236" s="93"/>
      <c r="E236" s="93"/>
      <c r="F236" s="93"/>
      <c r="G236" s="93"/>
      <c r="H236" s="93"/>
      <c r="I236" s="93"/>
      <c r="J236" s="93"/>
      <c r="K236" s="94"/>
      <c r="L236" s="97"/>
      <c r="M236" s="362">
        <v>0</v>
      </c>
      <c r="N236" s="362">
        <v>0</v>
      </c>
      <c r="O236" s="362">
        <v>0</v>
      </c>
      <c r="P236" s="362">
        <v>0</v>
      </c>
      <c r="Q236" s="362">
        <v>0</v>
      </c>
      <c r="R236" s="362">
        <v>0</v>
      </c>
      <c r="S236" s="362">
        <v>0</v>
      </c>
      <c r="T236" s="362">
        <v>0</v>
      </c>
      <c r="U236" s="362">
        <v>0</v>
      </c>
      <c r="V236" s="363"/>
      <c r="W236" s="362">
        <v>0</v>
      </c>
      <c r="X236" s="362">
        <v>0</v>
      </c>
      <c r="Y236" s="363"/>
      <c r="Z236" s="362">
        <v>0</v>
      </c>
      <c r="AA236" s="362">
        <v>0</v>
      </c>
      <c r="AB236" s="363"/>
    </row>
    <row r="237" spans="1:51" s="374" customFormat="1" ht="16.5">
      <c r="A237" s="369"/>
      <c r="B237" s="375"/>
      <c r="C237" s="370"/>
      <c r="D237" s="371"/>
      <c r="E237" s="371"/>
      <c r="F237" s="371"/>
      <c r="G237" s="371"/>
      <c r="H237" s="371"/>
      <c r="I237" s="371"/>
      <c r="J237" s="371"/>
      <c r="K237" s="370"/>
      <c r="L237" s="86"/>
      <c r="M237" s="359"/>
      <c r="N237" s="359"/>
      <c r="O237" s="359"/>
      <c r="P237" s="359"/>
      <c r="Q237" s="359"/>
      <c r="R237" s="359"/>
      <c r="S237" s="359"/>
      <c r="T237" s="359"/>
      <c r="U237" s="359"/>
      <c r="V237" s="372"/>
      <c r="W237" s="359"/>
      <c r="X237" s="359"/>
      <c r="Y237" s="372"/>
      <c r="Z237" s="359"/>
      <c r="AA237" s="359"/>
      <c r="AB237" s="37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</row>
    <row r="238" spans="1:51" ht="18">
      <c r="A238" s="30"/>
      <c r="B238" s="31"/>
      <c r="C238" s="312"/>
      <c r="D238" s="317"/>
      <c r="E238" s="312"/>
      <c r="F238" s="312"/>
      <c r="G238" s="312"/>
      <c r="H238" s="312"/>
      <c r="I238" s="312"/>
      <c r="J238" s="312"/>
      <c r="K238" s="317"/>
      <c r="L238" s="312"/>
      <c r="M238" s="335"/>
      <c r="N238" s="364"/>
      <c r="O238" s="332"/>
      <c r="P238" s="332"/>
      <c r="Q238" s="633"/>
      <c r="R238" s="633"/>
      <c r="S238" s="359"/>
      <c r="T238" s="332"/>
      <c r="U238" s="332"/>
      <c r="V238" s="333"/>
      <c r="W238" s="332"/>
      <c r="X238" s="332"/>
      <c r="Y238" s="333"/>
      <c r="Z238" s="332"/>
      <c r="AA238" s="332"/>
      <c r="AB238" s="333"/>
    </row>
    <row r="239" spans="1:51" ht="18">
      <c r="A239" s="30"/>
      <c r="B239" s="31"/>
      <c r="C239" s="312"/>
      <c r="D239" s="317"/>
      <c r="E239" s="312"/>
      <c r="F239" s="312"/>
      <c r="G239" s="312"/>
      <c r="H239" s="312"/>
      <c r="I239" s="312"/>
      <c r="J239" s="312"/>
      <c r="K239" s="317"/>
      <c r="L239" s="312"/>
      <c r="M239" s="332"/>
      <c r="N239" s="632"/>
      <c r="O239" s="332"/>
      <c r="P239" s="359"/>
      <c r="Q239" s="633"/>
      <c r="R239" s="633"/>
      <c r="S239" s="332"/>
      <c r="T239" s="332"/>
      <c r="U239" s="332"/>
      <c r="V239" s="333"/>
      <c r="W239" s="332"/>
      <c r="X239" s="332"/>
      <c r="Y239" s="333"/>
      <c r="Z239" s="332"/>
      <c r="AA239" s="332"/>
      <c r="AB239" s="333"/>
    </row>
    <row r="240" spans="1:51" ht="18">
      <c r="A240" s="1"/>
      <c r="B240" s="2"/>
      <c r="C240" s="312"/>
      <c r="D240" s="312"/>
      <c r="E240" s="312"/>
      <c r="F240" s="312"/>
      <c r="G240" s="312"/>
      <c r="H240" s="312"/>
      <c r="I240" s="312"/>
      <c r="J240" s="312"/>
      <c r="K240" s="317"/>
      <c r="L240" s="312"/>
      <c r="M240" s="332"/>
      <c r="N240" s="632"/>
      <c r="O240" s="332"/>
      <c r="P240" s="332"/>
      <c r="Q240" s="332"/>
      <c r="R240" s="332"/>
      <c r="S240" s="332"/>
      <c r="T240" s="332"/>
      <c r="U240" s="332"/>
      <c r="V240" s="333"/>
      <c r="W240" s="332"/>
      <c r="X240" s="631"/>
      <c r="Y240" s="333"/>
      <c r="Z240" s="332"/>
      <c r="AA240" s="332"/>
      <c r="AB240" s="333"/>
      <c r="AC240" s="315"/>
    </row>
    <row r="241" spans="1:28" ht="30">
      <c r="A241" s="1"/>
      <c r="B241" s="2"/>
      <c r="C241" s="318"/>
      <c r="D241" s="318"/>
      <c r="E241" s="318"/>
      <c r="F241" s="318"/>
      <c r="G241" s="318"/>
      <c r="H241" s="318"/>
      <c r="I241" s="312"/>
      <c r="J241" s="312"/>
      <c r="K241" s="317"/>
      <c r="L241" s="336" t="s">
        <v>738</v>
      </c>
      <c r="M241" s="628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20"/>
      <c r="Z241" s="376"/>
      <c r="AA241" s="319"/>
      <c r="AB241" s="319"/>
    </row>
    <row r="242" spans="1:28" ht="30">
      <c r="A242" s="1"/>
      <c r="B242" s="2"/>
      <c r="C242" s="321"/>
      <c r="D242" s="322"/>
      <c r="E242" s="322"/>
      <c r="F242" s="322"/>
      <c r="G242" s="322"/>
      <c r="H242" s="322"/>
      <c r="I242" s="322"/>
      <c r="J242" s="322"/>
      <c r="K242" s="321"/>
      <c r="L242" s="337" t="s">
        <v>739</v>
      </c>
      <c r="M242" s="628"/>
      <c r="O242" s="323"/>
      <c r="P242" s="323"/>
      <c r="Q242" s="323"/>
      <c r="R242" s="323"/>
      <c r="S242" s="360"/>
      <c r="T242" s="323"/>
      <c r="U242" s="323"/>
      <c r="V242" s="323"/>
      <c r="W242" s="323"/>
      <c r="X242" s="323"/>
      <c r="Y242" s="324"/>
      <c r="Z242" s="323"/>
      <c r="AA242" s="323"/>
      <c r="AB242" s="323"/>
    </row>
    <row r="243" spans="1:28" ht="30">
      <c r="A243" s="325"/>
      <c r="B243" s="313"/>
      <c r="C243" s="308"/>
      <c r="D243" s="308"/>
      <c r="E243" s="308"/>
      <c r="F243" s="308"/>
      <c r="G243" s="308"/>
      <c r="H243" s="308"/>
      <c r="I243" s="308"/>
      <c r="J243" s="308"/>
      <c r="K243" s="336"/>
      <c r="L243" s="308"/>
      <c r="M243" s="628"/>
      <c r="O243" s="309"/>
      <c r="P243" s="309"/>
      <c r="Q243" s="630"/>
      <c r="R243" s="630"/>
      <c r="S243" s="334"/>
      <c r="T243" s="334"/>
      <c r="U243" s="629"/>
      <c r="V243" s="329"/>
      <c r="W243" s="329"/>
      <c r="X243" s="329"/>
      <c r="Y243" s="329"/>
    </row>
    <row r="244" spans="1:28" ht="16.5">
      <c r="M244" s="628"/>
      <c r="N244" s="628"/>
    </row>
    <row r="245" spans="1:28" ht="16.5">
      <c r="M245" s="628"/>
      <c r="N245" s="628"/>
    </row>
    <row r="246" spans="1:28" ht="16.5">
      <c r="M246" s="628"/>
    </row>
    <row r="247" spans="1:28" ht="16.5">
      <c r="M247" s="628"/>
    </row>
    <row r="248" spans="1:28" ht="16.5">
      <c r="M248" s="628"/>
    </row>
  </sheetData>
  <sheetProtection selectLockedCells="1" selectUnlockedCells="1"/>
  <mergeCells count="12">
    <mergeCell ref="C5:I5"/>
    <mergeCell ref="J5:J6"/>
    <mergeCell ref="L5:L6"/>
    <mergeCell ref="M5:M6"/>
    <mergeCell ref="N5:O5"/>
    <mergeCell ref="R5:R6"/>
    <mergeCell ref="T5:V5"/>
    <mergeCell ref="W5:Y5"/>
    <mergeCell ref="Z5:AB5"/>
    <mergeCell ref="M2:AB2"/>
    <mergeCell ref="M3:AB3"/>
    <mergeCell ref="P5:Q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A912-FD57-4FB9-86F0-C1A4571CF55C}">
  <sheetPr>
    <tabColor rgb="FF00B0F0"/>
    <pageSetUpPr fitToPage="1"/>
  </sheetPr>
  <dimension ref="A1:BB248"/>
  <sheetViews>
    <sheetView showGridLines="0" zoomScale="75" zoomScaleNormal="75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67.5703125" style="9" customWidth="1"/>
    <col min="13" max="13" width="28.8554687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27" style="13" customWidth="1"/>
    <col min="19" max="19" width="29.42578125" style="13" customWidth="1"/>
    <col min="20" max="20" width="28.7109375" style="13" customWidth="1"/>
    <col min="21" max="21" width="27.140625" style="13" customWidth="1"/>
    <col min="22" max="22" width="15.85546875" style="13" customWidth="1"/>
    <col min="23" max="23" width="30.42578125" style="13" customWidth="1"/>
    <col min="24" max="24" width="19.85546875" style="13" customWidth="1"/>
    <col min="25" max="25" width="12.5703125" style="13" customWidth="1"/>
    <col min="26" max="26" width="29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932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926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27.75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888760579.75</v>
      </c>
      <c r="Q8" s="120">
        <v>888760579.75</v>
      </c>
      <c r="R8" s="120">
        <v>10390000000</v>
      </c>
      <c r="S8" s="120">
        <v>180813900000</v>
      </c>
      <c r="T8" s="120">
        <v>66145894634.549995</v>
      </c>
      <c r="U8" s="120">
        <v>114668005365.45001</v>
      </c>
      <c r="V8" s="121">
        <v>0.36582306246671298</v>
      </c>
      <c r="W8" s="120">
        <v>55873957190.040001</v>
      </c>
      <c r="X8" s="120">
        <v>10271937444.509998</v>
      </c>
      <c r="Y8" s="121">
        <v>0.15529213870734551</v>
      </c>
      <c r="Z8" s="120">
        <v>54843755177.059998</v>
      </c>
      <c r="AA8" s="120">
        <v>1030202012.98</v>
      </c>
      <c r="AB8" s="718">
        <v>0.82913316812882676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719">
        <v>0</v>
      </c>
      <c r="Q9" s="719">
        <v>0</v>
      </c>
      <c r="R9" s="719">
        <v>0</v>
      </c>
      <c r="S9" s="125">
        <v>118340000000</v>
      </c>
      <c r="T9" s="125">
        <v>43941065060</v>
      </c>
      <c r="U9" s="125">
        <v>74398934940</v>
      </c>
      <c r="V9" s="126">
        <v>0.37131202518167988</v>
      </c>
      <c r="W9" s="125">
        <v>41239929888</v>
      </c>
      <c r="X9" s="125">
        <v>2701135172</v>
      </c>
      <c r="Y9" s="126">
        <v>6.1471772891979144E-2</v>
      </c>
      <c r="Z9" s="125">
        <v>40743348921</v>
      </c>
      <c r="AA9" s="125">
        <v>496580967</v>
      </c>
      <c r="AB9" s="720">
        <v>0.92722715904510666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721">
        <v>0</v>
      </c>
      <c r="Q10" s="721">
        <v>0</v>
      </c>
      <c r="R10" s="721">
        <v>0</v>
      </c>
      <c r="S10" s="130">
        <v>118340000000</v>
      </c>
      <c r="T10" s="130">
        <v>43941065060</v>
      </c>
      <c r="U10" s="130">
        <v>74398934940</v>
      </c>
      <c r="V10" s="131">
        <v>0.37131202518167988</v>
      </c>
      <c r="W10" s="130">
        <v>41239929888</v>
      </c>
      <c r="X10" s="130">
        <v>2701135172</v>
      </c>
      <c r="Y10" s="131">
        <v>6.1471772891979144E-2</v>
      </c>
      <c r="Z10" s="130">
        <v>40743348921</v>
      </c>
      <c r="AA10" s="130">
        <v>496580967</v>
      </c>
      <c r="AB10" s="722">
        <v>0.92722715904510666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5">
        <v>81484000000</v>
      </c>
      <c r="T11" s="135">
        <v>27049351798</v>
      </c>
      <c r="U11" s="135">
        <v>54434648202</v>
      </c>
      <c r="V11" s="137">
        <v>0.33195905696823919</v>
      </c>
      <c r="W11" s="135">
        <v>27015875659</v>
      </c>
      <c r="X11" s="135">
        <v>33476139</v>
      </c>
      <c r="Y11" s="137">
        <v>1.23759486918556E-3</v>
      </c>
      <c r="Z11" s="135">
        <v>27015875659</v>
      </c>
      <c r="AA11" s="135">
        <v>0</v>
      </c>
      <c r="AB11" s="723">
        <v>0.99876240513081449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1">
        <v>81484000000</v>
      </c>
      <c r="T12" s="141">
        <v>27049351798</v>
      </c>
      <c r="U12" s="141">
        <v>54434648202</v>
      </c>
      <c r="V12" s="143">
        <v>0.33195905696823919</v>
      </c>
      <c r="W12" s="141">
        <v>27015875659</v>
      </c>
      <c r="X12" s="141">
        <v>33476139</v>
      </c>
      <c r="Y12" s="143">
        <v>1.23759486918556E-3</v>
      </c>
      <c r="Z12" s="141">
        <v>27015875659</v>
      </c>
      <c r="AA12" s="141">
        <v>0</v>
      </c>
      <c r="AB12" s="724">
        <v>0.99876240513081449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24483742318</v>
      </c>
      <c r="U13" s="148">
        <v>42591257682</v>
      </c>
      <c r="V13" s="150">
        <v>0.36502038491241146</v>
      </c>
      <c r="W13" s="148">
        <v>24464616219</v>
      </c>
      <c r="X13" s="148">
        <v>19126099</v>
      </c>
      <c r="Y13" s="150">
        <v>7.8117547356879513E-4</v>
      </c>
      <c r="Z13" s="148">
        <v>24464616219</v>
      </c>
      <c r="AA13" s="148">
        <v>0</v>
      </c>
      <c r="AB13" s="150">
        <v>0.99921882452643118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111646899</v>
      </c>
      <c r="U14" s="148">
        <v>186353101</v>
      </c>
      <c r="V14" s="150">
        <v>0.37465402348993287</v>
      </c>
      <c r="W14" s="148">
        <v>111111174</v>
      </c>
      <c r="X14" s="148">
        <v>535725</v>
      </c>
      <c r="Y14" s="150">
        <v>4.7983867424745939E-3</v>
      </c>
      <c r="Z14" s="148">
        <v>111111174</v>
      </c>
      <c r="AA14" s="148">
        <v>0</v>
      </c>
      <c r="AB14" s="150">
        <v>0.99520161325752543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184371689</v>
      </c>
      <c r="U15" s="148">
        <v>355628311</v>
      </c>
      <c r="V15" s="150">
        <v>0.34142905370370369</v>
      </c>
      <c r="W15" s="148">
        <v>182344880</v>
      </c>
      <c r="X15" s="148">
        <v>2026809</v>
      </c>
      <c r="Y15" s="150">
        <v>1.0993059785876344E-2</v>
      </c>
      <c r="Z15" s="148">
        <v>182344880</v>
      </c>
      <c r="AA15" s="148">
        <v>0</v>
      </c>
      <c r="AB15" s="150">
        <v>0.98900694021412361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37876735</v>
      </c>
      <c r="U16" s="148">
        <v>58123265</v>
      </c>
      <c r="V16" s="150">
        <v>0.39454932291666667</v>
      </c>
      <c r="W16" s="148">
        <v>37876735</v>
      </c>
      <c r="X16" s="148">
        <v>0</v>
      </c>
      <c r="Y16" s="150">
        <v>0</v>
      </c>
      <c r="Z16" s="148">
        <v>37876735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57094016</v>
      </c>
      <c r="U17" s="148">
        <v>42905984</v>
      </c>
      <c r="V17" s="150">
        <v>0.57094016000000003</v>
      </c>
      <c r="W17" s="148">
        <v>49388003</v>
      </c>
      <c r="X17" s="148">
        <v>7706013</v>
      </c>
      <c r="Y17" s="150">
        <v>0.1349705895623107</v>
      </c>
      <c r="Z17" s="148">
        <v>49388003</v>
      </c>
      <c r="AA17" s="148">
        <v>0</v>
      </c>
      <c r="AB17" s="150">
        <v>0.86502941043768933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/>
      <c r="Q18" s="148"/>
      <c r="R18" s="148"/>
      <c r="S18" s="148">
        <v>2650000000</v>
      </c>
      <c r="T18" s="148">
        <v>78751875</v>
      </c>
      <c r="U18" s="148">
        <v>2571248125</v>
      </c>
      <c r="V18" s="150">
        <v>2.9717688679245284E-2</v>
      </c>
      <c r="W18" s="148">
        <v>78751875</v>
      </c>
      <c r="X18" s="148">
        <v>0</v>
      </c>
      <c r="Y18" s="150">
        <v>0</v>
      </c>
      <c r="Z18" s="148">
        <v>78751875</v>
      </c>
      <c r="AA18" s="148">
        <v>0</v>
      </c>
      <c r="AB18" s="150">
        <v>1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922067233</v>
      </c>
      <c r="U19" s="148">
        <v>927932767</v>
      </c>
      <c r="V19" s="150">
        <v>0.49841472054054053</v>
      </c>
      <c r="W19" s="148">
        <v>922067233</v>
      </c>
      <c r="X19" s="148">
        <v>0</v>
      </c>
      <c r="Y19" s="150">
        <v>0</v>
      </c>
      <c r="Z19" s="148">
        <v>922067233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44352030</v>
      </c>
      <c r="U20" s="148">
        <v>95647970</v>
      </c>
      <c r="V20" s="150">
        <v>0.31680021428571431</v>
      </c>
      <c r="W20" s="148">
        <v>44352030</v>
      </c>
      <c r="X20" s="148">
        <v>0</v>
      </c>
      <c r="Y20" s="150">
        <v>0</v>
      </c>
      <c r="Z20" s="148">
        <v>44352030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/>
      <c r="R21" s="148"/>
      <c r="S21" s="148">
        <v>5900000000</v>
      </c>
      <c r="T21" s="148">
        <v>54515052</v>
      </c>
      <c r="U21" s="148">
        <v>5845484948</v>
      </c>
      <c r="V21" s="150">
        <v>9.2398393220338975E-3</v>
      </c>
      <c r="W21" s="148">
        <v>54515052</v>
      </c>
      <c r="X21" s="148">
        <v>0</v>
      </c>
      <c r="Y21" s="150">
        <v>0</v>
      </c>
      <c r="Z21" s="148">
        <v>54515052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1063849479</v>
      </c>
      <c r="U22" s="148">
        <v>1736150521</v>
      </c>
      <c r="V22" s="150">
        <v>0.37994624249999998</v>
      </c>
      <c r="W22" s="148">
        <v>1063849479</v>
      </c>
      <c r="X22" s="148">
        <v>0</v>
      </c>
      <c r="Y22" s="150">
        <v>0</v>
      </c>
      <c r="Z22" s="148">
        <v>1063849479</v>
      </c>
      <c r="AA22" s="148">
        <v>0</v>
      </c>
      <c r="AB22" s="150">
        <v>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11084472</v>
      </c>
      <c r="U23" s="148">
        <v>23915528</v>
      </c>
      <c r="V23" s="150">
        <v>0.31669920000000001</v>
      </c>
      <c r="W23" s="148">
        <v>7002979</v>
      </c>
      <c r="X23" s="148">
        <v>4081493</v>
      </c>
      <c r="Y23" s="150">
        <v>0.36821717804871534</v>
      </c>
      <c r="Z23" s="148">
        <v>7002979</v>
      </c>
      <c r="AA23" s="148">
        <v>0</v>
      </c>
      <c r="AB23" s="150">
        <v>0.63178282195128466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29242000000</v>
      </c>
      <c r="T24" s="135">
        <v>13421318400</v>
      </c>
      <c r="U24" s="135">
        <v>15820681600</v>
      </c>
      <c r="V24" s="137">
        <v>0.458974023664592</v>
      </c>
      <c r="W24" s="135">
        <v>10761764386</v>
      </c>
      <c r="X24" s="135">
        <v>2659554014</v>
      </c>
      <c r="Y24" s="137">
        <v>0.19815892408900754</v>
      </c>
      <c r="Z24" s="135">
        <v>10265183419</v>
      </c>
      <c r="AA24" s="136">
        <v>496580967</v>
      </c>
      <c r="AB24" s="723">
        <v>0.7648416581041696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3260233600</v>
      </c>
      <c r="U25" s="148">
        <v>5637166400</v>
      </c>
      <c r="V25" s="150">
        <v>0.36642542765302222</v>
      </c>
      <c r="W25" s="148">
        <v>3260233600</v>
      </c>
      <c r="X25" s="148">
        <v>0</v>
      </c>
      <c r="Y25" s="150">
        <v>0</v>
      </c>
      <c r="Z25" s="148">
        <v>3260233600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2320613500</v>
      </c>
      <c r="U26" s="148">
        <v>3981786500</v>
      </c>
      <c r="V26" s="150">
        <v>0.36821107831937039</v>
      </c>
      <c r="W26" s="148">
        <v>2320613500</v>
      </c>
      <c r="X26" s="148">
        <v>0</v>
      </c>
      <c r="Y26" s="150">
        <v>0</v>
      </c>
      <c r="Z26" s="148">
        <v>2320613500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2340445986</v>
      </c>
      <c r="X27" s="148">
        <v>2659554014</v>
      </c>
      <c r="Y27" s="150">
        <v>0.53191080280000003</v>
      </c>
      <c r="Z27" s="148">
        <v>1843865019</v>
      </c>
      <c r="AA27" s="148">
        <v>496580967</v>
      </c>
      <c r="AB27" s="150">
        <v>0.3687730038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1145323000</v>
      </c>
      <c r="U28" s="148">
        <v>2042377000</v>
      </c>
      <c r="V28" s="150">
        <v>0.35929447564074413</v>
      </c>
      <c r="W28" s="148">
        <v>1145323000</v>
      </c>
      <c r="X28" s="148">
        <v>0</v>
      </c>
      <c r="Y28" s="150">
        <v>0</v>
      </c>
      <c r="Z28" s="148">
        <v>1145323000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262835500</v>
      </c>
      <c r="U29" s="148">
        <v>457164500</v>
      </c>
      <c r="V29" s="150">
        <v>0.36504930555555554</v>
      </c>
      <c r="W29" s="148">
        <v>262835500</v>
      </c>
      <c r="X29" s="148">
        <v>0</v>
      </c>
      <c r="Y29" s="150">
        <v>0</v>
      </c>
      <c r="Z29" s="148">
        <v>262835500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859029800</v>
      </c>
      <c r="U30" s="148">
        <v>1555770200</v>
      </c>
      <c r="V30" s="150">
        <v>0.35573538181215836</v>
      </c>
      <c r="W30" s="148">
        <v>859029800</v>
      </c>
      <c r="X30" s="148">
        <v>0</v>
      </c>
      <c r="Y30" s="150">
        <v>0</v>
      </c>
      <c r="Z30" s="148">
        <v>859029800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143372900</v>
      </c>
      <c r="U31" s="148">
        <v>259127100</v>
      </c>
      <c r="V31" s="150">
        <v>0.35620596273291927</v>
      </c>
      <c r="W31" s="148">
        <v>143372900</v>
      </c>
      <c r="X31" s="148">
        <v>0</v>
      </c>
      <c r="Y31" s="150">
        <v>0</v>
      </c>
      <c r="Z31" s="148">
        <v>143372900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143372900</v>
      </c>
      <c r="U32" s="148">
        <v>259127100</v>
      </c>
      <c r="V32" s="150">
        <v>0.35620596273291927</v>
      </c>
      <c r="W32" s="148">
        <v>143372900</v>
      </c>
      <c r="X32" s="148">
        <v>0</v>
      </c>
      <c r="Y32" s="150">
        <v>0</v>
      </c>
      <c r="Z32" s="148">
        <v>143372900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286537200</v>
      </c>
      <c r="U33" s="148">
        <v>518462800</v>
      </c>
      <c r="V33" s="150">
        <v>0.35594683229813667</v>
      </c>
      <c r="W33" s="148">
        <v>286537200</v>
      </c>
      <c r="X33" s="148">
        <v>0</v>
      </c>
      <c r="Y33" s="150">
        <v>0</v>
      </c>
      <c r="Z33" s="148">
        <v>286537200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7614000000</v>
      </c>
      <c r="T34" s="135">
        <v>3470394862</v>
      </c>
      <c r="U34" s="135">
        <v>4143605138</v>
      </c>
      <c r="V34" s="137">
        <v>0.45579128736537955</v>
      </c>
      <c r="W34" s="135">
        <v>3462289843</v>
      </c>
      <c r="X34" s="135">
        <v>8105019</v>
      </c>
      <c r="Y34" s="137">
        <v>2.3354745849666946E-3</v>
      </c>
      <c r="Z34" s="135">
        <v>3462289843</v>
      </c>
      <c r="AA34" s="136">
        <v>0</v>
      </c>
      <c r="AB34" s="723">
        <v>0.99766452541503325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3537000000</v>
      </c>
      <c r="T35" s="141">
        <v>1779288693</v>
      </c>
      <c r="U35" s="141">
        <v>1757711307</v>
      </c>
      <c r="V35" s="143">
        <v>0.50305023833757423</v>
      </c>
      <c r="W35" s="141">
        <v>1779288693</v>
      </c>
      <c r="X35" s="142">
        <v>0</v>
      </c>
      <c r="Y35" s="143">
        <v>0</v>
      </c>
      <c r="Z35" s="141">
        <v>1779288693</v>
      </c>
      <c r="AA35" s="142">
        <v>0</v>
      </c>
      <c r="AB35" s="724">
        <v>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1354643571</v>
      </c>
      <c r="U36" s="148">
        <v>1382356429</v>
      </c>
      <c r="V36" s="150">
        <v>0.49493736609426381</v>
      </c>
      <c r="W36" s="148">
        <v>1354643571</v>
      </c>
      <c r="X36" s="148">
        <v>0</v>
      </c>
      <c r="Y36" s="150">
        <v>0</v>
      </c>
      <c r="Z36" s="148">
        <v>1354643571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296673603</v>
      </c>
      <c r="U37" s="148">
        <v>153326397</v>
      </c>
      <c r="V37" s="150">
        <v>0.65927467333333334</v>
      </c>
      <c r="W37" s="148">
        <v>296673603</v>
      </c>
      <c r="X37" s="148">
        <v>0</v>
      </c>
      <c r="Y37" s="150">
        <v>0</v>
      </c>
      <c r="Z37" s="148">
        <v>296673603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127971519</v>
      </c>
      <c r="U38" s="148">
        <v>222028481</v>
      </c>
      <c r="V38" s="150">
        <v>0.36563291142857141</v>
      </c>
      <c r="W38" s="148">
        <v>127971519</v>
      </c>
      <c r="X38" s="148">
        <v>0</v>
      </c>
      <c r="Y38" s="150">
        <v>0</v>
      </c>
      <c r="Z38" s="148">
        <v>127971519</v>
      </c>
      <c r="AA38" s="148">
        <v>0</v>
      </c>
      <c r="AB38" s="150">
        <v>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1216140543</v>
      </c>
      <c r="U39" s="148">
        <v>1383859457</v>
      </c>
      <c r="V39" s="150">
        <v>0.46774636269230768</v>
      </c>
      <c r="W39" s="148">
        <v>1208035524</v>
      </c>
      <c r="X39" s="148">
        <v>8105019</v>
      </c>
      <c r="Y39" s="150">
        <v>6.6645414024323005E-3</v>
      </c>
      <c r="Z39" s="148">
        <v>1208035524</v>
      </c>
      <c r="AA39" s="148">
        <v>0</v>
      </c>
      <c r="AB39" s="150">
        <v>0.99333545859756767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1917514</v>
      </c>
      <c r="U40" s="148">
        <v>10082486</v>
      </c>
      <c r="V40" s="150">
        <v>0.15979283333333333</v>
      </c>
      <c r="W40" s="148">
        <v>1917514</v>
      </c>
      <c r="X40" s="148">
        <v>0</v>
      </c>
      <c r="Y40" s="150">
        <v>0</v>
      </c>
      <c r="Z40" s="148">
        <v>1917514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380686503</v>
      </c>
      <c r="U43" s="148">
        <v>459313497</v>
      </c>
      <c r="V43" s="150">
        <v>0.45319821785714287</v>
      </c>
      <c r="W43" s="148">
        <v>380686503</v>
      </c>
      <c r="X43" s="148">
        <v>0</v>
      </c>
      <c r="Y43" s="150">
        <v>0</v>
      </c>
      <c r="Z43" s="148">
        <v>380686503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92361609</v>
      </c>
      <c r="U44" s="148">
        <v>497638391</v>
      </c>
      <c r="V44" s="150">
        <v>0.15654509999999999</v>
      </c>
      <c r="W44" s="148">
        <v>92361609</v>
      </c>
      <c r="X44" s="148">
        <v>0</v>
      </c>
      <c r="Y44" s="150">
        <v>0</v>
      </c>
      <c r="Z44" s="148">
        <v>92361609</v>
      </c>
      <c r="AA44" s="148">
        <v>0</v>
      </c>
      <c r="AB44" s="150">
        <v>1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19">
        <v>0</v>
      </c>
      <c r="O45" s="719">
        <v>0</v>
      </c>
      <c r="P45" s="725">
        <v>888760579.75</v>
      </c>
      <c r="Q45" s="725">
        <v>888760579.75</v>
      </c>
      <c r="R45" s="719">
        <v>0</v>
      </c>
      <c r="S45" s="125">
        <v>42290000000</v>
      </c>
      <c r="T45" s="125">
        <v>21014242568.009998</v>
      </c>
      <c r="U45" s="125">
        <v>21275757431.990002</v>
      </c>
      <c r="V45" s="126">
        <v>0.49690807680326315</v>
      </c>
      <c r="W45" s="125">
        <v>13607070663.499998</v>
      </c>
      <c r="X45" s="125">
        <v>7407171904.5099993</v>
      </c>
      <c r="Y45" s="126">
        <v>0.35248341121682608</v>
      </c>
      <c r="Z45" s="125">
        <v>13073542685.519999</v>
      </c>
      <c r="AA45" s="125">
        <v>533527977.98000002</v>
      </c>
      <c r="AB45" s="720">
        <v>0.62212771377360354</v>
      </c>
    </row>
    <row r="46" spans="1:28" ht="24" customHeight="1">
      <c r="A46" s="32" t="e">
        <v>#REF!</v>
      </c>
      <c r="B46" s="127" t="s">
        <v>377</v>
      </c>
      <c r="C46" s="128" t="s">
        <v>23</v>
      </c>
      <c r="D46" s="128" t="s">
        <v>54</v>
      </c>
      <c r="E46" s="128" t="s">
        <v>54</v>
      </c>
      <c r="F46" s="128"/>
      <c r="G46" s="128"/>
      <c r="H46" s="128"/>
      <c r="I46" s="128"/>
      <c r="J46" s="129"/>
      <c r="K46" s="129"/>
      <c r="L46" s="129" t="s">
        <v>86</v>
      </c>
      <c r="M46" s="130">
        <v>42290000000</v>
      </c>
      <c r="N46" s="721">
        <v>0</v>
      </c>
      <c r="O46" s="721">
        <v>0</v>
      </c>
      <c r="P46" s="726">
        <v>888760579.75</v>
      </c>
      <c r="Q46" s="726">
        <v>888760579.75</v>
      </c>
      <c r="R46" s="721">
        <v>0</v>
      </c>
      <c r="S46" s="130">
        <v>42290000000</v>
      </c>
      <c r="T46" s="130">
        <v>21014242568.009998</v>
      </c>
      <c r="U46" s="130">
        <v>21275757431.990002</v>
      </c>
      <c r="V46" s="131">
        <v>0.49690807680326315</v>
      </c>
      <c r="W46" s="130">
        <v>13607070663.499998</v>
      </c>
      <c r="X46" s="130">
        <v>7407171904.5099993</v>
      </c>
      <c r="Y46" s="131">
        <v>0.35248341121682608</v>
      </c>
      <c r="Z46" s="130">
        <v>13073542685.519999</v>
      </c>
      <c r="AA46" s="130">
        <v>533527977.98000002</v>
      </c>
      <c r="AB46" s="722">
        <v>0.62212771377360354</v>
      </c>
    </row>
    <row r="47" spans="1:28" ht="24.95" customHeight="1">
      <c r="A47" s="32" t="e">
        <v>#REF!</v>
      </c>
      <c r="B47" s="132" t="s">
        <v>379</v>
      </c>
      <c r="C47" s="133" t="s">
        <v>23</v>
      </c>
      <c r="D47" s="133" t="s">
        <v>54</v>
      </c>
      <c r="E47" s="133" t="s">
        <v>54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87</v>
      </c>
      <c r="M47" s="135">
        <v>979241390</v>
      </c>
      <c r="N47" s="136">
        <v>0</v>
      </c>
      <c r="O47" s="136">
        <v>0</v>
      </c>
      <c r="P47" s="135">
        <v>83000000</v>
      </c>
      <c r="Q47" s="136">
        <v>0</v>
      </c>
      <c r="R47" s="136">
        <v>0</v>
      </c>
      <c r="S47" s="135">
        <v>1062241390</v>
      </c>
      <c r="T47" s="135">
        <v>146410108</v>
      </c>
      <c r="U47" s="135">
        <v>915831282</v>
      </c>
      <c r="V47" s="137">
        <v>0.13783129651914619</v>
      </c>
      <c r="W47" s="135">
        <v>29782434.559999999</v>
      </c>
      <c r="X47" s="135">
        <v>116627673.44</v>
      </c>
      <c r="Y47" s="137">
        <v>0.796582114672028</v>
      </c>
      <c r="Z47" s="135">
        <v>29782434.559999999</v>
      </c>
      <c r="AA47" s="135">
        <v>0</v>
      </c>
      <c r="AB47" s="723">
        <v>0.20341788532797203</v>
      </c>
    </row>
    <row r="48" spans="1:28" ht="24.95" customHeight="1">
      <c r="A48" s="32" t="e">
        <v>#REF!</v>
      </c>
      <c r="B48" s="138" t="s">
        <v>381</v>
      </c>
      <c r="C48" s="139" t="s">
        <v>23</v>
      </c>
      <c r="D48" s="139" t="s">
        <v>54</v>
      </c>
      <c r="E48" s="139" t="s">
        <v>54</v>
      </c>
      <c r="F48" s="139" t="s">
        <v>25</v>
      </c>
      <c r="G48" s="139" t="s">
        <v>31</v>
      </c>
      <c r="H48" s="140"/>
      <c r="I48" s="140"/>
      <c r="J48" s="139" t="s">
        <v>28</v>
      </c>
      <c r="K48" s="140" t="s">
        <v>29</v>
      </c>
      <c r="L48" s="140" t="s">
        <v>88</v>
      </c>
      <c r="M48" s="141">
        <v>23000000</v>
      </c>
      <c r="N48" s="142">
        <v>0</v>
      </c>
      <c r="O48" s="142">
        <v>0</v>
      </c>
      <c r="P48" s="141">
        <v>3000000</v>
      </c>
      <c r="Q48" s="142">
        <v>0</v>
      </c>
      <c r="R48" s="142">
        <v>0</v>
      </c>
      <c r="S48" s="141">
        <v>26000000</v>
      </c>
      <c r="T48" s="141">
        <v>26000000</v>
      </c>
      <c r="U48" s="141">
        <v>0</v>
      </c>
      <c r="V48" s="143">
        <v>1</v>
      </c>
      <c r="W48" s="141">
        <v>0</v>
      </c>
      <c r="X48" s="141">
        <v>26000000</v>
      </c>
      <c r="Y48" s="143">
        <v>1</v>
      </c>
      <c r="Z48" s="141">
        <v>0</v>
      </c>
      <c r="AA48" s="141">
        <v>0</v>
      </c>
      <c r="AB48" s="724">
        <v>0</v>
      </c>
    </row>
    <row r="49" spans="1:28" ht="24.95" customHeight="1">
      <c r="A49" s="32" t="e">
        <v>#REF!</v>
      </c>
      <c r="B49" s="144" t="s">
        <v>555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40</v>
      </c>
      <c r="I49" s="145"/>
      <c r="J49" s="145">
        <v>10</v>
      </c>
      <c r="K49" s="146" t="s">
        <v>29</v>
      </c>
      <c r="L49" s="147" t="s">
        <v>89</v>
      </c>
      <c r="M49" s="148">
        <v>13000000</v>
      </c>
      <c r="N49" s="148"/>
      <c r="O49" s="148"/>
      <c r="P49" s="148"/>
      <c r="Q49" s="148"/>
      <c r="R49" s="148"/>
      <c r="S49" s="148">
        <v>13000000</v>
      </c>
      <c r="T49" s="148">
        <v>13000000</v>
      </c>
      <c r="U49" s="148">
        <v>0</v>
      </c>
      <c r="V49" s="150">
        <v>1</v>
      </c>
      <c r="W49" s="148">
        <v>0</v>
      </c>
      <c r="X49" s="148">
        <v>13000000</v>
      </c>
      <c r="Y49" s="150">
        <v>1</v>
      </c>
      <c r="Z49" s="148">
        <v>0</v>
      </c>
      <c r="AA49" s="148">
        <v>0</v>
      </c>
      <c r="AB49" s="150">
        <v>0</v>
      </c>
    </row>
    <row r="50" spans="1:28" ht="24.95" customHeight="1">
      <c r="A50" s="32" t="e">
        <v>#REF!</v>
      </c>
      <c r="B50" s="144" t="s">
        <v>557</v>
      </c>
      <c r="C50" s="145" t="s">
        <v>23</v>
      </c>
      <c r="D50" s="145" t="s">
        <v>54</v>
      </c>
      <c r="E50" s="145" t="s">
        <v>54</v>
      </c>
      <c r="F50" s="145" t="s">
        <v>25</v>
      </c>
      <c r="G50" s="145" t="s">
        <v>31</v>
      </c>
      <c r="H50" s="145" t="s">
        <v>44</v>
      </c>
      <c r="I50" s="145"/>
      <c r="J50" s="145">
        <v>10</v>
      </c>
      <c r="K50" s="146" t="s">
        <v>29</v>
      </c>
      <c r="L50" s="147" t="s">
        <v>90</v>
      </c>
      <c r="M50" s="148">
        <v>10000000</v>
      </c>
      <c r="N50" s="148"/>
      <c r="O50" s="148"/>
      <c r="P50" s="148">
        <v>3000000</v>
      </c>
      <c r="Q50" s="148"/>
      <c r="R50" s="148"/>
      <c r="S50" s="148">
        <v>13000000</v>
      </c>
      <c r="T50" s="148">
        <v>13000000</v>
      </c>
      <c r="U50" s="148">
        <v>0</v>
      </c>
      <c r="V50" s="150">
        <v>1</v>
      </c>
      <c r="W50" s="148">
        <v>0</v>
      </c>
      <c r="X50" s="148">
        <v>13000000</v>
      </c>
      <c r="Y50" s="150">
        <v>1</v>
      </c>
      <c r="Z50" s="148">
        <v>0</v>
      </c>
      <c r="AA50" s="148">
        <v>0</v>
      </c>
      <c r="AB50" s="150">
        <v>0</v>
      </c>
    </row>
    <row r="51" spans="1:28" ht="24.95" customHeight="1">
      <c r="A51" s="32" t="e">
        <v>#REF!</v>
      </c>
      <c r="B51" s="138" t="s">
        <v>383</v>
      </c>
      <c r="C51" s="139" t="s">
        <v>23</v>
      </c>
      <c r="D51" s="139" t="s">
        <v>54</v>
      </c>
      <c r="E51" s="139" t="s">
        <v>54</v>
      </c>
      <c r="F51" s="139" t="s">
        <v>25</v>
      </c>
      <c r="G51" s="139" t="s">
        <v>34</v>
      </c>
      <c r="H51" s="140"/>
      <c r="I51" s="140"/>
      <c r="J51" s="139" t="s">
        <v>28</v>
      </c>
      <c r="K51" s="140" t="s">
        <v>29</v>
      </c>
      <c r="L51" s="140" t="s">
        <v>91</v>
      </c>
      <c r="M51" s="141">
        <v>130000000</v>
      </c>
      <c r="N51" s="142">
        <v>0</v>
      </c>
      <c r="O51" s="142">
        <v>0</v>
      </c>
      <c r="P51" s="142">
        <v>0</v>
      </c>
      <c r="Q51" s="142">
        <v>0</v>
      </c>
      <c r="R51" s="142">
        <v>0</v>
      </c>
      <c r="S51" s="141">
        <v>130000000</v>
      </c>
      <c r="T51" s="141">
        <v>0</v>
      </c>
      <c r="U51" s="141">
        <v>130000000</v>
      </c>
      <c r="V51" s="143">
        <v>0</v>
      </c>
      <c r="W51" s="141">
        <v>0</v>
      </c>
      <c r="X51" s="141">
        <v>0</v>
      </c>
      <c r="Y51" s="141">
        <v>0</v>
      </c>
      <c r="Z51" s="141">
        <v>0</v>
      </c>
      <c r="AA51" s="142">
        <v>0</v>
      </c>
      <c r="AB51" s="724">
        <v>0</v>
      </c>
    </row>
    <row r="52" spans="1:28" ht="24.95" customHeight="1">
      <c r="A52" s="32" t="e">
        <v>#REF!</v>
      </c>
      <c r="B52" s="144" t="s">
        <v>559</v>
      </c>
      <c r="C52" s="145" t="s">
        <v>23</v>
      </c>
      <c r="D52" s="145" t="s">
        <v>54</v>
      </c>
      <c r="E52" s="145" t="s">
        <v>54</v>
      </c>
      <c r="F52" s="145" t="s">
        <v>25</v>
      </c>
      <c r="G52" s="145" t="s">
        <v>34</v>
      </c>
      <c r="H52" s="145" t="s">
        <v>46</v>
      </c>
      <c r="I52" s="145"/>
      <c r="J52" s="145">
        <v>10</v>
      </c>
      <c r="K52" s="146" t="s">
        <v>29</v>
      </c>
      <c r="L52" s="147" t="s">
        <v>92</v>
      </c>
      <c r="M52" s="148">
        <v>130000000</v>
      </c>
      <c r="N52" s="148"/>
      <c r="O52" s="148"/>
      <c r="P52" s="148"/>
      <c r="Q52" s="148"/>
      <c r="R52" s="148"/>
      <c r="S52" s="148">
        <v>130000000</v>
      </c>
      <c r="T52" s="148">
        <v>0</v>
      </c>
      <c r="U52" s="148">
        <v>130000000</v>
      </c>
      <c r="V52" s="150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0</v>
      </c>
      <c r="AB52" s="150">
        <v>0</v>
      </c>
    </row>
    <row r="53" spans="1:28" ht="24.95" customHeight="1">
      <c r="A53" s="32" t="e">
        <v>#REF!</v>
      </c>
      <c r="B53" s="138" t="s">
        <v>385</v>
      </c>
      <c r="C53" s="139" t="s">
        <v>23</v>
      </c>
      <c r="D53" s="139" t="s">
        <v>54</v>
      </c>
      <c r="E53" s="139" t="s">
        <v>54</v>
      </c>
      <c r="F53" s="139" t="s">
        <v>25</v>
      </c>
      <c r="G53" s="139" t="s">
        <v>36</v>
      </c>
      <c r="H53" s="140"/>
      <c r="I53" s="140"/>
      <c r="J53" s="139" t="s">
        <v>28</v>
      </c>
      <c r="K53" s="140" t="s">
        <v>29</v>
      </c>
      <c r="L53" s="140" t="s">
        <v>93</v>
      </c>
      <c r="M53" s="141">
        <v>617241390</v>
      </c>
      <c r="N53" s="142">
        <v>0</v>
      </c>
      <c r="O53" s="142">
        <v>0</v>
      </c>
      <c r="P53" s="141">
        <v>80000000</v>
      </c>
      <c r="Q53" s="142">
        <v>0</v>
      </c>
      <c r="R53" s="142">
        <v>0</v>
      </c>
      <c r="S53" s="141">
        <v>697241390</v>
      </c>
      <c r="T53" s="141">
        <v>92410108</v>
      </c>
      <c r="U53" s="141">
        <v>604831282</v>
      </c>
      <c r="V53" s="143">
        <v>0.13253675029246328</v>
      </c>
      <c r="W53" s="141">
        <v>27652497.559999999</v>
      </c>
      <c r="X53" s="141">
        <v>64757610.439999998</v>
      </c>
      <c r="Y53" s="143">
        <v>0.70076328057099557</v>
      </c>
      <c r="Z53" s="141">
        <v>27652497.559999999</v>
      </c>
      <c r="AA53" s="142">
        <v>0</v>
      </c>
      <c r="AB53" s="724">
        <v>0.29923671942900443</v>
      </c>
    </row>
    <row r="54" spans="1:28" ht="24.95" customHeight="1">
      <c r="A54" s="32" t="e">
        <v>#REF!</v>
      </c>
      <c r="B54" s="144" t="s">
        <v>561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34</v>
      </c>
      <c r="I54" s="145"/>
      <c r="J54" s="145">
        <v>10</v>
      </c>
      <c r="K54" s="146" t="s">
        <v>29</v>
      </c>
      <c r="L54" s="147" t="s">
        <v>94</v>
      </c>
      <c r="M54" s="148">
        <v>245100000</v>
      </c>
      <c r="N54" s="148"/>
      <c r="O54" s="148"/>
      <c r="P54" s="148">
        <v>80000000</v>
      </c>
      <c r="Q54" s="148"/>
      <c r="R54" s="148"/>
      <c r="S54" s="148">
        <v>325100000</v>
      </c>
      <c r="T54" s="148">
        <v>3800000</v>
      </c>
      <c r="U54" s="148">
        <v>321300000</v>
      </c>
      <c r="V54" s="150">
        <v>1.1688711165795141E-2</v>
      </c>
      <c r="W54" s="148">
        <v>400000</v>
      </c>
      <c r="X54" s="148">
        <v>3400000</v>
      </c>
      <c r="Y54" s="150">
        <v>0.89473684210526316</v>
      </c>
      <c r="Z54" s="148">
        <v>400000</v>
      </c>
      <c r="AA54" s="148">
        <v>0</v>
      </c>
      <c r="AB54" s="150">
        <v>0.10526315789473684</v>
      </c>
    </row>
    <row r="55" spans="1:28" ht="24.95" customHeight="1">
      <c r="A55" s="32" t="e">
        <v>#REF!</v>
      </c>
      <c r="B55" s="144" t="s">
        <v>563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36</v>
      </c>
      <c r="I55" s="145"/>
      <c r="J55" s="145">
        <v>10</v>
      </c>
      <c r="K55" s="146" t="s">
        <v>29</v>
      </c>
      <c r="L55" s="147" t="s">
        <v>95</v>
      </c>
      <c r="M55" s="148">
        <v>57946108</v>
      </c>
      <c r="N55" s="148"/>
      <c r="O55" s="148"/>
      <c r="P55" s="148"/>
      <c r="Q55" s="148"/>
      <c r="R55" s="148"/>
      <c r="S55" s="148">
        <v>57946108</v>
      </c>
      <c r="T55" s="148">
        <v>33610108</v>
      </c>
      <c r="U55" s="148">
        <v>24336000</v>
      </c>
      <c r="V55" s="150">
        <v>0.58002356258335763</v>
      </c>
      <c r="W55" s="148">
        <v>19113281.559999999</v>
      </c>
      <c r="X55" s="148">
        <v>14496826.440000001</v>
      </c>
      <c r="Y55" s="150">
        <v>0.43132341139754748</v>
      </c>
      <c r="Z55" s="148">
        <v>19113281.559999999</v>
      </c>
      <c r="AA55" s="148">
        <v>0</v>
      </c>
      <c r="AB55" s="150">
        <v>0.56867658860245252</v>
      </c>
    </row>
    <row r="56" spans="1:28" ht="24.95" customHeight="1">
      <c r="A56" s="32" t="e">
        <v>#REF!</v>
      </c>
      <c r="B56" s="144" t="s">
        <v>565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40</v>
      </c>
      <c r="I56" s="145"/>
      <c r="J56" s="145">
        <v>10</v>
      </c>
      <c r="K56" s="146" t="s">
        <v>29</v>
      </c>
      <c r="L56" s="147" t="s">
        <v>96</v>
      </c>
      <c r="M56" s="148">
        <v>47000000</v>
      </c>
      <c r="N56" s="148"/>
      <c r="O56" s="148"/>
      <c r="P56" s="148"/>
      <c r="Q56" s="148"/>
      <c r="R56" s="148"/>
      <c r="S56" s="148">
        <v>47000000</v>
      </c>
      <c r="T56" s="148">
        <v>7000000</v>
      </c>
      <c r="U56" s="148">
        <v>40000000</v>
      </c>
      <c r="V56" s="150">
        <v>0.14893617021276595</v>
      </c>
      <c r="W56" s="148">
        <v>0</v>
      </c>
      <c r="X56" s="148">
        <v>7000000</v>
      </c>
      <c r="Y56" s="150">
        <v>1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44" t="s">
        <v>567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42</v>
      </c>
      <c r="I57" s="145"/>
      <c r="J57" s="145">
        <v>10</v>
      </c>
      <c r="K57" s="146" t="s">
        <v>29</v>
      </c>
      <c r="L57" s="147" t="s">
        <v>97</v>
      </c>
      <c r="M57" s="148">
        <v>123000000</v>
      </c>
      <c r="N57" s="148"/>
      <c r="O57" s="148"/>
      <c r="P57" s="148"/>
      <c r="Q57" s="148"/>
      <c r="R57" s="148"/>
      <c r="S57" s="148">
        <v>123000000</v>
      </c>
      <c r="T57" s="148">
        <v>23000000</v>
      </c>
      <c r="U57" s="148">
        <v>100000000</v>
      </c>
      <c r="V57" s="150">
        <v>0.18699186991869918</v>
      </c>
      <c r="W57" s="148">
        <v>2893800</v>
      </c>
      <c r="X57" s="148">
        <v>20106200</v>
      </c>
      <c r="Y57" s="150">
        <v>0.87418260869565212</v>
      </c>
      <c r="Z57" s="148">
        <v>2893800</v>
      </c>
      <c r="AA57" s="148">
        <v>0</v>
      </c>
      <c r="AB57" s="150">
        <v>0.12581739130434783</v>
      </c>
    </row>
    <row r="58" spans="1:28" ht="24.95" customHeight="1">
      <c r="A58" s="32" t="e">
        <v>#REF!</v>
      </c>
      <c r="B58" s="144" t="s">
        <v>571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46</v>
      </c>
      <c r="I58" s="145"/>
      <c r="J58" s="145">
        <v>10</v>
      </c>
      <c r="K58" s="146" t="s">
        <v>29</v>
      </c>
      <c r="L58" s="147" t="s">
        <v>99</v>
      </c>
      <c r="M58" s="148">
        <v>144195282</v>
      </c>
      <c r="N58" s="148"/>
      <c r="O58" s="148"/>
      <c r="P58" s="148"/>
      <c r="Q58" s="148"/>
      <c r="R58" s="148"/>
      <c r="S58" s="148">
        <v>144195282</v>
      </c>
      <c r="T58" s="148">
        <v>25000000</v>
      </c>
      <c r="U58" s="148">
        <v>119195282</v>
      </c>
      <c r="V58" s="150">
        <v>0.17337599159451</v>
      </c>
      <c r="W58" s="148">
        <v>5245416</v>
      </c>
      <c r="X58" s="148">
        <v>19754584</v>
      </c>
      <c r="Y58" s="150">
        <v>0.79018336</v>
      </c>
      <c r="Z58" s="148">
        <v>5245416</v>
      </c>
      <c r="AA58" s="148">
        <v>0</v>
      </c>
      <c r="AB58" s="150">
        <v>0.20981664</v>
      </c>
    </row>
    <row r="59" spans="1:28" ht="24.95" customHeight="1">
      <c r="A59" s="32" t="e">
        <v>#REF!</v>
      </c>
      <c r="B59" s="138" t="s">
        <v>387</v>
      </c>
      <c r="C59" s="139" t="s">
        <v>23</v>
      </c>
      <c r="D59" s="139" t="s">
        <v>54</v>
      </c>
      <c r="E59" s="139" t="s">
        <v>54</v>
      </c>
      <c r="F59" s="139" t="s">
        <v>25</v>
      </c>
      <c r="G59" s="139" t="s">
        <v>38</v>
      </c>
      <c r="H59" s="140"/>
      <c r="I59" s="140"/>
      <c r="J59" s="139" t="s">
        <v>28</v>
      </c>
      <c r="K59" s="140" t="s">
        <v>29</v>
      </c>
      <c r="L59" s="140" t="s">
        <v>100</v>
      </c>
      <c r="M59" s="141">
        <v>209000000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  <c r="S59" s="141">
        <v>209000000</v>
      </c>
      <c r="T59" s="141">
        <v>28000000</v>
      </c>
      <c r="U59" s="141">
        <v>181000000</v>
      </c>
      <c r="V59" s="143">
        <v>0.13397129186602871</v>
      </c>
      <c r="W59" s="141">
        <v>2129937</v>
      </c>
      <c r="X59" s="141">
        <v>25870063</v>
      </c>
      <c r="Y59" s="143">
        <v>0.92393082142857141</v>
      </c>
      <c r="Z59" s="141">
        <v>2129937</v>
      </c>
      <c r="AA59" s="142">
        <v>0</v>
      </c>
      <c r="AB59" s="724">
        <v>7.6069178571428572E-2</v>
      </c>
    </row>
    <row r="60" spans="1:28" ht="24.95" customHeight="1">
      <c r="A60" s="32" t="e">
        <v>#REF!</v>
      </c>
      <c r="B60" s="144" t="s">
        <v>573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34</v>
      </c>
      <c r="I60" s="145"/>
      <c r="J60" s="145">
        <v>10</v>
      </c>
      <c r="K60" s="146" t="s">
        <v>29</v>
      </c>
      <c r="L60" s="147" t="s">
        <v>101</v>
      </c>
      <c r="M60" s="148">
        <v>28000000</v>
      </c>
      <c r="N60" s="148"/>
      <c r="O60" s="148"/>
      <c r="P60" s="149"/>
      <c r="Q60" s="148"/>
      <c r="R60" s="148"/>
      <c r="S60" s="148">
        <v>28000000</v>
      </c>
      <c r="T60" s="148">
        <v>28000000</v>
      </c>
      <c r="U60" s="148">
        <v>0</v>
      </c>
      <c r="V60" s="150">
        <v>1</v>
      </c>
      <c r="W60" s="148">
        <v>2129937</v>
      </c>
      <c r="X60" s="148">
        <v>25870063</v>
      </c>
      <c r="Y60" s="150">
        <v>0.92393082142857141</v>
      </c>
      <c r="Z60" s="148">
        <v>2129937</v>
      </c>
      <c r="AA60" s="148">
        <v>0</v>
      </c>
      <c r="AB60" s="150">
        <v>7.6069178571428572E-2</v>
      </c>
    </row>
    <row r="61" spans="1:28" ht="24.95" customHeight="1">
      <c r="A61" s="32" t="e">
        <v>#REF!</v>
      </c>
      <c r="B61" s="144" t="s">
        <v>575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40</v>
      </c>
      <c r="I61" s="145"/>
      <c r="J61" s="145">
        <v>10</v>
      </c>
      <c r="K61" s="146" t="s">
        <v>29</v>
      </c>
      <c r="L61" s="147" t="s">
        <v>102</v>
      </c>
      <c r="M61" s="148">
        <v>10000000</v>
      </c>
      <c r="N61" s="148"/>
      <c r="O61" s="148"/>
      <c r="P61" s="148"/>
      <c r="Q61" s="148"/>
      <c r="R61" s="148"/>
      <c r="S61" s="148">
        <v>10000000</v>
      </c>
      <c r="T61" s="148">
        <v>0</v>
      </c>
      <c r="U61" s="148">
        <v>10000000</v>
      </c>
      <c r="V61" s="150">
        <v>0</v>
      </c>
      <c r="W61" s="148">
        <v>0</v>
      </c>
      <c r="X61" s="148">
        <v>0</v>
      </c>
      <c r="Y61" s="150">
        <v>0</v>
      </c>
      <c r="Z61" s="148">
        <v>0</v>
      </c>
      <c r="AA61" s="148">
        <v>0</v>
      </c>
      <c r="AB61" s="150">
        <v>0</v>
      </c>
    </row>
    <row r="62" spans="1:28" ht="24.95" customHeight="1">
      <c r="A62" s="32" t="e">
        <v>#REF!</v>
      </c>
      <c r="B62" s="144" t="s">
        <v>577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42</v>
      </c>
      <c r="I62" s="145"/>
      <c r="J62" s="145">
        <v>10</v>
      </c>
      <c r="K62" s="146" t="s">
        <v>29</v>
      </c>
      <c r="L62" s="147" t="s">
        <v>84</v>
      </c>
      <c r="M62" s="148">
        <v>108000000</v>
      </c>
      <c r="N62" s="148"/>
      <c r="O62" s="148"/>
      <c r="P62" s="148"/>
      <c r="Q62" s="148"/>
      <c r="R62" s="148"/>
      <c r="S62" s="148">
        <v>108000000</v>
      </c>
      <c r="T62" s="148">
        <v>0</v>
      </c>
      <c r="U62" s="148">
        <v>108000000</v>
      </c>
      <c r="V62" s="150">
        <v>0</v>
      </c>
      <c r="W62" s="148">
        <v>0</v>
      </c>
      <c r="X62" s="148">
        <v>0</v>
      </c>
      <c r="Y62" s="150">
        <v>0</v>
      </c>
      <c r="Z62" s="148">
        <v>0</v>
      </c>
      <c r="AA62" s="148">
        <v>0</v>
      </c>
      <c r="AB62" s="150">
        <v>0</v>
      </c>
    </row>
    <row r="63" spans="1:28" ht="24.95" customHeight="1">
      <c r="A63" s="32" t="e">
        <v>#REF!</v>
      </c>
      <c r="B63" s="144" t="s">
        <v>579</v>
      </c>
      <c r="C63" s="145" t="s">
        <v>23</v>
      </c>
      <c r="D63" s="145" t="s">
        <v>54</v>
      </c>
      <c r="E63" s="145" t="s">
        <v>54</v>
      </c>
      <c r="F63" s="145" t="s">
        <v>25</v>
      </c>
      <c r="G63" s="145" t="s">
        <v>38</v>
      </c>
      <c r="H63" s="145" t="s">
        <v>44</v>
      </c>
      <c r="I63" s="145"/>
      <c r="J63" s="145">
        <v>10</v>
      </c>
      <c r="K63" s="146" t="s">
        <v>29</v>
      </c>
      <c r="L63" s="147" t="s">
        <v>85</v>
      </c>
      <c r="M63" s="148">
        <v>63000000</v>
      </c>
      <c r="N63" s="148"/>
      <c r="O63" s="148"/>
      <c r="P63" s="149"/>
      <c r="Q63" s="148"/>
      <c r="R63" s="148"/>
      <c r="S63" s="148">
        <v>63000000</v>
      </c>
      <c r="T63" s="148">
        <v>0</v>
      </c>
      <c r="U63" s="148">
        <v>63000000</v>
      </c>
      <c r="V63" s="150">
        <v>0</v>
      </c>
      <c r="W63" s="148">
        <v>0</v>
      </c>
      <c r="X63" s="148">
        <v>0</v>
      </c>
      <c r="Y63" s="150">
        <v>0</v>
      </c>
      <c r="Z63" s="148">
        <v>0</v>
      </c>
      <c r="AA63" s="148">
        <v>0</v>
      </c>
      <c r="AB63" s="150">
        <v>0</v>
      </c>
    </row>
    <row r="64" spans="1:28" ht="24.95" customHeight="1">
      <c r="A64" s="32" t="e">
        <v>#REF!</v>
      </c>
      <c r="B64" s="132" t="s">
        <v>389</v>
      </c>
      <c r="C64" s="133" t="s">
        <v>23</v>
      </c>
      <c r="D64" s="133" t="s">
        <v>54</v>
      </c>
      <c r="E64" s="133" t="s">
        <v>54</v>
      </c>
      <c r="F64" s="133" t="s">
        <v>54</v>
      </c>
      <c r="G64" s="133"/>
      <c r="H64" s="134"/>
      <c r="I64" s="134"/>
      <c r="J64" s="133" t="s">
        <v>28</v>
      </c>
      <c r="K64" s="134" t="s">
        <v>29</v>
      </c>
      <c r="L64" s="134" t="s">
        <v>103</v>
      </c>
      <c r="M64" s="135">
        <v>41310758610</v>
      </c>
      <c r="N64" s="136">
        <v>0</v>
      </c>
      <c r="O64" s="136">
        <v>0</v>
      </c>
      <c r="P64" s="727">
        <v>805760579.75</v>
      </c>
      <c r="Q64" s="727">
        <v>888760579.75</v>
      </c>
      <c r="R64" s="136">
        <v>0</v>
      </c>
      <c r="S64" s="135">
        <v>41227758610</v>
      </c>
      <c r="T64" s="135">
        <v>20867832460.009998</v>
      </c>
      <c r="U64" s="135">
        <v>20359926149.990002</v>
      </c>
      <c r="V64" s="137">
        <v>0.50615976137369745</v>
      </c>
      <c r="W64" s="135">
        <v>13577288228.939999</v>
      </c>
      <c r="X64" s="135">
        <v>7290544231.0699997</v>
      </c>
      <c r="Y64" s="137">
        <v>0.34936758501589515</v>
      </c>
      <c r="Z64" s="135">
        <v>13043760250.959999</v>
      </c>
      <c r="AA64" s="135">
        <v>533527977.98000002</v>
      </c>
      <c r="AB64" s="723">
        <v>0.62506540992967841</v>
      </c>
    </row>
    <row r="65" spans="1:28" ht="31.5" customHeight="1">
      <c r="A65" s="32" t="e">
        <v>#REF!</v>
      </c>
      <c r="B65" s="138" t="s">
        <v>391</v>
      </c>
      <c r="C65" s="139" t="s">
        <v>23</v>
      </c>
      <c r="D65" s="139" t="s">
        <v>54</v>
      </c>
      <c r="E65" s="139" t="s">
        <v>54</v>
      </c>
      <c r="F65" s="139" t="s">
        <v>54</v>
      </c>
      <c r="G65" s="139" t="s">
        <v>42</v>
      </c>
      <c r="H65" s="140"/>
      <c r="I65" s="140"/>
      <c r="J65" s="139" t="s">
        <v>28</v>
      </c>
      <c r="K65" s="140" t="s">
        <v>29</v>
      </c>
      <c r="L65" s="140" t="s">
        <v>104</v>
      </c>
      <c r="M65" s="141">
        <v>6238453772</v>
      </c>
      <c r="N65" s="142">
        <v>0</v>
      </c>
      <c r="O65" s="142">
        <v>0</v>
      </c>
      <c r="P65" s="141">
        <v>123000000</v>
      </c>
      <c r="Q65" s="141">
        <v>130000000</v>
      </c>
      <c r="R65" s="142">
        <v>0</v>
      </c>
      <c r="S65" s="141">
        <v>6231453772</v>
      </c>
      <c r="T65" s="141">
        <v>4652188984.3000002</v>
      </c>
      <c r="U65" s="141">
        <v>1579264787.7</v>
      </c>
      <c r="V65" s="143">
        <v>0.74656559360254537</v>
      </c>
      <c r="W65" s="141">
        <v>3262696209.3000002</v>
      </c>
      <c r="X65" s="141">
        <v>1389492775</v>
      </c>
      <c r="Y65" s="143">
        <v>0.29867504946363921</v>
      </c>
      <c r="Z65" s="141">
        <v>2897076186.3000002</v>
      </c>
      <c r="AA65" s="141">
        <v>365620023</v>
      </c>
      <c r="AB65" s="724">
        <v>0.62273398524370438</v>
      </c>
    </row>
    <row r="66" spans="1:28" ht="24.95" customHeight="1">
      <c r="A66" s="32" t="e">
        <v>#REF!</v>
      </c>
      <c r="B66" s="144" t="s">
        <v>583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36</v>
      </c>
      <c r="I66" s="145"/>
      <c r="J66" s="145">
        <v>10</v>
      </c>
      <c r="K66" s="146" t="s">
        <v>29</v>
      </c>
      <c r="L66" s="147" t="s">
        <v>105</v>
      </c>
      <c r="M66" s="148">
        <v>120448180</v>
      </c>
      <c r="N66" s="148"/>
      <c r="O66" s="148"/>
      <c r="P66" s="148"/>
      <c r="Q66" s="148"/>
      <c r="R66" s="148"/>
      <c r="S66" s="148">
        <v>120448180</v>
      </c>
      <c r="T66" s="148">
        <v>99236409</v>
      </c>
      <c r="U66" s="148">
        <v>21211771</v>
      </c>
      <c r="V66" s="150">
        <v>0.82389297206483314</v>
      </c>
      <c r="W66" s="148">
        <v>41767090</v>
      </c>
      <c r="X66" s="148">
        <v>57469319</v>
      </c>
      <c r="Y66" s="150">
        <v>0.5791152620204143</v>
      </c>
      <c r="Z66" s="148">
        <v>41767090</v>
      </c>
      <c r="AA66" s="148">
        <v>0</v>
      </c>
      <c r="AB66" s="150">
        <v>0.4208847379795857</v>
      </c>
    </row>
    <row r="67" spans="1:28" ht="24.95" customHeight="1">
      <c r="A67" s="32" t="e">
        <v>#REF!</v>
      </c>
      <c r="B67" s="144" t="s">
        <v>585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38</v>
      </c>
      <c r="I67" s="145"/>
      <c r="J67" s="145">
        <v>10</v>
      </c>
      <c r="K67" s="146" t="s">
        <v>29</v>
      </c>
      <c r="L67" s="147" t="s">
        <v>106</v>
      </c>
      <c r="M67" s="148">
        <v>2721505592</v>
      </c>
      <c r="N67" s="148"/>
      <c r="O67" s="148"/>
      <c r="P67" s="148">
        <v>123000000</v>
      </c>
      <c r="Q67" s="148">
        <v>130000000</v>
      </c>
      <c r="R67" s="148"/>
      <c r="S67" s="148">
        <v>2714505592</v>
      </c>
      <c r="T67" s="148">
        <v>1952586170</v>
      </c>
      <c r="U67" s="148">
        <v>761919422</v>
      </c>
      <c r="V67" s="150">
        <v>0.71931558209145885</v>
      </c>
      <c r="W67" s="148">
        <v>1589571519</v>
      </c>
      <c r="X67" s="148">
        <v>363014651</v>
      </c>
      <c r="Y67" s="150">
        <v>0.18591479166320224</v>
      </c>
      <c r="Z67" s="148">
        <v>1281164319</v>
      </c>
      <c r="AA67" s="148">
        <v>308407200</v>
      </c>
      <c r="AB67" s="150">
        <v>0.65613714707402648</v>
      </c>
    </row>
    <row r="68" spans="1:28" ht="24.95" customHeight="1">
      <c r="A68" s="32" t="e">
        <v>#REF!</v>
      </c>
      <c r="B68" s="144" t="s">
        <v>587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40</v>
      </c>
      <c r="I68" s="145"/>
      <c r="J68" s="145">
        <v>10</v>
      </c>
      <c r="K68" s="146" t="s">
        <v>29</v>
      </c>
      <c r="L68" s="147" t="s">
        <v>107</v>
      </c>
      <c r="M68" s="148">
        <v>50000000</v>
      </c>
      <c r="N68" s="148"/>
      <c r="O68" s="148"/>
      <c r="P68" s="148"/>
      <c r="Q68" s="148"/>
      <c r="R68" s="148"/>
      <c r="S68" s="148">
        <v>50000000</v>
      </c>
      <c r="T68" s="148">
        <v>0</v>
      </c>
      <c r="U68" s="148">
        <v>50000000</v>
      </c>
      <c r="V68" s="150">
        <v>0</v>
      </c>
      <c r="W68" s="148">
        <v>0</v>
      </c>
      <c r="X68" s="148">
        <v>0</v>
      </c>
      <c r="Y68" s="150">
        <v>0</v>
      </c>
      <c r="Z68" s="148">
        <v>0</v>
      </c>
      <c r="AA68" s="148">
        <v>0</v>
      </c>
      <c r="AB68" s="150">
        <v>0</v>
      </c>
    </row>
    <row r="69" spans="1:28" ht="24.95" customHeight="1">
      <c r="A69" s="32" t="e">
        <v>#REF!</v>
      </c>
      <c r="B69" s="144" t="s">
        <v>591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46</v>
      </c>
      <c r="I69" s="145"/>
      <c r="J69" s="145">
        <v>10</v>
      </c>
      <c r="K69" s="146" t="s">
        <v>29</v>
      </c>
      <c r="L69" s="147" t="s">
        <v>108</v>
      </c>
      <c r="M69" s="148">
        <v>2216500000</v>
      </c>
      <c r="N69" s="148"/>
      <c r="O69" s="148"/>
      <c r="P69" s="148"/>
      <c r="Q69" s="148"/>
      <c r="R69" s="148"/>
      <c r="S69" s="148">
        <v>2216500000</v>
      </c>
      <c r="T69" s="148">
        <v>2163580900</v>
      </c>
      <c r="U69" s="148">
        <v>52919100</v>
      </c>
      <c r="V69" s="150">
        <v>0.97612492668621698</v>
      </c>
      <c r="W69" s="148">
        <v>1194572095</v>
      </c>
      <c r="X69" s="148">
        <v>969008805</v>
      </c>
      <c r="Y69" s="150">
        <v>0.44787269336681612</v>
      </c>
      <c r="Z69" s="148">
        <v>1194491195</v>
      </c>
      <c r="AA69" s="148">
        <v>80900</v>
      </c>
      <c r="AB69" s="150">
        <v>0.55208991491836523</v>
      </c>
    </row>
    <row r="70" spans="1:28" ht="24.95" customHeight="1">
      <c r="A70" s="32" t="e">
        <v>#REF!</v>
      </c>
      <c r="B70" s="144" t="s">
        <v>593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48</v>
      </c>
      <c r="I70" s="145"/>
      <c r="J70" s="145">
        <v>10</v>
      </c>
      <c r="K70" s="146" t="s">
        <v>29</v>
      </c>
      <c r="L70" s="147" t="s">
        <v>109</v>
      </c>
      <c r="M70" s="148">
        <v>1130000000</v>
      </c>
      <c r="N70" s="148"/>
      <c r="O70" s="148"/>
      <c r="P70" s="148"/>
      <c r="Q70" s="148"/>
      <c r="R70" s="148"/>
      <c r="S70" s="148">
        <v>1130000000</v>
      </c>
      <c r="T70" s="148">
        <v>436785505.30000001</v>
      </c>
      <c r="U70" s="148">
        <v>693214494.70000005</v>
      </c>
      <c r="V70" s="150">
        <v>0.3865358453982301</v>
      </c>
      <c r="W70" s="148">
        <v>436785505.30000001</v>
      </c>
      <c r="X70" s="148">
        <v>0</v>
      </c>
      <c r="Y70" s="150">
        <v>0</v>
      </c>
      <c r="Z70" s="148">
        <v>379653582.30000001</v>
      </c>
      <c r="AA70" s="148">
        <v>57131923</v>
      </c>
      <c r="AB70" s="150">
        <v>0.86919913251068226</v>
      </c>
    </row>
    <row r="71" spans="1:28" ht="24.95" customHeight="1">
      <c r="A71" s="32" t="e">
        <v>#REF!</v>
      </c>
      <c r="B71" s="138" t="s">
        <v>393</v>
      </c>
      <c r="C71" s="139" t="s">
        <v>23</v>
      </c>
      <c r="D71" s="139" t="s">
        <v>54</v>
      </c>
      <c r="E71" s="139" t="s">
        <v>54</v>
      </c>
      <c r="F71" s="139" t="s">
        <v>54</v>
      </c>
      <c r="G71" s="139" t="s">
        <v>44</v>
      </c>
      <c r="H71" s="140"/>
      <c r="I71" s="140"/>
      <c r="J71" s="139" t="s">
        <v>28</v>
      </c>
      <c r="K71" s="140" t="s">
        <v>29</v>
      </c>
      <c r="L71" s="140" t="s">
        <v>110</v>
      </c>
      <c r="M71" s="141">
        <v>15484127230</v>
      </c>
      <c r="N71" s="142">
        <v>0</v>
      </c>
      <c r="O71" s="142">
        <v>0</v>
      </c>
      <c r="P71" s="141">
        <v>3200000</v>
      </c>
      <c r="Q71" s="142">
        <v>0</v>
      </c>
      <c r="R71" s="142">
        <v>0</v>
      </c>
      <c r="S71" s="141">
        <v>15487327230</v>
      </c>
      <c r="T71" s="141">
        <v>7454019004</v>
      </c>
      <c r="U71" s="141">
        <v>8033308226</v>
      </c>
      <c r="V71" s="143">
        <v>0.48129796015164328</v>
      </c>
      <c r="W71" s="141">
        <v>6137012870</v>
      </c>
      <c r="X71" s="141">
        <v>1317006134</v>
      </c>
      <c r="Y71" s="143">
        <v>0.17668403223727547</v>
      </c>
      <c r="Z71" s="141">
        <v>6137012870</v>
      </c>
      <c r="AA71" s="141">
        <v>0</v>
      </c>
      <c r="AB71" s="724">
        <v>0.82331596776272453</v>
      </c>
    </row>
    <row r="72" spans="1:28" ht="24.95" customHeight="1">
      <c r="A72" s="32" t="e">
        <v>#REF!</v>
      </c>
      <c r="B72" s="144" t="s">
        <v>595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31</v>
      </c>
      <c r="I72" s="145"/>
      <c r="J72" s="145">
        <v>10</v>
      </c>
      <c r="K72" s="146" t="s">
        <v>29</v>
      </c>
      <c r="L72" s="147" t="s">
        <v>111</v>
      </c>
      <c r="M72" s="148">
        <v>260000000</v>
      </c>
      <c r="N72" s="148"/>
      <c r="O72" s="148"/>
      <c r="P72" s="148">
        <v>3200000</v>
      </c>
      <c r="Q72" s="148"/>
      <c r="R72" s="148"/>
      <c r="S72" s="148">
        <v>263200000</v>
      </c>
      <c r="T72" s="148">
        <v>13084824</v>
      </c>
      <c r="U72" s="148">
        <v>250115176</v>
      </c>
      <c r="V72" s="150">
        <v>4.9714376899696051E-2</v>
      </c>
      <c r="W72" s="148">
        <v>10616909</v>
      </c>
      <c r="X72" s="148">
        <v>2467915</v>
      </c>
      <c r="Y72" s="150">
        <v>0.1886089564521464</v>
      </c>
      <c r="Z72" s="148">
        <v>10616909</v>
      </c>
      <c r="AA72" s="148">
        <v>0</v>
      </c>
      <c r="AB72" s="150">
        <v>0.81139104354785363</v>
      </c>
    </row>
    <row r="73" spans="1:28" ht="24.95" customHeight="1">
      <c r="A73" s="32" t="e">
        <v>#REF!</v>
      </c>
      <c r="B73" s="144" t="s">
        <v>597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44</v>
      </c>
      <c r="H73" s="145" t="s">
        <v>34</v>
      </c>
      <c r="I73" s="145"/>
      <c r="J73" s="145">
        <v>10</v>
      </c>
      <c r="K73" s="146" t="s">
        <v>29</v>
      </c>
      <c r="L73" s="147" t="s">
        <v>112</v>
      </c>
      <c r="M73" s="148">
        <v>15224127230</v>
      </c>
      <c r="N73" s="148"/>
      <c r="O73" s="148"/>
      <c r="P73" s="148"/>
      <c r="Q73" s="148"/>
      <c r="R73" s="148"/>
      <c r="S73" s="148">
        <v>15224127230</v>
      </c>
      <c r="T73" s="148">
        <v>7440934180</v>
      </c>
      <c r="U73" s="148">
        <v>7783193050</v>
      </c>
      <c r="V73" s="150">
        <v>0.48875932705930231</v>
      </c>
      <c r="W73" s="148">
        <v>6126395961</v>
      </c>
      <c r="X73" s="148">
        <v>1314538219</v>
      </c>
      <c r="Y73" s="150">
        <v>0.17666306235220589</v>
      </c>
      <c r="Z73" s="148">
        <v>6126395961</v>
      </c>
      <c r="AA73" s="148">
        <v>0</v>
      </c>
      <c r="AB73" s="150">
        <v>0.82333693764779414</v>
      </c>
    </row>
    <row r="74" spans="1:28" ht="24.95" customHeight="1">
      <c r="A74" s="32" t="e">
        <v>#REF!</v>
      </c>
      <c r="B74" s="138" t="s">
        <v>395</v>
      </c>
      <c r="C74" s="139" t="s">
        <v>23</v>
      </c>
      <c r="D74" s="139" t="s">
        <v>54</v>
      </c>
      <c r="E74" s="139" t="s">
        <v>54</v>
      </c>
      <c r="F74" s="139" t="s">
        <v>54</v>
      </c>
      <c r="G74" s="139" t="s">
        <v>46</v>
      </c>
      <c r="H74" s="140"/>
      <c r="I74" s="140"/>
      <c r="J74" s="139" t="s">
        <v>28</v>
      </c>
      <c r="K74" s="140" t="s">
        <v>29</v>
      </c>
      <c r="L74" s="140" t="s">
        <v>113</v>
      </c>
      <c r="M74" s="141">
        <v>15733677608</v>
      </c>
      <c r="N74" s="142">
        <v>0</v>
      </c>
      <c r="O74" s="142">
        <v>0</v>
      </c>
      <c r="P74" s="141">
        <v>679560579.75</v>
      </c>
      <c r="Q74" s="141">
        <v>378760579.75</v>
      </c>
      <c r="R74" s="142">
        <v>0</v>
      </c>
      <c r="S74" s="141">
        <v>16034477608</v>
      </c>
      <c r="T74" s="141">
        <v>8103297463.579999</v>
      </c>
      <c r="U74" s="141">
        <v>7931180144.420001</v>
      </c>
      <c r="V74" s="143">
        <v>0.50536710092364112</v>
      </c>
      <c r="W74" s="141">
        <v>3858465390.5099998</v>
      </c>
      <c r="X74" s="141">
        <v>4244832073.0699992</v>
      </c>
      <c r="Y74" s="143">
        <v>0.52384009005571575</v>
      </c>
      <c r="Z74" s="141">
        <v>3692172178.5300002</v>
      </c>
      <c r="AA74" s="141">
        <v>166293211.98000002</v>
      </c>
      <c r="AB74" s="724">
        <v>0.45563823802894382</v>
      </c>
    </row>
    <row r="75" spans="1:28" ht="24.95" customHeight="1">
      <c r="A75" s="32" t="e">
        <v>#REF!</v>
      </c>
      <c r="B75" s="144" t="s">
        <v>599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34</v>
      </c>
      <c r="I75" s="145"/>
      <c r="J75" s="145">
        <v>10</v>
      </c>
      <c r="K75" s="146" t="s">
        <v>29</v>
      </c>
      <c r="L75" s="147" t="s">
        <v>114</v>
      </c>
      <c r="M75" s="148">
        <v>50358513</v>
      </c>
      <c r="N75" s="148"/>
      <c r="O75" s="148"/>
      <c r="P75" s="148"/>
      <c r="Q75" s="148"/>
      <c r="R75" s="148"/>
      <c r="S75" s="148">
        <v>50358513</v>
      </c>
      <c r="T75" s="148">
        <v>33192800</v>
      </c>
      <c r="U75" s="148">
        <v>17165713</v>
      </c>
      <c r="V75" s="150">
        <v>0.65912986747642843</v>
      </c>
      <c r="W75" s="148">
        <v>2368256</v>
      </c>
      <c r="X75" s="148">
        <v>30824544</v>
      </c>
      <c r="Y75" s="150">
        <v>0.92865151478633923</v>
      </c>
      <c r="Z75" s="148">
        <v>2368256</v>
      </c>
      <c r="AA75" s="148">
        <v>0</v>
      </c>
      <c r="AB75" s="150">
        <v>7.1348485213660801E-2</v>
      </c>
    </row>
    <row r="76" spans="1:28" ht="24.95" customHeight="1">
      <c r="A76" s="32" t="e">
        <v>#REF!</v>
      </c>
      <c r="B76" s="144" t="s">
        <v>601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36</v>
      </c>
      <c r="I76" s="145"/>
      <c r="J76" s="145">
        <v>10</v>
      </c>
      <c r="K76" s="146" t="s">
        <v>29</v>
      </c>
      <c r="L76" s="147" t="s">
        <v>115</v>
      </c>
      <c r="M76" s="148">
        <v>6350236530</v>
      </c>
      <c r="N76" s="148"/>
      <c r="O76" s="148"/>
      <c r="P76" s="148"/>
      <c r="Q76" s="148">
        <v>162453777</v>
      </c>
      <c r="R76" s="148"/>
      <c r="S76" s="148">
        <v>6187782753</v>
      </c>
      <c r="T76" s="148">
        <v>1918970994</v>
      </c>
      <c r="U76" s="148">
        <v>4268811759</v>
      </c>
      <c r="V76" s="150">
        <v>0.3101225544916929</v>
      </c>
      <c r="W76" s="148">
        <v>609363133</v>
      </c>
      <c r="X76" s="148">
        <v>1309607861</v>
      </c>
      <c r="Y76" s="150">
        <v>0.68245318198905514</v>
      </c>
      <c r="Z76" s="148">
        <v>561607149</v>
      </c>
      <c r="AA76" s="148">
        <v>47755984</v>
      </c>
      <c r="AB76" s="150">
        <v>0.29266057212743884</v>
      </c>
    </row>
    <row r="77" spans="1:28" ht="24.95" customHeight="1">
      <c r="A77" s="32" t="e">
        <v>#REF!</v>
      </c>
      <c r="B77" s="144" t="s">
        <v>603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38</v>
      </c>
      <c r="I77" s="145"/>
      <c r="J77" s="145">
        <v>10</v>
      </c>
      <c r="K77" s="146" t="s">
        <v>29</v>
      </c>
      <c r="L77" s="147" t="s">
        <v>116</v>
      </c>
      <c r="M77" s="148">
        <v>2503588821</v>
      </c>
      <c r="N77" s="148"/>
      <c r="O77" s="148"/>
      <c r="P77" s="148">
        <v>3628797.75</v>
      </c>
      <c r="Q77" s="148">
        <v>187634033</v>
      </c>
      <c r="R77" s="148"/>
      <c r="S77" s="148">
        <v>2319583585.75</v>
      </c>
      <c r="T77" s="148">
        <v>1409677707.75</v>
      </c>
      <c r="U77" s="148">
        <v>909905878</v>
      </c>
      <c r="V77" s="150">
        <v>0.60772878218751636</v>
      </c>
      <c r="W77" s="148">
        <v>1098265925.1600001</v>
      </c>
      <c r="X77" s="148">
        <v>311411782.58999991</v>
      </c>
      <c r="Y77" s="150">
        <v>0.22090991499542631</v>
      </c>
      <c r="Z77" s="148">
        <v>1098265925.1600001</v>
      </c>
      <c r="AA77" s="148">
        <v>0</v>
      </c>
      <c r="AB77" s="150">
        <v>0.77909008500457366</v>
      </c>
    </row>
    <row r="78" spans="1:28" ht="24.95" customHeight="1">
      <c r="A78" s="32" t="e">
        <v>#REF!</v>
      </c>
      <c r="B78" s="144" t="s">
        <v>605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40</v>
      </c>
      <c r="I78" s="145"/>
      <c r="J78" s="145">
        <v>10</v>
      </c>
      <c r="K78" s="146" t="s">
        <v>29</v>
      </c>
      <c r="L78" s="147" t="s">
        <v>117</v>
      </c>
      <c r="M78" s="148">
        <v>5781495027</v>
      </c>
      <c r="N78" s="148"/>
      <c r="O78" s="148"/>
      <c r="P78" s="148">
        <v>383040355</v>
      </c>
      <c r="Q78" s="148">
        <v>28672769.75</v>
      </c>
      <c r="R78" s="148"/>
      <c r="S78" s="148">
        <v>6135862612.25</v>
      </c>
      <c r="T78" s="148">
        <v>4113275869.2199998</v>
      </c>
      <c r="U78" s="148">
        <v>2022586743.0300002</v>
      </c>
      <c r="V78" s="150">
        <v>0.67036635745526829</v>
      </c>
      <c r="W78" s="148">
        <v>2070265409.6300001</v>
      </c>
      <c r="X78" s="148">
        <v>2043010459.5899997</v>
      </c>
      <c r="Y78" s="150">
        <v>0.4966869533060071</v>
      </c>
      <c r="Z78" s="148">
        <v>1952217281.6500001</v>
      </c>
      <c r="AA78" s="148">
        <v>118048127.98000002</v>
      </c>
      <c r="AB78" s="150">
        <v>0.47461374916732707</v>
      </c>
    </row>
    <row r="79" spans="1:28" ht="24.95" customHeight="1">
      <c r="A79" s="32" t="e">
        <v>#REF!</v>
      </c>
      <c r="B79" s="144" t="s">
        <v>607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44</v>
      </c>
      <c r="I79" s="145"/>
      <c r="J79" s="145">
        <v>10</v>
      </c>
      <c r="K79" s="146" t="s">
        <v>29</v>
      </c>
      <c r="L79" s="147" t="s">
        <v>118</v>
      </c>
      <c r="M79" s="148">
        <v>729998717</v>
      </c>
      <c r="N79" s="148"/>
      <c r="O79" s="148"/>
      <c r="P79" s="148">
        <v>292891427</v>
      </c>
      <c r="Q79" s="149"/>
      <c r="R79" s="148"/>
      <c r="S79" s="148">
        <v>1022890144</v>
      </c>
      <c r="T79" s="148">
        <v>485690992.61000001</v>
      </c>
      <c r="U79" s="148">
        <v>537199151.38999999</v>
      </c>
      <c r="V79" s="150">
        <v>0.47482224309123855</v>
      </c>
      <c r="W79" s="148">
        <v>75713566.719999999</v>
      </c>
      <c r="X79" s="148">
        <v>409977425.88999999</v>
      </c>
      <c r="Y79" s="150">
        <v>0.84411165149855583</v>
      </c>
      <c r="Z79" s="148">
        <v>75713566.719999999</v>
      </c>
      <c r="AA79" s="148">
        <v>0</v>
      </c>
      <c r="AB79" s="150">
        <v>0.15588834850144412</v>
      </c>
    </row>
    <row r="80" spans="1:28" ht="24.95" customHeight="1">
      <c r="A80" s="32" t="e">
        <v>#REF!</v>
      </c>
      <c r="B80" s="144" t="s">
        <v>609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48</v>
      </c>
      <c r="I80" s="145"/>
      <c r="J80" s="145">
        <v>10</v>
      </c>
      <c r="K80" s="146" t="s">
        <v>29</v>
      </c>
      <c r="L80" s="147" t="s">
        <v>119</v>
      </c>
      <c r="M80" s="148">
        <v>318000000</v>
      </c>
      <c r="N80" s="148"/>
      <c r="O80" s="148"/>
      <c r="P80" s="148"/>
      <c r="Q80" s="148"/>
      <c r="R80" s="148"/>
      <c r="S80" s="148">
        <v>318000000</v>
      </c>
      <c r="T80" s="148">
        <v>142489100</v>
      </c>
      <c r="U80" s="148">
        <v>175510900</v>
      </c>
      <c r="V80" s="150">
        <v>0.44807893081761008</v>
      </c>
      <c r="W80" s="148">
        <v>2489100</v>
      </c>
      <c r="X80" s="148">
        <v>140000000</v>
      </c>
      <c r="Y80" s="150">
        <v>0.98253129537627792</v>
      </c>
      <c r="Z80" s="148">
        <v>2000000</v>
      </c>
      <c r="AA80" s="148">
        <v>489100</v>
      </c>
      <c r="AB80" s="150">
        <v>1.4036161362518255E-2</v>
      </c>
    </row>
    <row r="81" spans="1:28" ht="24.95" customHeight="1">
      <c r="A81" s="32" t="e">
        <v>#REF!</v>
      </c>
      <c r="B81" s="138" t="s">
        <v>397</v>
      </c>
      <c r="C81" s="139" t="s">
        <v>23</v>
      </c>
      <c r="D81" s="139" t="s">
        <v>54</v>
      </c>
      <c r="E81" s="139" t="s">
        <v>54</v>
      </c>
      <c r="F81" s="139" t="s">
        <v>54</v>
      </c>
      <c r="G81" s="139" t="s">
        <v>48</v>
      </c>
      <c r="H81" s="140"/>
      <c r="I81" s="140"/>
      <c r="J81" s="139" t="s">
        <v>28</v>
      </c>
      <c r="K81" s="140" t="s">
        <v>29</v>
      </c>
      <c r="L81" s="140" t="s">
        <v>120</v>
      </c>
      <c r="M81" s="141">
        <v>2932500000</v>
      </c>
      <c r="N81" s="142">
        <v>0</v>
      </c>
      <c r="O81" s="142">
        <v>0</v>
      </c>
      <c r="P81" s="142">
        <v>0</v>
      </c>
      <c r="Q81" s="141">
        <v>380000000</v>
      </c>
      <c r="R81" s="142">
        <v>0</v>
      </c>
      <c r="S81" s="141">
        <v>2552500000</v>
      </c>
      <c r="T81" s="141">
        <v>251590261.13</v>
      </c>
      <c r="U81" s="141">
        <v>2300909738.8699999</v>
      </c>
      <c r="V81" s="143">
        <v>9.8566213958863863E-2</v>
      </c>
      <c r="W81" s="141">
        <v>33213944.129999999</v>
      </c>
      <c r="X81" s="141">
        <v>218376317</v>
      </c>
      <c r="Y81" s="143">
        <v>0.86798398323996362</v>
      </c>
      <c r="Z81" s="141">
        <v>31599201.129999999</v>
      </c>
      <c r="AA81" s="141">
        <v>1614743</v>
      </c>
      <c r="AB81" s="724">
        <v>0.12559787087176746</v>
      </c>
    </row>
    <row r="82" spans="1:28" ht="24.95" customHeight="1">
      <c r="A82" s="32" t="e">
        <v>#REF!</v>
      </c>
      <c r="B82" s="144" t="s">
        <v>611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34</v>
      </c>
      <c r="I82" s="145"/>
      <c r="J82" s="145">
        <v>10</v>
      </c>
      <c r="K82" s="146" t="s">
        <v>29</v>
      </c>
      <c r="L82" s="147" t="s">
        <v>121</v>
      </c>
      <c r="M82" s="148">
        <v>1250000000</v>
      </c>
      <c r="N82" s="148"/>
      <c r="O82" s="148"/>
      <c r="P82" s="148"/>
      <c r="Q82" s="148">
        <v>380000000</v>
      </c>
      <c r="R82" s="148"/>
      <c r="S82" s="148">
        <v>870000000</v>
      </c>
      <c r="T82" s="148">
        <v>0</v>
      </c>
      <c r="U82" s="148">
        <v>870000000</v>
      </c>
      <c r="V82" s="150">
        <v>0</v>
      </c>
      <c r="W82" s="148">
        <v>0</v>
      </c>
      <c r="X82" s="148">
        <v>0</v>
      </c>
      <c r="Y82" s="150">
        <v>0</v>
      </c>
      <c r="Z82" s="148">
        <v>0</v>
      </c>
      <c r="AA82" s="148">
        <v>0</v>
      </c>
      <c r="AB82" s="150">
        <v>0</v>
      </c>
    </row>
    <row r="83" spans="1:28" ht="24.95" customHeight="1">
      <c r="A83" s="32" t="e">
        <v>#REF!</v>
      </c>
      <c r="B83" s="144" t="s">
        <v>613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36</v>
      </c>
      <c r="I83" s="145"/>
      <c r="J83" s="145">
        <v>10</v>
      </c>
      <c r="K83" s="146" t="s">
        <v>29</v>
      </c>
      <c r="L83" s="147" t="s">
        <v>122</v>
      </c>
      <c r="M83" s="148">
        <v>300000000</v>
      </c>
      <c r="N83" s="148"/>
      <c r="O83" s="148"/>
      <c r="P83" s="148"/>
      <c r="Q83" s="148"/>
      <c r="R83" s="148"/>
      <c r="S83" s="148">
        <v>300000000</v>
      </c>
      <c r="T83" s="148">
        <v>135097908</v>
      </c>
      <c r="U83" s="148">
        <v>164902092</v>
      </c>
      <c r="V83" s="150">
        <v>0.45032635999999998</v>
      </c>
      <c r="W83" s="148">
        <v>6721591</v>
      </c>
      <c r="X83" s="148">
        <v>128376317</v>
      </c>
      <c r="Y83" s="150">
        <v>0.9502465204716567</v>
      </c>
      <c r="Z83" s="148">
        <v>6721591</v>
      </c>
      <c r="AA83" s="148">
        <v>0</v>
      </c>
      <c r="AB83" s="150">
        <v>4.9753479528343254E-2</v>
      </c>
    </row>
    <row r="84" spans="1:28" ht="24.95" customHeight="1">
      <c r="A84" s="32" t="e">
        <v>#REF!</v>
      </c>
      <c r="B84" s="144" t="s">
        <v>615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38</v>
      </c>
      <c r="I84" s="145"/>
      <c r="J84" s="145">
        <v>10</v>
      </c>
      <c r="K84" s="146" t="s">
        <v>29</v>
      </c>
      <c r="L84" s="147" t="s">
        <v>123</v>
      </c>
      <c r="M84" s="148">
        <v>87500000</v>
      </c>
      <c r="N84" s="148"/>
      <c r="O84" s="148"/>
      <c r="P84" s="148"/>
      <c r="Q84" s="148"/>
      <c r="R84" s="148"/>
      <c r="S84" s="148">
        <v>87500000</v>
      </c>
      <c r="T84" s="148">
        <v>26492353.129999999</v>
      </c>
      <c r="U84" s="148">
        <v>61007646.870000005</v>
      </c>
      <c r="V84" s="150">
        <v>0.30276975005714285</v>
      </c>
      <c r="W84" s="148">
        <v>26492353.129999999</v>
      </c>
      <c r="X84" s="148">
        <v>0</v>
      </c>
      <c r="Y84" s="150">
        <v>0</v>
      </c>
      <c r="Z84" s="148">
        <v>24877610.129999999</v>
      </c>
      <c r="AA84" s="148">
        <v>1614743</v>
      </c>
      <c r="AB84" s="150">
        <v>0.93904871371462051</v>
      </c>
    </row>
    <row r="85" spans="1:28" ht="24.95" customHeight="1">
      <c r="A85" s="32" t="e">
        <v>#REF!</v>
      </c>
      <c r="B85" s="144" t="s">
        <v>617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42</v>
      </c>
      <c r="I85" s="145"/>
      <c r="J85" s="145">
        <v>10</v>
      </c>
      <c r="K85" s="146" t="s">
        <v>29</v>
      </c>
      <c r="L85" s="147" t="s">
        <v>124</v>
      </c>
      <c r="M85" s="148">
        <v>1250000000</v>
      </c>
      <c r="N85" s="148"/>
      <c r="O85" s="148"/>
      <c r="P85" s="148"/>
      <c r="Q85" s="148"/>
      <c r="R85" s="148"/>
      <c r="S85" s="148">
        <v>1250000000</v>
      </c>
      <c r="T85" s="148">
        <v>90000000</v>
      </c>
      <c r="U85" s="148">
        <v>1160000000</v>
      </c>
      <c r="V85" s="150">
        <v>7.1999999999999995E-2</v>
      </c>
      <c r="W85" s="148">
        <v>0</v>
      </c>
      <c r="X85" s="148">
        <v>90000000</v>
      </c>
      <c r="Y85" s="150">
        <v>1</v>
      </c>
      <c r="Z85" s="148">
        <v>0</v>
      </c>
      <c r="AA85" s="148">
        <v>0</v>
      </c>
      <c r="AB85" s="150">
        <v>0</v>
      </c>
    </row>
    <row r="86" spans="1:28" ht="24.95" customHeight="1">
      <c r="A86" s="32" t="e">
        <v>#REF!</v>
      </c>
      <c r="B86" s="144" t="s">
        <v>619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44</v>
      </c>
      <c r="I86" s="145"/>
      <c r="J86" s="145">
        <v>10</v>
      </c>
      <c r="K86" s="146" t="s">
        <v>29</v>
      </c>
      <c r="L86" s="147" t="s">
        <v>125</v>
      </c>
      <c r="M86" s="148">
        <v>45000000</v>
      </c>
      <c r="N86" s="148"/>
      <c r="O86" s="148"/>
      <c r="P86" s="149"/>
      <c r="Q86" s="148"/>
      <c r="R86" s="148"/>
      <c r="S86" s="148">
        <v>45000000</v>
      </c>
      <c r="T86" s="148">
        <v>0</v>
      </c>
      <c r="U86" s="148">
        <v>45000000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399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50</v>
      </c>
      <c r="H87" s="145"/>
      <c r="I87" s="145"/>
      <c r="J87" s="145" t="s">
        <v>28</v>
      </c>
      <c r="K87" s="146" t="s">
        <v>29</v>
      </c>
      <c r="L87" s="152" t="s">
        <v>126</v>
      </c>
      <c r="M87" s="153">
        <v>922000000</v>
      </c>
      <c r="N87" s="153"/>
      <c r="O87" s="153"/>
      <c r="P87" s="153"/>
      <c r="Q87" s="153"/>
      <c r="R87" s="153"/>
      <c r="S87" s="153">
        <v>922000000</v>
      </c>
      <c r="T87" s="153">
        <v>406736747</v>
      </c>
      <c r="U87" s="153">
        <v>515263253</v>
      </c>
      <c r="V87" s="154">
        <v>0.44114614642082428</v>
      </c>
      <c r="W87" s="153">
        <v>285899815</v>
      </c>
      <c r="X87" s="153">
        <v>120836932</v>
      </c>
      <c r="Y87" s="154">
        <v>0.2970887997980669</v>
      </c>
      <c r="Z87" s="153">
        <v>285899815</v>
      </c>
      <c r="AA87" s="148">
        <v>0</v>
      </c>
      <c r="AB87" s="150">
        <v>0.7029112002019331</v>
      </c>
    </row>
    <row r="88" spans="1:28" ht="36" customHeight="1">
      <c r="A88" s="32" t="e">
        <v>#REF!</v>
      </c>
      <c r="B88" s="122" t="s">
        <v>401</v>
      </c>
      <c r="C88" s="123" t="s">
        <v>23</v>
      </c>
      <c r="D88" s="123" t="s">
        <v>65</v>
      </c>
      <c r="E88" s="123"/>
      <c r="F88" s="123"/>
      <c r="G88" s="123"/>
      <c r="H88" s="123"/>
      <c r="I88" s="123"/>
      <c r="J88" s="124"/>
      <c r="K88" s="124"/>
      <c r="L88" s="124" t="s">
        <v>127</v>
      </c>
      <c r="M88" s="125">
        <v>13468000000</v>
      </c>
      <c r="N88" s="719">
        <v>0</v>
      </c>
      <c r="O88" s="719">
        <v>0</v>
      </c>
      <c r="P88" s="719">
        <v>0</v>
      </c>
      <c r="Q88" s="719">
        <v>0</v>
      </c>
      <c r="R88" s="125">
        <v>10390000000</v>
      </c>
      <c r="S88" s="125">
        <v>3078000000</v>
      </c>
      <c r="T88" s="125">
        <v>1123727930.73</v>
      </c>
      <c r="U88" s="125">
        <v>1954272069.27</v>
      </c>
      <c r="V88" s="126">
        <v>0.36508379815789477</v>
      </c>
      <c r="W88" s="125">
        <v>960097562.73000002</v>
      </c>
      <c r="X88" s="125">
        <v>163630368</v>
      </c>
      <c r="Y88" s="126">
        <v>0.14561386571009396</v>
      </c>
      <c r="Z88" s="125">
        <v>960097562.73000002</v>
      </c>
      <c r="AA88" s="125">
        <v>0</v>
      </c>
      <c r="AB88" s="720">
        <v>0.85438613428990606</v>
      </c>
    </row>
    <row r="89" spans="1:28" ht="24" customHeight="1">
      <c r="A89" s="32" t="e">
        <v>#REF!</v>
      </c>
      <c r="B89" s="127" t="s">
        <v>621</v>
      </c>
      <c r="C89" s="128" t="s">
        <v>23</v>
      </c>
      <c r="D89" s="128" t="s">
        <v>65</v>
      </c>
      <c r="E89" s="128" t="s">
        <v>65</v>
      </c>
      <c r="F89" s="128"/>
      <c r="G89" s="128"/>
      <c r="H89" s="128"/>
      <c r="I89" s="128"/>
      <c r="J89" s="129"/>
      <c r="K89" s="129"/>
      <c r="L89" s="129" t="s">
        <v>128</v>
      </c>
      <c r="M89" s="130">
        <v>10390000000</v>
      </c>
      <c r="N89" s="721">
        <v>0</v>
      </c>
      <c r="O89" s="721">
        <v>0</v>
      </c>
      <c r="P89" s="721">
        <v>0</v>
      </c>
      <c r="Q89" s="721">
        <v>0</v>
      </c>
      <c r="R89" s="130">
        <v>10390000000</v>
      </c>
      <c r="S89" s="130">
        <v>0</v>
      </c>
      <c r="T89" s="130">
        <v>0</v>
      </c>
      <c r="U89" s="130">
        <v>0</v>
      </c>
      <c r="V89" s="131">
        <v>0</v>
      </c>
      <c r="W89" s="130">
        <v>0</v>
      </c>
      <c r="X89" s="130">
        <v>0</v>
      </c>
      <c r="Y89" s="131">
        <v>0</v>
      </c>
      <c r="Z89" s="130">
        <v>0</v>
      </c>
      <c r="AA89" s="130">
        <v>0</v>
      </c>
      <c r="AB89" s="722">
        <v>0</v>
      </c>
    </row>
    <row r="90" spans="1:28" ht="24" customHeight="1">
      <c r="A90" s="32" t="e">
        <v>#REF!</v>
      </c>
      <c r="B90" s="132" t="s">
        <v>623</v>
      </c>
      <c r="C90" s="133" t="s">
        <v>23</v>
      </c>
      <c r="D90" s="133" t="s">
        <v>65</v>
      </c>
      <c r="E90" s="133" t="s">
        <v>65</v>
      </c>
      <c r="F90" s="133" t="s">
        <v>25</v>
      </c>
      <c r="G90" s="133"/>
      <c r="H90" s="133"/>
      <c r="I90" s="133"/>
      <c r="J90" s="133"/>
      <c r="K90" s="134"/>
      <c r="L90" s="134" t="s">
        <v>129</v>
      </c>
      <c r="M90" s="135">
        <v>10390000000</v>
      </c>
      <c r="N90" s="136">
        <v>0</v>
      </c>
      <c r="O90" s="136">
        <v>0</v>
      </c>
      <c r="P90" s="136">
        <v>0</v>
      </c>
      <c r="Q90" s="136">
        <v>0</v>
      </c>
      <c r="R90" s="135">
        <v>10390000000</v>
      </c>
      <c r="S90" s="135">
        <v>0</v>
      </c>
      <c r="T90" s="135">
        <v>0</v>
      </c>
      <c r="U90" s="135">
        <v>0</v>
      </c>
      <c r="V90" s="137">
        <v>0</v>
      </c>
      <c r="W90" s="135">
        <v>0</v>
      </c>
      <c r="X90" s="135">
        <v>0</v>
      </c>
      <c r="Y90" s="137">
        <v>0</v>
      </c>
      <c r="Z90" s="135">
        <v>0</v>
      </c>
      <c r="AA90" s="135">
        <v>0</v>
      </c>
      <c r="AB90" s="723">
        <v>0</v>
      </c>
    </row>
    <row r="91" spans="1:28" ht="24.95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131</v>
      </c>
      <c r="M91" s="148"/>
      <c r="N91" s="148"/>
      <c r="O91" s="148"/>
      <c r="P91" s="148"/>
      <c r="Q91" s="148"/>
      <c r="R91" s="148"/>
      <c r="S91" s="148">
        <v>0</v>
      </c>
      <c r="T91" s="149"/>
      <c r="U91" s="148">
        <v>0</v>
      </c>
      <c r="V91" s="150">
        <v>0</v>
      </c>
      <c r="W91" s="148"/>
      <c r="X91" s="148">
        <v>0</v>
      </c>
      <c r="Y91" s="150">
        <v>0</v>
      </c>
      <c r="Z91" s="148"/>
      <c r="AA91" s="148">
        <v>0</v>
      </c>
      <c r="AB91" s="150">
        <v>0</v>
      </c>
    </row>
    <row r="92" spans="1:28" ht="24.95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132</v>
      </c>
      <c r="M92" s="148"/>
      <c r="N92" s="148"/>
      <c r="O92" s="148"/>
      <c r="P92" s="148"/>
      <c r="Q92" s="148"/>
      <c r="R92" s="148"/>
      <c r="S92" s="148">
        <v>0</v>
      </c>
      <c r="T92" s="149"/>
      <c r="U92" s="148">
        <v>0</v>
      </c>
      <c r="V92" s="150">
        <v>0</v>
      </c>
      <c r="W92" s="148"/>
      <c r="X92" s="148">
        <v>0</v>
      </c>
      <c r="Y92" s="150">
        <v>0</v>
      </c>
      <c r="Z92" s="148"/>
      <c r="AA92" s="148">
        <v>0</v>
      </c>
      <c r="AB92" s="150">
        <v>0</v>
      </c>
    </row>
    <row r="93" spans="1:28" ht="24.95" customHeight="1">
      <c r="A93" s="32" t="e">
        <v>#REF!</v>
      </c>
      <c r="B93" s="144" t="s">
        <v>625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130</v>
      </c>
      <c r="H93" s="145"/>
      <c r="I93" s="145"/>
      <c r="J93" s="145">
        <v>54</v>
      </c>
      <c r="K93" s="146" t="s">
        <v>29</v>
      </c>
      <c r="L93" s="147" t="s">
        <v>133</v>
      </c>
      <c r="M93" s="148"/>
      <c r="N93" s="148"/>
      <c r="O93" s="148"/>
      <c r="P93" s="148"/>
      <c r="Q93" s="148"/>
      <c r="R93" s="148"/>
      <c r="S93" s="148">
        <v>0</v>
      </c>
      <c r="T93" s="149"/>
      <c r="U93" s="148">
        <v>0</v>
      </c>
      <c r="V93" s="150">
        <v>0</v>
      </c>
      <c r="W93" s="148"/>
      <c r="X93" s="148">
        <v>0</v>
      </c>
      <c r="Y93" s="150">
        <v>0</v>
      </c>
      <c r="Z93" s="148"/>
      <c r="AA93" s="148">
        <v>0</v>
      </c>
      <c r="AB93" s="150">
        <v>0</v>
      </c>
    </row>
    <row r="94" spans="1:28" ht="24.95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 t="s">
        <v>28</v>
      </c>
      <c r="K94" s="146" t="s">
        <v>29</v>
      </c>
      <c r="L94" s="147" t="s">
        <v>135</v>
      </c>
      <c r="M94" s="149">
        <v>10390000000</v>
      </c>
      <c r="N94" s="148"/>
      <c r="O94" s="148"/>
      <c r="P94" s="148"/>
      <c r="Q94" s="148"/>
      <c r="R94" s="149">
        <v>10390000000</v>
      </c>
      <c r="S94" s="149">
        <v>0</v>
      </c>
      <c r="T94" s="149">
        <v>0</v>
      </c>
      <c r="U94" s="148">
        <v>0</v>
      </c>
      <c r="V94" s="150">
        <v>0</v>
      </c>
      <c r="W94" s="148"/>
      <c r="X94" s="148">
        <v>0</v>
      </c>
      <c r="Y94" s="150">
        <v>0</v>
      </c>
      <c r="Z94" s="148"/>
      <c r="AA94" s="148">
        <v>0</v>
      </c>
      <c r="AB94" s="150">
        <v>0</v>
      </c>
    </row>
    <row r="95" spans="1:28" ht="24.95" customHeight="1">
      <c r="A95" s="32" t="e">
        <v>#REF!</v>
      </c>
      <c r="B95" s="144" t="s">
        <v>627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134</v>
      </c>
      <c r="H95" s="145"/>
      <c r="I95" s="145"/>
      <c r="J95" s="145">
        <v>11</v>
      </c>
      <c r="K95" s="146" t="s">
        <v>29</v>
      </c>
      <c r="L95" s="147" t="s">
        <v>135</v>
      </c>
      <c r="M95" s="148"/>
      <c r="N95" s="148"/>
      <c r="O95" s="148"/>
      <c r="P95" s="148"/>
      <c r="Q95" s="148"/>
      <c r="R95" s="148"/>
      <c r="S95" s="148">
        <v>0</v>
      </c>
      <c r="T95" s="148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" customHeight="1">
      <c r="A96" s="32" t="e">
        <v>#REF!</v>
      </c>
      <c r="B96" s="127" t="s">
        <v>403</v>
      </c>
      <c r="C96" s="128" t="s">
        <v>23</v>
      </c>
      <c r="D96" s="128" t="s">
        <v>65</v>
      </c>
      <c r="E96" s="128" t="s">
        <v>136</v>
      </c>
      <c r="F96" s="128"/>
      <c r="G96" s="128"/>
      <c r="H96" s="128"/>
      <c r="I96" s="128"/>
      <c r="J96" s="129"/>
      <c r="K96" s="129"/>
      <c r="L96" s="129" t="s">
        <v>137</v>
      </c>
      <c r="M96" s="130">
        <v>719000000</v>
      </c>
      <c r="N96" s="721">
        <v>0</v>
      </c>
      <c r="O96" s="721">
        <v>0</v>
      </c>
      <c r="P96" s="721">
        <v>0</v>
      </c>
      <c r="Q96" s="721">
        <v>0</v>
      </c>
      <c r="R96" s="721">
        <v>0</v>
      </c>
      <c r="S96" s="130">
        <v>719000000</v>
      </c>
      <c r="T96" s="130">
        <v>251370280</v>
      </c>
      <c r="U96" s="130">
        <v>467629720</v>
      </c>
      <c r="V96" s="131">
        <v>0.34961095966620304</v>
      </c>
      <c r="W96" s="130">
        <v>87739912</v>
      </c>
      <c r="X96" s="130">
        <v>163630368</v>
      </c>
      <c r="Y96" s="131">
        <v>0.65095351765530918</v>
      </c>
      <c r="Z96" s="130">
        <v>87739912</v>
      </c>
      <c r="AA96" s="721">
        <v>0</v>
      </c>
      <c r="AB96" s="722">
        <v>0.34904648234469088</v>
      </c>
    </row>
    <row r="97" spans="1:30" ht="24" customHeight="1">
      <c r="A97" s="32" t="e">
        <v>#REF!</v>
      </c>
      <c r="B97" s="132" t="s">
        <v>405</v>
      </c>
      <c r="C97" s="133" t="s">
        <v>23</v>
      </c>
      <c r="D97" s="133" t="s">
        <v>65</v>
      </c>
      <c r="E97" s="133" t="s">
        <v>136</v>
      </c>
      <c r="F97" s="133" t="s">
        <v>54</v>
      </c>
      <c r="G97" s="133"/>
      <c r="H97" s="133"/>
      <c r="I97" s="133"/>
      <c r="J97" s="133" t="s">
        <v>28</v>
      </c>
      <c r="K97" s="134" t="s">
        <v>29</v>
      </c>
      <c r="L97" s="134" t="s">
        <v>138</v>
      </c>
      <c r="M97" s="135">
        <v>719000000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5">
        <v>719000000</v>
      </c>
      <c r="T97" s="135">
        <v>251370280</v>
      </c>
      <c r="U97" s="135">
        <v>467629720</v>
      </c>
      <c r="V97" s="137">
        <v>0.34961095966620304</v>
      </c>
      <c r="W97" s="135">
        <v>87739912</v>
      </c>
      <c r="X97" s="135">
        <v>163630368</v>
      </c>
      <c r="Y97" s="137">
        <v>0.65095351765530918</v>
      </c>
      <c r="Z97" s="135">
        <v>87739912</v>
      </c>
      <c r="AA97" s="136">
        <v>0</v>
      </c>
      <c r="AB97" s="723">
        <v>0.34904648234469088</v>
      </c>
    </row>
    <row r="98" spans="1:30" ht="24.95" customHeight="1">
      <c r="A98" s="32" t="e">
        <v>#REF!</v>
      </c>
      <c r="B98" s="138" t="s">
        <v>407</v>
      </c>
      <c r="C98" s="139" t="s">
        <v>23</v>
      </c>
      <c r="D98" s="139" t="s">
        <v>65</v>
      </c>
      <c r="E98" s="139" t="s">
        <v>136</v>
      </c>
      <c r="F98" s="139" t="s">
        <v>54</v>
      </c>
      <c r="G98" s="139" t="s">
        <v>52</v>
      </c>
      <c r="H98" s="139"/>
      <c r="I98" s="139"/>
      <c r="J98" s="139" t="s">
        <v>28</v>
      </c>
      <c r="K98" s="140" t="s">
        <v>29</v>
      </c>
      <c r="L98" s="140" t="s">
        <v>139</v>
      </c>
      <c r="M98" s="141">
        <v>719000000</v>
      </c>
      <c r="N98" s="142">
        <v>0</v>
      </c>
      <c r="O98" s="142">
        <v>0</v>
      </c>
      <c r="P98" s="142">
        <v>0</v>
      </c>
      <c r="Q98" s="142">
        <v>0</v>
      </c>
      <c r="R98" s="142">
        <v>0</v>
      </c>
      <c r="S98" s="141">
        <v>719000000</v>
      </c>
      <c r="T98" s="141">
        <v>251370280</v>
      </c>
      <c r="U98" s="141">
        <v>467629720</v>
      </c>
      <c r="V98" s="143">
        <v>0.34961095966620304</v>
      </c>
      <c r="W98" s="141">
        <v>87739912</v>
      </c>
      <c r="X98" s="141">
        <v>163630368</v>
      </c>
      <c r="Y98" s="143">
        <v>0.65095351765530918</v>
      </c>
      <c r="Z98" s="141">
        <v>87739912</v>
      </c>
      <c r="AA98" s="142">
        <v>0</v>
      </c>
      <c r="AB98" s="724">
        <v>0.34904648234469088</v>
      </c>
    </row>
    <row r="99" spans="1:30" ht="24.95" customHeight="1">
      <c r="A99" s="32" t="e">
        <v>#REF!</v>
      </c>
      <c r="B99" s="144" t="s">
        <v>409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31</v>
      </c>
      <c r="I99" s="145"/>
      <c r="J99" s="145" t="s">
        <v>28</v>
      </c>
      <c r="K99" s="146" t="s">
        <v>29</v>
      </c>
      <c r="L99" s="147" t="s">
        <v>140</v>
      </c>
      <c r="M99" s="148">
        <v>359500000</v>
      </c>
      <c r="N99" s="148"/>
      <c r="O99" s="148"/>
      <c r="P99" s="148"/>
      <c r="Q99" s="148"/>
      <c r="R99" s="148"/>
      <c r="S99" s="148">
        <v>359500000</v>
      </c>
      <c r="T99" s="148">
        <v>145173511</v>
      </c>
      <c r="U99" s="148">
        <v>214326489</v>
      </c>
      <c r="V99" s="150">
        <v>0.4038206147426982</v>
      </c>
      <c r="W99" s="148">
        <v>70902046</v>
      </c>
      <c r="X99" s="148">
        <v>74271465</v>
      </c>
      <c r="Y99" s="150">
        <v>0.5116047995835824</v>
      </c>
      <c r="Z99" s="148">
        <v>70902046</v>
      </c>
      <c r="AA99" s="148">
        <v>0</v>
      </c>
      <c r="AB99" s="150">
        <v>0.48839520041641754</v>
      </c>
    </row>
    <row r="100" spans="1:30" ht="24.95" customHeight="1">
      <c r="A100" s="32" t="e">
        <v>#REF!</v>
      </c>
      <c r="B100" s="144" t="s">
        <v>411</v>
      </c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52</v>
      </c>
      <c r="H100" s="145" t="s">
        <v>34</v>
      </c>
      <c r="I100" s="145"/>
      <c r="J100" s="145" t="s">
        <v>28</v>
      </c>
      <c r="K100" s="146" t="s">
        <v>29</v>
      </c>
      <c r="L100" s="147" t="s">
        <v>141</v>
      </c>
      <c r="M100" s="148">
        <v>359500000</v>
      </c>
      <c r="N100" s="148"/>
      <c r="O100" s="148"/>
      <c r="P100" s="148"/>
      <c r="Q100" s="148"/>
      <c r="R100" s="148"/>
      <c r="S100" s="148">
        <v>359500000</v>
      </c>
      <c r="T100" s="148">
        <v>106196769</v>
      </c>
      <c r="U100" s="148">
        <v>253303231</v>
      </c>
      <c r="V100" s="150">
        <v>0.29540130458970792</v>
      </c>
      <c r="W100" s="148">
        <v>16837866</v>
      </c>
      <c r="X100" s="148">
        <v>89358903</v>
      </c>
      <c r="Y100" s="150">
        <v>0.84144653214449494</v>
      </c>
      <c r="Z100" s="148">
        <v>16837866</v>
      </c>
      <c r="AA100" s="148">
        <v>0</v>
      </c>
      <c r="AB100" s="150">
        <v>0.15855346785550509</v>
      </c>
    </row>
    <row r="101" spans="1:30" ht="24.95" customHeight="1">
      <c r="A101" s="32" t="e">
        <v>#REF!</v>
      </c>
      <c r="B101" s="32"/>
      <c r="C101" s="145" t="s">
        <v>23</v>
      </c>
      <c r="D101" s="145" t="s">
        <v>65</v>
      </c>
      <c r="E101" s="145" t="s">
        <v>136</v>
      </c>
      <c r="F101" s="145" t="s">
        <v>54</v>
      </c>
      <c r="G101" s="145" t="s">
        <v>142</v>
      </c>
      <c r="H101" s="145"/>
      <c r="I101" s="145"/>
      <c r="J101" s="145" t="s">
        <v>28</v>
      </c>
      <c r="K101" s="146" t="s">
        <v>29</v>
      </c>
      <c r="L101" s="147" t="s">
        <v>260</v>
      </c>
      <c r="M101" s="148">
        <v>0</v>
      </c>
      <c r="N101" s="148"/>
      <c r="O101" s="148"/>
      <c r="P101" s="148"/>
      <c r="Q101" s="148"/>
      <c r="R101" s="148"/>
      <c r="S101" s="148">
        <v>0</v>
      </c>
      <c r="T101" s="148">
        <v>0</v>
      </c>
      <c r="U101" s="148">
        <v>0</v>
      </c>
      <c r="V101" s="150">
        <v>0</v>
      </c>
      <c r="W101" s="148">
        <v>0</v>
      </c>
      <c r="X101" s="148">
        <v>0</v>
      </c>
      <c r="Y101" s="150">
        <v>0</v>
      </c>
      <c r="Z101" s="148">
        <v>0</v>
      </c>
      <c r="AA101" s="148">
        <v>0</v>
      </c>
      <c r="AB101" s="150">
        <v>0</v>
      </c>
    </row>
    <row r="102" spans="1:30" ht="24" customHeight="1">
      <c r="A102" s="32" t="e">
        <v>#REF!</v>
      </c>
      <c r="B102" s="127" t="s">
        <v>415</v>
      </c>
      <c r="C102" s="128" t="s">
        <v>23</v>
      </c>
      <c r="D102" s="128" t="s">
        <v>65</v>
      </c>
      <c r="E102" s="128" t="s">
        <v>28</v>
      </c>
      <c r="F102" s="128"/>
      <c r="G102" s="128"/>
      <c r="H102" s="128"/>
      <c r="I102" s="128"/>
      <c r="J102" s="129"/>
      <c r="K102" s="129"/>
      <c r="L102" s="129" t="s">
        <v>143</v>
      </c>
      <c r="M102" s="130">
        <v>2359000000</v>
      </c>
      <c r="N102" s="721">
        <v>0</v>
      </c>
      <c r="O102" s="721">
        <v>0</v>
      </c>
      <c r="P102" s="721">
        <v>0</v>
      </c>
      <c r="Q102" s="721">
        <v>0</v>
      </c>
      <c r="R102" s="721">
        <v>0</v>
      </c>
      <c r="S102" s="130">
        <v>2359000000</v>
      </c>
      <c r="T102" s="130">
        <v>872357650.73000002</v>
      </c>
      <c r="U102" s="130">
        <v>1486642349.27</v>
      </c>
      <c r="V102" s="131">
        <v>0.3697997671598135</v>
      </c>
      <c r="W102" s="130">
        <v>872357650.73000002</v>
      </c>
      <c r="X102" s="130">
        <v>0</v>
      </c>
      <c r="Y102" s="131">
        <v>0</v>
      </c>
      <c r="Z102" s="130">
        <v>872357650.73000002</v>
      </c>
      <c r="AA102" s="130">
        <v>0</v>
      </c>
      <c r="AB102" s="722">
        <v>1</v>
      </c>
    </row>
    <row r="103" spans="1:30" ht="24" customHeight="1">
      <c r="A103" s="32" t="e">
        <v>#REF!</v>
      </c>
      <c r="B103" s="132" t="s">
        <v>417</v>
      </c>
      <c r="C103" s="133" t="s">
        <v>23</v>
      </c>
      <c r="D103" s="133" t="s">
        <v>65</v>
      </c>
      <c r="E103" s="133" t="s">
        <v>28</v>
      </c>
      <c r="F103" s="133" t="s">
        <v>25</v>
      </c>
      <c r="G103" s="133"/>
      <c r="H103" s="133"/>
      <c r="I103" s="133"/>
      <c r="J103" s="133" t="s">
        <v>144</v>
      </c>
      <c r="K103" s="134" t="s">
        <v>29</v>
      </c>
      <c r="L103" s="134" t="s">
        <v>145</v>
      </c>
      <c r="M103" s="135">
        <v>2359000000</v>
      </c>
      <c r="N103" s="135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2359000000</v>
      </c>
      <c r="T103" s="135">
        <v>872357650.73000002</v>
      </c>
      <c r="U103" s="135">
        <v>1486642349.27</v>
      </c>
      <c r="V103" s="137">
        <v>0.3697997671598135</v>
      </c>
      <c r="W103" s="135">
        <v>872357650.73000002</v>
      </c>
      <c r="X103" s="135">
        <v>0</v>
      </c>
      <c r="Y103" s="137">
        <v>0</v>
      </c>
      <c r="Z103" s="135">
        <v>872357650.73000002</v>
      </c>
      <c r="AA103" s="135">
        <v>0</v>
      </c>
      <c r="AB103" s="723">
        <v>1</v>
      </c>
    </row>
    <row r="104" spans="1:30" ht="24.95" customHeight="1">
      <c r="A104" s="32" t="e">
        <v>#REF!</v>
      </c>
      <c r="B104" s="144" t="s">
        <v>418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45" t="s">
        <v>31</v>
      </c>
      <c r="H104" s="145"/>
      <c r="I104" s="145"/>
      <c r="J104" s="145">
        <v>10</v>
      </c>
      <c r="K104" s="146" t="s">
        <v>29</v>
      </c>
      <c r="L104" s="147" t="s">
        <v>146</v>
      </c>
      <c r="M104" s="149">
        <v>2311820000</v>
      </c>
      <c r="N104" s="148"/>
      <c r="O104" s="148"/>
      <c r="P104" s="148"/>
      <c r="Q104" s="148"/>
      <c r="R104" s="148"/>
      <c r="S104" s="148">
        <v>2311820000</v>
      </c>
      <c r="T104" s="149">
        <v>852945057.73000002</v>
      </c>
      <c r="U104" s="148">
        <v>1458874942.27</v>
      </c>
      <c r="V104" s="150">
        <v>0.36894959717019493</v>
      </c>
      <c r="W104" s="148">
        <v>852945057.73000002</v>
      </c>
      <c r="X104" s="148">
        <v>0</v>
      </c>
      <c r="Y104" s="150">
        <v>0</v>
      </c>
      <c r="Z104" s="148">
        <v>852945057.73000002</v>
      </c>
      <c r="AA104" s="148">
        <v>0</v>
      </c>
      <c r="AB104" s="150">
        <v>1</v>
      </c>
    </row>
    <row r="105" spans="1:30" ht="24.95" customHeight="1">
      <c r="A105" s="32" t="e">
        <v>#REF!</v>
      </c>
      <c r="B105" s="144" t="s">
        <v>419</v>
      </c>
      <c r="C105" s="145" t="s">
        <v>23</v>
      </c>
      <c r="D105" s="145" t="s">
        <v>65</v>
      </c>
      <c r="E105" s="145" t="s">
        <v>28</v>
      </c>
      <c r="F105" s="145" t="s">
        <v>25</v>
      </c>
      <c r="G105" s="151" t="s">
        <v>34</v>
      </c>
      <c r="H105" s="145"/>
      <c r="I105" s="145"/>
      <c r="J105" s="145">
        <v>10</v>
      </c>
      <c r="K105" s="146" t="s">
        <v>29</v>
      </c>
      <c r="L105" s="147" t="s">
        <v>147</v>
      </c>
      <c r="M105" s="149">
        <v>47180000</v>
      </c>
      <c r="N105" s="148"/>
      <c r="O105" s="148"/>
      <c r="P105" s="148"/>
      <c r="Q105" s="148"/>
      <c r="R105" s="148"/>
      <c r="S105" s="148">
        <v>47180000</v>
      </c>
      <c r="T105" s="149">
        <v>19412593</v>
      </c>
      <c r="U105" s="148">
        <v>27767407</v>
      </c>
      <c r="V105" s="150">
        <v>0.41145809665112337</v>
      </c>
      <c r="W105" s="148">
        <v>19412593</v>
      </c>
      <c r="X105" s="148">
        <v>0</v>
      </c>
      <c r="Y105" s="150">
        <v>0</v>
      </c>
      <c r="Z105" s="148">
        <v>19412593</v>
      </c>
      <c r="AA105" s="148">
        <v>0</v>
      </c>
      <c r="AB105" s="150">
        <v>1</v>
      </c>
    </row>
    <row r="106" spans="1:30" ht="24" customHeight="1">
      <c r="A106" s="32" t="e">
        <v>#REF!</v>
      </c>
      <c r="B106" s="122" t="s">
        <v>421</v>
      </c>
      <c r="C106" s="123" t="s">
        <v>23</v>
      </c>
      <c r="D106" s="123" t="s">
        <v>148</v>
      </c>
      <c r="E106" s="123"/>
      <c r="F106" s="123"/>
      <c r="G106" s="123"/>
      <c r="H106" s="123"/>
      <c r="I106" s="123"/>
      <c r="J106" s="124"/>
      <c r="K106" s="124"/>
      <c r="L106" s="124" t="s">
        <v>149</v>
      </c>
      <c r="M106" s="125">
        <v>17105900000</v>
      </c>
      <c r="N106" s="719">
        <v>0</v>
      </c>
      <c r="O106" s="719">
        <v>0</v>
      </c>
      <c r="P106" s="719">
        <v>0</v>
      </c>
      <c r="Q106" s="719">
        <v>0</v>
      </c>
      <c r="R106" s="719">
        <v>0</v>
      </c>
      <c r="S106" s="125">
        <v>17105900000</v>
      </c>
      <c r="T106" s="125">
        <v>66859075.810000002</v>
      </c>
      <c r="U106" s="125">
        <v>17039040924.190001</v>
      </c>
      <c r="V106" s="126">
        <v>3.9085389140588924E-3</v>
      </c>
      <c r="W106" s="125">
        <v>66859075.810000002</v>
      </c>
      <c r="X106" s="125">
        <v>0</v>
      </c>
      <c r="Y106" s="126">
        <v>0</v>
      </c>
      <c r="Z106" s="125">
        <v>66766007.810000002</v>
      </c>
      <c r="AA106" s="125">
        <v>93068</v>
      </c>
      <c r="AB106" s="720">
        <v>0.99860799751009899</v>
      </c>
    </row>
    <row r="107" spans="1:30" ht="24" customHeight="1">
      <c r="A107" s="32" t="e">
        <v>#REF!</v>
      </c>
      <c r="B107" s="127" t="s">
        <v>423</v>
      </c>
      <c r="C107" s="128" t="s">
        <v>23</v>
      </c>
      <c r="D107" s="128" t="s">
        <v>148</v>
      </c>
      <c r="E107" s="128" t="s">
        <v>25</v>
      </c>
      <c r="F107" s="128"/>
      <c r="G107" s="128"/>
      <c r="H107" s="128"/>
      <c r="I107" s="128"/>
      <c r="J107" s="129"/>
      <c r="K107" s="129"/>
      <c r="L107" s="129" t="s">
        <v>150</v>
      </c>
      <c r="M107" s="130">
        <v>137900000</v>
      </c>
      <c r="N107" s="721">
        <v>0</v>
      </c>
      <c r="O107" s="721">
        <v>0</v>
      </c>
      <c r="P107" s="721">
        <v>0</v>
      </c>
      <c r="Q107" s="721">
        <v>0</v>
      </c>
      <c r="R107" s="721">
        <v>0</v>
      </c>
      <c r="S107" s="130">
        <v>137900000</v>
      </c>
      <c r="T107" s="130">
        <v>66859075.810000002</v>
      </c>
      <c r="U107" s="130">
        <v>71040924.189999998</v>
      </c>
      <c r="V107" s="131">
        <v>0.48483738803480786</v>
      </c>
      <c r="W107" s="130">
        <v>66859075.810000002</v>
      </c>
      <c r="X107" s="130">
        <v>0</v>
      </c>
      <c r="Y107" s="131">
        <v>0</v>
      </c>
      <c r="Z107" s="130">
        <v>66766007.810000002</v>
      </c>
      <c r="AA107" s="130">
        <v>93068</v>
      </c>
      <c r="AB107" s="722">
        <v>0.99860799751009899</v>
      </c>
    </row>
    <row r="108" spans="1:30" ht="24" customHeight="1">
      <c r="A108" s="32" t="e">
        <v>#REF!</v>
      </c>
      <c r="B108" s="132" t="s">
        <v>425</v>
      </c>
      <c r="C108" s="133" t="s">
        <v>23</v>
      </c>
      <c r="D108" s="133" t="s">
        <v>148</v>
      </c>
      <c r="E108" s="133" t="s">
        <v>25</v>
      </c>
      <c r="F108" s="133" t="s">
        <v>54</v>
      </c>
      <c r="G108" s="133"/>
      <c r="H108" s="133"/>
      <c r="I108" s="133"/>
      <c r="J108" s="133" t="s">
        <v>28</v>
      </c>
      <c r="K108" s="134" t="s">
        <v>29</v>
      </c>
      <c r="L108" s="134" t="s">
        <v>151</v>
      </c>
      <c r="M108" s="135">
        <v>137900000</v>
      </c>
      <c r="N108" s="136">
        <v>0</v>
      </c>
      <c r="O108" s="136">
        <v>0</v>
      </c>
      <c r="P108" s="136">
        <v>0</v>
      </c>
      <c r="Q108" s="136">
        <v>0</v>
      </c>
      <c r="R108" s="136">
        <v>0</v>
      </c>
      <c r="S108" s="135">
        <v>137900000</v>
      </c>
      <c r="T108" s="135">
        <v>66859075.810000002</v>
      </c>
      <c r="U108" s="135">
        <v>71040924.189999998</v>
      </c>
      <c r="V108" s="137">
        <v>0.48483738803480786</v>
      </c>
      <c r="W108" s="135">
        <v>66859075.810000002</v>
      </c>
      <c r="X108" s="136">
        <v>0</v>
      </c>
      <c r="Y108" s="137">
        <v>0</v>
      </c>
      <c r="Z108" s="135">
        <v>66766007.810000002</v>
      </c>
      <c r="AA108" s="135">
        <v>93068</v>
      </c>
      <c r="AB108" s="723">
        <v>0.99860799751009899</v>
      </c>
    </row>
    <row r="109" spans="1:30" ht="24.95" customHeight="1">
      <c r="A109" s="32" t="e">
        <v>#REF!</v>
      </c>
      <c r="B109" s="144" t="s">
        <v>427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31</v>
      </c>
      <c r="H109" s="145"/>
      <c r="I109" s="145"/>
      <c r="J109" s="145" t="s">
        <v>28</v>
      </c>
      <c r="K109" s="146" t="s">
        <v>29</v>
      </c>
      <c r="L109" s="147" t="s">
        <v>152</v>
      </c>
      <c r="M109" s="148">
        <v>61800000</v>
      </c>
      <c r="N109" s="148">
        <v>0</v>
      </c>
      <c r="O109" s="148"/>
      <c r="P109" s="148"/>
      <c r="Q109" s="148"/>
      <c r="R109" s="148"/>
      <c r="S109" s="148">
        <v>61800000</v>
      </c>
      <c r="T109" s="148">
        <v>46149614</v>
      </c>
      <c r="U109" s="148">
        <v>15650386</v>
      </c>
      <c r="V109" s="150">
        <v>0.74675750809061492</v>
      </c>
      <c r="W109" s="148">
        <v>46149614</v>
      </c>
      <c r="X109" s="148">
        <v>0</v>
      </c>
      <c r="Y109" s="150">
        <v>0</v>
      </c>
      <c r="Z109" s="148">
        <v>46149614</v>
      </c>
      <c r="AA109" s="148">
        <v>0</v>
      </c>
      <c r="AB109" s="150">
        <v>1</v>
      </c>
    </row>
    <row r="110" spans="1:30" ht="24.95" customHeight="1">
      <c r="A110" s="32" t="e">
        <v>#REF!</v>
      </c>
      <c r="B110" s="144" t="s">
        <v>429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38</v>
      </c>
      <c r="H110" s="145"/>
      <c r="I110" s="145"/>
      <c r="J110" s="145" t="s">
        <v>28</v>
      </c>
      <c r="K110" s="146" t="s">
        <v>29</v>
      </c>
      <c r="L110" s="147" t="s">
        <v>153</v>
      </c>
      <c r="M110" s="148">
        <v>50000000</v>
      </c>
      <c r="N110" s="148"/>
      <c r="O110" s="148"/>
      <c r="P110" s="148"/>
      <c r="Q110" s="148"/>
      <c r="R110" s="148"/>
      <c r="S110" s="148">
        <v>50000000</v>
      </c>
      <c r="T110" s="148">
        <v>16660311.810000001</v>
      </c>
      <c r="U110" s="148">
        <v>33339688.189999998</v>
      </c>
      <c r="V110" s="150">
        <v>0.33320623620000001</v>
      </c>
      <c r="W110" s="148">
        <v>16660311.810000001</v>
      </c>
      <c r="X110" s="148">
        <v>0</v>
      </c>
      <c r="Y110" s="150">
        <v>0</v>
      </c>
      <c r="Z110" s="148">
        <v>16567243.810000001</v>
      </c>
      <c r="AA110" s="148">
        <v>93068</v>
      </c>
      <c r="AB110" s="150">
        <v>0.99441379002617836</v>
      </c>
    </row>
    <row r="111" spans="1:30" ht="24.95" customHeight="1">
      <c r="A111" s="32" t="e">
        <v>#REF!</v>
      </c>
      <c r="B111" s="144" t="s">
        <v>431</v>
      </c>
      <c r="C111" s="145" t="s">
        <v>23</v>
      </c>
      <c r="D111" s="145" t="s">
        <v>148</v>
      </c>
      <c r="E111" s="145" t="s">
        <v>25</v>
      </c>
      <c r="F111" s="145" t="s">
        <v>54</v>
      </c>
      <c r="G111" s="145" t="s">
        <v>42</v>
      </c>
      <c r="H111" s="145"/>
      <c r="I111" s="145"/>
      <c r="J111" s="145" t="s">
        <v>28</v>
      </c>
      <c r="K111" s="146" t="s">
        <v>29</v>
      </c>
      <c r="L111" s="147" t="s">
        <v>154</v>
      </c>
      <c r="M111" s="148">
        <v>26100000</v>
      </c>
      <c r="N111" s="148">
        <v>0</v>
      </c>
      <c r="O111" s="148"/>
      <c r="P111" s="148"/>
      <c r="Q111" s="148"/>
      <c r="R111" s="148"/>
      <c r="S111" s="148">
        <v>26100000</v>
      </c>
      <c r="T111" s="148">
        <v>4049150</v>
      </c>
      <c r="U111" s="148">
        <v>22050850</v>
      </c>
      <c r="V111" s="150">
        <v>0.15513984674329501</v>
      </c>
      <c r="W111" s="148">
        <v>4049150</v>
      </c>
      <c r="X111" s="148">
        <v>0</v>
      </c>
      <c r="Y111" s="150">
        <v>0</v>
      </c>
      <c r="Z111" s="148">
        <v>4049150</v>
      </c>
      <c r="AA111" s="148">
        <v>0</v>
      </c>
      <c r="AB111" s="150">
        <v>1</v>
      </c>
    </row>
    <row r="112" spans="1:30" ht="24" customHeight="1">
      <c r="A112" s="32" t="e">
        <v>#REF!</v>
      </c>
      <c r="B112" s="127" t="s">
        <v>432</v>
      </c>
      <c r="C112" s="128" t="s">
        <v>23</v>
      </c>
      <c r="D112" s="128" t="s">
        <v>148</v>
      </c>
      <c r="E112" s="128" t="s">
        <v>136</v>
      </c>
      <c r="F112" s="128"/>
      <c r="G112" s="128"/>
      <c r="H112" s="128"/>
      <c r="I112" s="128"/>
      <c r="J112" s="129"/>
      <c r="K112" s="129"/>
      <c r="L112" s="129" t="s">
        <v>155</v>
      </c>
      <c r="M112" s="130">
        <v>16968000000</v>
      </c>
      <c r="N112" s="721">
        <v>0</v>
      </c>
      <c r="O112" s="721">
        <v>0</v>
      </c>
      <c r="P112" s="721">
        <v>0</v>
      </c>
      <c r="Q112" s="721">
        <v>0</v>
      </c>
      <c r="R112" s="721">
        <v>0</v>
      </c>
      <c r="S112" s="130">
        <v>16968000000</v>
      </c>
      <c r="T112" s="130">
        <v>0</v>
      </c>
      <c r="U112" s="130">
        <v>16968000000</v>
      </c>
      <c r="V112" s="131">
        <v>0</v>
      </c>
      <c r="W112" s="130">
        <v>0</v>
      </c>
      <c r="X112" s="130">
        <v>0</v>
      </c>
      <c r="Y112" s="131">
        <v>0</v>
      </c>
      <c r="Z112" s="130">
        <v>0</v>
      </c>
      <c r="AA112" s="130">
        <v>0</v>
      </c>
      <c r="AB112" s="722">
        <v>0</v>
      </c>
    </row>
    <row r="113" spans="1:28" ht="24.95" customHeight="1">
      <c r="A113" s="32"/>
      <c r="B113" s="32"/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>
        <v>10</v>
      </c>
      <c r="K113" s="146" t="s">
        <v>156</v>
      </c>
      <c r="L113" s="147" t="s">
        <v>157</v>
      </c>
      <c r="M113" s="148">
        <v>0</v>
      </c>
      <c r="N113" s="148"/>
      <c r="O113" s="148"/>
      <c r="P113" s="148"/>
      <c r="Q113" s="148"/>
      <c r="R113" s="148"/>
      <c r="S113" s="148">
        <v>0</v>
      </c>
      <c r="T113" s="148">
        <v>0</v>
      </c>
      <c r="U113" s="148">
        <v>0</v>
      </c>
      <c r="V113" s="150">
        <v>0</v>
      </c>
      <c r="W113" s="148">
        <v>0</v>
      </c>
      <c r="X113" s="148">
        <v>0</v>
      </c>
      <c r="Y113" s="150">
        <v>0</v>
      </c>
      <c r="Z113" s="148">
        <v>0</v>
      </c>
      <c r="AA113" s="148">
        <v>0</v>
      </c>
      <c r="AB113" s="150">
        <v>0</v>
      </c>
    </row>
    <row r="114" spans="1:28" ht="24.95" customHeight="1">
      <c r="A114" s="32" t="e">
        <v>#REF!</v>
      </c>
      <c r="B114" s="144" t="s">
        <v>434</v>
      </c>
      <c r="C114" s="145" t="s">
        <v>23</v>
      </c>
      <c r="D114" s="145" t="s">
        <v>148</v>
      </c>
      <c r="E114" s="145" t="s">
        <v>136</v>
      </c>
      <c r="F114" s="145" t="s">
        <v>25</v>
      </c>
      <c r="G114" s="145"/>
      <c r="H114" s="145"/>
      <c r="I114" s="145"/>
      <c r="J114" s="145" t="s">
        <v>144</v>
      </c>
      <c r="K114" s="146" t="s">
        <v>156</v>
      </c>
      <c r="L114" s="147" t="s">
        <v>157</v>
      </c>
      <c r="M114" s="149">
        <v>16968000000</v>
      </c>
      <c r="N114" s="148"/>
      <c r="O114" s="148"/>
      <c r="P114" s="148"/>
      <c r="Q114" s="148"/>
      <c r="R114" s="148"/>
      <c r="S114" s="149">
        <v>16968000000</v>
      </c>
      <c r="T114" s="149">
        <v>0</v>
      </c>
      <c r="U114" s="148">
        <v>16968000000</v>
      </c>
      <c r="V114" s="150">
        <v>0</v>
      </c>
      <c r="W114" s="148"/>
      <c r="X114" s="148">
        <v>0</v>
      </c>
      <c r="Y114" s="150">
        <v>0</v>
      </c>
      <c r="Z114" s="148"/>
      <c r="AA114" s="148">
        <v>0</v>
      </c>
      <c r="AB114" s="150">
        <v>0</v>
      </c>
    </row>
    <row r="115" spans="1:28" ht="35.1" customHeight="1">
      <c r="A115" s="32" t="e">
        <v>#REF!</v>
      </c>
      <c r="B115" s="117" t="s">
        <v>162</v>
      </c>
      <c r="C115" s="118" t="s">
        <v>162</v>
      </c>
      <c r="D115" s="119"/>
      <c r="E115" s="119"/>
      <c r="F115" s="119"/>
      <c r="G115" s="119"/>
      <c r="H115" s="119"/>
      <c r="I115" s="119"/>
      <c r="J115" s="119"/>
      <c r="K115" s="119"/>
      <c r="L115" s="119" t="s">
        <v>163</v>
      </c>
      <c r="M115" s="120">
        <v>381865302</v>
      </c>
      <c r="N115" s="717">
        <v>0</v>
      </c>
      <c r="O115" s="717">
        <v>0</v>
      </c>
      <c r="P115" s="717">
        <v>0</v>
      </c>
      <c r="Q115" s="717">
        <v>0</v>
      </c>
      <c r="R115" s="717">
        <v>0</v>
      </c>
      <c r="S115" s="120">
        <v>381865302</v>
      </c>
      <c r="T115" s="120">
        <v>0</v>
      </c>
      <c r="U115" s="120">
        <v>381865302</v>
      </c>
      <c r="V115" s="121">
        <v>0</v>
      </c>
      <c r="W115" s="120">
        <v>0</v>
      </c>
      <c r="X115" s="120">
        <v>0</v>
      </c>
      <c r="Y115" s="121">
        <v>0</v>
      </c>
      <c r="Z115" s="120">
        <v>0</v>
      </c>
      <c r="AA115" s="120">
        <v>0</v>
      </c>
      <c r="AB115" s="718">
        <v>0</v>
      </c>
    </row>
    <row r="116" spans="1:28" ht="24" customHeight="1">
      <c r="A116" s="32" t="e">
        <v>#REF!</v>
      </c>
      <c r="B116" s="122" t="s">
        <v>729</v>
      </c>
      <c r="C116" s="123" t="s">
        <v>162</v>
      </c>
      <c r="D116" s="123">
        <v>10</v>
      </c>
      <c r="E116" s="123"/>
      <c r="F116" s="123"/>
      <c r="G116" s="123"/>
      <c r="H116" s="123"/>
      <c r="I116" s="123"/>
      <c r="J116" s="124"/>
      <c r="K116" s="124"/>
      <c r="L116" s="124" t="s">
        <v>164</v>
      </c>
      <c r="M116" s="125">
        <v>381865302</v>
      </c>
      <c r="N116" s="719">
        <v>0</v>
      </c>
      <c r="O116" s="719">
        <v>0</v>
      </c>
      <c r="P116" s="125">
        <v>0</v>
      </c>
      <c r="Q116" s="125">
        <v>0</v>
      </c>
      <c r="R116" s="719">
        <v>0</v>
      </c>
      <c r="S116" s="125">
        <v>381865302</v>
      </c>
      <c r="T116" s="125">
        <v>0</v>
      </c>
      <c r="U116" s="125">
        <v>381865302</v>
      </c>
      <c r="V116" s="126">
        <v>0</v>
      </c>
      <c r="W116" s="125">
        <v>0</v>
      </c>
      <c r="X116" s="125">
        <v>0</v>
      </c>
      <c r="Y116" s="126">
        <v>0</v>
      </c>
      <c r="Z116" s="125">
        <v>0</v>
      </c>
      <c r="AA116" s="125">
        <v>0</v>
      </c>
      <c r="AB116" s="720">
        <v>0</v>
      </c>
    </row>
    <row r="117" spans="1:28" ht="24" customHeight="1">
      <c r="A117" s="32" t="e">
        <v>#REF!</v>
      </c>
      <c r="B117" s="127" t="s">
        <v>730</v>
      </c>
      <c r="C117" s="128" t="s">
        <v>162</v>
      </c>
      <c r="D117" s="128">
        <v>10</v>
      </c>
      <c r="E117" s="128" t="s">
        <v>136</v>
      </c>
      <c r="F117" s="128"/>
      <c r="G117" s="128"/>
      <c r="H117" s="128"/>
      <c r="I117" s="128"/>
      <c r="J117" s="129"/>
      <c r="K117" s="129"/>
      <c r="L117" s="129" t="s">
        <v>165</v>
      </c>
      <c r="M117" s="130">
        <v>381865302</v>
      </c>
      <c r="N117" s="130">
        <v>0</v>
      </c>
      <c r="O117" s="130">
        <v>0</v>
      </c>
      <c r="P117" s="130">
        <v>0</v>
      </c>
      <c r="Q117" s="130">
        <v>0</v>
      </c>
      <c r="R117" s="130">
        <v>0</v>
      </c>
      <c r="S117" s="130">
        <v>381865302</v>
      </c>
      <c r="T117" s="130">
        <v>0</v>
      </c>
      <c r="U117" s="130">
        <v>381865302</v>
      </c>
      <c r="V117" s="131">
        <v>0</v>
      </c>
      <c r="W117" s="130">
        <v>0</v>
      </c>
      <c r="X117" s="130">
        <v>0</v>
      </c>
      <c r="Y117" s="131">
        <v>0</v>
      </c>
      <c r="Z117" s="130">
        <v>0</v>
      </c>
      <c r="AA117" s="130">
        <v>0</v>
      </c>
      <c r="AB117" s="722">
        <v>0</v>
      </c>
    </row>
    <row r="118" spans="1:28" ht="24.95" customHeight="1">
      <c r="A118" s="32" t="e">
        <v>#REF!</v>
      </c>
      <c r="B118" s="144" t="s">
        <v>731</v>
      </c>
      <c r="C118" s="145" t="s">
        <v>162</v>
      </c>
      <c r="D118" s="145">
        <v>10</v>
      </c>
      <c r="E118" s="145" t="s">
        <v>136</v>
      </c>
      <c r="F118" s="145" t="s">
        <v>25</v>
      </c>
      <c r="G118" s="145"/>
      <c r="H118" s="145"/>
      <c r="I118" s="145"/>
      <c r="J118" s="145" t="s">
        <v>144</v>
      </c>
      <c r="K118" s="146" t="s">
        <v>29</v>
      </c>
      <c r="L118" s="147" t="s">
        <v>166</v>
      </c>
      <c r="M118" s="149">
        <v>381865302</v>
      </c>
      <c r="N118" s="148"/>
      <c r="O118" s="148"/>
      <c r="P118" s="148"/>
      <c r="Q118" s="148"/>
      <c r="R118" s="148"/>
      <c r="S118" s="149">
        <v>381865302</v>
      </c>
      <c r="T118" s="149">
        <v>0</v>
      </c>
      <c r="U118" s="148">
        <v>381865302</v>
      </c>
      <c r="V118" s="150">
        <v>0</v>
      </c>
      <c r="W118" s="148"/>
      <c r="X118" s="148">
        <v>0</v>
      </c>
      <c r="Y118" s="150">
        <v>0</v>
      </c>
      <c r="Z118" s="148"/>
      <c r="AA118" s="148">
        <v>0</v>
      </c>
      <c r="AB118" s="150">
        <v>0</v>
      </c>
    </row>
    <row r="119" spans="1:28" ht="35.1" customHeight="1">
      <c r="A119" s="32" t="e">
        <v>#REF!</v>
      </c>
      <c r="B119" s="117" t="s">
        <v>167</v>
      </c>
      <c r="C119" s="118" t="s">
        <v>167</v>
      </c>
      <c r="D119" s="119"/>
      <c r="E119" s="119"/>
      <c r="F119" s="119"/>
      <c r="G119" s="119"/>
      <c r="H119" s="119"/>
      <c r="I119" s="119"/>
      <c r="J119" s="119"/>
      <c r="K119" s="119"/>
      <c r="L119" s="119" t="s">
        <v>168</v>
      </c>
      <c r="M119" s="120">
        <v>12916249110989</v>
      </c>
      <c r="N119" s="120">
        <v>5269349000</v>
      </c>
      <c r="O119" s="717">
        <v>0</v>
      </c>
      <c r="P119" s="120">
        <v>71461339526.979996</v>
      </c>
      <c r="Q119" s="120">
        <v>71461339526.979996</v>
      </c>
      <c r="R119" s="717">
        <v>0</v>
      </c>
      <c r="S119" s="120">
        <v>12921518459989</v>
      </c>
      <c r="T119" s="120">
        <v>6243284219487.1494</v>
      </c>
      <c r="U119" s="120">
        <v>6678234240501.8496</v>
      </c>
      <c r="V119" s="121">
        <v>0.483169546893366</v>
      </c>
      <c r="W119" s="120">
        <v>4662553118109.6699</v>
      </c>
      <c r="X119" s="120">
        <v>1580731101377.48</v>
      </c>
      <c r="Y119" s="121">
        <v>0.2531890341374412</v>
      </c>
      <c r="Z119" s="120">
        <v>4627534330644.6699</v>
      </c>
      <c r="AA119" s="120">
        <v>35018787465</v>
      </c>
      <c r="AB119" s="718">
        <v>0.74120193282259317</v>
      </c>
    </row>
    <row r="120" spans="1:28" ht="27.75" customHeight="1">
      <c r="A120" s="32" t="e">
        <v>#REF!</v>
      </c>
      <c r="B120" s="122" t="s">
        <v>437</v>
      </c>
      <c r="C120" s="123" t="s">
        <v>167</v>
      </c>
      <c r="D120" s="123">
        <v>4101</v>
      </c>
      <c r="E120" s="123"/>
      <c r="F120" s="123"/>
      <c r="G120" s="123"/>
      <c r="H120" s="123"/>
      <c r="I120" s="123"/>
      <c r="J120" s="124"/>
      <c r="K120" s="124"/>
      <c r="L120" s="124" t="s">
        <v>169</v>
      </c>
      <c r="M120" s="125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125">
        <v>0</v>
      </c>
      <c r="T120" s="125">
        <v>0</v>
      </c>
      <c r="U120" s="125">
        <v>0</v>
      </c>
      <c r="V120" s="126">
        <v>0</v>
      </c>
      <c r="W120" s="125">
        <v>0</v>
      </c>
      <c r="X120" s="125">
        <v>0</v>
      </c>
      <c r="Y120" s="126">
        <v>0</v>
      </c>
      <c r="Z120" s="125">
        <v>0</v>
      </c>
      <c r="AA120" s="125">
        <v>0</v>
      </c>
      <c r="AB120" s="720">
        <v>0</v>
      </c>
    </row>
    <row r="121" spans="1:28" ht="24" customHeight="1">
      <c r="A121" s="32" t="e">
        <v>#REF!</v>
      </c>
      <c r="B121" s="127" t="s">
        <v>295</v>
      </c>
      <c r="C121" s="128" t="s">
        <v>167</v>
      </c>
      <c r="D121" s="128">
        <v>4101</v>
      </c>
      <c r="E121" s="128">
        <v>1500</v>
      </c>
      <c r="F121" s="128"/>
      <c r="G121" s="128"/>
      <c r="H121" s="128"/>
      <c r="I121" s="128"/>
      <c r="J121" s="129"/>
      <c r="K121" s="129"/>
      <c r="L121" s="129" t="s">
        <v>170</v>
      </c>
      <c r="M121" s="130"/>
      <c r="N121" s="721"/>
      <c r="O121" s="721"/>
      <c r="P121" s="721"/>
      <c r="Q121" s="721"/>
      <c r="R121" s="721"/>
      <c r="S121" s="130"/>
      <c r="T121" s="130"/>
      <c r="U121" s="721"/>
      <c r="V121" s="131">
        <v>0</v>
      </c>
      <c r="W121" s="130"/>
      <c r="X121" s="721"/>
      <c r="Y121" s="131">
        <v>0</v>
      </c>
      <c r="Z121" s="130"/>
      <c r="AA121" s="721"/>
      <c r="AB121" s="722">
        <v>0</v>
      </c>
    </row>
    <row r="122" spans="1:28" ht="54.75" customHeight="1">
      <c r="A122" s="32" t="e">
        <v>#REF!</v>
      </c>
      <c r="B122" s="132" t="s">
        <v>454</v>
      </c>
      <c r="C122" s="133" t="s">
        <v>167</v>
      </c>
      <c r="D122" s="133" t="s">
        <v>171</v>
      </c>
      <c r="E122" s="133" t="s">
        <v>172</v>
      </c>
      <c r="F122" s="133" t="s">
        <v>173</v>
      </c>
      <c r="G122" s="133"/>
      <c r="H122" s="133"/>
      <c r="I122" s="133"/>
      <c r="J122" s="133"/>
      <c r="K122" s="134"/>
      <c r="L122" s="134" t="s">
        <v>174</v>
      </c>
      <c r="M122" s="135">
        <v>0</v>
      </c>
      <c r="N122" s="136">
        <v>0</v>
      </c>
      <c r="O122" s="136">
        <v>0</v>
      </c>
      <c r="P122" s="136">
        <v>0</v>
      </c>
      <c r="Q122" s="136">
        <v>0</v>
      </c>
      <c r="R122" s="136">
        <v>0</v>
      </c>
      <c r="S122" s="135">
        <v>0</v>
      </c>
      <c r="T122" s="135">
        <v>0</v>
      </c>
      <c r="U122" s="135">
        <v>0</v>
      </c>
      <c r="V122" s="137">
        <v>0</v>
      </c>
      <c r="W122" s="135">
        <v>0</v>
      </c>
      <c r="X122" s="136">
        <v>0</v>
      </c>
      <c r="Y122" s="137">
        <v>0</v>
      </c>
      <c r="Z122" s="135">
        <v>0</v>
      </c>
      <c r="AA122" s="135">
        <v>0</v>
      </c>
      <c r="AB122" s="723">
        <v>0</v>
      </c>
    </row>
    <row r="123" spans="1:28" ht="31.5" customHeight="1">
      <c r="A123" s="32" t="e">
        <v>#REF!</v>
      </c>
      <c r="B123" s="138" t="s">
        <v>456</v>
      </c>
      <c r="C123" s="139" t="s">
        <v>167</v>
      </c>
      <c r="D123" s="139" t="s">
        <v>171</v>
      </c>
      <c r="E123" s="139" t="s">
        <v>172</v>
      </c>
      <c r="F123" s="139" t="s">
        <v>173</v>
      </c>
      <c r="G123" s="139" t="s">
        <v>175</v>
      </c>
      <c r="H123" s="139" t="s">
        <v>176</v>
      </c>
      <c r="I123" s="139"/>
      <c r="J123" s="139" t="s">
        <v>144</v>
      </c>
      <c r="K123" s="140" t="s">
        <v>29</v>
      </c>
      <c r="L123" s="140" t="s">
        <v>177</v>
      </c>
      <c r="M123" s="141">
        <v>0</v>
      </c>
      <c r="N123" s="142">
        <v>0</v>
      </c>
      <c r="O123" s="142">
        <v>0</v>
      </c>
      <c r="P123" s="142">
        <v>0</v>
      </c>
      <c r="Q123" s="142">
        <v>0</v>
      </c>
      <c r="R123" s="142">
        <v>0</v>
      </c>
      <c r="S123" s="141">
        <v>0</v>
      </c>
      <c r="T123" s="141">
        <v>0</v>
      </c>
      <c r="U123" s="141">
        <v>0</v>
      </c>
      <c r="V123" s="143">
        <v>0</v>
      </c>
      <c r="W123" s="141">
        <v>0</v>
      </c>
      <c r="X123" s="142">
        <v>0</v>
      </c>
      <c r="Y123" s="143">
        <v>0</v>
      </c>
      <c r="Z123" s="141">
        <v>0</v>
      </c>
      <c r="AA123" s="141">
        <v>0</v>
      </c>
      <c r="AB123" s="724">
        <v>0</v>
      </c>
    </row>
    <row r="124" spans="1:28" ht="24.95" customHeight="1">
      <c r="A124" s="32" t="e">
        <v>#REF!</v>
      </c>
      <c r="B124" s="144" t="s">
        <v>458</v>
      </c>
      <c r="C124" s="145" t="s">
        <v>167</v>
      </c>
      <c r="D124" s="145" t="s">
        <v>171</v>
      </c>
      <c r="E124" s="145" t="s">
        <v>172</v>
      </c>
      <c r="F124" s="145" t="s">
        <v>173</v>
      </c>
      <c r="G124" s="145" t="s">
        <v>175</v>
      </c>
      <c r="H124" s="145" t="s">
        <v>176</v>
      </c>
      <c r="I124" s="145" t="s">
        <v>54</v>
      </c>
      <c r="J124" s="145" t="s">
        <v>144</v>
      </c>
      <c r="K124" s="146" t="s">
        <v>29</v>
      </c>
      <c r="L124" s="147" t="s">
        <v>178</v>
      </c>
      <c r="M124" s="148"/>
      <c r="N124" s="148"/>
      <c r="O124" s="148"/>
      <c r="P124" s="148"/>
      <c r="Q124" s="148"/>
      <c r="R124" s="148"/>
      <c r="S124" s="148">
        <v>0</v>
      </c>
      <c r="T124" s="148"/>
      <c r="U124" s="148">
        <v>0</v>
      </c>
      <c r="V124" s="150">
        <v>0</v>
      </c>
      <c r="W124" s="148"/>
      <c r="X124" s="148">
        <v>0</v>
      </c>
      <c r="Y124" s="150">
        <v>0</v>
      </c>
      <c r="Z124" s="148"/>
      <c r="AA124" s="148">
        <v>0</v>
      </c>
      <c r="AB124" s="150">
        <v>0</v>
      </c>
    </row>
    <row r="125" spans="1:28" ht="31.5" customHeight="1">
      <c r="A125" s="32" t="e">
        <v>#REF!</v>
      </c>
      <c r="B125" s="138" t="s">
        <v>460</v>
      </c>
      <c r="C125" s="139" t="s">
        <v>167</v>
      </c>
      <c r="D125" s="139" t="s">
        <v>171</v>
      </c>
      <c r="E125" s="139" t="s">
        <v>172</v>
      </c>
      <c r="F125" s="139" t="s">
        <v>173</v>
      </c>
      <c r="G125" s="139" t="s">
        <v>175</v>
      </c>
      <c r="H125" s="139" t="s">
        <v>179</v>
      </c>
      <c r="I125" s="139"/>
      <c r="J125" s="139" t="s">
        <v>144</v>
      </c>
      <c r="K125" s="140" t="s">
        <v>29</v>
      </c>
      <c r="L125" s="140" t="s">
        <v>180</v>
      </c>
      <c r="M125" s="141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1">
        <v>0</v>
      </c>
      <c r="T125" s="141">
        <v>0</v>
      </c>
      <c r="U125" s="141">
        <v>0</v>
      </c>
      <c r="V125" s="143">
        <v>0</v>
      </c>
      <c r="W125" s="141">
        <v>0</v>
      </c>
      <c r="X125" s="142">
        <v>0</v>
      </c>
      <c r="Y125" s="143">
        <v>0</v>
      </c>
      <c r="Z125" s="141">
        <v>0</v>
      </c>
      <c r="AA125" s="141">
        <v>0</v>
      </c>
      <c r="AB125" s="724">
        <v>0</v>
      </c>
    </row>
    <row r="126" spans="1:28" ht="24.95" customHeight="1">
      <c r="A126" s="32" t="e">
        <v>#REF!</v>
      </c>
      <c r="B126" s="144" t="s">
        <v>462</v>
      </c>
      <c r="C126" s="145" t="s">
        <v>167</v>
      </c>
      <c r="D126" s="145" t="s">
        <v>171</v>
      </c>
      <c r="E126" s="145" t="s">
        <v>172</v>
      </c>
      <c r="F126" s="145" t="s">
        <v>173</v>
      </c>
      <c r="G126" s="145" t="s">
        <v>175</v>
      </c>
      <c r="H126" s="145" t="s">
        <v>179</v>
      </c>
      <c r="I126" s="145" t="s">
        <v>54</v>
      </c>
      <c r="J126" s="145" t="s">
        <v>144</v>
      </c>
      <c r="K126" s="146" t="s">
        <v>29</v>
      </c>
      <c r="L126" s="147" t="s">
        <v>178</v>
      </c>
      <c r="M126" s="148"/>
      <c r="N126" s="148"/>
      <c r="O126" s="148"/>
      <c r="P126" s="148"/>
      <c r="Q126" s="148"/>
      <c r="R126" s="148"/>
      <c r="S126" s="148">
        <v>0</v>
      </c>
      <c r="T126" s="148"/>
      <c r="U126" s="148">
        <v>0</v>
      </c>
      <c r="V126" s="150">
        <v>0</v>
      </c>
      <c r="W126" s="148"/>
      <c r="X126" s="148">
        <v>0</v>
      </c>
      <c r="Y126" s="150">
        <v>0</v>
      </c>
      <c r="Z126" s="148"/>
      <c r="AA126" s="148">
        <v>0</v>
      </c>
      <c r="AB126" s="150">
        <v>0</v>
      </c>
    </row>
    <row r="127" spans="1:28" ht="31.5" customHeight="1">
      <c r="A127" s="32" t="e">
        <v>#REF!</v>
      </c>
      <c r="B127" s="144" t="s">
        <v>690</v>
      </c>
      <c r="C127" s="139" t="s">
        <v>167</v>
      </c>
      <c r="D127" s="139" t="s">
        <v>171</v>
      </c>
      <c r="E127" s="139" t="s">
        <v>172</v>
      </c>
      <c r="F127" s="139" t="s">
        <v>173</v>
      </c>
      <c r="G127" s="139" t="s">
        <v>175</v>
      </c>
      <c r="H127" s="139" t="s">
        <v>181</v>
      </c>
      <c r="I127" s="139"/>
      <c r="J127" s="139" t="s">
        <v>144</v>
      </c>
      <c r="K127" s="140" t="s">
        <v>29</v>
      </c>
      <c r="L127" s="140" t="s">
        <v>182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customHeight="1">
      <c r="A128" s="32" t="e">
        <v>#REF!</v>
      </c>
      <c r="B128" s="144" t="s">
        <v>466</v>
      </c>
      <c r="C128" s="145" t="s">
        <v>167</v>
      </c>
      <c r="D128" s="145" t="s">
        <v>171</v>
      </c>
      <c r="E128" s="145" t="s">
        <v>172</v>
      </c>
      <c r="F128" s="145" t="s">
        <v>173</v>
      </c>
      <c r="G128" s="145" t="s">
        <v>175</v>
      </c>
      <c r="H128" s="145" t="s">
        <v>181</v>
      </c>
      <c r="I128" s="145" t="s">
        <v>54</v>
      </c>
      <c r="J128" s="145" t="s">
        <v>144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31.5" customHeight="1">
      <c r="A129" s="32" t="e">
        <v>#REF!</v>
      </c>
      <c r="B129" s="144" t="s">
        <v>691</v>
      </c>
      <c r="C129" s="139" t="s">
        <v>167</v>
      </c>
      <c r="D129" s="139" t="s">
        <v>171</v>
      </c>
      <c r="E129" s="139" t="s">
        <v>172</v>
      </c>
      <c r="F129" s="139" t="s">
        <v>173</v>
      </c>
      <c r="G129" s="139" t="s">
        <v>175</v>
      </c>
      <c r="H129" s="139" t="s">
        <v>183</v>
      </c>
      <c r="I129" s="139"/>
      <c r="J129" s="139" t="s">
        <v>144</v>
      </c>
      <c r="K129" s="140" t="s">
        <v>29</v>
      </c>
      <c r="L129" s="140" t="s">
        <v>184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customHeight="1">
      <c r="A130" s="32" t="e">
        <v>#REF!</v>
      </c>
      <c r="B130" s="144" t="s">
        <v>470</v>
      </c>
      <c r="C130" s="145" t="s">
        <v>167</v>
      </c>
      <c r="D130" s="145" t="s">
        <v>171</v>
      </c>
      <c r="E130" s="145" t="s">
        <v>172</v>
      </c>
      <c r="F130" s="145" t="s">
        <v>173</v>
      </c>
      <c r="G130" s="145" t="s">
        <v>175</v>
      </c>
      <c r="H130" s="145" t="s">
        <v>183</v>
      </c>
      <c r="I130" s="145" t="s">
        <v>54</v>
      </c>
      <c r="J130" s="145" t="s">
        <v>144</v>
      </c>
      <c r="K130" s="146" t="s">
        <v>29</v>
      </c>
      <c r="L130" s="147" t="s">
        <v>178</v>
      </c>
      <c r="M130" s="148">
        <v>0</v>
      </c>
      <c r="N130" s="148"/>
      <c r="O130" s="148"/>
      <c r="P130" s="148"/>
      <c r="Q130" s="148"/>
      <c r="R130" s="148"/>
      <c r="S130" s="148">
        <v>0</v>
      </c>
      <c r="T130" s="148">
        <v>0</v>
      </c>
      <c r="U130" s="148">
        <v>0</v>
      </c>
      <c r="V130" s="150">
        <v>0</v>
      </c>
      <c r="W130" s="148">
        <v>0</v>
      </c>
      <c r="X130" s="148">
        <v>0</v>
      </c>
      <c r="Y130" s="150">
        <v>0</v>
      </c>
      <c r="Z130" s="148">
        <v>0</v>
      </c>
      <c r="AA130" s="148">
        <v>0</v>
      </c>
      <c r="AB130" s="150">
        <v>0</v>
      </c>
    </row>
    <row r="131" spans="1:28" ht="31.5" customHeight="1">
      <c r="A131" s="32" t="e">
        <v>#REF!</v>
      </c>
      <c r="B131" s="138" t="s">
        <v>472</v>
      </c>
      <c r="C131" s="139" t="s">
        <v>167</v>
      </c>
      <c r="D131" s="139" t="s">
        <v>171</v>
      </c>
      <c r="E131" s="139" t="s">
        <v>172</v>
      </c>
      <c r="F131" s="139" t="s">
        <v>173</v>
      </c>
      <c r="G131" s="139" t="s">
        <v>175</v>
      </c>
      <c r="H131" s="139" t="s">
        <v>185</v>
      </c>
      <c r="I131" s="139"/>
      <c r="J131" s="139" t="s">
        <v>144</v>
      </c>
      <c r="K131" s="140" t="s">
        <v>29</v>
      </c>
      <c r="L131" s="140" t="s">
        <v>186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customHeight="1">
      <c r="A132" s="32" t="e">
        <v>#REF!</v>
      </c>
      <c r="B132" s="144" t="s">
        <v>474</v>
      </c>
      <c r="C132" s="145" t="s">
        <v>167</v>
      </c>
      <c r="D132" s="145" t="s">
        <v>171</v>
      </c>
      <c r="E132" s="145" t="s">
        <v>172</v>
      </c>
      <c r="F132" s="145" t="s">
        <v>173</v>
      </c>
      <c r="G132" s="145" t="s">
        <v>175</v>
      </c>
      <c r="H132" s="145" t="s">
        <v>185</v>
      </c>
      <c r="I132" s="145" t="s">
        <v>54</v>
      </c>
      <c r="J132" s="145" t="s">
        <v>144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31.5" customHeight="1">
      <c r="A133" s="32" t="e">
        <v>#REF!</v>
      </c>
      <c r="B133" s="32"/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187</v>
      </c>
      <c r="I133" s="139"/>
      <c r="J133" s="139" t="s">
        <v>144</v>
      </c>
      <c r="K133" s="140" t="s">
        <v>29</v>
      </c>
      <c r="L133" s="140" t="s">
        <v>188</v>
      </c>
      <c r="M133" s="141">
        <v>0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1">
        <v>0</v>
      </c>
      <c r="T133" s="141">
        <v>0</v>
      </c>
      <c r="U133" s="141">
        <v>0</v>
      </c>
      <c r="V133" s="143">
        <v>0</v>
      </c>
      <c r="W133" s="141">
        <v>0</v>
      </c>
      <c r="X133" s="142">
        <v>0</v>
      </c>
      <c r="Y133" s="143">
        <v>0</v>
      </c>
      <c r="Z133" s="141">
        <v>0</v>
      </c>
      <c r="AA133" s="141">
        <v>0</v>
      </c>
      <c r="AB133" s="724">
        <v>0</v>
      </c>
    </row>
    <row r="134" spans="1:28" ht="24.95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24.95" customHeight="1">
      <c r="A135" s="32" t="e">
        <v>#REF!</v>
      </c>
      <c r="B135" s="32"/>
      <c r="C135" s="145" t="s">
        <v>167</v>
      </c>
      <c r="D135" s="145" t="s">
        <v>171</v>
      </c>
      <c r="E135" s="145" t="s">
        <v>172</v>
      </c>
      <c r="F135" s="145" t="s">
        <v>173</v>
      </c>
      <c r="G135" s="145" t="s">
        <v>175</v>
      </c>
      <c r="H135" s="145" t="s">
        <v>187</v>
      </c>
      <c r="I135" s="145" t="s">
        <v>65</v>
      </c>
      <c r="J135" s="145" t="s">
        <v>144</v>
      </c>
      <c r="K135" s="146" t="s">
        <v>29</v>
      </c>
      <c r="L135" s="147" t="s">
        <v>127</v>
      </c>
      <c r="M135" s="148">
        <v>0</v>
      </c>
      <c r="N135" s="148"/>
      <c r="O135" s="148"/>
      <c r="P135" s="148"/>
      <c r="Q135" s="148"/>
      <c r="R135" s="148"/>
      <c r="S135" s="148">
        <v>0</v>
      </c>
      <c r="T135" s="148">
        <v>0</v>
      </c>
      <c r="U135" s="148">
        <v>0</v>
      </c>
      <c r="V135" s="150">
        <v>0</v>
      </c>
      <c r="W135" s="148">
        <v>0</v>
      </c>
      <c r="X135" s="148">
        <v>0</v>
      </c>
      <c r="Y135" s="150">
        <v>0</v>
      </c>
      <c r="Z135" s="148">
        <v>0</v>
      </c>
      <c r="AA135" s="148">
        <v>0</v>
      </c>
      <c r="AB135" s="150">
        <v>0</v>
      </c>
    </row>
    <row r="136" spans="1:28" ht="35.25" customHeight="1">
      <c r="A136" s="32" t="e">
        <v>#REF!</v>
      </c>
      <c r="B136" s="122" t="s">
        <v>482</v>
      </c>
      <c r="C136" s="123" t="s">
        <v>167</v>
      </c>
      <c r="D136" s="123">
        <v>4103</v>
      </c>
      <c r="E136" s="123"/>
      <c r="F136" s="123"/>
      <c r="G136" s="123"/>
      <c r="H136" s="123"/>
      <c r="I136" s="123"/>
      <c r="J136" s="124"/>
      <c r="K136" s="124"/>
      <c r="L136" s="124" t="s">
        <v>189</v>
      </c>
      <c r="M136" s="125">
        <v>12911249110989</v>
      </c>
      <c r="N136" s="719">
        <v>5269349000</v>
      </c>
      <c r="O136" s="719">
        <v>0</v>
      </c>
      <c r="P136" s="125">
        <v>71461339526.979996</v>
      </c>
      <c r="Q136" s="125">
        <v>71461339526.979996</v>
      </c>
      <c r="R136" s="719">
        <v>0</v>
      </c>
      <c r="S136" s="125">
        <v>12916518459989</v>
      </c>
      <c r="T136" s="125">
        <v>6240834178599.5498</v>
      </c>
      <c r="U136" s="125">
        <v>6675684281389.4492</v>
      </c>
      <c r="V136" s="126">
        <v>0.48316689965113591</v>
      </c>
      <c r="W136" s="125">
        <v>4661946853843.6699</v>
      </c>
      <c r="X136" s="125">
        <v>1578887324755.8799</v>
      </c>
      <c r="Y136" s="126">
        <v>0.25299299413691262</v>
      </c>
      <c r="Z136" s="125">
        <v>4626928066378.6699</v>
      </c>
      <c r="AA136" s="125">
        <v>35018787465</v>
      </c>
      <c r="AB136" s="720">
        <v>0.74139577081616315</v>
      </c>
    </row>
    <row r="137" spans="1:28" ht="24" customHeight="1">
      <c r="A137" s="32" t="e">
        <v>#REF!</v>
      </c>
      <c r="B137" s="127" t="s">
        <v>296</v>
      </c>
      <c r="C137" s="128" t="s">
        <v>167</v>
      </c>
      <c r="D137" s="128">
        <v>4103</v>
      </c>
      <c r="E137" s="128">
        <v>1500</v>
      </c>
      <c r="F137" s="128"/>
      <c r="G137" s="128"/>
      <c r="H137" s="128"/>
      <c r="I137" s="128"/>
      <c r="J137" s="129"/>
      <c r="K137" s="129"/>
      <c r="L137" s="129" t="s">
        <v>170</v>
      </c>
      <c r="M137" s="130">
        <v>12911249110989</v>
      </c>
      <c r="N137" s="130">
        <v>5269349000</v>
      </c>
      <c r="O137" s="130">
        <v>0</v>
      </c>
      <c r="P137" s="130">
        <v>71461339526.979996</v>
      </c>
      <c r="Q137" s="130">
        <v>71461339526.979996</v>
      </c>
      <c r="R137" s="130">
        <v>0</v>
      </c>
      <c r="S137" s="130">
        <v>12916518459989</v>
      </c>
      <c r="T137" s="130">
        <v>6240834178599.5498</v>
      </c>
      <c r="U137" s="130">
        <v>6675684281389.4492</v>
      </c>
      <c r="V137" s="131">
        <v>0.48316689965113591</v>
      </c>
      <c r="W137" s="130">
        <v>4661946853843.6699</v>
      </c>
      <c r="X137" s="130">
        <v>1578887324755.8799</v>
      </c>
      <c r="Y137" s="131">
        <v>0.25299299413691262</v>
      </c>
      <c r="Z137" s="130">
        <v>4626928066378.6699</v>
      </c>
      <c r="AA137" s="130">
        <v>35018787465</v>
      </c>
      <c r="AB137" s="722">
        <v>0.74139577081616315</v>
      </c>
    </row>
    <row r="138" spans="1:28" ht="42.75" customHeight="1">
      <c r="A138" s="32" t="e">
        <v>#REF!</v>
      </c>
      <c r="B138" s="132" t="s">
        <v>297</v>
      </c>
      <c r="C138" s="133" t="s">
        <v>167</v>
      </c>
      <c r="D138" s="133" t="s">
        <v>190</v>
      </c>
      <c r="E138" s="133" t="s">
        <v>172</v>
      </c>
      <c r="F138" s="133" t="s">
        <v>191</v>
      </c>
      <c r="G138" s="133"/>
      <c r="H138" s="133"/>
      <c r="I138" s="133"/>
      <c r="J138" s="133"/>
      <c r="K138" s="134"/>
      <c r="L138" s="134" t="s">
        <v>263</v>
      </c>
      <c r="M138" s="135">
        <v>2205025363612</v>
      </c>
      <c r="N138" s="136">
        <v>0</v>
      </c>
      <c r="O138" s="136">
        <v>0</v>
      </c>
      <c r="P138" s="135">
        <v>24985024990</v>
      </c>
      <c r="Q138" s="135">
        <v>24985024990</v>
      </c>
      <c r="R138" s="136">
        <v>0</v>
      </c>
      <c r="S138" s="135">
        <v>2205025363612</v>
      </c>
      <c r="T138" s="135">
        <v>1183785814668.9299</v>
      </c>
      <c r="U138" s="135">
        <v>1021239548943.0699</v>
      </c>
      <c r="V138" s="137">
        <v>0.53685813968588481</v>
      </c>
      <c r="W138" s="135">
        <v>635305876516.58997</v>
      </c>
      <c r="X138" s="135">
        <v>548479938152.33997</v>
      </c>
      <c r="Y138" s="137">
        <v>0.46332700675732769</v>
      </c>
      <c r="Z138" s="135">
        <v>635141566516.58997</v>
      </c>
      <c r="AA138" s="135">
        <v>164310000</v>
      </c>
      <c r="AB138" s="723">
        <v>0.53653419279586512</v>
      </c>
    </row>
    <row r="139" spans="1:28" ht="30.75" customHeight="1">
      <c r="A139" s="32" t="e">
        <v>#REF!</v>
      </c>
      <c r="B139" s="138" t="s">
        <v>486</v>
      </c>
      <c r="C139" s="139" t="s">
        <v>167</v>
      </c>
      <c r="D139" s="139" t="s">
        <v>190</v>
      </c>
      <c r="E139" s="139" t="s">
        <v>172</v>
      </c>
      <c r="F139" s="139" t="s">
        <v>191</v>
      </c>
      <c r="G139" s="139" t="s">
        <v>175</v>
      </c>
      <c r="H139" s="139" t="s">
        <v>193</v>
      </c>
      <c r="I139" s="139"/>
      <c r="J139" s="139"/>
      <c r="K139" s="140"/>
      <c r="L139" s="140" t="s">
        <v>194</v>
      </c>
      <c r="M139" s="141">
        <v>2199003443612</v>
      </c>
      <c r="N139" s="142">
        <v>0</v>
      </c>
      <c r="O139" s="142">
        <v>0</v>
      </c>
      <c r="P139" s="141">
        <v>24242911136</v>
      </c>
      <c r="Q139" s="141">
        <v>24985024990</v>
      </c>
      <c r="R139" s="142">
        <v>0</v>
      </c>
      <c r="S139" s="141">
        <v>2198261329758</v>
      </c>
      <c r="T139" s="141">
        <v>1183785814668.9299</v>
      </c>
      <c r="U139" s="141">
        <v>1014475515089.0699</v>
      </c>
      <c r="V139" s="143">
        <v>0.53851004821126036</v>
      </c>
      <c r="W139" s="141">
        <v>635305876516.58997</v>
      </c>
      <c r="X139" s="141">
        <v>548479938152.33997</v>
      </c>
      <c r="Y139" s="143">
        <v>0.46332700675732769</v>
      </c>
      <c r="Z139" s="141">
        <v>635141566516.58997</v>
      </c>
      <c r="AA139" s="141">
        <v>164310000</v>
      </c>
      <c r="AB139" s="724">
        <v>0.53653419279586512</v>
      </c>
    </row>
    <row r="140" spans="1:28" ht="24.95" customHeight="1">
      <c r="A140" s="32" t="e">
        <v>#REF!</v>
      </c>
      <c r="B140" s="144" t="s">
        <v>488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54</v>
      </c>
      <c r="J140" s="145">
        <v>11</v>
      </c>
      <c r="K140" s="146" t="s">
        <v>29</v>
      </c>
      <c r="L140" s="147" t="s">
        <v>178</v>
      </c>
      <c r="M140" s="148">
        <v>92687031389</v>
      </c>
      <c r="N140" s="148"/>
      <c r="O140" s="148"/>
      <c r="P140" s="148">
        <v>9770858686</v>
      </c>
      <c r="Q140" s="148">
        <v>15065613854</v>
      </c>
      <c r="R140" s="148"/>
      <c r="S140" s="148">
        <v>87392276221</v>
      </c>
      <c r="T140" s="148">
        <v>54418106354.93</v>
      </c>
      <c r="U140" s="148">
        <v>32974169866.07</v>
      </c>
      <c r="V140" s="150">
        <v>0.62268782446306803</v>
      </c>
      <c r="W140" s="148">
        <v>12832959516.59</v>
      </c>
      <c r="X140" s="148">
        <v>41585146838.339996</v>
      </c>
      <c r="Y140" s="150">
        <v>0.7641784991030397</v>
      </c>
      <c r="Z140" s="148">
        <v>12668649516.59</v>
      </c>
      <c r="AA140" s="148">
        <v>164310000</v>
      </c>
      <c r="AB140" s="150">
        <v>0.23280210145427607</v>
      </c>
    </row>
    <row r="141" spans="1:28" ht="24.95" customHeight="1">
      <c r="A141" s="32" t="e">
        <v>#REF!</v>
      </c>
      <c r="B141" s="144" t="s">
        <v>488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54</v>
      </c>
      <c r="J141" s="145">
        <v>13</v>
      </c>
      <c r="K141" s="146" t="s">
        <v>29</v>
      </c>
      <c r="L141" s="147" t="s">
        <v>178</v>
      </c>
      <c r="M141" s="148"/>
      <c r="N141" s="148"/>
      <c r="O141" s="148"/>
      <c r="P141" s="148">
        <v>148552450</v>
      </c>
      <c r="Q141" s="148"/>
      <c r="R141" s="148"/>
      <c r="S141" s="148">
        <v>148552450</v>
      </c>
      <c r="T141" s="148">
        <v>67000000</v>
      </c>
      <c r="U141" s="148">
        <v>81552450</v>
      </c>
      <c r="V141" s="150">
        <v>0.45101915182146102</v>
      </c>
      <c r="W141" s="148">
        <v>15490000</v>
      </c>
      <c r="X141" s="148">
        <v>51510000</v>
      </c>
      <c r="Y141" s="150">
        <v>0.76880597014925378</v>
      </c>
      <c r="Z141" s="148">
        <v>15490000</v>
      </c>
      <c r="AA141" s="148">
        <v>0</v>
      </c>
      <c r="AB141" s="150">
        <v>0.23119402985074627</v>
      </c>
    </row>
    <row r="142" spans="1:28" ht="24.95" customHeight="1">
      <c r="A142" s="32" t="e">
        <v>#REF!</v>
      </c>
      <c r="B142" s="144" t="s">
        <v>491</v>
      </c>
      <c r="C142" s="145" t="s">
        <v>167</v>
      </c>
      <c r="D142" s="145" t="s">
        <v>190</v>
      </c>
      <c r="E142" s="145" t="s">
        <v>172</v>
      </c>
      <c r="F142" s="145" t="s">
        <v>191</v>
      </c>
      <c r="G142" s="145" t="s">
        <v>175</v>
      </c>
      <c r="H142" s="145" t="s">
        <v>193</v>
      </c>
      <c r="I142" s="145" t="s">
        <v>65</v>
      </c>
      <c r="J142" s="145" t="s">
        <v>144</v>
      </c>
      <c r="K142" s="146" t="s">
        <v>29</v>
      </c>
      <c r="L142" s="147" t="s">
        <v>127</v>
      </c>
      <c r="M142" s="148">
        <v>240070263035</v>
      </c>
      <c r="N142" s="148"/>
      <c r="O142" s="148"/>
      <c r="P142" s="148">
        <v>14323500000</v>
      </c>
      <c r="Q142" s="148">
        <v>9770858686</v>
      </c>
      <c r="R142" s="148"/>
      <c r="S142" s="148">
        <v>244622904349</v>
      </c>
      <c r="T142" s="148">
        <v>229793405664</v>
      </c>
      <c r="U142" s="148">
        <v>14829498685</v>
      </c>
      <c r="V142" s="150">
        <v>0.93937812681741784</v>
      </c>
      <c r="W142" s="148">
        <v>211867050000</v>
      </c>
      <c r="X142" s="148">
        <v>17926355664</v>
      </c>
      <c r="Y142" s="150">
        <v>7.801074888202672E-2</v>
      </c>
      <c r="Z142" s="148">
        <v>211867050000</v>
      </c>
      <c r="AA142" s="148">
        <v>0</v>
      </c>
      <c r="AB142" s="150">
        <v>0.92198925111797325</v>
      </c>
    </row>
    <row r="143" spans="1:28" ht="24.95" customHeight="1">
      <c r="A143" s="32" t="e">
        <v>#REF!</v>
      </c>
      <c r="B143" s="144" t="s">
        <v>491</v>
      </c>
      <c r="C143" s="145" t="s">
        <v>167</v>
      </c>
      <c r="D143" s="145" t="s">
        <v>190</v>
      </c>
      <c r="E143" s="145" t="s">
        <v>172</v>
      </c>
      <c r="F143" s="145" t="s">
        <v>191</v>
      </c>
      <c r="G143" s="145" t="s">
        <v>175</v>
      </c>
      <c r="H143" s="145" t="s">
        <v>193</v>
      </c>
      <c r="I143" s="145" t="s">
        <v>65</v>
      </c>
      <c r="J143" s="145">
        <v>13</v>
      </c>
      <c r="K143" s="146" t="s">
        <v>29</v>
      </c>
      <c r="L143" s="147" t="s">
        <v>127</v>
      </c>
      <c r="M143" s="148">
        <v>1866246149188</v>
      </c>
      <c r="N143" s="148"/>
      <c r="O143" s="148"/>
      <c r="P143" s="148"/>
      <c r="Q143" s="148">
        <v>148552450</v>
      </c>
      <c r="R143" s="148"/>
      <c r="S143" s="148">
        <v>1866097596738</v>
      </c>
      <c r="T143" s="148">
        <v>899507302650</v>
      </c>
      <c r="U143" s="148">
        <v>966590294088</v>
      </c>
      <c r="V143" s="150">
        <v>0.48202586200334235</v>
      </c>
      <c r="W143" s="148">
        <v>410590377000</v>
      </c>
      <c r="X143" s="148">
        <v>488916925650</v>
      </c>
      <c r="Y143" s="150">
        <v>0.54353858407777544</v>
      </c>
      <c r="Z143" s="148">
        <v>410590377000</v>
      </c>
      <c r="AA143" s="148">
        <v>0</v>
      </c>
      <c r="AB143" s="150">
        <v>0.45646141592222461</v>
      </c>
    </row>
    <row r="144" spans="1:28" ht="32.25" customHeight="1">
      <c r="A144" s="32" t="e">
        <v>#REF!</v>
      </c>
      <c r="B144" s="138" t="s">
        <v>494</v>
      </c>
      <c r="C144" s="139" t="s">
        <v>167</v>
      </c>
      <c r="D144" s="139" t="s">
        <v>190</v>
      </c>
      <c r="E144" s="139" t="s">
        <v>172</v>
      </c>
      <c r="F144" s="139" t="s">
        <v>191</v>
      </c>
      <c r="G144" s="139" t="s">
        <v>175</v>
      </c>
      <c r="H144" s="139">
        <v>4103009</v>
      </c>
      <c r="I144" s="139"/>
      <c r="J144" s="139"/>
      <c r="K144" s="140" t="s">
        <v>29</v>
      </c>
      <c r="L144" s="140" t="s">
        <v>195</v>
      </c>
      <c r="M144" s="141">
        <v>5421920000</v>
      </c>
      <c r="N144" s="142">
        <v>0</v>
      </c>
      <c r="O144" s="142">
        <v>0</v>
      </c>
      <c r="P144" s="141">
        <v>742113854</v>
      </c>
      <c r="Q144" s="142">
        <v>0</v>
      </c>
      <c r="R144" s="142">
        <v>0</v>
      </c>
      <c r="S144" s="141">
        <v>6164033854</v>
      </c>
      <c r="T144" s="141">
        <v>0</v>
      </c>
      <c r="U144" s="141">
        <v>6164033854</v>
      </c>
      <c r="V144" s="143">
        <v>0</v>
      </c>
      <c r="W144" s="141">
        <v>0</v>
      </c>
      <c r="X144" s="141">
        <v>0</v>
      </c>
      <c r="Y144" s="143">
        <v>0</v>
      </c>
      <c r="Z144" s="141">
        <v>0</v>
      </c>
      <c r="AA144" s="141">
        <v>0</v>
      </c>
      <c r="AB144" s="724">
        <v>0</v>
      </c>
    </row>
    <row r="145" spans="1:28" ht="24.95" customHeight="1">
      <c r="A145" s="32" t="e">
        <v>#REF!</v>
      </c>
      <c r="B145" s="144" t="s">
        <v>496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>
        <v>4103009</v>
      </c>
      <c r="I145" s="145" t="s">
        <v>54</v>
      </c>
      <c r="J145" s="145">
        <v>11</v>
      </c>
      <c r="K145" s="146" t="s">
        <v>29</v>
      </c>
      <c r="L145" s="147" t="s">
        <v>178</v>
      </c>
      <c r="M145" s="148">
        <v>5421920000</v>
      </c>
      <c r="N145" s="148"/>
      <c r="O145" s="148"/>
      <c r="P145" s="148">
        <v>742113854</v>
      </c>
      <c r="Q145" s="148"/>
      <c r="R145" s="148"/>
      <c r="S145" s="148">
        <v>6164033854</v>
      </c>
      <c r="T145" s="148">
        <v>0</v>
      </c>
      <c r="U145" s="148">
        <v>6164033854</v>
      </c>
      <c r="V145" s="150">
        <v>0</v>
      </c>
      <c r="W145" s="148">
        <v>0</v>
      </c>
      <c r="X145" s="148">
        <v>0</v>
      </c>
      <c r="Y145" s="150">
        <v>0</v>
      </c>
      <c r="Z145" s="148">
        <v>0</v>
      </c>
      <c r="AA145" s="148">
        <v>0</v>
      </c>
      <c r="AB145" s="150">
        <v>0</v>
      </c>
    </row>
    <row r="146" spans="1:28" ht="32.25" customHeight="1">
      <c r="A146" s="32" t="e">
        <v>#REF!</v>
      </c>
      <c r="B146" s="138" t="s">
        <v>497</v>
      </c>
      <c r="C146" s="139" t="s">
        <v>167</v>
      </c>
      <c r="D146" s="139" t="s">
        <v>190</v>
      </c>
      <c r="E146" s="139" t="s">
        <v>172</v>
      </c>
      <c r="F146" s="139" t="s">
        <v>191</v>
      </c>
      <c r="G146" s="139" t="s">
        <v>175</v>
      </c>
      <c r="H146" s="139">
        <v>4103047</v>
      </c>
      <c r="I146" s="139"/>
      <c r="J146" s="139">
        <v>11</v>
      </c>
      <c r="K146" s="140" t="s">
        <v>29</v>
      </c>
      <c r="L146" s="140" t="s">
        <v>195</v>
      </c>
      <c r="M146" s="141">
        <v>600000000</v>
      </c>
      <c r="N146" s="142">
        <v>0</v>
      </c>
      <c r="O146" s="142">
        <v>0</v>
      </c>
      <c r="P146" s="142">
        <v>0</v>
      </c>
      <c r="Q146" s="142">
        <v>0</v>
      </c>
      <c r="R146" s="142">
        <v>0</v>
      </c>
      <c r="S146" s="141">
        <v>600000000</v>
      </c>
      <c r="T146" s="141">
        <v>0</v>
      </c>
      <c r="U146" s="141">
        <v>600000000</v>
      </c>
      <c r="V146" s="143">
        <v>0</v>
      </c>
      <c r="W146" s="141">
        <v>0</v>
      </c>
      <c r="X146" s="141">
        <v>0</v>
      </c>
      <c r="Y146" s="143">
        <v>0</v>
      </c>
      <c r="Z146" s="141">
        <v>0</v>
      </c>
      <c r="AA146" s="141">
        <v>0</v>
      </c>
      <c r="AB146" s="724">
        <v>0</v>
      </c>
    </row>
    <row r="147" spans="1:28" ht="24.95" customHeight="1">
      <c r="A147" s="32" t="e">
        <v>#REF!</v>
      </c>
      <c r="B147" s="144" t="s">
        <v>498</v>
      </c>
      <c r="C147" s="145" t="s">
        <v>167</v>
      </c>
      <c r="D147" s="145" t="s">
        <v>190</v>
      </c>
      <c r="E147" s="145" t="s">
        <v>172</v>
      </c>
      <c r="F147" s="145" t="s">
        <v>191</v>
      </c>
      <c r="G147" s="145" t="s">
        <v>175</v>
      </c>
      <c r="H147" s="145">
        <v>4103047</v>
      </c>
      <c r="I147" s="145" t="s">
        <v>54</v>
      </c>
      <c r="J147" s="145">
        <v>11</v>
      </c>
      <c r="K147" s="146" t="s">
        <v>29</v>
      </c>
      <c r="L147" s="147" t="s">
        <v>178</v>
      </c>
      <c r="M147" s="148">
        <v>600000000</v>
      </c>
      <c r="N147" s="148"/>
      <c r="O147" s="148"/>
      <c r="P147" s="148"/>
      <c r="Q147" s="148"/>
      <c r="R147" s="148"/>
      <c r="S147" s="148">
        <v>600000000</v>
      </c>
      <c r="T147" s="148">
        <v>0</v>
      </c>
      <c r="U147" s="148">
        <v>600000000</v>
      </c>
      <c r="V147" s="150">
        <v>0</v>
      </c>
      <c r="W147" s="148">
        <v>0</v>
      </c>
      <c r="X147" s="148">
        <v>0</v>
      </c>
      <c r="Y147" s="150">
        <v>0</v>
      </c>
      <c r="Z147" s="148">
        <v>0</v>
      </c>
      <c r="AA147" s="148">
        <v>0</v>
      </c>
      <c r="AB147" s="150">
        <v>0</v>
      </c>
    </row>
    <row r="148" spans="1:28" ht="42" customHeight="1">
      <c r="A148" s="32" t="e">
        <v>#REF!</v>
      </c>
      <c r="B148" s="132" t="s">
        <v>298</v>
      </c>
      <c r="C148" s="133" t="s">
        <v>167</v>
      </c>
      <c r="D148" s="133" t="s">
        <v>190</v>
      </c>
      <c r="E148" s="133" t="s">
        <v>172</v>
      </c>
      <c r="F148" s="133" t="s">
        <v>22</v>
      </c>
      <c r="G148" s="133"/>
      <c r="H148" s="133"/>
      <c r="I148" s="133"/>
      <c r="J148" s="133"/>
      <c r="K148" s="134"/>
      <c r="L148" s="134" t="s">
        <v>264</v>
      </c>
      <c r="M148" s="135">
        <v>127000000000</v>
      </c>
      <c r="N148" s="136">
        <v>0</v>
      </c>
      <c r="O148" s="136">
        <v>0</v>
      </c>
      <c r="P148" s="136">
        <v>0</v>
      </c>
      <c r="Q148" s="135">
        <v>1000000000</v>
      </c>
      <c r="R148" s="136">
        <v>0</v>
      </c>
      <c r="S148" s="135">
        <v>126000000000</v>
      </c>
      <c r="T148" s="135">
        <v>116817097639</v>
      </c>
      <c r="U148" s="135">
        <v>9182902361</v>
      </c>
      <c r="V148" s="137">
        <v>0.92711982253174607</v>
      </c>
      <c r="W148" s="135">
        <v>25033174901.66</v>
      </c>
      <c r="X148" s="135">
        <v>91783922737.339996</v>
      </c>
      <c r="Y148" s="137">
        <v>0.78570624157244473</v>
      </c>
      <c r="Z148" s="135">
        <v>24864915590.66</v>
      </c>
      <c r="AA148" s="135">
        <v>168259311</v>
      </c>
      <c r="AB148" s="723">
        <v>0.2128533929810521</v>
      </c>
    </row>
    <row r="149" spans="1:28" ht="32.25" customHeight="1">
      <c r="A149" s="32" t="e">
        <v>#REF!</v>
      </c>
      <c r="B149" s="138" t="s">
        <v>500</v>
      </c>
      <c r="C149" s="139" t="s">
        <v>167</v>
      </c>
      <c r="D149" s="139" t="s">
        <v>190</v>
      </c>
      <c r="E149" s="139" t="s">
        <v>172</v>
      </c>
      <c r="F149" s="139" t="s">
        <v>22</v>
      </c>
      <c r="G149" s="139" t="s">
        <v>175</v>
      </c>
      <c r="H149" s="139" t="s">
        <v>197</v>
      </c>
      <c r="I149" s="139"/>
      <c r="J149" s="139">
        <v>13</v>
      </c>
      <c r="K149" s="140" t="s">
        <v>29</v>
      </c>
      <c r="L149" s="140" t="s">
        <v>198</v>
      </c>
      <c r="M149" s="141">
        <v>12543853246</v>
      </c>
      <c r="N149" s="142">
        <v>0</v>
      </c>
      <c r="O149" s="142">
        <v>0</v>
      </c>
      <c r="P149" s="142">
        <v>0</v>
      </c>
      <c r="Q149" s="142">
        <v>0</v>
      </c>
      <c r="R149" s="142">
        <v>0</v>
      </c>
      <c r="S149" s="141">
        <v>12543853246</v>
      </c>
      <c r="T149" s="141">
        <v>12497150539</v>
      </c>
      <c r="U149" s="141">
        <v>46702707</v>
      </c>
      <c r="V149" s="143">
        <v>0.99627684523374882</v>
      </c>
      <c r="W149" s="141">
        <v>2066676122</v>
      </c>
      <c r="X149" s="142">
        <v>10430474417</v>
      </c>
      <c r="Y149" s="143">
        <v>0.834628212603305</v>
      </c>
      <c r="Z149" s="141">
        <v>2066676122</v>
      </c>
      <c r="AA149" s="141">
        <v>0</v>
      </c>
      <c r="AB149" s="724">
        <v>0.16537178739669497</v>
      </c>
    </row>
    <row r="150" spans="1:28" ht="24.95" customHeight="1">
      <c r="A150" s="32" t="e">
        <v>#REF!</v>
      </c>
      <c r="B150" s="144" t="s">
        <v>501</v>
      </c>
      <c r="C150" s="145" t="s">
        <v>167</v>
      </c>
      <c r="D150" s="145" t="s">
        <v>190</v>
      </c>
      <c r="E150" s="145" t="s">
        <v>172</v>
      </c>
      <c r="F150" s="145" t="s">
        <v>22</v>
      </c>
      <c r="G150" s="145" t="s">
        <v>175</v>
      </c>
      <c r="H150" s="145" t="s">
        <v>197</v>
      </c>
      <c r="I150" s="145" t="s">
        <v>54</v>
      </c>
      <c r="J150" s="145">
        <v>13</v>
      </c>
      <c r="K150" s="146" t="s">
        <v>29</v>
      </c>
      <c r="L150" s="147" t="s">
        <v>178</v>
      </c>
      <c r="M150" s="148">
        <v>12543853246</v>
      </c>
      <c r="N150" s="148"/>
      <c r="O150" s="148"/>
      <c r="P150" s="148"/>
      <c r="Q150" s="148">
        <v>0</v>
      </c>
      <c r="R150" s="148">
        <v>0</v>
      </c>
      <c r="S150" s="148">
        <v>12543853246</v>
      </c>
      <c r="T150" s="148">
        <v>12497150539</v>
      </c>
      <c r="U150" s="148">
        <v>46702707</v>
      </c>
      <c r="V150" s="150">
        <v>0.99627684523374882</v>
      </c>
      <c r="W150" s="148">
        <v>2066676122</v>
      </c>
      <c r="X150" s="148">
        <v>10430474417</v>
      </c>
      <c r="Y150" s="150">
        <v>0.834628212603305</v>
      </c>
      <c r="Z150" s="148">
        <v>2066676122</v>
      </c>
      <c r="AA150" s="148">
        <v>0</v>
      </c>
      <c r="AB150" s="150">
        <v>0.16537178739669497</v>
      </c>
    </row>
    <row r="151" spans="1:28" ht="32.25" customHeight="1">
      <c r="A151" s="32" t="e">
        <v>#REF!</v>
      </c>
      <c r="B151" s="138" t="s">
        <v>502</v>
      </c>
      <c r="C151" s="139" t="s">
        <v>167</v>
      </c>
      <c r="D151" s="139" t="s">
        <v>190</v>
      </c>
      <c r="E151" s="139" t="s">
        <v>172</v>
      </c>
      <c r="F151" s="139" t="s">
        <v>22</v>
      </c>
      <c r="G151" s="139" t="s">
        <v>175</v>
      </c>
      <c r="H151" s="139" t="s">
        <v>199</v>
      </c>
      <c r="I151" s="139"/>
      <c r="J151" s="139">
        <v>13</v>
      </c>
      <c r="K151" s="140" t="s">
        <v>29</v>
      </c>
      <c r="L151" s="140" t="s">
        <v>200</v>
      </c>
      <c r="M151" s="141">
        <v>6747471657</v>
      </c>
      <c r="N151" s="142">
        <v>0</v>
      </c>
      <c r="O151" s="142">
        <v>0</v>
      </c>
      <c r="P151" s="142">
        <v>0</v>
      </c>
      <c r="Q151" s="141">
        <v>1000000000</v>
      </c>
      <c r="R151" s="142">
        <v>0</v>
      </c>
      <c r="S151" s="141">
        <v>5747471657</v>
      </c>
      <c r="T151" s="141">
        <v>5632124153</v>
      </c>
      <c r="U151" s="141">
        <v>115347504</v>
      </c>
      <c r="V151" s="143">
        <v>0.97993073983070189</v>
      </c>
      <c r="W151" s="141">
        <v>931394438</v>
      </c>
      <c r="X151" s="142">
        <v>4700729715</v>
      </c>
      <c r="Y151" s="143">
        <v>0.83462821260715914</v>
      </c>
      <c r="Z151" s="141">
        <v>931394438</v>
      </c>
      <c r="AA151" s="141">
        <v>0</v>
      </c>
      <c r="AB151" s="724">
        <v>0.16537178739284086</v>
      </c>
    </row>
    <row r="152" spans="1:28" ht="24.95" customHeight="1">
      <c r="A152" s="32" t="e">
        <v>#REF!</v>
      </c>
      <c r="B152" s="144" t="s">
        <v>503</v>
      </c>
      <c r="C152" s="145" t="s">
        <v>167</v>
      </c>
      <c r="D152" s="145" t="s">
        <v>190</v>
      </c>
      <c r="E152" s="145" t="s">
        <v>172</v>
      </c>
      <c r="F152" s="145" t="s">
        <v>22</v>
      </c>
      <c r="G152" s="145" t="s">
        <v>175</v>
      </c>
      <c r="H152" s="145" t="s">
        <v>199</v>
      </c>
      <c r="I152" s="145" t="s">
        <v>54</v>
      </c>
      <c r="J152" s="145">
        <v>13</v>
      </c>
      <c r="K152" s="146" t="s">
        <v>29</v>
      </c>
      <c r="L152" s="147" t="s">
        <v>178</v>
      </c>
      <c r="M152" s="148">
        <v>6747471657</v>
      </c>
      <c r="N152" s="148"/>
      <c r="O152" s="148"/>
      <c r="P152" s="148"/>
      <c r="Q152" s="148">
        <v>1000000000</v>
      </c>
      <c r="R152" s="148">
        <v>0</v>
      </c>
      <c r="S152" s="148">
        <v>5747471657</v>
      </c>
      <c r="T152" s="148">
        <v>5632124153</v>
      </c>
      <c r="U152" s="148">
        <v>115347504</v>
      </c>
      <c r="V152" s="150">
        <v>0.97993073983070189</v>
      </c>
      <c r="W152" s="148">
        <v>931394438</v>
      </c>
      <c r="X152" s="148">
        <v>4700729715</v>
      </c>
      <c r="Y152" s="150">
        <v>0.83462821260715914</v>
      </c>
      <c r="Z152" s="148">
        <v>931394438</v>
      </c>
      <c r="AA152" s="148">
        <v>0</v>
      </c>
      <c r="AB152" s="150">
        <v>0.16537178739284086</v>
      </c>
    </row>
    <row r="153" spans="1:28" ht="32.25" customHeight="1">
      <c r="A153" s="32" t="e">
        <v>#REF!</v>
      </c>
      <c r="B153" s="138" t="s">
        <v>504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201</v>
      </c>
      <c r="I153" s="139"/>
      <c r="J153" s="139">
        <v>13</v>
      </c>
      <c r="K153" s="140" t="s">
        <v>29</v>
      </c>
      <c r="L153" s="140" t="s">
        <v>202</v>
      </c>
      <c r="M153" s="141">
        <v>11231519737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1">
        <v>11231519737</v>
      </c>
      <c r="T153" s="141">
        <v>7975542091</v>
      </c>
      <c r="U153" s="141">
        <v>3255977646</v>
      </c>
      <c r="V153" s="143">
        <v>0.71010355479554277</v>
      </c>
      <c r="W153" s="141">
        <v>2054413310.6600001</v>
      </c>
      <c r="X153" s="141">
        <v>5921128780.3400002</v>
      </c>
      <c r="Y153" s="143">
        <v>0.74241082459105789</v>
      </c>
      <c r="Z153" s="141">
        <v>1886153999.6600001</v>
      </c>
      <c r="AA153" s="141">
        <v>168259311</v>
      </c>
      <c r="AB153" s="724">
        <v>0.23649226323918854</v>
      </c>
    </row>
    <row r="154" spans="1:28" ht="24.95" customHeight="1">
      <c r="A154" s="32" t="e">
        <v>#REF!</v>
      </c>
      <c r="B154" s="144" t="s">
        <v>505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201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11231519737</v>
      </c>
      <c r="N154" s="148"/>
      <c r="O154" s="148"/>
      <c r="P154" s="148"/>
      <c r="Q154" s="148">
        <v>0</v>
      </c>
      <c r="R154" s="148">
        <v>0</v>
      </c>
      <c r="S154" s="148">
        <v>11231519737</v>
      </c>
      <c r="T154" s="148">
        <v>7975542091</v>
      </c>
      <c r="U154" s="148">
        <v>3255977646</v>
      </c>
      <c r="V154" s="150">
        <v>0.71010355479554277</v>
      </c>
      <c r="W154" s="148">
        <v>2054413310.6600001</v>
      </c>
      <c r="X154" s="148">
        <v>5921128780.3400002</v>
      </c>
      <c r="Y154" s="150">
        <v>0.74241082459105789</v>
      </c>
      <c r="Z154" s="148">
        <v>1886153999.6600001</v>
      </c>
      <c r="AA154" s="148">
        <v>168259311</v>
      </c>
      <c r="AB154" s="150">
        <v>0.23649226323918854</v>
      </c>
    </row>
    <row r="155" spans="1:28" ht="32.25" customHeight="1">
      <c r="A155" s="32" t="e">
        <v>#REF!</v>
      </c>
      <c r="B155" s="138" t="s">
        <v>506</v>
      </c>
      <c r="C155" s="139" t="s">
        <v>167</v>
      </c>
      <c r="D155" s="139" t="s">
        <v>190</v>
      </c>
      <c r="E155" s="139" t="s">
        <v>172</v>
      </c>
      <c r="F155" s="139" t="s">
        <v>22</v>
      </c>
      <c r="G155" s="139" t="s">
        <v>175</v>
      </c>
      <c r="H155" s="139" t="s">
        <v>203</v>
      </c>
      <c r="I155" s="139"/>
      <c r="J155" s="139">
        <v>13</v>
      </c>
      <c r="K155" s="140" t="s">
        <v>29</v>
      </c>
      <c r="L155" s="140" t="s">
        <v>204</v>
      </c>
      <c r="M155" s="141">
        <v>96477155360</v>
      </c>
      <c r="N155" s="142">
        <v>0</v>
      </c>
      <c r="O155" s="142">
        <v>0</v>
      </c>
      <c r="P155" s="142">
        <v>0</v>
      </c>
      <c r="Q155" s="142">
        <v>0</v>
      </c>
      <c r="R155" s="142">
        <v>0</v>
      </c>
      <c r="S155" s="141">
        <v>96477155360</v>
      </c>
      <c r="T155" s="141">
        <v>90712280856</v>
      </c>
      <c r="U155" s="141">
        <v>5764874504</v>
      </c>
      <c r="V155" s="143">
        <v>0.94024622220163268</v>
      </c>
      <c r="W155" s="141">
        <v>19980691031</v>
      </c>
      <c r="X155" s="141">
        <v>70731589825</v>
      </c>
      <c r="Y155" s="143">
        <v>0.77973554581084692</v>
      </c>
      <c r="Z155" s="141">
        <v>19980691031</v>
      </c>
      <c r="AA155" s="141">
        <v>0</v>
      </c>
      <c r="AB155" s="724">
        <v>0.22026445418915308</v>
      </c>
    </row>
    <row r="156" spans="1:28" ht="24.95" customHeight="1">
      <c r="A156" s="32" t="e">
        <v>#REF!</v>
      </c>
      <c r="B156" s="144" t="s">
        <v>507</v>
      </c>
      <c r="C156" s="145" t="s">
        <v>167</v>
      </c>
      <c r="D156" s="145" t="s">
        <v>190</v>
      </c>
      <c r="E156" s="145" t="s">
        <v>172</v>
      </c>
      <c r="F156" s="145" t="s">
        <v>22</v>
      </c>
      <c r="G156" s="145" t="s">
        <v>175</v>
      </c>
      <c r="H156" s="145" t="s">
        <v>203</v>
      </c>
      <c r="I156" s="145" t="s">
        <v>54</v>
      </c>
      <c r="J156" s="145">
        <v>13</v>
      </c>
      <c r="K156" s="146" t="s">
        <v>29</v>
      </c>
      <c r="L156" s="147" t="s">
        <v>178</v>
      </c>
      <c r="M156" s="148">
        <v>96477155360</v>
      </c>
      <c r="N156" s="148"/>
      <c r="O156" s="148"/>
      <c r="P156" s="149"/>
      <c r="Q156" s="148">
        <v>0</v>
      </c>
      <c r="R156" s="148">
        <v>0</v>
      </c>
      <c r="S156" s="148">
        <v>96477155360</v>
      </c>
      <c r="T156" s="148">
        <v>90712280856</v>
      </c>
      <c r="U156" s="148">
        <v>5764874504</v>
      </c>
      <c r="V156" s="150">
        <v>0.94024622220163268</v>
      </c>
      <c r="W156" s="148">
        <v>19980691031</v>
      </c>
      <c r="X156" s="148">
        <v>70731589825</v>
      </c>
      <c r="Y156" s="150">
        <v>0.77973554581084692</v>
      </c>
      <c r="Z156" s="148">
        <v>19980691031</v>
      </c>
      <c r="AA156" s="148">
        <v>0</v>
      </c>
      <c r="AB156" s="150">
        <v>0.22026445418915308</v>
      </c>
    </row>
    <row r="157" spans="1:28" ht="42" customHeight="1">
      <c r="A157" s="32" t="e">
        <v>#REF!</v>
      </c>
      <c r="B157" s="132" t="s">
        <v>299</v>
      </c>
      <c r="C157" s="133" t="s">
        <v>167</v>
      </c>
      <c r="D157" s="133" t="s">
        <v>190</v>
      </c>
      <c r="E157" s="133" t="s">
        <v>172</v>
      </c>
      <c r="F157" s="133" t="s">
        <v>205</v>
      </c>
      <c r="G157" s="133"/>
      <c r="H157" s="133"/>
      <c r="I157" s="133"/>
      <c r="J157" s="133"/>
      <c r="K157" s="134"/>
      <c r="L157" s="134" t="s">
        <v>265</v>
      </c>
      <c r="M157" s="135">
        <v>662805945958</v>
      </c>
      <c r="N157" s="136">
        <v>0</v>
      </c>
      <c r="O157" s="136">
        <v>0</v>
      </c>
      <c r="P157" s="135">
        <v>9474337902.6599998</v>
      </c>
      <c r="Q157" s="135">
        <v>9474337902.6599998</v>
      </c>
      <c r="R157" s="136">
        <v>0</v>
      </c>
      <c r="S157" s="135">
        <v>662805945958</v>
      </c>
      <c r="T157" s="135">
        <v>598356337136.40002</v>
      </c>
      <c r="U157" s="135">
        <v>64449608821.600021</v>
      </c>
      <c r="V157" s="137">
        <v>0.90276247638598595</v>
      </c>
      <c r="W157" s="135">
        <v>7329805877.0600004</v>
      </c>
      <c r="X157" s="135">
        <v>591026531259.33997</v>
      </c>
      <c r="Y157" s="137">
        <v>0.98775009902604383</v>
      </c>
      <c r="Z157" s="135">
        <v>7085607397.0600004</v>
      </c>
      <c r="AA157" s="135">
        <v>244198480</v>
      </c>
      <c r="AB157" s="723">
        <v>1.1841785500209017E-2</v>
      </c>
    </row>
    <row r="158" spans="1:28" ht="30.75" customHeight="1">
      <c r="A158" s="32"/>
      <c r="B158" s="135"/>
      <c r="C158" s="133"/>
      <c r="D158" s="133"/>
      <c r="E158" s="133"/>
      <c r="F158" s="133"/>
      <c r="G158" s="133"/>
      <c r="H158" s="133"/>
      <c r="I158" s="133"/>
      <c r="J158" s="133"/>
      <c r="K158" s="134"/>
      <c r="L158" s="135"/>
      <c r="M158" s="729"/>
      <c r="N158" s="135"/>
      <c r="O158" s="135"/>
      <c r="P158" s="136"/>
      <c r="Q158" s="135"/>
      <c r="R158" s="729"/>
      <c r="S158" s="135">
        <v>0</v>
      </c>
      <c r="T158" s="135"/>
      <c r="U158" s="135">
        <v>0</v>
      </c>
      <c r="V158" s="137"/>
      <c r="W158" s="135"/>
      <c r="X158" s="135">
        <v>0</v>
      </c>
      <c r="Y158" s="137"/>
      <c r="Z158" s="135"/>
      <c r="AA158" s="135">
        <v>0</v>
      </c>
      <c r="AB158" s="723"/>
    </row>
    <row r="159" spans="1:28" ht="32.25" customHeight="1">
      <c r="A159" s="32" t="e">
        <v>#REF!</v>
      </c>
      <c r="B159" s="138" t="s">
        <v>510</v>
      </c>
      <c r="C159" s="139" t="s">
        <v>167</v>
      </c>
      <c r="D159" s="139" t="s">
        <v>190</v>
      </c>
      <c r="E159" s="139" t="s">
        <v>172</v>
      </c>
      <c r="F159" s="139" t="s">
        <v>205</v>
      </c>
      <c r="G159" s="139" t="s">
        <v>175</v>
      </c>
      <c r="H159" s="139" t="s">
        <v>207</v>
      </c>
      <c r="I159" s="139"/>
      <c r="J159" s="139"/>
      <c r="K159" s="140"/>
      <c r="L159" s="140" t="s">
        <v>208</v>
      </c>
      <c r="M159" s="141">
        <v>633930608285</v>
      </c>
      <c r="N159" s="142">
        <v>0</v>
      </c>
      <c r="O159" s="142">
        <v>0</v>
      </c>
      <c r="P159" s="141">
        <v>9048916207.7600002</v>
      </c>
      <c r="Q159" s="141">
        <v>6706399698.7600002</v>
      </c>
      <c r="R159" s="142">
        <v>0</v>
      </c>
      <c r="S159" s="141">
        <v>636273124794</v>
      </c>
      <c r="T159" s="141">
        <v>573320929042.5</v>
      </c>
      <c r="U159" s="141">
        <v>62952195751.500023</v>
      </c>
      <c r="V159" s="143">
        <v>0.90106104863083536</v>
      </c>
      <c r="W159" s="141">
        <v>566758245.88</v>
      </c>
      <c r="X159" s="141">
        <v>572754170796.62</v>
      </c>
      <c r="Y159" s="143">
        <v>0.99901144678805542</v>
      </c>
      <c r="Z159" s="141">
        <v>566758245.88</v>
      </c>
      <c r="AA159" s="141">
        <v>0</v>
      </c>
      <c r="AB159" s="724">
        <v>9.8855321194455553E-4</v>
      </c>
    </row>
    <row r="160" spans="1:28" ht="24.95" customHeight="1">
      <c r="A160" s="32" t="e">
        <v>#REF!</v>
      </c>
      <c r="B160" s="144" t="s">
        <v>511</v>
      </c>
      <c r="C160" s="145" t="s">
        <v>167</v>
      </c>
      <c r="D160" s="145" t="s">
        <v>190</v>
      </c>
      <c r="E160" s="145" t="s">
        <v>172</v>
      </c>
      <c r="F160" s="145" t="s">
        <v>205</v>
      </c>
      <c r="G160" s="145" t="s">
        <v>175</v>
      </c>
      <c r="H160" s="145" t="s">
        <v>207</v>
      </c>
      <c r="I160" s="145" t="s">
        <v>54</v>
      </c>
      <c r="J160" s="145">
        <v>13</v>
      </c>
      <c r="K160" s="146" t="s">
        <v>29</v>
      </c>
      <c r="L160" s="147" t="s">
        <v>178</v>
      </c>
      <c r="M160" s="148">
        <v>74930114899</v>
      </c>
      <c r="N160" s="148"/>
      <c r="O160" s="148"/>
      <c r="P160" s="148">
        <v>437706085.34000003</v>
      </c>
      <c r="Q160" s="148">
        <v>5843271918.5200005</v>
      </c>
      <c r="R160" s="149">
        <v>0</v>
      </c>
      <c r="S160" s="148">
        <v>69524549065.819992</v>
      </c>
      <c r="T160" s="148">
        <v>64054015848.480003</v>
      </c>
      <c r="U160" s="148">
        <v>5470533217.3399887</v>
      </c>
      <c r="V160" s="150">
        <v>0.92131508523469963</v>
      </c>
      <c r="W160" s="148">
        <v>271292646.63</v>
      </c>
      <c r="X160" s="148">
        <v>63782723201.850006</v>
      </c>
      <c r="Y160" s="150">
        <v>0.99576462704115631</v>
      </c>
      <c r="Z160" s="148">
        <v>271292646.63</v>
      </c>
      <c r="AA160" s="148">
        <v>0</v>
      </c>
      <c r="AB160" s="150">
        <v>4.2353729588437312E-3</v>
      </c>
    </row>
    <row r="161" spans="1:28" ht="24.95" customHeight="1">
      <c r="A161" s="32" t="e">
        <v>#REF!</v>
      </c>
      <c r="B161" s="144" t="s">
        <v>514</v>
      </c>
      <c r="C161" s="145" t="s">
        <v>167</v>
      </c>
      <c r="D161" s="145" t="s">
        <v>190</v>
      </c>
      <c r="E161" s="145" t="s">
        <v>172</v>
      </c>
      <c r="F161" s="145" t="s">
        <v>205</v>
      </c>
      <c r="G161" s="145" t="s">
        <v>175</v>
      </c>
      <c r="H161" s="145" t="s">
        <v>207</v>
      </c>
      <c r="I161" s="145" t="s">
        <v>65</v>
      </c>
      <c r="J161" s="145">
        <v>13</v>
      </c>
      <c r="K161" s="146" t="s">
        <v>29</v>
      </c>
      <c r="L161" s="147" t="s">
        <v>127</v>
      </c>
      <c r="M161" s="148">
        <v>559000493386</v>
      </c>
      <c r="N161" s="149"/>
      <c r="O161" s="148"/>
      <c r="P161" s="148">
        <v>8611210122.4200001</v>
      </c>
      <c r="Q161" s="148">
        <v>863127780.24000001</v>
      </c>
      <c r="R161" s="149">
        <v>0</v>
      </c>
      <c r="S161" s="149">
        <v>566748575728.18005</v>
      </c>
      <c r="T161" s="148">
        <v>509266913194.02002</v>
      </c>
      <c r="U161" s="148">
        <v>57481662534.160034</v>
      </c>
      <c r="V161" s="150">
        <v>0.89857643230897333</v>
      </c>
      <c r="W161" s="148">
        <v>295465599.25</v>
      </c>
      <c r="X161" s="148">
        <v>508971447594.77002</v>
      </c>
      <c r="Y161" s="150">
        <v>0.99941982172492438</v>
      </c>
      <c r="Z161" s="148">
        <v>295465599.25</v>
      </c>
      <c r="AA161" s="148">
        <v>0</v>
      </c>
      <c r="AB161" s="150">
        <v>5.8017827507563565E-4</v>
      </c>
    </row>
    <row r="162" spans="1:28" ht="32.25" customHeight="1">
      <c r="A162" s="32" t="e">
        <v>#REF!</v>
      </c>
      <c r="B162" s="138" t="s">
        <v>516</v>
      </c>
      <c r="C162" s="139" t="s">
        <v>167</v>
      </c>
      <c r="D162" s="139" t="s">
        <v>190</v>
      </c>
      <c r="E162" s="139" t="s">
        <v>172</v>
      </c>
      <c r="F162" s="139" t="s">
        <v>205</v>
      </c>
      <c r="G162" s="139" t="s">
        <v>175</v>
      </c>
      <c r="H162" s="139" t="s">
        <v>209</v>
      </c>
      <c r="I162" s="139"/>
      <c r="J162" s="139">
        <v>11</v>
      </c>
      <c r="K162" s="140" t="s">
        <v>29</v>
      </c>
      <c r="L162" s="140" t="s">
        <v>210</v>
      </c>
      <c r="M162" s="141">
        <v>28875337673</v>
      </c>
      <c r="N162" s="142">
        <v>0</v>
      </c>
      <c r="O162" s="142">
        <v>0</v>
      </c>
      <c r="P162" s="141">
        <v>425421694.89999998</v>
      </c>
      <c r="Q162" s="141">
        <v>2767938203.9000001</v>
      </c>
      <c r="R162" s="142">
        <v>0</v>
      </c>
      <c r="S162" s="141">
        <v>26532821164</v>
      </c>
      <c r="T162" s="141">
        <v>25035408093.900002</v>
      </c>
      <c r="U162" s="141">
        <v>1497413070.1000004</v>
      </c>
      <c r="V162" s="143">
        <v>0.94356374466007775</v>
      </c>
      <c r="W162" s="141">
        <v>6763047631.1800003</v>
      </c>
      <c r="X162" s="141">
        <v>18272360462.720001</v>
      </c>
      <c r="Y162" s="143">
        <v>0.72986069946158183</v>
      </c>
      <c r="Z162" s="141">
        <v>6518849151.1800003</v>
      </c>
      <c r="AA162" s="141">
        <v>244198480</v>
      </c>
      <c r="AB162" s="724">
        <v>0.26038517633624475</v>
      </c>
    </row>
    <row r="163" spans="1:28" ht="24.95" customHeight="1">
      <c r="A163" s="32" t="e">
        <v>#REF!</v>
      </c>
      <c r="B163" s="144" t="s">
        <v>517</v>
      </c>
      <c r="C163" s="145" t="s">
        <v>167</v>
      </c>
      <c r="D163" s="145" t="s">
        <v>190</v>
      </c>
      <c r="E163" s="145" t="s">
        <v>172</v>
      </c>
      <c r="F163" s="145" t="s">
        <v>205</v>
      </c>
      <c r="G163" s="145" t="s">
        <v>175</v>
      </c>
      <c r="H163" s="145" t="s">
        <v>209</v>
      </c>
      <c r="I163" s="145" t="s">
        <v>54</v>
      </c>
      <c r="J163" s="145">
        <v>11</v>
      </c>
      <c r="K163" s="146" t="s">
        <v>29</v>
      </c>
      <c r="L163" s="147" t="s">
        <v>178</v>
      </c>
      <c r="M163" s="148">
        <v>17101987014</v>
      </c>
      <c r="N163" s="148"/>
      <c r="O163" s="148"/>
      <c r="P163" s="148"/>
      <c r="Q163" s="149">
        <v>0</v>
      </c>
      <c r="R163" s="148">
        <v>0</v>
      </c>
      <c r="S163" s="148">
        <v>17101987014</v>
      </c>
      <c r="T163" s="148">
        <v>17008076938</v>
      </c>
      <c r="U163" s="148">
        <v>93910076</v>
      </c>
      <c r="V163" s="150">
        <v>0.99450882076315905</v>
      </c>
      <c r="W163" s="148">
        <v>5027189572</v>
      </c>
      <c r="X163" s="148">
        <v>11980887366</v>
      </c>
      <c r="Y163" s="150">
        <v>0.70442339893417993</v>
      </c>
      <c r="Z163" s="148">
        <v>4900149905</v>
      </c>
      <c r="AA163" s="148">
        <v>127039667</v>
      </c>
      <c r="AB163" s="150">
        <v>0.28810722828116597</v>
      </c>
    </row>
    <row r="164" spans="1:28" ht="24.95" customHeight="1">
      <c r="A164" s="32" t="e">
        <v>#REF!</v>
      </c>
      <c r="B164" s="144" t="s">
        <v>517</v>
      </c>
      <c r="C164" s="145" t="s">
        <v>167</v>
      </c>
      <c r="D164" s="145" t="s">
        <v>190</v>
      </c>
      <c r="E164" s="145" t="s">
        <v>172</v>
      </c>
      <c r="F164" s="145" t="s">
        <v>205</v>
      </c>
      <c r="G164" s="145" t="s">
        <v>175</v>
      </c>
      <c r="H164" s="145" t="s">
        <v>209</v>
      </c>
      <c r="I164" s="145" t="s">
        <v>54</v>
      </c>
      <c r="J164" s="145">
        <v>13</v>
      </c>
      <c r="K164" s="146" t="s">
        <v>29</v>
      </c>
      <c r="L164" s="147" t="s">
        <v>178</v>
      </c>
      <c r="M164" s="148">
        <v>11773350659</v>
      </c>
      <c r="N164" s="148"/>
      <c r="O164" s="148"/>
      <c r="P164" s="148">
        <v>425421694.89999998</v>
      </c>
      <c r="Q164" s="148">
        <v>2767938203.9000001</v>
      </c>
      <c r="R164" s="148">
        <v>0</v>
      </c>
      <c r="S164" s="148">
        <v>9430834150</v>
      </c>
      <c r="T164" s="148">
        <v>8027331155.8999996</v>
      </c>
      <c r="U164" s="148">
        <v>1403502994.1000004</v>
      </c>
      <c r="V164" s="150">
        <v>0.85117933665496592</v>
      </c>
      <c r="W164" s="148">
        <v>1735858059.1800001</v>
      </c>
      <c r="X164" s="148">
        <v>6291473096.7199993</v>
      </c>
      <c r="Y164" s="150">
        <v>0.78375651565038973</v>
      </c>
      <c r="Z164" s="148">
        <v>1618699246.1800001</v>
      </c>
      <c r="AA164" s="148">
        <v>117158813</v>
      </c>
      <c r="AB164" s="150">
        <v>0.20164849496588588</v>
      </c>
    </row>
    <row r="165" spans="1:28" ht="38.25" customHeight="1">
      <c r="A165" s="32" t="e">
        <v>#REF!</v>
      </c>
      <c r="B165" s="132" t="s">
        <v>520</v>
      </c>
      <c r="C165" s="133" t="s">
        <v>167</v>
      </c>
      <c r="D165" s="133" t="s">
        <v>190</v>
      </c>
      <c r="E165" s="133" t="s">
        <v>172</v>
      </c>
      <c r="F165" s="133" t="s">
        <v>211</v>
      </c>
      <c r="G165" s="133"/>
      <c r="H165" s="133"/>
      <c r="I165" s="133"/>
      <c r="J165" s="133"/>
      <c r="K165" s="134"/>
      <c r="L165" s="134" t="s">
        <v>266</v>
      </c>
      <c r="M165" s="135">
        <v>1000000000</v>
      </c>
      <c r="N165" s="136">
        <v>0</v>
      </c>
      <c r="O165" s="136">
        <v>0</v>
      </c>
      <c r="P165" s="135">
        <v>1000000000</v>
      </c>
      <c r="Q165" s="136">
        <v>0</v>
      </c>
      <c r="R165" s="136">
        <v>0</v>
      </c>
      <c r="S165" s="135">
        <v>2000000000</v>
      </c>
      <c r="T165" s="135">
        <v>0</v>
      </c>
      <c r="U165" s="135">
        <v>2000000000</v>
      </c>
      <c r="V165" s="137">
        <v>0</v>
      </c>
      <c r="W165" s="135">
        <v>0</v>
      </c>
      <c r="X165" s="135">
        <v>0</v>
      </c>
      <c r="Y165" s="137">
        <v>0</v>
      </c>
      <c r="Z165" s="135">
        <v>0</v>
      </c>
      <c r="AA165" s="135">
        <v>0</v>
      </c>
      <c r="AB165" s="723">
        <v>0</v>
      </c>
    </row>
    <row r="166" spans="1:28" ht="32.25" customHeight="1">
      <c r="A166" s="32" t="e">
        <v>#REF!</v>
      </c>
      <c r="B166" s="138" t="s">
        <v>522</v>
      </c>
      <c r="C166" s="139" t="s">
        <v>167</v>
      </c>
      <c r="D166" s="139" t="s">
        <v>190</v>
      </c>
      <c r="E166" s="139" t="s">
        <v>172</v>
      </c>
      <c r="F166" s="139" t="s">
        <v>211</v>
      </c>
      <c r="G166" s="139" t="s">
        <v>175</v>
      </c>
      <c r="H166" s="139" t="s">
        <v>213</v>
      </c>
      <c r="I166" s="139"/>
      <c r="J166" s="139" t="s">
        <v>144</v>
      </c>
      <c r="K166" s="140" t="s">
        <v>29</v>
      </c>
      <c r="L166" s="140" t="s">
        <v>214</v>
      </c>
      <c r="M166" s="141">
        <v>820000000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1">
        <v>820000000</v>
      </c>
      <c r="T166" s="141">
        <v>0</v>
      </c>
      <c r="U166" s="141">
        <v>820000000</v>
      </c>
      <c r="V166" s="143">
        <v>0</v>
      </c>
      <c r="W166" s="141">
        <v>0</v>
      </c>
      <c r="X166" s="142">
        <v>0</v>
      </c>
      <c r="Y166" s="143">
        <v>0</v>
      </c>
      <c r="Z166" s="141">
        <v>0</v>
      </c>
      <c r="AA166" s="141">
        <v>0</v>
      </c>
      <c r="AB166" s="724">
        <v>0</v>
      </c>
    </row>
    <row r="167" spans="1:28" ht="24.95" customHeight="1">
      <c r="A167" s="32" t="e">
        <v>#REF!</v>
      </c>
      <c r="B167" s="144" t="s">
        <v>524</v>
      </c>
      <c r="C167" s="145" t="s">
        <v>167</v>
      </c>
      <c r="D167" s="145" t="s">
        <v>190</v>
      </c>
      <c r="E167" s="145" t="s">
        <v>172</v>
      </c>
      <c r="F167" s="145" t="s">
        <v>211</v>
      </c>
      <c r="G167" s="145" t="s">
        <v>175</v>
      </c>
      <c r="H167" s="145" t="s">
        <v>213</v>
      </c>
      <c r="I167" s="145" t="s">
        <v>54</v>
      </c>
      <c r="J167" s="145">
        <v>13</v>
      </c>
      <c r="K167" s="146" t="s">
        <v>29</v>
      </c>
      <c r="L167" s="147" t="s">
        <v>178</v>
      </c>
      <c r="M167" s="148">
        <v>820000000</v>
      </c>
      <c r="N167" s="148"/>
      <c r="O167" s="148"/>
      <c r="P167" s="148"/>
      <c r="Q167" s="149">
        <v>0</v>
      </c>
      <c r="R167" s="148">
        <v>0</v>
      </c>
      <c r="S167" s="148">
        <v>820000000</v>
      </c>
      <c r="T167" s="148">
        <v>0</v>
      </c>
      <c r="U167" s="148">
        <v>820000000</v>
      </c>
      <c r="V167" s="150">
        <v>0</v>
      </c>
      <c r="W167" s="148">
        <v>0</v>
      </c>
      <c r="X167" s="148">
        <v>0</v>
      </c>
      <c r="Y167" s="150">
        <v>0</v>
      </c>
      <c r="Z167" s="148">
        <v>0</v>
      </c>
      <c r="AA167" s="148">
        <v>0</v>
      </c>
      <c r="AB167" s="150">
        <v>0</v>
      </c>
    </row>
    <row r="168" spans="1:28" ht="32.25" customHeight="1">
      <c r="A168" s="32" t="e">
        <v>#REF!</v>
      </c>
      <c r="B168" s="138" t="s">
        <v>526</v>
      </c>
      <c r="C168" s="139" t="s">
        <v>167</v>
      </c>
      <c r="D168" s="139" t="s">
        <v>190</v>
      </c>
      <c r="E168" s="139" t="s">
        <v>172</v>
      </c>
      <c r="F168" s="139" t="s">
        <v>211</v>
      </c>
      <c r="G168" s="139" t="s">
        <v>175</v>
      </c>
      <c r="H168" s="139" t="s">
        <v>215</v>
      </c>
      <c r="I168" s="139"/>
      <c r="J168" s="139" t="s">
        <v>144</v>
      </c>
      <c r="K168" s="140" t="s">
        <v>29</v>
      </c>
      <c r="L168" s="140" t="s">
        <v>216</v>
      </c>
      <c r="M168" s="141">
        <v>180000000</v>
      </c>
      <c r="N168" s="142">
        <v>0</v>
      </c>
      <c r="O168" s="142">
        <v>0</v>
      </c>
      <c r="P168" s="141">
        <v>1000000000</v>
      </c>
      <c r="Q168" s="142">
        <v>0</v>
      </c>
      <c r="R168" s="142">
        <v>0</v>
      </c>
      <c r="S168" s="141">
        <v>1180000000</v>
      </c>
      <c r="T168" s="141">
        <v>0</v>
      </c>
      <c r="U168" s="141">
        <v>1180000000</v>
      </c>
      <c r="V168" s="143">
        <v>0</v>
      </c>
      <c r="W168" s="141">
        <v>0</v>
      </c>
      <c r="X168" s="141">
        <v>0</v>
      </c>
      <c r="Y168" s="143">
        <v>0</v>
      </c>
      <c r="Z168" s="141">
        <v>0</v>
      </c>
      <c r="AA168" s="141">
        <v>0</v>
      </c>
      <c r="AB168" s="724">
        <v>0</v>
      </c>
    </row>
    <row r="169" spans="1:28" ht="24.95" customHeight="1">
      <c r="A169" s="32" t="e">
        <v>#REF!</v>
      </c>
      <c r="B169" s="144" t="s">
        <v>528</v>
      </c>
      <c r="C169" s="145" t="s">
        <v>167</v>
      </c>
      <c r="D169" s="145" t="s">
        <v>190</v>
      </c>
      <c r="E169" s="145" t="s">
        <v>172</v>
      </c>
      <c r="F169" s="145" t="s">
        <v>211</v>
      </c>
      <c r="G169" s="145" t="s">
        <v>175</v>
      </c>
      <c r="H169" s="145" t="s">
        <v>215</v>
      </c>
      <c r="I169" s="145" t="s">
        <v>54</v>
      </c>
      <c r="J169" s="145">
        <v>13</v>
      </c>
      <c r="K169" s="146" t="s">
        <v>29</v>
      </c>
      <c r="L169" s="147" t="s">
        <v>178</v>
      </c>
      <c r="M169" s="148">
        <v>180000000</v>
      </c>
      <c r="N169" s="148"/>
      <c r="O169" s="148"/>
      <c r="P169" s="148">
        <v>1000000000</v>
      </c>
      <c r="Q169" s="149">
        <v>0</v>
      </c>
      <c r="R169" s="148">
        <v>0</v>
      </c>
      <c r="S169" s="148">
        <v>1180000000</v>
      </c>
      <c r="T169" s="148">
        <v>0</v>
      </c>
      <c r="U169" s="148">
        <v>1180000000</v>
      </c>
      <c r="V169" s="150">
        <v>0</v>
      </c>
      <c r="W169" s="148">
        <v>0</v>
      </c>
      <c r="X169" s="148">
        <v>0</v>
      </c>
      <c r="Y169" s="150">
        <v>0</v>
      </c>
      <c r="Z169" s="148">
        <v>0</v>
      </c>
      <c r="AA169" s="148">
        <v>0</v>
      </c>
      <c r="AB169" s="150">
        <v>0</v>
      </c>
    </row>
    <row r="170" spans="1:28" ht="49.5" customHeight="1">
      <c r="A170" s="32" t="e">
        <v>#REF!</v>
      </c>
      <c r="B170" s="132" t="s">
        <v>530</v>
      </c>
      <c r="C170" s="133" t="s">
        <v>167</v>
      </c>
      <c r="D170" s="133" t="s">
        <v>190</v>
      </c>
      <c r="E170" s="133" t="s">
        <v>172</v>
      </c>
      <c r="F170" s="133" t="s">
        <v>217</v>
      </c>
      <c r="G170" s="133"/>
      <c r="H170" s="133"/>
      <c r="I170" s="133"/>
      <c r="J170" s="133"/>
      <c r="K170" s="134"/>
      <c r="L170" s="134" t="s">
        <v>267</v>
      </c>
      <c r="M170" s="135">
        <v>20000000000</v>
      </c>
      <c r="N170" s="136">
        <v>0</v>
      </c>
      <c r="O170" s="136">
        <v>0</v>
      </c>
      <c r="P170" s="136">
        <v>0</v>
      </c>
      <c r="Q170" s="136">
        <v>0</v>
      </c>
      <c r="R170" s="136">
        <v>0</v>
      </c>
      <c r="S170" s="135">
        <v>20000000000</v>
      </c>
      <c r="T170" s="135">
        <v>2213596098</v>
      </c>
      <c r="U170" s="135">
        <v>17786403902</v>
      </c>
      <c r="V170" s="137">
        <v>0.1106798049</v>
      </c>
      <c r="W170" s="135">
        <v>340675502</v>
      </c>
      <c r="X170" s="135">
        <v>1872920596</v>
      </c>
      <c r="Y170" s="137">
        <v>0.84609861649656737</v>
      </c>
      <c r="Z170" s="135">
        <v>308930502</v>
      </c>
      <c r="AA170" s="135">
        <v>31745000</v>
      </c>
      <c r="AB170" s="723">
        <v>0.13956046556059659</v>
      </c>
    </row>
    <row r="171" spans="1:28" ht="32.25" customHeight="1">
      <c r="A171" s="32" t="e">
        <v>#REF!</v>
      </c>
      <c r="B171" s="138" t="s">
        <v>531</v>
      </c>
      <c r="C171" s="139" t="s">
        <v>167</v>
      </c>
      <c r="D171" s="139" t="s">
        <v>190</v>
      </c>
      <c r="E171" s="139" t="s">
        <v>172</v>
      </c>
      <c r="F171" s="139" t="s">
        <v>217</v>
      </c>
      <c r="G171" s="139" t="s">
        <v>175</v>
      </c>
      <c r="H171" s="139" t="s">
        <v>219</v>
      </c>
      <c r="I171" s="139"/>
      <c r="J171" s="139">
        <v>11</v>
      </c>
      <c r="K171" s="140" t="s">
        <v>29</v>
      </c>
      <c r="L171" s="140" t="s">
        <v>220</v>
      </c>
      <c r="M171" s="141">
        <v>4242894515</v>
      </c>
      <c r="N171" s="142">
        <v>0</v>
      </c>
      <c r="O171" s="142">
        <v>0</v>
      </c>
      <c r="P171" s="142">
        <v>0</v>
      </c>
      <c r="Q171" s="142">
        <v>0</v>
      </c>
      <c r="R171" s="142">
        <v>0</v>
      </c>
      <c r="S171" s="141">
        <v>4242894515</v>
      </c>
      <c r="T171" s="141">
        <v>1013596098</v>
      </c>
      <c r="U171" s="141">
        <v>3229298417</v>
      </c>
      <c r="V171" s="143">
        <v>0.23889259900678911</v>
      </c>
      <c r="W171" s="141">
        <v>340675502</v>
      </c>
      <c r="X171" s="142">
        <v>672920596</v>
      </c>
      <c r="Y171" s="143">
        <v>0.66389422505452467</v>
      </c>
      <c r="Z171" s="141">
        <v>308930502</v>
      </c>
      <c r="AA171" s="141">
        <v>31745000</v>
      </c>
      <c r="AB171" s="724">
        <v>0.30478659360427018</v>
      </c>
    </row>
    <row r="172" spans="1:28" ht="24.95" customHeight="1">
      <c r="A172" s="32" t="e">
        <v>#REF!</v>
      </c>
      <c r="B172" s="144" t="s">
        <v>532</v>
      </c>
      <c r="C172" s="145" t="s">
        <v>167</v>
      </c>
      <c r="D172" s="145" t="s">
        <v>190</v>
      </c>
      <c r="E172" s="145" t="s">
        <v>172</v>
      </c>
      <c r="F172" s="145" t="s">
        <v>217</v>
      </c>
      <c r="G172" s="145" t="s">
        <v>175</v>
      </c>
      <c r="H172" s="145" t="s">
        <v>219</v>
      </c>
      <c r="I172" s="145" t="s">
        <v>54</v>
      </c>
      <c r="J172" s="145">
        <v>13</v>
      </c>
      <c r="K172" s="146" t="s">
        <v>29</v>
      </c>
      <c r="L172" s="147" t="s">
        <v>178</v>
      </c>
      <c r="M172" s="148">
        <v>4242894515</v>
      </c>
      <c r="N172" s="148"/>
      <c r="O172" s="148"/>
      <c r="P172" s="148"/>
      <c r="Q172" s="148">
        <v>0</v>
      </c>
      <c r="R172" s="148">
        <v>0</v>
      </c>
      <c r="S172" s="148">
        <v>4242894515</v>
      </c>
      <c r="T172" s="148">
        <v>1013596098</v>
      </c>
      <c r="U172" s="148">
        <v>3229298417</v>
      </c>
      <c r="V172" s="150">
        <v>0.23889259900678911</v>
      </c>
      <c r="W172" s="148">
        <v>340675502</v>
      </c>
      <c r="X172" s="148">
        <v>672920596</v>
      </c>
      <c r="Y172" s="150">
        <v>0.66389422505452467</v>
      </c>
      <c r="Z172" s="148">
        <v>308930502</v>
      </c>
      <c r="AA172" s="148">
        <v>31745000</v>
      </c>
      <c r="AB172" s="150">
        <v>0.30478659360427018</v>
      </c>
    </row>
    <row r="173" spans="1:28" ht="32.25" customHeight="1">
      <c r="A173" s="32" t="e">
        <v>#REF!</v>
      </c>
      <c r="B173" s="138" t="s">
        <v>533</v>
      </c>
      <c r="C173" s="139" t="s">
        <v>167</v>
      </c>
      <c r="D173" s="139" t="s">
        <v>190</v>
      </c>
      <c r="E173" s="139" t="s">
        <v>172</v>
      </c>
      <c r="F173" s="139" t="s">
        <v>217</v>
      </c>
      <c r="G173" s="139" t="s">
        <v>175</v>
      </c>
      <c r="H173" s="139" t="s">
        <v>221</v>
      </c>
      <c r="I173" s="139"/>
      <c r="J173" s="139">
        <v>11</v>
      </c>
      <c r="K173" s="140" t="s">
        <v>29</v>
      </c>
      <c r="L173" s="140" t="s">
        <v>222</v>
      </c>
      <c r="M173" s="141">
        <v>15757105485</v>
      </c>
      <c r="N173" s="142">
        <v>0</v>
      </c>
      <c r="O173" s="142">
        <v>0</v>
      </c>
      <c r="P173" s="142">
        <v>0</v>
      </c>
      <c r="Q173" s="142">
        <v>0</v>
      </c>
      <c r="R173" s="142">
        <v>0</v>
      </c>
      <c r="S173" s="141">
        <v>15757105485</v>
      </c>
      <c r="T173" s="141">
        <v>1200000000</v>
      </c>
      <c r="U173" s="141">
        <v>14557105485</v>
      </c>
      <c r="V173" s="143">
        <v>7.6156118973903036E-2</v>
      </c>
      <c r="W173" s="141">
        <v>0</v>
      </c>
      <c r="X173" s="141">
        <v>1200000000</v>
      </c>
      <c r="Y173" s="143">
        <v>1</v>
      </c>
      <c r="Z173" s="141">
        <v>0</v>
      </c>
      <c r="AA173" s="141">
        <v>0</v>
      </c>
      <c r="AB173" s="724">
        <v>0</v>
      </c>
    </row>
    <row r="174" spans="1:28" ht="24.95" customHeight="1">
      <c r="A174" s="32" t="e">
        <v>#REF!</v>
      </c>
      <c r="B174" s="144" t="s">
        <v>534</v>
      </c>
      <c r="C174" s="145" t="s">
        <v>167</v>
      </c>
      <c r="D174" s="145" t="s">
        <v>190</v>
      </c>
      <c r="E174" s="145" t="s">
        <v>172</v>
      </c>
      <c r="F174" s="145" t="s">
        <v>217</v>
      </c>
      <c r="G174" s="145" t="s">
        <v>175</v>
      </c>
      <c r="H174" s="145" t="s">
        <v>221</v>
      </c>
      <c r="I174" s="145" t="s">
        <v>54</v>
      </c>
      <c r="J174" s="145">
        <v>13</v>
      </c>
      <c r="K174" s="146" t="s">
        <v>29</v>
      </c>
      <c r="L174" s="147" t="s">
        <v>178</v>
      </c>
      <c r="M174" s="148">
        <v>15757105485</v>
      </c>
      <c r="N174" s="148"/>
      <c r="O174" s="148"/>
      <c r="P174" s="148"/>
      <c r="Q174" s="148">
        <v>0</v>
      </c>
      <c r="R174" s="148">
        <v>0</v>
      </c>
      <c r="S174" s="148">
        <v>15757105485</v>
      </c>
      <c r="T174" s="148">
        <v>1200000000</v>
      </c>
      <c r="U174" s="148">
        <v>14557105485</v>
      </c>
      <c r="V174" s="150">
        <v>7.6156118973903036E-2</v>
      </c>
      <c r="W174" s="148">
        <v>0</v>
      </c>
      <c r="X174" s="148">
        <v>1200000000</v>
      </c>
      <c r="Y174" s="150">
        <v>1</v>
      </c>
      <c r="Z174" s="148">
        <v>0</v>
      </c>
      <c r="AA174" s="148">
        <v>0</v>
      </c>
      <c r="AB174" s="150">
        <v>0</v>
      </c>
    </row>
    <row r="175" spans="1:28" ht="32.25" customHeight="1">
      <c r="A175" s="32" t="e">
        <v>#REF!</v>
      </c>
      <c r="B175" s="138" t="s">
        <v>536</v>
      </c>
      <c r="C175" s="139" t="s">
        <v>167</v>
      </c>
      <c r="D175" s="139" t="s">
        <v>190</v>
      </c>
      <c r="E175" s="139" t="s">
        <v>172</v>
      </c>
      <c r="F175" s="139" t="s">
        <v>217</v>
      </c>
      <c r="G175" s="139" t="s">
        <v>175</v>
      </c>
      <c r="H175" s="139" t="s">
        <v>223</v>
      </c>
      <c r="I175" s="139"/>
      <c r="J175" s="139">
        <v>11</v>
      </c>
      <c r="K175" s="140" t="s">
        <v>29</v>
      </c>
      <c r="L175" s="140" t="s">
        <v>224</v>
      </c>
      <c r="M175" s="142">
        <v>0</v>
      </c>
      <c r="N175" s="141">
        <v>0</v>
      </c>
      <c r="O175" s="141">
        <v>0</v>
      </c>
      <c r="P175" s="141">
        <v>0</v>
      </c>
      <c r="Q175" s="142">
        <v>0</v>
      </c>
      <c r="R175" s="142">
        <v>0</v>
      </c>
      <c r="S175" s="141">
        <v>0</v>
      </c>
      <c r="T175" s="141">
        <v>0</v>
      </c>
      <c r="U175" s="141">
        <v>0</v>
      </c>
      <c r="V175" s="143">
        <v>0</v>
      </c>
      <c r="W175" s="141">
        <v>0</v>
      </c>
      <c r="X175" s="141">
        <v>0</v>
      </c>
      <c r="Y175" s="143">
        <v>0</v>
      </c>
      <c r="Z175" s="141">
        <v>0</v>
      </c>
      <c r="AA175" s="141">
        <v>0</v>
      </c>
      <c r="AB175" s="724">
        <v>0</v>
      </c>
    </row>
    <row r="176" spans="1:28" ht="24.95" customHeight="1">
      <c r="A176" s="32" t="e">
        <v>#REF!</v>
      </c>
      <c r="B176" s="144" t="s">
        <v>537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223</v>
      </c>
      <c r="I176" s="145" t="s">
        <v>54</v>
      </c>
      <c r="J176" s="145">
        <v>11</v>
      </c>
      <c r="K176" s="146" t="s">
        <v>29</v>
      </c>
      <c r="L176" s="147" t="s">
        <v>178</v>
      </c>
      <c r="M176" s="148"/>
      <c r="N176" s="148"/>
      <c r="O176" s="148"/>
      <c r="P176" s="148"/>
      <c r="Q176" s="148"/>
      <c r="R176" s="148"/>
      <c r="S176" s="148">
        <v>0</v>
      </c>
      <c r="T176" s="148"/>
      <c r="U176" s="148">
        <v>0</v>
      </c>
      <c r="V176" s="150">
        <v>0</v>
      </c>
      <c r="W176" s="148"/>
      <c r="X176" s="148">
        <v>0</v>
      </c>
      <c r="Y176" s="150">
        <v>0</v>
      </c>
      <c r="Z176" s="148"/>
      <c r="AA176" s="148">
        <v>0</v>
      </c>
      <c r="AB176" s="150">
        <v>0</v>
      </c>
    </row>
    <row r="177" spans="1:28" ht="24.95" customHeight="1">
      <c r="A177" s="32" t="e">
        <v>#REF!</v>
      </c>
      <c r="B177" s="144" t="s">
        <v>539</v>
      </c>
      <c r="C177" s="145" t="s">
        <v>167</v>
      </c>
      <c r="D177" s="145" t="s">
        <v>190</v>
      </c>
      <c r="E177" s="145" t="s">
        <v>172</v>
      </c>
      <c r="F177" s="145" t="s">
        <v>217</v>
      </c>
      <c r="G177" s="145" t="s">
        <v>175</v>
      </c>
      <c r="H177" s="145" t="s">
        <v>223</v>
      </c>
      <c r="I177" s="145" t="s">
        <v>65</v>
      </c>
      <c r="J177" s="145">
        <v>11</v>
      </c>
      <c r="K177" s="146" t="s">
        <v>29</v>
      </c>
      <c r="L177" s="147" t="s">
        <v>127</v>
      </c>
      <c r="M177" s="148"/>
      <c r="N177" s="148"/>
      <c r="O177" s="148"/>
      <c r="P177" s="148"/>
      <c r="Q177" s="148"/>
      <c r="R177" s="148"/>
      <c r="S177" s="148">
        <v>0</v>
      </c>
      <c r="T177" s="148"/>
      <c r="U177" s="148">
        <v>0</v>
      </c>
      <c r="V177" s="150">
        <v>0</v>
      </c>
      <c r="W177" s="148"/>
      <c r="X177" s="148">
        <v>0</v>
      </c>
      <c r="Y177" s="150">
        <v>0</v>
      </c>
      <c r="Z177" s="148"/>
      <c r="AA177" s="148">
        <v>0</v>
      </c>
      <c r="AB177" s="150">
        <v>0</v>
      </c>
    </row>
    <row r="178" spans="1:28" ht="32.25" customHeight="1">
      <c r="A178" s="32" t="e">
        <v>#REF!</v>
      </c>
      <c r="B178" s="138" t="s">
        <v>540</v>
      </c>
      <c r="C178" s="139" t="s">
        <v>167</v>
      </c>
      <c r="D178" s="139" t="s">
        <v>190</v>
      </c>
      <c r="E178" s="139" t="s">
        <v>172</v>
      </c>
      <c r="F178" s="139" t="s">
        <v>217</v>
      </c>
      <c r="G178" s="139" t="s">
        <v>175</v>
      </c>
      <c r="H178" s="139" t="s">
        <v>225</v>
      </c>
      <c r="I178" s="139"/>
      <c r="J178" s="139">
        <v>11</v>
      </c>
      <c r="K178" s="140" t="s">
        <v>29</v>
      </c>
      <c r="L178" s="140" t="s">
        <v>226</v>
      </c>
      <c r="M178" s="142">
        <v>0</v>
      </c>
      <c r="N178" s="142">
        <v>0</v>
      </c>
      <c r="O178" s="142">
        <v>0</v>
      </c>
      <c r="P178" s="141">
        <v>0</v>
      </c>
      <c r="Q178" s="142">
        <v>0</v>
      </c>
      <c r="R178" s="142">
        <v>0</v>
      </c>
      <c r="S178" s="141">
        <v>0</v>
      </c>
      <c r="T178" s="141">
        <v>0</v>
      </c>
      <c r="U178" s="141">
        <v>0</v>
      </c>
      <c r="V178" s="143">
        <v>0</v>
      </c>
      <c r="W178" s="141">
        <v>0</v>
      </c>
      <c r="X178" s="142">
        <v>0</v>
      </c>
      <c r="Y178" s="143">
        <v>0</v>
      </c>
      <c r="Z178" s="141">
        <v>0</v>
      </c>
      <c r="AA178" s="141">
        <v>0</v>
      </c>
      <c r="AB178" s="724">
        <v>0</v>
      </c>
    </row>
    <row r="179" spans="1:28" ht="24.95" customHeight="1">
      <c r="A179" s="32" t="e">
        <v>#REF!</v>
      </c>
      <c r="B179" s="144" t="s">
        <v>541</v>
      </c>
      <c r="C179" s="145" t="s">
        <v>167</v>
      </c>
      <c r="D179" s="145" t="s">
        <v>190</v>
      </c>
      <c r="E179" s="145" t="s">
        <v>172</v>
      </c>
      <c r="F179" s="145" t="s">
        <v>217</v>
      </c>
      <c r="G179" s="145" t="s">
        <v>175</v>
      </c>
      <c r="H179" s="145" t="s">
        <v>225</v>
      </c>
      <c r="I179" s="145" t="s">
        <v>54</v>
      </c>
      <c r="J179" s="145">
        <v>11</v>
      </c>
      <c r="K179" s="146" t="s">
        <v>29</v>
      </c>
      <c r="L179" s="147" t="s">
        <v>178</v>
      </c>
      <c r="M179" s="148"/>
      <c r="N179" s="148"/>
      <c r="O179" s="148"/>
      <c r="P179" s="148"/>
      <c r="Q179" s="148"/>
      <c r="R179" s="148"/>
      <c r="S179" s="148">
        <v>0</v>
      </c>
      <c r="T179" s="148"/>
      <c r="U179" s="148">
        <v>0</v>
      </c>
      <c r="V179" s="150">
        <v>0</v>
      </c>
      <c r="W179" s="148"/>
      <c r="X179" s="148">
        <v>0</v>
      </c>
      <c r="Y179" s="150">
        <v>0</v>
      </c>
      <c r="Z179" s="148"/>
      <c r="AA179" s="148">
        <v>0</v>
      </c>
      <c r="AB179" s="150">
        <v>0</v>
      </c>
    </row>
    <row r="180" spans="1:28" ht="41.25" customHeight="1">
      <c r="A180" s="32" t="e">
        <v>#REF!</v>
      </c>
      <c r="B180" s="132" t="s">
        <v>664</v>
      </c>
      <c r="C180" s="133" t="s">
        <v>167</v>
      </c>
      <c r="D180" s="133" t="s">
        <v>190</v>
      </c>
      <c r="E180" s="133" t="s">
        <v>172</v>
      </c>
      <c r="F180" s="133">
        <v>19</v>
      </c>
      <c r="G180" s="133"/>
      <c r="H180" s="133"/>
      <c r="I180" s="133"/>
      <c r="J180" s="133"/>
      <c r="K180" s="134"/>
      <c r="L180" s="134" t="s">
        <v>270</v>
      </c>
      <c r="M180" s="135">
        <v>12800000000</v>
      </c>
      <c r="N180" s="135">
        <v>5269349000</v>
      </c>
      <c r="O180" s="135">
        <v>0</v>
      </c>
      <c r="P180" s="135">
        <v>0</v>
      </c>
      <c r="Q180" s="135">
        <v>0</v>
      </c>
      <c r="R180" s="135">
        <v>0</v>
      </c>
      <c r="S180" s="135">
        <v>18069349000</v>
      </c>
      <c r="T180" s="135">
        <v>12330747420.290001</v>
      </c>
      <c r="U180" s="135">
        <v>5738601579.7099991</v>
      </c>
      <c r="V180" s="137">
        <v>0.68241237801594301</v>
      </c>
      <c r="W180" s="135">
        <v>2259520021.8400002</v>
      </c>
      <c r="X180" s="135">
        <v>10071227398.450001</v>
      </c>
      <c r="Y180" s="137">
        <v>0.81675725365017171</v>
      </c>
      <c r="Z180" s="135">
        <v>2095767950.8399999</v>
      </c>
      <c r="AA180" s="135">
        <v>163752071</v>
      </c>
      <c r="AB180" s="723">
        <v>0.16996276700887208</v>
      </c>
    </row>
    <row r="181" spans="1:28" ht="32.25" customHeight="1">
      <c r="A181" s="32" t="e">
        <v>#REF!</v>
      </c>
      <c r="B181" s="138" t="s">
        <v>666</v>
      </c>
      <c r="C181" s="139" t="s">
        <v>167</v>
      </c>
      <c r="D181" s="139" t="s">
        <v>190</v>
      </c>
      <c r="E181" s="139" t="s">
        <v>172</v>
      </c>
      <c r="F181" s="139">
        <v>19</v>
      </c>
      <c r="G181" s="139" t="s">
        <v>175</v>
      </c>
      <c r="H181" s="139">
        <v>4103049</v>
      </c>
      <c r="I181" s="139"/>
      <c r="J181" s="139">
        <v>13</v>
      </c>
      <c r="K181" s="140" t="s">
        <v>29</v>
      </c>
      <c r="L181" s="140" t="s">
        <v>228</v>
      </c>
      <c r="M181" s="141">
        <v>321785352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1">
        <v>321785352</v>
      </c>
      <c r="T181" s="141">
        <v>284749332</v>
      </c>
      <c r="U181" s="141">
        <v>37036020</v>
      </c>
      <c r="V181" s="143">
        <v>0.88490458074051803</v>
      </c>
      <c r="W181" s="141">
        <v>167283477</v>
      </c>
      <c r="X181" s="141">
        <v>117465855</v>
      </c>
      <c r="Y181" s="143">
        <v>0.41252372455082703</v>
      </c>
      <c r="Z181" s="141">
        <v>167283477</v>
      </c>
      <c r="AA181" s="141">
        <v>0</v>
      </c>
      <c r="AB181" s="724">
        <v>0.58747627544917291</v>
      </c>
    </row>
    <row r="182" spans="1:28" ht="24.95" customHeight="1">
      <c r="A182" s="32" t="e">
        <v>#REF!</v>
      </c>
      <c r="B182" s="144" t="s">
        <v>668</v>
      </c>
      <c r="C182" s="145" t="s">
        <v>167</v>
      </c>
      <c r="D182" s="145" t="s">
        <v>190</v>
      </c>
      <c r="E182" s="145" t="s">
        <v>172</v>
      </c>
      <c r="F182" s="145">
        <v>19</v>
      </c>
      <c r="G182" s="145" t="s">
        <v>175</v>
      </c>
      <c r="H182" s="145">
        <v>4103049</v>
      </c>
      <c r="I182" s="145" t="s">
        <v>54</v>
      </c>
      <c r="J182" s="145">
        <v>13</v>
      </c>
      <c r="K182" s="146" t="s">
        <v>29</v>
      </c>
      <c r="L182" s="147" t="s">
        <v>178</v>
      </c>
      <c r="M182" s="148">
        <v>321785352</v>
      </c>
      <c r="N182" s="148"/>
      <c r="O182" s="148"/>
      <c r="P182" s="148"/>
      <c r="Q182" s="148">
        <v>0</v>
      </c>
      <c r="R182" s="148">
        <v>0</v>
      </c>
      <c r="S182" s="148">
        <v>321785352</v>
      </c>
      <c r="T182" s="148">
        <v>284749332</v>
      </c>
      <c r="U182" s="148">
        <v>37036020</v>
      </c>
      <c r="V182" s="150">
        <v>0.88490458074051803</v>
      </c>
      <c r="W182" s="148">
        <v>167283477</v>
      </c>
      <c r="X182" s="148">
        <v>117465855</v>
      </c>
      <c r="Y182" s="150">
        <v>0.41252372455082703</v>
      </c>
      <c r="Z182" s="148">
        <v>167283477</v>
      </c>
      <c r="AA182" s="148">
        <v>0</v>
      </c>
      <c r="AB182" s="150">
        <v>0.58747627544917291</v>
      </c>
    </row>
    <row r="183" spans="1:28" ht="32.25" customHeight="1">
      <c r="A183" s="32" t="e">
        <v>#REF!</v>
      </c>
      <c r="B183" s="138" t="s">
        <v>670</v>
      </c>
      <c r="C183" s="139" t="s">
        <v>167</v>
      </c>
      <c r="D183" s="139" t="s">
        <v>190</v>
      </c>
      <c r="E183" s="139" t="s">
        <v>172</v>
      </c>
      <c r="F183" s="139">
        <v>19</v>
      </c>
      <c r="G183" s="139" t="s">
        <v>175</v>
      </c>
      <c r="H183" s="139">
        <v>4103052</v>
      </c>
      <c r="I183" s="139"/>
      <c r="J183" s="139">
        <v>13</v>
      </c>
      <c r="K183" s="140" t="s">
        <v>29</v>
      </c>
      <c r="L183" s="140" t="s">
        <v>229</v>
      </c>
      <c r="M183" s="141">
        <v>12478214648</v>
      </c>
      <c r="N183" s="142">
        <v>0</v>
      </c>
      <c r="O183" s="142">
        <v>0</v>
      </c>
      <c r="P183" s="142">
        <v>0</v>
      </c>
      <c r="Q183" s="142">
        <v>0</v>
      </c>
      <c r="R183" s="142">
        <v>0</v>
      </c>
      <c r="S183" s="141">
        <v>12478214648</v>
      </c>
      <c r="T183" s="141">
        <v>12045998088.290001</v>
      </c>
      <c r="U183" s="141">
        <v>432216559.70999908</v>
      </c>
      <c r="V183" s="143">
        <v>0.96536230767762321</v>
      </c>
      <c r="W183" s="141">
        <v>2092236544.8399999</v>
      </c>
      <c r="X183" s="141">
        <v>9953761543.4500008</v>
      </c>
      <c r="Y183" s="143">
        <v>0.82631272813550605</v>
      </c>
      <c r="Z183" s="141">
        <v>1928484473.8399999</v>
      </c>
      <c r="AA183" s="141">
        <v>163752071</v>
      </c>
      <c r="AB183" s="724">
        <v>0.16009337372506252</v>
      </c>
    </row>
    <row r="184" spans="1:28" ht="24.95" customHeight="1">
      <c r="A184" s="32" t="e">
        <v>#REF!</v>
      </c>
      <c r="B184" s="144" t="s">
        <v>672</v>
      </c>
      <c r="C184" s="145" t="s">
        <v>167</v>
      </c>
      <c r="D184" s="145" t="s">
        <v>190</v>
      </c>
      <c r="E184" s="145" t="s">
        <v>172</v>
      </c>
      <c r="F184" s="145">
        <v>19</v>
      </c>
      <c r="G184" s="145" t="s">
        <v>175</v>
      </c>
      <c r="H184" s="145">
        <v>4103052</v>
      </c>
      <c r="I184" s="145" t="s">
        <v>54</v>
      </c>
      <c r="J184" s="145">
        <v>13</v>
      </c>
      <c r="K184" s="146" t="s">
        <v>29</v>
      </c>
      <c r="L184" s="147" t="s">
        <v>178</v>
      </c>
      <c r="M184" s="148">
        <v>12478214648</v>
      </c>
      <c r="N184" s="148"/>
      <c r="O184" s="148"/>
      <c r="P184" s="148"/>
      <c r="Q184" s="148">
        <v>0</v>
      </c>
      <c r="R184" s="148">
        <v>0</v>
      </c>
      <c r="S184" s="148">
        <v>12478214648</v>
      </c>
      <c r="T184" s="148">
        <v>12045998088.290001</v>
      </c>
      <c r="U184" s="148">
        <v>432216559.70999908</v>
      </c>
      <c r="V184" s="150">
        <v>0.96536230767762321</v>
      </c>
      <c r="W184" s="148">
        <v>2092236544.8399999</v>
      </c>
      <c r="X184" s="148">
        <v>9953761543.4500008</v>
      </c>
      <c r="Y184" s="150">
        <v>0.82631272813550605</v>
      </c>
      <c r="Z184" s="148">
        <v>1928484473.8399999</v>
      </c>
      <c r="AA184" s="148">
        <v>163752071</v>
      </c>
      <c r="AB184" s="150">
        <v>0.16009337372506252</v>
      </c>
    </row>
    <row r="185" spans="1:28" ht="32.25" customHeight="1">
      <c r="A185" s="32" t="e">
        <v>#REF!</v>
      </c>
      <c r="B185" s="138" t="s">
        <v>930</v>
      </c>
      <c r="C185" s="139" t="s">
        <v>167</v>
      </c>
      <c r="D185" s="139" t="s">
        <v>190</v>
      </c>
      <c r="E185" s="139" t="s">
        <v>172</v>
      </c>
      <c r="F185" s="139">
        <v>19</v>
      </c>
      <c r="G185" s="139"/>
      <c r="H185" s="139"/>
      <c r="I185" s="139"/>
      <c r="J185" s="139">
        <v>15</v>
      </c>
      <c r="K185" s="140" t="s">
        <v>29</v>
      </c>
      <c r="L185" s="140" t="s">
        <v>857</v>
      </c>
      <c r="M185" s="141">
        <v>0</v>
      </c>
      <c r="N185" s="141">
        <v>5269349000</v>
      </c>
      <c r="O185" s="142">
        <v>0</v>
      </c>
      <c r="P185" s="142">
        <v>0</v>
      </c>
      <c r="Q185" s="142">
        <v>0</v>
      </c>
      <c r="R185" s="142">
        <v>0</v>
      </c>
      <c r="S185" s="141">
        <v>5269349000</v>
      </c>
      <c r="T185" s="141">
        <v>0</v>
      </c>
      <c r="U185" s="141">
        <v>5269349000</v>
      </c>
      <c r="V185" s="143">
        <v>0</v>
      </c>
      <c r="W185" s="141">
        <v>0</v>
      </c>
      <c r="X185" s="141">
        <v>0</v>
      </c>
      <c r="Y185" s="143">
        <v>0</v>
      </c>
      <c r="Z185" s="141">
        <v>0</v>
      </c>
      <c r="AA185" s="141">
        <v>0</v>
      </c>
      <c r="AB185" s="724">
        <v>0</v>
      </c>
    </row>
    <row r="186" spans="1:28" ht="24.95" customHeight="1">
      <c r="A186" s="32" t="e">
        <v>#REF!</v>
      </c>
      <c r="B186" s="144" t="s">
        <v>931</v>
      </c>
      <c r="C186" s="145" t="s">
        <v>167</v>
      </c>
      <c r="D186" s="145" t="s">
        <v>190</v>
      </c>
      <c r="E186" s="145" t="s">
        <v>172</v>
      </c>
      <c r="F186" s="145">
        <v>19</v>
      </c>
      <c r="G186" s="145"/>
      <c r="H186" s="145"/>
      <c r="I186" s="145"/>
      <c r="J186" s="145">
        <v>15</v>
      </c>
      <c r="K186" s="146" t="s">
        <v>29</v>
      </c>
      <c r="L186" s="147" t="s">
        <v>857</v>
      </c>
      <c r="M186" s="148"/>
      <c r="N186" s="148">
        <v>5269349000</v>
      </c>
      <c r="O186" s="148"/>
      <c r="P186" s="148"/>
      <c r="Q186" s="148">
        <v>0</v>
      </c>
      <c r="R186" s="148">
        <v>0</v>
      </c>
      <c r="S186" s="148">
        <v>5269349000</v>
      </c>
      <c r="T186" s="148">
        <v>0</v>
      </c>
      <c r="U186" s="148">
        <v>5269349000</v>
      </c>
      <c r="V186" s="150">
        <v>0</v>
      </c>
      <c r="W186" s="148"/>
      <c r="X186" s="148">
        <v>0</v>
      </c>
      <c r="Y186" s="150">
        <v>0</v>
      </c>
      <c r="Z186" s="148"/>
      <c r="AA186" s="148">
        <v>0</v>
      </c>
      <c r="AB186" s="150">
        <v>0</v>
      </c>
    </row>
    <row r="187" spans="1:28" ht="49.5" customHeight="1">
      <c r="A187" s="32" t="e">
        <v>#REF!</v>
      </c>
      <c r="B187" s="132" t="s">
        <v>678</v>
      </c>
      <c r="C187" s="133" t="s">
        <v>167</v>
      </c>
      <c r="D187" s="133" t="s">
        <v>190</v>
      </c>
      <c r="E187" s="133" t="s">
        <v>172</v>
      </c>
      <c r="F187" s="133">
        <v>20</v>
      </c>
      <c r="G187" s="133"/>
      <c r="H187" s="133"/>
      <c r="I187" s="133"/>
      <c r="J187" s="133"/>
      <c r="K187" s="134"/>
      <c r="L187" s="134" t="s">
        <v>271</v>
      </c>
      <c r="M187" s="135">
        <v>839954000000</v>
      </c>
      <c r="N187" s="136">
        <v>0</v>
      </c>
      <c r="O187" s="136">
        <v>0</v>
      </c>
      <c r="P187" s="135">
        <v>185554780.13999999</v>
      </c>
      <c r="Q187" s="135">
        <v>185554780.13999999</v>
      </c>
      <c r="R187" s="136">
        <v>0</v>
      </c>
      <c r="S187" s="135">
        <v>839954000000</v>
      </c>
      <c r="T187" s="135">
        <v>505873455933.32001</v>
      </c>
      <c r="U187" s="135">
        <v>334080544066.67999</v>
      </c>
      <c r="V187" s="137">
        <v>0.60226328576722055</v>
      </c>
      <c r="W187" s="135">
        <v>461870540428.23999</v>
      </c>
      <c r="X187" s="135">
        <v>44002915505.080002</v>
      </c>
      <c r="Y187" s="137">
        <v>8.6984037191467301E-2</v>
      </c>
      <c r="Z187" s="135">
        <v>428030871713.23999</v>
      </c>
      <c r="AA187" s="135">
        <v>33839668715</v>
      </c>
      <c r="AB187" s="723">
        <v>0.84612241795438148</v>
      </c>
    </row>
    <row r="188" spans="1:28" ht="32.25" customHeight="1">
      <c r="A188" s="32" t="e">
        <v>#REF!</v>
      </c>
      <c r="B188" s="138" t="s">
        <v>680</v>
      </c>
      <c r="C188" s="139" t="s">
        <v>167</v>
      </c>
      <c r="D188" s="139" t="s">
        <v>190</v>
      </c>
      <c r="E188" s="139" t="s">
        <v>172</v>
      </c>
      <c r="F188" s="139">
        <v>20</v>
      </c>
      <c r="G188" s="139" t="s">
        <v>175</v>
      </c>
      <c r="H188" s="139">
        <v>4103061</v>
      </c>
      <c r="I188" s="139"/>
      <c r="J188" s="139">
        <v>11</v>
      </c>
      <c r="K188" s="140" t="s">
        <v>29</v>
      </c>
      <c r="L188" s="140" t="s">
        <v>231</v>
      </c>
      <c r="M188" s="141">
        <v>839954000000</v>
      </c>
      <c r="N188" s="142">
        <v>0</v>
      </c>
      <c r="O188" s="142">
        <v>0</v>
      </c>
      <c r="P188" s="141">
        <v>185554780.13999999</v>
      </c>
      <c r="Q188" s="141">
        <v>185554780.13999999</v>
      </c>
      <c r="R188" s="142">
        <v>0</v>
      </c>
      <c r="S188" s="141">
        <v>839954000000</v>
      </c>
      <c r="T188" s="141">
        <v>505873455933.32001</v>
      </c>
      <c r="U188" s="141">
        <v>334080544066.67999</v>
      </c>
      <c r="V188" s="143">
        <v>0.60226328576722055</v>
      </c>
      <c r="W188" s="141">
        <v>461870540428.23999</v>
      </c>
      <c r="X188" s="141">
        <v>44002915505.080002</v>
      </c>
      <c r="Y188" s="143">
        <v>8.6984037191467301E-2</v>
      </c>
      <c r="Z188" s="141">
        <v>428030871713.23999</v>
      </c>
      <c r="AA188" s="141">
        <v>33839668715</v>
      </c>
      <c r="AB188" s="724">
        <v>0.84612241795438148</v>
      </c>
    </row>
    <row r="189" spans="1:28" ht="24.95" customHeight="1">
      <c r="A189" s="32" t="e">
        <v>#REF!</v>
      </c>
      <c r="B189" s="144" t="s">
        <v>682</v>
      </c>
      <c r="C189" s="145" t="s">
        <v>167</v>
      </c>
      <c r="D189" s="145" t="s">
        <v>190</v>
      </c>
      <c r="E189" s="145" t="s">
        <v>172</v>
      </c>
      <c r="F189" s="145">
        <v>20</v>
      </c>
      <c r="G189" s="145" t="s">
        <v>175</v>
      </c>
      <c r="H189" s="145">
        <v>4103061</v>
      </c>
      <c r="I189" s="145" t="s">
        <v>54</v>
      </c>
      <c r="J189" s="145">
        <v>11</v>
      </c>
      <c r="K189" s="146" t="s">
        <v>29</v>
      </c>
      <c r="L189" s="147" t="s">
        <v>178</v>
      </c>
      <c r="M189" s="148">
        <v>34318600300</v>
      </c>
      <c r="N189" s="148"/>
      <c r="O189" s="148"/>
      <c r="P189" s="148">
        <v>185554780.13999999</v>
      </c>
      <c r="Q189" s="148">
        <v>0</v>
      </c>
      <c r="R189" s="148">
        <v>0</v>
      </c>
      <c r="S189" s="148">
        <v>34504155080.139999</v>
      </c>
      <c r="T189" s="148">
        <v>25873455933.32</v>
      </c>
      <c r="U189" s="148">
        <v>8630699146.8199997</v>
      </c>
      <c r="V189" s="150">
        <v>0.74986493288202027</v>
      </c>
      <c r="W189" s="148">
        <v>803984428.24000001</v>
      </c>
      <c r="X189" s="148">
        <v>25069471505.079998</v>
      </c>
      <c r="Y189" s="150">
        <v>0.9689262837437721</v>
      </c>
      <c r="Z189" s="148">
        <v>800171713.24000001</v>
      </c>
      <c r="AA189" s="148">
        <v>3812715</v>
      </c>
      <c r="AB189" s="150">
        <v>3.0926356158302526E-2</v>
      </c>
    </row>
    <row r="190" spans="1:28" ht="24.95" customHeight="1">
      <c r="A190" s="32" t="e">
        <v>#REF!</v>
      </c>
      <c r="B190" s="144" t="s">
        <v>684</v>
      </c>
      <c r="C190" s="145" t="s">
        <v>167</v>
      </c>
      <c r="D190" s="145" t="s">
        <v>190</v>
      </c>
      <c r="E190" s="145" t="s">
        <v>172</v>
      </c>
      <c r="F190" s="145">
        <v>20</v>
      </c>
      <c r="G190" s="145" t="s">
        <v>175</v>
      </c>
      <c r="H190" s="145">
        <v>4103061</v>
      </c>
      <c r="I190" s="145" t="s">
        <v>65</v>
      </c>
      <c r="J190" s="145">
        <v>11</v>
      </c>
      <c r="K190" s="146" t="s">
        <v>29</v>
      </c>
      <c r="L190" s="147" t="s">
        <v>127</v>
      </c>
      <c r="M190" s="148">
        <v>318915399700</v>
      </c>
      <c r="N190" s="148"/>
      <c r="O190" s="148"/>
      <c r="P190" s="148"/>
      <c r="Q190" s="148">
        <v>185554780.13999999</v>
      </c>
      <c r="R190" s="148">
        <v>0</v>
      </c>
      <c r="S190" s="148">
        <v>318729844919.85999</v>
      </c>
      <c r="T190" s="148">
        <v>160000000000</v>
      </c>
      <c r="U190" s="148">
        <v>158729844919.85999</v>
      </c>
      <c r="V190" s="150">
        <v>0.50199252611637202</v>
      </c>
      <c r="W190" s="148">
        <v>141066556000</v>
      </c>
      <c r="X190" s="148">
        <v>18933444000</v>
      </c>
      <c r="Y190" s="150">
        <v>0.118334025</v>
      </c>
      <c r="Z190" s="148">
        <v>108831948000</v>
      </c>
      <c r="AA190" s="148">
        <v>32234608000</v>
      </c>
      <c r="AB190" s="150">
        <v>0.680199675</v>
      </c>
    </row>
    <row r="191" spans="1:28" ht="24.95" customHeight="1">
      <c r="A191" s="32" t="e">
        <v>#REF!</v>
      </c>
      <c r="B191" s="144" t="s">
        <v>684</v>
      </c>
      <c r="C191" s="145" t="s">
        <v>167</v>
      </c>
      <c r="D191" s="145" t="s">
        <v>190</v>
      </c>
      <c r="E191" s="145" t="s">
        <v>172</v>
      </c>
      <c r="F191" s="145">
        <v>20</v>
      </c>
      <c r="G191" s="145" t="s">
        <v>175</v>
      </c>
      <c r="H191" s="145">
        <v>4103061</v>
      </c>
      <c r="I191" s="145" t="s">
        <v>65</v>
      </c>
      <c r="J191" s="145">
        <v>13</v>
      </c>
      <c r="K191" s="146" t="s">
        <v>29</v>
      </c>
      <c r="L191" s="147" t="s">
        <v>127</v>
      </c>
      <c r="M191" s="148">
        <v>486720000000</v>
      </c>
      <c r="N191" s="148"/>
      <c r="O191" s="148"/>
      <c r="P191" s="148"/>
      <c r="Q191" s="148">
        <v>0</v>
      </c>
      <c r="R191" s="148">
        <v>0</v>
      </c>
      <c r="S191" s="148">
        <v>486720000000</v>
      </c>
      <c r="T191" s="148">
        <v>320000000000</v>
      </c>
      <c r="U191" s="148">
        <v>166720000000</v>
      </c>
      <c r="V191" s="150">
        <v>0.65746219592373434</v>
      </c>
      <c r="W191" s="148">
        <v>320000000000</v>
      </c>
      <c r="X191" s="148">
        <v>0</v>
      </c>
      <c r="Y191" s="150">
        <v>0</v>
      </c>
      <c r="Z191" s="148">
        <v>318398752000</v>
      </c>
      <c r="AA191" s="148">
        <v>1601248000</v>
      </c>
      <c r="AB191" s="150">
        <v>0.99499610000000005</v>
      </c>
    </row>
    <row r="192" spans="1:28" ht="42" customHeight="1">
      <c r="A192" s="32" t="e">
        <v>#REF!</v>
      </c>
      <c r="B192" s="132" t="s">
        <v>692</v>
      </c>
      <c r="C192" s="133" t="s">
        <v>167</v>
      </c>
      <c r="D192" s="133">
        <v>4103</v>
      </c>
      <c r="E192" s="133" t="s">
        <v>172</v>
      </c>
      <c r="F192" s="133">
        <v>21</v>
      </c>
      <c r="G192" s="133"/>
      <c r="H192" s="133"/>
      <c r="I192" s="133"/>
      <c r="J192" s="133"/>
      <c r="K192" s="134"/>
      <c r="L192" s="134" t="s">
        <v>272</v>
      </c>
      <c r="M192" s="135">
        <v>25750000000</v>
      </c>
      <c r="N192" s="136">
        <v>0</v>
      </c>
      <c r="O192" s="136">
        <v>0</v>
      </c>
      <c r="P192" s="136">
        <v>0</v>
      </c>
      <c r="Q192" s="136">
        <v>0</v>
      </c>
      <c r="R192" s="136">
        <v>0</v>
      </c>
      <c r="S192" s="135">
        <v>25750000000</v>
      </c>
      <c r="T192" s="135">
        <v>24134115154</v>
      </c>
      <c r="U192" s="135">
        <v>1615884846</v>
      </c>
      <c r="V192" s="137">
        <v>0.93724719044660199</v>
      </c>
      <c r="W192" s="135">
        <v>15204429215</v>
      </c>
      <c r="X192" s="135">
        <v>8929685939</v>
      </c>
      <c r="Y192" s="137">
        <v>0.37000262416996005</v>
      </c>
      <c r="Z192" s="135">
        <v>15146374874</v>
      </c>
      <c r="AA192" s="135">
        <v>58054341</v>
      </c>
      <c r="AB192" s="723">
        <v>0.62759188714195024</v>
      </c>
    </row>
    <row r="193" spans="1:28" ht="32.25" customHeight="1">
      <c r="A193" s="32" t="e">
        <v>#REF!</v>
      </c>
      <c r="B193" s="138" t="s">
        <v>693</v>
      </c>
      <c r="C193" s="139" t="s">
        <v>167</v>
      </c>
      <c r="D193" s="139">
        <v>4103</v>
      </c>
      <c r="E193" s="139" t="s">
        <v>172</v>
      </c>
      <c r="F193" s="139">
        <v>21</v>
      </c>
      <c r="G193" s="139" t="s">
        <v>175</v>
      </c>
      <c r="H193" s="139" t="s">
        <v>219</v>
      </c>
      <c r="I193" s="139"/>
      <c r="J193" s="139">
        <v>13</v>
      </c>
      <c r="K193" s="140" t="s">
        <v>29</v>
      </c>
      <c r="L193" s="140" t="s">
        <v>233</v>
      </c>
      <c r="M193" s="141">
        <v>1870782718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1">
        <v>1870782718</v>
      </c>
      <c r="T193" s="141">
        <v>1779672321</v>
      </c>
      <c r="U193" s="141">
        <v>91110397</v>
      </c>
      <c r="V193" s="143">
        <v>0.95129824745366287</v>
      </c>
      <c r="W193" s="141">
        <v>1748337412</v>
      </c>
      <c r="X193" s="141">
        <v>31334909</v>
      </c>
      <c r="Y193" s="143">
        <v>1.7607122744030135E-2</v>
      </c>
      <c r="Z193" s="141">
        <v>1748337412</v>
      </c>
      <c r="AA193" s="141">
        <v>0</v>
      </c>
      <c r="AB193" s="724">
        <v>0.98239287725596991</v>
      </c>
    </row>
    <row r="194" spans="1:28" ht="24.95" customHeight="1">
      <c r="A194" s="32" t="e">
        <v>#REF!</v>
      </c>
      <c r="B194" s="144" t="s">
        <v>694</v>
      </c>
      <c r="C194" s="145" t="s">
        <v>167</v>
      </c>
      <c r="D194" s="145">
        <v>4103</v>
      </c>
      <c r="E194" s="145" t="s">
        <v>172</v>
      </c>
      <c r="F194" s="145">
        <v>21</v>
      </c>
      <c r="G194" s="145" t="s">
        <v>175</v>
      </c>
      <c r="H194" s="145" t="s">
        <v>219</v>
      </c>
      <c r="I194" s="145" t="s">
        <v>54</v>
      </c>
      <c r="J194" s="145">
        <v>13</v>
      </c>
      <c r="K194" s="146" t="s">
        <v>29</v>
      </c>
      <c r="L194" s="147" t="s">
        <v>178</v>
      </c>
      <c r="M194" s="148">
        <v>1870782718</v>
      </c>
      <c r="N194" s="148"/>
      <c r="O194" s="148"/>
      <c r="P194" s="148"/>
      <c r="Q194" s="148">
        <v>0</v>
      </c>
      <c r="R194" s="148">
        <v>0</v>
      </c>
      <c r="S194" s="148">
        <v>1870782718</v>
      </c>
      <c r="T194" s="148">
        <v>1779672321</v>
      </c>
      <c r="U194" s="148">
        <v>91110397</v>
      </c>
      <c r="V194" s="150">
        <v>0.95129824745366287</v>
      </c>
      <c r="W194" s="148">
        <v>1748337412</v>
      </c>
      <c r="X194" s="148">
        <v>31334909</v>
      </c>
      <c r="Y194" s="150">
        <v>1.7607122744030135E-2</v>
      </c>
      <c r="Z194" s="148">
        <v>1748337412</v>
      </c>
      <c r="AA194" s="148">
        <v>0</v>
      </c>
      <c r="AB194" s="150">
        <v>0.98239287725596991</v>
      </c>
    </row>
    <row r="195" spans="1:28" ht="32.25" customHeight="1">
      <c r="A195" s="32" t="e">
        <v>#REF!</v>
      </c>
      <c r="B195" s="138" t="s">
        <v>695</v>
      </c>
      <c r="C195" s="139" t="s">
        <v>167</v>
      </c>
      <c r="D195" s="139">
        <v>4103</v>
      </c>
      <c r="E195" s="139" t="s">
        <v>172</v>
      </c>
      <c r="F195" s="139">
        <v>21</v>
      </c>
      <c r="G195" s="139" t="s">
        <v>175</v>
      </c>
      <c r="H195" s="139" t="s">
        <v>234</v>
      </c>
      <c r="I195" s="139"/>
      <c r="J195" s="139">
        <v>13</v>
      </c>
      <c r="K195" s="140" t="s">
        <v>29</v>
      </c>
      <c r="L195" s="140" t="s">
        <v>235</v>
      </c>
      <c r="M195" s="141">
        <v>1237528721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1">
        <v>1237528721</v>
      </c>
      <c r="T195" s="141">
        <v>1177258904</v>
      </c>
      <c r="U195" s="141">
        <v>60269817</v>
      </c>
      <c r="V195" s="143">
        <v>0.95129824788931105</v>
      </c>
      <c r="W195" s="141">
        <v>1156530762</v>
      </c>
      <c r="X195" s="142">
        <v>20728142</v>
      </c>
      <c r="Y195" s="143">
        <v>1.7607122723448096E-2</v>
      </c>
      <c r="Z195" s="141">
        <v>1156530762</v>
      </c>
      <c r="AA195" s="141">
        <v>0</v>
      </c>
      <c r="AB195" s="724">
        <v>0.98239287727655189</v>
      </c>
    </row>
    <row r="196" spans="1:28" ht="24.95" customHeight="1">
      <c r="A196" s="32" t="e">
        <v>#REF!</v>
      </c>
      <c r="B196" s="144" t="s">
        <v>696</v>
      </c>
      <c r="C196" s="145" t="s">
        <v>167</v>
      </c>
      <c r="D196" s="145">
        <v>4103</v>
      </c>
      <c r="E196" s="145" t="s">
        <v>172</v>
      </c>
      <c r="F196" s="145">
        <v>21</v>
      </c>
      <c r="G196" s="145" t="s">
        <v>175</v>
      </c>
      <c r="H196" s="145" t="s">
        <v>234</v>
      </c>
      <c r="I196" s="145" t="s">
        <v>54</v>
      </c>
      <c r="J196" s="145">
        <v>13</v>
      </c>
      <c r="K196" s="146" t="s">
        <v>29</v>
      </c>
      <c r="L196" s="147" t="s">
        <v>178</v>
      </c>
      <c r="M196" s="148">
        <v>1237528721</v>
      </c>
      <c r="N196" s="148"/>
      <c r="O196" s="148"/>
      <c r="P196" s="148"/>
      <c r="Q196" s="148">
        <v>0</v>
      </c>
      <c r="R196" s="148">
        <v>0</v>
      </c>
      <c r="S196" s="148">
        <v>1237528721</v>
      </c>
      <c r="T196" s="148">
        <v>1177258904</v>
      </c>
      <c r="U196" s="148">
        <v>60269817</v>
      </c>
      <c r="V196" s="150">
        <v>0.95129824788931105</v>
      </c>
      <c r="W196" s="148">
        <v>1156530762</v>
      </c>
      <c r="X196" s="148">
        <v>20728142</v>
      </c>
      <c r="Y196" s="150">
        <v>1.7607122723448096E-2</v>
      </c>
      <c r="Z196" s="148">
        <v>1156530762</v>
      </c>
      <c r="AA196" s="148">
        <v>0</v>
      </c>
      <c r="AB196" s="150">
        <v>0.98239287727655189</v>
      </c>
    </row>
    <row r="197" spans="1:28" ht="32.25" customHeight="1">
      <c r="A197" s="32" t="e">
        <v>#REF!</v>
      </c>
      <c r="B197" s="138" t="s">
        <v>697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197</v>
      </c>
      <c r="I197" s="139"/>
      <c r="J197" s="139">
        <v>13</v>
      </c>
      <c r="K197" s="140" t="s">
        <v>29</v>
      </c>
      <c r="L197" s="140" t="s">
        <v>236</v>
      </c>
      <c r="M197" s="141">
        <v>1178285948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1">
        <v>1178285948</v>
      </c>
      <c r="T197" s="141">
        <v>1120901355</v>
      </c>
      <c r="U197" s="141">
        <v>57384593</v>
      </c>
      <c r="V197" s="143">
        <v>0.95129824547479025</v>
      </c>
      <c r="W197" s="141">
        <v>1101165508</v>
      </c>
      <c r="X197" s="141">
        <v>19735847</v>
      </c>
      <c r="Y197" s="143">
        <v>1.7607122082567202E-2</v>
      </c>
      <c r="Z197" s="141">
        <v>1101165508</v>
      </c>
      <c r="AA197" s="141">
        <v>0</v>
      </c>
      <c r="AB197" s="724">
        <v>0.98239287791743279</v>
      </c>
    </row>
    <row r="198" spans="1:28" ht="24.95" customHeight="1">
      <c r="A198" s="32" t="e">
        <v>#REF!</v>
      </c>
      <c r="B198" s="144" t="s">
        <v>698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197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1178285948</v>
      </c>
      <c r="N198" s="148"/>
      <c r="O198" s="148"/>
      <c r="P198" s="148"/>
      <c r="Q198" s="148">
        <v>0</v>
      </c>
      <c r="R198" s="148">
        <v>0</v>
      </c>
      <c r="S198" s="148">
        <v>1178285948</v>
      </c>
      <c r="T198" s="148">
        <v>1120901355</v>
      </c>
      <c r="U198" s="148">
        <v>57384593</v>
      </c>
      <c r="V198" s="150">
        <v>0.95129824547479025</v>
      </c>
      <c r="W198" s="148">
        <v>1101165508</v>
      </c>
      <c r="X198" s="148">
        <v>19735847</v>
      </c>
      <c r="Y198" s="150">
        <v>1.7607122082567202E-2</v>
      </c>
      <c r="Z198" s="148">
        <v>1101165508</v>
      </c>
      <c r="AA198" s="148">
        <v>0</v>
      </c>
      <c r="AB198" s="150">
        <v>0.98239287791743279</v>
      </c>
    </row>
    <row r="199" spans="1:28" ht="32.25" customHeight="1">
      <c r="A199" s="32" t="e">
        <v>#REF!</v>
      </c>
      <c r="B199" s="138" t="s">
        <v>699</v>
      </c>
      <c r="C199" s="139" t="s">
        <v>167</v>
      </c>
      <c r="D199" s="139">
        <v>4103</v>
      </c>
      <c r="E199" s="139" t="s">
        <v>172</v>
      </c>
      <c r="F199" s="139">
        <v>21</v>
      </c>
      <c r="G199" s="139" t="s">
        <v>175</v>
      </c>
      <c r="H199" s="139" t="s">
        <v>203</v>
      </c>
      <c r="I199" s="139"/>
      <c r="J199" s="139">
        <v>13</v>
      </c>
      <c r="K199" s="140" t="s">
        <v>29</v>
      </c>
      <c r="L199" s="140" t="s">
        <v>237</v>
      </c>
      <c r="M199" s="141">
        <v>5017014439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1">
        <v>5017014439</v>
      </c>
      <c r="T199" s="141">
        <v>4772677041</v>
      </c>
      <c r="U199" s="141">
        <v>244337398</v>
      </c>
      <c r="V199" s="143">
        <v>0.95129824700111854</v>
      </c>
      <c r="W199" s="141">
        <v>4690946979</v>
      </c>
      <c r="X199" s="141">
        <v>81730062</v>
      </c>
      <c r="Y199" s="143">
        <v>1.7124574174596868E-2</v>
      </c>
      <c r="Z199" s="141">
        <v>4690946979</v>
      </c>
      <c r="AA199" s="141">
        <v>0</v>
      </c>
      <c r="AB199" s="724">
        <v>0.9828754258254031</v>
      </c>
    </row>
    <row r="200" spans="1:28" ht="24.95" customHeight="1">
      <c r="A200" s="32" t="e">
        <v>#REF!</v>
      </c>
      <c r="B200" s="144" t="s">
        <v>700</v>
      </c>
      <c r="C200" s="145" t="s">
        <v>167</v>
      </c>
      <c r="D200" s="145">
        <v>4103</v>
      </c>
      <c r="E200" s="145" t="s">
        <v>172</v>
      </c>
      <c r="F200" s="145">
        <v>21</v>
      </c>
      <c r="G200" s="145" t="s">
        <v>175</v>
      </c>
      <c r="H200" s="145" t="s">
        <v>203</v>
      </c>
      <c r="I200" s="145" t="s">
        <v>54</v>
      </c>
      <c r="J200" s="145">
        <v>13</v>
      </c>
      <c r="K200" s="146" t="s">
        <v>29</v>
      </c>
      <c r="L200" s="147" t="s">
        <v>178</v>
      </c>
      <c r="M200" s="148">
        <v>5017014439</v>
      </c>
      <c r="N200" s="148"/>
      <c r="O200" s="148"/>
      <c r="P200" s="148"/>
      <c r="Q200" s="148">
        <v>0</v>
      </c>
      <c r="R200" s="148">
        <v>0</v>
      </c>
      <c r="S200" s="148">
        <v>5017014439</v>
      </c>
      <c r="T200" s="148">
        <v>4772677041</v>
      </c>
      <c r="U200" s="148">
        <v>244337398</v>
      </c>
      <c r="V200" s="150">
        <v>0.95129824700111854</v>
      </c>
      <c r="W200" s="148">
        <v>4690946979</v>
      </c>
      <c r="X200" s="148">
        <v>81730062</v>
      </c>
      <c r="Y200" s="150">
        <v>1.7124574174596868E-2</v>
      </c>
      <c r="Z200" s="148">
        <v>4690946979</v>
      </c>
      <c r="AA200" s="148">
        <v>0</v>
      </c>
      <c r="AB200" s="150">
        <v>0.9828754258254031</v>
      </c>
    </row>
    <row r="201" spans="1:28" ht="32.25" customHeight="1">
      <c r="A201" s="32" t="e">
        <v>#REF!</v>
      </c>
      <c r="B201" s="138" t="s">
        <v>701</v>
      </c>
      <c r="C201" s="139" t="s">
        <v>167</v>
      </c>
      <c r="D201" s="139">
        <v>4103</v>
      </c>
      <c r="E201" s="139" t="s">
        <v>172</v>
      </c>
      <c r="F201" s="139">
        <v>21</v>
      </c>
      <c r="G201" s="139" t="s">
        <v>175</v>
      </c>
      <c r="H201" s="139" t="s">
        <v>223</v>
      </c>
      <c r="I201" s="139"/>
      <c r="J201" s="139">
        <v>13</v>
      </c>
      <c r="K201" s="140" t="s">
        <v>29</v>
      </c>
      <c r="L201" s="140" t="s">
        <v>238</v>
      </c>
      <c r="M201" s="141">
        <v>16446388174</v>
      </c>
      <c r="N201" s="142">
        <v>0</v>
      </c>
      <c r="O201" s="142">
        <v>0</v>
      </c>
      <c r="P201" s="142">
        <v>0</v>
      </c>
      <c r="Q201" s="142">
        <v>0</v>
      </c>
      <c r="R201" s="142">
        <v>0</v>
      </c>
      <c r="S201" s="141">
        <v>16446388174</v>
      </c>
      <c r="T201" s="141">
        <v>15283605533</v>
      </c>
      <c r="U201" s="141">
        <v>1162782641</v>
      </c>
      <c r="V201" s="143">
        <v>0.92929860169309175</v>
      </c>
      <c r="W201" s="141">
        <v>6507448554</v>
      </c>
      <c r="X201" s="141">
        <v>8776156979</v>
      </c>
      <c r="Y201" s="143">
        <v>0.5742203277918112</v>
      </c>
      <c r="Z201" s="141">
        <v>6449394213</v>
      </c>
      <c r="AA201" s="141">
        <v>58054341</v>
      </c>
      <c r="AB201" s="724">
        <v>0.42198120064500622</v>
      </c>
    </row>
    <row r="202" spans="1:28" ht="24.95" customHeight="1">
      <c r="A202" s="32" t="e">
        <v>#REF!</v>
      </c>
      <c r="B202" s="144" t="s">
        <v>702</v>
      </c>
      <c r="C202" s="145" t="s">
        <v>167</v>
      </c>
      <c r="D202" s="145">
        <v>4103</v>
      </c>
      <c r="E202" s="145" t="s">
        <v>172</v>
      </c>
      <c r="F202" s="145">
        <v>21</v>
      </c>
      <c r="G202" s="145" t="s">
        <v>175</v>
      </c>
      <c r="H202" s="145" t="s">
        <v>223</v>
      </c>
      <c r="I202" s="145" t="s">
        <v>54</v>
      </c>
      <c r="J202" s="145">
        <v>13</v>
      </c>
      <c r="K202" s="146" t="s">
        <v>29</v>
      </c>
      <c r="L202" s="147" t="s">
        <v>178</v>
      </c>
      <c r="M202" s="148">
        <v>16446388174</v>
      </c>
      <c r="N202" s="148"/>
      <c r="O202" s="148"/>
      <c r="P202" s="148"/>
      <c r="Q202" s="148">
        <v>0</v>
      </c>
      <c r="R202" s="148">
        <v>0</v>
      </c>
      <c r="S202" s="148">
        <v>16446388174</v>
      </c>
      <c r="T202" s="148">
        <v>15283605533</v>
      </c>
      <c r="U202" s="148">
        <v>1162782641</v>
      </c>
      <c r="V202" s="150">
        <v>0.92929860169309175</v>
      </c>
      <c r="W202" s="148">
        <v>6507448554</v>
      </c>
      <c r="X202" s="148">
        <v>8776156979</v>
      </c>
      <c r="Y202" s="150">
        <v>0.5742203277918112</v>
      </c>
      <c r="Z202" s="148">
        <v>6449394213</v>
      </c>
      <c r="AA202" s="148">
        <v>58054341</v>
      </c>
      <c r="AB202" s="150">
        <v>0.42198120064500622</v>
      </c>
    </row>
    <row r="203" spans="1:28" ht="49.5" customHeight="1">
      <c r="A203" s="32" t="e">
        <v>#REF!</v>
      </c>
      <c r="B203" s="132" t="s">
        <v>704</v>
      </c>
      <c r="C203" s="133" t="s">
        <v>167</v>
      </c>
      <c r="D203" s="133">
        <v>4103</v>
      </c>
      <c r="E203" s="133" t="s">
        <v>172</v>
      </c>
      <c r="F203" s="133">
        <v>22</v>
      </c>
      <c r="G203" s="133"/>
      <c r="H203" s="133"/>
      <c r="I203" s="133"/>
      <c r="J203" s="133"/>
      <c r="K203" s="134"/>
      <c r="L203" s="134" t="s">
        <v>239</v>
      </c>
      <c r="M203" s="135">
        <v>167533000000</v>
      </c>
      <c r="N203" s="136">
        <v>0</v>
      </c>
      <c r="O203" s="136">
        <v>0</v>
      </c>
      <c r="P203" s="135">
        <v>7157479331</v>
      </c>
      <c r="Q203" s="135">
        <v>7157479331</v>
      </c>
      <c r="R203" s="136">
        <v>0</v>
      </c>
      <c r="S203" s="135">
        <v>167533000000</v>
      </c>
      <c r="T203" s="135">
        <v>134737941230</v>
      </c>
      <c r="U203" s="135">
        <v>32795058770</v>
      </c>
      <c r="V203" s="137">
        <v>0.80424717058728723</v>
      </c>
      <c r="W203" s="135">
        <v>79606734473</v>
      </c>
      <c r="X203" s="135">
        <v>55131206757</v>
      </c>
      <c r="Y203" s="137">
        <v>0.40917358728889941</v>
      </c>
      <c r="Z203" s="135">
        <v>79530469063</v>
      </c>
      <c r="AA203" s="135">
        <v>76265410</v>
      </c>
      <c r="AB203" s="723">
        <v>0.59026038498866562</v>
      </c>
    </row>
    <row r="204" spans="1:28" ht="32.25" customHeight="1">
      <c r="A204" s="32" t="e">
        <v>#REF!</v>
      </c>
      <c r="B204" s="138" t="s">
        <v>705</v>
      </c>
      <c r="C204" s="139" t="s">
        <v>167</v>
      </c>
      <c r="D204" s="139">
        <v>4103</v>
      </c>
      <c r="E204" s="139" t="s">
        <v>172</v>
      </c>
      <c r="F204" s="139">
        <v>22</v>
      </c>
      <c r="G204" s="139" t="s">
        <v>175</v>
      </c>
      <c r="H204" s="139" t="s">
        <v>219</v>
      </c>
      <c r="I204" s="139"/>
      <c r="J204" s="139">
        <v>13</v>
      </c>
      <c r="K204" s="140" t="s">
        <v>29</v>
      </c>
      <c r="L204" s="140" t="s">
        <v>240</v>
      </c>
      <c r="M204" s="141">
        <v>5834100502</v>
      </c>
      <c r="N204" s="142">
        <v>0</v>
      </c>
      <c r="O204" s="142">
        <v>0</v>
      </c>
      <c r="P204" s="141">
        <v>602123589</v>
      </c>
      <c r="Q204" s="142">
        <v>0</v>
      </c>
      <c r="R204" s="142">
        <v>0</v>
      </c>
      <c r="S204" s="141">
        <v>6436224091</v>
      </c>
      <c r="T204" s="141">
        <v>3919643191</v>
      </c>
      <c r="U204" s="141">
        <v>2516580900</v>
      </c>
      <c r="V204" s="143">
        <v>0.60899731513092836</v>
      </c>
      <c r="W204" s="141">
        <v>2873911460</v>
      </c>
      <c r="X204" s="141">
        <v>1045731731</v>
      </c>
      <c r="Y204" s="143">
        <v>0.2667925829068149</v>
      </c>
      <c r="Z204" s="141">
        <v>2873911460</v>
      </c>
      <c r="AA204" s="141">
        <v>0</v>
      </c>
      <c r="AB204" s="724">
        <v>0.73320741709318515</v>
      </c>
    </row>
    <row r="205" spans="1:28" ht="24.95" customHeight="1">
      <c r="A205" s="32" t="e">
        <v>#REF!</v>
      </c>
      <c r="B205" s="144" t="s">
        <v>706</v>
      </c>
      <c r="C205" s="145" t="s">
        <v>167</v>
      </c>
      <c r="D205" s="145">
        <v>4103</v>
      </c>
      <c r="E205" s="145" t="s">
        <v>172</v>
      </c>
      <c r="F205" s="145">
        <v>22</v>
      </c>
      <c r="G205" s="145" t="s">
        <v>175</v>
      </c>
      <c r="H205" s="145" t="s">
        <v>219</v>
      </c>
      <c r="I205" s="145" t="s">
        <v>54</v>
      </c>
      <c r="J205" s="145">
        <v>13</v>
      </c>
      <c r="K205" s="146" t="s">
        <v>29</v>
      </c>
      <c r="L205" s="147" t="s">
        <v>178</v>
      </c>
      <c r="M205" s="148">
        <v>5834100502</v>
      </c>
      <c r="N205" s="148"/>
      <c r="O205" s="148"/>
      <c r="P205" s="148">
        <v>602123589</v>
      </c>
      <c r="Q205" s="148">
        <v>0</v>
      </c>
      <c r="R205" s="148">
        <v>0</v>
      </c>
      <c r="S205" s="148">
        <v>6436224091</v>
      </c>
      <c r="T205" s="148">
        <v>3919643191</v>
      </c>
      <c r="U205" s="148">
        <v>2516580900</v>
      </c>
      <c r="V205" s="150">
        <v>0.60899731513092836</v>
      </c>
      <c r="W205" s="148">
        <v>2873911460</v>
      </c>
      <c r="X205" s="148">
        <v>1045731731</v>
      </c>
      <c r="Y205" s="150">
        <v>0.2667925829068149</v>
      </c>
      <c r="Z205" s="148">
        <v>2873911460</v>
      </c>
      <c r="AA205" s="148">
        <v>0</v>
      </c>
      <c r="AB205" s="150">
        <v>0.73320741709318515</v>
      </c>
    </row>
    <row r="206" spans="1:28" ht="32.25" customHeight="1">
      <c r="A206" s="32" t="e">
        <v>#REF!</v>
      </c>
      <c r="B206" s="138" t="s">
        <v>707</v>
      </c>
      <c r="C206" s="139" t="s">
        <v>167</v>
      </c>
      <c r="D206" s="139">
        <v>4103</v>
      </c>
      <c r="E206" s="139" t="s">
        <v>172</v>
      </c>
      <c r="F206" s="139">
        <v>22</v>
      </c>
      <c r="G206" s="139" t="s">
        <v>175</v>
      </c>
      <c r="H206" s="139" t="s">
        <v>234</v>
      </c>
      <c r="I206" s="139"/>
      <c r="J206" s="139">
        <v>13</v>
      </c>
      <c r="K206" s="140" t="s">
        <v>29</v>
      </c>
      <c r="L206" s="140" t="s">
        <v>241</v>
      </c>
      <c r="M206" s="141">
        <v>21263252053</v>
      </c>
      <c r="N206" s="142">
        <v>0</v>
      </c>
      <c r="O206" s="142">
        <v>0</v>
      </c>
      <c r="P206" s="141">
        <v>96431225</v>
      </c>
      <c r="Q206" s="142">
        <v>0</v>
      </c>
      <c r="R206" s="142">
        <v>0</v>
      </c>
      <c r="S206" s="141">
        <v>21359683278</v>
      </c>
      <c r="T206" s="141">
        <v>17919558020</v>
      </c>
      <c r="U206" s="141">
        <v>3440125258</v>
      </c>
      <c r="V206" s="143">
        <v>0.83894305860128304</v>
      </c>
      <c r="W206" s="141">
        <v>0</v>
      </c>
      <c r="X206" s="141">
        <v>17919558020</v>
      </c>
      <c r="Y206" s="143">
        <v>1</v>
      </c>
      <c r="Z206" s="141">
        <v>0</v>
      </c>
      <c r="AA206" s="141">
        <v>0</v>
      </c>
      <c r="AB206" s="724">
        <v>0</v>
      </c>
    </row>
    <row r="207" spans="1:28" ht="24.95" customHeight="1">
      <c r="A207" s="32" t="e">
        <v>#REF!</v>
      </c>
      <c r="B207" s="144" t="s">
        <v>708</v>
      </c>
      <c r="C207" s="145" t="s">
        <v>167</v>
      </c>
      <c r="D207" s="145">
        <v>4103</v>
      </c>
      <c r="E207" s="145" t="s">
        <v>172</v>
      </c>
      <c r="F207" s="145">
        <v>22</v>
      </c>
      <c r="G207" s="145" t="s">
        <v>175</v>
      </c>
      <c r="H207" s="145" t="s">
        <v>234</v>
      </c>
      <c r="I207" s="145" t="s">
        <v>54</v>
      </c>
      <c r="J207" s="145">
        <v>13</v>
      </c>
      <c r="K207" s="146" t="s">
        <v>29</v>
      </c>
      <c r="L207" s="147" t="s">
        <v>178</v>
      </c>
      <c r="M207" s="148">
        <v>21263252053</v>
      </c>
      <c r="N207" s="148"/>
      <c r="O207" s="148"/>
      <c r="P207" s="148">
        <v>96431225</v>
      </c>
      <c r="Q207" s="148">
        <v>0</v>
      </c>
      <c r="R207" s="148">
        <v>0</v>
      </c>
      <c r="S207" s="148">
        <v>21359683278</v>
      </c>
      <c r="T207" s="148">
        <v>17919558020</v>
      </c>
      <c r="U207" s="148">
        <v>3440125258</v>
      </c>
      <c r="V207" s="150">
        <v>0.83894305860128304</v>
      </c>
      <c r="W207" s="148">
        <v>0</v>
      </c>
      <c r="X207" s="148">
        <v>17919558020</v>
      </c>
      <c r="Y207" s="150">
        <v>1</v>
      </c>
      <c r="Z207" s="148">
        <v>0</v>
      </c>
      <c r="AA207" s="148">
        <v>0</v>
      </c>
      <c r="AB207" s="150">
        <v>0</v>
      </c>
    </row>
    <row r="208" spans="1:28" ht="32.25" customHeight="1">
      <c r="A208" s="32" t="e">
        <v>#REF!</v>
      </c>
      <c r="B208" s="138" t="s">
        <v>710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>
        <v>4103051</v>
      </c>
      <c r="I208" s="139"/>
      <c r="J208" s="139">
        <v>13</v>
      </c>
      <c r="K208" s="140" t="s">
        <v>29</v>
      </c>
      <c r="L208" s="140" t="s">
        <v>242</v>
      </c>
      <c r="M208" s="141">
        <v>5191519285</v>
      </c>
      <c r="N208" s="142">
        <v>0</v>
      </c>
      <c r="O208" s="142">
        <v>0</v>
      </c>
      <c r="P208" s="141">
        <v>2580334552</v>
      </c>
      <c r="Q208" s="142">
        <v>0</v>
      </c>
      <c r="R208" s="142">
        <v>0</v>
      </c>
      <c r="S208" s="141">
        <v>7771853837</v>
      </c>
      <c r="T208" s="141">
        <v>3945310447</v>
      </c>
      <c r="U208" s="141">
        <v>3826543390</v>
      </c>
      <c r="V208" s="143">
        <v>0.50764084473865023</v>
      </c>
      <c r="W208" s="141">
        <v>1926558212</v>
      </c>
      <c r="X208" s="141">
        <v>2018752235</v>
      </c>
      <c r="Y208" s="143">
        <v>0.51168400107399714</v>
      </c>
      <c r="Z208" s="141">
        <v>1926558212</v>
      </c>
      <c r="AA208" s="141">
        <v>0</v>
      </c>
      <c r="AB208" s="724">
        <v>0.48831599892600291</v>
      </c>
    </row>
    <row r="209" spans="1:28" ht="24.95" customHeight="1">
      <c r="A209" s="32" t="e">
        <v>#REF!</v>
      </c>
      <c r="B209" s="144" t="s">
        <v>711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>
        <v>4103051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5191519285</v>
      </c>
      <c r="N209" s="148"/>
      <c r="O209" s="148"/>
      <c r="P209" s="148">
        <v>2580334552</v>
      </c>
      <c r="Q209" s="148">
        <v>0</v>
      </c>
      <c r="R209" s="148">
        <v>0</v>
      </c>
      <c r="S209" s="148">
        <v>7771853837</v>
      </c>
      <c r="T209" s="148">
        <v>3945310447</v>
      </c>
      <c r="U209" s="148">
        <v>3826543390</v>
      </c>
      <c r="V209" s="150">
        <v>0.50764084473865023</v>
      </c>
      <c r="W209" s="148">
        <v>1926558212</v>
      </c>
      <c r="X209" s="148">
        <v>2018752235</v>
      </c>
      <c r="Y209" s="150">
        <v>0.51168400107399714</v>
      </c>
      <c r="Z209" s="148">
        <v>1926558212</v>
      </c>
      <c r="AA209" s="148">
        <v>0</v>
      </c>
      <c r="AB209" s="150">
        <v>0.48831599892600291</v>
      </c>
    </row>
    <row r="210" spans="1:28" ht="32.25" customHeight="1">
      <c r="A210" s="32" t="e">
        <v>#REF!</v>
      </c>
      <c r="B210" s="138" t="s">
        <v>712</v>
      </c>
      <c r="C210" s="139" t="s">
        <v>167</v>
      </c>
      <c r="D210" s="139">
        <v>4103</v>
      </c>
      <c r="E210" s="139" t="s">
        <v>172</v>
      </c>
      <c r="F210" s="139">
        <v>22</v>
      </c>
      <c r="G210" s="139" t="s">
        <v>175</v>
      </c>
      <c r="H210" s="139">
        <v>4103055</v>
      </c>
      <c r="I210" s="139"/>
      <c r="J210" s="139">
        <v>13</v>
      </c>
      <c r="K210" s="140" t="s">
        <v>29</v>
      </c>
      <c r="L210" s="140" t="s">
        <v>243</v>
      </c>
      <c r="M210" s="141">
        <v>7874924941</v>
      </c>
      <c r="N210" s="142">
        <v>0</v>
      </c>
      <c r="O210" s="142">
        <v>0</v>
      </c>
      <c r="P210" s="142">
        <v>0</v>
      </c>
      <c r="Q210" s="141">
        <v>6943207485</v>
      </c>
      <c r="R210" s="142">
        <v>0</v>
      </c>
      <c r="S210" s="141">
        <v>931717456</v>
      </c>
      <c r="T210" s="141">
        <v>894550970</v>
      </c>
      <c r="U210" s="141">
        <v>37166486</v>
      </c>
      <c r="V210" s="143">
        <v>0.96010970304285037</v>
      </c>
      <c r="W210" s="141">
        <v>673983821</v>
      </c>
      <c r="X210" s="141">
        <v>220567149</v>
      </c>
      <c r="Y210" s="143">
        <v>0.24656744712936815</v>
      </c>
      <c r="Z210" s="141">
        <v>673983821</v>
      </c>
      <c r="AA210" s="141">
        <v>0</v>
      </c>
      <c r="AB210" s="724">
        <v>0.75343255287063182</v>
      </c>
    </row>
    <row r="211" spans="1:28" ht="24.95" customHeight="1">
      <c r="A211" s="32" t="e">
        <v>#REF!</v>
      </c>
      <c r="B211" s="144" t="s">
        <v>713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203</v>
      </c>
      <c r="I211" s="145" t="s">
        <v>54</v>
      </c>
      <c r="J211" s="145">
        <v>13</v>
      </c>
      <c r="K211" s="146" t="s">
        <v>29</v>
      </c>
      <c r="L211" s="147" t="s">
        <v>178</v>
      </c>
      <c r="M211" s="148">
        <v>7874924941</v>
      </c>
      <c r="N211" s="148"/>
      <c r="O211" s="148"/>
      <c r="P211" s="148"/>
      <c r="Q211" s="148">
        <v>6943207485</v>
      </c>
      <c r="R211" s="148">
        <v>0</v>
      </c>
      <c r="S211" s="148">
        <v>931717456</v>
      </c>
      <c r="T211" s="148">
        <v>894550970</v>
      </c>
      <c r="U211" s="148">
        <v>37166486</v>
      </c>
      <c r="V211" s="150">
        <v>0.96010970304285037</v>
      </c>
      <c r="W211" s="148">
        <v>673983821</v>
      </c>
      <c r="X211" s="148">
        <v>220567149</v>
      </c>
      <c r="Y211" s="150">
        <v>0.24656744712936815</v>
      </c>
      <c r="Z211" s="148">
        <v>673983821</v>
      </c>
      <c r="AA211" s="148">
        <v>0</v>
      </c>
      <c r="AB211" s="150">
        <v>0.75343255287063182</v>
      </c>
    </row>
    <row r="212" spans="1:28" ht="32.25" customHeight="1">
      <c r="A212" s="32" t="e">
        <v>#REF!</v>
      </c>
      <c r="B212" s="138" t="s">
        <v>715</v>
      </c>
      <c r="C212" s="139" t="s">
        <v>167</v>
      </c>
      <c r="D212" s="139">
        <v>4103</v>
      </c>
      <c r="E212" s="139" t="s">
        <v>172</v>
      </c>
      <c r="F212" s="139">
        <v>22</v>
      </c>
      <c r="G212" s="139" t="s">
        <v>175</v>
      </c>
      <c r="H212" s="139">
        <v>4103057</v>
      </c>
      <c r="I212" s="139"/>
      <c r="J212" s="139">
        <v>13</v>
      </c>
      <c r="K212" s="140" t="s">
        <v>29</v>
      </c>
      <c r="L212" s="140" t="s">
        <v>244</v>
      </c>
      <c r="M212" s="141">
        <v>64906595848</v>
      </c>
      <c r="N212" s="142">
        <v>0</v>
      </c>
      <c r="O212" s="142">
        <v>0</v>
      </c>
      <c r="P212" s="142">
        <v>0</v>
      </c>
      <c r="Q212" s="141">
        <v>214271846</v>
      </c>
      <c r="R212" s="142">
        <v>0</v>
      </c>
      <c r="S212" s="141">
        <v>64692324002</v>
      </c>
      <c r="T212" s="141">
        <v>63979326195</v>
      </c>
      <c r="U212" s="141">
        <v>712997807</v>
      </c>
      <c r="V212" s="143">
        <v>0.98897863358598836</v>
      </c>
      <c r="W212" s="141">
        <v>58204078778</v>
      </c>
      <c r="X212" s="141">
        <v>5775247417</v>
      </c>
      <c r="Y212" s="143">
        <v>9.0267399806585283E-2</v>
      </c>
      <c r="Z212" s="141">
        <v>58127813368</v>
      </c>
      <c r="AA212" s="141">
        <v>76265410</v>
      </c>
      <c r="AB212" s="724">
        <v>0.9085405681021802</v>
      </c>
    </row>
    <row r="213" spans="1:28" ht="24.95" customHeight="1">
      <c r="A213" s="32" t="e">
        <v>#REF!</v>
      </c>
      <c r="B213" s="144" t="s">
        <v>716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 t="s">
        <v>221</v>
      </c>
      <c r="I213" s="145" t="s">
        <v>54</v>
      </c>
      <c r="J213" s="145">
        <v>13</v>
      </c>
      <c r="K213" s="146" t="s">
        <v>29</v>
      </c>
      <c r="L213" s="147" t="s">
        <v>178</v>
      </c>
      <c r="M213" s="148">
        <v>4796601848</v>
      </c>
      <c r="N213" s="148"/>
      <c r="O213" s="148"/>
      <c r="P213" s="148"/>
      <c r="Q213" s="148">
        <v>214271846</v>
      </c>
      <c r="R213" s="148">
        <v>0</v>
      </c>
      <c r="S213" s="148">
        <v>4582330002</v>
      </c>
      <c r="T213" s="148">
        <v>3869332195</v>
      </c>
      <c r="U213" s="148">
        <v>712997807</v>
      </c>
      <c r="V213" s="150">
        <v>0.84440278053112594</v>
      </c>
      <c r="W213" s="148">
        <v>1593146778</v>
      </c>
      <c r="X213" s="148">
        <v>2276185417</v>
      </c>
      <c r="Y213" s="150">
        <v>0.5882631168089717</v>
      </c>
      <c r="Z213" s="148">
        <v>1516881368</v>
      </c>
      <c r="AA213" s="148">
        <v>76265410</v>
      </c>
      <c r="AB213" s="150">
        <v>0.39202665771631945</v>
      </c>
    </row>
    <row r="214" spans="1:28" ht="24.95" customHeight="1">
      <c r="A214" s="32" t="e">
        <v>#REF!</v>
      </c>
      <c r="B214" s="144" t="s">
        <v>717</v>
      </c>
      <c r="C214" s="145" t="s">
        <v>167</v>
      </c>
      <c r="D214" s="145">
        <v>4103</v>
      </c>
      <c r="E214" s="145" t="s">
        <v>172</v>
      </c>
      <c r="F214" s="145">
        <v>22</v>
      </c>
      <c r="G214" s="145" t="s">
        <v>175</v>
      </c>
      <c r="H214" s="145" t="s">
        <v>221</v>
      </c>
      <c r="I214" s="145" t="s">
        <v>65</v>
      </c>
      <c r="J214" s="145">
        <v>13</v>
      </c>
      <c r="K214" s="146" t="s">
        <v>29</v>
      </c>
      <c r="L214" s="147" t="s">
        <v>127</v>
      </c>
      <c r="M214" s="148">
        <v>60109994000</v>
      </c>
      <c r="N214" s="148"/>
      <c r="O214" s="148"/>
      <c r="P214" s="148"/>
      <c r="Q214" s="148">
        <v>0</v>
      </c>
      <c r="R214" s="148">
        <v>0</v>
      </c>
      <c r="S214" s="148">
        <v>60109994000</v>
      </c>
      <c r="T214" s="148">
        <v>60109994000</v>
      </c>
      <c r="U214" s="148">
        <v>0</v>
      </c>
      <c r="V214" s="150">
        <v>1</v>
      </c>
      <c r="W214" s="148">
        <v>56610932000</v>
      </c>
      <c r="X214" s="148">
        <v>3499062000</v>
      </c>
      <c r="Y214" s="150">
        <v>5.8210985680683981E-2</v>
      </c>
      <c r="Z214" s="148">
        <v>56610932000</v>
      </c>
      <c r="AA214" s="148">
        <v>0</v>
      </c>
      <c r="AB214" s="150">
        <v>0.94178901431931605</v>
      </c>
    </row>
    <row r="215" spans="1:28" ht="32.25" customHeight="1">
      <c r="A215" s="32" t="e">
        <v>#REF!</v>
      </c>
      <c r="B215" s="138" t="s">
        <v>718</v>
      </c>
      <c r="C215" s="139" t="s">
        <v>167</v>
      </c>
      <c r="D215" s="139">
        <v>4103</v>
      </c>
      <c r="E215" s="139" t="s">
        <v>172</v>
      </c>
      <c r="F215" s="139">
        <v>22</v>
      </c>
      <c r="G215" s="139" t="s">
        <v>175</v>
      </c>
      <c r="H215" s="139">
        <v>4103062</v>
      </c>
      <c r="I215" s="139"/>
      <c r="J215" s="139">
        <v>13</v>
      </c>
      <c r="K215" s="140" t="s">
        <v>29</v>
      </c>
      <c r="L215" s="140" t="s">
        <v>245</v>
      </c>
      <c r="M215" s="141">
        <v>62462607371</v>
      </c>
      <c r="N215" s="142">
        <v>0</v>
      </c>
      <c r="O215" s="142">
        <v>0</v>
      </c>
      <c r="P215" s="141">
        <v>3878589965</v>
      </c>
      <c r="Q215" s="142">
        <v>0</v>
      </c>
      <c r="R215" s="142">
        <v>0</v>
      </c>
      <c r="S215" s="141">
        <v>66341197336</v>
      </c>
      <c r="T215" s="141">
        <v>44079552407</v>
      </c>
      <c r="U215" s="141">
        <v>22261644929</v>
      </c>
      <c r="V215" s="143">
        <v>0.66443709455150679</v>
      </c>
      <c r="W215" s="141">
        <v>15928202202</v>
      </c>
      <c r="X215" s="142">
        <v>28151350205</v>
      </c>
      <c r="Y215" s="143">
        <v>0.63864873093696517</v>
      </c>
      <c r="Z215" s="141">
        <v>15928202202</v>
      </c>
      <c r="AA215" s="141">
        <v>0</v>
      </c>
      <c r="AB215" s="724">
        <v>0.36135126906303477</v>
      </c>
    </row>
    <row r="216" spans="1:28" ht="24.95" customHeight="1">
      <c r="A216" s="32" t="e">
        <v>#REF!</v>
      </c>
      <c r="B216" s="144" t="s">
        <v>719</v>
      </c>
      <c r="C216" s="145" t="s">
        <v>167</v>
      </c>
      <c r="D216" s="145">
        <v>4103</v>
      </c>
      <c r="E216" s="145" t="s">
        <v>172</v>
      </c>
      <c r="F216" s="145">
        <v>22</v>
      </c>
      <c r="G216" s="145" t="s">
        <v>175</v>
      </c>
      <c r="H216" s="145" t="s">
        <v>246</v>
      </c>
      <c r="I216" s="145" t="s">
        <v>54</v>
      </c>
      <c r="J216" s="145">
        <v>13</v>
      </c>
      <c r="K216" s="146" t="s">
        <v>29</v>
      </c>
      <c r="L216" s="147" t="s">
        <v>178</v>
      </c>
      <c r="M216" s="148">
        <v>6064335371</v>
      </c>
      <c r="N216" s="148"/>
      <c r="O216" s="148"/>
      <c r="P216" s="148">
        <v>981739965</v>
      </c>
      <c r="Q216" s="148">
        <v>0</v>
      </c>
      <c r="R216" s="148">
        <v>0</v>
      </c>
      <c r="S216" s="148">
        <v>7046075336</v>
      </c>
      <c r="T216" s="148">
        <v>4249430407</v>
      </c>
      <c r="U216" s="148">
        <v>2796644929</v>
      </c>
      <c r="V216" s="150">
        <v>0.60309182124248584</v>
      </c>
      <c r="W216" s="148">
        <v>1078577202</v>
      </c>
      <c r="X216" s="148">
        <v>3170853205</v>
      </c>
      <c r="Y216" s="150">
        <v>0.74618311192406361</v>
      </c>
      <c r="Z216" s="148">
        <v>1078577202</v>
      </c>
      <c r="AA216" s="148">
        <v>0</v>
      </c>
      <c r="AB216" s="150">
        <v>0.25381688807593644</v>
      </c>
    </row>
    <row r="217" spans="1:28" ht="24.95" customHeight="1">
      <c r="A217" s="32" t="e">
        <v>#REF!</v>
      </c>
      <c r="B217" s="144" t="s">
        <v>720</v>
      </c>
      <c r="C217" s="145" t="s">
        <v>167</v>
      </c>
      <c r="D217" s="145">
        <v>4103</v>
      </c>
      <c r="E217" s="145" t="s">
        <v>172</v>
      </c>
      <c r="F217" s="145">
        <v>22</v>
      </c>
      <c r="G217" s="145" t="s">
        <v>175</v>
      </c>
      <c r="H217" s="145" t="s">
        <v>246</v>
      </c>
      <c r="I217" s="145" t="s">
        <v>65</v>
      </c>
      <c r="J217" s="145">
        <v>13</v>
      </c>
      <c r="K217" s="146" t="s">
        <v>29</v>
      </c>
      <c r="L217" s="147" t="s">
        <v>127</v>
      </c>
      <c r="M217" s="148">
        <v>56398272000</v>
      </c>
      <c r="N217" s="148"/>
      <c r="O217" s="148"/>
      <c r="P217" s="148">
        <v>2896850000</v>
      </c>
      <c r="Q217" s="148">
        <v>0</v>
      </c>
      <c r="R217" s="148">
        <v>0</v>
      </c>
      <c r="S217" s="148">
        <v>59295122000</v>
      </c>
      <c r="T217" s="148">
        <v>39830122000</v>
      </c>
      <c r="U217" s="148">
        <v>19465000000</v>
      </c>
      <c r="V217" s="150">
        <v>0.67172679061188201</v>
      </c>
      <c r="W217" s="148">
        <v>14849625000</v>
      </c>
      <c r="X217" s="148">
        <v>24980497000</v>
      </c>
      <c r="Y217" s="150">
        <v>0.6271760101563334</v>
      </c>
      <c r="Z217" s="148">
        <v>14849625000</v>
      </c>
      <c r="AA217" s="148">
        <v>0</v>
      </c>
      <c r="AB217" s="150">
        <v>0.37282398984366655</v>
      </c>
    </row>
    <row r="218" spans="1:28" ht="39.75" customHeight="1">
      <c r="A218" s="32"/>
      <c r="B218" s="132" t="s">
        <v>685</v>
      </c>
      <c r="C218" s="133" t="s">
        <v>167</v>
      </c>
      <c r="D218" s="133" t="s">
        <v>190</v>
      </c>
      <c r="E218" s="133" t="s">
        <v>172</v>
      </c>
      <c r="F218" s="133">
        <v>23</v>
      </c>
      <c r="G218" s="133"/>
      <c r="H218" s="133"/>
      <c r="I218" s="133"/>
      <c r="J218" s="133"/>
      <c r="K218" s="134"/>
      <c r="L218" s="134" t="s">
        <v>273</v>
      </c>
      <c r="M218" s="135">
        <v>1612279801419</v>
      </c>
      <c r="N218" s="136">
        <v>0</v>
      </c>
      <c r="O218" s="136">
        <v>0</v>
      </c>
      <c r="P218" s="135">
        <v>27826035802.349998</v>
      </c>
      <c r="Q218" s="135">
        <v>27826035802.349998</v>
      </c>
      <c r="R218" s="136">
        <v>0</v>
      </c>
      <c r="S218" s="135">
        <v>1612279801419</v>
      </c>
      <c r="T218" s="135">
        <v>737164547713.20996</v>
      </c>
      <c r="U218" s="135">
        <v>875115253705.79004</v>
      </c>
      <c r="V218" s="137">
        <v>0.45721874519820727</v>
      </c>
      <c r="W218" s="135">
        <v>694028715235</v>
      </c>
      <c r="X218" s="135">
        <v>43135832478.209999</v>
      </c>
      <c r="Y218" s="137">
        <v>5.8515880358087663E-2</v>
      </c>
      <c r="Z218" s="135">
        <v>693994644924</v>
      </c>
      <c r="AA218" s="135">
        <v>34070311</v>
      </c>
      <c r="AB218" s="723">
        <v>0.94143790158774021</v>
      </c>
    </row>
    <row r="219" spans="1:28" ht="32.25" customHeight="1">
      <c r="A219" s="32"/>
      <c r="B219" s="138" t="s">
        <v>721</v>
      </c>
      <c r="C219" s="139" t="s">
        <v>167</v>
      </c>
      <c r="D219" s="139" t="s">
        <v>190</v>
      </c>
      <c r="E219" s="139" t="s">
        <v>172</v>
      </c>
      <c r="F219" s="139">
        <v>23</v>
      </c>
      <c r="G219" s="139" t="s">
        <v>175</v>
      </c>
      <c r="H219" s="139">
        <v>4103065</v>
      </c>
      <c r="I219" s="139"/>
      <c r="J219" s="139">
        <v>11</v>
      </c>
      <c r="K219" s="140" t="s">
        <v>29</v>
      </c>
      <c r="L219" s="140" t="s">
        <v>248</v>
      </c>
      <c r="M219" s="141">
        <v>1612279801419</v>
      </c>
      <c r="N219" s="142">
        <v>0</v>
      </c>
      <c r="O219" s="142">
        <v>0</v>
      </c>
      <c r="P219" s="141">
        <v>27826035802.349998</v>
      </c>
      <c r="Q219" s="141">
        <v>27826035802.349998</v>
      </c>
      <c r="R219" s="142">
        <v>0</v>
      </c>
      <c r="S219" s="141">
        <v>1612279801419</v>
      </c>
      <c r="T219" s="141">
        <v>737164547713.20996</v>
      </c>
      <c r="U219" s="141">
        <v>875115253705.79004</v>
      </c>
      <c r="V219" s="143">
        <v>0.45721874519820727</v>
      </c>
      <c r="W219" s="141">
        <v>694028715235</v>
      </c>
      <c r="X219" s="141">
        <v>43135832478.209999</v>
      </c>
      <c r="Y219" s="143">
        <v>5.8515880358087663E-2</v>
      </c>
      <c r="Z219" s="141">
        <v>693994644924</v>
      </c>
      <c r="AA219" s="141">
        <v>34070311</v>
      </c>
      <c r="AB219" s="724">
        <v>0.94143790158774021</v>
      </c>
    </row>
    <row r="220" spans="1:28" ht="24.95" customHeight="1">
      <c r="A220" s="32"/>
      <c r="B220" s="144" t="s">
        <v>722</v>
      </c>
      <c r="C220" s="145" t="s">
        <v>167</v>
      </c>
      <c r="D220" s="145" t="s">
        <v>190</v>
      </c>
      <c r="E220" s="145" t="s">
        <v>172</v>
      </c>
      <c r="F220" s="145">
        <v>23</v>
      </c>
      <c r="G220" s="145" t="s">
        <v>175</v>
      </c>
      <c r="H220" s="145">
        <v>4103065</v>
      </c>
      <c r="I220" s="145" t="s">
        <v>54</v>
      </c>
      <c r="J220" s="145">
        <v>11</v>
      </c>
      <c r="K220" s="146" t="s">
        <v>29</v>
      </c>
      <c r="L220" s="147" t="s">
        <v>178</v>
      </c>
      <c r="M220" s="148">
        <v>54257058902</v>
      </c>
      <c r="N220" s="148"/>
      <c r="O220" s="148"/>
      <c r="P220" s="148">
        <v>27826035802.349998</v>
      </c>
      <c r="Q220" s="148">
        <v>0</v>
      </c>
      <c r="R220" s="148">
        <v>0</v>
      </c>
      <c r="S220" s="148">
        <v>82083094704.350006</v>
      </c>
      <c r="T220" s="148">
        <v>45430942713.209999</v>
      </c>
      <c r="U220" s="148">
        <v>36652151991.140007</v>
      </c>
      <c r="V220" s="150">
        <v>0.55347502280274508</v>
      </c>
      <c r="W220" s="148">
        <v>11287430235</v>
      </c>
      <c r="X220" s="148">
        <v>34143512478.209999</v>
      </c>
      <c r="Y220" s="150">
        <v>0.751547523320093</v>
      </c>
      <c r="Z220" s="148">
        <v>11253359924</v>
      </c>
      <c r="AA220" s="148">
        <v>34070311</v>
      </c>
      <c r="AB220" s="150">
        <v>0.24770254042577572</v>
      </c>
    </row>
    <row r="221" spans="1:28" ht="24.95" customHeight="1">
      <c r="A221" s="32"/>
      <c r="B221" s="144" t="s">
        <v>723</v>
      </c>
      <c r="C221" s="145" t="s">
        <v>167</v>
      </c>
      <c r="D221" s="145" t="s">
        <v>190</v>
      </c>
      <c r="E221" s="145" t="s">
        <v>172</v>
      </c>
      <c r="F221" s="145">
        <v>23</v>
      </c>
      <c r="G221" s="145" t="s">
        <v>175</v>
      </c>
      <c r="H221" s="145">
        <v>4103065</v>
      </c>
      <c r="I221" s="145" t="s">
        <v>65</v>
      </c>
      <c r="J221" s="145">
        <v>11</v>
      </c>
      <c r="K221" s="146" t="s">
        <v>29</v>
      </c>
      <c r="L221" s="147" t="s">
        <v>127</v>
      </c>
      <c r="M221" s="148">
        <v>725205645648</v>
      </c>
      <c r="N221" s="148"/>
      <c r="O221" s="148"/>
      <c r="P221" s="148"/>
      <c r="Q221" s="148">
        <v>27826035802.349998</v>
      </c>
      <c r="R221" s="148">
        <v>0</v>
      </c>
      <c r="S221" s="148">
        <v>697379609845.65002</v>
      </c>
      <c r="T221" s="148">
        <v>647634415814</v>
      </c>
      <c r="U221" s="148">
        <v>49745194031.650024</v>
      </c>
      <c r="V221" s="150">
        <v>0.92866841340161921</v>
      </c>
      <c r="W221" s="148">
        <v>638642095814</v>
      </c>
      <c r="X221" s="148">
        <v>8992320000</v>
      </c>
      <c r="Y221" s="150">
        <v>1.3884870507843095E-2</v>
      </c>
      <c r="Z221" s="148">
        <v>638642095814</v>
      </c>
      <c r="AA221" s="148">
        <v>0</v>
      </c>
      <c r="AB221" s="150">
        <v>0.98611512949215696</v>
      </c>
    </row>
    <row r="222" spans="1:28" ht="24.95" customHeight="1">
      <c r="A222" s="32"/>
      <c r="B222" s="144" t="s">
        <v>723</v>
      </c>
      <c r="C222" s="145" t="s">
        <v>167</v>
      </c>
      <c r="D222" s="145" t="s">
        <v>190</v>
      </c>
      <c r="E222" s="145" t="s">
        <v>172</v>
      </c>
      <c r="F222" s="145">
        <v>23</v>
      </c>
      <c r="G222" s="145" t="s">
        <v>175</v>
      </c>
      <c r="H222" s="145">
        <v>4103065</v>
      </c>
      <c r="I222" s="145" t="s">
        <v>65</v>
      </c>
      <c r="J222" s="145">
        <v>13</v>
      </c>
      <c r="K222" s="146" t="s">
        <v>29</v>
      </c>
      <c r="L222" s="147" t="s">
        <v>127</v>
      </c>
      <c r="M222" s="148">
        <v>48925749186</v>
      </c>
      <c r="N222" s="148"/>
      <c r="O222" s="148"/>
      <c r="P222" s="148"/>
      <c r="Q222" s="148">
        <v>0</v>
      </c>
      <c r="R222" s="148">
        <v>0</v>
      </c>
      <c r="S222" s="148">
        <v>48925749186</v>
      </c>
      <c r="T222" s="148">
        <v>44099189186</v>
      </c>
      <c r="U222" s="148">
        <v>4826560000</v>
      </c>
      <c r="V222" s="150">
        <v>0.90134928784327928</v>
      </c>
      <c r="W222" s="148">
        <v>44099189186</v>
      </c>
      <c r="X222" s="148">
        <v>0</v>
      </c>
      <c r="Y222" s="150">
        <v>0</v>
      </c>
      <c r="Z222" s="148">
        <v>44099189186</v>
      </c>
      <c r="AA222" s="148">
        <v>0</v>
      </c>
      <c r="AB222" s="150">
        <v>1</v>
      </c>
    </row>
    <row r="223" spans="1:28" ht="24.95" customHeight="1">
      <c r="A223" s="32"/>
      <c r="B223" s="144" t="s">
        <v>723</v>
      </c>
      <c r="C223" s="145" t="s">
        <v>167</v>
      </c>
      <c r="D223" s="145" t="s">
        <v>190</v>
      </c>
      <c r="E223" s="145" t="s">
        <v>172</v>
      </c>
      <c r="F223" s="145">
        <v>23</v>
      </c>
      <c r="G223" s="145" t="s">
        <v>175</v>
      </c>
      <c r="H223" s="145">
        <v>4103065</v>
      </c>
      <c r="I223" s="145" t="s">
        <v>65</v>
      </c>
      <c r="J223" s="145">
        <v>16</v>
      </c>
      <c r="K223" s="146" t="s">
        <v>156</v>
      </c>
      <c r="L223" s="147" t="s">
        <v>127</v>
      </c>
      <c r="M223" s="148">
        <v>783891347683</v>
      </c>
      <c r="N223" s="148"/>
      <c r="O223" s="148"/>
      <c r="P223" s="148"/>
      <c r="Q223" s="148">
        <v>0</v>
      </c>
      <c r="R223" s="148">
        <v>0</v>
      </c>
      <c r="S223" s="148">
        <v>783891347683</v>
      </c>
      <c r="T223" s="148">
        <v>0</v>
      </c>
      <c r="U223" s="148">
        <v>783891347683</v>
      </c>
      <c r="V223" s="150">
        <v>0</v>
      </c>
      <c r="W223" s="148">
        <v>0</v>
      </c>
      <c r="X223" s="148">
        <v>0</v>
      </c>
      <c r="Y223" s="150">
        <v>0</v>
      </c>
      <c r="Z223" s="148">
        <v>0</v>
      </c>
      <c r="AA223" s="148">
        <v>0</v>
      </c>
      <c r="AB223" s="150">
        <v>0</v>
      </c>
    </row>
    <row r="224" spans="1:28" ht="49.5" customHeight="1">
      <c r="A224" s="32" t="e">
        <v>#REF!</v>
      </c>
      <c r="B224" s="132" t="s">
        <v>732</v>
      </c>
      <c r="C224" s="133" t="s">
        <v>167</v>
      </c>
      <c r="D224" s="133" t="s">
        <v>190</v>
      </c>
      <c r="E224" s="133" t="s">
        <v>172</v>
      </c>
      <c r="F224" s="133">
        <v>24</v>
      </c>
      <c r="G224" s="133"/>
      <c r="H224" s="133"/>
      <c r="I224" s="133"/>
      <c r="J224" s="133"/>
      <c r="K224" s="134"/>
      <c r="L224" s="134" t="s">
        <v>249</v>
      </c>
      <c r="M224" s="135">
        <v>7237101000000</v>
      </c>
      <c r="N224" s="136">
        <v>0</v>
      </c>
      <c r="O224" s="136">
        <v>0</v>
      </c>
      <c r="P224" s="135">
        <v>832906720.83000004</v>
      </c>
      <c r="Q224" s="135">
        <v>832906720.83000004</v>
      </c>
      <c r="R224" s="136">
        <v>0</v>
      </c>
      <c r="S224" s="135">
        <v>7237101000000</v>
      </c>
      <c r="T224" s="135">
        <v>2925420525606.3999</v>
      </c>
      <c r="U224" s="135">
        <v>4311680474393.6001</v>
      </c>
      <c r="V224" s="137">
        <v>0.40422546619238836</v>
      </c>
      <c r="W224" s="135">
        <v>2740967381673.2798</v>
      </c>
      <c r="X224" s="135">
        <v>184453143933.12</v>
      </c>
      <c r="Y224" s="137">
        <v>6.3051838981298375E-2</v>
      </c>
      <c r="Z224" s="135">
        <v>2740728917847.2798</v>
      </c>
      <c r="AA224" s="135">
        <v>238463826</v>
      </c>
      <c r="AB224" s="723">
        <v>0.93686664664361852</v>
      </c>
    </row>
    <row r="225" spans="1:51" ht="32.25" customHeight="1">
      <c r="A225" s="32" t="e">
        <v>#REF!</v>
      </c>
      <c r="B225" s="138" t="s">
        <v>733</v>
      </c>
      <c r="C225" s="139" t="s">
        <v>167</v>
      </c>
      <c r="D225" s="139" t="s">
        <v>190</v>
      </c>
      <c r="E225" s="139" t="s">
        <v>172</v>
      </c>
      <c r="F225" s="139">
        <v>24</v>
      </c>
      <c r="G225" s="139" t="s">
        <v>175</v>
      </c>
      <c r="H225" s="139">
        <v>4103061</v>
      </c>
      <c r="I225" s="139"/>
      <c r="J225" s="139">
        <v>13</v>
      </c>
      <c r="K225" s="140" t="s">
        <v>29</v>
      </c>
      <c r="L225" s="140" t="s">
        <v>231</v>
      </c>
      <c r="M225" s="141">
        <v>7237101000000</v>
      </c>
      <c r="N225" s="142">
        <v>0</v>
      </c>
      <c r="O225" s="142">
        <v>0</v>
      </c>
      <c r="P225" s="141">
        <v>832906720.83000004</v>
      </c>
      <c r="Q225" s="141">
        <v>832906720.83000004</v>
      </c>
      <c r="R225" s="142">
        <v>0</v>
      </c>
      <c r="S225" s="141">
        <v>7237101000000</v>
      </c>
      <c r="T225" s="141">
        <v>2925420525606.3999</v>
      </c>
      <c r="U225" s="141">
        <v>4311680474393.6001</v>
      </c>
      <c r="V225" s="143">
        <v>0.40422546619238836</v>
      </c>
      <c r="W225" s="141">
        <v>2740967381673.2798</v>
      </c>
      <c r="X225" s="141">
        <v>184453143933.12</v>
      </c>
      <c r="Y225" s="143">
        <v>6.3051838981298375E-2</v>
      </c>
      <c r="Z225" s="141">
        <v>2740728917847.2798</v>
      </c>
      <c r="AA225" s="141">
        <v>238463826</v>
      </c>
      <c r="AB225" s="724">
        <v>0.93686664664361852</v>
      </c>
    </row>
    <row r="226" spans="1:51" ht="24.95" customHeight="1">
      <c r="A226" s="32" t="e">
        <v>#REF!</v>
      </c>
      <c r="B226" s="144" t="s">
        <v>734</v>
      </c>
      <c r="C226" s="145" t="s">
        <v>167</v>
      </c>
      <c r="D226" s="145" t="s">
        <v>190</v>
      </c>
      <c r="E226" s="145" t="s">
        <v>172</v>
      </c>
      <c r="F226" s="145">
        <v>24</v>
      </c>
      <c r="G226" s="145" t="s">
        <v>175</v>
      </c>
      <c r="H226" s="145">
        <v>4103061</v>
      </c>
      <c r="I226" s="145" t="s">
        <v>54</v>
      </c>
      <c r="J226" s="145">
        <v>13</v>
      </c>
      <c r="K226" s="146" t="s">
        <v>29</v>
      </c>
      <c r="L226" s="147" t="s">
        <v>178</v>
      </c>
      <c r="M226" s="148">
        <v>99347732574</v>
      </c>
      <c r="N226" s="148"/>
      <c r="O226" s="148"/>
      <c r="P226" s="148">
        <v>832906720.83000004</v>
      </c>
      <c r="Q226" s="148">
        <v>0</v>
      </c>
      <c r="R226" s="148">
        <v>0</v>
      </c>
      <c r="S226" s="148">
        <v>100180639294.83</v>
      </c>
      <c r="T226" s="148">
        <v>26318425606.400002</v>
      </c>
      <c r="U226" s="148">
        <v>73862213688.429993</v>
      </c>
      <c r="V226" s="150">
        <v>0.26270969911606673</v>
      </c>
      <c r="W226" s="148">
        <v>6213105673.2799997</v>
      </c>
      <c r="X226" s="148">
        <v>20105319933.120003</v>
      </c>
      <c r="Y226" s="150">
        <v>0.76392563270315372</v>
      </c>
      <c r="Z226" s="148">
        <v>5974641847.2799997</v>
      </c>
      <c r="AA226" s="148">
        <v>238463826</v>
      </c>
      <c r="AB226" s="150">
        <v>0.22701364954851677</v>
      </c>
    </row>
    <row r="227" spans="1:51" ht="24.95" customHeight="1">
      <c r="A227" s="32" t="e">
        <v>#REF!</v>
      </c>
      <c r="B227" s="144" t="s">
        <v>735</v>
      </c>
      <c r="C227" s="145" t="s">
        <v>167</v>
      </c>
      <c r="D227" s="145" t="s">
        <v>190</v>
      </c>
      <c r="E227" s="145" t="s">
        <v>172</v>
      </c>
      <c r="F227" s="145">
        <v>24</v>
      </c>
      <c r="G227" s="145" t="s">
        <v>175</v>
      </c>
      <c r="H227" s="145">
        <v>4103061</v>
      </c>
      <c r="I227" s="145" t="s">
        <v>65</v>
      </c>
      <c r="J227" s="145">
        <v>13</v>
      </c>
      <c r="K227" s="146" t="s">
        <v>29</v>
      </c>
      <c r="L227" s="147" t="s">
        <v>127</v>
      </c>
      <c r="M227" s="148">
        <v>7137753267426</v>
      </c>
      <c r="N227" s="148"/>
      <c r="O227" s="148"/>
      <c r="P227" s="148"/>
      <c r="Q227" s="148">
        <v>832906720.83000004</v>
      </c>
      <c r="R227" s="148">
        <v>0</v>
      </c>
      <c r="S227" s="148">
        <v>7136920360705.1699</v>
      </c>
      <c r="T227" s="148">
        <v>2899102100000</v>
      </c>
      <c r="U227" s="148">
        <v>4237818260705.1699</v>
      </c>
      <c r="V227" s="150">
        <v>0.40621191683208746</v>
      </c>
      <c r="W227" s="148">
        <v>2734754276000</v>
      </c>
      <c r="X227" s="148">
        <v>164347824000</v>
      </c>
      <c r="Y227" s="150">
        <v>5.6689215602306657E-2</v>
      </c>
      <c r="Z227" s="148">
        <v>2734754276000</v>
      </c>
      <c r="AA227" s="148">
        <v>0</v>
      </c>
      <c r="AB227" s="150">
        <v>0.94331078439769334</v>
      </c>
    </row>
    <row r="228" spans="1:51" ht="36.75" customHeight="1">
      <c r="A228" s="32" t="e">
        <v>#REF!</v>
      </c>
      <c r="B228" s="124" t="s">
        <v>544</v>
      </c>
      <c r="C228" s="123" t="s">
        <v>167</v>
      </c>
      <c r="D228" s="123">
        <v>4199</v>
      </c>
      <c r="E228" s="123"/>
      <c r="F228" s="123"/>
      <c r="G228" s="123"/>
      <c r="H228" s="123"/>
      <c r="I228" s="123"/>
      <c r="J228" s="124"/>
      <c r="K228" s="124"/>
      <c r="L228" s="124" t="s">
        <v>250</v>
      </c>
      <c r="M228" s="125">
        <v>5000000000</v>
      </c>
      <c r="N228" s="719">
        <v>0</v>
      </c>
      <c r="O228" s="719">
        <v>0</v>
      </c>
      <c r="P228" s="719">
        <v>0</v>
      </c>
      <c r="Q228" s="719">
        <v>0</v>
      </c>
      <c r="R228" s="719">
        <v>0</v>
      </c>
      <c r="S228" s="125">
        <v>5000000000</v>
      </c>
      <c r="T228" s="125">
        <v>2450040887.5999999</v>
      </c>
      <c r="U228" s="125">
        <v>2549959112.4000001</v>
      </c>
      <c r="V228" s="126">
        <v>0.49000817751999998</v>
      </c>
      <c r="W228" s="125">
        <v>606264266</v>
      </c>
      <c r="X228" s="125">
        <v>1843776621.5999999</v>
      </c>
      <c r="Y228" s="126">
        <v>0.75254932720984846</v>
      </c>
      <c r="Z228" s="125">
        <v>606264266</v>
      </c>
      <c r="AA228" s="125">
        <v>0</v>
      </c>
      <c r="AB228" s="720">
        <v>0.24745067279015154</v>
      </c>
    </row>
    <row r="229" spans="1:51" ht="24" customHeight="1">
      <c r="A229" s="32" t="e">
        <v>#REF!</v>
      </c>
      <c r="B229" s="129" t="s">
        <v>300</v>
      </c>
      <c r="C229" s="128" t="s">
        <v>167</v>
      </c>
      <c r="D229" s="128">
        <v>4199</v>
      </c>
      <c r="E229" s="128">
        <v>1500</v>
      </c>
      <c r="F229" s="128"/>
      <c r="G229" s="128"/>
      <c r="H229" s="128"/>
      <c r="I229" s="128"/>
      <c r="J229" s="129"/>
      <c r="K229" s="129"/>
      <c r="L229" s="129" t="s">
        <v>170</v>
      </c>
      <c r="M229" s="130">
        <v>5000000000</v>
      </c>
      <c r="N229" s="721">
        <v>0</v>
      </c>
      <c r="O229" s="721">
        <v>0</v>
      </c>
      <c r="P229" s="721">
        <v>0</v>
      </c>
      <c r="Q229" s="721">
        <v>0</v>
      </c>
      <c r="R229" s="721">
        <v>0</v>
      </c>
      <c r="S229" s="130">
        <v>5000000000</v>
      </c>
      <c r="T229" s="130">
        <v>2450040887.5999999</v>
      </c>
      <c r="U229" s="130">
        <v>2549959112.4000001</v>
      </c>
      <c r="V229" s="131">
        <v>0.49000817751999998</v>
      </c>
      <c r="W229" s="130">
        <v>606264266</v>
      </c>
      <c r="X229" s="130">
        <v>1843776621.5999999</v>
      </c>
      <c r="Y229" s="131">
        <v>0.75254932720984846</v>
      </c>
      <c r="Z229" s="130">
        <v>606264266</v>
      </c>
      <c r="AA229" s="130">
        <v>0</v>
      </c>
      <c r="AB229" s="722">
        <v>0.24745067279015154</v>
      </c>
    </row>
    <row r="230" spans="1:51" ht="37.5" customHeight="1">
      <c r="A230" s="32" t="e">
        <v>#REF!</v>
      </c>
      <c r="B230" s="132" t="s">
        <v>547</v>
      </c>
      <c r="C230" s="133" t="s">
        <v>167</v>
      </c>
      <c r="D230" s="133" t="s">
        <v>251</v>
      </c>
      <c r="E230" s="133" t="s">
        <v>172</v>
      </c>
      <c r="F230" s="133" t="s">
        <v>252</v>
      </c>
      <c r="G230" s="133"/>
      <c r="H230" s="133"/>
      <c r="I230" s="133"/>
      <c r="J230" s="133"/>
      <c r="K230" s="134"/>
      <c r="L230" s="134" t="s">
        <v>274</v>
      </c>
      <c r="M230" s="135">
        <v>5000000000</v>
      </c>
      <c r="N230" s="136">
        <v>0</v>
      </c>
      <c r="O230" s="136">
        <v>0</v>
      </c>
      <c r="P230" s="136">
        <v>0</v>
      </c>
      <c r="Q230" s="136">
        <v>0</v>
      </c>
      <c r="R230" s="136">
        <v>0</v>
      </c>
      <c r="S230" s="135">
        <v>5000000000</v>
      </c>
      <c r="T230" s="135">
        <v>2450040887.5999999</v>
      </c>
      <c r="U230" s="135">
        <v>2549959112.4000001</v>
      </c>
      <c r="V230" s="137">
        <v>0.49000817751999998</v>
      </c>
      <c r="W230" s="135">
        <v>606264266</v>
      </c>
      <c r="X230" s="135">
        <v>1843776621.5999999</v>
      </c>
      <c r="Y230" s="137">
        <v>0.75254932720984846</v>
      </c>
      <c r="Z230" s="135">
        <v>606264266</v>
      </c>
      <c r="AA230" s="135">
        <v>0</v>
      </c>
      <c r="AB230" s="723">
        <v>0.24745067279015154</v>
      </c>
    </row>
    <row r="231" spans="1:51" ht="32.25" customHeight="1">
      <c r="A231" s="32" t="e">
        <v>#REF!</v>
      </c>
      <c r="B231" s="138" t="s">
        <v>548</v>
      </c>
      <c r="C231" s="139" t="s">
        <v>167</v>
      </c>
      <c r="D231" s="139" t="s">
        <v>251</v>
      </c>
      <c r="E231" s="139" t="s">
        <v>172</v>
      </c>
      <c r="F231" s="139" t="s">
        <v>252</v>
      </c>
      <c r="G231" s="139" t="s">
        <v>175</v>
      </c>
      <c r="H231" s="139" t="s">
        <v>254</v>
      </c>
      <c r="I231" s="139"/>
      <c r="J231" s="139">
        <v>13</v>
      </c>
      <c r="K231" s="140" t="s">
        <v>29</v>
      </c>
      <c r="L231" s="140" t="s">
        <v>255</v>
      </c>
      <c r="M231" s="141">
        <v>5000000000</v>
      </c>
      <c r="N231" s="142">
        <v>0</v>
      </c>
      <c r="O231" s="142">
        <v>0</v>
      </c>
      <c r="P231" s="142">
        <v>0</v>
      </c>
      <c r="Q231" s="142">
        <v>0</v>
      </c>
      <c r="R231" s="142">
        <v>0</v>
      </c>
      <c r="S231" s="141">
        <v>5000000000</v>
      </c>
      <c r="T231" s="141">
        <v>2450040887.5999999</v>
      </c>
      <c r="U231" s="141">
        <v>2549959112.4000001</v>
      </c>
      <c r="V231" s="143">
        <v>0.49000817751999998</v>
      </c>
      <c r="W231" s="141">
        <v>606264266</v>
      </c>
      <c r="X231" s="141">
        <v>1843776621.5999999</v>
      </c>
      <c r="Y231" s="143">
        <v>0.75254932720984846</v>
      </c>
      <c r="Z231" s="141">
        <v>606264266</v>
      </c>
      <c r="AA231" s="141">
        <v>0</v>
      </c>
      <c r="AB231" s="724">
        <v>0.24745067279015154</v>
      </c>
    </row>
    <row r="232" spans="1:51" ht="24.95" customHeight="1">
      <c r="A232" s="32" t="e">
        <v>#REF!</v>
      </c>
      <c r="B232" s="144" t="s">
        <v>549</v>
      </c>
      <c r="C232" s="145" t="s">
        <v>167</v>
      </c>
      <c r="D232" s="145" t="s">
        <v>251</v>
      </c>
      <c r="E232" s="145" t="s">
        <v>172</v>
      </c>
      <c r="F232" s="145" t="s">
        <v>252</v>
      </c>
      <c r="G232" s="145" t="s">
        <v>175</v>
      </c>
      <c r="H232" s="145" t="s">
        <v>254</v>
      </c>
      <c r="I232" s="145" t="s">
        <v>54</v>
      </c>
      <c r="J232" s="145">
        <v>13</v>
      </c>
      <c r="K232" s="146" t="s">
        <v>29</v>
      </c>
      <c r="L232" s="147" t="s">
        <v>178</v>
      </c>
      <c r="M232" s="148">
        <v>5000000000</v>
      </c>
      <c r="N232" s="148">
        <v>0</v>
      </c>
      <c r="O232" s="148">
        <v>0</v>
      </c>
      <c r="P232" s="148">
        <v>0</v>
      </c>
      <c r="Q232" s="148">
        <v>0</v>
      </c>
      <c r="R232" s="148">
        <v>0</v>
      </c>
      <c r="S232" s="148">
        <v>5000000000</v>
      </c>
      <c r="T232" s="148">
        <v>2450040887.5999999</v>
      </c>
      <c r="U232" s="148">
        <v>2549959112.4000001</v>
      </c>
      <c r="V232" s="150">
        <v>0.49000817751999998</v>
      </c>
      <c r="W232" s="148">
        <v>606264266</v>
      </c>
      <c r="X232" s="148">
        <v>1843776621.5999999</v>
      </c>
      <c r="Y232" s="150">
        <v>0.75254932720984846</v>
      </c>
      <c r="Z232" s="148">
        <v>606264266</v>
      </c>
      <c r="AA232" s="148">
        <v>0</v>
      </c>
      <c r="AB232" s="150">
        <v>0.24745067279015154</v>
      </c>
    </row>
    <row r="233" spans="1:51" ht="35.1" customHeight="1">
      <c r="A233" s="32"/>
      <c r="B233" s="118"/>
      <c r="C233" s="118"/>
      <c r="D233" s="119"/>
      <c r="E233" s="119"/>
      <c r="F233" s="119"/>
      <c r="G233" s="119"/>
      <c r="H233" s="119"/>
      <c r="I233" s="119"/>
      <c r="J233" s="119"/>
      <c r="K233" s="119"/>
      <c r="L233" s="119" t="s">
        <v>256</v>
      </c>
      <c r="M233" s="120">
        <v>13107834876291</v>
      </c>
      <c r="N233" s="120">
        <v>5269349000</v>
      </c>
      <c r="O233" s="120">
        <v>0</v>
      </c>
      <c r="P233" s="120">
        <v>72350100106.729996</v>
      </c>
      <c r="Q233" s="120">
        <v>72350100106.729996</v>
      </c>
      <c r="R233" s="120">
        <v>10390000000</v>
      </c>
      <c r="S233" s="120">
        <v>13102714225291</v>
      </c>
      <c r="T233" s="120">
        <v>6309430114121.6992</v>
      </c>
      <c r="U233" s="120">
        <v>6793284111169.2998</v>
      </c>
      <c r="V233" s="121">
        <v>0.48153611577234656</v>
      </c>
      <c r="W233" s="120">
        <v>4718427075299.71</v>
      </c>
      <c r="X233" s="120">
        <v>1591003038821.99</v>
      </c>
      <c r="Y233" s="121">
        <v>0.25216271676597607</v>
      </c>
      <c r="Z233" s="120">
        <v>4682378085821.7295</v>
      </c>
      <c r="AA233" s="120">
        <v>36048989477.980003</v>
      </c>
      <c r="AB233" s="718">
        <v>0.74212377364188264</v>
      </c>
    </row>
    <row r="234" spans="1:51" s="90" customFormat="1" ht="16.5">
      <c r="A234" s="32"/>
      <c r="B234" s="32"/>
      <c r="C234" s="82"/>
      <c r="D234" s="82"/>
      <c r="E234" s="82"/>
      <c r="F234" s="82"/>
      <c r="G234" s="82"/>
      <c r="H234" s="83"/>
      <c r="I234" s="84"/>
      <c r="J234" s="84"/>
      <c r="K234" s="85"/>
      <c r="L234" s="84"/>
      <c r="M234" s="86"/>
      <c r="N234" s="86"/>
      <c r="O234" s="86"/>
      <c r="P234" s="86"/>
      <c r="Q234" s="86"/>
      <c r="R234" s="86"/>
      <c r="S234" s="86"/>
      <c r="T234" s="86"/>
      <c r="U234" s="86"/>
      <c r="V234" s="87"/>
      <c r="W234" s="88"/>
      <c r="X234" s="86"/>
      <c r="Y234" s="87"/>
      <c r="Z234" s="86"/>
      <c r="AA234" s="86"/>
      <c r="AB234" s="89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</row>
    <row r="235" spans="1:51" s="90" customFormat="1" ht="16.5">
      <c r="A235" s="338" t="e">
        <v>#REF!</v>
      </c>
      <c r="B235" s="338"/>
      <c r="C235" s="82"/>
      <c r="D235" s="82"/>
      <c r="E235" s="82"/>
      <c r="F235" s="82"/>
      <c r="G235" s="82"/>
      <c r="H235" s="83"/>
      <c r="I235" s="84"/>
      <c r="J235" s="84"/>
      <c r="K235" s="85"/>
      <c r="L235" s="84"/>
      <c r="M235" s="95">
        <v>13107834876291</v>
      </c>
      <c r="N235" s="95">
        <v>5269349000</v>
      </c>
      <c r="O235" s="95">
        <v>0</v>
      </c>
      <c r="P235" s="95">
        <v>72350100106.729996</v>
      </c>
      <c r="Q235" s="95">
        <v>72350100106.729996</v>
      </c>
      <c r="R235" s="95">
        <v>10390000000</v>
      </c>
      <c r="S235" s="95">
        <v>13102714225291</v>
      </c>
      <c r="T235" s="95">
        <v>6309430114121.7002</v>
      </c>
      <c r="U235" s="95">
        <v>6793284111169.3008</v>
      </c>
      <c r="V235" s="95">
        <v>0.48153611577234656</v>
      </c>
      <c r="W235" s="95">
        <v>4718427075299.71</v>
      </c>
      <c r="X235" s="95">
        <v>1591003038821.9902</v>
      </c>
      <c r="Y235" s="95">
        <v>0.25216271676597607</v>
      </c>
      <c r="Z235" s="95">
        <v>4682378085821.7305</v>
      </c>
      <c r="AA235" s="95">
        <v>36048989477.979492</v>
      </c>
      <c r="AB235" s="95">
        <v>0.74212377364188264</v>
      </c>
    </row>
    <row r="236" spans="1:51" s="90" customFormat="1" ht="16.5">
      <c r="A236" s="338"/>
      <c r="B236" s="338"/>
      <c r="C236" s="85"/>
      <c r="D236" s="84"/>
      <c r="E236" s="84"/>
      <c r="F236" s="84"/>
      <c r="G236" s="84"/>
      <c r="H236" s="84"/>
      <c r="I236" s="84"/>
      <c r="J236" s="84"/>
      <c r="K236" s="85"/>
      <c r="L236" s="366"/>
      <c r="M236" s="95">
        <v>0</v>
      </c>
      <c r="N236" s="95">
        <v>0</v>
      </c>
      <c r="O236" s="95">
        <v>0</v>
      </c>
      <c r="P236" s="95">
        <v>0</v>
      </c>
      <c r="Q236" s="95">
        <v>0</v>
      </c>
      <c r="R236" s="95">
        <v>0</v>
      </c>
      <c r="S236" s="95">
        <v>0</v>
      </c>
      <c r="T236" s="95">
        <v>0</v>
      </c>
      <c r="U236" s="95">
        <v>0</v>
      </c>
      <c r="V236" s="95"/>
      <c r="W236" s="95">
        <v>0</v>
      </c>
      <c r="X236" s="95">
        <v>0</v>
      </c>
      <c r="Y236" s="95"/>
      <c r="Z236" s="95">
        <v>0</v>
      </c>
      <c r="AA236" s="95">
        <v>5.1116943359375E-4</v>
      </c>
      <c r="AB236" s="95"/>
    </row>
    <row r="237" spans="1:51" s="374" customFormat="1" ht="16.5">
      <c r="A237" s="369"/>
      <c r="B237" s="375"/>
      <c r="C237" s="370"/>
      <c r="D237" s="371"/>
      <c r="E237" s="371"/>
      <c r="F237" s="371"/>
      <c r="G237" s="371"/>
      <c r="H237" s="371"/>
      <c r="I237" s="371"/>
      <c r="J237" s="371"/>
      <c r="K237" s="370"/>
      <c r="L237" s="86"/>
      <c r="M237" s="359"/>
      <c r="N237" s="359"/>
      <c r="O237" s="359"/>
      <c r="P237" s="359"/>
      <c r="Q237" s="359"/>
      <c r="R237" s="359"/>
      <c r="S237" s="359"/>
      <c r="T237" s="359"/>
      <c r="U237" s="359"/>
      <c r="V237" s="372"/>
      <c r="W237" s="359"/>
      <c r="X237" s="359"/>
      <c r="Y237" s="372"/>
      <c r="Z237" s="359"/>
      <c r="AA237" s="359"/>
      <c r="AB237" s="37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</row>
    <row r="238" spans="1:51" ht="18">
      <c r="A238" s="30"/>
      <c r="B238" s="31"/>
      <c r="C238" s="312"/>
      <c r="D238" s="317"/>
      <c r="E238" s="312"/>
      <c r="F238" s="312"/>
      <c r="G238" s="312"/>
      <c r="H238" s="312"/>
      <c r="I238" s="312"/>
      <c r="J238" s="312"/>
      <c r="K238" s="317"/>
      <c r="L238" s="312"/>
      <c r="M238" s="335"/>
      <c r="N238" s="364"/>
      <c r="O238" s="332"/>
      <c r="P238" s="332"/>
      <c r="Q238" s="633"/>
      <c r="R238" s="633"/>
      <c r="S238" s="359"/>
      <c r="T238" s="332"/>
      <c r="U238" s="332"/>
      <c r="V238" s="333"/>
      <c r="W238" s="332"/>
      <c r="X238" s="332"/>
      <c r="Y238" s="333"/>
      <c r="Z238" s="332"/>
      <c r="AA238" s="332"/>
      <c r="AB238" s="333"/>
    </row>
    <row r="239" spans="1:51" ht="18">
      <c r="A239" s="30"/>
      <c r="B239" s="31"/>
      <c r="C239" s="312"/>
      <c r="D239" s="317"/>
      <c r="E239" s="312"/>
      <c r="F239" s="312"/>
      <c r="G239" s="312"/>
      <c r="H239" s="312"/>
      <c r="I239" s="312"/>
      <c r="J239" s="312"/>
      <c r="K239" s="317"/>
      <c r="L239" s="312"/>
      <c r="M239" s="332"/>
      <c r="N239" s="632"/>
      <c r="O239" s="332"/>
      <c r="P239" s="359"/>
      <c r="Q239" s="633"/>
      <c r="R239" s="633"/>
      <c r="S239" s="332"/>
      <c r="T239" s="332"/>
      <c r="U239" s="332"/>
      <c r="V239" s="333"/>
      <c r="W239" s="332"/>
      <c r="X239" s="332"/>
      <c r="Y239" s="333"/>
      <c r="Z239" s="332"/>
      <c r="AA239" s="332"/>
      <c r="AB239" s="333"/>
    </row>
    <row r="240" spans="1:51" ht="18">
      <c r="A240" s="1"/>
      <c r="B240" s="2"/>
      <c r="C240" s="312"/>
      <c r="D240" s="312"/>
      <c r="E240" s="312"/>
      <c r="F240" s="312"/>
      <c r="G240" s="312"/>
      <c r="H240" s="312"/>
      <c r="I240" s="312"/>
      <c r="J240" s="312"/>
      <c r="K240" s="317"/>
      <c r="L240" s="312"/>
      <c r="M240" s="332"/>
      <c r="N240" s="632"/>
      <c r="O240" s="332"/>
      <c r="P240" s="332"/>
      <c r="Q240" s="332"/>
      <c r="R240" s="332"/>
      <c r="S240" s="332"/>
      <c r="T240" s="332"/>
      <c r="U240" s="332"/>
      <c r="V240" s="333"/>
      <c r="W240" s="332"/>
      <c r="X240" s="631"/>
      <c r="Y240" s="333"/>
      <c r="Z240" s="332"/>
      <c r="AA240" s="332"/>
      <c r="AB240" s="333"/>
      <c r="AC240" s="315"/>
    </row>
    <row r="241" spans="1:28" ht="30">
      <c r="A241" s="1"/>
      <c r="B241" s="2"/>
      <c r="C241" s="318"/>
      <c r="D241" s="318"/>
      <c r="E241" s="318"/>
      <c r="F241" s="318"/>
      <c r="G241" s="318"/>
      <c r="H241" s="318"/>
      <c r="I241" s="312"/>
      <c r="J241" s="312"/>
      <c r="K241" s="317"/>
      <c r="L241" s="336" t="s">
        <v>738</v>
      </c>
      <c r="M241" s="628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20"/>
      <c r="Z241" s="376"/>
      <c r="AA241" s="319"/>
      <c r="AB241" s="319"/>
    </row>
    <row r="242" spans="1:28" ht="30">
      <c r="A242" s="1"/>
      <c r="B242" s="2"/>
      <c r="C242" s="321"/>
      <c r="D242" s="322"/>
      <c r="E242" s="322"/>
      <c r="F242" s="322"/>
      <c r="G242" s="322"/>
      <c r="H242" s="322"/>
      <c r="I242" s="322"/>
      <c r="J242" s="322"/>
      <c r="K242" s="321"/>
      <c r="L242" s="337" t="s">
        <v>739</v>
      </c>
      <c r="M242" s="628"/>
      <c r="O242" s="323"/>
      <c r="P242" s="323"/>
      <c r="Q242" s="323"/>
      <c r="R242" s="323"/>
      <c r="S242" s="360"/>
      <c r="T242" s="323"/>
      <c r="U242" s="323"/>
      <c r="V242" s="323"/>
      <c r="W242" s="323"/>
      <c r="X242" s="323"/>
      <c r="Y242" s="324"/>
      <c r="Z242" s="323"/>
      <c r="AA242" s="323"/>
      <c r="AB242" s="323"/>
    </row>
    <row r="243" spans="1:28" ht="30">
      <c r="A243" s="325"/>
      <c r="B243" s="313"/>
      <c r="C243" s="308"/>
      <c r="D243" s="308"/>
      <c r="E243" s="308"/>
      <c r="F243" s="308"/>
      <c r="G243" s="308"/>
      <c r="H243" s="308"/>
      <c r="I243" s="308"/>
      <c r="J243" s="308"/>
      <c r="K243" s="336"/>
      <c r="L243" s="308"/>
      <c r="M243" s="628"/>
      <c r="O243" s="309"/>
      <c r="P243" s="309"/>
      <c r="Q243" s="630"/>
      <c r="R243" s="630"/>
      <c r="S243" s="334"/>
      <c r="T243" s="334"/>
      <c r="U243" s="629"/>
      <c r="V243" s="329"/>
      <c r="W243" s="329"/>
      <c r="X243" s="329"/>
      <c r="Y243" s="329"/>
    </row>
    <row r="244" spans="1:28" ht="16.5">
      <c r="M244" s="628"/>
      <c r="N244" s="628"/>
    </row>
    <row r="245" spans="1:28" ht="16.5">
      <c r="M245" s="628"/>
      <c r="N245" s="628"/>
    </row>
    <row r="246" spans="1:28" ht="16.5">
      <c r="M246" s="628"/>
    </row>
    <row r="247" spans="1:28" ht="16.5">
      <c r="M247" s="628"/>
    </row>
    <row r="248" spans="1:28" ht="16.5">
      <c r="M248" s="628"/>
    </row>
  </sheetData>
  <sheetProtection selectLockedCells="1" selectUnlockedCells="1"/>
  <autoFilter ref="A6:AB236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7A0E-FD3D-492E-975C-50F972AD519B}">
  <sheetPr>
    <tabColor rgb="FF00B0F0"/>
    <pageSetUpPr fitToPage="1"/>
  </sheetPr>
  <dimension ref="A1:AS242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61" style="9" customWidth="1"/>
    <col min="13" max="13" width="23.7109375" style="13" customWidth="1"/>
    <col min="14" max="14" width="20.85546875" style="13" bestFit="1" customWidth="1"/>
    <col min="15" max="15" width="12.85546875" style="13" customWidth="1"/>
    <col min="16" max="16" width="20.7109375" style="13" bestFit="1" customWidth="1"/>
    <col min="17" max="17" width="12.5703125" style="13" customWidth="1"/>
    <col min="18" max="18" width="20.7109375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7"/>
      <c r="R1" s="5">
        <v>16</v>
      </c>
      <c r="S1" s="7"/>
    </row>
    <row r="2" spans="1:19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305" t="s">
        <v>0</v>
      </c>
      <c r="N2" s="305"/>
      <c r="O2" s="305"/>
      <c r="P2" s="305"/>
      <c r="Q2" s="305"/>
      <c r="R2" s="305"/>
      <c r="S2" s="305"/>
    </row>
    <row r="3" spans="1:19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304" t="s">
        <v>818</v>
      </c>
      <c r="N3" s="304"/>
      <c r="O3" s="304"/>
      <c r="P3" s="304"/>
      <c r="Q3" s="304"/>
      <c r="R3" s="304"/>
      <c r="S3" s="304"/>
    </row>
    <row r="4" spans="1:19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1"/>
      <c r="R4" s="20"/>
      <c r="S4" s="21"/>
    </row>
    <row r="5" spans="1:19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04" t="s">
        <v>6</v>
      </c>
      <c r="N5" s="806" t="s">
        <v>7</v>
      </c>
      <c r="O5" s="808"/>
      <c r="P5" s="809" t="s">
        <v>8</v>
      </c>
      <c r="Q5" s="823"/>
      <c r="R5" s="806" t="s">
        <v>9</v>
      </c>
      <c r="S5" s="808"/>
    </row>
    <row r="6" spans="1:19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05" t="s">
        <v>6</v>
      </c>
      <c r="N6" s="112" t="s">
        <v>18</v>
      </c>
      <c r="O6" s="115" t="s">
        <v>19</v>
      </c>
      <c r="P6" s="112" t="s">
        <v>18</v>
      </c>
      <c r="Q6" s="115" t="s">
        <v>815</v>
      </c>
      <c r="R6" s="114" t="s">
        <v>18</v>
      </c>
      <c r="S6" s="115" t="s">
        <v>816</v>
      </c>
    </row>
    <row r="7" spans="1:19" ht="35.1" customHeight="1">
      <c r="A7" s="32" t="e">
        <v>#REF!</v>
      </c>
      <c r="B7" s="117" t="s">
        <v>23</v>
      </c>
      <c r="C7" s="118" t="s">
        <v>23</v>
      </c>
      <c r="D7" s="119"/>
      <c r="E7" s="119"/>
      <c r="F7" s="119"/>
      <c r="G7" s="119"/>
      <c r="H7" s="119"/>
      <c r="I7" s="119"/>
      <c r="J7" s="119"/>
      <c r="K7" s="119"/>
      <c r="L7" s="119" t="s">
        <v>24</v>
      </c>
      <c r="M7" s="120">
        <v>180813900000</v>
      </c>
      <c r="N7" s="120">
        <v>84214230888.649994</v>
      </c>
      <c r="O7" s="121">
        <f>+N7/$M7</f>
        <v>0.46575086809504135</v>
      </c>
      <c r="P7" s="120">
        <v>69785872782.429993</v>
      </c>
      <c r="Q7" s="121">
        <f>+P7/$M7</f>
        <v>0.38595413727832867</v>
      </c>
      <c r="R7" s="120">
        <v>67108291989.43</v>
      </c>
      <c r="S7" s="121">
        <f>+R7/$M7</f>
        <v>0.37114564748301981</v>
      </c>
    </row>
    <row r="8" spans="1:19" ht="24" customHeight="1">
      <c r="A8" s="32" t="e">
        <v>#REF!</v>
      </c>
      <c r="B8" s="122" t="s">
        <v>303</v>
      </c>
      <c r="C8" s="123" t="s">
        <v>23</v>
      </c>
      <c r="D8" s="123" t="s">
        <v>25</v>
      </c>
      <c r="E8" s="123"/>
      <c r="F8" s="123"/>
      <c r="G8" s="123"/>
      <c r="H8" s="123"/>
      <c r="I8" s="123"/>
      <c r="J8" s="124"/>
      <c r="K8" s="124"/>
      <c r="L8" s="124" t="s">
        <v>26</v>
      </c>
      <c r="M8" s="125">
        <v>118340000000</v>
      </c>
      <c r="N8" s="125">
        <v>54376231100</v>
      </c>
      <c r="O8" s="126">
        <f t="shared" ref="O8:Q71" si="0">+N8/$M8</f>
        <v>0.45949155906709482</v>
      </c>
      <c r="P8" s="125">
        <v>52147236612</v>
      </c>
      <c r="Q8" s="126">
        <f t="shared" si="0"/>
        <v>0.44065604708467127</v>
      </c>
      <c r="R8" s="125">
        <v>49515813765</v>
      </c>
      <c r="S8" s="126">
        <f t="shared" ref="S8" si="1">+R8/$M8</f>
        <v>0.41841992365218861</v>
      </c>
    </row>
    <row r="9" spans="1:19" ht="24" customHeight="1">
      <c r="A9" s="32" t="e">
        <v>#REF!</v>
      </c>
      <c r="B9" s="127" t="s">
        <v>305</v>
      </c>
      <c r="C9" s="128" t="s">
        <v>23</v>
      </c>
      <c r="D9" s="128" t="s">
        <v>25</v>
      </c>
      <c r="E9" s="128" t="s">
        <v>25</v>
      </c>
      <c r="F9" s="128"/>
      <c r="G9" s="128"/>
      <c r="H9" s="128"/>
      <c r="I9" s="128"/>
      <c r="J9" s="129"/>
      <c r="K9" s="129"/>
      <c r="L9" s="129" t="s">
        <v>27</v>
      </c>
      <c r="M9" s="130">
        <v>118340000000</v>
      </c>
      <c r="N9" s="130">
        <v>54376231100</v>
      </c>
      <c r="O9" s="131">
        <f t="shared" si="0"/>
        <v>0.45949155906709482</v>
      </c>
      <c r="P9" s="130">
        <v>52147236612</v>
      </c>
      <c r="Q9" s="131">
        <f t="shared" si="0"/>
        <v>0.44065604708467127</v>
      </c>
      <c r="R9" s="130">
        <v>49515813765</v>
      </c>
      <c r="S9" s="131">
        <f t="shared" ref="S9" si="2">+R9/$M9</f>
        <v>0.41841992365218861</v>
      </c>
    </row>
    <row r="10" spans="1:19" ht="24" customHeight="1">
      <c r="A10" s="32" t="e">
        <v>#REF!</v>
      </c>
      <c r="B10" s="132" t="s">
        <v>307</v>
      </c>
      <c r="C10" s="133" t="s">
        <v>23</v>
      </c>
      <c r="D10" s="133" t="s">
        <v>25</v>
      </c>
      <c r="E10" s="133" t="s">
        <v>25</v>
      </c>
      <c r="F10" s="133" t="s">
        <v>25</v>
      </c>
      <c r="G10" s="133"/>
      <c r="H10" s="133"/>
      <c r="I10" s="133"/>
      <c r="J10" s="133" t="s">
        <v>28</v>
      </c>
      <c r="K10" s="134" t="s">
        <v>29</v>
      </c>
      <c r="L10" s="134" t="s">
        <v>30</v>
      </c>
      <c r="M10" s="135">
        <v>81484000000</v>
      </c>
      <c r="N10" s="135">
        <v>34854312386</v>
      </c>
      <c r="O10" s="137">
        <f t="shared" si="0"/>
        <v>0.42774424900593983</v>
      </c>
      <c r="P10" s="135">
        <v>34820836247</v>
      </c>
      <c r="Q10" s="137">
        <f t="shared" si="0"/>
        <v>0.42733341818025622</v>
      </c>
      <c r="R10" s="135">
        <v>32189413400</v>
      </c>
      <c r="S10" s="137">
        <f t="shared" ref="S10" si="3">+R10/$M10</f>
        <v>0.39503968140984735</v>
      </c>
    </row>
    <row r="11" spans="1:19" ht="24.95" customHeight="1">
      <c r="A11" s="32" t="e">
        <v>#REF!</v>
      </c>
      <c r="B11" s="138" t="s">
        <v>309</v>
      </c>
      <c r="C11" s="139" t="s">
        <v>23</v>
      </c>
      <c r="D11" s="139" t="s">
        <v>25</v>
      </c>
      <c r="E11" s="139" t="s">
        <v>25</v>
      </c>
      <c r="F11" s="139" t="s">
        <v>25</v>
      </c>
      <c r="G11" s="139" t="s">
        <v>31</v>
      </c>
      <c r="H11" s="139"/>
      <c r="I11" s="139"/>
      <c r="J11" s="139" t="s">
        <v>28</v>
      </c>
      <c r="K11" s="140" t="s">
        <v>29</v>
      </c>
      <c r="L11" s="140" t="s">
        <v>32</v>
      </c>
      <c r="M11" s="141">
        <v>81484000000</v>
      </c>
      <c r="N11" s="141">
        <v>34854312386</v>
      </c>
      <c r="O11" s="143">
        <f t="shared" si="0"/>
        <v>0.42774424900593983</v>
      </c>
      <c r="P11" s="141">
        <v>34820836247</v>
      </c>
      <c r="Q11" s="143">
        <f t="shared" si="0"/>
        <v>0.42733341818025622</v>
      </c>
      <c r="R11" s="141">
        <v>32189413400</v>
      </c>
      <c r="S11" s="143">
        <f t="shared" ref="S11" si="4">+R11/$M11</f>
        <v>0.39503968140984735</v>
      </c>
    </row>
    <row r="12" spans="1:19" ht="24.95" customHeight="1">
      <c r="A12" s="32" t="e">
        <v>#REF!</v>
      </c>
      <c r="B12" s="144" t="s">
        <v>311</v>
      </c>
      <c r="C12" s="145" t="s">
        <v>23</v>
      </c>
      <c r="D12" s="145" t="s">
        <v>25</v>
      </c>
      <c r="E12" s="145" t="s">
        <v>25</v>
      </c>
      <c r="F12" s="145" t="s">
        <v>25</v>
      </c>
      <c r="G12" s="145" t="s">
        <v>31</v>
      </c>
      <c r="H12" s="145" t="s">
        <v>31</v>
      </c>
      <c r="I12" s="145"/>
      <c r="J12" s="145" t="s">
        <v>28</v>
      </c>
      <c r="K12" s="146" t="s">
        <v>29</v>
      </c>
      <c r="L12" s="147" t="s">
        <v>33</v>
      </c>
      <c r="M12" s="148">
        <v>67075000000</v>
      </c>
      <c r="N12" s="148">
        <v>29109377022</v>
      </c>
      <c r="O12" s="150">
        <f t="shared" si="0"/>
        <v>0.43398251244129704</v>
      </c>
      <c r="P12" s="148">
        <v>29090250923</v>
      </c>
      <c r="Q12" s="150">
        <f t="shared" si="0"/>
        <v>0.43369736746925086</v>
      </c>
      <c r="R12" s="148">
        <v>29090250923</v>
      </c>
      <c r="S12" s="150">
        <f t="shared" ref="S12" si="5">+R12/$M12</f>
        <v>0.43369736746925086</v>
      </c>
    </row>
    <row r="13" spans="1:19" ht="24.95" customHeight="1">
      <c r="A13" s="32" t="e">
        <v>#REF!</v>
      </c>
      <c r="B13" s="144" t="s">
        <v>313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34</v>
      </c>
      <c r="I13" s="145"/>
      <c r="J13" s="145" t="s">
        <v>28</v>
      </c>
      <c r="K13" s="146" t="s">
        <v>29</v>
      </c>
      <c r="L13" s="147" t="s">
        <v>35</v>
      </c>
      <c r="M13" s="148">
        <v>298000000</v>
      </c>
      <c r="N13" s="148">
        <v>129436662</v>
      </c>
      <c r="O13" s="150">
        <f t="shared" si="0"/>
        <v>0.43435121476510069</v>
      </c>
      <c r="P13" s="148">
        <v>128900937</v>
      </c>
      <c r="Q13" s="150">
        <f t="shared" si="0"/>
        <v>0.43255347986577181</v>
      </c>
      <c r="R13" s="148">
        <v>128900937</v>
      </c>
      <c r="S13" s="150">
        <f t="shared" ref="S13" si="6">+R13/$M13</f>
        <v>0.43255347986577181</v>
      </c>
    </row>
    <row r="14" spans="1:19" ht="24.95" customHeight="1">
      <c r="A14" s="32" t="e">
        <v>#REF!</v>
      </c>
      <c r="B14" s="144" t="s">
        <v>315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36</v>
      </c>
      <c r="I14" s="145"/>
      <c r="J14" s="145" t="s">
        <v>28</v>
      </c>
      <c r="K14" s="146" t="s">
        <v>29</v>
      </c>
      <c r="L14" s="147" t="s">
        <v>37</v>
      </c>
      <c r="M14" s="148">
        <v>540000000</v>
      </c>
      <c r="N14" s="148">
        <v>209472701</v>
      </c>
      <c r="O14" s="150">
        <f t="shared" si="0"/>
        <v>0.38791240925925924</v>
      </c>
      <c r="P14" s="148">
        <v>207445892</v>
      </c>
      <c r="Q14" s="150">
        <f t="shared" si="0"/>
        <v>0.38415905925925925</v>
      </c>
      <c r="R14" s="148">
        <v>207445892</v>
      </c>
      <c r="S14" s="150">
        <f t="shared" ref="S14" si="7">+R14/$M14</f>
        <v>0.38415905925925925</v>
      </c>
    </row>
    <row r="15" spans="1:19" ht="24.95" customHeight="1">
      <c r="A15" s="32" t="e">
        <v>#REF!</v>
      </c>
      <c r="B15" s="144" t="s">
        <v>317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38</v>
      </c>
      <c r="I15" s="145"/>
      <c r="J15" s="145" t="s">
        <v>28</v>
      </c>
      <c r="K15" s="146" t="s">
        <v>29</v>
      </c>
      <c r="L15" s="147" t="s">
        <v>39</v>
      </c>
      <c r="M15" s="148">
        <v>96000000</v>
      </c>
      <c r="N15" s="148">
        <v>44683450</v>
      </c>
      <c r="O15" s="150">
        <f t="shared" si="0"/>
        <v>0.46545260416666667</v>
      </c>
      <c r="P15" s="148">
        <v>44683450</v>
      </c>
      <c r="Q15" s="150">
        <f t="shared" si="0"/>
        <v>0.46545260416666667</v>
      </c>
      <c r="R15" s="148">
        <v>44683450</v>
      </c>
      <c r="S15" s="150">
        <f t="shared" ref="S15" si="8">+R15/$M15</f>
        <v>0.46545260416666667</v>
      </c>
    </row>
    <row r="16" spans="1:19" ht="24.95" customHeight="1">
      <c r="A16" s="32" t="e">
        <v>#REF!</v>
      </c>
      <c r="B16" s="144" t="s">
        <v>319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40</v>
      </c>
      <c r="I16" s="145"/>
      <c r="J16" s="145" t="s">
        <v>28</v>
      </c>
      <c r="K16" s="146" t="s">
        <v>29</v>
      </c>
      <c r="L16" s="147" t="s">
        <v>41</v>
      </c>
      <c r="M16" s="148">
        <v>100000000</v>
      </c>
      <c r="N16" s="148">
        <v>67143472</v>
      </c>
      <c r="O16" s="150">
        <f t="shared" si="0"/>
        <v>0.67143472000000004</v>
      </c>
      <c r="P16" s="148">
        <v>59437459</v>
      </c>
      <c r="Q16" s="150">
        <f t="shared" si="0"/>
        <v>0.59437459000000004</v>
      </c>
      <c r="R16" s="148">
        <v>59437459</v>
      </c>
      <c r="S16" s="150">
        <f t="shared" ref="S16" si="9">+R16/$M16</f>
        <v>0.59437459000000004</v>
      </c>
    </row>
    <row r="17" spans="1:45" ht="24.95" customHeight="1">
      <c r="A17" s="32" t="e">
        <v>#REF!</v>
      </c>
      <c r="B17" s="144" t="s">
        <v>321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42</v>
      </c>
      <c r="I17" s="145"/>
      <c r="J17" s="145" t="s">
        <v>28</v>
      </c>
      <c r="K17" s="146" t="s">
        <v>29</v>
      </c>
      <c r="L17" s="147" t="s">
        <v>43</v>
      </c>
      <c r="M17" s="148">
        <v>3050000000</v>
      </c>
      <c r="N17" s="148">
        <v>2725533120</v>
      </c>
      <c r="O17" s="150">
        <f t="shared" si="0"/>
        <v>0.89361741639344261</v>
      </c>
      <c r="P17" s="148">
        <v>2725533120</v>
      </c>
      <c r="Q17" s="150">
        <f t="shared" si="0"/>
        <v>0.89361741639344261</v>
      </c>
      <c r="R17" s="148">
        <v>94110273</v>
      </c>
      <c r="S17" s="150">
        <f t="shared" ref="S17" si="10">+R17/$M17</f>
        <v>3.0855827213114754E-2</v>
      </c>
    </row>
    <row r="18" spans="1:45" ht="24.95" customHeight="1">
      <c r="A18" s="32" t="e">
        <v>#REF!</v>
      </c>
      <c r="B18" s="144" t="s">
        <v>323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44</v>
      </c>
      <c r="I18" s="145"/>
      <c r="J18" s="145" t="s">
        <v>28</v>
      </c>
      <c r="K18" s="146" t="s">
        <v>29</v>
      </c>
      <c r="L18" s="147" t="s">
        <v>45</v>
      </c>
      <c r="M18" s="148">
        <v>1850000000</v>
      </c>
      <c r="N18" s="148">
        <v>1072686675</v>
      </c>
      <c r="O18" s="150">
        <f t="shared" si="0"/>
        <v>0.57983063513513511</v>
      </c>
      <c r="P18" s="148">
        <v>1072686675</v>
      </c>
      <c r="Q18" s="150">
        <f t="shared" si="0"/>
        <v>0.57983063513513511</v>
      </c>
      <c r="R18" s="148">
        <v>1072686675</v>
      </c>
      <c r="S18" s="150">
        <f t="shared" ref="S18" si="11">+R18/$M18</f>
        <v>0.57983063513513511</v>
      </c>
    </row>
    <row r="19" spans="1:45" ht="24.95" customHeight="1">
      <c r="A19" s="32" t="e">
        <v>#REF!</v>
      </c>
      <c r="B19" s="144" t="s">
        <v>325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46</v>
      </c>
      <c r="I19" s="145"/>
      <c r="J19" s="145" t="s">
        <v>28</v>
      </c>
      <c r="K19" s="146" t="s">
        <v>29</v>
      </c>
      <c r="L19" s="147" t="s">
        <v>47</v>
      </c>
      <c r="M19" s="148">
        <v>140000000</v>
      </c>
      <c r="N19" s="148">
        <v>58127460</v>
      </c>
      <c r="O19" s="150">
        <f t="shared" si="0"/>
        <v>0.41519614285714285</v>
      </c>
      <c r="P19" s="148">
        <v>58127460</v>
      </c>
      <c r="Q19" s="150">
        <f t="shared" si="0"/>
        <v>0.41519614285714285</v>
      </c>
      <c r="R19" s="148">
        <v>58127460</v>
      </c>
      <c r="S19" s="150">
        <f t="shared" ref="S19" si="12">+R19/$M19</f>
        <v>0.41519614285714285</v>
      </c>
    </row>
    <row r="20" spans="1:45" ht="24.95" customHeight="1">
      <c r="A20" s="32" t="e">
        <v>#REF!</v>
      </c>
      <c r="B20" s="144" t="s">
        <v>327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48</v>
      </c>
      <c r="I20" s="145"/>
      <c r="J20" s="145" t="s">
        <v>28</v>
      </c>
      <c r="K20" s="146" t="s">
        <v>29</v>
      </c>
      <c r="L20" s="147" t="s">
        <v>49</v>
      </c>
      <c r="M20" s="148">
        <v>5500000000</v>
      </c>
      <c r="N20" s="148">
        <v>74088979</v>
      </c>
      <c r="O20" s="150">
        <f t="shared" si="0"/>
        <v>1.3470723454545454E-2</v>
      </c>
      <c r="P20" s="148">
        <v>74088979</v>
      </c>
      <c r="Q20" s="150">
        <f t="shared" si="0"/>
        <v>1.3470723454545454E-2</v>
      </c>
      <c r="R20" s="148">
        <v>74088979</v>
      </c>
      <c r="S20" s="150">
        <f t="shared" ref="S20" si="13">+R20/$M20</f>
        <v>1.3470723454545454E-2</v>
      </c>
    </row>
    <row r="21" spans="1:45" ht="24.95" customHeight="1">
      <c r="A21" s="32" t="e">
        <v>#REF!</v>
      </c>
      <c r="B21" s="144" t="s">
        <v>329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50</v>
      </c>
      <c r="I21" s="145"/>
      <c r="J21" s="145" t="s">
        <v>28</v>
      </c>
      <c r="K21" s="146" t="s">
        <v>29</v>
      </c>
      <c r="L21" s="147" t="s">
        <v>51</v>
      </c>
      <c r="M21" s="148">
        <v>2800000000</v>
      </c>
      <c r="N21" s="148">
        <v>1352678373</v>
      </c>
      <c r="O21" s="150">
        <f t="shared" si="0"/>
        <v>0.48309941892857144</v>
      </c>
      <c r="P21" s="148">
        <v>1352678373</v>
      </c>
      <c r="Q21" s="150">
        <f t="shared" si="0"/>
        <v>0.48309941892857144</v>
      </c>
      <c r="R21" s="148">
        <v>1352678373</v>
      </c>
      <c r="S21" s="150">
        <f t="shared" ref="S21" si="14">+R21/$M21</f>
        <v>0.48309941892857144</v>
      </c>
    </row>
    <row r="22" spans="1:45" s="64" customFormat="1" ht="24.95" customHeight="1">
      <c r="A22" s="32" t="e">
        <v>#REF!</v>
      </c>
      <c r="B22" s="144" t="s">
        <v>553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51" t="s">
        <v>52</v>
      </c>
      <c r="I22" s="145"/>
      <c r="J22" s="145" t="s">
        <v>28</v>
      </c>
      <c r="K22" s="146" t="s">
        <v>29</v>
      </c>
      <c r="L22" s="147" t="s">
        <v>53</v>
      </c>
      <c r="M22" s="148">
        <v>35000000</v>
      </c>
      <c r="N22" s="148">
        <v>11084472</v>
      </c>
      <c r="O22" s="150">
        <f t="shared" si="0"/>
        <v>0.31669920000000001</v>
      </c>
      <c r="P22" s="148">
        <v>7002979</v>
      </c>
      <c r="Q22" s="150">
        <f t="shared" si="0"/>
        <v>0.20008511428571429</v>
      </c>
      <c r="R22" s="148">
        <v>7002979</v>
      </c>
      <c r="S22" s="150">
        <f t="shared" ref="S22" si="15">+R22/$M22</f>
        <v>0.20008511428571429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ht="24.95" customHeight="1">
      <c r="A23" s="32" t="e">
        <v>#REF!</v>
      </c>
      <c r="B23" s="132" t="s">
        <v>331</v>
      </c>
      <c r="C23" s="133" t="s">
        <v>23</v>
      </c>
      <c r="D23" s="133" t="s">
        <v>25</v>
      </c>
      <c r="E23" s="133" t="s">
        <v>25</v>
      </c>
      <c r="F23" s="133" t="s">
        <v>54</v>
      </c>
      <c r="G23" s="134"/>
      <c r="H23" s="134"/>
      <c r="I23" s="134"/>
      <c r="J23" s="133" t="s">
        <v>28</v>
      </c>
      <c r="K23" s="134" t="s">
        <v>29</v>
      </c>
      <c r="L23" s="134" t="s">
        <v>55</v>
      </c>
      <c r="M23" s="135">
        <v>29242000000</v>
      </c>
      <c r="N23" s="135">
        <v>15073351100</v>
      </c>
      <c r="O23" s="137">
        <f t="shared" si="0"/>
        <v>0.51546922577115106</v>
      </c>
      <c r="P23" s="135">
        <v>12885937770</v>
      </c>
      <c r="Q23" s="137">
        <f t="shared" si="0"/>
        <v>0.44066540489706585</v>
      </c>
      <c r="R23" s="135">
        <v>12885937770</v>
      </c>
      <c r="S23" s="137">
        <f t="shared" ref="S23" si="16">+R23/$M23</f>
        <v>0.44066540489706585</v>
      </c>
    </row>
    <row r="24" spans="1:45" ht="24.95" customHeight="1">
      <c r="A24" s="32" t="e">
        <v>#REF!</v>
      </c>
      <c r="B24" s="144" t="s">
        <v>333</v>
      </c>
      <c r="C24" s="145" t="s">
        <v>23</v>
      </c>
      <c r="D24" s="145" t="s">
        <v>25</v>
      </c>
      <c r="E24" s="145" t="s">
        <v>25</v>
      </c>
      <c r="F24" s="145" t="s">
        <v>54</v>
      </c>
      <c r="G24" s="145" t="s">
        <v>31</v>
      </c>
      <c r="H24" s="145"/>
      <c r="I24" s="145"/>
      <c r="J24" s="145" t="s">
        <v>28</v>
      </c>
      <c r="K24" s="146" t="s">
        <v>29</v>
      </c>
      <c r="L24" s="147" t="s">
        <v>56</v>
      </c>
      <c r="M24" s="148">
        <v>8897400000</v>
      </c>
      <c r="N24" s="148">
        <v>3901986300</v>
      </c>
      <c r="O24" s="150">
        <f t="shared" si="0"/>
        <v>0.43855354373187672</v>
      </c>
      <c r="P24" s="148">
        <v>3901986300</v>
      </c>
      <c r="Q24" s="150">
        <f t="shared" si="0"/>
        <v>0.43855354373187672</v>
      </c>
      <c r="R24" s="148">
        <v>3901986300</v>
      </c>
      <c r="S24" s="150">
        <f t="shared" ref="S24" si="17">+R24/$M24</f>
        <v>0.43855354373187672</v>
      </c>
    </row>
    <row r="25" spans="1:45" ht="24.95" customHeight="1">
      <c r="A25" s="32" t="e">
        <v>#REF!</v>
      </c>
      <c r="B25" s="144" t="s">
        <v>335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34</v>
      </c>
      <c r="H25" s="145"/>
      <c r="I25" s="145"/>
      <c r="J25" s="145" t="s">
        <v>28</v>
      </c>
      <c r="K25" s="146" t="s">
        <v>29</v>
      </c>
      <c r="L25" s="147" t="s">
        <v>57</v>
      </c>
      <c r="M25" s="148">
        <v>6302400000</v>
      </c>
      <c r="N25" s="148">
        <v>2777313100</v>
      </c>
      <c r="O25" s="150">
        <f t="shared" si="0"/>
        <v>0.4406754728357451</v>
      </c>
      <c r="P25" s="148">
        <v>2777313100</v>
      </c>
      <c r="Q25" s="150">
        <f t="shared" si="0"/>
        <v>0.4406754728357451</v>
      </c>
      <c r="R25" s="148">
        <v>2777313100</v>
      </c>
      <c r="S25" s="150">
        <f t="shared" ref="S25" si="18">+R25/$M25</f>
        <v>0.4406754728357451</v>
      </c>
    </row>
    <row r="26" spans="1:45" ht="24.95" customHeight="1">
      <c r="A26" s="32" t="e">
        <v>#REF!</v>
      </c>
      <c r="B26" s="144" t="s">
        <v>337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36</v>
      </c>
      <c r="H26" s="145"/>
      <c r="I26" s="145"/>
      <c r="J26" s="145" t="s">
        <v>28</v>
      </c>
      <c r="K26" s="146" t="s">
        <v>29</v>
      </c>
      <c r="L26" s="147" t="s">
        <v>58</v>
      </c>
      <c r="M26" s="148">
        <v>6109700000</v>
      </c>
      <c r="N26" s="148">
        <v>5000000000</v>
      </c>
      <c r="O26" s="150">
        <f t="shared" si="0"/>
        <v>0.8183707874363717</v>
      </c>
      <c r="P26" s="148">
        <v>2812586670</v>
      </c>
      <c r="Q26" s="150">
        <f t="shared" si="0"/>
        <v>0.46034775357218849</v>
      </c>
      <c r="R26" s="148">
        <v>2812586670</v>
      </c>
      <c r="S26" s="150">
        <f t="shared" ref="S26" si="19">+R26/$M26</f>
        <v>0.46034775357218849</v>
      </c>
    </row>
    <row r="27" spans="1:45" ht="24.95" customHeight="1">
      <c r="A27" s="32" t="e">
        <v>#REF!</v>
      </c>
      <c r="B27" s="144" t="s">
        <v>339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38</v>
      </c>
      <c r="H27" s="145"/>
      <c r="I27" s="145"/>
      <c r="J27" s="145" t="s">
        <v>28</v>
      </c>
      <c r="K27" s="146" t="s">
        <v>29</v>
      </c>
      <c r="L27" s="147" t="s">
        <v>59</v>
      </c>
      <c r="M27" s="148">
        <v>3187700000</v>
      </c>
      <c r="N27" s="148">
        <v>1369729900</v>
      </c>
      <c r="O27" s="150">
        <f t="shared" si="0"/>
        <v>0.42969222323305206</v>
      </c>
      <c r="P27" s="148">
        <v>1369729900</v>
      </c>
      <c r="Q27" s="150">
        <f t="shared" si="0"/>
        <v>0.42969222323305206</v>
      </c>
      <c r="R27" s="148">
        <v>1369729900</v>
      </c>
      <c r="S27" s="150">
        <f t="shared" ref="S27" si="20">+R27/$M27</f>
        <v>0.42969222323305206</v>
      </c>
    </row>
    <row r="28" spans="1:45" ht="24.95" customHeight="1">
      <c r="A28" s="32" t="e">
        <v>#REF!</v>
      </c>
      <c r="B28" s="144" t="s">
        <v>341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40</v>
      </c>
      <c r="H28" s="145"/>
      <c r="I28" s="145"/>
      <c r="J28" s="145" t="s">
        <v>28</v>
      </c>
      <c r="K28" s="146" t="s">
        <v>29</v>
      </c>
      <c r="L28" s="147" t="s">
        <v>60</v>
      </c>
      <c r="M28" s="148">
        <v>720000000</v>
      </c>
      <c r="N28" s="148">
        <v>311373200</v>
      </c>
      <c r="O28" s="150">
        <f t="shared" si="0"/>
        <v>0.43246277777777775</v>
      </c>
      <c r="P28" s="148">
        <v>311373200</v>
      </c>
      <c r="Q28" s="150">
        <f t="shared" si="0"/>
        <v>0.43246277777777775</v>
      </c>
      <c r="R28" s="148">
        <v>311373200</v>
      </c>
      <c r="S28" s="150">
        <f t="shared" ref="S28" si="21">+R28/$M28</f>
        <v>0.43246277777777775</v>
      </c>
    </row>
    <row r="29" spans="1:45" ht="24.95" customHeight="1">
      <c r="A29" s="32" t="e">
        <v>#REF!</v>
      </c>
      <c r="B29" s="144" t="s">
        <v>343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42</v>
      </c>
      <c r="H29" s="145"/>
      <c r="I29" s="145"/>
      <c r="J29" s="145" t="s">
        <v>28</v>
      </c>
      <c r="K29" s="146" t="s">
        <v>29</v>
      </c>
      <c r="L29" s="147" t="s">
        <v>61</v>
      </c>
      <c r="M29" s="148">
        <v>2414800000</v>
      </c>
      <c r="N29" s="148">
        <v>1027341700</v>
      </c>
      <c r="O29" s="150">
        <f t="shared" si="0"/>
        <v>0.42543552261056816</v>
      </c>
      <c r="P29" s="148">
        <v>1027341700</v>
      </c>
      <c r="Q29" s="150">
        <f t="shared" si="0"/>
        <v>0.42543552261056816</v>
      </c>
      <c r="R29" s="148">
        <v>1027341700</v>
      </c>
      <c r="S29" s="150">
        <f t="shared" ref="S29" si="22">+R29/$M29</f>
        <v>0.42543552261056816</v>
      </c>
    </row>
    <row r="30" spans="1:45" ht="24.95" customHeight="1">
      <c r="A30" s="32" t="e">
        <v>#REF!</v>
      </c>
      <c r="B30" s="144" t="s">
        <v>345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44</v>
      </c>
      <c r="H30" s="145"/>
      <c r="I30" s="145"/>
      <c r="J30" s="145" t="s">
        <v>28</v>
      </c>
      <c r="K30" s="146" t="s">
        <v>29</v>
      </c>
      <c r="L30" s="147" t="s">
        <v>62</v>
      </c>
      <c r="M30" s="148">
        <v>402500000</v>
      </c>
      <c r="N30" s="148">
        <v>171465300</v>
      </c>
      <c r="O30" s="150">
        <f t="shared" si="0"/>
        <v>0.42600074534161492</v>
      </c>
      <c r="P30" s="148">
        <v>171465300</v>
      </c>
      <c r="Q30" s="150">
        <f t="shared" si="0"/>
        <v>0.42600074534161492</v>
      </c>
      <c r="R30" s="148">
        <v>171465300</v>
      </c>
      <c r="S30" s="150">
        <f t="shared" ref="S30" si="23">+R30/$M30</f>
        <v>0.42600074534161492</v>
      </c>
    </row>
    <row r="31" spans="1:45" ht="24.95" customHeight="1">
      <c r="A31" s="32" t="e">
        <v>#REF!</v>
      </c>
      <c r="B31" s="144" t="s">
        <v>347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46</v>
      </c>
      <c r="H31" s="145"/>
      <c r="I31" s="145"/>
      <c r="J31" s="145" t="s">
        <v>28</v>
      </c>
      <c r="K31" s="146" t="s">
        <v>29</v>
      </c>
      <c r="L31" s="147" t="s">
        <v>63</v>
      </c>
      <c r="M31" s="148">
        <v>402500000</v>
      </c>
      <c r="N31" s="148">
        <v>171465300</v>
      </c>
      <c r="O31" s="150">
        <f t="shared" si="0"/>
        <v>0.42600074534161492</v>
      </c>
      <c r="P31" s="148">
        <v>171465300</v>
      </c>
      <c r="Q31" s="150">
        <f t="shared" si="0"/>
        <v>0.42600074534161492</v>
      </c>
      <c r="R31" s="148">
        <v>171465300</v>
      </c>
      <c r="S31" s="150">
        <f t="shared" ref="S31" si="24">+R31/$M31</f>
        <v>0.42600074534161492</v>
      </c>
    </row>
    <row r="32" spans="1:45" ht="24.75" customHeight="1">
      <c r="A32" s="32" t="e">
        <v>#REF!</v>
      </c>
      <c r="B32" s="144" t="s">
        <v>349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48</v>
      </c>
      <c r="H32" s="145"/>
      <c r="I32" s="145"/>
      <c r="J32" s="145" t="s">
        <v>28</v>
      </c>
      <c r="K32" s="146" t="s">
        <v>29</v>
      </c>
      <c r="L32" s="147" t="s">
        <v>64</v>
      </c>
      <c r="M32" s="148">
        <v>805000000</v>
      </c>
      <c r="N32" s="148">
        <v>342676300</v>
      </c>
      <c r="O32" s="150">
        <f t="shared" si="0"/>
        <v>0.42568484472049689</v>
      </c>
      <c r="P32" s="148">
        <v>342676300</v>
      </c>
      <c r="Q32" s="150">
        <f t="shared" si="0"/>
        <v>0.42568484472049689</v>
      </c>
      <c r="R32" s="148">
        <v>342676300</v>
      </c>
      <c r="S32" s="150">
        <f t="shared" ref="S32" si="25">+R32/$M32</f>
        <v>0.42568484472049689</v>
      </c>
    </row>
    <row r="33" spans="1:19" ht="24.95" customHeight="1">
      <c r="A33" s="32" t="e">
        <v>#REF!</v>
      </c>
      <c r="B33" s="132" t="s">
        <v>351</v>
      </c>
      <c r="C33" s="133" t="s">
        <v>23</v>
      </c>
      <c r="D33" s="133" t="s">
        <v>25</v>
      </c>
      <c r="E33" s="133" t="s">
        <v>25</v>
      </c>
      <c r="F33" s="133" t="s">
        <v>65</v>
      </c>
      <c r="G33" s="133"/>
      <c r="H33" s="134"/>
      <c r="I33" s="134"/>
      <c r="J33" s="133" t="s">
        <v>28</v>
      </c>
      <c r="K33" s="134" t="s">
        <v>29</v>
      </c>
      <c r="L33" s="134" t="s">
        <v>66</v>
      </c>
      <c r="M33" s="135">
        <v>7614000000</v>
      </c>
      <c r="N33" s="135">
        <v>4448567614</v>
      </c>
      <c r="O33" s="137">
        <f t="shared" si="0"/>
        <v>0.58426157262936695</v>
      </c>
      <c r="P33" s="135">
        <v>4440462595</v>
      </c>
      <c r="Q33" s="137">
        <f t="shared" si="0"/>
        <v>0.58319708366167589</v>
      </c>
      <c r="R33" s="135">
        <v>4440462595</v>
      </c>
      <c r="S33" s="137">
        <f t="shared" ref="S33" si="26">+R33/$M33</f>
        <v>0.58319708366167589</v>
      </c>
    </row>
    <row r="34" spans="1:19" ht="24.95" customHeight="1">
      <c r="A34" s="32" t="e">
        <v>#REF!</v>
      </c>
      <c r="B34" s="138" t="s">
        <v>353</v>
      </c>
      <c r="C34" s="139" t="s">
        <v>23</v>
      </c>
      <c r="D34" s="139" t="s">
        <v>25</v>
      </c>
      <c r="E34" s="139" t="s">
        <v>25</v>
      </c>
      <c r="F34" s="139" t="s">
        <v>65</v>
      </c>
      <c r="G34" s="139" t="s">
        <v>31</v>
      </c>
      <c r="H34" s="140"/>
      <c r="I34" s="140"/>
      <c r="J34" s="139" t="s">
        <v>28</v>
      </c>
      <c r="K34" s="140" t="s">
        <v>29</v>
      </c>
      <c r="L34" s="140" t="s">
        <v>67</v>
      </c>
      <c r="M34" s="141">
        <v>3537000000</v>
      </c>
      <c r="N34" s="141">
        <v>2244094386</v>
      </c>
      <c r="O34" s="143">
        <f t="shared" si="0"/>
        <v>0.63446264800678542</v>
      </c>
      <c r="P34" s="141">
        <v>2244094386</v>
      </c>
      <c r="Q34" s="143">
        <f t="shared" si="0"/>
        <v>0.63446264800678542</v>
      </c>
      <c r="R34" s="141">
        <v>2244094386</v>
      </c>
      <c r="S34" s="143">
        <f t="shared" ref="S34" si="27">+R34/$M34</f>
        <v>0.63446264800678542</v>
      </c>
    </row>
    <row r="35" spans="1:19" ht="24.95" customHeight="1">
      <c r="A35" s="32" t="e">
        <v>#REF!</v>
      </c>
      <c r="B35" s="144" t="s">
        <v>355</v>
      </c>
      <c r="C35" s="145" t="s">
        <v>23</v>
      </c>
      <c r="D35" s="145" t="s">
        <v>25</v>
      </c>
      <c r="E35" s="145" t="s">
        <v>25</v>
      </c>
      <c r="F35" s="145" t="s">
        <v>65</v>
      </c>
      <c r="G35" s="145" t="s">
        <v>31</v>
      </c>
      <c r="H35" s="145" t="s">
        <v>31</v>
      </c>
      <c r="I35" s="145"/>
      <c r="J35" s="145" t="s">
        <v>28</v>
      </c>
      <c r="K35" s="146" t="s">
        <v>29</v>
      </c>
      <c r="L35" s="147" t="s">
        <v>68</v>
      </c>
      <c r="M35" s="148">
        <v>2737000000</v>
      </c>
      <c r="N35" s="148">
        <v>1761787077</v>
      </c>
      <c r="O35" s="150">
        <f t="shared" si="0"/>
        <v>0.64369275739861165</v>
      </c>
      <c r="P35" s="148">
        <v>1761787077</v>
      </c>
      <c r="Q35" s="150">
        <f t="shared" si="0"/>
        <v>0.64369275739861165</v>
      </c>
      <c r="R35" s="148">
        <v>1761787077</v>
      </c>
      <c r="S35" s="150">
        <f t="shared" ref="S35" si="28">+R35/$M35</f>
        <v>0.64369275739861165</v>
      </c>
    </row>
    <row r="36" spans="1:19" ht="24.95" customHeight="1">
      <c r="A36" s="32" t="e">
        <v>#REF!</v>
      </c>
      <c r="B36" s="144" t="s">
        <v>357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34</v>
      </c>
      <c r="I36" s="145"/>
      <c r="J36" s="145" t="s">
        <v>28</v>
      </c>
      <c r="K36" s="146" t="s">
        <v>29</v>
      </c>
      <c r="L36" s="147" t="s">
        <v>69</v>
      </c>
      <c r="M36" s="148">
        <v>450000000</v>
      </c>
      <c r="N36" s="148">
        <v>318703866</v>
      </c>
      <c r="O36" s="150">
        <f t="shared" si="0"/>
        <v>0.70823081333333338</v>
      </c>
      <c r="P36" s="148">
        <v>318703866</v>
      </c>
      <c r="Q36" s="150">
        <f t="shared" si="0"/>
        <v>0.70823081333333338</v>
      </c>
      <c r="R36" s="148">
        <v>318703866</v>
      </c>
      <c r="S36" s="150">
        <f t="shared" ref="S36" si="29">+R36/$M36</f>
        <v>0.70823081333333338</v>
      </c>
    </row>
    <row r="37" spans="1:19" ht="24.95" customHeight="1">
      <c r="A37" s="32" t="e">
        <v>#REF!</v>
      </c>
      <c r="B37" s="144" t="s">
        <v>359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36</v>
      </c>
      <c r="I37" s="145"/>
      <c r="J37" s="145" t="s">
        <v>28</v>
      </c>
      <c r="K37" s="146" t="s">
        <v>29</v>
      </c>
      <c r="L37" s="147" t="s">
        <v>70</v>
      </c>
      <c r="M37" s="148">
        <v>350000000</v>
      </c>
      <c r="N37" s="148">
        <v>163603443</v>
      </c>
      <c r="O37" s="150">
        <f t="shared" si="0"/>
        <v>0.4674384085714286</v>
      </c>
      <c r="P37" s="148">
        <v>163603443</v>
      </c>
      <c r="Q37" s="150">
        <f t="shared" si="0"/>
        <v>0.4674384085714286</v>
      </c>
      <c r="R37" s="148">
        <v>163603443</v>
      </c>
      <c r="S37" s="150">
        <f t="shared" ref="S37" si="30">+R37/$M37</f>
        <v>0.4674384085714286</v>
      </c>
    </row>
    <row r="38" spans="1:19" ht="24.95" customHeight="1">
      <c r="A38" s="32" t="e">
        <v>#REF!</v>
      </c>
      <c r="B38" s="144" t="s">
        <v>361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34</v>
      </c>
      <c r="H38" s="145"/>
      <c r="I38" s="145"/>
      <c r="J38" s="145" t="s">
        <v>28</v>
      </c>
      <c r="K38" s="146" t="s">
        <v>29</v>
      </c>
      <c r="L38" s="147" t="s">
        <v>71</v>
      </c>
      <c r="M38" s="148">
        <v>2600000000</v>
      </c>
      <c r="N38" s="148">
        <v>1478823353</v>
      </c>
      <c r="O38" s="150">
        <f t="shared" si="0"/>
        <v>0.56877821269230766</v>
      </c>
      <c r="P38" s="148">
        <v>1470718334</v>
      </c>
      <c r="Q38" s="150">
        <f t="shared" si="0"/>
        <v>0.56566089769230765</v>
      </c>
      <c r="R38" s="148">
        <v>1470718334</v>
      </c>
      <c r="S38" s="150">
        <f t="shared" ref="S38" si="31">+R38/$M38</f>
        <v>0.56566089769230765</v>
      </c>
    </row>
    <row r="39" spans="1:19" ht="24.95" customHeight="1">
      <c r="A39" s="32" t="e">
        <v>#REF!</v>
      </c>
      <c r="B39" s="144" t="s">
        <v>363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40</v>
      </c>
      <c r="H39" s="145"/>
      <c r="I39" s="145"/>
      <c r="J39" s="145" t="s">
        <v>28</v>
      </c>
      <c r="K39" s="146" t="s">
        <v>29</v>
      </c>
      <c r="L39" s="147" t="s">
        <v>72</v>
      </c>
      <c r="M39" s="148">
        <v>12000000</v>
      </c>
      <c r="N39" s="148">
        <v>2301017</v>
      </c>
      <c r="O39" s="150">
        <f t="shared" si="0"/>
        <v>0.19175141666666667</v>
      </c>
      <c r="P39" s="148">
        <v>2301017</v>
      </c>
      <c r="Q39" s="150">
        <f t="shared" si="0"/>
        <v>0.19175141666666667</v>
      </c>
      <c r="R39" s="148">
        <v>2301017</v>
      </c>
      <c r="S39" s="150">
        <f t="shared" ref="S39" si="32">+R39/$M39</f>
        <v>0.19175141666666667</v>
      </c>
    </row>
    <row r="40" spans="1:19" ht="24.95" customHeight="1">
      <c r="A40" s="32" t="e">
        <v>#REF!</v>
      </c>
      <c r="B40" s="144" t="s">
        <v>364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51" t="s">
        <v>44</v>
      </c>
      <c r="H40" s="145"/>
      <c r="I40" s="145"/>
      <c r="J40" s="145" t="s">
        <v>28</v>
      </c>
      <c r="K40" s="146" t="s">
        <v>29</v>
      </c>
      <c r="L40" s="147" t="s">
        <v>73</v>
      </c>
      <c r="M40" s="148">
        <v>5000000</v>
      </c>
      <c r="N40" s="148">
        <v>0</v>
      </c>
      <c r="O40" s="150">
        <f t="shared" si="0"/>
        <v>0</v>
      </c>
      <c r="P40" s="148">
        <v>0</v>
      </c>
      <c r="Q40" s="150">
        <f t="shared" si="0"/>
        <v>0</v>
      </c>
      <c r="R40" s="148">
        <v>0</v>
      </c>
      <c r="S40" s="150">
        <f t="shared" ref="S40" si="33">+R40/$M40</f>
        <v>0</v>
      </c>
    </row>
    <row r="41" spans="1:19" ht="24.95" customHeight="1">
      <c r="A41" s="32" t="e">
        <v>#REF!</v>
      </c>
      <c r="B41" s="144" t="s">
        <v>366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45" t="s">
        <v>74</v>
      </c>
      <c r="H41" s="145"/>
      <c r="I41" s="145"/>
      <c r="J41" s="145" t="s">
        <v>28</v>
      </c>
      <c r="K41" s="146" t="s">
        <v>29</v>
      </c>
      <c r="L41" s="147" t="s">
        <v>75</v>
      </c>
      <c r="M41" s="148">
        <v>30000000</v>
      </c>
      <c r="N41" s="148">
        <v>0</v>
      </c>
      <c r="O41" s="150">
        <f t="shared" si="0"/>
        <v>0</v>
      </c>
      <c r="P41" s="148">
        <v>0</v>
      </c>
      <c r="Q41" s="150">
        <f t="shared" si="0"/>
        <v>0</v>
      </c>
      <c r="R41" s="148">
        <v>0</v>
      </c>
      <c r="S41" s="150">
        <f t="shared" ref="S41" si="34">+R41/$M41</f>
        <v>0</v>
      </c>
    </row>
    <row r="42" spans="1:19" ht="24.95" customHeight="1">
      <c r="A42" s="32" t="e">
        <v>#REF!</v>
      </c>
      <c r="B42" s="144" t="s">
        <v>368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76</v>
      </c>
      <c r="H42" s="145"/>
      <c r="I42" s="145"/>
      <c r="J42" s="145" t="s">
        <v>28</v>
      </c>
      <c r="K42" s="146" t="s">
        <v>29</v>
      </c>
      <c r="L42" s="147" t="s">
        <v>77</v>
      </c>
      <c r="M42" s="148">
        <v>840000000</v>
      </c>
      <c r="N42" s="148">
        <v>457056837</v>
      </c>
      <c r="O42" s="150">
        <f t="shared" si="0"/>
        <v>0.54411528214285709</v>
      </c>
      <c r="P42" s="148">
        <v>457056837</v>
      </c>
      <c r="Q42" s="150">
        <f t="shared" si="0"/>
        <v>0.54411528214285709</v>
      </c>
      <c r="R42" s="148">
        <v>457056837</v>
      </c>
      <c r="S42" s="150">
        <f t="shared" ref="S42" si="35">+R42/$M42</f>
        <v>0.54411528214285709</v>
      </c>
    </row>
    <row r="43" spans="1:19" ht="24.95" customHeight="1">
      <c r="A43" s="32" t="e">
        <v>#REF!</v>
      </c>
      <c r="B43" s="144" t="s">
        <v>370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78</v>
      </c>
      <c r="H43" s="145"/>
      <c r="I43" s="145"/>
      <c r="J43" s="145" t="s">
        <v>28</v>
      </c>
      <c r="K43" s="146" t="s">
        <v>29</v>
      </c>
      <c r="L43" s="147" t="s">
        <v>79</v>
      </c>
      <c r="M43" s="148">
        <v>590000000</v>
      </c>
      <c r="N43" s="148">
        <v>266292021</v>
      </c>
      <c r="O43" s="150">
        <f t="shared" si="0"/>
        <v>0.4513424084745763</v>
      </c>
      <c r="P43" s="148">
        <v>266292021</v>
      </c>
      <c r="Q43" s="150">
        <f t="shared" si="0"/>
        <v>0.4513424084745763</v>
      </c>
      <c r="R43" s="148">
        <v>266292021</v>
      </c>
      <c r="S43" s="150">
        <f t="shared" ref="S43" si="36">+R43/$M43</f>
        <v>0.4513424084745763</v>
      </c>
    </row>
    <row r="44" spans="1:19" ht="24" customHeight="1">
      <c r="A44" s="32" t="e">
        <v>#REF!</v>
      </c>
      <c r="B44" s="122" t="s">
        <v>372</v>
      </c>
      <c r="C44" s="123" t="s">
        <v>23</v>
      </c>
      <c r="D44" s="123" t="s">
        <v>54</v>
      </c>
      <c r="E44" s="123"/>
      <c r="F44" s="123"/>
      <c r="G44" s="123"/>
      <c r="H44" s="123"/>
      <c r="I44" s="123"/>
      <c r="J44" s="124"/>
      <c r="K44" s="124"/>
      <c r="L44" s="124" t="s">
        <v>80</v>
      </c>
      <c r="M44" s="125">
        <v>42290000000</v>
      </c>
      <c r="N44" s="125">
        <v>28555343062.110001</v>
      </c>
      <c r="O44" s="126">
        <f t="shared" si="0"/>
        <v>0.67522683996476707</v>
      </c>
      <c r="P44" s="125">
        <v>16562471167.700001</v>
      </c>
      <c r="Q44" s="126">
        <f t="shared" si="0"/>
        <v>0.39164036811775838</v>
      </c>
      <c r="R44" s="125">
        <v>16516676582.700001</v>
      </c>
      <c r="S44" s="126">
        <f t="shared" ref="S44" si="37">+R44/$M44</f>
        <v>0.39055749781745097</v>
      </c>
    </row>
    <row r="45" spans="1:19" ht="24" customHeight="1">
      <c r="A45" s="32" t="e">
        <v>#REF!</v>
      </c>
      <c r="B45" s="127" t="s">
        <v>377</v>
      </c>
      <c r="C45" s="128" t="s">
        <v>23</v>
      </c>
      <c r="D45" s="128" t="s">
        <v>54</v>
      </c>
      <c r="E45" s="128" t="s">
        <v>54</v>
      </c>
      <c r="F45" s="128"/>
      <c r="G45" s="128"/>
      <c r="H45" s="128"/>
      <c r="I45" s="128"/>
      <c r="J45" s="129"/>
      <c r="K45" s="129"/>
      <c r="L45" s="129" t="s">
        <v>86</v>
      </c>
      <c r="M45" s="130">
        <v>42290000000</v>
      </c>
      <c r="N45" s="130">
        <v>28555343062.110001</v>
      </c>
      <c r="O45" s="131">
        <f t="shared" si="0"/>
        <v>0.67522683996476707</v>
      </c>
      <c r="P45" s="130">
        <v>16562471167.700001</v>
      </c>
      <c r="Q45" s="131">
        <f t="shared" si="0"/>
        <v>0.39164036811775838</v>
      </c>
      <c r="R45" s="130">
        <v>16516676582.700001</v>
      </c>
      <c r="S45" s="131">
        <f t="shared" ref="S45" si="38">+R45/$M45</f>
        <v>0.39055749781745097</v>
      </c>
    </row>
    <row r="46" spans="1:19" ht="24.95" customHeight="1">
      <c r="A46" s="32" t="e">
        <v>#REF!</v>
      </c>
      <c r="B46" s="132" t="s">
        <v>379</v>
      </c>
      <c r="C46" s="133" t="s">
        <v>23</v>
      </c>
      <c r="D46" s="133" t="s">
        <v>54</v>
      </c>
      <c r="E46" s="133" t="s">
        <v>54</v>
      </c>
      <c r="F46" s="133" t="s">
        <v>25</v>
      </c>
      <c r="G46" s="133"/>
      <c r="H46" s="134"/>
      <c r="I46" s="134"/>
      <c r="J46" s="133" t="s">
        <v>28</v>
      </c>
      <c r="K46" s="134" t="s">
        <v>29</v>
      </c>
      <c r="L46" s="134" t="s">
        <v>87</v>
      </c>
      <c r="M46" s="135">
        <v>1107336410</v>
      </c>
      <c r="N46" s="135">
        <v>269911086</v>
      </c>
      <c r="O46" s="137">
        <f t="shared" si="0"/>
        <v>0.24374804581744042</v>
      </c>
      <c r="P46" s="135">
        <v>49978077.5</v>
      </c>
      <c r="Q46" s="137">
        <f t="shared" si="0"/>
        <v>4.5133599011704127E-2</v>
      </c>
      <c r="R46" s="135">
        <v>36131277.5</v>
      </c>
      <c r="S46" s="137">
        <f t="shared" ref="S46" si="39">+R46/$M46</f>
        <v>3.2628997993482393E-2</v>
      </c>
    </row>
    <row r="47" spans="1:19" ht="24.95" customHeight="1">
      <c r="A47" s="32" t="e">
        <v>#REF!</v>
      </c>
      <c r="B47" s="138" t="s">
        <v>381</v>
      </c>
      <c r="C47" s="139" t="s">
        <v>23</v>
      </c>
      <c r="D47" s="139" t="s">
        <v>54</v>
      </c>
      <c r="E47" s="139" t="s">
        <v>54</v>
      </c>
      <c r="F47" s="139" t="s">
        <v>25</v>
      </c>
      <c r="G47" s="139" t="s">
        <v>31</v>
      </c>
      <c r="H47" s="140"/>
      <c r="I47" s="140"/>
      <c r="J47" s="139" t="s">
        <v>28</v>
      </c>
      <c r="K47" s="140" t="s">
        <v>29</v>
      </c>
      <c r="L47" s="140" t="s">
        <v>88</v>
      </c>
      <c r="M47" s="141">
        <v>26000000</v>
      </c>
      <c r="N47" s="141">
        <v>26000000</v>
      </c>
      <c r="O47" s="143">
        <f t="shared" si="0"/>
        <v>1</v>
      </c>
      <c r="P47" s="141">
        <v>0</v>
      </c>
      <c r="Q47" s="143">
        <f t="shared" si="0"/>
        <v>0</v>
      </c>
      <c r="R47" s="141">
        <v>0</v>
      </c>
      <c r="S47" s="143">
        <f t="shared" ref="S47" si="40">+R47/$M47</f>
        <v>0</v>
      </c>
    </row>
    <row r="48" spans="1:19" ht="24.95" customHeight="1">
      <c r="A48" s="32" t="e">
        <v>#REF!</v>
      </c>
      <c r="B48" s="144" t="s">
        <v>555</v>
      </c>
      <c r="C48" s="145" t="s">
        <v>23</v>
      </c>
      <c r="D48" s="145" t="s">
        <v>54</v>
      </c>
      <c r="E48" s="145" t="s">
        <v>54</v>
      </c>
      <c r="F48" s="145" t="s">
        <v>25</v>
      </c>
      <c r="G48" s="145" t="s">
        <v>31</v>
      </c>
      <c r="H48" s="145" t="s">
        <v>40</v>
      </c>
      <c r="I48" s="145"/>
      <c r="J48" s="145">
        <v>10</v>
      </c>
      <c r="K48" s="146" t="s">
        <v>29</v>
      </c>
      <c r="L48" s="147" t="s">
        <v>89</v>
      </c>
      <c r="M48" s="148">
        <v>13000000</v>
      </c>
      <c r="N48" s="148">
        <v>13000000</v>
      </c>
      <c r="O48" s="150">
        <f t="shared" si="0"/>
        <v>1</v>
      </c>
      <c r="P48" s="148">
        <v>0</v>
      </c>
      <c r="Q48" s="150">
        <f t="shared" si="0"/>
        <v>0</v>
      </c>
      <c r="R48" s="148">
        <v>0</v>
      </c>
      <c r="S48" s="150">
        <f t="shared" ref="S48" si="41">+R48/$M48</f>
        <v>0</v>
      </c>
    </row>
    <row r="49" spans="1:19" ht="24.95" customHeight="1">
      <c r="A49" s="32" t="e">
        <v>#REF!</v>
      </c>
      <c r="B49" s="144" t="s">
        <v>557</v>
      </c>
      <c r="C49" s="145" t="s">
        <v>23</v>
      </c>
      <c r="D49" s="145" t="s">
        <v>54</v>
      </c>
      <c r="E49" s="145" t="s">
        <v>54</v>
      </c>
      <c r="F49" s="145" t="s">
        <v>25</v>
      </c>
      <c r="G49" s="145" t="s">
        <v>31</v>
      </c>
      <c r="H49" s="145" t="s">
        <v>44</v>
      </c>
      <c r="I49" s="145"/>
      <c r="J49" s="145">
        <v>10</v>
      </c>
      <c r="K49" s="146" t="s">
        <v>29</v>
      </c>
      <c r="L49" s="147" t="s">
        <v>90</v>
      </c>
      <c r="M49" s="148">
        <v>13000000</v>
      </c>
      <c r="N49" s="148">
        <v>13000000</v>
      </c>
      <c r="O49" s="150">
        <f t="shared" si="0"/>
        <v>1</v>
      </c>
      <c r="P49" s="148">
        <v>0</v>
      </c>
      <c r="Q49" s="150">
        <f t="shared" si="0"/>
        <v>0</v>
      </c>
      <c r="R49" s="148">
        <v>0</v>
      </c>
      <c r="S49" s="150">
        <f t="shared" ref="S49" si="42">+R49/$M49</f>
        <v>0</v>
      </c>
    </row>
    <row r="50" spans="1:19" ht="24.95" customHeight="1">
      <c r="A50" s="32" t="e">
        <v>#REF!</v>
      </c>
      <c r="B50" s="138" t="s">
        <v>383</v>
      </c>
      <c r="C50" s="139" t="s">
        <v>23</v>
      </c>
      <c r="D50" s="139" t="s">
        <v>54</v>
      </c>
      <c r="E50" s="139" t="s">
        <v>54</v>
      </c>
      <c r="F50" s="139" t="s">
        <v>25</v>
      </c>
      <c r="G50" s="139" t="s">
        <v>34</v>
      </c>
      <c r="H50" s="140"/>
      <c r="I50" s="140"/>
      <c r="J50" s="139" t="s">
        <v>28</v>
      </c>
      <c r="K50" s="140" t="s">
        <v>29</v>
      </c>
      <c r="L50" s="140" t="s">
        <v>91</v>
      </c>
      <c r="M50" s="141">
        <v>130000000</v>
      </c>
      <c r="N50" s="141">
        <v>0</v>
      </c>
      <c r="O50" s="143">
        <f t="shared" si="0"/>
        <v>0</v>
      </c>
      <c r="P50" s="141">
        <v>0</v>
      </c>
      <c r="Q50" s="143">
        <f t="shared" si="0"/>
        <v>0</v>
      </c>
      <c r="R50" s="141">
        <v>0</v>
      </c>
      <c r="S50" s="143">
        <f t="shared" ref="S50" si="43">+R50/$M50</f>
        <v>0</v>
      </c>
    </row>
    <row r="51" spans="1:19" ht="24.95" customHeight="1">
      <c r="A51" s="32" t="e">
        <v>#REF!</v>
      </c>
      <c r="B51" s="144" t="s">
        <v>559</v>
      </c>
      <c r="C51" s="145" t="s">
        <v>23</v>
      </c>
      <c r="D51" s="145" t="s">
        <v>54</v>
      </c>
      <c r="E51" s="145" t="s">
        <v>54</v>
      </c>
      <c r="F51" s="145" t="s">
        <v>25</v>
      </c>
      <c r="G51" s="145" t="s">
        <v>34</v>
      </c>
      <c r="H51" s="145" t="s">
        <v>46</v>
      </c>
      <c r="I51" s="145"/>
      <c r="J51" s="145">
        <v>10</v>
      </c>
      <c r="K51" s="146" t="s">
        <v>29</v>
      </c>
      <c r="L51" s="147" t="s">
        <v>92</v>
      </c>
      <c r="M51" s="148">
        <v>130000000</v>
      </c>
      <c r="N51" s="148">
        <v>0</v>
      </c>
      <c r="O51" s="150">
        <f t="shared" si="0"/>
        <v>0</v>
      </c>
      <c r="P51" s="148">
        <v>0</v>
      </c>
      <c r="Q51" s="150">
        <f t="shared" si="0"/>
        <v>0</v>
      </c>
      <c r="R51" s="148">
        <v>0</v>
      </c>
      <c r="S51" s="150">
        <f t="shared" ref="S51" si="44">+R51/$M51</f>
        <v>0</v>
      </c>
    </row>
    <row r="52" spans="1:19" ht="24.95" customHeight="1">
      <c r="A52" s="32" t="e">
        <v>#REF!</v>
      </c>
      <c r="B52" s="138" t="s">
        <v>385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36</v>
      </c>
      <c r="H52" s="140"/>
      <c r="I52" s="140"/>
      <c r="J52" s="139" t="s">
        <v>28</v>
      </c>
      <c r="K52" s="140" t="s">
        <v>29</v>
      </c>
      <c r="L52" s="140" t="s">
        <v>93</v>
      </c>
      <c r="M52" s="141">
        <v>637241390</v>
      </c>
      <c r="N52" s="141">
        <v>192340006</v>
      </c>
      <c r="O52" s="143">
        <f t="shared" si="0"/>
        <v>0.3018322554346321</v>
      </c>
      <c r="P52" s="141">
        <v>44827343.5</v>
      </c>
      <c r="Q52" s="143">
        <f t="shared" si="0"/>
        <v>7.0345938295062721E-2</v>
      </c>
      <c r="R52" s="141">
        <v>34001340.5</v>
      </c>
      <c r="S52" s="143">
        <f t="shared" ref="S52" si="45">+R52/$M52</f>
        <v>5.3357081058403942E-2</v>
      </c>
    </row>
    <row r="53" spans="1:19" ht="24.95" customHeight="1">
      <c r="A53" s="32" t="e">
        <v>#REF!</v>
      </c>
      <c r="B53" s="144" t="s">
        <v>561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36</v>
      </c>
      <c r="H53" s="145" t="s">
        <v>34</v>
      </c>
      <c r="I53" s="145"/>
      <c r="J53" s="145">
        <v>10</v>
      </c>
      <c r="K53" s="146" t="s">
        <v>29</v>
      </c>
      <c r="L53" s="147" t="s">
        <v>94</v>
      </c>
      <c r="M53" s="148">
        <v>325100000</v>
      </c>
      <c r="N53" s="148">
        <v>103729898</v>
      </c>
      <c r="O53" s="150">
        <f t="shared" si="0"/>
        <v>0.31907074131036606</v>
      </c>
      <c r="P53" s="148">
        <v>415130</v>
      </c>
      <c r="Q53" s="150">
        <f t="shared" si="0"/>
        <v>1.2769301753306674E-3</v>
      </c>
      <c r="R53" s="148">
        <v>400000</v>
      </c>
      <c r="S53" s="150">
        <f t="shared" ref="S53" si="46">+R53/$M53</f>
        <v>1.2303906490310674E-3</v>
      </c>
    </row>
    <row r="54" spans="1:19" ht="24.95" customHeight="1">
      <c r="A54" s="32" t="e">
        <v>#REF!</v>
      </c>
      <c r="B54" s="144" t="s">
        <v>563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36</v>
      </c>
      <c r="H54" s="145" t="s">
        <v>36</v>
      </c>
      <c r="I54" s="145"/>
      <c r="J54" s="145">
        <v>10</v>
      </c>
      <c r="K54" s="146" t="s">
        <v>29</v>
      </c>
      <c r="L54" s="147" t="s">
        <v>95</v>
      </c>
      <c r="M54" s="148">
        <v>57946108</v>
      </c>
      <c r="N54" s="148">
        <v>33610108</v>
      </c>
      <c r="O54" s="150">
        <f t="shared" si="0"/>
        <v>0.58002356258335763</v>
      </c>
      <c r="P54" s="148">
        <v>25462124.5</v>
      </c>
      <c r="Q54" s="150">
        <f t="shared" si="0"/>
        <v>0.4394104346058928</v>
      </c>
      <c r="R54" s="148">
        <v>25462124.5</v>
      </c>
      <c r="S54" s="150">
        <f t="shared" ref="S54" si="47">+R54/$M54</f>
        <v>0.4394104346058928</v>
      </c>
    </row>
    <row r="55" spans="1:19" ht="24.95" customHeight="1">
      <c r="A55" s="32" t="e">
        <v>#REF!</v>
      </c>
      <c r="B55" s="144" t="s">
        <v>565</v>
      </c>
      <c r="C55" s="145" t="s">
        <v>23</v>
      </c>
      <c r="D55" s="145" t="s">
        <v>54</v>
      </c>
      <c r="E55" s="145" t="s">
        <v>54</v>
      </c>
      <c r="F55" s="145" t="s">
        <v>25</v>
      </c>
      <c r="G55" s="145" t="s">
        <v>36</v>
      </c>
      <c r="H55" s="145" t="s">
        <v>40</v>
      </c>
      <c r="I55" s="145"/>
      <c r="J55" s="145">
        <v>10</v>
      </c>
      <c r="K55" s="146" t="s">
        <v>29</v>
      </c>
      <c r="L55" s="147" t="s">
        <v>96</v>
      </c>
      <c r="M55" s="148">
        <v>37000000</v>
      </c>
      <c r="N55" s="148">
        <v>7000000</v>
      </c>
      <c r="O55" s="150">
        <f t="shared" si="0"/>
        <v>0.1891891891891892</v>
      </c>
      <c r="P55" s="148">
        <v>2558396</v>
      </c>
      <c r="Q55" s="150">
        <f t="shared" si="0"/>
        <v>6.9145837837837842E-2</v>
      </c>
      <c r="R55" s="148">
        <v>0</v>
      </c>
      <c r="S55" s="150">
        <f t="shared" ref="S55" si="48">+R55/$M55</f>
        <v>0</v>
      </c>
    </row>
    <row r="56" spans="1:19" ht="24.95" customHeight="1">
      <c r="A56" s="32" t="e">
        <v>#REF!</v>
      </c>
      <c r="B56" s="144" t="s">
        <v>567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36</v>
      </c>
      <c r="H56" s="145" t="s">
        <v>42</v>
      </c>
      <c r="I56" s="145"/>
      <c r="J56" s="145">
        <v>10</v>
      </c>
      <c r="K56" s="146" t="s">
        <v>29</v>
      </c>
      <c r="L56" s="147" t="s">
        <v>97</v>
      </c>
      <c r="M56" s="148">
        <v>73000000</v>
      </c>
      <c r="N56" s="148">
        <v>23000000</v>
      </c>
      <c r="O56" s="150">
        <f t="shared" si="0"/>
        <v>0.31506849315068491</v>
      </c>
      <c r="P56" s="148">
        <v>3744054</v>
      </c>
      <c r="Q56" s="150">
        <f t="shared" si="0"/>
        <v>5.1288410958904108E-2</v>
      </c>
      <c r="R56" s="148">
        <v>2893800</v>
      </c>
      <c r="S56" s="150">
        <f t="shared" ref="S56" si="49">+R56/$M56</f>
        <v>3.9641095890410961E-2</v>
      </c>
    </row>
    <row r="57" spans="1:19" ht="24.95" customHeight="1">
      <c r="A57" s="32" t="e">
        <v>#REF!</v>
      </c>
      <c r="B57" s="144" t="s">
        <v>571</v>
      </c>
      <c r="C57" s="145" t="s">
        <v>23</v>
      </c>
      <c r="D57" s="145" t="s">
        <v>54</v>
      </c>
      <c r="E57" s="145" t="s">
        <v>54</v>
      </c>
      <c r="F57" s="145" t="s">
        <v>25</v>
      </c>
      <c r="G57" s="145" t="s">
        <v>36</v>
      </c>
      <c r="H57" s="145" t="s">
        <v>46</v>
      </c>
      <c r="I57" s="145"/>
      <c r="J57" s="145">
        <v>10</v>
      </c>
      <c r="K57" s="146" t="s">
        <v>29</v>
      </c>
      <c r="L57" s="147" t="s">
        <v>99</v>
      </c>
      <c r="M57" s="148">
        <v>144195282</v>
      </c>
      <c r="N57" s="148">
        <v>25000000</v>
      </c>
      <c r="O57" s="150">
        <f t="shared" si="0"/>
        <v>0.17337599159451</v>
      </c>
      <c r="P57" s="148">
        <v>12647639</v>
      </c>
      <c r="Q57" s="150">
        <f t="shared" si="0"/>
        <v>8.7711878118175879E-2</v>
      </c>
      <c r="R57" s="148">
        <v>5245416</v>
      </c>
      <c r="S57" s="150">
        <f t="shared" ref="S57" si="50">+R57/$M57</f>
        <v>3.637716801302833E-2</v>
      </c>
    </row>
    <row r="58" spans="1:19" ht="24.95" customHeight="1">
      <c r="A58" s="32" t="e">
        <v>#REF!</v>
      </c>
      <c r="B58" s="138" t="s">
        <v>387</v>
      </c>
      <c r="C58" s="139" t="s">
        <v>23</v>
      </c>
      <c r="D58" s="139" t="s">
        <v>54</v>
      </c>
      <c r="E58" s="139" t="s">
        <v>54</v>
      </c>
      <c r="F58" s="139" t="s">
        <v>25</v>
      </c>
      <c r="G58" s="139" t="s">
        <v>38</v>
      </c>
      <c r="H58" s="140"/>
      <c r="I58" s="140"/>
      <c r="J58" s="139" t="s">
        <v>28</v>
      </c>
      <c r="K58" s="140" t="s">
        <v>29</v>
      </c>
      <c r="L58" s="140" t="s">
        <v>100</v>
      </c>
      <c r="M58" s="141">
        <v>314095020</v>
      </c>
      <c r="N58" s="141">
        <v>51571080</v>
      </c>
      <c r="O58" s="143">
        <f t="shared" si="0"/>
        <v>0.16418942267852576</v>
      </c>
      <c r="P58" s="141">
        <v>5150734</v>
      </c>
      <c r="Q58" s="143">
        <f t="shared" si="0"/>
        <v>1.6398649045756917E-2</v>
      </c>
      <c r="R58" s="141">
        <v>2129937</v>
      </c>
      <c r="S58" s="143">
        <f t="shared" ref="S58" si="51">+R58/$M58</f>
        <v>6.7811867886348534E-3</v>
      </c>
    </row>
    <row r="59" spans="1:19" ht="24.95" customHeight="1">
      <c r="A59" s="32" t="e">
        <v>#REF!</v>
      </c>
      <c r="B59" s="144" t="s">
        <v>573</v>
      </c>
      <c r="C59" s="145" t="s">
        <v>23</v>
      </c>
      <c r="D59" s="145" t="s">
        <v>54</v>
      </c>
      <c r="E59" s="145" t="s">
        <v>54</v>
      </c>
      <c r="F59" s="145" t="s">
        <v>25</v>
      </c>
      <c r="G59" s="145" t="s">
        <v>38</v>
      </c>
      <c r="H59" s="145" t="s">
        <v>34</v>
      </c>
      <c r="I59" s="145"/>
      <c r="J59" s="145">
        <v>10</v>
      </c>
      <c r="K59" s="146" t="s">
        <v>29</v>
      </c>
      <c r="L59" s="147" t="s">
        <v>101</v>
      </c>
      <c r="M59" s="148">
        <v>28000000</v>
      </c>
      <c r="N59" s="148">
        <v>28000000</v>
      </c>
      <c r="O59" s="150">
        <f t="shared" si="0"/>
        <v>1</v>
      </c>
      <c r="P59" s="148">
        <v>5150734</v>
      </c>
      <c r="Q59" s="150">
        <f t="shared" si="0"/>
        <v>0.18395478571428572</v>
      </c>
      <c r="R59" s="148">
        <v>2129937</v>
      </c>
      <c r="S59" s="150">
        <f t="shared" ref="S59" si="52">+R59/$M59</f>
        <v>7.6069178571428572E-2</v>
      </c>
    </row>
    <row r="60" spans="1:19" ht="24.95" customHeight="1">
      <c r="A60" s="32" t="e">
        <v>#REF!</v>
      </c>
      <c r="B60" s="144" t="s">
        <v>575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38</v>
      </c>
      <c r="H60" s="145" t="s">
        <v>40</v>
      </c>
      <c r="I60" s="145"/>
      <c r="J60" s="145">
        <v>10</v>
      </c>
      <c r="K60" s="146" t="s">
        <v>29</v>
      </c>
      <c r="L60" s="147" t="s">
        <v>102</v>
      </c>
      <c r="M60" s="148">
        <v>90000000</v>
      </c>
      <c r="N60" s="148">
        <v>0</v>
      </c>
      <c r="O60" s="150">
        <f t="shared" si="0"/>
        <v>0</v>
      </c>
      <c r="P60" s="148">
        <v>0</v>
      </c>
      <c r="Q60" s="150">
        <f t="shared" si="0"/>
        <v>0</v>
      </c>
      <c r="R60" s="148">
        <v>0</v>
      </c>
      <c r="S60" s="150">
        <f t="shared" ref="S60" si="53">+R60/$M60</f>
        <v>0</v>
      </c>
    </row>
    <row r="61" spans="1:19" ht="24.95" customHeight="1">
      <c r="A61" s="32" t="e">
        <v>#REF!</v>
      </c>
      <c r="B61" s="144" t="s">
        <v>577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38</v>
      </c>
      <c r="H61" s="145" t="s">
        <v>42</v>
      </c>
      <c r="I61" s="145"/>
      <c r="J61" s="145">
        <v>10</v>
      </c>
      <c r="K61" s="146" t="s">
        <v>29</v>
      </c>
      <c r="L61" s="147" t="s">
        <v>84</v>
      </c>
      <c r="M61" s="148">
        <v>108000000</v>
      </c>
      <c r="N61" s="148">
        <v>23571080</v>
      </c>
      <c r="O61" s="150">
        <f t="shared" si="0"/>
        <v>0.21825074074074075</v>
      </c>
      <c r="P61" s="148">
        <v>0</v>
      </c>
      <c r="Q61" s="150">
        <f t="shared" si="0"/>
        <v>0</v>
      </c>
      <c r="R61" s="148">
        <v>0</v>
      </c>
      <c r="S61" s="150">
        <f t="shared" ref="S61" si="54">+R61/$M61</f>
        <v>0</v>
      </c>
    </row>
    <row r="62" spans="1:19" ht="24.95" customHeight="1">
      <c r="A62" s="32" t="e">
        <v>#REF!</v>
      </c>
      <c r="B62" s="144" t="s">
        <v>579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38</v>
      </c>
      <c r="H62" s="145" t="s">
        <v>44</v>
      </c>
      <c r="I62" s="145"/>
      <c r="J62" s="145">
        <v>10</v>
      </c>
      <c r="K62" s="146" t="s">
        <v>29</v>
      </c>
      <c r="L62" s="147" t="s">
        <v>85</v>
      </c>
      <c r="M62" s="148">
        <v>88095020</v>
      </c>
      <c r="N62" s="148">
        <v>0</v>
      </c>
      <c r="O62" s="150">
        <f t="shared" si="0"/>
        <v>0</v>
      </c>
      <c r="P62" s="148">
        <v>0</v>
      </c>
      <c r="Q62" s="150">
        <f t="shared" si="0"/>
        <v>0</v>
      </c>
      <c r="R62" s="148">
        <v>0</v>
      </c>
      <c r="S62" s="150">
        <f t="shared" ref="S62" si="55">+R62/$M62</f>
        <v>0</v>
      </c>
    </row>
    <row r="63" spans="1:19" ht="24.95" customHeight="1">
      <c r="A63" s="32" t="e">
        <v>#REF!</v>
      </c>
      <c r="B63" s="132" t="s">
        <v>389</v>
      </c>
      <c r="C63" s="133" t="s">
        <v>23</v>
      </c>
      <c r="D63" s="133" t="s">
        <v>54</v>
      </c>
      <c r="E63" s="133" t="s">
        <v>54</v>
      </c>
      <c r="F63" s="133" t="s">
        <v>54</v>
      </c>
      <c r="G63" s="133"/>
      <c r="H63" s="134"/>
      <c r="I63" s="134"/>
      <c r="J63" s="133" t="s">
        <v>28</v>
      </c>
      <c r="K63" s="134" t="s">
        <v>29</v>
      </c>
      <c r="L63" s="134" t="s">
        <v>103</v>
      </c>
      <c r="M63" s="135">
        <v>41182663590</v>
      </c>
      <c r="N63" s="135">
        <v>28285431976.110001</v>
      </c>
      <c r="O63" s="137">
        <f t="shared" si="0"/>
        <v>0.68682861938483952</v>
      </c>
      <c r="P63" s="135">
        <v>16512493090.200001</v>
      </c>
      <c r="Q63" s="137">
        <f t="shared" si="0"/>
        <v>0.40095738475278164</v>
      </c>
      <c r="R63" s="135">
        <v>16480545305.200001</v>
      </c>
      <c r="S63" s="137">
        <f t="shared" ref="S63" si="56">+R63/$M63</f>
        <v>0.4001816266493704</v>
      </c>
    </row>
    <row r="64" spans="1:19" ht="31.5" customHeight="1">
      <c r="A64" s="32" t="e">
        <v>#REF!</v>
      </c>
      <c r="B64" s="138" t="s">
        <v>391</v>
      </c>
      <c r="C64" s="139" t="s">
        <v>23</v>
      </c>
      <c r="D64" s="139" t="s">
        <v>54</v>
      </c>
      <c r="E64" s="139" t="s">
        <v>54</v>
      </c>
      <c r="F64" s="139" t="s">
        <v>54</v>
      </c>
      <c r="G64" s="139" t="s">
        <v>42</v>
      </c>
      <c r="H64" s="140"/>
      <c r="I64" s="140"/>
      <c r="J64" s="139" t="s">
        <v>28</v>
      </c>
      <c r="K64" s="140" t="s">
        <v>29</v>
      </c>
      <c r="L64" s="140" t="s">
        <v>104</v>
      </c>
      <c r="M64" s="141">
        <v>7032453772</v>
      </c>
      <c r="N64" s="141">
        <v>5843545421.3000002</v>
      </c>
      <c r="O64" s="143">
        <f t="shared" si="0"/>
        <v>0.83093975598763459</v>
      </c>
      <c r="P64" s="141">
        <v>3981493784.2200003</v>
      </c>
      <c r="Q64" s="143">
        <f t="shared" si="0"/>
        <v>0.56615996539820557</v>
      </c>
      <c r="R64" s="141">
        <v>3975763982.2200003</v>
      </c>
      <c r="S64" s="143">
        <f t="shared" ref="S64" si="57">+R64/$M64</f>
        <v>0.5653451997153065</v>
      </c>
    </row>
    <row r="65" spans="1:19" ht="24.95" customHeight="1">
      <c r="A65" s="32" t="e">
        <v>#REF!</v>
      </c>
      <c r="B65" s="144" t="s">
        <v>583</v>
      </c>
      <c r="C65" s="145" t="s">
        <v>23</v>
      </c>
      <c r="D65" s="145" t="s">
        <v>54</v>
      </c>
      <c r="E65" s="145" t="s">
        <v>54</v>
      </c>
      <c r="F65" s="145" t="s">
        <v>54</v>
      </c>
      <c r="G65" s="145" t="s">
        <v>42</v>
      </c>
      <c r="H65" s="145" t="s">
        <v>36</v>
      </c>
      <c r="I65" s="145"/>
      <c r="J65" s="145">
        <v>10</v>
      </c>
      <c r="K65" s="146" t="s">
        <v>29</v>
      </c>
      <c r="L65" s="147" t="s">
        <v>105</v>
      </c>
      <c r="M65" s="148">
        <v>120448180</v>
      </c>
      <c r="N65" s="148">
        <v>102796732</v>
      </c>
      <c r="O65" s="150">
        <f t="shared" si="0"/>
        <v>0.85345193260703478</v>
      </c>
      <c r="P65" s="148">
        <v>56844253</v>
      </c>
      <c r="Q65" s="150">
        <f t="shared" si="0"/>
        <v>0.47193949298362164</v>
      </c>
      <c r="R65" s="148">
        <v>56844253</v>
      </c>
      <c r="S65" s="150">
        <f t="shared" ref="S65" si="58">+R65/$M65</f>
        <v>0.47193949298362164</v>
      </c>
    </row>
    <row r="66" spans="1:19" ht="24.95" customHeight="1">
      <c r="A66" s="32" t="e">
        <v>#REF!</v>
      </c>
      <c r="B66" s="144" t="s">
        <v>585</v>
      </c>
      <c r="C66" s="145" t="s">
        <v>23</v>
      </c>
      <c r="D66" s="145" t="s">
        <v>54</v>
      </c>
      <c r="E66" s="145" t="s">
        <v>54</v>
      </c>
      <c r="F66" s="145" t="s">
        <v>54</v>
      </c>
      <c r="G66" s="145" t="s">
        <v>42</v>
      </c>
      <c r="H66" s="145" t="s">
        <v>38</v>
      </c>
      <c r="I66" s="145"/>
      <c r="J66" s="145">
        <v>10</v>
      </c>
      <c r="K66" s="146" t="s">
        <v>29</v>
      </c>
      <c r="L66" s="147" t="s">
        <v>106</v>
      </c>
      <c r="M66" s="148">
        <v>3465505592</v>
      </c>
      <c r="N66" s="148">
        <v>2930185271</v>
      </c>
      <c r="O66" s="150">
        <f t="shared" si="0"/>
        <v>0.84552894035555204</v>
      </c>
      <c r="P66" s="148">
        <v>1852336043</v>
      </c>
      <c r="Q66" s="150">
        <f t="shared" si="0"/>
        <v>0.53450672458184856</v>
      </c>
      <c r="R66" s="148">
        <v>1852336043</v>
      </c>
      <c r="S66" s="150">
        <f t="shared" ref="S66" si="59">+R66/$M66</f>
        <v>0.53450672458184856</v>
      </c>
    </row>
    <row r="67" spans="1:19" ht="24.95" customHeight="1">
      <c r="A67" s="32" t="e">
        <v>#REF!</v>
      </c>
      <c r="B67" s="144" t="s">
        <v>587</v>
      </c>
      <c r="C67" s="145" t="s">
        <v>23</v>
      </c>
      <c r="D67" s="145" t="s">
        <v>54</v>
      </c>
      <c r="E67" s="145" t="s">
        <v>54</v>
      </c>
      <c r="F67" s="145" t="s">
        <v>54</v>
      </c>
      <c r="G67" s="145" t="s">
        <v>42</v>
      </c>
      <c r="H67" s="145" t="s">
        <v>40</v>
      </c>
      <c r="I67" s="145"/>
      <c r="J67" s="145">
        <v>10</v>
      </c>
      <c r="K67" s="146" t="s">
        <v>29</v>
      </c>
      <c r="L67" s="147" t="s">
        <v>107</v>
      </c>
      <c r="M67" s="148">
        <v>100000000</v>
      </c>
      <c r="N67" s="148">
        <v>100000000</v>
      </c>
      <c r="O67" s="150">
        <f t="shared" si="0"/>
        <v>1</v>
      </c>
      <c r="P67" s="148">
        <v>0</v>
      </c>
      <c r="Q67" s="150">
        <f t="shared" si="0"/>
        <v>0</v>
      </c>
      <c r="R67" s="148">
        <v>0</v>
      </c>
      <c r="S67" s="150">
        <f t="shared" ref="S67" si="60">+R67/$M67</f>
        <v>0</v>
      </c>
    </row>
    <row r="68" spans="1:19" ht="24.95" customHeight="1">
      <c r="A68" s="32" t="e">
        <v>#REF!</v>
      </c>
      <c r="B68" s="144" t="s">
        <v>591</v>
      </c>
      <c r="C68" s="145" t="s">
        <v>23</v>
      </c>
      <c r="D68" s="145" t="s">
        <v>54</v>
      </c>
      <c r="E68" s="145" t="s">
        <v>54</v>
      </c>
      <c r="F68" s="145" t="s">
        <v>54</v>
      </c>
      <c r="G68" s="145" t="s">
        <v>42</v>
      </c>
      <c r="H68" s="145" t="s">
        <v>46</v>
      </c>
      <c r="I68" s="145"/>
      <c r="J68" s="145">
        <v>10</v>
      </c>
      <c r="K68" s="146" t="s">
        <v>29</v>
      </c>
      <c r="L68" s="147" t="s">
        <v>108</v>
      </c>
      <c r="M68" s="148">
        <v>2216500000</v>
      </c>
      <c r="N68" s="148">
        <v>2163580900</v>
      </c>
      <c r="O68" s="150">
        <f t="shared" si="0"/>
        <v>0.97612492668621698</v>
      </c>
      <c r="P68" s="148">
        <v>1526190959</v>
      </c>
      <c r="Q68" s="150">
        <f t="shared" si="0"/>
        <v>0.68855897090006768</v>
      </c>
      <c r="R68" s="148">
        <v>1526190959</v>
      </c>
      <c r="S68" s="150">
        <f t="shared" ref="S68" si="61">+R68/$M68</f>
        <v>0.68855897090006768</v>
      </c>
    </row>
    <row r="69" spans="1:19" ht="24.95" customHeight="1">
      <c r="A69" s="32" t="e">
        <v>#REF!</v>
      </c>
      <c r="B69" s="144" t="s">
        <v>593</v>
      </c>
      <c r="C69" s="145" t="s">
        <v>23</v>
      </c>
      <c r="D69" s="145" t="s">
        <v>54</v>
      </c>
      <c r="E69" s="145" t="s">
        <v>54</v>
      </c>
      <c r="F69" s="145" t="s">
        <v>54</v>
      </c>
      <c r="G69" s="145" t="s">
        <v>42</v>
      </c>
      <c r="H69" s="145" t="s">
        <v>48</v>
      </c>
      <c r="I69" s="145"/>
      <c r="J69" s="145">
        <v>10</v>
      </c>
      <c r="K69" s="146" t="s">
        <v>29</v>
      </c>
      <c r="L69" s="147" t="s">
        <v>109</v>
      </c>
      <c r="M69" s="148">
        <v>1130000000</v>
      </c>
      <c r="N69" s="148">
        <v>546982518.29999995</v>
      </c>
      <c r="O69" s="150">
        <f t="shared" si="0"/>
        <v>0.48405532592920347</v>
      </c>
      <c r="P69" s="148">
        <v>546122529.22000003</v>
      </c>
      <c r="Q69" s="150">
        <f t="shared" si="0"/>
        <v>0.48329427364601774</v>
      </c>
      <c r="R69" s="148">
        <v>540392727.22000003</v>
      </c>
      <c r="S69" s="150">
        <f t="shared" ref="S69" si="62">+R69/$M69</f>
        <v>0.47822365240707965</v>
      </c>
    </row>
    <row r="70" spans="1:19" ht="24.95" customHeight="1">
      <c r="A70" s="32" t="e">
        <v>#REF!</v>
      </c>
      <c r="B70" s="138" t="s">
        <v>393</v>
      </c>
      <c r="C70" s="139" t="s">
        <v>23</v>
      </c>
      <c r="D70" s="139" t="s">
        <v>54</v>
      </c>
      <c r="E70" s="139" t="s">
        <v>54</v>
      </c>
      <c r="F70" s="139" t="s">
        <v>54</v>
      </c>
      <c r="G70" s="139" t="s">
        <v>44</v>
      </c>
      <c r="H70" s="140"/>
      <c r="I70" s="140"/>
      <c r="J70" s="139" t="s">
        <v>28</v>
      </c>
      <c r="K70" s="140" t="s">
        <v>29</v>
      </c>
      <c r="L70" s="140" t="s">
        <v>110</v>
      </c>
      <c r="M70" s="141">
        <v>15487327230</v>
      </c>
      <c r="N70" s="141">
        <v>13151002559</v>
      </c>
      <c r="O70" s="143">
        <f t="shared" si="0"/>
        <v>0.84914603815728895</v>
      </c>
      <c r="P70" s="141">
        <v>7351560931</v>
      </c>
      <c r="Q70" s="143">
        <f t="shared" si="0"/>
        <v>0.47468235298596451</v>
      </c>
      <c r="R70" s="141">
        <v>7351560931</v>
      </c>
      <c r="S70" s="143">
        <f t="shared" ref="S70" si="63">+R70/$M70</f>
        <v>0.47468235298596451</v>
      </c>
    </row>
    <row r="71" spans="1:19" ht="24.95" customHeight="1">
      <c r="A71" s="32" t="e">
        <v>#REF!</v>
      </c>
      <c r="B71" s="144" t="s">
        <v>595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44</v>
      </c>
      <c r="H71" s="145" t="s">
        <v>31</v>
      </c>
      <c r="I71" s="145"/>
      <c r="J71" s="145">
        <v>10</v>
      </c>
      <c r="K71" s="146" t="s">
        <v>29</v>
      </c>
      <c r="L71" s="147" t="s">
        <v>111</v>
      </c>
      <c r="M71" s="148">
        <v>263200000</v>
      </c>
      <c r="N71" s="148">
        <v>13084824</v>
      </c>
      <c r="O71" s="150">
        <f t="shared" si="0"/>
        <v>4.9714376899696051E-2</v>
      </c>
      <c r="P71" s="148">
        <v>10903109</v>
      </c>
      <c r="Q71" s="150">
        <f t="shared" si="0"/>
        <v>4.1425186170212763E-2</v>
      </c>
      <c r="R71" s="148">
        <v>10903109</v>
      </c>
      <c r="S71" s="150">
        <f t="shared" ref="S71" si="64">+R71/$M71</f>
        <v>4.1425186170212763E-2</v>
      </c>
    </row>
    <row r="72" spans="1:19" ht="24.95" customHeight="1">
      <c r="A72" s="32" t="e">
        <v>#REF!</v>
      </c>
      <c r="B72" s="144" t="s">
        <v>597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44</v>
      </c>
      <c r="H72" s="145" t="s">
        <v>34</v>
      </c>
      <c r="I72" s="145"/>
      <c r="J72" s="145">
        <v>10</v>
      </c>
      <c r="K72" s="146" t="s">
        <v>29</v>
      </c>
      <c r="L72" s="147" t="s">
        <v>112</v>
      </c>
      <c r="M72" s="148">
        <v>15224127230</v>
      </c>
      <c r="N72" s="148">
        <v>13137917735</v>
      </c>
      <c r="O72" s="150">
        <f t="shared" ref="O72:Q135" si="65">+N72/$M72</f>
        <v>0.86296689041792773</v>
      </c>
      <c r="P72" s="148">
        <v>7340657822</v>
      </c>
      <c r="Q72" s="150">
        <f t="shared" si="65"/>
        <v>0.48217265338763199</v>
      </c>
      <c r="R72" s="148">
        <v>7340657822</v>
      </c>
      <c r="S72" s="150">
        <f t="shared" ref="S72" si="66">+R72/$M72</f>
        <v>0.48217265338763199</v>
      </c>
    </row>
    <row r="73" spans="1:19" ht="24.95" customHeight="1">
      <c r="A73" s="32" t="e">
        <v>#REF!</v>
      </c>
      <c r="B73" s="138" t="s">
        <v>395</v>
      </c>
      <c r="C73" s="139" t="s">
        <v>23</v>
      </c>
      <c r="D73" s="139" t="s">
        <v>54</v>
      </c>
      <c r="E73" s="139" t="s">
        <v>54</v>
      </c>
      <c r="F73" s="139" t="s">
        <v>54</v>
      </c>
      <c r="G73" s="139" t="s">
        <v>46</v>
      </c>
      <c r="H73" s="140"/>
      <c r="I73" s="140"/>
      <c r="J73" s="139" t="s">
        <v>28</v>
      </c>
      <c r="K73" s="140" t="s">
        <v>29</v>
      </c>
      <c r="L73" s="140" t="s">
        <v>113</v>
      </c>
      <c r="M73" s="141">
        <v>15188382588</v>
      </c>
      <c r="N73" s="141">
        <v>8491560382.6800003</v>
      </c>
      <c r="O73" s="143">
        <f t="shared" si="65"/>
        <v>0.55908259707580654</v>
      </c>
      <c r="P73" s="141">
        <v>4718041389.8900003</v>
      </c>
      <c r="Q73" s="143">
        <f t="shared" si="65"/>
        <v>0.31063487916202603</v>
      </c>
      <c r="R73" s="141">
        <v>4691966407.8900003</v>
      </c>
      <c r="S73" s="143">
        <f t="shared" ref="S73" si="67">+R73/$M73</f>
        <v>0.30891810768560818</v>
      </c>
    </row>
    <row r="74" spans="1:19" ht="24.95" customHeight="1">
      <c r="A74" s="32" t="e">
        <v>#REF!</v>
      </c>
      <c r="B74" s="144" t="s">
        <v>599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46</v>
      </c>
      <c r="H74" s="145" t="s">
        <v>34</v>
      </c>
      <c r="I74" s="145"/>
      <c r="J74" s="145">
        <v>10</v>
      </c>
      <c r="K74" s="146" t="s">
        <v>29</v>
      </c>
      <c r="L74" s="147" t="s">
        <v>114</v>
      </c>
      <c r="M74" s="148">
        <v>35792800</v>
      </c>
      <c r="N74" s="148">
        <v>33192800</v>
      </c>
      <c r="O74" s="150">
        <f t="shared" si="65"/>
        <v>0.92735969245211325</v>
      </c>
      <c r="P74" s="148">
        <v>4206496</v>
      </c>
      <c r="Q74" s="150">
        <f t="shared" si="65"/>
        <v>0.11752352428421359</v>
      </c>
      <c r="R74" s="148">
        <v>4206496</v>
      </c>
      <c r="S74" s="150">
        <f t="shared" ref="S74" si="68">+R74/$M74</f>
        <v>0.11752352428421359</v>
      </c>
    </row>
    <row r="75" spans="1:19" ht="24.95" customHeight="1">
      <c r="A75" s="32" t="e">
        <v>#REF!</v>
      </c>
      <c r="B75" s="144" t="s">
        <v>601</v>
      </c>
      <c r="C75" s="145" t="s">
        <v>23</v>
      </c>
      <c r="D75" s="145" t="s">
        <v>54</v>
      </c>
      <c r="E75" s="145" t="s">
        <v>54</v>
      </c>
      <c r="F75" s="145" t="s">
        <v>54</v>
      </c>
      <c r="G75" s="145" t="s">
        <v>46</v>
      </c>
      <c r="H75" s="145" t="s">
        <v>36</v>
      </c>
      <c r="I75" s="145"/>
      <c r="J75" s="145">
        <v>10</v>
      </c>
      <c r="K75" s="146" t="s">
        <v>29</v>
      </c>
      <c r="L75" s="147" t="s">
        <v>115</v>
      </c>
      <c r="M75" s="148">
        <v>5461348466</v>
      </c>
      <c r="N75" s="148">
        <v>2164342006</v>
      </c>
      <c r="O75" s="150">
        <f t="shared" si="65"/>
        <v>0.39630175944169466</v>
      </c>
      <c r="P75" s="148">
        <v>756630527</v>
      </c>
      <c r="Q75" s="150">
        <f t="shared" si="65"/>
        <v>0.13854280343223938</v>
      </c>
      <c r="R75" s="148">
        <v>736817812</v>
      </c>
      <c r="S75" s="150">
        <f t="shared" ref="S75" si="69">+R75/$M75</f>
        <v>0.13491499701714876</v>
      </c>
    </row>
    <row r="76" spans="1:19" ht="24.95" customHeight="1">
      <c r="A76" s="32" t="e">
        <v>#REF!</v>
      </c>
      <c r="B76" s="144" t="s">
        <v>603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46</v>
      </c>
      <c r="H76" s="145" t="s">
        <v>38</v>
      </c>
      <c r="I76" s="145"/>
      <c r="J76" s="145">
        <v>10</v>
      </c>
      <c r="K76" s="146" t="s">
        <v>29</v>
      </c>
      <c r="L76" s="147" t="s">
        <v>116</v>
      </c>
      <c r="M76" s="148">
        <v>2319583585.75</v>
      </c>
      <c r="N76" s="148">
        <v>1549349053.75</v>
      </c>
      <c r="O76" s="150">
        <f t="shared" si="65"/>
        <v>0.66794275630685795</v>
      </c>
      <c r="P76" s="148">
        <v>1259787335.3800001</v>
      </c>
      <c r="Q76" s="150">
        <f t="shared" si="65"/>
        <v>0.54310926457632613</v>
      </c>
      <c r="R76" s="148">
        <v>1259747041.3800001</v>
      </c>
      <c r="S76" s="150">
        <f t="shared" ref="S76" si="70">+R76/$M76</f>
        <v>0.54309189335493646</v>
      </c>
    </row>
    <row r="77" spans="1:19" ht="24.95" customHeight="1">
      <c r="A77" s="32" t="e">
        <v>#REF!</v>
      </c>
      <c r="B77" s="144" t="s">
        <v>605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46</v>
      </c>
      <c r="H77" s="145" t="s">
        <v>40</v>
      </c>
      <c r="I77" s="145"/>
      <c r="J77" s="145">
        <v>10</v>
      </c>
      <c r="K77" s="146" t="s">
        <v>29</v>
      </c>
      <c r="L77" s="147" t="s">
        <v>117</v>
      </c>
      <c r="M77" s="148">
        <v>6135862612.25</v>
      </c>
      <c r="N77" s="148">
        <v>4117994338</v>
      </c>
      <c r="O77" s="150">
        <f t="shared" si="65"/>
        <v>0.67113535589577766</v>
      </c>
      <c r="P77" s="148">
        <v>2539708904.1700001</v>
      </c>
      <c r="Q77" s="150">
        <f t="shared" si="65"/>
        <v>0.41391228335190794</v>
      </c>
      <c r="R77" s="148">
        <v>2539708904.1700001</v>
      </c>
      <c r="S77" s="150">
        <f t="shared" ref="S77" si="71">+R77/$M77</f>
        <v>0.41391228335190794</v>
      </c>
    </row>
    <row r="78" spans="1:19" ht="24.95" customHeight="1">
      <c r="A78" s="32" t="e">
        <v>#REF!</v>
      </c>
      <c r="B78" s="144" t="s">
        <v>607</v>
      </c>
      <c r="C78" s="145" t="s">
        <v>23</v>
      </c>
      <c r="D78" s="145" t="s">
        <v>54</v>
      </c>
      <c r="E78" s="145" t="s">
        <v>54</v>
      </c>
      <c r="F78" s="145" t="s">
        <v>54</v>
      </c>
      <c r="G78" s="145" t="s">
        <v>46</v>
      </c>
      <c r="H78" s="145" t="s">
        <v>44</v>
      </c>
      <c r="I78" s="145"/>
      <c r="J78" s="145">
        <v>10</v>
      </c>
      <c r="K78" s="146" t="s">
        <v>29</v>
      </c>
      <c r="L78" s="147" t="s">
        <v>118</v>
      </c>
      <c r="M78" s="148">
        <v>917795124</v>
      </c>
      <c r="N78" s="148">
        <v>483693784.93000001</v>
      </c>
      <c r="O78" s="150">
        <f t="shared" si="65"/>
        <v>0.52701716568500745</v>
      </c>
      <c r="P78" s="148">
        <v>105867627.34</v>
      </c>
      <c r="Q78" s="150">
        <f t="shared" si="65"/>
        <v>0.11534995618477485</v>
      </c>
      <c r="R78" s="148">
        <v>99645654.340000004</v>
      </c>
      <c r="S78" s="150">
        <f t="shared" ref="S78" si="72">+R78/$M78</f>
        <v>0.10857069484714325</v>
      </c>
    </row>
    <row r="79" spans="1:19" ht="24.95" customHeight="1">
      <c r="A79" s="32" t="e">
        <v>#REF!</v>
      </c>
      <c r="B79" s="144" t="s">
        <v>609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48</v>
      </c>
      <c r="I79" s="145"/>
      <c r="J79" s="145">
        <v>10</v>
      </c>
      <c r="K79" s="146" t="s">
        <v>29</v>
      </c>
      <c r="L79" s="147" t="s">
        <v>119</v>
      </c>
      <c r="M79" s="148">
        <v>318000000</v>
      </c>
      <c r="N79" s="148">
        <v>142988400</v>
      </c>
      <c r="O79" s="150">
        <f t="shared" si="65"/>
        <v>0.44964905660377358</v>
      </c>
      <c r="P79" s="148">
        <v>51840500</v>
      </c>
      <c r="Q79" s="150">
        <f t="shared" si="65"/>
        <v>0.16302044025157233</v>
      </c>
      <c r="R79" s="148">
        <v>51840500</v>
      </c>
      <c r="S79" s="150">
        <f t="shared" ref="S79" si="73">+R79/$M79</f>
        <v>0.16302044025157233</v>
      </c>
    </row>
    <row r="80" spans="1:19" ht="24.95" customHeight="1">
      <c r="A80" s="32" t="e">
        <v>#REF!</v>
      </c>
      <c r="B80" s="138" t="s">
        <v>397</v>
      </c>
      <c r="C80" s="139" t="s">
        <v>23</v>
      </c>
      <c r="D80" s="139" t="s">
        <v>54</v>
      </c>
      <c r="E80" s="139" t="s">
        <v>54</v>
      </c>
      <c r="F80" s="139" t="s">
        <v>54</v>
      </c>
      <c r="G80" s="139" t="s">
        <v>48</v>
      </c>
      <c r="H80" s="140"/>
      <c r="I80" s="140"/>
      <c r="J80" s="139" t="s">
        <v>28</v>
      </c>
      <c r="K80" s="140" t="s">
        <v>29</v>
      </c>
      <c r="L80" s="140" t="s">
        <v>120</v>
      </c>
      <c r="M80" s="141">
        <v>2552500000</v>
      </c>
      <c r="N80" s="141">
        <v>256339671.13</v>
      </c>
      <c r="O80" s="143">
        <f t="shared" si="65"/>
        <v>0.10042690347894222</v>
      </c>
      <c r="P80" s="141">
        <v>65275122.090000004</v>
      </c>
      <c r="Q80" s="143">
        <f t="shared" si="65"/>
        <v>2.5573015510284038E-2</v>
      </c>
      <c r="R80" s="141">
        <v>65132121.090000004</v>
      </c>
      <c r="S80" s="143">
        <f t="shared" ref="S80" si="74">+R80/$M80</f>
        <v>2.5516991612144959E-2</v>
      </c>
    </row>
    <row r="81" spans="1:19" ht="24.95" customHeight="1">
      <c r="A81" s="32" t="e">
        <v>#REF!</v>
      </c>
      <c r="B81" s="144" t="s">
        <v>611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48</v>
      </c>
      <c r="H81" s="145" t="s">
        <v>34</v>
      </c>
      <c r="I81" s="145"/>
      <c r="J81" s="145">
        <v>10</v>
      </c>
      <c r="K81" s="146" t="s">
        <v>29</v>
      </c>
      <c r="L81" s="147" t="s">
        <v>121</v>
      </c>
      <c r="M81" s="148">
        <v>870000000</v>
      </c>
      <c r="N81" s="148">
        <v>0</v>
      </c>
      <c r="O81" s="150">
        <f t="shared" si="65"/>
        <v>0</v>
      </c>
      <c r="P81" s="148">
        <v>0</v>
      </c>
      <c r="Q81" s="150">
        <f t="shared" si="65"/>
        <v>0</v>
      </c>
      <c r="R81" s="148">
        <v>0</v>
      </c>
      <c r="S81" s="150">
        <f t="shared" ref="S81" si="75">+R81/$M81</f>
        <v>0</v>
      </c>
    </row>
    <row r="82" spans="1:19" ht="24.95" customHeight="1">
      <c r="A82" s="32" t="e">
        <v>#REF!</v>
      </c>
      <c r="B82" s="144" t="s">
        <v>613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48</v>
      </c>
      <c r="H82" s="145" t="s">
        <v>36</v>
      </c>
      <c r="I82" s="145"/>
      <c r="J82" s="145">
        <v>10</v>
      </c>
      <c r="K82" s="146" t="s">
        <v>29</v>
      </c>
      <c r="L82" s="147" t="s">
        <v>122</v>
      </c>
      <c r="M82" s="148">
        <v>300000000</v>
      </c>
      <c r="N82" s="148">
        <v>135097908</v>
      </c>
      <c r="O82" s="150">
        <f t="shared" si="65"/>
        <v>0.45032635999999998</v>
      </c>
      <c r="P82" s="148">
        <v>28278654</v>
      </c>
      <c r="Q82" s="150">
        <f t="shared" si="65"/>
        <v>9.4262180000000001E-2</v>
      </c>
      <c r="R82" s="148">
        <v>28278654</v>
      </c>
      <c r="S82" s="150">
        <f t="shared" ref="S82" si="76">+R82/$M82</f>
        <v>9.4262180000000001E-2</v>
      </c>
    </row>
    <row r="83" spans="1:19" ht="24.95" customHeight="1">
      <c r="A83" s="32" t="e">
        <v>#REF!</v>
      </c>
      <c r="B83" s="144" t="s">
        <v>615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48</v>
      </c>
      <c r="H83" s="145" t="s">
        <v>38</v>
      </c>
      <c r="I83" s="145"/>
      <c r="J83" s="145">
        <v>10</v>
      </c>
      <c r="K83" s="146" t="s">
        <v>29</v>
      </c>
      <c r="L83" s="147" t="s">
        <v>123</v>
      </c>
      <c r="M83" s="148">
        <v>87500000</v>
      </c>
      <c r="N83" s="148">
        <v>31241763.129999999</v>
      </c>
      <c r="O83" s="150">
        <f t="shared" si="65"/>
        <v>0.35704872148571426</v>
      </c>
      <c r="P83" s="148">
        <v>31192474.09</v>
      </c>
      <c r="Q83" s="150">
        <f t="shared" si="65"/>
        <v>0.35648541817142859</v>
      </c>
      <c r="R83" s="148">
        <v>31049473.09</v>
      </c>
      <c r="S83" s="150">
        <f t="shared" ref="S83" si="77">+R83/$M83</f>
        <v>0.35485112102857141</v>
      </c>
    </row>
    <row r="84" spans="1:19" ht="24.95" customHeight="1">
      <c r="A84" s="32" t="e">
        <v>#REF!</v>
      </c>
      <c r="B84" s="144" t="s">
        <v>617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48</v>
      </c>
      <c r="H84" s="145" t="s">
        <v>42</v>
      </c>
      <c r="I84" s="145"/>
      <c r="J84" s="145">
        <v>10</v>
      </c>
      <c r="K84" s="146" t="s">
        <v>29</v>
      </c>
      <c r="L84" s="147" t="s">
        <v>124</v>
      </c>
      <c r="M84" s="148">
        <v>1250000000</v>
      </c>
      <c r="N84" s="148">
        <v>90000000</v>
      </c>
      <c r="O84" s="150">
        <f t="shared" si="65"/>
        <v>7.1999999999999995E-2</v>
      </c>
      <c r="P84" s="148">
        <v>5803994</v>
      </c>
      <c r="Q84" s="150">
        <f t="shared" si="65"/>
        <v>4.6431952000000002E-3</v>
      </c>
      <c r="R84" s="148">
        <v>5803994</v>
      </c>
      <c r="S84" s="150">
        <f t="shared" ref="S84" si="78">+R84/$M84</f>
        <v>4.6431952000000002E-3</v>
      </c>
    </row>
    <row r="85" spans="1:19" ht="24.95" customHeight="1">
      <c r="A85" s="32" t="e">
        <v>#REF!</v>
      </c>
      <c r="B85" s="144" t="s">
        <v>619</v>
      </c>
      <c r="C85" s="145" t="s">
        <v>23</v>
      </c>
      <c r="D85" s="145" t="s">
        <v>54</v>
      </c>
      <c r="E85" s="145" t="s">
        <v>54</v>
      </c>
      <c r="F85" s="145" t="s">
        <v>54</v>
      </c>
      <c r="G85" s="145" t="s">
        <v>48</v>
      </c>
      <c r="H85" s="145" t="s">
        <v>44</v>
      </c>
      <c r="I85" s="145"/>
      <c r="J85" s="145">
        <v>10</v>
      </c>
      <c r="K85" s="146" t="s">
        <v>29</v>
      </c>
      <c r="L85" s="147" t="s">
        <v>125</v>
      </c>
      <c r="M85" s="148">
        <v>45000000</v>
      </c>
      <c r="N85" s="148">
        <v>0</v>
      </c>
      <c r="O85" s="150">
        <f t="shared" si="65"/>
        <v>0</v>
      </c>
      <c r="P85" s="148">
        <v>0</v>
      </c>
      <c r="Q85" s="150">
        <f t="shared" si="65"/>
        <v>0</v>
      </c>
      <c r="R85" s="148">
        <v>0</v>
      </c>
      <c r="S85" s="150">
        <f t="shared" ref="S85" si="79">+R85/$M85</f>
        <v>0</v>
      </c>
    </row>
    <row r="86" spans="1:19" ht="24.95" customHeight="1">
      <c r="A86" s="32" t="e">
        <v>#REF!</v>
      </c>
      <c r="B86" s="144" t="s">
        <v>399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50</v>
      </c>
      <c r="H86" s="145"/>
      <c r="I86" s="145"/>
      <c r="J86" s="145" t="s">
        <v>28</v>
      </c>
      <c r="K86" s="146" t="s">
        <v>29</v>
      </c>
      <c r="L86" s="152" t="s">
        <v>126</v>
      </c>
      <c r="M86" s="153">
        <v>922000000</v>
      </c>
      <c r="N86" s="153">
        <v>542983942</v>
      </c>
      <c r="O86" s="154">
        <f t="shared" si="65"/>
        <v>0.5889196767895879</v>
      </c>
      <c r="P86" s="153">
        <v>396121863</v>
      </c>
      <c r="Q86" s="154">
        <f t="shared" si="65"/>
        <v>0.42963325704989153</v>
      </c>
      <c r="R86" s="153">
        <v>396121863</v>
      </c>
      <c r="S86" s="154">
        <f t="shared" ref="S86" si="80">+R86/$M86</f>
        <v>0.42963325704989153</v>
      </c>
    </row>
    <row r="87" spans="1:19" ht="36" customHeight="1">
      <c r="A87" s="32" t="e">
        <v>#REF!</v>
      </c>
      <c r="B87" s="122" t="s">
        <v>401</v>
      </c>
      <c r="C87" s="123" t="s">
        <v>23</v>
      </c>
      <c r="D87" s="123" t="s">
        <v>65</v>
      </c>
      <c r="E87" s="123"/>
      <c r="F87" s="123"/>
      <c r="G87" s="123"/>
      <c r="H87" s="123"/>
      <c r="I87" s="123"/>
      <c r="J87" s="124"/>
      <c r="K87" s="124"/>
      <c r="L87" s="124" t="s">
        <v>127</v>
      </c>
      <c r="M87" s="125">
        <v>3078000000</v>
      </c>
      <c r="N87" s="125">
        <v>1209227842.73</v>
      </c>
      <c r="O87" s="126">
        <f t="shared" si="65"/>
        <v>0.39286154734567902</v>
      </c>
      <c r="P87" s="125">
        <v>1002836347.73</v>
      </c>
      <c r="Q87" s="126">
        <f t="shared" si="65"/>
        <v>0.32580778028914881</v>
      </c>
      <c r="R87" s="125">
        <v>1002836347.73</v>
      </c>
      <c r="S87" s="126">
        <f t="shared" ref="S87" si="81">+R87/$M87</f>
        <v>0.32580778028914881</v>
      </c>
    </row>
    <row r="88" spans="1:19" ht="24" customHeight="1">
      <c r="A88" s="32" t="e">
        <v>#REF!</v>
      </c>
      <c r="B88" s="127" t="s">
        <v>621</v>
      </c>
      <c r="C88" s="128" t="s">
        <v>23</v>
      </c>
      <c r="D88" s="128" t="s">
        <v>65</v>
      </c>
      <c r="E88" s="128" t="s">
        <v>65</v>
      </c>
      <c r="F88" s="128"/>
      <c r="G88" s="128"/>
      <c r="H88" s="128"/>
      <c r="I88" s="128"/>
      <c r="J88" s="129"/>
      <c r="K88" s="129"/>
      <c r="L88" s="129" t="s">
        <v>128</v>
      </c>
      <c r="M88" s="130">
        <v>0</v>
      </c>
      <c r="N88" s="130">
        <v>0</v>
      </c>
      <c r="O88" s="131" t="e">
        <f t="shared" si="65"/>
        <v>#DIV/0!</v>
      </c>
      <c r="P88" s="130">
        <v>0</v>
      </c>
      <c r="Q88" s="131" t="e">
        <f t="shared" si="65"/>
        <v>#DIV/0!</v>
      </c>
      <c r="R88" s="130">
        <v>0</v>
      </c>
      <c r="S88" s="131" t="e">
        <f t="shared" ref="S88" si="82">+R88/$M88</f>
        <v>#DIV/0!</v>
      </c>
    </row>
    <row r="89" spans="1:19" ht="24" customHeight="1">
      <c r="A89" s="32" t="e">
        <v>#REF!</v>
      </c>
      <c r="B89" s="132" t="s">
        <v>623</v>
      </c>
      <c r="C89" s="133" t="s">
        <v>23</v>
      </c>
      <c r="D89" s="133" t="s">
        <v>65</v>
      </c>
      <c r="E89" s="133" t="s">
        <v>65</v>
      </c>
      <c r="F89" s="133" t="s">
        <v>25</v>
      </c>
      <c r="G89" s="133"/>
      <c r="H89" s="133"/>
      <c r="I89" s="133"/>
      <c r="J89" s="133"/>
      <c r="K89" s="134"/>
      <c r="L89" s="134" t="s">
        <v>129</v>
      </c>
      <c r="M89" s="135">
        <v>0</v>
      </c>
      <c r="N89" s="135">
        <v>0</v>
      </c>
      <c r="O89" s="137" t="e">
        <f t="shared" si="65"/>
        <v>#DIV/0!</v>
      </c>
      <c r="P89" s="135">
        <v>0</v>
      </c>
      <c r="Q89" s="137" t="e">
        <f t="shared" si="65"/>
        <v>#DIV/0!</v>
      </c>
      <c r="R89" s="135">
        <v>0</v>
      </c>
      <c r="S89" s="137" t="e">
        <f t="shared" ref="S89" si="83">+R89/$M89</f>
        <v>#DIV/0!</v>
      </c>
    </row>
    <row r="90" spans="1:19" ht="24.95" hidden="1" customHeight="1">
      <c r="A90" s="32" t="e">
        <v>#REF!</v>
      </c>
      <c r="B90" s="144" t="s">
        <v>625</v>
      </c>
      <c r="C90" s="145" t="s">
        <v>23</v>
      </c>
      <c r="D90" s="145" t="s">
        <v>65</v>
      </c>
      <c r="E90" s="145" t="s">
        <v>65</v>
      </c>
      <c r="F90" s="145" t="s">
        <v>25</v>
      </c>
      <c r="G90" s="145" t="s">
        <v>130</v>
      </c>
      <c r="H90" s="145"/>
      <c r="I90" s="145"/>
      <c r="J90" s="145">
        <v>54</v>
      </c>
      <c r="K90" s="146" t="s">
        <v>29</v>
      </c>
      <c r="L90" s="147" t="s">
        <v>131</v>
      </c>
      <c r="M90" s="148">
        <v>0</v>
      </c>
      <c r="N90" s="149"/>
      <c r="O90" s="150" t="e">
        <f t="shared" si="65"/>
        <v>#DIV/0!</v>
      </c>
      <c r="P90" s="148"/>
      <c r="Q90" s="150" t="e">
        <f t="shared" si="65"/>
        <v>#DIV/0!</v>
      </c>
      <c r="R90" s="148"/>
      <c r="S90" s="150" t="e">
        <f t="shared" ref="S90" si="84">+R90/$M90</f>
        <v>#DIV/0!</v>
      </c>
    </row>
    <row r="91" spans="1:19" ht="24.95" hidden="1" customHeight="1">
      <c r="A91" s="32" t="e">
        <v>#REF!</v>
      </c>
      <c r="B91" s="144" t="s">
        <v>625</v>
      </c>
      <c r="C91" s="145" t="s">
        <v>23</v>
      </c>
      <c r="D91" s="145" t="s">
        <v>65</v>
      </c>
      <c r="E91" s="145" t="s">
        <v>65</v>
      </c>
      <c r="F91" s="145" t="s">
        <v>25</v>
      </c>
      <c r="G91" s="145" t="s">
        <v>130</v>
      </c>
      <c r="H91" s="145"/>
      <c r="I91" s="145"/>
      <c r="J91" s="145">
        <v>54</v>
      </c>
      <c r="K91" s="146" t="s">
        <v>29</v>
      </c>
      <c r="L91" s="147" t="s">
        <v>132</v>
      </c>
      <c r="M91" s="148">
        <v>0</v>
      </c>
      <c r="N91" s="149"/>
      <c r="O91" s="150" t="e">
        <f t="shared" si="65"/>
        <v>#DIV/0!</v>
      </c>
      <c r="P91" s="148"/>
      <c r="Q91" s="150" t="e">
        <f t="shared" si="65"/>
        <v>#DIV/0!</v>
      </c>
      <c r="R91" s="148"/>
      <c r="S91" s="150" t="e">
        <f t="shared" ref="S91" si="85">+R91/$M91</f>
        <v>#DIV/0!</v>
      </c>
    </row>
    <row r="92" spans="1:19" ht="24.95" hidden="1" customHeight="1">
      <c r="A92" s="32" t="e">
        <v>#REF!</v>
      </c>
      <c r="B92" s="144" t="s">
        <v>625</v>
      </c>
      <c r="C92" s="145" t="s">
        <v>23</v>
      </c>
      <c r="D92" s="145" t="s">
        <v>65</v>
      </c>
      <c r="E92" s="145" t="s">
        <v>65</v>
      </c>
      <c r="F92" s="145" t="s">
        <v>25</v>
      </c>
      <c r="G92" s="145" t="s">
        <v>130</v>
      </c>
      <c r="H92" s="145"/>
      <c r="I92" s="145"/>
      <c r="J92" s="145">
        <v>54</v>
      </c>
      <c r="K92" s="146" t="s">
        <v>29</v>
      </c>
      <c r="L92" s="147" t="s">
        <v>133</v>
      </c>
      <c r="M92" s="148">
        <v>0</v>
      </c>
      <c r="N92" s="149"/>
      <c r="O92" s="150" t="e">
        <f t="shared" si="65"/>
        <v>#DIV/0!</v>
      </c>
      <c r="P92" s="148"/>
      <c r="Q92" s="150" t="e">
        <f t="shared" si="65"/>
        <v>#DIV/0!</v>
      </c>
      <c r="R92" s="148"/>
      <c r="S92" s="150" t="e">
        <f t="shared" ref="S92" si="86">+R92/$M92</f>
        <v>#DIV/0!</v>
      </c>
    </row>
    <row r="93" spans="1:19" ht="24.95" customHeight="1">
      <c r="A93" s="32" t="e">
        <v>#REF!</v>
      </c>
      <c r="B93" s="144" t="s">
        <v>627</v>
      </c>
      <c r="C93" s="145" t="s">
        <v>23</v>
      </c>
      <c r="D93" s="145" t="s">
        <v>65</v>
      </c>
      <c r="E93" s="145" t="s">
        <v>65</v>
      </c>
      <c r="F93" s="145" t="s">
        <v>25</v>
      </c>
      <c r="G93" s="145" t="s">
        <v>134</v>
      </c>
      <c r="H93" s="145"/>
      <c r="I93" s="145"/>
      <c r="J93" s="145" t="s">
        <v>28</v>
      </c>
      <c r="K93" s="146" t="s">
        <v>29</v>
      </c>
      <c r="L93" s="147" t="s">
        <v>135</v>
      </c>
      <c r="M93" s="149">
        <v>0</v>
      </c>
      <c r="N93" s="149">
        <v>0</v>
      </c>
      <c r="O93" s="150" t="e">
        <f t="shared" si="65"/>
        <v>#DIV/0!</v>
      </c>
      <c r="P93" s="149">
        <v>0</v>
      </c>
      <c r="Q93" s="150" t="e">
        <f t="shared" si="65"/>
        <v>#DIV/0!</v>
      </c>
      <c r="R93" s="148">
        <v>0</v>
      </c>
      <c r="S93" s="150" t="e">
        <f t="shared" ref="S93" si="87">+R93/$M93</f>
        <v>#DIV/0!</v>
      </c>
    </row>
    <row r="94" spans="1:19" ht="24.95" hidden="1" customHeight="1">
      <c r="A94" s="32" t="e">
        <v>#REF!</v>
      </c>
      <c r="B94" s="144" t="s">
        <v>627</v>
      </c>
      <c r="C94" s="145" t="s">
        <v>23</v>
      </c>
      <c r="D94" s="145" t="s">
        <v>65</v>
      </c>
      <c r="E94" s="145" t="s">
        <v>65</v>
      </c>
      <c r="F94" s="145" t="s">
        <v>25</v>
      </c>
      <c r="G94" s="145" t="s">
        <v>134</v>
      </c>
      <c r="H94" s="145"/>
      <c r="I94" s="145"/>
      <c r="J94" s="145">
        <v>11</v>
      </c>
      <c r="K94" s="146" t="s">
        <v>29</v>
      </c>
      <c r="L94" s="147" t="s">
        <v>135</v>
      </c>
      <c r="M94" s="148">
        <v>0</v>
      </c>
      <c r="N94" s="148"/>
      <c r="O94" s="150" t="e">
        <f t="shared" si="65"/>
        <v>#DIV/0!</v>
      </c>
      <c r="P94" s="148"/>
      <c r="Q94" s="150" t="e">
        <f t="shared" si="65"/>
        <v>#DIV/0!</v>
      </c>
      <c r="R94" s="148"/>
      <c r="S94" s="150" t="e">
        <f t="shared" ref="S94" si="88">+R94/$M94</f>
        <v>#DIV/0!</v>
      </c>
    </row>
    <row r="95" spans="1:19" ht="24" customHeight="1">
      <c r="A95" s="32" t="e">
        <v>#REF!</v>
      </c>
      <c r="B95" s="127" t="s">
        <v>403</v>
      </c>
      <c r="C95" s="128" t="s">
        <v>23</v>
      </c>
      <c r="D95" s="128" t="s">
        <v>65</v>
      </c>
      <c r="E95" s="128" t="s">
        <v>136</v>
      </c>
      <c r="F95" s="128"/>
      <c r="G95" s="128"/>
      <c r="H95" s="128"/>
      <c r="I95" s="128"/>
      <c r="J95" s="129"/>
      <c r="K95" s="129"/>
      <c r="L95" s="129" t="s">
        <v>137</v>
      </c>
      <c r="M95" s="130">
        <v>719000000</v>
      </c>
      <c r="N95" s="130">
        <v>336870192</v>
      </c>
      <c r="O95" s="131">
        <f t="shared" si="65"/>
        <v>0.46852599721835886</v>
      </c>
      <c r="P95" s="130">
        <v>130478697</v>
      </c>
      <c r="Q95" s="131">
        <f t="shared" si="65"/>
        <v>0.18147245757997219</v>
      </c>
      <c r="R95" s="130">
        <v>130478697</v>
      </c>
      <c r="S95" s="131">
        <f t="shared" ref="S95" si="89">+R95/$M95</f>
        <v>0.18147245757997219</v>
      </c>
    </row>
    <row r="96" spans="1:19" ht="24" customHeight="1">
      <c r="A96" s="32" t="e">
        <v>#REF!</v>
      </c>
      <c r="B96" s="132" t="s">
        <v>405</v>
      </c>
      <c r="C96" s="133" t="s">
        <v>23</v>
      </c>
      <c r="D96" s="133" t="s">
        <v>65</v>
      </c>
      <c r="E96" s="133" t="s">
        <v>136</v>
      </c>
      <c r="F96" s="133" t="s">
        <v>54</v>
      </c>
      <c r="G96" s="133"/>
      <c r="H96" s="133"/>
      <c r="I96" s="133"/>
      <c r="J96" s="133" t="s">
        <v>28</v>
      </c>
      <c r="K96" s="134" t="s">
        <v>29</v>
      </c>
      <c r="L96" s="134" t="s">
        <v>138</v>
      </c>
      <c r="M96" s="135">
        <v>719000000</v>
      </c>
      <c r="N96" s="135">
        <v>336870192</v>
      </c>
      <c r="O96" s="137">
        <f t="shared" si="65"/>
        <v>0.46852599721835886</v>
      </c>
      <c r="P96" s="135">
        <v>130478697</v>
      </c>
      <c r="Q96" s="137">
        <f t="shared" si="65"/>
        <v>0.18147245757997219</v>
      </c>
      <c r="R96" s="135">
        <v>130478697</v>
      </c>
      <c r="S96" s="137">
        <f t="shared" ref="S96" si="90">+R96/$M96</f>
        <v>0.18147245757997219</v>
      </c>
    </row>
    <row r="97" spans="1:21" ht="24.95" customHeight="1">
      <c r="A97" s="32" t="e">
        <v>#REF!</v>
      </c>
      <c r="B97" s="138" t="s">
        <v>407</v>
      </c>
      <c r="C97" s="139" t="s">
        <v>23</v>
      </c>
      <c r="D97" s="139" t="s">
        <v>65</v>
      </c>
      <c r="E97" s="139" t="s">
        <v>136</v>
      </c>
      <c r="F97" s="139" t="s">
        <v>54</v>
      </c>
      <c r="G97" s="139" t="s">
        <v>52</v>
      </c>
      <c r="H97" s="139"/>
      <c r="I97" s="139"/>
      <c r="J97" s="139" t="s">
        <v>28</v>
      </c>
      <c r="K97" s="140" t="s">
        <v>29</v>
      </c>
      <c r="L97" s="140" t="s">
        <v>139</v>
      </c>
      <c r="M97" s="141">
        <v>719000000</v>
      </c>
      <c r="N97" s="141">
        <v>336870192</v>
      </c>
      <c r="O97" s="143">
        <f t="shared" si="65"/>
        <v>0.46852599721835886</v>
      </c>
      <c r="P97" s="141">
        <v>130478697</v>
      </c>
      <c r="Q97" s="143">
        <f t="shared" si="65"/>
        <v>0.18147245757997219</v>
      </c>
      <c r="R97" s="141">
        <v>130478697</v>
      </c>
      <c r="S97" s="143">
        <f t="shared" ref="S97" si="91">+R97/$M97</f>
        <v>0.18147245757997219</v>
      </c>
    </row>
    <row r="98" spans="1:21" ht="24.95" customHeight="1">
      <c r="A98" s="32" t="e">
        <v>#REF!</v>
      </c>
      <c r="B98" s="144" t="s">
        <v>409</v>
      </c>
      <c r="C98" s="145" t="s">
        <v>23</v>
      </c>
      <c r="D98" s="145" t="s">
        <v>65</v>
      </c>
      <c r="E98" s="145" t="s">
        <v>136</v>
      </c>
      <c r="F98" s="145" t="s">
        <v>54</v>
      </c>
      <c r="G98" s="145" t="s">
        <v>52</v>
      </c>
      <c r="H98" s="145" t="s">
        <v>31</v>
      </c>
      <c r="I98" s="145"/>
      <c r="J98" s="145" t="s">
        <v>28</v>
      </c>
      <c r="K98" s="146" t="s">
        <v>29</v>
      </c>
      <c r="L98" s="147" t="s">
        <v>140</v>
      </c>
      <c r="M98" s="148">
        <v>359500000</v>
      </c>
      <c r="N98" s="148">
        <v>205639856</v>
      </c>
      <c r="O98" s="150">
        <f t="shared" si="65"/>
        <v>0.57201628929068149</v>
      </c>
      <c r="P98" s="148">
        <v>116141997</v>
      </c>
      <c r="Q98" s="150">
        <f t="shared" si="65"/>
        <v>0.32306536022253129</v>
      </c>
      <c r="R98" s="148">
        <v>116141997</v>
      </c>
      <c r="S98" s="150">
        <f t="shared" ref="S98" si="92">+R98/$M98</f>
        <v>0.32306536022253129</v>
      </c>
    </row>
    <row r="99" spans="1:21" ht="24.95" customHeight="1">
      <c r="A99" s="32" t="e">
        <v>#REF!</v>
      </c>
      <c r="B99" s="144" t="s">
        <v>411</v>
      </c>
      <c r="C99" s="145" t="s">
        <v>23</v>
      </c>
      <c r="D99" s="145" t="s">
        <v>65</v>
      </c>
      <c r="E99" s="145" t="s">
        <v>136</v>
      </c>
      <c r="F99" s="145" t="s">
        <v>54</v>
      </c>
      <c r="G99" s="145" t="s">
        <v>52</v>
      </c>
      <c r="H99" s="145" t="s">
        <v>34</v>
      </c>
      <c r="I99" s="145"/>
      <c r="J99" s="145" t="s">
        <v>28</v>
      </c>
      <c r="K99" s="146" t="s">
        <v>29</v>
      </c>
      <c r="L99" s="147" t="s">
        <v>141</v>
      </c>
      <c r="M99" s="148">
        <v>359500000</v>
      </c>
      <c r="N99" s="148">
        <v>131230336</v>
      </c>
      <c r="O99" s="150">
        <f t="shared" si="65"/>
        <v>0.36503570514603617</v>
      </c>
      <c r="P99" s="148">
        <v>14336700</v>
      </c>
      <c r="Q99" s="150">
        <f t="shared" si="65"/>
        <v>3.9879554937413075E-2</v>
      </c>
      <c r="R99" s="148">
        <v>14336700</v>
      </c>
      <c r="S99" s="150">
        <f t="shared" ref="S99" si="93">+R99/$M99</f>
        <v>3.9879554937413075E-2</v>
      </c>
    </row>
    <row r="100" spans="1:21" ht="24.95" hidden="1" customHeight="1">
      <c r="A100" s="32" t="e">
        <v>#REF!</v>
      </c>
      <c r="B100" s="32"/>
      <c r="C100" s="145" t="s">
        <v>23</v>
      </c>
      <c r="D100" s="145" t="s">
        <v>65</v>
      </c>
      <c r="E100" s="145" t="s">
        <v>136</v>
      </c>
      <c r="F100" s="145" t="s">
        <v>54</v>
      </c>
      <c r="G100" s="145" t="s">
        <v>142</v>
      </c>
      <c r="H100" s="145"/>
      <c r="I100" s="145"/>
      <c r="J100" s="145" t="s">
        <v>28</v>
      </c>
      <c r="K100" s="146" t="s">
        <v>29</v>
      </c>
      <c r="L100" s="147" t="s">
        <v>260</v>
      </c>
      <c r="M100" s="148">
        <v>0</v>
      </c>
      <c r="N100" s="148">
        <v>0</v>
      </c>
      <c r="O100" s="150" t="e">
        <f t="shared" si="65"/>
        <v>#DIV/0!</v>
      </c>
      <c r="P100" s="148">
        <v>0</v>
      </c>
      <c r="Q100" s="150" t="e">
        <f t="shared" si="65"/>
        <v>#DIV/0!</v>
      </c>
      <c r="R100" s="148">
        <v>0</v>
      </c>
      <c r="S100" s="150" t="e">
        <f t="shared" ref="S100" si="94">+R100/$M100</f>
        <v>#DIV/0!</v>
      </c>
    </row>
    <row r="101" spans="1:21" ht="24" customHeight="1">
      <c r="A101" s="32" t="e">
        <v>#REF!</v>
      </c>
      <c r="B101" s="127" t="s">
        <v>415</v>
      </c>
      <c r="C101" s="128" t="s">
        <v>23</v>
      </c>
      <c r="D101" s="128" t="s">
        <v>65</v>
      </c>
      <c r="E101" s="128" t="s">
        <v>28</v>
      </c>
      <c r="F101" s="128"/>
      <c r="G101" s="128"/>
      <c r="H101" s="128"/>
      <c r="I101" s="128"/>
      <c r="J101" s="129"/>
      <c r="K101" s="129"/>
      <c r="L101" s="129" t="s">
        <v>143</v>
      </c>
      <c r="M101" s="130">
        <v>2359000000</v>
      </c>
      <c r="N101" s="130">
        <v>872357650.73000002</v>
      </c>
      <c r="O101" s="131">
        <f t="shared" si="65"/>
        <v>0.3697997671598135</v>
      </c>
      <c r="P101" s="130">
        <v>872357650.73000002</v>
      </c>
      <c r="Q101" s="131">
        <f t="shared" si="65"/>
        <v>0.3697997671598135</v>
      </c>
      <c r="R101" s="130">
        <v>872357650.73000002</v>
      </c>
      <c r="S101" s="131">
        <f t="shared" ref="S101" si="95">+R101/$M101</f>
        <v>0.3697997671598135</v>
      </c>
    </row>
    <row r="102" spans="1:21" ht="24" customHeight="1">
      <c r="A102" s="32" t="e">
        <v>#REF!</v>
      </c>
      <c r="B102" s="132" t="s">
        <v>417</v>
      </c>
      <c r="C102" s="133" t="s">
        <v>23</v>
      </c>
      <c r="D102" s="133" t="s">
        <v>65</v>
      </c>
      <c r="E102" s="133" t="s">
        <v>28</v>
      </c>
      <c r="F102" s="133" t="s">
        <v>25</v>
      </c>
      <c r="G102" s="133"/>
      <c r="H102" s="133"/>
      <c r="I102" s="133"/>
      <c r="J102" s="133" t="s">
        <v>144</v>
      </c>
      <c r="K102" s="134" t="s">
        <v>29</v>
      </c>
      <c r="L102" s="134" t="s">
        <v>145</v>
      </c>
      <c r="M102" s="135">
        <v>2359000000</v>
      </c>
      <c r="N102" s="135">
        <v>872357650.73000002</v>
      </c>
      <c r="O102" s="137">
        <f t="shared" si="65"/>
        <v>0.3697997671598135</v>
      </c>
      <c r="P102" s="135">
        <v>872357650.73000002</v>
      </c>
      <c r="Q102" s="137">
        <f t="shared" si="65"/>
        <v>0.3697997671598135</v>
      </c>
      <c r="R102" s="135">
        <v>872357650.73000002</v>
      </c>
      <c r="S102" s="137">
        <f t="shared" ref="S102" si="96">+R102/$M102</f>
        <v>0.3697997671598135</v>
      </c>
    </row>
    <row r="103" spans="1:21" ht="24.95" customHeight="1">
      <c r="A103" s="32" t="e">
        <v>#REF!</v>
      </c>
      <c r="B103" s="144" t="s">
        <v>418</v>
      </c>
      <c r="C103" s="145" t="s">
        <v>23</v>
      </c>
      <c r="D103" s="145" t="s">
        <v>65</v>
      </c>
      <c r="E103" s="145" t="s">
        <v>28</v>
      </c>
      <c r="F103" s="145" t="s">
        <v>25</v>
      </c>
      <c r="G103" s="145" t="s">
        <v>31</v>
      </c>
      <c r="H103" s="145"/>
      <c r="I103" s="145"/>
      <c r="J103" s="145">
        <v>10</v>
      </c>
      <c r="K103" s="146" t="s">
        <v>29</v>
      </c>
      <c r="L103" s="147" t="s">
        <v>146</v>
      </c>
      <c r="M103" s="148">
        <v>2311820000</v>
      </c>
      <c r="N103" s="149">
        <v>852945057.73000002</v>
      </c>
      <c r="O103" s="150">
        <f t="shared" si="65"/>
        <v>0.36894959717019493</v>
      </c>
      <c r="P103" s="148">
        <v>852945057.73000002</v>
      </c>
      <c r="Q103" s="150">
        <f t="shared" si="65"/>
        <v>0.36894959717019493</v>
      </c>
      <c r="R103" s="148">
        <v>852945057.73000002</v>
      </c>
      <c r="S103" s="150">
        <f t="shared" ref="S103" si="97">+R103/$M103</f>
        <v>0.36894959717019493</v>
      </c>
    </row>
    <row r="104" spans="1:21" ht="24.95" customHeight="1">
      <c r="A104" s="32" t="e">
        <v>#REF!</v>
      </c>
      <c r="B104" s="144" t="s">
        <v>419</v>
      </c>
      <c r="C104" s="145" t="s">
        <v>23</v>
      </c>
      <c r="D104" s="145" t="s">
        <v>65</v>
      </c>
      <c r="E104" s="145" t="s">
        <v>28</v>
      </c>
      <c r="F104" s="145" t="s">
        <v>25</v>
      </c>
      <c r="G104" s="151" t="s">
        <v>34</v>
      </c>
      <c r="H104" s="145"/>
      <c r="I104" s="145"/>
      <c r="J104" s="145">
        <v>10</v>
      </c>
      <c r="K104" s="146" t="s">
        <v>29</v>
      </c>
      <c r="L104" s="147" t="s">
        <v>147</v>
      </c>
      <c r="M104" s="148">
        <v>47180000</v>
      </c>
      <c r="N104" s="149">
        <v>19412593</v>
      </c>
      <c r="O104" s="150">
        <f t="shared" si="65"/>
        <v>0.41145809665112337</v>
      </c>
      <c r="P104" s="148">
        <v>19412593</v>
      </c>
      <c r="Q104" s="150">
        <f t="shared" si="65"/>
        <v>0.41145809665112337</v>
      </c>
      <c r="R104" s="148">
        <v>19412593</v>
      </c>
      <c r="S104" s="150">
        <f t="shared" ref="S104" si="98">+R104/$M104</f>
        <v>0.41145809665112337</v>
      </c>
    </row>
    <row r="105" spans="1:21" ht="24" customHeight="1">
      <c r="A105" s="32" t="e">
        <v>#REF!</v>
      </c>
      <c r="B105" s="122" t="s">
        <v>421</v>
      </c>
      <c r="C105" s="123" t="s">
        <v>23</v>
      </c>
      <c r="D105" s="123" t="s">
        <v>148</v>
      </c>
      <c r="E105" s="123"/>
      <c r="F105" s="123"/>
      <c r="G105" s="123"/>
      <c r="H105" s="123"/>
      <c r="I105" s="123"/>
      <c r="J105" s="124"/>
      <c r="K105" s="124"/>
      <c r="L105" s="124" t="s">
        <v>149</v>
      </c>
      <c r="M105" s="125">
        <v>17105900000</v>
      </c>
      <c r="N105" s="125">
        <v>73428883.810000002</v>
      </c>
      <c r="O105" s="126">
        <f t="shared" si="65"/>
        <v>4.2926056980340122E-3</v>
      </c>
      <c r="P105" s="125">
        <v>73328655</v>
      </c>
      <c r="Q105" s="126">
        <f t="shared" si="65"/>
        <v>4.286746385749946E-3</v>
      </c>
      <c r="R105" s="125">
        <v>72965294</v>
      </c>
      <c r="S105" s="126">
        <f t="shared" ref="S105" si="99">+R105/$M105</f>
        <v>4.2655045335235212E-3</v>
      </c>
    </row>
    <row r="106" spans="1:21" ht="24" customHeight="1">
      <c r="A106" s="32" t="e">
        <v>#REF!</v>
      </c>
      <c r="B106" s="127" t="s">
        <v>423</v>
      </c>
      <c r="C106" s="128" t="s">
        <v>23</v>
      </c>
      <c r="D106" s="128" t="s">
        <v>148</v>
      </c>
      <c r="E106" s="128" t="s">
        <v>25</v>
      </c>
      <c r="F106" s="128"/>
      <c r="G106" s="128"/>
      <c r="H106" s="128"/>
      <c r="I106" s="128"/>
      <c r="J106" s="129"/>
      <c r="K106" s="129"/>
      <c r="L106" s="129" t="s">
        <v>150</v>
      </c>
      <c r="M106" s="130">
        <v>137900000</v>
      </c>
      <c r="N106" s="130">
        <v>73428883.810000002</v>
      </c>
      <c r="O106" s="131">
        <f t="shared" si="65"/>
        <v>0.53247921544597532</v>
      </c>
      <c r="P106" s="130">
        <v>73328655</v>
      </c>
      <c r="Q106" s="131">
        <f t="shared" si="65"/>
        <v>0.53175239303843369</v>
      </c>
      <c r="R106" s="130">
        <v>72965294</v>
      </c>
      <c r="S106" s="131">
        <f t="shared" ref="S106" si="100">+R106/$M106</f>
        <v>0.52911743292240754</v>
      </c>
    </row>
    <row r="107" spans="1:21" ht="24" customHeight="1">
      <c r="A107" s="32" t="e">
        <v>#REF!</v>
      </c>
      <c r="B107" s="132" t="s">
        <v>425</v>
      </c>
      <c r="C107" s="133" t="s">
        <v>23</v>
      </c>
      <c r="D107" s="133" t="s">
        <v>148</v>
      </c>
      <c r="E107" s="133" t="s">
        <v>25</v>
      </c>
      <c r="F107" s="133" t="s">
        <v>54</v>
      </c>
      <c r="G107" s="133"/>
      <c r="H107" s="133"/>
      <c r="I107" s="133"/>
      <c r="J107" s="133" t="s">
        <v>28</v>
      </c>
      <c r="K107" s="134" t="s">
        <v>29</v>
      </c>
      <c r="L107" s="134" t="s">
        <v>151</v>
      </c>
      <c r="M107" s="135">
        <v>137900000</v>
      </c>
      <c r="N107" s="135">
        <v>73428883.810000002</v>
      </c>
      <c r="O107" s="137">
        <f t="shared" si="65"/>
        <v>0.53247921544597532</v>
      </c>
      <c r="P107" s="135">
        <v>73328655</v>
      </c>
      <c r="Q107" s="137">
        <f t="shared" si="65"/>
        <v>0.53175239303843369</v>
      </c>
      <c r="R107" s="135">
        <v>72965294</v>
      </c>
      <c r="S107" s="137">
        <f t="shared" ref="S107" si="101">+R107/$M107</f>
        <v>0.52911743292240754</v>
      </c>
    </row>
    <row r="108" spans="1:21" ht="24.95" customHeight="1">
      <c r="A108" s="32" t="e">
        <v>#REF!</v>
      </c>
      <c r="B108" s="144" t="s">
        <v>427</v>
      </c>
      <c r="C108" s="145" t="s">
        <v>23</v>
      </c>
      <c r="D108" s="145" t="s">
        <v>148</v>
      </c>
      <c r="E108" s="145" t="s">
        <v>25</v>
      </c>
      <c r="F108" s="145" t="s">
        <v>54</v>
      </c>
      <c r="G108" s="145" t="s">
        <v>31</v>
      </c>
      <c r="H108" s="145"/>
      <c r="I108" s="145"/>
      <c r="J108" s="145" t="s">
        <v>28</v>
      </c>
      <c r="K108" s="146" t="s">
        <v>29</v>
      </c>
      <c r="L108" s="147" t="s">
        <v>152</v>
      </c>
      <c r="M108" s="148">
        <v>61800000</v>
      </c>
      <c r="N108" s="148">
        <v>46149614</v>
      </c>
      <c r="O108" s="150">
        <f t="shared" si="65"/>
        <v>0.74675750809061492</v>
      </c>
      <c r="P108" s="148">
        <v>46149614</v>
      </c>
      <c r="Q108" s="150">
        <f t="shared" si="65"/>
        <v>0.74675750809061492</v>
      </c>
      <c r="R108" s="148">
        <v>46149614</v>
      </c>
      <c r="S108" s="150">
        <f t="shared" ref="S108" si="102">+R108/$M108</f>
        <v>0.74675750809061492</v>
      </c>
    </row>
    <row r="109" spans="1:21" ht="24.95" customHeight="1">
      <c r="A109" s="32" t="e">
        <v>#REF!</v>
      </c>
      <c r="B109" s="144" t="s">
        <v>429</v>
      </c>
      <c r="C109" s="145" t="s">
        <v>23</v>
      </c>
      <c r="D109" s="145" t="s">
        <v>148</v>
      </c>
      <c r="E109" s="145" t="s">
        <v>25</v>
      </c>
      <c r="F109" s="145" t="s">
        <v>54</v>
      </c>
      <c r="G109" s="145" t="s">
        <v>38</v>
      </c>
      <c r="H109" s="145"/>
      <c r="I109" s="145"/>
      <c r="J109" s="145" t="s">
        <v>28</v>
      </c>
      <c r="K109" s="146" t="s">
        <v>29</v>
      </c>
      <c r="L109" s="147" t="s">
        <v>153</v>
      </c>
      <c r="M109" s="148">
        <v>50000000</v>
      </c>
      <c r="N109" s="148">
        <v>21053119.809999999</v>
      </c>
      <c r="O109" s="150">
        <f t="shared" si="65"/>
        <v>0.42106239619999997</v>
      </c>
      <c r="P109" s="148">
        <v>20952891</v>
      </c>
      <c r="Q109" s="150">
        <f t="shared" si="65"/>
        <v>0.41905782000000003</v>
      </c>
      <c r="R109" s="148">
        <v>20589530</v>
      </c>
      <c r="S109" s="150">
        <f t="shared" ref="S109" si="103">+R109/$M109</f>
        <v>0.41179060000000001</v>
      </c>
    </row>
    <row r="110" spans="1:21" ht="24.95" customHeight="1">
      <c r="A110" s="32" t="e">
        <v>#REF!</v>
      </c>
      <c r="B110" s="144" t="s">
        <v>431</v>
      </c>
      <c r="C110" s="145" t="s">
        <v>23</v>
      </c>
      <c r="D110" s="145" t="s">
        <v>148</v>
      </c>
      <c r="E110" s="145" t="s">
        <v>25</v>
      </c>
      <c r="F110" s="145" t="s">
        <v>54</v>
      </c>
      <c r="G110" s="145" t="s">
        <v>42</v>
      </c>
      <c r="H110" s="145"/>
      <c r="I110" s="145"/>
      <c r="J110" s="145" t="s">
        <v>28</v>
      </c>
      <c r="K110" s="146" t="s">
        <v>29</v>
      </c>
      <c r="L110" s="147" t="s">
        <v>154</v>
      </c>
      <c r="M110" s="148">
        <v>26100000</v>
      </c>
      <c r="N110" s="148">
        <v>6226150</v>
      </c>
      <c r="O110" s="150">
        <f t="shared" si="65"/>
        <v>0.23854980842911877</v>
      </c>
      <c r="P110" s="148">
        <v>6226150</v>
      </c>
      <c r="Q110" s="150">
        <f t="shared" si="65"/>
        <v>0.23854980842911877</v>
      </c>
      <c r="R110" s="148">
        <v>6226150</v>
      </c>
      <c r="S110" s="150">
        <f t="shared" ref="S110" si="104">+R110/$M110</f>
        <v>0.23854980842911877</v>
      </c>
    </row>
    <row r="111" spans="1:21" ht="24" customHeight="1">
      <c r="A111" s="32" t="e">
        <v>#REF!</v>
      </c>
      <c r="B111" s="127" t="s">
        <v>432</v>
      </c>
      <c r="C111" s="128" t="s">
        <v>23</v>
      </c>
      <c r="D111" s="128" t="s">
        <v>148</v>
      </c>
      <c r="E111" s="128" t="s">
        <v>136</v>
      </c>
      <c r="F111" s="128"/>
      <c r="G111" s="128"/>
      <c r="H111" s="128"/>
      <c r="I111" s="128"/>
      <c r="J111" s="129"/>
      <c r="K111" s="129"/>
      <c r="L111" s="129" t="s">
        <v>155</v>
      </c>
      <c r="M111" s="130">
        <v>16968000000</v>
      </c>
      <c r="N111" s="130">
        <v>0</v>
      </c>
      <c r="O111" s="131">
        <f t="shared" si="65"/>
        <v>0</v>
      </c>
      <c r="P111" s="130">
        <v>0</v>
      </c>
      <c r="Q111" s="131">
        <f t="shared" si="65"/>
        <v>0</v>
      </c>
      <c r="R111" s="130">
        <v>0</v>
      </c>
      <c r="S111" s="131">
        <f t="shared" ref="S111" si="105">+R111/$M111</f>
        <v>0</v>
      </c>
    </row>
    <row r="112" spans="1:21" ht="24.95" hidden="1" customHeight="1">
      <c r="A112" s="32"/>
      <c r="B112" s="32"/>
      <c r="C112" s="145" t="s">
        <v>23</v>
      </c>
      <c r="D112" s="145" t="s">
        <v>148</v>
      </c>
      <c r="E112" s="145" t="s">
        <v>136</v>
      </c>
      <c r="F112" s="145" t="s">
        <v>25</v>
      </c>
      <c r="G112" s="145"/>
      <c r="H112" s="145"/>
      <c r="I112" s="145"/>
      <c r="J112" s="145">
        <v>10</v>
      </c>
      <c r="K112" s="146" t="s">
        <v>156</v>
      </c>
      <c r="L112" s="147" t="s">
        <v>157</v>
      </c>
      <c r="M112" s="148">
        <v>0</v>
      </c>
      <c r="N112" s="148">
        <v>0</v>
      </c>
      <c r="O112" s="150" t="e">
        <f t="shared" si="65"/>
        <v>#DIV/0!</v>
      </c>
      <c r="P112" s="148">
        <v>0</v>
      </c>
      <c r="Q112" s="150" t="e">
        <f t="shared" si="65"/>
        <v>#DIV/0!</v>
      </c>
      <c r="R112" s="148">
        <v>0</v>
      </c>
      <c r="S112" s="150" t="e">
        <f t="shared" ref="S112" si="106">+R112/$M112</f>
        <v>#DIV/0!</v>
      </c>
    </row>
    <row r="113" spans="1:19" ht="24.95" customHeight="1">
      <c r="A113" s="32" t="e">
        <v>#REF!</v>
      </c>
      <c r="B113" s="144" t="s">
        <v>434</v>
      </c>
      <c r="C113" s="145" t="s">
        <v>23</v>
      </c>
      <c r="D113" s="145" t="s">
        <v>148</v>
      </c>
      <c r="E113" s="145" t="s">
        <v>136</v>
      </c>
      <c r="F113" s="145" t="s">
        <v>25</v>
      </c>
      <c r="G113" s="145"/>
      <c r="H113" s="145"/>
      <c r="I113" s="145"/>
      <c r="J113" s="145" t="s">
        <v>144</v>
      </c>
      <c r="K113" s="146" t="s">
        <v>156</v>
      </c>
      <c r="L113" s="147" t="s">
        <v>157</v>
      </c>
      <c r="M113" s="149">
        <v>16968000000</v>
      </c>
      <c r="N113" s="149">
        <v>0</v>
      </c>
      <c r="O113" s="150">
        <f t="shared" si="65"/>
        <v>0</v>
      </c>
      <c r="P113" s="148">
        <v>0</v>
      </c>
      <c r="Q113" s="150">
        <f t="shared" si="65"/>
        <v>0</v>
      </c>
      <c r="R113" s="148">
        <v>0</v>
      </c>
      <c r="S113" s="150">
        <f t="shared" ref="S113" si="107">+R113/$M113</f>
        <v>0</v>
      </c>
    </row>
    <row r="114" spans="1:19" ht="35.1" customHeight="1">
      <c r="A114" s="32" t="e">
        <v>#REF!</v>
      </c>
      <c r="B114" s="117" t="s">
        <v>162</v>
      </c>
      <c r="C114" s="118" t="s">
        <v>162</v>
      </c>
      <c r="D114" s="119"/>
      <c r="E114" s="119"/>
      <c r="F114" s="119"/>
      <c r="G114" s="119"/>
      <c r="H114" s="119"/>
      <c r="I114" s="119"/>
      <c r="J114" s="119"/>
      <c r="K114" s="119"/>
      <c r="L114" s="119" t="s">
        <v>163</v>
      </c>
      <c r="M114" s="120">
        <v>381865302</v>
      </c>
      <c r="N114" s="120">
        <v>0</v>
      </c>
      <c r="O114" s="121">
        <f t="shared" si="65"/>
        <v>0</v>
      </c>
      <c r="P114" s="120">
        <v>0</v>
      </c>
      <c r="Q114" s="121">
        <f t="shared" si="65"/>
        <v>0</v>
      </c>
      <c r="R114" s="120">
        <v>0</v>
      </c>
      <c r="S114" s="121">
        <f t="shared" ref="S114" si="108">+R114/$M114</f>
        <v>0</v>
      </c>
    </row>
    <row r="115" spans="1:19" ht="24" customHeight="1">
      <c r="A115" s="32" t="e">
        <v>#REF!</v>
      </c>
      <c r="B115" s="122" t="s">
        <v>729</v>
      </c>
      <c r="C115" s="123" t="s">
        <v>162</v>
      </c>
      <c r="D115" s="123">
        <v>10</v>
      </c>
      <c r="E115" s="123"/>
      <c r="F115" s="123"/>
      <c r="G115" s="123"/>
      <c r="H115" s="123"/>
      <c r="I115" s="123"/>
      <c r="J115" s="124"/>
      <c r="K115" s="124"/>
      <c r="L115" s="124" t="s">
        <v>164</v>
      </c>
      <c r="M115" s="125">
        <v>381865302</v>
      </c>
      <c r="N115" s="125">
        <v>0</v>
      </c>
      <c r="O115" s="126">
        <f t="shared" si="65"/>
        <v>0</v>
      </c>
      <c r="P115" s="125">
        <v>0</v>
      </c>
      <c r="Q115" s="126">
        <f t="shared" si="65"/>
        <v>0</v>
      </c>
      <c r="R115" s="125">
        <v>0</v>
      </c>
      <c r="S115" s="126">
        <f t="shared" ref="S115" si="109">+R115/$M115</f>
        <v>0</v>
      </c>
    </row>
    <row r="116" spans="1:19" ht="24" customHeight="1">
      <c r="A116" s="32" t="e">
        <v>#REF!</v>
      </c>
      <c r="B116" s="127" t="s">
        <v>730</v>
      </c>
      <c r="C116" s="128" t="s">
        <v>162</v>
      </c>
      <c r="D116" s="128">
        <v>10</v>
      </c>
      <c r="E116" s="128" t="s">
        <v>136</v>
      </c>
      <c r="F116" s="128"/>
      <c r="G116" s="128"/>
      <c r="H116" s="128"/>
      <c r="I116" s="128"/>
      <c r="J116" s="129"/>
      <c r="K116" s="129"/>
      <c r="L116" s="129" t="s">
        <v>165</v>
      </c>
      <c r="M116" s="130">
        <v>381865302</v>
      </c>
      <c r="N116" s="130">
        <v>0</v>
      </c>
      <c r="O116" s="131">
        <f t="shared" si="65"/>
        <v>0</v>
      </c>
      <c r="P116" s="130">
        <v>0</v>
      </c>
      <c r="Q116" s="131">
        <f t="shared" si="65"/>
        <v>0</v>
      </c>
      <c r="R116" s="130">
        <v>0</v>
      </c>
      <c r="S116" s="131">
        <f t="shared" ref="S116" si="110">+R116/$M116</f>
        <v>0</v>
      </c>
    </row>
    <row r="117" spans="1:19" ht="24.95" customHeight="1">
      <c r="A117" s="32" t="e">
        <v>#REF!</v>
      </c>
      <c r="B117" s="144" t="s">
        <v>731</v>
      </c>
      <c r="C117" s="145" t="s">
        <v>162</v>
      </c>
      <c r="D117" s="145">
        <v>10</v>
      </c>
      <c r="E117" s="145" t="s">
        <v>136</v>
      </c>
      <c r="F117" s="145" t="s">
        <v>25</v>
      </c>
      <c r="G117" s="145"/>
      <c r="H117" s="145"/>
      <c r="I117" s="145"/>
      <c r="J117" s="145" t="s">
        <v>144</v>
      </c>
      <c r="K117" s="146" t="s">
        <v>29</v>
      </c>
      <c r="L117" s="147" t="s">
        <v>166</v>
      </c>
      <c r="M117" s="149">
        <v>381865302</v>
      </c>
      <c r="N117" s="149">
        <v>0</v>
      </c>
      <c r="O117" s="150">
        <f t="shared" si="65"/>
        <v>0</v>
      </c>
      <c r="P117" s="148">
        <v>0</v>
      </c>
      <c r="Q117" s="150">
        <f t="shared" si="65"/>
        <v>0</v>
      </c>
      <c r="R117" s="148">
        <v>0</v>
      </c>
      <c r="S117" s="150">
        <f t="shared" ref="S117" si="111">+R117/$M117</f>
        <v>0</v>
      </c>
    </row>
    <row r="118" spans="1:19" ht="35.1" customHeight="1">
      <c r="A118" s="32" t="e">
        <v>#REF!</v>
      </c>
      <c r="B118" s="117" t="s">
        <v>167</v>
      </c>
      <c r="C118" s="118" t="s">
        <v>167</v>
      </c>
      <c r="D118" s="119"/>
      <c r="E118" s="119"/>
      <c r="F118" s="119"/>
      <c r="G118" s="119"/>
      <c r="H118" s="119"/>
      <c r="I118" s="119"/>
      <c r="J118" s="119"/>
      <c r="K118" s="119"/>
      <c r="L118" s="119" t="s">
        <v>168</v>
      </c>
      <c r="M118" s="120">
        <v>12921518459989</v>
      </c>
      <c r="N118" s="120">
        <v>6663416262779.9893</v>
      </c>
      <c r="O118" s="121">
        <f t="shared" si="65"/>
        <v>0.51568368558331668</v>
      </c>
      <c r="P118" s="120">
        <v>5113932765942.9199</v>
      </c>
      <c r="Q118" s="121">
        <f t="shared" si="65"/>
        <v>0.39576871571077515</v>
      </c>
      <c r="R118" s="120">
        <v>4783188418219.9199</v>
      </c>
      <c r="S118" s="121">
        <f t="shared" ref="S118" si="112">+R118/$M118</f>
        <v>0.3701723162824001</v>
      </c>
    </row>
    <row r="119" spans="1:19" ht="27.75" hidden="1" customHeight="1">
      <c r="A119" s="32" t="e">
        <v>#REF!</v>
      </c>
      <c r="B119" s="122" t="s">
        <v>437</v>
      </c>
      <c r="C119" s="123" t="s">
        <v>167</v>
      </c>
      <c r="D119" s="123">
        <v>4101</v>
      </c>
      <c r="E119" s="123"/>
      <c r="F119" s="123"/>
      <c r="G119" s="123"/>
      <c r="H119" s="123"/>
      <c r="I119" s="123"/>
      <c r="J119" s="124"/>
      <c r="K119" s="124"/>
      <c r="L119" s="124" t="s">
        <v>169</v>
      </c>
      <c r="M119" s="125">
        <v>0</v>
      </c>
      <c r="N119" s="125">
        <v>0</v>
      </c>
      <c r="O119" s="126" t="e">
        <f t="shared" si="65"/>
        <v>#DIV/0!</v>
      </c>
      <c r="P119" s="125">
        <v>0</v>
      </c>
      <c r="Q119" s="126" t="e">
        <f t="shared" si="65"/>
        <v>#DIV/0!</v>
      </c>
      <c r="R119" s="125">
        <v>0</v>
      </c>
      <c r="S119" s="126" t="e">
        <f t="shared" ref="S119" si="113">+R119/$M119</f>
        <v>#DIV/0!</v>
      </c>
    </row>
    <row r="120" spans="1:19" ht="24" hidden="1" customHeight="1">
      <c r="A120" s="32" t="e">
        <v>#REF!</v>
      </c>
      <c r="B120" s="127" t="s">
        <v>295</v>
      </c>
      <c r="C120" s="128" t="s">
        <v>167</v>
      </c>
      <c r="D120" s="128">
        <v>4101</v>
      </c>
      <c r="E120" s="128">
        <v>1500</v>
      </c>
      <c r="F120" s="128"/>
      <c r="G120" s="128"/>
      <c r="H120" s="128"/>
      <c r="I120" s="128"/>
      <c r="J120" s="129"/>
      <c r="K120" s="129"/>
      <c r="L120" s="129" t="s">
        <v>170</v>
      </c>
      <c r="M120" s="130"/>
      <c r="N120" s="130"/>
      <c r="O120" s="131" t="e">
        <f t="shared" si="65"/>
        <v>#DIV/0!</v>
      </c>
      <c r="P120" s="130"/>
      <c r="Q120" s="131" t="e">
        <f t="shared" si="65"/>
        <v>#DIV/0!</v>
      </c>
      <c r="R120" s="130"/>
      <c r="S120" s="131" t="e">
        <f t="shared" ref="S120" si="114">+R120/$M120</f>
        <v>#DIV/0!</v>
      </c>
    </row>
    <row r="121" spans="1:19" ht="54.75" hidden="1" customHeight="1">
      <c r="A121" s="32" t="e">
        <v>#REF!</v>
      </c>
      <c r="B121" s="132" t="s">
        <v>454</v>
      </c>
      <c r="C121" s="133" t="s">
        <v>167</v>
      </c>
      <c r="D121" s="133" t="s">
        <v>171</v>
      </c>
      <c r="E121" s="133" t="s">
        <v>172</v>
      </c>
      <c r="F121" s="133" t="s">
        <v>173</v>
      </c>
      <c r="G121" s="133"/>
      <c r="H121" s="133"/>
      <c r="I121" s="133"/>
      <c r="J121" s="133"/>
      <c r="K121" s="134"/>
      <c r="L121" s="134" t="s">
        <v>174</v>
      </c>
      <c r="M121" s="135">
        <v>0</v>
      </c>
      <c r="N121" s="135">
        <v>0</v>
      </c>
      <c r="O121" s="137" t="e">
        <f t="shared" si="65"/>
        <v>#DIV/0!</v>
      </c>
      <c r="P121" s="135">
        <v>0</v>
      </c>
      <c r="Q121" s="137" t="e">
        <f t="shared" si="65"/>
        <v>#DIV/0!</v>
      </c>
      <c r="R121" s="135">
        <v>0</v>
      </c>
      <c r="S121" s="137" t="e">
        <f t="shared" ref="S121" si="115">+R121/$M121</f>
        <v>#DIV/0!</v>
      </c>
    </row>
    <row r="122" spans="1:19" ht="31.5" hidden="1" customHeight="1">
      <c r="A122" s="32" t="e">
        <v>#REF!</v>
      </c>
      <c r="B122" s="138" t="s">
        <v>456</v>
      </c>
      <c r="C122" s="139" t="s">
        <v>167</v>
      </c>
      <c r="D122" s="139" t="s">
        <v>171</v>
      </c>
      <c r="E122" s="139" t="s">
        <v>172</v>
      </c>
      <c r="F122" s="139" t="s">
        <v>173</v>
      </c>
      <c r="G122" s="139" t="s">
        <v>175</v>
      </c>
      <c r="H122" s="139" t="s">
        <v>176</v>
      </c>
      <c r="I122" s="139"/>
      <c r="J122" s="139" t="s">
        <v>144</v>
      </c>
      <c r="K122" s="140" t="s">
        <v>29</v>
      </c>
      <c r="L122" s="140" t="s">
        <v>177</v>
      </c>
      <c r="M122" s="141">
        <v>0</v>
      </c>
      <c r="N122" s="141">
        <v>0</v>
      </c>
      <c r="O122" s="143" t="e">
        <f t="shared" si="65"/>
        <v>#DIV/0!</v>
      </c>
      <c r="P122" s="141">
        <v>0</v>
      </c>
      <c r="Q122" s="143" t="e">
        <f t="shared" si="65"/>
        <v>#DIV/0!</v>
      </c>
      <c r="R122" s="141">
        <v>0</v>
      </c>
      <c r="S122" s="143" t="e">
        <f t="shared" ref="S122" si="116">+R122/$M122</f>
        <v>#DIV/0!</v>
      </c>
    </row>
    <row r="123" spans="1:19" ht="24.95" hidden="1" customHeight="1">
      <c r="A123" s="32" t="e">
        <v>#REF!</v>
      </c>
      <c r="B123" s="144" t="s">
        <v>458</v>
      </c>
      <c r="C123" s="145" t="s">
        <v>167</v>
      </c>
      <c r="D123" s="145" t="s">
        <v>171</v>
      </c>
      <c r="E123" s="145" t="s">
        <v>172</v>
      </c>
      <c r="F123" s="145" t="s">
        <v>173</v>
      </c>
      <c r="G123" s="145" t="s">
        <v>175</v>
      </c>
      <c r="H123" s="145" t="s">
        <v>176</v>
      </c>
      <c r="I123" s="145" t="s">
        <v>54</v>
      </c>
      <c r="J123" s="145" t="s">
        <v>144</v>
      </c>
      <c r="K123" s="146" t="s">
        <v>29</v>
      </c>
      <c r="L123" s="147" t="s">
        <v>178</v>
      </c>
      <c r="M123" s="148">
        <v>0</v>
      </c>
      <c r="N123" s="148"/>
      <c r="O123" s="150" t="e">
        <f t="shared" si="65"/>
        <v>#DIV/0!</v>
      </c>
      <c r="P123" s="148"/>
      <c r="Q123" s="150" t="e">
        <f t="shared" si="65"/>
        <v>#DIV/0!</v>
      </c>
      <c r="R123" s="148"/>
      <c r="S123" s="150" t="e">
        <f t="shared" ref="S123" si="117">+R123/$M123</f>
        <v>#DIV/0!</v>
      </c>
    </row>
    <row r="124" spans="1:19" ht="31.5" hidden="1" customHeight="1">
      <c r="A124" s="32" t="e">
        <v>#REF!</v>
      </c>
      <c r="B124" s="138" t="s">
        <v>460</v>
      </c>
      <c r="C124" s="139" t="s">
        <v>167</v>
      </c>
      <c r="D124" s="139" t="s">
        <v>171</v>
      </c>
      <c r="E124" s="139" t="s">
        <v>172</v>
      </c>
      <c r="F124" s="139" t="s">
        <v>173</v>
      </c>
      <c r="G124" s="139" t="s">
        <v>175</v>
      </c>
      <c r="H124" s="139" t="s">
        <v>179</v>
      </c>
      <c r="I124" s="139"/>
      <c r="J124" s="139" t="s">
        <v>144</v>
      </c>
      <c r="K124" s="140" t="s">
        <v>29</v>
      </c>
      <c r="L124" s="140" t="s">
        <v>180</v>
      </c>
      <c r="M124" s="141">
        <v>0</v>
      </c>
      <c r="N124" s="141">
        <v>0</v>
      </c>
      <c r="O124" s="143" t="e">
        <f t="shared" si="65"/>
        <v>#DIV/0!</v>
      </c>
      <c r="P124" s="141">
        <v>0</v>
      </c>
      <c r="Q124" s="143" t="e">
        <f t="shared" si="65"/>
        <v>#DIV/0!</v>
      </c>
      <c r="R124" s="141">
        <v>0</v>
      </c>
      <c r="S124" s="143" t="e">
        <f t="shared" ref="S124" si="118">+R124/$M124</f>
        <v>#DIV/0!</v>
      </c>
    </row>
    <row r="125" spans="1:19" ht="24.95" hidden="1" customHeight="1">
      <c r="A125" s="32" t="e">
        <v>#REF!</v>
      </c>
      <c r="B125" s="144" t="s">
        <v>462</v>
      </c>
      <c r="C125" s="145" t="s">
        <v>167</v>
      </c>
      <c r="D125" s="145" t="s">
        <v>171</v>
      </c>
      <c r="E125" s="145" t="s">
        <v>172</v>
      </c>
      <c r="F125" s="145" t="s">
        <v>173</v>
      </c>
      <c r="G125" s="145" t="s">
        <v>175</v>
      </c>
      <c r="H125" s="145" t="s">
        <v>179</v>
      </c>
      <c r="I125" s="145" t="s">
        <v>54</v>
      </c>
      <c r="J125" s="145" t="s">
        <v>144</v>
      </c>
      <c r="K125" s="146" t="s">
        <v>29</v>
      </c>
      <c r="L125" s="147" t="s">
        <v>178</v>
      </c>
      <c r="M125" s="148">
        <v>0</v>
      </c>
      <c r="N125" s="148"/>
      <c r="O125" s="150" t="e">
        <f t="shared" si="65"/>
        <v>#DIV/0!</v>
      </c>
      <c r="P125" s="148"/>
      <c r="Q125" s="150" t="e">
        <f t="shared" si="65"/>
        <v>#DIV/0!</v>
      </c>
      <c r="R125" s="148"/>
      <c r="S125" s="150" t="e">
        <f t="shared" ref="S125" si="119">+R125/$M125</f>
        <v>#DIV/0!</v>
      </c>
    </row>
    <row r="126" spans="1:19" ht="31.5" hidden="1" customHeight="1">
      <c r="A126" s="32" t="e">
        <v>#REF!</v>
      </c>
      <c r="B126" s="144" t="s">
        <v>690</v>
      </c>
      <c r="C126" s="139" t="s">
        <v>167</v>
      </c>
      <c r="D126" s="139" t="s">
        <v>171</v>
      </c>
      <c r="E126" s="139" t="s">
        <v>172</v>
      </c>
      <c r="F126" s="139" t="s">
        <v>173</v>
      </c>
      <c r="G126" s="139" t="s">
        <v>175</v>
      </c>
      <c r="H126" s="139" t="s">
        <v>181</v>
      </c>
      <c r="I126" s="139"/>
      <c r="J126" s="139" t="s">
        <v>144</v>
      </c>
      <c r="K126" s="140" t="s">
        <v>29</v>
      </c>
      <c r="L126" s="140" t="s">
        <v>182</v>
      </c>
      <c r="M126" s="141">
        <v>0</v>
      </c>
      <c r="N126" s="141">
        <v>0</v>
      </c>
      <c r="O126" s="143" t="e">
        <f t="shared" si="65"/>
        <v>#DIV/0!</v>
      </c>
      <c r="P126" s="141">
        <v>0</v>
      </c>
      <c r="Q126" s="143" t="e">
        <f t="shared" si="65"/>
        <v>#DIV/0!</v>
      </c>
      <c r="R126" s="141">
        <v>0</v>
      </c>
      <c r="S126" s="143" t="e">
        <f t="shared" ref="S126" si="120">+R126/$M126</f>
        <v>#DIV/0!</v>
      </c>
    </row>
    <row r="127" spans="1:19" ht="24.95" hidden="1" customHeight="1">
      <c r="A127" s="32" t="e">
        <v>#REF!</v>
      </c>
      <c r="B127" s="144" t="s">
        <v>466</v>
      </c>
      <c r="C127" s="145" t="s">
        <v>167</v>
      </c>
      <c r="D127" s="145" t="s">
        <v>171</v>
      </c>
      <c r="E127" s="145" t="s">
        <v>172</v>
      </c>
      <c r="F127" s="145" t="s">
        <v>173</v>
      </c>
      <c r="G127" s="145" t="s">
        <v>175</v>
      </c>
      <c r="H127" s="145" t="s">
        <v>181</v>
      </c>
      <c r="I127" s="145" t="s">
        <v>54</v>
      </c>
      <c r="J127" s="145" t="s">
        <v>144</v>
      </c>
      <c r="K127" s="146" t="s">
        <v>29</v>
      </c>
      <c r="L127" s="147" t="s">
        <v>178</v>
      </c>
      <c r="M127" s="148">
        <v>0</v>
      </c>
      <c r="N127" s="148"/>
      <c r="O127" s="150" t="e">
        <f t="shared" si="65"/>
        <v>#DIV/0!</v>
      </c>
      <c r="P127" s="148"/>
      <c r="Q127" s="150" t="e">
        <f t="shared" si="65"/>
        <v>#DIV/0!</v>
      </c>
      <c r="R127" s="148"/>
      <c r="S127" s="150" t="e">
        <f t="shared" ref="S127" si="121">+R127/$M127</f>
        <v>#DIV/0!</v>
      </c>
    </row>
    <row r="128" spans="1:19" ht="31.5" hidden="1" customHeight="1">
      <c r="A128" s="32" t="e">
        <v>#REF!</v>
      </c>
      <c r="B128" s="144" t="s">
        <v>691</v>
      </c>
      <c r="C128" s="139" t="s">
        <v>167</v>
      </c>
      <c r="D128" s="139" t="s">
        <v>171</v>
      </c>
      <c r="E128" s="139" t="s">
        <v>172</v>
      </c>
      <c r="F128" s="139" t="s">
        <v>173</v>
      </c>
      <c r="G128" s="139" t="s">
        <v>175</v>
      </c>
      <c r="H128" s="139" t="s">
        <v>183</v>
      </c>
      <c r="I128" s="139"/>
      <c r="J128" s="139" t="s">
        <v>144</v>
      </c>
      <c r="K128" s="140" t="s">
        <v>29</v>
      </c>
      <c r="L128" s="140" t="s">
        <v>184</v>
      </c>
      <c r="M128" s="141">
        <v>0</v>
      </c>
      <c r="N128" s="141">
        <v>0</v>
      </c>
      <c r="O128" s="143" t="e">
        <f t="shared" si="65"/>
        <v>#DIV/0!</v>
      </c>
      <c r="P128" s="141">
        <v>0</v>
      </c>
      <c r="Q128" s="143" t="e">
        <f t="shared" si="65"/>
        <v>#DIV/0!</v>
      </c>
      <c r="R128" s="141">
        <v>0</v>
      </c>
      <c r="S128" s="143" t="e">
        <f t="shared" ref="S128" si="122">+R128/$M128</f>
        <v>#DIV/0!</v>
      </c>
    </row>
    <row r="129" spans="1:19" ht="24.95" hidden="1" customHeight="1">
      <c r="A129" s="32" t="e">
        <v>#REF!</v>
      </c>
      <c r="B129" s="144" t="s">
        <v>470</v>
      </c>
      <c r="C129" s="145" t="s">
        <v>167</v>
      </c>
      <c r="D129" s="145" t="s">
        <v>171</v>
      </c>
      <c r="E129" s="145" t="s">
        <v>172</v>
      </c>
      <c r="F129" s="145" t="s">
        <v>173</v>
      </c>
      <c r="G129" s="145" t="s">
        <v>175</v>
      </c>
      <c r="H129" s="145" t="s">
        <v>183</v>
      </c>
      <c r="I129" s="145" t="s">
        <v>54</v>
      </c>
      <c r="J129" s="145" t="s">
        <v>144</v>
      </c>
      <c r="K129" s="146" t="s">
        <v>29</v>
      </c>
      <c r="L129" s="147" t="s">
        <v>178</v>
      </c>
      <c r="M129" s="148">
        <v>0</v>
      </c>
      <c r="N129" s="148">
        <v>0</v>
      </c>
      <c r="O129" s="150" t="e">
        <f t="shared" si="65"/>
        <v>#DIV/0!</v>
      </c>
      <c r="P129" s="148">
        <v>0</v>
      </c>
      <c r="Q129" s="150" t="e">
        <f t="shared" si="65"/>
        <v>#DIV/0!</v>
      </c>
      <c r="R129" s="148">
        <v>0</v>
      </c>
      <c r="S129" s="150" t="e">
        <f t="shared" ref="S129" si="123">+R129/$M129</f>
        <v>#DIV/0!</v>
      </c>
    </row>
    <row r="130" spans="1:19" ht="31.5" hidden="1" customHeight="1">
      <c r="A130" s="32" t="e">
        <v>#REF!</v>
      </c>
      <c r="B130" s="138" t="s">
        <v>472</v>
      </c>
      <c r="C130" s="139" t="s">
        <v>167</v>
      </c>
      <c r="D130" s="139" t="s">
        <v>171</v>
      </c>
      <c r="E130" s="139" t="s">
        <v>172</v>
      </c>
      <c r="F130" s="139" t="s">
        <v>173</v>
      </c>
      <c r="G130" s="139" t="s">
        <v>175</v>
      </c>
      <c r="H130" s="139" t="s">
        <v>185</v>
      </c>
      <c r="I130" s="139"/>
      <c r="J130" s="139" t="s">
        <v>144</v>
      </c>
      <c r="K130" s="140" t="s">
        <v>29</v>
      </c>
      <c r="L130" s="140" t="s">
        <v>186</v>
      </c>
      <c r="M130" s="141">
        <v>0</v>
      </c>
      <c r="N130" s="141">
        <v>0</v>
      </c>
      <c r="O130" s="143" t="e">
        <f t="shared" si="65"/>
        <v>#DIV/0!</v>
      </c>
      <c r="P130" s="141">
        <v>0</v>
      </c>
      <c r="Q130" s="143" t="e">
        <f t="shared" si="65"/>
        <v>#DIV/0!</v>
      </c>
      <c r="R130" s="141">
        <v>0</v>
      </c>
      <c r="S130" s="143" t="e">
        <f t="shared" ref="S130" si="124">+R130/$M130</f>
        <v>#DIV/0!</v>
      </c>
    </row>
    <row r="131" spans="1:19" ht="24.95" hidden="1" customHeight="1">
      <c r="A131" s="32" t="e">
        <v>#REF!</v>
      </c>
      <c r="B131" s="144" t="s">
        <v>474</v>
      </c>
      <c r="C131" s="145" t="s">
        <v>167</v>
      </c>
      <c r="D131" s="145" t="s">
        <v>171</v>
      </c>
      <c r="E131" s="145" t="s">
        <v>172</v>
      </c>
      <c r="F131" s="145" t="s">
        <v>173</v>
      </c>
      <c r="G131" s="145" t="s">
        <v>175</v>
      </c>
      <c r="H131" s="145" t="s">
        <v>185</v>
      </c>
      <c r="I131" s="145" t="s">
        <v>54</v>
      </c>
      <c r="J131" s="145" t="s">
        <v>144</v>
      </c>
      <c r="K131" s="146" t="s">
        <v>29</v>
      </c>
      <c r="L131" s="147" t="s">
        <v>178</v>
      </c>
      <c r="M131" s="148">
        <v>0</v>
      </c>
      <c r="N131" s="148"/>
      <c r="O131" s="150" t="e">
        <f t="shared" si="65"/>
        <v>#DIV/0!</v>
      </c>
      <c r="P131" s="148"/>
      <c r="Q131" s="150" t="e">
        <f t="shared" si="65"/>
        <v>#DIV/0!</v>
      </c>
      <c r="R131" s="148"/>
      <c r="S131" s="150" t="e">
        <f t="shared" ref="S131" si="125">+R131/$M131</f>
        <v>#DIV/0!</v>
      </c>
    </row>
    <row r="132" spans="1:19" ht="31.5" hidden="1" customHeight="1">
      <c r="A132" s="32" t="e">
        <v>#REF!</v>
      </c>
      <c r="B132" s="32"/>
      <c r="C132" s="139" t="s">
        <v>167</v>
      </c>
      <c r="D132" s="139" t="s">
        <v>171</v>
      </c>
      <c r="E132" s="139" t="s">
        <v>172</v>
      </c>
      <c r="F132" s="139" t="s">
        <v>173</v>
      </c>
      <c r="G132" s="139" t="s">
        <v>175</v>
      </c>
      <c r="H132" s="139" t="s">
        <v>187</v>
      </c>
      <c r="I132" s="139"/>
      <c r="J132" s="139" t="s">
        <v>144</v>
      </c>
      <c r="K132" s="140" t="s">
        <v>29</v>
      </c>
      <c r="L132" s="140" t="s">
        <v>188</v>
      </c>
      <c r="M132" s="141">
        <v>0</v>
      </c>
      <c r="N132" s="141">
        <v>0</v>
      </c>
      <c r="O132" s="143" t="e">
        <f t="shared" si="65"/>
        <v>#DIV/0!</v>
      </c>
      <c r="P132" s="141">
        <v>0</v>
      </c>
      <c r="Q132" s="143" t="e">
        <f t="shared" si="65"/>
        <v>#DIV/0!</v>
      </c>
      <c r="R132" s="141">
        <v>0</v>
      </c>
      <c r="S132" s="143" t="e">
        <f t="shared" ref="S132" si="126">+R132/$M132</f>
        <v>#DIV/0!</v>
      </c>
    </row>
    <row r="133" spans="1:19" ht="24.95" hidden="1" customHeight="1">
      <c r="A133" s="32" t="e">
        <v>#REF!</v>
      </c>
      <c r="B133" s="32"/>
      <c r="C133" s="145" t="s">
        <v>167</v>
      </c>
      <c r="D133" s="145" t="s">
        <v>171</v>
      </c>
      <c r="E133" s="145" t="s">
        <v>172</v>
      </c>
      <c r="F133" s="145" t="s">
        <v>173</v>
      </c>
      <c r="G133" s="145" t="s">
        <v>175</v>
      </c>
      <c r="H133" s="145" t="s">
        <v>187</v>
      </c>
      <c r="I133" s="145" t="s">
        <v>54</v>
      </c>
      <c r="J133" s="145" t="s">
        <v>144</v>
      </c>
      <c r="K133" s="146" t="s">
        <v>29</v>
      </c>
      <c r="L133" s="147" t="s">
        <v>178</v>
      </c>
      <c r="M133" s="148">
        <v>0</v>
      </c>
      <c r="N133" s="148">
        <v>0</v>
      </c>
      <c r="O133" s="150" t="e">
        <f t="shared" si="65"/>
        <v>#DIV/0!</v>
      </c>
      <c r="P133" s="148">
        <v>0</v>
      </c>
      <c r="Q133" s="150" t="e">
        <f t="shared" si="65"/>
        <v>#DIV/0!</v>
      </c>
      <c r="R133" s="148">
        <v>0</v>
      </c>
      <c r="S133" s="150" t="e">
        <f t="shared" ref="S133" si="127">+R133/$M133</f>
        <v>#DIV/0!</v>
      </c>
    </row>
    <row r="134" spans="1:19" ht="24.95" hidden="1" customHeight="1">
      <c r="A134" s="32" t="e">
        <v>#REF!</v>
      </c>
      <c r="B134" s="32"/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187</v>
      </c>
      <c r="I134" s="145" t="s">
        <v>65</v>
      </c>
      <c r="J134" s="145" t="s">
        <v>144</v>
      </c>
      <c r="K134" s="146" t="s">
        <v>29</v>
      </c>
      <c r="L134" s="147" t="s">
        <v>127</v>
      </c>
      <c r="M134" s="148">
        <v>0</v>
      </c>
      <c r="N134" s="148">
        <v>0</v>
      </c>
      <c r="O134" s="150" t="e">
        <f t="shared" si="65"/>
        <v>#DIV/0!</v>
      </c>
      <c r="P134" s="148">
        <v>0</v>
      </c>
      <c r="Q134" s="150" t="e">
        <f t="shared" si="65"/>
        <v>#DIV/0!</v>
      </c>
      <c r="R134" s="148">
        <v>0</v>
      </c>
      <c r="S134" s="150" t="e">
        <f t="shared" ref="S134" si="128">+R134/$M134</f>
        <v>#DIV/0!</v>
      </c>
    </row>
    <row r="135" spans="1:19" ht="35.25" customHeight="1">
      <c r="A135" s="32" t="e">
        <v>#REF!</v>
      </c>
      <c r="B135" s="122" t="s">
        <v>482</v>
      </c>
      <c r="C135" s="123" t="s">
        <v>167</v>
      </c>
      <c r="D135" s="123">
        <v>4103</v>
      </c>
      <c r="E135" s="123"/>
      <c r="F135" s="123"/>
      <c r="G135" s="123"/>
      <c r="H135" s="123"/>
      <c r="I135" s="123"/>
      <c r="J135" s="124"/>
      <c r="K135" s="124"/>
      <c r="L135" s="124" t="s">
        <v>189</v>
      </c>
      <c r="M135" s="125">
        <v>12916518459989</v>
      </c>
      <c r="N135" s="125">
        <v>6660966221892.3896</v>
      </c>
      <c r="O135" s="126">
        <f t="shared" si="65"/>
        <v>0.51569362460370471</v>
      </c>
      <c r="P135" s="125">
        <v>5111482725055.3203</v>
      </c>
      <c r="Q135" s="126">
        <f t="shared" si="65"/>
        <v>0.39573223550053077</v>
      </c>
      <c r="R135" s="125">
        <v>4780738377332.3203</v>
      </c>
      <c r="S135" s="126">
        <f t="shared" ref="S135" si="129">+R135/$M135</f>
        <v>0.37012592767481645</v>
      </c>
    </row>
    <row r="136" spans="1:19" ht="24" customHeight="1">
      <c r="A136" s="32" t="e">
        <v>#REF!</v>
      </c>
      <c r="B136" s="127" t="s">
        <v>296</v>
      </c>
      <c r="C136" s="128" t="s">
        <v>167</v>
      </c>
      <c r="D136" s="128">
        <v>4103</v>
      </c>
      <c r="E136" s="128">
        <v>1500</v>
      </c>
      <c r="F136" s="128"/>
      <c r="G136" s="128"/>
      <c r="H136" s="128"/>
      <c r="I136" s="128"/>
      <c r="J136" s="129"/>
      <c r="K136" s="129"/>
      <c r="L136" s="129" t="s">
        <v>170</v>
      </c>
      <c r="M136" s="130">
        <v>12916518459989</v>
      </c>
      <c r="N136" s="130">
        <v>6660966221892.3896</v>
      </c>
      <c r="O136" s="131">
        <f t="shared" ref="O136:Q199" si="130">+N136/$M136</f>
        <v>0.51569362460370471</v>
      </c>
      <c r="P136" s="130">
        <v>5111482725055.3203</v>
      </c>
      <c r="Q136" s="131">
        <f t="shared" si="130"/>
        <v>0.39573223550053077</v>
      </c>
      <c r="R136" s="130">
        <v>4780738377332.3203</v>
      </c>
      <c r="S136" s="131">
        <f t="shared" ref="S136" si="131">+R136/$M136</f>
        <v>0.37012592767481645</v>
      </c>
    </row>
    <row r="137" spans="1:19" ht="42.75" customHeight="1">
      <c r="A137" s="32" t="e">
        <v>#REF!</v>
      </c>
      <c r="B137" s="132" t="s">
        <v>297</v>
      </c>
      <c r="C137" s="133" t="s">
        <v>167</v>
      </c>
      <c r="D137" s="133" t="s">
        <v>190</v>
      </c>
      <c r="E137" s="133" t="s">
        <v>172</v>
      </c>
      <c r="F137" s="133" t="s">
        <v>191</v>
      </c>
      <c r="G137" s="133"/>
      <c r="H137" s="133"/>
      <c r="I137" s="133"/>
      <c r="J137" s="133"/>
      <c r="K137" s="134"/>
      <c r="L137" s="134" t="s">
        <v>263</v>
      </c>
      <c r="M137" s="135">
        <v>2205025363612</v>
      </c>
      <c r="N137" s="135">
        <v>1487916084945.1099</v>
      </c>
      <c r="O137" s="137">
        <f t="shared" si="130"/>
        <v>0.67478411337082744</v>
      </c>
      <c r="P137" s="135">
        <v>1089812915529.5</v>
      </c>
      <c r="Q137" s="137">
        <f t="shared" si="130"/>
        <v>0.4942405350586549</v>
      </c>
      <c r="R137" s="135">
        <v>761126123178.5</v>
      </c>
      <c r="S137" s="137">
        <f t="shared" ref="S137" si="132">+R137/$M137</f>
        <v>0.3451779447705387</v>
      </c>
    </row>
    <row r="138" spans="1:19" ht="30.75" customHeight="1">
      <c r="A138" s="32" t="e">
        <v>#REF!</v>
      </c>
      <c r="B138" s="138" t="s">
        <v>486</v>
      </c>
      <c r="C138" s="139" t="s">
        <v>167</v>
      </c>
      <c r="D138" s="139" t="s">
        <v>190</v>
      </c>
      <c r="E138" s="139" t="s">
        <v>172</v>
      </c>
      <c r="F138" s="139" t="s">
        <v>191</v>
      </c>
      <c r="G138" s="139" t="s">
        <v>175</v>
      </c>
      <c r="H138" s="139" t="s">
        <v>193</v>
      </c>
      <c r="I138" s="139"/>
      <c r="J138" s="139"/>
      <c r="K138" s="140"/>
      <c r="L138" s="140" t="s">
        <v>194</v>
      </c>
      <c r="M138" s="141">
        <v>2198261329758</v>
      </c>
      <c r="N138" s="141">
        <v>1487916084945.1099</v>
      </c>
      <c r="O138" s="143">
        <f t="shared" si="130"/>
        <v>0.67686041909717354</v>
      </c>
      <c r="P138" s="141">
        <v>1089812915529.5</v>
      </c>
      <c r="Q138" s="143">
        <f t="shared" si="130"/>
        <v>0.49576130952977926</v>
      </c>
      <c r="R138" s="141">
        <v>761126123178.5</v>
      </c>
      <c r="S138" s="143">
        <f t="shared" ref="S138" si="133">+R138/$M138</f>
        <v>0.34624005475376762</v>
      </c>
    </row>
    <row r="139" spans="1:19" ht="24.95" customHeight="1">
      <c r="A139" s="32" t="e">
        <v>#REF!</v>
      </c>
      <c r="B139" s="144" t="s">
        <v>488</v>
      </c>
      <c r="C139" s="145" t="s">
        <v>167</v>
      </c>
      <c r="D139" s="145" t="s">
        <v>190</v>
      </c>
      <c r="E139" s="145" t="s">
        <v>172</v>
      </c>
      <c r="F139" s="145" t="s">
        <v>191</v>
      </c>
      <c r="G139" s="145" t="s">
        <v>175</v>
      </c>
      <c r="H139" s="145" t="s">
        <v>193</v>
      </c>
      <c r="I139" s="145" t="s">
        <v>54</v>
      </c>
      <c r="J139" s="145">
        <v>11</v>
      </c>
      <c r="K139" s="146" t="s">
        <v>29</v>
      </c>
      <c r="L139" s="147" t="s">
        <v>178</v>
      </c>
      <c r="M139" s="148">
        <v>87392276221</v>
      </c>
      <c r="N139" s="148">
        <v>54683613728.110001</v>
      </c>
      <c r="O139" s="150">
        <f t="shared" si="130"/>
        <v>0.62572593474764948</v>
      </c>
      <c r="P139" s="148">
        <v>19119863778.5</v>
      </c>
      <c r="Q139" s="150">
        <f t="shared" si="130"/>
        <v>0.21878207783659462</v>
      </c>
      <c r="R139" s="148">
        <v>18988273778.5</v>
      </c>
      <c r="S139" s="150">
        <f t="shared" ref="S139" si="134">+R139/$M139</f>
        <v>0.21727633836292271</v>
      </c>
    </row>
    <row r="140" spans="1:19" ht="24.95" customHeight="1">
      <c r="A140" s="32" t="e">
        <v>#REF!</v>
      </c>
      <c r="B140" s="144" t="s">
        <v>488</v>
      </c>
      <c r="C140" s="145" t="s">
        <v>167</v>
      </c>
      <c r="D140" s="145" t="s">
        <v>190</v>
      </c>
      <c r="E140" s="145" t="s">
        <v>172</v>
      </c>
      <c r="F140" s="145" t="s">
        <v>191</v>
      </c>
      <c r="G140" s="145" t="s">
        <v>175</v>
      </c>
      <c r="H140" s="145" t="s">
        <v>193</v>
      </c>
      <c r="I140" s="145" t="s">
        <v>54</v>
      </c>
      <c r="J140" s="145">
        <v>13</v>
      </c>
      <c r="K140" s="146" t="s">
        <v>29</v>
      </c>
      <c r="L140" s="147" t="s">
        <v>178</v>
      </c>
      <c r="M140" s="148">
        <v>148552450</v>
      </c>
      <c r="N140" s="148">
        <v>67000000</v>
      </c>
      <c r="O140" s="150">
        <f t="shared" si="130"/>
        <v>0.45101915182146102</v>
      </c>
      <c r="P140" s="148">
        <v>33285000</v>
      </c>
      <c r="Q140" s="150">
        <f t="shared" si="130"/>
        <v>0.22406227564742284</v>
      </c>
      <c r="R140" s="148">
        <v>33285000</v>
      </c>
      <c r="S140" s="150">
        <f t="shared" ref="S140" si="135">+R140/$M140</f>
        <v>0.22406227564742284</v>
      </c>
    </row>
    <row r="141" spans="1:19" ht="24.95" customHeight="1">
      <c r="A141" s="32" t="e">
        <v>#REF!</v>
      </c>
      <c r="B141" s="144" t="s">
        <v>491</v>
      </c>
      <c r="C141" s="145" t="s">
        <v>167</v>
      </c>
      <c r="D141" s="145" t="s">
        <v>190</v>
      </c>
      <c r="E141" s="145" t="s">
        <v>172</v>
      </c>
      <c r="F141" s="145" t="s">
        <v>191</v>
      </c>
      <c r="G141" s="145" t="s">
        <v>175</v>
      </c>
      <c r="H141" s="145" t="s">
        <v>193</v>
      </c>
      <c r="I141" s="145" t="s">
        <v>65</v>
      </c>
      <c r="J141" s="145" t="s">
        <v>144</v>
      </c>
      <c r="K141" s="146" t="s">
        <v>29</v>
      </c>
      <c r="L141" s="147" t="s">
        <v>127</v>
      </c>
      <c r="M141" s="148">
        <v>244622904349</v>
      </c>
      <c r="N141" s="148">
        <v>224784807416</v>
      </c>
      <c r="O141" s="150">
        <f t="shared" si="130"/>
        <v>0.91890335459063444</v>
      </c>
      <c r="P141" s="148">
        <v>210845378600</v>
      </c>
      <c r="Q141" s="150">
        <f t="shared" si="130"/>
        <v>0.8619200199634206</v>
      </c>
      <c r="R141" s="148">
        <v>210842450000</v>
      </c>
      <c r="S141" s="150">
        <f t="shared" ref="S141" si="136">+R141/$M141</f>
        <v>0.86190804806729826</v>
      </c>
    </row>
    <row r="142" spans="1:19" ht="24.95" customHeight="1">
      <c r="A142" s="32" t="e">
        <v>#REF!</v>
      </c>
      <c r="B142" s="144" t="s">
        <v>491</v>
      </c>
      <c r="C142" s="145" t="s">
        <v>167</v>
      </c>
      <c r="D142" s="145" t="s">
        <v>190</v>
      </c>
      <c r="E142" s="145" t="s">
        <v>172</v>
      </c>
      <c r="F142" s="145" t="s">
        <v>191</v>
      </c>
      <c r="G142" s="145" t="s">
        <v>175</v>
      </c>
      <c r="H142" s="145" t="s">
        <v>193</v>
      </c>
      <c r="I142" s="145" t="s">
        <v>65</v>
      </c>
      <c r="J142" s="145">
        <v>13</v>
      </c>
      <c r="K142" s="146" t="s">
        <v>29</v>
      </c>
      <c r="L142" s="147" t="s">
        <v>127</v>
      </c>
      <c r="M142" s="148">
        <v>1866097596738</v>
      </c>
      <c r="N142" s="148">
        <v>1208380663801</v>
      </c>
      <c r="O142" s="150">
        <f t="shared" si="130"/>
        <v>0.64754419378348116</v>
      </c>
      <c r="P142" s="148">
        <v>859814388151</v>
      </c>
      <c r="Q142" s="150">
        <f t="shared" si="130"/>
        <v>0.46075531614958609</v>
      </c>
      <c r="R142" s="148">
        <v>531262114400</v>
      </c>
      <c r="S142" s="150">
        <f t="shared" ref="S142" si="137">+R142/$M142</f>
        <v>0.2846914948760792</v>
      </c>
    </row>
    <row r="143" spans="1:19" ht="32.25" customHeight="1">
      <c r="A143" s="32" t="e">
        <v>#REF!</v>
      </c>
      <c r="B143" s="138" t="s">
        <v>494</v>
      </c>
      <c r="C143" s="139" t="s">
        <v>167</v>
      </c>
      <c r="D143" s="139" t="s">
        <v>190</v>
      </c>
      <c r="E143" s="139" t="s">
        <v>172</v>
      </c>
      <c r="F143" s="139" t="s">
        <v>191</v>
      </c>
      <c r="G143" s="139" t="s">
        <v>175</v>
      </c>
      <c r="H143" s="139">
        <v>4103009</v>
      </c>
      <c r="I143" s="139"/>
      <c r="J143" s="139"/>
      <c r="K143" s="140" t="s">
        <v>29</v>
      </c>
      <c r="L143" s="140" t="s">
        <v>195</v>
      </c>
      <c r="M143" s="141">
        <v>6164033854</v>
      </c>
      <c r="N143" s="141">
        <v>0</v>
      </c>
      <c r="O143" s="143">
        <f t="shared" si="130"/>
        <v>0</v>
      </c>
      <c r="P143" s="141">
        <v>0</v>
      </c>
      <c r="Q143" s="143">
        <f t="shared" si="130"/>
        <v>0</v>
      </c>
      <c r="R143" s="141">
        <v>0</v>
      </c>
      <c r="S143" s="143">
        <f t="shared" ref="S143" si="138">+R143/$M143</f>
        <v>0</v>
      </c>
    </row>
    <row r="144" spans="1:19" ht="24.95" customHeight="1">
      <c r="A144" s="32" t="e">
        <v>#REF!</v>
      </c>
      <c r="B144" s="144" t="s">
        <v>496</v>
      </c>
      <c r="C144" s="145" t="s">
        <v>167</v>
      </c>
      <c r="D144" s="145" t="s">
        <v>190</v>
      </c>
      <c r="E144" s="145" t="s">
        <v>172</v>
      </c>
      <c r="F144" s="145" t="s">
        <v>191</v>
      </c>
      <c r="G144" s="145" t="s">
        <v>175</v>
      </c>
      <c r="H144" s="145">
        <v>4103009</v>
      </c>
      <c r="I144" s="145" t="s">
        <v>54</v>
      </c>
      <c r="J144" s="145">
        <v>11</v>
      </c>
      <c r="K144" s="146" t="s">
        <v>29</v>
      </c>
      <c r="L144" s="147" t="s">
        <v>178</v>
      </c>
      <c r="M144" s="148">
        <v>6164033854</v>
      </c>
      <c r="N144" s="148">
        <v>0</v>
      </c>
      <c r="O144" s="150">
        <f t="shared" si="130"/>
        <v>0</v>
      </c>
      <c r="P144" s="148">
        <v>0</v>
      </c>
      <c r="Q144" s="150">
        <f t="shared" si="130"/>
        <v>0</v>
      </c>
      <c r="R144" s="148">
        <v>0</v>
      </c>
      <c r="S144" s="150">
        <f t="shared" ref="S144" si="139">+R144/$M144</f>
        <v>0</v>
      </c>
    </row>
    <row r="145" spans="1:19" ht="32.25" customHeight="1">
      <c r="A145" s="32" t="e">
        <v>#REF!</v>
      </c>
      <c r="B145" s="138" t="s">
        <v>497</v>
      </c>
      <c r="C145" s="139" t="s">
        <v>167</v>
      </c>
      <c r="D145" s="139" t="s">
        <v>190</v>
      </c>
      <c r="E145" s="139" t="s">
        <v>172</v>
      </c>
      <c r="F145" s="139" t="s">
        <v>191</v>
      </c>
      <c r="G145" s="139" t="s">
        <v>175</v>
      </c>
      <c r="H145" s="139">
        <v>4103047</v>
      </c>
      <c r="I145" s="139"/>
      <c r="J145" s="139">
        <v>11</v>
      </c>
      <c r="K145" s="140" t="s">
        <v>29</v>
      </c>
      <c r="L145" s="140" t="s">
        <v>195</v>
      </c>
      <c r="M145" s="141">
        <v>600000000</v>
      </c>
      <c r="N145" s="141">
        <v>0</v>
      </c>
      <c r="O145" s="143">
        <f t="shared" si="130"/>
        <v>0</v>
      </c>
      <c r="P145" s="141">
        <v>0</v>
      </c>
      <c r="Q145" s="143">
        <f t="shared" si="130"/>
        <v>0</v>
      </c>
      <c r="R145" s="141">
        <v>0</v>
      </c>
      <c r="S145" s="143">
        <f t="shared" ref="S145" si="140">+R145/$M145</f>
        <v>0</v>
      </c>
    </row>
    <row r="146" spans="1:19" ht="24.95" customHeight="1">
      <c r="A146" s="32" t="e">
        <v>#REF!</v>
      </c>
      <c r="B146" s="144" t="s">
        <v>498</v>
      </c>
      <c r="C146" s="145" t="s">
        <v>167</v>
      </c>
      <c r="D146" s="145" t="s">
        <v>190</v>
      </c>
      <c r="E146" s="145" t="s">
        <v>172</v>
      </c>
      <c r="F146" s="145" t="s">
        <v>191</v>
      </c>
      <c r="G146" s="145" t="s">
        <v>175</v>
      </c>
      <c r="H146" s="145">
        <v>4103047</v>
      </c>
      <c r="I146" s="145" t="s">
        <v>54</v>
      </c>
      <c r="J146" s="145">
        <v>11</v>
      </c>
      <c r="K146" s="146" t="s">
        <v>29</v>
      </c>
      <c r="L146" s="147" t="s">
        <v>178</v>
      </c>
      <c r="M146" s="148">
        <v>600000000</v>
      </c>
      <c r="N146" s="148">
        <v>0</v>
      </c>
      <c r="O146" s="150">
        <f t="shared" si="130"/>
        <v>0</v>
      </c>
      <c r="P146" s="148">
        <v>0</v>
      </c>
      <c r="Q146" s="150">
        <f t="shared" si="130"/>
        <v>0</v>
      </c>
      <c r="R146" s="148">
        <v>0</v>
      </c>
      <c r="S146" s="150">
        <f t="shared" ref="S146" si="141">+R146/$M146</f>
        <v>0</v>
      </c>
    </row>
    <row r="147" spans="1:19" ht="42" customHeight="1">
      <c r="A147" s="32" t="e">
        <v>#REF!</v>
      </c>
      <c r="B147" s="132" t="s">
        <v>298</v>
      </c>
      <c r="C147" s="133" t="s">
        <v>167</v>
      </c>
      <c r="D147" s="133" t="s">
        <v>190</v>
      </c>
      <c r="E147" s="133" t="s">
        <v>172</v>
      </c>
      <c r="F147" s="133" t="s">
        <v>22</v>
      </c>
      <c r="G147" s="133"/>
      <c r="H147" s="133"/>
      <c r="I147" s="133"/>
      <c r="J147" s="133"/>
      <c r="K147" s="134"/>
      <c r="L147" s="134" t="s">
        <v>264</v>
      </c>
      <c r="M147" s="135">
        <v>126000000000</v>
      </c>
      <c r="N147" s="135">
        <v>102214862236</v>
      </c>
      <c r="O147" s="137">
        <f t="shared" si="130"/>
        <v>0.81122906536507933</v>
      </c>
      <c r="P147" s="135">
        <v>44486532882.279999</v>
      </c>
      <c r="Q147" s="137">
        <f t="shared" si="130"/>
        <v>0.35306772128793651</v>
      </c>
      <c r="R147" s="135">
        <v>44335207571.279999</v>
      </c>
      <c r="S147" s="137">
        <f t="shared" ref="S147" si="142">+R147/$M147</f>
        <v>0.35186672675619046</v>
      </c>
    </row>
    <row r="148" spans="1:19" ht="32.25" customHeight="1">
      <c r="A148" s="32" t="e">
        <v>#REF!</v>
      </c>
      <c r="B148" s="138" t="s">
        <v>500</v>
      </c>
      <c r="C148" s="139" t="s">
        <v>167</v>
      </c>
      <c r="D148" s="139" t="s">
        <v>190</v>
      </c>
      <c r="E148" s="139" t="s">
        <v>172</v>
      </c>
      <c r="F148" s="139" t="s">
        <v>22</v>
      </c>
      <c r="G148" s="139" t="s">
        <v>175</v>
      </c>
      <c r="H148" s="139" t="s">
        <v>197</v>
      </c>
      <c r="I148" s="139"/>
      <c r="J148" s="139">
        <v>13</v>
      </c>
      <c r="K148" s="140" t="s">
        <v>29</v>
      </c>
      <c r="L148" s="140" t="s">
        <v>198</v>
      </c>
      <c r="M148" s="141">
        <v>12543853246</v>
      </c>
      <c r="N148" s="141">
        <v>10898497232</v>
      </c>
      <c r="O148" s="143">
        <f t="shared" si="130"/>
        <v>0.86883169136846583</v>
      </c>
      <c r="P148" s="141">
        <v>2066676122</v>
      </c>
      <c r="Q148" s="143">
        <f t="shared" si="130"/>
        <v>0.16475608263824548</v>
      </c>
      <c r="R148" s="141">
        <v>2066676122</v>
      </c>
      <c r="S148" s="143">
        <f t="shared" ref="S148" si="143">+R148/$M148</f>
        <v>0.16475608263824548</v>
      </c>
    </row>
    <row r="149" spans="1:19" ht="24.95" customHeight="1">
      <c r="A149" s="32" t="e">
        <v>#REF!</v>
      </c>
      <c r="B149" s="144" t="s">
        <v>501</v>
      </c>
      <c r="C149" s="145" t="s">
        <v>167</v>
      </c>
      <c r="D149" s="145" t="s">
        <v>190</v>
      </c>
      <c r="E149" s="145" t="s">
        <v>172</v>
      </c>
      <c r="F149" s="145" t="s">
        <v>22</v>
      </c>
      <c r="G149" s="145" t="s">
        <v>175</v>
      </c>
      <c r="H149" s="145" t="s">
        <v>197</v>
      </c>
      <c r="I149" s="145" t="s">
        <v>54</v>
      </c>
      <c r="J149" s="145">
        <v>13</v>
      </c>
      <c r="K149" s="146" t="s">
        <v>29</v>
      </c>
      <c r="L149" s="147" t="s">
        <v>178</v>
      </c>
      <c r="M149" s="148">
        <v>12543853246</v>
      </c>
      <c r="N149" s="148">
        <v>10898497232</v>
      </c>
      <c r="O149" s="150">
        <f t="shared" si="130"/>
        <v>0.86883169136846583</v>
      </c>
      <c r="P149" s="148">
        <v>2066676122</v>
      </c>
      <c r="Q149" s="150">
        <f t="shared" si="130"/>
        <v>0.16475608263824548</v>
      </c>
      <c r="R149" s="148">
        <v>2066676122</v>
      </c>
      <c r="S149" s="150">
        <f t="shared" ref="S149" si="144">+R149/$M149</f>
        <v>0.16475608263824548</v>
      </c>
    </row>
    <row r="150" spans="1:19" ht="32.25" customHeight="1">
      <c r="A150" s="32" t="e">
        <v>#REF!</v>
      </c>
      <c r="B150" s="138" t="s">
        <v>502</v>
      </c>
      <c r="C150" s="139" t="s">
        <v>167</v>
      </c>
      <c r="D150" s="139" t="s">
        <v>190</v>
      </c>
      <c r="E150" s="139" t="s">
        <v>172</v>
      </c>
      <c r="F150" s="139" t="s">
        <v>22</v>
      </c>
      <c r="G150" s="139" t="s">
        <v>175</v>
      </c>
      <c r="H150" s="139" t="s">
        <v>199</v>
      </c>
      <c r="I150" s="139"/>
      <c r="J150" s="139">
        <v>13</v>
      </c>
      <c r="K150" s="140" t="s">
        <v>29</v>
      </c>
      <c r="L150" s="140" t="s">
        <v>200</v>
      </c>
      <c r="M150" s="141">
        <v>5747471657</v>
      </c>
      <c r="N150" s="141">
        <v>4797771460</v>
      </c>
      <c r="O150" s="143">
        <f t="shared" si="130"/>
        <v>0.83476209128524637</v>
      </c>
      <c r="P150" s="141">
        <v>931394438</v>
      </c>
      <c r="Q150" s="143">
        <f t="shared" si="130"/>
        <v>0.1620528979669921</v>
      </c>
      <c r="R150" s="141">
        <v>931394438</v>
      </c>
      <c r="S150" s="143">
        <f t="shared" ref="S150" si="145">+R150/$M150</f>
        <v>0.1620528979669921</v>
      </c>
    </row>
    <row r="151" spans="1:19" ht="24.95" customHeight="1">
      <c r="A151" s="32" t="e">
        <v>#REF!</v>
      </c>
      <c r="B151" s="144" t="s">
        <v>503</v>
      </c>
      <c r="C151" s="145" t="s">
        <v>167</v>
      </c>
      <c r="D151" s="145" t="s">
        <v>190</v>
      </c>
      <c r="E151" s="145" t="s">
        <v>172</v>
      </c>
      <c r="F151" s="145" t="s">
        <v>22</v>
      </c>
      <c r="G151" s="145" t="s">
        <v>175</v>
      </c>
      <c r="H151" s="145" t="s">
        <v>199</v>
      </c>
      <c r="I151" s="145" t="s">
        <v>54</v>
      </c>
      <c r="J151" s="145">
        <v>13</v>
      </c>
      <c r="K151" s="146" t="s">
        <v>29</v>
      </c>
      <c r="L151" s="147" t="s">
        <v>178</v>
      </c>
      <c r="M151" s="148">
        <v>5747471657</v>
      </c>
      <c r="N151" s="148">
        <v>4797771460</v>
      </c>
      <c r="O151" s="150">
        <f t="shared" si="130"/>
        <v>0.83476209128524637</v>
      </c>
      <c r="P151" s="148">
        <v>931394438</v>
      </c>
      <c r="Q151" s="150">
        <f t="shared" si="130"/>
        <v>0.1620528979669921</v>
      </c>
      <c r="R151" s="148">
        <v>931394438</v>
      </c>
      <c r="S151" s="150">
        <f t="shared" ref="S151" si="146">+R151/$M151</f>
        <v>0.1620528979669921</v>
      </c>
    </row>
    <row r="152" spans="1:19" ht="32.25" customHeight="1">
      <c r="A152" s="32" t="e">
        <v>#REF!</v>
      </c>
      <c r="B152" s="138" t="s">
        <v>504</v>
      </c>
      <c r="C152" s="139" t="s">
        <v>167</v>
      </c>
      <c r="D152" s="139" t="s">
        <v>190</v>
      </c>
      <c r="E152" s="139" t="s">
        <v>172</v>
      </c>
      <c r="F152" s="139" t="s">
        <v>22</v>
      </c>
      <c r="G152" s="139" t="s">
        <v>175</v>
      </c>
      <c r="H152" s="139" t="s">
        <v>201</v>
      </c>
      <c r="I152" s="139"/>
      <c r="J152" s="139">
        <v>13</v>
      </c>
      <c r="K152" s="140" t="s">
        <v>29</v>
      </c>
      <c r="L152" s="140" t="s">
        <v>202</v>
      </c>
      <c r="M152" s="141">
        <v>11231519737</v>
      </c>
      <c r="N152" s="141">
        <v>7872830488</v>
      </c>
      <c r="O152" s="143">
        <f t="shared" si="130"/>
        <v>0.7009586122227548</v>
      </c>
      <c r="P152" s="141">
        <v>2375880455.2800002</v>
      </c>
      <c r="Q152" s="143">
        <f t="shared" si="130"/>
        <v>0.21153686330204596</v>
      </c>
      <c r="R152" s="141">
        <v>2224555144.2800002</v>
      </c>
      <c r="S152" s="143">
        <f t="shared" ref="S152" si="147">+R152/$M152</f>
        <v>0.19806359213808328</v>
      </c>
    </row>
    <row r="153" spans="1:19" ht="24.95" customHeight="1">
      <c r="A153" s="32" t="e">
        <v>#REF!</v>
      </c>
      <c r="B153" s="144" t="s">
        <v>505</v>
      </c>
      <c r="C153" s="145" t="s">
        <v>167</v>
      </c>
      <c r="D153" s="145" t="s">
        <v>190</v>
      </c>
      <c r="E153" s="145" t="s">
        <v>172</v>
      </c>
      <c r="F153" s="145" t="s">
        <v>22</v>
      </c>
      <c r="G153" s="145" t="s">
        <v>175</v>
      </c>
      <c r="H153" s="145" t="s">
        <v>201</v>
      </c>
      <c r="I153" s="145" t="s">
        <v>54</v>
      </c>
      <c r="J153" s="145">
        <v>13</v>
      </c>
      <c r="K153" s="146" t="s">
        <v>29</v>
      </c>
      <c r="L153" s="147" t="s">
        <v>178</v>
      </c>
      <c r="M153" s="148">
        <v>11231519737</v>
      </c>
      <c r="N153" s="148">
        <v>7872830488</v>
      </c>
      <c r="O153" s="150">
        <f t="shared" si="130"/>
        <v>0.7009586122227548</v>
      </c>
      <c r="P153" s="148">
        <v>2375880455.2800002</v>
      </c>
      <c r="Q153" s="150">
        <f t="shared" si="130"/>
        <v>0.21153686330204596</v>
      </c>
      <c r="R153" s="148">
        <v>2224555144.2800002</v>
      </c>
      <c r="S153" s="150">
        <f t="shared" ref="S153" si="148">+R153/$M153</f>
        <v>0.19806359213808328</v>
      </c>
    </row>
    <row r="154" spans="1:19" ht="32.25" customHeight="1">
      <c r="A154" s="32" t="e">
        <v>#REF!</v>
      </c>
      <c r="B154" s="138" t="s">
        <v>506</v>
      </c>
      <c r="C154" s="139" t="s">
        <v>167</v>
      </c>
      <c r="D154" s="139" t="s">
        <v>190</v>
      </c>
      <c r="E154" s="139" t="s">
        <v>172</v>
      </c>
      <c r="F154" s="139" t="s">
        <v>22</v>
      </c>
      <c r="G154" s="139" t="s">
        <v>175</v>
      </c>
      <c r="H154" s="139" t="s">
        <v>203</v>
      </c>
      <c r="I154" s="139"/>
      <c r="J154" s="139">
        <v>13</v>
      </c>
      <c r="K154" s="140" t="s">
        <v>29</v>
      </c>
      <c r="L154" s="140" t="s">
        <v>204</v>
      </c>
      <c r="M154" s="141">
        <v>96477155360</v>
      </c>
      <c r="N154" s="141">
        <v>78645763056</v>
      </c>
      <c r="O154" s="143">
        <f t="shared" si="130"/>
        <v>0.81517497860023969</v>
      </c>
      <c r="P154" s="141">
        <v>39112581867</v>
      </c>
      <c r="Q154" s="143">
        <f t="shared" si="130"/>
        <v>0.40540770217626365</v>
      </c>
      <c r="R154" s="141">
        <v>39112581867</v>
      </c>
      <c r="S154" s="143">
        <f t="shared" ref="S154" si="149">+R154/$M154</f>
        <v>0.40540770217626365</v>
      </c>
    </row>
    <row r="155" spans="1:19" ht="24.95" customHeight="1">
      <c r="A155" s="32" t="e">
        <v>#REF!</v>
      </c>
      <c r="B155" s="144" t="s">
        <v>507</v>
      </c>
      <c r="C155" s="145" t="s">
        <v>167</v>
      </c>
      <c r="D155" s="145" t="s">
        <v>190</v>
      </c>
      <c r="E155" s="145" t="s">
        <v>172</v>
      </c>
      <c r="F155" s="145" t="s">
        <v>22</v>
      </c>
      <c r="G155" s="145" t="s">
        <v>175</v>
      </c>
      <c r="H155" s="145" t="s">
        <v>203</v>
      </c>
      <c r="I155" s="145" t="s">
        <v>54</v>
      </c>
      <c r="J155" s="145">
        <v>13</v>
      </c>
      <c r="K155" s="146" t="s">
        <v>29</v>
      </c>
      <c r="L155" s="147" t="s">
        <v>178</v>
      </c>
      <c r="M155" s="148">
        <v>96477155360</v>
      </c>
      <c r="N155" s="148">
        <v>78645763056</v>
      </c>
      <c r="O155" s="150">
        <f t="shared" si="130"/>
        <v>0.81517497860023969</v>
      </c>
      <c r="P155" s="148">
        <v>39112581867</v>
      </c>
      <c r="Q155" s="150">
        <f t="shared" si="130"/>
        <v>0.40540770217626365</v>
      </c>
      <c r="R155" s="148">
        <v>39112581867</v>
      </c>
      <c r="S155" s="150">
        <f t="shared" ref="S155" si="150">+R155/$M155</f>
        <v>0.40540770217626365</v>
      </c>
    </row>
    <row r="156" spans="1:19" ht="42" customHeight="1">
      <c r="A156" s="32" t="e">
        <v>#REF!</v>
      </c>
      <c r="B156" s="132" t="s">
        <v>299</v>
      </c>
      <c r="C156" s="133" t="s">
        <v>167</v>
      </c>
      <c r="D156" s="133" t="s">
        <v>190</v>
      </c>
      <c r="E156" s="133" t="s">
        <v>172</v>
      </c>
      <c r="F156" s="133" t="s">
        <v>205</v>
      </c>
      <c r="G156" s="133"/>
      <c r="H156" s="133"/>
      <c r="I156" s="133"/>
      <c r="J156" s="133"/>
      <c r="K156" s="134"/>
      <c r="L156" s="134" t="s">
        <v>265</v>
      </c>
      <c r="M156" s="135">
        <v>662805945958</v>
      </c>
      <c r="N156" s="135">
        <v>599676835493.32007</v>
      </c>
      <c r="O156" s="137">
        <f t="shared" si="130"/>
        <v>0.90475476140541411</v>
      </c>
      <c r="P156" s="135">
        <v>12670066942</v>
      </c>
      <c r="Q156" s="137">
        <f t="shared" si="130"/>
        <v>1.911580156947304E-2</v>
      </c>
      <c r="R156" s="135">
        <v>11277753582</v>
      </c>
      <c r="S156" s="137">
        <f t="shared" ref="S156" si="151">+R156/$M156</f>
        <v>1.7015166581976677E-2</v>
      </c>
    </row>
    <row r="157" spans="1:19" ht="30.75" hidden="1" customHeight="1">
      <c r="A157" s="32"/>
      <c r="B157" s="135"/>
      <c r="C157" s="133"/>
      <c r="D157" s="133"/>
      <c r="E157" s="133"/>
      <c r="F157" s="133"/>
      <c r="G157" s="133"/>
      <c r="H157" s="133"/>
      <c r="I157" s="133"/>
      <c r="J157" s="133"/>
      <c r="K157" s="134"/>
      <c r="L157" s="135"/>
      <c r="M157" s="135">
        <v>0</v>
      </c>
      <c r="N157" s="135"/>
      <c r="O157" s="137" t="e">
        <f t="shared" si="130"/>
        <v>#DIV/0!</v>
      </c>
      <c r="P157" s="135"/>
      <c r="Q157" s="137" t="e">
        <f t="shared" si="130"/>
        <v>#DIV/0!</v>
      </c>
      <c r="R157" s="135"/>
      <c r="S157" s="137" t="e">
        <f t="shared" ref="S157" si="152">+R157/$M157</f>
        <v>#DIV/0!</v>
      </c>
    </row>
    <row r="158" spans="1:19" ht="32.25" customHeight="1">
      <c r="A158" s="32" t="e">
        <v>#REF!</v>
      </c>
      <c r="B158" s="138" t="s">
        <v>510</v>
      </c>
      <c r="C158" s="139" t="s">
        <v>167</v>
      </c>
      <c r="D158" s="139" t="s">
        <v>190</v>
      </c>
      <c r="E158" s="139" t="s">
        <v>172</v>
      </c>
      <c r="F158" s="139" t="s">
        <v>205</v>
      </c>
      <c r="G158" s="139" t="s">
        <v>175</v>
      </c>
      <c r="H158" s="139" t="s">
        <v>207</v>
      </c>
      <c r="I158" s="139"/>
      <c r="J158" s="139"/>
      <c r="K158" s="140"/>
      <c r="L158" s="140" t="s">
        <v>208</v>
      </c>
      <c r="M158" s="141">
        <v>635881374794</v>
      </c>
      <c r="N158" s="141">
        <v>574615492258.42004</v>
      </c>
      <c r="O158" s="143">
        <f t="shared" si="130"/>
        <v>0.90365202541837675</v>
      </c>
      <c r="P158" s="141">
        <v>2757576805.6300001</v>
      </c>
      <c r="Q158" s="143">
        <f t="shared" si="130"/>
        <v>4.3366214437769056E-3</v>
      </c>
      <c r="R158" s="141">
        <v>2757576805.6300001</v>
      </c>
      <c r="S158" s="143">
        <f t="shared" ref="S158" si="153">+R158/$M158</f>
        <v>4.3366214437769056E-3</v>
      </c>
    </row>
    <row r="159" spans="1:19" ht="24.95" customHeight="1">
      <c r="A159" s="32" t="e">
        <v>#REF!</v>
      </c>
      <c r="B159" s="144" t="s">
        <v>511</v>
      </c>
      <c r="C159" s="145" t="s">
        <v>167</v>
      </c>
      <c r="D159" s="145" t="s">
        <v>190</v>
      </c>
      <c r="E159" s="145" t="s">
        <v>172</v>
      </c>
      <c r="F159" s="145" t="s">
        <v>205</v>
      </c>
      <c r="G159" s="145" t="s">
        <v>175</v>
      </c>
      <c r="H159" s="145" t="s">
        <v>207</v>
      </c>
      <c r="I159" s="145" t="s">
        <v>54</v>
      </c>
      <c r="J159" s="145">
        <v>13</v>
      </c>
      <c r="K159" s="146" t="s">
        <v>29</v>
      </c>
      <c r="L159" s="147" t="s">
        <v>178</v>
      </c>
      <c r="M159" s="148">
        <v>69862624669.509995</v>
      </c>
      <c r="N159" s="148">
        <v>64119446532.400002</v>
      </c>
      <c r="O159" s="150">
        <f t="shared" si="130"/>
        <v>0.91779326693953311</v>
      </c>
      <c r="P159" s="148">
        <v>329864269.60000002</v>
      </c>
      <c r="Q159" s="150">
        <f t="shared" si="130"/>
        <v>4.721612896172251E-3</v>
      </c>
      <c r="R159" s="148">
        <v>329864269.60000002</v>
      </c>
      <c r="S159" s="150">
        <f t="shared" ref="S159" si="154">+R159/$M159</f>
        <v>4.721612896172251E-3</v>
      </c>
    </row>
    <row r="160" spans="1:19" ht="24.95" customHeight="1">
      <c r="A160" s="32" t="e">
        <v>#REF!</v>
      </c>
      <c r="B160" s="144" t="s">
        <v>514</v>
      </c>
      <c r="C160" s="145" t="s">
        <v>167</v>
      </c>
      <c r="D160" s="145" t="s">
        <v>190</v>
      </c>
      <c r="E160" s="145" t="s">
        <v>172</v>
      </c>
      <c r="F160" s="145" t="s">
        <v>205</v>
      </c>
      <c r="G160" s="145" t="s">
        <v>175</v>
      </c>
      <c r="H160" s="145" t="s">
        <v>207</v>
      </c>
      <c r="I160" s="145" t="s">
        <v>65</v>
      </c>
      <c r="J160" s="145">
        <v>13</v>
      </c>
      <c r="K160" s="146" t="s">
        <v>29</v>
      </c>
      <c r="L160" s="147" t="s">
        <v>127</v>
      </c>
      <c r="M160" s="149">
        <v>566018750124.48999</v>
      </c>
      <c r="N160" s="148">
        <v>510496045726.02002</v>
      </c>
      <c r="O160" s="150">
        <f t="shared" si="130"/>
        <v>0.90190659870144174</v>
      </c>
      <c r="P160" s="148">
        <v>2427712536.0300002</v>
      </c>
      <c r="Q160" s="150">
        <f t="shared" si="130"/>
        <v>4.2891026763619581E-3</v>
      </c>
      <c r="R160" s="148">
        <v>2427712536.0300002</v>
      </c>
      <c r="S160" s="150">
        <f t="shared" ref="S160" si="155">+R160/$M160</f>
        <v>4.2891026763619581E-3</v>
      </c>
    </row>
    <row r="161" spans="1:19" ht="32.25" customHeight="1">
      <c r="A161" s="32" t="e">
        <v>#REF!</v>
      </c>
      <c r="B161" s="138" t="s">
        <v>516</v>
      </c>
      <c r="C161" s="139" t="s">
        <v>167</v>
      </c>
      <c r="D161" s="139" t="s">
        <v>190</v>
      </c>
      <c r="E161" s="139" t="s">
        <v>172</v>
      </c>
      <c r="F161" s="139" t="s">
        <v>205</v>
      </c>
      <c r="G161" s="139" t="s">
        <v>175</v>
      </c>
      <c r="H161" s="139" t="s">
        <v>209</v>
      </c>
      <c r="I161" s="139"/>
      <c r="J161" s="139">
        <v>11</v>
      </c>
      <c r="K161" s="140" t="s">
        <v>29</v>
      </c>
      <c r="L161" s="140" t="s">
        <v>210</v>
      </c>
      <c r="M161" s="141">
        <v>26924571164</v>
      </c>
      <c r="N161" s="141">
        <v>25061343234.900002</v>
      </c>
      <c r="O161" s="143">
        <f t="shared" si="130"/>
        <v>0.93079823192908406</v>
      </c>
      <c r="P161" s="141">
        <v>9912490136.3699989</v>
      </c>
      <c r="Q161" s="143">
        <f t="shared" si="130"/>
        <v>0.36815777216996787</v>
      </c>
      <c r="R161" s="141">
        <v>8520176776.3699999</v>
      </c>
      <c r="S161" s="143">
        <f t="shared" ref="S161" si="156">+R161/$M161</f>
        <v>0.316446145956154</v>
      </c>
    </row>
    <row r="162" spans="1:19" ht="24.95" customHeight="1">
      <c r="A162" s="32" t="e">
        <v>#REF!</v>
      </c>
      <c r="B162" s="144" t="s">
        <v>517</v>
      </c>
      <c r="C162" s="145" t="s">
        <v>167</v>
      </c>
      <c r="D162" s="145" t="s">
        <v>190</v>
      </c>
      <c r="E162" s="145" t="s">
        <v>172</v>
      </c>
      <c r="F162" s="145" t="s">
        <v>205</v>
      </c>
      <c r="G162" s="145" t="s">
        <v>175</v>
      </c>
      <c r="H162" s="145" t="s">
        <v>209</v>
      </c>
      <c r="I162" s="145" t="s">
        <v>54</v>
      </c>
      <c r="J162" s="145">
        <v>11</v>
      </c>
      <c r="K162" s="146" t="s">
        <v>29</v>
      </c>
      <c r="L162" s="147" t="s">
        <v>178</v>
      </c>
      <c r="M162" s="148">
        <v>17101987014</v>
      </c>
      <c r="N162" s="148">
        <v>17008076938</v>
      </c>
      <c r="O162" s="150">
        <f t="shared" si="130"/>
        <v>0.99450882076315905</v>
      </c>
      <c r="P162" s="148">
        <v>7599181879</v>
      </c>
      <c r="Q162" s="150">
        <f t="shared" si="130"/>
        <v>0.44434496838169568</v>
      </c>
      <c r="R162" s="148">
        <v>6391340868</v>
      </c>
      <c r="S162" s="150">
        <f t="shared" ref="S162" si="157">+R162/$M162</f>
        <v>0.37371919781999197</v>
      </c>
    </row>
    <row r="163" spans="1:19" ht="24.95" customHeight="1">
      <c r="A163" s="32" t="e">
        <v>#REF!</v>
      </c>
      <c r="B163" s="144" t="s">
        <v>517</v>
      </c>
      <c r="C163" s="145" t="s">
        <v>167</v>
      </c>
      <c r="D163" s="145" t="s">
        <v>190</v>
      </c>
      <c r="E163" s="145" t="s">
        <v>172</v>
      </c>
      <c r="F163" s="145" t="s">
        <v>205</v>
      </c>
      <c r="G163" s="145" t="s">
        <v>175</v>
      </c>
      <c r="H163" s="145" t="s">
        <v>209</v>
      </c>
      <c r="I163" s="145" t="s">
        <v>54</v>
      </c>
      <c r="J163" s="145">
        <v>13</v>
      </c>
      <c r="K163" s="146" t="s">
        <v>29</v>
      </c>
      <c r="L163" s="147" t="s">
        <v>178</v>
      </c>
      <c r="M163" s="148">
        <v>9822584150</v>
      </c>
      <c r="N163" s="148">
        <v>8053266296.8999996</v>
      </c>
      <c r="O163" s="150">
        <f t="shared" si="130"/>
        <v>0.81987246674796876</v>
      </c>
      <c r="P163" s="148">
        <v>2313308257.3699999</v>
      </c>
      <c r="Q163" s="150">
        <f t="shared" si="130"/>
        <v>0.23550913100296522</v>
      </c>
      <c r="R163" s="148">
        <v>2128835908.3699999</v>
      </c>
      <c r="S163" s="150">
        <f t="shared" ref="S163" si="158">+R163/$M163</f>
        <v>0.21672870151690174</v>
      </c>
    </row>
    <row r="164" spans="1:19" ht="38.25" customHeight="1">
      <c r="A164" s="32" t="e">
        <v>#REF!</v>
      </c>
      <c r="B164" s="132" t="s">
        <v>520</v>
      </c>
      <c r="C164" s="133" t="s">
        <v>167</v>
      </c>
      <c r="D164" s="133" t="s">
        <v>190</v>
      </c>
      <c r="E164" s="133" t="s">
        <v>172</v>
      </c>
      <c r="F164" s="133" t="s">
        <v>211</v>
      </c>
      <c r="G164" s="133"/>
      <c r="H164" s="133"/>
      <c r="I164" s="133"/>
      <c r="J164" s="133"/>
      <c r="K164" s="134"/>
      <c r="L164" s="134" t="s">
        <v>266</v>
      </c>
      <c r="M164" s="135">
        <v>2000000000</v>
      </c>
      <c r="N164" s="135">
        <v>0</v>
      </c>
      <c r="O164" s="137">
        <f t="shared" si="130"/>
        <v>0</v>
      </c>
      <c r="P164" s="135">
        <v>0</v>
      </c>
      <c r="Q164" s="137">
        <f t="shared" si="130"/>
        <v>0</v>
      </c>
      <c r="R164" s="135">
        <v>0</v>
      </c>
      <c r="S164" s="137">
        <f t="shared" ref="S164" si="159">+R164/$M164</f>
        <v>0</v>
      </c>
    </row>
    <row r="165" spans="1:19" ht="32.25" customHeight="1">
      <c r="A165" s="32" t="e">
        <v>#REF!</v>
      </c>
      <c r="B165" s="138" t="s">
        <v>522</v>
      </c>
      <c r="C165" s="139" t="s">
        <v>167</v>
      </c>
      <c r="D165" s="139" t="s">
        <v>190</v>
      </c>
      <c r="E165" s="139" t="s">
        <v>172</v>
      </c>
      <c r="F165" s="139" t="s">
        <v>211</v>
      </c>
      <c r="G165" s="139" t="s">
        <v>175</v>
      </c>
      <c r="H165" s="139" t="s">
        <v>213</v>
      </c>
      <c r="I165" s="139"/>
      <c r="J165" s="139" t="s">
        <v>144</v>
      </c>
      <c r="K165" s="140" t="s">
        <v>29</v>
      </c>
      <c r="L165" s="140" t="s">
        <v>214</v>
      </c>
      <c r="M165" s="141">
        <v>820000000</v>
      </c>
      <c r="N165" s="141">
        <v>0</v>
      </c>
      <c r="O165" s="143">
        <f t="shared" si="130"/>
        <v>0</v>
      </c>
      <c r="P165" s="141">
        <v>0</v>
      </c>
      <c r="Q165" s="143">
        <f t="shared" si="130"/>
        <v>0</v>
      </c>
      <c r="R165" s="141">
        <v>0</v>
      </c>
      <c r="S165" s="143">
        <f t="shared" ref="S165" si="160">+R165/$M165</f>
        <v>0</v>
      </c>
    </row>
    <row r="166" spans="1:19" ht="24.95" customHeight="1">
      <c r="A166" s="32" t="e">
        <v>#REF!</v>
      </c>
      <c r="B166" s="144" t="s">
        <v>524</v>
      </c>
      <c r="C166" s="145" t="s">
        <v>167</v>
      </c>
      <c r="D166" s="145" t="s">
        <v>190</v>
      </c>
      <c r="E166" s="145" t="s">
        <v>172</v>
      </c>
      <c r="F166" s="145" t="s">
        <v>211</v>
      </c>
      <c r="G166" s="145" t="s">
        <v>175</v>
      </c>
      <c r="H166" s="145" t="s">
        <v>213</v>
      </c>
      <c r="I166" s="145" t="s">
        <v>54</v>
      </c>
      <c r="J166" s="145">
        <v>13</v>
      </c>
      <c r="K166" s="146" t="s">
        <v>29</v>
      </c>
      <c r="L166" s="147" t="s">
        <v>178</v>
      </c>
      <c r="M166" s="148">
        <v>820000000</v>
      </c>
      <c r="N166" s="148">
        <v>0</v>
      </c>
      <c r="O166" s="150">
        <f t="shared" si="130"/>
        <v>0</v>
      </c>
      <c r="P166" s="148">
        <v>0</v>
      </c>
      <c r="Q166" s="150">
        <f t="shared" si="130"/>
        <v>0</v>
      </c>
      <c r="R166" s="148">
        <v>0</v>
      </c>
      <c r="S166" s="150">
        <f t="shared" ref="S166" si="161">+R166/$M166</f>
        <v>0</v>
      </c>
    </row>
    <row r="167" spans="1:19" ht="32.25" customHeight="1">
      <c r="A167" s="32" t="e">
        <v>#REF!</v>
      </c>
      <c r="B167" s="138" t="s">
        <v>526</v>
      </c>
      <c r="C167" s="139" t="s">
        <v>167</v>
      </c>
      <c r="D167" s="139" t="s">
        <v>190</v>
      </c>
      <c r="E167" s="139" t="s">
        <v>172</v>
      </c>
      <c r="F167" s="139" t="s">
        <v>211</v>
      </c>
      <c r="G167" s="139" t="s">
        <v>175</v>
      </c>
      <c r="H167" s="139" t="s">
        <v>215</v>
      </c>
      <c r="I167" s="139"/>
      <c r="J167" s="139" t="s">
        <v>144</v>
      </c>
      <c r="K167" s="140" t="s">
        <v>29</v>
      </c>
      <c r="L167" s="140" t="s">
        <v>216</v>
      </c>
      <c r="M167" s="141">
        <v>1180000000</v>
      </c>
      <c r="N167" s="141">
        <v>0</v>
      </c>
      <c r="O167" s="143">
        <f t="shared" si="130"/>
        <v>0</v>
      </c>
      <c r="P167" s="141">
        <v>0</v>
      </c>
      <c r="Q167" s="143">
        <f t="shared" si="130"/>
        <v>0</v>
      </c>
      <c r="R167" s="141">
        <v>0</v>
      </c>
      <c r="S167" s="143">
        <f t="shared" ref="S167" si="162">+R167/$M167</f>
        <v>0</v>
      </c>
    </row>
    <row r="168" spans="1:19" ht="24.95" customHeight="1">
      <c r="A168" s="32" t="e">
        <v>#REF!</v>
      </c>
      <c r="B168" s="144" t="s">
        <v>528</v>
      </c>
      <c r="C168" s="145" t="s">
        <v>167</v>
      </c>
      <c r="D168" s="145" t="s">
        <v>190</v>
      </c>
      <c r="E168" s="145" t="s">
        <v>172</v>
      </c>
      <c r="F168" s="145" t="s">
        <v>211</v>
      </c>
      <c r="G168" s="145" t="s">
        <v>175</v>
      </c>
      <c r="H168" s="145" t="s">
        <v>215</v>
      </c>
      <c r="I168" s="145" t="s">
        <v>54</v>
      </c>
      <c r="J168" s="145">
        <v>13</v>
      </c>
      <c r="K168" s="146" t="s">
        <v>29</v>
      </c>
      <c r="L168" s="147" t="s">
        <v>178</v>
      </c>
      <c r="M168" s="148">
        <v>1180000000</v>
      </c>
      <c r="N168" s="148">
        <v>0</v>
      </c>
      <c r="O168" s="150">
        <f t="shared" si="130"/>
        <v>0</v>
      </c>
      <c r="P168" s="148">
        <v>0</v>
      </c>
      <c r="Q168" s="150">
        <f t="shared" si="130"/>
        <v>0</v>
      </c>
      <c r="R168" s="148">
        <v>0</v>
      </c>
      <c r="S168" s="150">
        <f t="shared" ref="S168" si="163">+R168/$M168</f>
        <v>0</v>
      </c>
    </row>
    <row r="169" spans="1:19" ht="49.5" customHeight="1">
      <c r="A169" s="32" t="e">
        <v>#REF!</v>
      </c>
      <c r="B169" s="132" t="s">
        <v>530</v>
      </c>
      <c r="C169" s="133" t="s">
        <v>167</v>
      </c>
      <c r="D169" s="133" t="s">
        <v>190</v>
      </c>
      <c r="E169" s="133" t="s">
        <v>172</v>
      </c>
      <c r="F169" s="133" t="s">
        <v>217</v>
      </c>
      <c r="G169" s="133"/>
      <c r="H169" s="133"/>
      <c r="I169" s="133"/>
      <c r="J169" s="133"/>
      <c r="K169" s="134"/>
      <c r="L169" s="134" t="s">
        <v>267</v>
      </c>
      <c r="M169" s="135">
        <v>20000000000</v>
      </c>
      <c r="N169" s="135">
        <v>2197932260</v>
      </c>
      <c r="O169" s="137">
        <f t="shared" si="130"/>
        <v>0.109896613</v>
      </c>
      <c r="P169" s="135">
        <v>1260392645</v>
      </c>
      <c r="Q169" s="137">
        <f t="shared" si="130"/>
        <v>6.3019632249999999E-2</v>
      </c>
      <c r="R169" s="135">
        <v>1228892645</v>
      </c>
      <c r="S169" s="137">
        <f t="shared" ref="S169" si="164">+R169/$M169</f>
        <v>6.1444632249999999E-2</v>
      </c>
    </row>
    <row r="170" spans="1:19" ht="32.25" customHeight="1">
      <c r="A170" s="32" t="e">
        <v>#REF!</v>
      </c>
      <c r="B170" s="138" t="s">
        <v>531</v>
      </c>
      <c r="C170" s="139" t="s">
        <v>167</v>
      </c>
      <c r="D170" s="139" t="s">
        <v>190</v>
      </c>
      <c r="E170" s="139" t="s">
        <v>172</v>
      </c>
      <c r="F170" s="139" t="s">
        <v>217</v>
      </c>
      <c r="G170" s="139" t="s">
        <v>175</v>
      </c>
      <c r="H170" s="139" t="s">
        <v>219</v>
      </c>
      <c r="I170" s="139"/>
      <c r="J170" s="139">
        <v>11</v>
      </c>
      <c r="K170" s="140" t="s">
        <v>29</v>
      </c>
      <c r="L170" s="140" t="s">
        <v>220</v>
      </c>
      <c r="M170" s="141">
        <v>4242894515</v>
      </c>
      <c r="N170" s="141">
        <v>997932260</v>
      </c>
      <c r="O170" s="143">
        <f t="shared" si="130"/>
        <v>0.23520081785488367</v>
      </c>
      <c r="P170" s="141">
        <v>420392645</v>
      </c>
      <c r="Q170" s="143">
        <f t="shared" si="130"/>
        <v>9.9081568847346188E-2</v>
      </c>
      <c r="R170" s="141">
        <v>388892645</v>
      </c>
      <c r="S170" s="143">
        <f t="shared" ref="S170" si="165">+R170/$M170</f>
        <v>9.1657391817104833E-2</v>
      </c>
    </row>
    <row r="171" spans="1:19" ht="24.95" customHeight="1">
      <c r="A171" s="32" t="e">
        <v>#REF!</v>
      </c>
      <c r="B171" s="144" t="s">
        <v>532</v>
      </c>
      <c r="C171" s="145" t="s">
        <v>167</v>
      </c>
      <c r="D171" s="145" t="s">
        <v>190</v>
      </c>
      <c r="E171" s="145" t="s">
        <v>172</v>
      </c>
      <c r="F171" s="145" t="s">
        <v>217</v>
      </c>
      <c r="G171" s="145" t="s">
        <v>175</v>
      </c>
      <c r="H171" s="145" t="s">
        <v>219</v>
      </c>
      <c r="I171" s="145" t="s">
        <v>54</v>
      </c>
      <c r="J171" s="145">
        <v>13</v>
      </c>
      <c r="K171" s="146" t="s">
        <v>29</v>
      </c>
      <c r="L171" s="147" t="s">
        <v>178</v>
      </c>
      <c r="M171" s="148">
        <v>4242894515</v>
      </c>
      <c r="N171" s="148">
        <v>997932260</v>
      </c>
      <c r="O171" s="150">
        <f t="shared" si="130"/>
        <v>0.23520081785488367</v>
      </c>
      <c r="P171" s="148">
        <v>420392645</v>
      </c>
      <c r="Q171" s="150">
        <f t="shared" si="130"/>
        <v>9.9081568847346188E-2</v>
      </c>
      <c r="R171" s="148">
        <v>388892645</v>
      </c>
      <c r="S171" s="150">
        <f t="shared" ref="S171" si="166">+R171/$M171</f>
        <v>9.1657391817104833E-2</v>
      </c>
    </row>
    <row r="172" spans="1:19" ht="32.25" customHeight="1">
      <c r="A172" s="32" t="e">
        <v>#REF!</v>
      </c>
      <c r="B172" s="138" t="s">
        <v>533</v>
      </c>
      <c r="C172" s="139" t="s">
        <v>167</v>
      </c>
      <c r="D172" s="139" t="s">
        <v>190</v>
      </c>
      <c r="E172" s="139" t="s">
        <v>172</v>
      </c>
      <c r="F172" s="139" t="s">
        <v>217</v>
      </c>
      <c r="G172" s="139" t="s">
        <v>175</v>
      </c>
      <c r="H172" s="139" t="s">
        <v>221</v>
      </c>
      <c r="I172" s="139"/>
      <c r="J172" s="139">
        <v>11</v>
      </c>
      <c r="K172" s="140" t="s">
        <v>29</v>
      </c>
      <c r="L172" s="140" t="s">
        <v>222</v>
      </c>
      <c r="M172" s="141">
        <v>15757105485</v>
      </c>
      <c r="N172" s="141">
        <v>1200000000</v>
      </c>
      <c r="O172" s="143">
        <f t="shared" si="130"/>
        <v>7.6156118973903036E-2</v>
      </c>
      <c r="P172" s="141">
        <v>840000000</v>
      </c>
      <c r="Q172" s="143">
        <f t="shared" si="130"/>
        <v>5.3309283281732123E-2</v>
      </c>
      <c r="R172" s="141">
        <v>840000000</v>
      </c>
      <c r="S172" s="143">
        <f t="shared" ref="S172" si="167">+R172/$M172</f>
        <v>5.3309283281732123E-2</v>
      </c>
    </row>
    <row r="173" spans="1:19" ht="24.95" customHeight="1">
      <c r="A173" s="32" t="e">
        <v>#REF!</v>
      </c>
      <c r="B173" s="144" t="s">
        <v>534</v>
      </c>
      <c r="C173" s="145" t="s">
        <v>167</v>
      </c>
      <c r="D173" s="145" t="s">
        <v>190</v>
      </c>
      <c r="E173" s="145" t="s">
        <v>172</v>
      </c>
      <c r="F173" s="145" t="s">
        <v>217</v>
      </c>
      <c r="G173" s="145" t="s">
        <v>175</v>
      </c>
      <c r="H173" s="145" t="s">
        <v>221</v>
      </c>
      <c r="I173" s="145" t="s">
        <v>54</v>
      </c>
      <c r="J173" s="145">
        <v>13</v>
      </c>
      <c r="K173" s="146" t="s">
        <v>29</v>
      </c>
      <c r="L173" s="147" t="s">
        <v>178</v>
      </c>
      <c r="M173" s="148">
        <v>15757105485</v>
      </c>
      <c r="N173" s="148">
        <v>1200000000</v>
      </c>
      <c r="O173" s="150">
        <f t="shared" si="130"/>
        <v>7.6156118973903036E-2</v>
      </c>
      <c r="P173" s="148">
        <v>840000000</v>
      </c>
      <c r="Q173" s="150">
        <f t="shared" si="130"/>
        <v>5.3309283281732123E-2</v>
      </c>
      <c r="R173" s="148">
        <v>840000000</v>
      </c>
      <c r="S173" s="150">
        <f t="shared" ref="S173" si="168">+R173/$M173</f>
        <v>5.3309283281732123E-2</v>
      </c>
    </row>
    <row r="174" spans="1:19" ht="32.25" hidden="1" customHeight="1">
      <c r="A174" s="32" t="e">
        <v>#REF!</v>
      </c>
      <c r="B174" s="138" t="s">
        <v>536</v>
      </c>
      <c r="C174" s="139" t="s">
        <v>167</v>
      </c>
      <c r="D174" s="139" t="s">
        <v>190</v>
      </c>
      <c r="E174" s="139" t="s">
        <v>172</v>
      </c>
      <c r="F174" s="139" t="s">
        <v>217</v>
      </c>
      <c r="G174" s="139" t="s">
        <v>175</v>
      </c>
      <c r="H174" s="139" t="s">
        <v>223</v>
      </c>
      <c r="I174" s="139"/>
      <c r="J174" s="139">
        <v>11</v>
      </c>
      <c r="K174" s="140" t="s">
        <v>29</v>
      </c>
      <c r="L174" s="140" t="s">
        <v>224</v>
      </c>
      <c r="M174" s="141">
        <v>0</v>
      </c>
      <c r="N174" s="141">
        <v>0</v>
      </c>
      <c r="O174" s="143" t="e">
        <f t="shared" si="130"/>
        <v>#DIV/0!</v>
      </c>
      <c r="P174" s="141">
        <v>0</v>
      </c>
      <c r="Q174" s="143" t="e">
        <f t="shared" si="130"/>
        <v>#DIV/0!</v>
      </c>
      <c r="R174" s="141">
        <v>0</v>
      </c>
      <c r="S174" s="143" t="e">
        <f t="shared" ref="S174" si="169">+R174/$M174</f>
        <v>#DIV/0!</v>
      </c>
    </row>
    <row r="175" spans="1:19" ht="24.95" hidden="1" customHeight="1">
      <c r="A175" s="32" t="e">
        <v>#REF!</v>
      </c>
      <c r="B175" s="144" t="s">
        <v>537</v>
      </c>
      <c r="C175" s="145" t="s">
        <v>167</v>
      </c>
      <c r="D175" s="145" t="s">
        <v>190</v>
      </c>
      <c r="E175" s="145" t="s">
        <v>172</v>
      </c>
      <c r="F175" s="145" t="s">
        <v>217</v>
      </c>
      <c r="G175" s="145" t="s">
        <v>175</v>
      </c>
      <c r="H175" s="145" t="s">
        <v>223</v>
      </c>
      <c r="I175" s="145" t="s">
        <v>54</v>
      </c>
      <c r="J175" s="145">
        <v>11</v>
      </c>
      <c r="K175" s="146" t="s">
        <v>29</v>
      </c>
      <c r="L175" s="147" t="s">
        <v>178</v>
      </c>
      <c r="M175" s="148">
        <v>0</v>
      </c>
      <c r="N175" s="148"/>
      <c r="O175" s="150" t="e">
        <f t="shared" si="130"/>
        <v>#DIV/0!</v>
      </c>
      <c r="P175" s="148"/>
      <c r="Q175" s="150" t="e">
        <f t="shared" si="130"/>
        <v>#DIV/0!</v>
      </c>
      <c r="R175" s="148"/>
      <c r="S175" s="150" t="e">
        <f t="shared" ref="S175" si="170">+R175/$M175</f>
        <v>#DIV/0!</v>
      </c>
    </row>
    <row r="176" spans="1:19" ht="24.95" hidden="1" customHeight="1">
      <c r="A176" s="32" t="e">
        <v>#REF!</v>
      </c>
      <c r="B176" s="144" t="s">
        <v>539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223</v>
      </c>
      <c r="I176" s="145" t="s">
        <v>65</v>
      </c>
      <c r="J176" s="145">
        <v>11</v>
      </c>
      <c r="K176" s="146" t="s">
        <v>29</v>
      </c>
      <c r="L176" s="147" t="s">
        <v>127</v>
      </c>
      <c r="M176" s="148">
        <v>0</v>
      </c>
      <c r="N176" s="148"/>
      <c r="O176" s="150" t="e">
        <f t="shared" si="130"/>
        <v>#DIV/0!</v>
      </c>
      <c r="P176" s="148"/>
      <c r="Q176" s="150" t="e">
        <f t="shared" si="130"/>
        <v>#DIV/0!</v>
      </c>
      <c r="R176" s="148"/>
      <c r="S176" s="150" t="e">
        <f t="shared" ref="S176" si="171">+R176/$M176</f>
        <v>#DIV/0!</v>
      </c>
    </row>
    <row r="177" spans="1:19" ht="32.25" hidden="1" customHeight="1">
      <c r="A177" s="32" t="e">
        <v>#REF!</v>
      </c>
      <c r="B177" s="138" t="s">
        <v>540</v>
      </c>
      <c r="C177" s="139" t="s">
        <v>167</v>
      </c>
      <c r="D177" s="139" t="s">
        <v>190</v>
      </c>
      <c r="E177" s="139" t="s">
        <v>172</v>
      </c>
      <c r="F177" s="139" t="s">
        <v>217</v>
      </c>
      <c r="G177" s="139" t="s">
        <v>175</v>
      </c>
      <c r="H177" s="139" t="s">
        <v>225</v>
      </c>
      <c r="I177" s="139"/>
      <c r="J177" s="139">
        <v>11</v>
      </c>
      <c r="K177" s="140" t="s">
        <v>29</v>
      </c>
      <c r="L177" s="140" t="s">
        <v>226</v>
      </c>
      <c r="M177" s="141">
        <v>0</v>
      </c>
      <c r="N177" s="141">
        <v>0</v>
      </c>
      <c r="O177" s="143" t="e">
        <f t="shared" si="130"/>
        <v>#DIV/0!</v>
      </c>
      <c r="P177" s="141">
        <v>0</v>
      </c>
      <c r="Q177" s="143" t="e">
        <f t="shared" si="130"/>
        <v>#DIV/0!</v>
      </c>
      <c r="R177" s="141">
        <v>0</v>
      </c>
      <c r="S177" s="143" t="e">
        <f t="shared" ref="S177" si="172">+R177/$M177</f>
        <v>#DIV/0!</v>
      </c>
    </row>
    <row r="178" spans="1:19" ht="24.95" hidden="1" customHeight="1">
      <c r="A178" s="32" t="e">
        <v>#REF!</v>
      </c>
      <c r="B178" s="144" t="s">
        <v>541</v>
      </c>
      <c r="C178" s="145" t="s">
        <v>167</v>
      </c>
      <c r="D178" s="145" t="s">
        <v>190</v>
      </c>
      <c r="E178" s="145" t="s">
        <v>172</v>
      </c>
      <c r="F178" s="145" t="s">
        <v>217</v>
      </c>
      <c r="G178" s="145" t="s">
        <v>175</v>
      </c>
      <c r="H178" s="145" t="s">
        <v>225</v>
      </c>
      <c r="I178" s="145" t="s">
        <v>54</v>
      </c>
      <c r="J178" s="145">
        <v>11</v>
      </c>
      <c r="K178" s="146" t="s">
        <v>29</v>
      </c>
      <c r="L178" s="147" t="s">
        <v>178</v>
      </c>
      <c r="M178" s="148">
        <v>0</v>
      </c>
      <c r="N178" s="148"/>
      <c r="O178" s="150" t="e">
        <f t="shared" si="130"/>
        <v>#DIV/0!</v>
      </c>
      <c r="P178" s="148"/>
      <c r="Q178" s="150" t="e">
        <f t="shared" si="130"/>
        <v>#DIV/0!</v>
      </c>
      <c r="R178" s="148"/>
      <c r="S178" s="150" t="e">
        <f t="shared" ref="S178" si="173">+R178/$M178</f>
        <v>#DIV/0!</v>
      </c>
    </row>
    <row r="179" spans="1:19" ht="41.25" customHeight="1">
      <c r="A179" s="32" t="e">
        <v>#REF!</v>
      </c>
      <c r="B179" s="132" t="s">
        <v>664</v>
      </c>
      <c r="C179" s="133" t="s">
        <v>167</v>
      </c>
      <c r="D179" s="133" t="s">
        <v>190</v>
      </c>
      <c r="E179" s="133" t="s">
        <v>172</v>
      </c>
      <c r="F179" s="133">
        <v>19</v>
      </c>
      <c r="G179" s="133"/>
      <c r="H179" s="133"/>
      <c r="I179" s="133"/>
      <c r="J179" s="133"/>
      <c r="K179" s="134"/>
      <c r="L179" s="134" t="s">
        <v>270</v>
      </c>
      <c r="M179" s="135">
        <v>18069349000</v>
      </c>
      <c r="N179" s="135">
        <v>12346827567.51</v>
      </c>
      <c r="O179" s="137">
        <f t="shared" si="130"/>
        <v>0.68330229094086348</v>
      </c>
      <c r="P179" s="135">
        <v>3168406451.3299999</v>
      </c>
      <c r="Q179" s="137">
        <f t="shared" si="130"/>
        <v>0.17534701727937183</v>
      </c>
      <c r="R179" s="135">
        <v>3029251260.3299999</v>
      </c>
      <c r="S179" s="137">
        <f t="shared" ref="S179" si="174">+R179/$M179</f>
        <v>0.1676458438170628</v>
      </c>
    </row>
    <row r="180" spans="1:19" ht="32.25" customHeight="1">
      <c r="A180" s="32" t="e">
        <v>#REF!</v>
      </c>
      <c r="B180" s="138" t="s">
        <v>666</v>
      </c>
      <c r="C180" s="139" t="s">
        <v>167</v>
      </c>
      <c r="D180" s="139" t="s">
        <v>190</v>
      </c>
      <c r="E180" s="139" t="s">
        <v>172</v>
      </c>
      <c r="F180" s="139">
        <v>19</v>
      </c>
      <c r="G180" s="139" t="s">
        <v>175</v>
      </c>
      <c r="H180" s="139">
        <v>4103049</v>
      </c>
      <c r="I180" s="139"/>
      <c r="J180" s="139">
        <v>13</v>
      </c>
      <c r="K180" s="140" t="s">
        <v>29</v>
      </c>
      <c r="L180" s="140" t="s">
        <v>228</v>
      </c>
      <c r="M180" s="141">
        <v>321785352</v>
      </c>
      <c r="N180" s="141">
        <v>284749332</v>
      </c>
      <c r="O180" s="143">
        <f t="shared" si="130"/>
        <v>0.88490458074051803</v>
      </c>
      <c r="P180" s="141">
        <v>214256576</v>
      </c>
      <c r="Q180" s="143">
        <f t="shared" si="130"/>
        <v>0.66583694586570241</v>
      </c>
      <c r="R180" s="141">
        <v>204648533</v>
      </c>
      <c r="S180" s="143">
        <f t="shared" ref="S180" si="175">+R180/$M180</f>
        <v>0.63597839904160713</v>
      </c>
    </row>
    <row r="181" spans="1:19" ht="24.95" customHeight="1">
      <c r="A181" s="32" t="e">
        <v>#REF!</v>
      </c>
      <c r="B181" s="144" t="s">
        <v>668</v>
      </c>
      <c r="C181" s="145" t="s">
        <v>167</v>
      </c>
      <c r="D181" s="145" t="s">
        <v>190</v>
      </c>
      <c r="E181" s="145" t="s">
        <v>172</v>
      </c>
      <c r="F181" s="145">
        <v>19</v>
      </c>
      <c r="G181" s="145" t="s">
        <v>175</v>
      </c>
      <c r="H181" s="145">
        <v>4103049</v>
      </c>
      <c r="I181" s="145" t="s">
        <v>54</v>
      </c>
      <c r="J181" s="145">
        <v>13</v>
      </c>
      <c r="K181" s="146" t="s">
        <v>29</v>
      </c>
      <c r="L181" s="147" t="s">
        <v>178</v>
      </c>
      <c r="M181" s="148">
        <v>321785352</v>
      </c>
      <c r="N181" s="148">
        <v>284749332</v>
      </c>
      <c r="O181" s="150">
        <f t="shared" si="130"/>
        <v>0.88490458074051803</v>
      </c>
      <c r="P181" s="148">
        <v>214256576</v>
      </c>
      <c r="Q181" s="150">
        <f t="shared" si="130"/>
        <v>0.66583694586570241</v>
      </c>
      <c r="R181" s="148">
        <v>204648533</v>
      </c>
      <c r="S181" s="150">
        <f t="shared" ref="S181" si="176">+R181/$M181</f>
        <v>0.63597839904160713</v>
      </c>
    </row>
    <row r="182" spans="1:19" ht="32.25" customHeight="1">
      <c r="A182" s="32" t="e">
        <v>#REF!</v>
      </c>
      <c r="B182" s="138" t="s">
        <v>670</v>
      </c>
      <c r="C182" s="139" t="s">
        <v>167</v>
      </c>
      <c r="D182" s="139" t="s">
        <v>190</v>
      </c>
      <c r="E182" s="139" t="s">
        <v>172</v>
      </c>
      <c r="F182" s="139">
        <v>19</v>
      </c>
      <c r="G182" s="139" t="s">
        <v>175</v>
      </c>
      <c r="H182" s="139">
        <v>4103052</v>
      </c>
      <c r="I182" s="139"/>
      <c r="J182" s="139">
        <v>13</v>
      </c>
      <c r="K182" s="140" t="s">
        <v>29</v>
      </c>
      <c r="L182" s="140" t="s">
        <v>229</v>
      </c>
      <c r="M182" s="141">
        <v>12478214648</v>
      </c>
      <c r="N182" s="141">
        <v>12062078235.51</v>
      </c>
      <c r="O182" s="143">
        <f t="shared" si="130"/>
        <v>0.96665096536412776</v>
      </c>
      <c r="P182" s="141">
        <v>2954149875.3299999</v>
      </c>
      <c r="Q182" s="143">
        <f t="shared" si="130"/>
        <v>0.23674459517359633</v>
      </c>
      <c r="R182" s="141">
        <v>2824602727.3299999</v>
      </c>
      <c r="S182" s="143">
        <f t="shared" ref="S182" si="177">+R182/$M182</f>
        <v>0.22636272952579201</v>
      </c>
    </row>
    <row r="183" spans="1:19" ht="24.95" customHeight="1">
      <c r="A183" s="32" t="e">
        <v>#REF!</v>
      </c>
      <c r="B183" s="144" t="s">
        <v>672</v>
      </c>
      <c r="C183" s="145" t="s">
        <v>167</v>
      </c>
      <c r="D183" s="145" t="s">
        <v>190</v>
      </c>
      <c r="E183" s="145" t="s">
        <v>172</v>
      </c>
      <c r="F183" s="145">
        <v>19</v>
      </c>
      <c r="G183" s="145" t="s">
        <v>175</v>
      </c>
      <c r="H183" s="145">
        <v>4103052</v>
      </c>
      <c r="I183" s="145" t="s">
        <v>54</v>
      </c>
      <c r="J183" s="145">
        <v>13</v>
      </c>
      <c r="K183" s="146" t="s">
        <v>29</v>
      </c>
      <c r="L183" s="147" t="s">
        <v>178</v>
      </c>
      <c r="M183" s="148">
        <v>12478214648</v>
      </c>
      <c r="N183" s="148">
        <v>12062078235.51</v>
      </c>
      <c r="O183" s="150">
        <f t="shared" si="130"/>
        <v>0.96665096536412776</v>
      </c>
      <c r="P183" s="148">
        <v>2954149875.3299999</v>
      </c>
      <c r="Q183" s="150">
        <f t="shared" si="130"/>
        <v>0.23674459517359633</v>
      </c>
      <c r="R183" s="148">
        <v>2824602727.3299999</v>
      </c>
      <c r="S183" s="150">
        <f t="shared" ref="S183" si="178">+R183/$M183</f>
        <v>0.22636272952579201</v>
      </c>
    </row>
    <row r="184" spans="1:19" ht="32.25" customHeight="1">
      <c r="A184" s="32" t="e">
        <v>#REF!</v>
      </c>
      <c r="B184" s="138" t="s">
        <v>670</v>
      </c>
      <c r="C184" s="139" t="s">
        <v>167</v>
      </c>
      <c r="D184" s="139" t="s">
        <v>190</v>
      </c>
      <c r="E184" s="139" t="s">
        <v>172</v>
      </c>
      <c r="F184" s="139">
        <v>19</v>
      </c>
      <c r="G184" s="139" t="s">
        <v>175</v>
      </c>
      <c r="H184" s="139">
        <v>4103052</v>
      </c>
      <c r="I184" s="139"/>
      <c r="J184" s="139">
        <v>15</v>
      </c>
      <c r="K184" s="140" t="s">
        <v>29</v>
      </c>
      <c r="L184" s="140" t="s">
        <v>229</v>
      </c>
      <c r="M184" s="141">
        <v>5269349000</v>
      </c>
      <c r="N184" s="141">
        <v>0</v>
      </c>
      <c r="O184" s="143">
        <f t="shared" si="130"/>
        <v>0</v>
      </c>
      <c r="P184" s="141">
        <v>0</v>
      </c>
      <c r="Q184" s="143">
        <f t="shared" si="130"/>
        <v>0</v>
      </c>
      <c r="R184" s="141">
        <v>0</v>
      </c>
      <c r="S184" s="143">
        <f t="shared" ref="S184" si="179">+R184/$M184</f>
        <v>0</v>
      </c>
    </row>
    <row r="185" spans="1:19" ht="24.95" customHeight="1">
      <c r="A185" s="32" t="e">
        <v>#REF!</v>
      </c>
      <c r="B185" s="144" t="s">
        <v>672</v>
      </c>
      <c r="C185" s="145" t="s">
        <v>167</v>
      </c>
      <c r="D185" s="145" t="s">
        <v>190</v>
      </c>
      <c r="E185" s="145" t="s">
        <v>172</v>
      </c>
      <c r="F185" s="145">
        <v>19</v>
      </c>
      <c r="G185" s="145" t="s">
        <v>175</v>
      </c>
      <c r="H185" s="145">
        <v>4103052</v>
      </c>
      <c r="I185" s="145" t="s">
        <v>54</v>
      </c>
      <c r="J185" s="145">
        <v>15</v>
      </c>
      <c r="K185" s="146" t="s">
        <v>29</v>
      </c>
      <c r="L185" s="147" t="s">
        <v>178</v>
      </c>
      <c r="M185" s="148">
        <v>5269349000</v>
      </c>
      <c r="N185" s="148">
        <v>0</v>
      </c>
      <c r="O185" s="150">
        <f t="shared" si="130"/>
        <v>0</v>
      </c>
      <c r="P185" s="148"/>
      <c r="Q185" s="150">
        <f t="shared" si="130"/>
        <v>0</v>
      </c>
      <c r="R185" s="148"/>
      <c r="S185" s="150">
        <f t="shared" ref="S185" si="180">+R185/$M185</f>
        <v>0</v>
      </c>
    </row>
    <row r="186" spans="1:19" ht="49.5" customHeight="1">
      <c r="A186" s="32" t="e">
        <v>#REF!</v>
      </c>
      <c r="B186" s="132" t="s">
        <v>678</v>
      </c>
      <c r="C186" s="133" t="s">
        <v>167</v>
      </c>
      <c r="D186" s="133" t="s">
        <v>190</v>
      </c>
      <c r="E186" s="133" t="s">
        <v>172</v>
      </c>
      <c r="F186" s="133">
        <v>20</v>
      </c>
      <c r="G186" s="133"/>
      <c r="H186" s="133"/>
      <c r="I186" s="133"/>
      <c r="J186" s="133"/>
      <c r="K186" s="134"/>
      <c r="L186" s="134" t="s">
        <v>271</v>
      </c>
      <c r="M186" s="135">
        <v>839954000000</v>
      </c>
      <c r="N186" s="135">
        <v>506033528403.83997</v>
      </c>
      <c r="O186" s="137">
        <f t="shared" si="130"/>
        <v>0.6024538586682604</v>
      </c>
      <c r="P186" s="135">
        <v>462046523239.42999</v>
      </c>
      <c r="Q186" s="137">
        <f t="shared" si="130"/>
        <v>0.55008550853907479</v>
      </c>
      <c r="R186" s="135">
        <v>462018581885.42999</v>
      </c>
      <c r="S186" s="137">
        <f t="shared" ref="S186" si="181">+R186/$M186</f>
        <v>0.55005224320073476</v>
      </c>
    </row>
    <row r="187" spans="1:19" ht="32.25" customHeight="1">
      <c r="A187" s="32" t="e">
        <v>#REF!</v>
      </c>
      <c r="B187" s="138" t="s">
        <v>680</v>
      </c>
      <c r="C187" s="139" t="s">
        <v>167</v>
      </c>
      <c r="D187" s="139" t="s">
        <v>190</v>
      </c>
      <c r="E187" s="139" t="s">
        <v>172</v>
      </c>
      <c r="F187" s="139">
        <v>20</v>
      </c>
      <c r="G187" s="139" t="s">
        <v>175</v>
      </c>
      <c r="H187" s="139">
        <v>4103061</v>
      </c>
      <c r="I187" s="139"/>
      <c r="J187" s="139">
        <v>11</v>
      </c>
      <c r="K187" s="140" t="s">
        <v>29</v>
      </c>
      <c r="L187" s="140" t="s">
        <v>231</v>
      </c>
      <c r="M187" s="141">
        <v>839954000000</v>
      </c>
      <c r="N187" s="141">
        <v>506033528403.83997</v>
      </c>
      <c r="O187" s="143">
        <f t="shared" si="130"/>
        <v>0.6024538586682604</v>
      </c>
      <c r="P187" s="141">
        <v>462046523239.42999</v>
      </c>
      <c r="Q187" s="143">
        <f t="shared" si="130"/>
        <v>0.55008550853907479</v>
      </c>
      <c r="R187" s="141">
        <v>462018581885.42999</v>
      </c>
      <c r="S187" s="143">
        <f t="shared" ref="S187" si="182">+R187/$M187</f>
        <v>0.55005224320073476</v>
      </c>
    </row>
    <row r="188" spans="1:19" ht="24.95" customHeight="1">
      <c r="A188" s="32" t="e">
        <v>#REF!</v>
      </c>
      <c r="B188" s="144" t="s">
        <v>682</v>
      </c>
      <c r="C188" s="145" t="s">
        <v>167</v>
      </c>
      <c r="D188" s="145" t="s">
        <v>190</v>
      </c>
      <c r="E188" s="145" t="s">
        <v>172</v>
      </c>
      <c r="F188" s="145">
        <v>20</v>
      </c>
      <c r="G188" s="145" t="s">
        <v>175</v>
      </c>
      <c r="H188" s="145">
        <v>4103061</v>
      </c>
      <c r="I188" s="145" t="s">
        <v>54</v>
      </c>
      <c r="J188" s="145">
        <v>11</v>
      </c>
      <c r="K188" s="146" t="s">
        <v>29</v>
      </c>
      <c r="L188" s="147" t="s">
        <v>178</v>
      </c>
      <c r="M188" s="148">
        <v>34504155080.139999</v>
      </c>
      <c r="N188" s="148">
        <v>26033528403.84</v>
      </c>
      <c r="O188" s="150">
        <f t="shared" si="130"/>
        <v>0.75450415590163089</v>
      </c>
      <c r="P188" s="148">
        <v>979967239.42999995</v>
      </c>
      <c r="Q188" s="150">
        <f t="shared" si="130"/>
        <v>2.8401426934057932E-2</v>
      </c>
      <c r="R188" s="148">
        <v>952025885.42999995</v>
      </c>
      <c r="S188" s="150">
        <f t="shared" ref="S188" si="183">+R188/$M188</f>
        <v>2.75916301447987E-2</v>
      </c>
    </row>
    <row r="189" spans="1:19" ht="24.95" customHeight="1">
      <c r="A189" s="32" t="e">
        <v>#REF!</v>
      </c>
      <c r="B189" s="144" t="s">
        <v>684</v>
      </c>
      <c r="C189" s="145" t="s">
        <v>167</v>
      </c>
      <c r="D189" s="145" t="s">
        <v>190</v>
      </c>
      <c r="E189" s="145" t="s">
        <v>172</v>
      </c>
      <c r="F189" s="145">
        <v>20</v>
      </c>
      <c r="G189" s="145" t="s">
        <v>175</v>
      </c>
      <c r="H189" s="145">
        <v>4103061</v>
      </c>
      <c r="I189" s="145" t="s">
        <v>65</v>
      </c>
      <c r="J189" s="145">
        <v>11</v>
      </c>
      <c r="K189" s="146" t="s">
        <v>29</v>
      </c>
      <c r="L189" s="147" t="s">
        <v>127</v>
      </c>
      <c r="M189" s="148">
        <v>318729844919.85999</v>
      </c>
      <c r="N189" s="148">
        <v>160000000000</v>
      </c>
      <c r="O189" s="150">
        <f t="shared" si="130"/>
        <v>0.50199252611637202</v>
      </c>
      <c r="P189" s="148">
        <v>141066556000</v>
      </c>
      <c r="Q189" s="150">
        <f t="shared" si="130"/>
        <v>0.44258972998110407</v>
      </c>
      <c r="R189" s="148">
        <v>141066556000</v>
      </c>
      <c r="S189" s="150">
        <f t="shared" ref="S189" si="184">+R189/$M189</f>
        <v>0.44258972998110407</v>
      </c>
    </row>
    <row r="190" spans="1:19" ht="24.95" customHeight="1">
      <c r="A190" s="32" t="e">
        <v>#REF!</v>
      </c>
      <c r="B190" s="144" t="s">
        <v>684</v>
      </c>
      <c r="C190" s="145" t="s">
        <v>167</v>
      </c>
      <c r="D190" s="145" t="s">
        <v>190</v>
      </c>
      <c r="E190" s="145" t="s">
        <v>172</v>
      </c>
      <c r="F190" s="145">
        <v>20</v>
      </c>
      <c r="G190" s="145" t="s">
        <v>175</v>
      </c>
      <c r="H190" s="145">
        <v>4103061</v>
      </c>
      <c r="I190" s="145" t="s">
        <v>65</v>
      </c>
      <c r="J190" s="145">
        <v>13</v>
      </c>
      <c r="K190" s="146" t="s">
        <v>29</v>
      </c>
      <c r="L190" s="147" t="s">
        <v>127</v>
      </c>
      <c r="M190" s="148">
        <v>486720000000</v>
      </c>
      <c r="N190" s="148">
        <v>320000000000</v>
      </c>
      <c r="O190" s="150">
        <f t="shared" si="130"/>
        <v>0.65746219592373434</v>
      </c>
      <c r="P190" s="148">
        <v>320000000000</v>
      </c>
      <c r="Q190" s="150">
        <f t="shared" si="130"/>
        <v>0.65746219592373434</v>
      </c>
      <c r="R190" s="148">
        <v>320000000000</v>
      </c>
      <c r="S190" s="150">
        <f t="shared" ref="S190" si="185">+R190/$M190</f>
        <v>0.65746219592373434</v>
      </c>
    </row>
    <row r="191" spans="1:19" ht="42" customHeight="1">
      <c r="A191" s="32" t="e">
        <v>#REF!</v>
      </c>
      <c r="B191" s="132" t="s">
        <v>692</v>
      </c>
      <c r="C191" s="133" t="s">
        <v>167</v>
      </c>
      <c r="D191" s="133">
        <v>4103</v>
      </c>
      <c r="E191" s="133" t="s">
        <v>172</v>
      </c>
      <c r="F191" s="133">
        <v>21</v>
      </c>
      <c r="G191" s="133"/>
      <c r="H191" s="133"/>
      <c r="I191" s="133"/>
      <c r="J191" s="133"/>
      <c r="K191" s="134"/>
      <c r="L191" s="134" t="s">
        <v>272</v>
      </c>
      <c r="M191" s="135">
        <v>25750000000</v>
      </c>
      <c r="N191" s="135">
        <v>24437899958</v>
      </c>
      <c r="O191" s="137">
        <f t="shared" si="130"/>
        <v>0.94904465856310682</v>
      </c>
      <c r="P191" s="135">
        <v>15300468917</v>
      </c>
      <c r="Q191" s="137">
        <f t="shared" si="130"/>
        <v>0.59419296765048546</v>
      </c>
      <c r="R191" s="135">
        <v>15300468917</v>
      </c>
      <c r="S191" s="137">
        <f t="shared" ref="S191" si="186">+R191/$M191</f>
        <v>0.59419296765048546</v>
      </c>
    </row>
    <row r="192" spans="1:19" ht="32.25" customHeight="1">
      <c r="A192" s="32" t="e">
        <v>#REF!</v>
      </c>
      <c r="B192" s="138" t="s">
        <v>693</v>
      </c>
      <c r="C192" s="139" t="s">
        <v>167</v>
      </c>
      <c r="D192" s="139">
        <v>4103</v>
      </c>
      <c r="E192" s="139" t="s">
        <v>172</v>
      </c>
      <c r="F192" s="139">
        <v>21</v>
      </c>
      <c r="G192" s="139" t="s">
        <v>175</v>
      </c>
      <c r="H192" s="139" t="s">
        <v>219</v>
      </c>
      <c r="I192" s="139"/>
      <c r="J192" s="139">
        <v>13</v>
      </c>
      <c r="K192" s="140" t="s">
        <v>29</v>
      </c>
      <c r="L192" s="140" t="s">
        <v>233</v>
      </c>
      <c r="M192" s="141">
        <v>1779672321</v>
      </c>
      <c r="N192" s="141">
        <v>1779672321</v>
      </c>
      <c r="O192" s="143">
        <f t="shared" si="130"/>
        <v>1</v>
      </c>
      <c r="P192" s="141">
        <v>1748337412</v>
      </c>
      <c r="Q192" s="143">
        <f t="shared" si="130"/>
        <v>0.98239287725596991</v>
      </c>
      <c r="R192" s="141">
        <v>1748337412</v>
      </c>
      <c r="S192" s="143">
        <f t="shared" ref="S192" si="187">+R192/$M192</f>
        <v>0.98239287725596991</v>
      </c>
    </row>
    <row r="193" spans="1:19" ht="24.95" customHeight="1">
      <c r="A193" s="32" t="e">
        <v>#REF!</v>
      </c>
      <c r="B193" s="144" t="s">
        <v>694</v>
      </c>
      <c r="C193" s="145" t="s">
        <v>167</v>
      </c>
      <c r="D193" s="145">
        <v>4103</v>
      </c>
      <c r="E193" s="145" t="s">
        <v>172</v>
      </c>
      <c r="F193" s="145">
        <v>21</v>
      </c>
      <c r="G193" s="145" t="s">
        <v>175</v>
      </c>
      <c r="H193" s="145" t="s">
        <v>219</v>
      </c>
      <c r="I193" s="145" t="s">
        <v>54</v>
      </c>
      <c r="J193" s="145">
        <v>13</v>
      </c>
      <c r="K193" s="146" t="s">
        <v>29</v>
      </c>
      <c r="L193" s="147" t="s">
        <v>178</v>
      </c>
      <c r="M193" s="148">
        <v>1779672321</v>
      </c>
      <c r="N193" s="148">
        <v>1779672321</v>
      </c>
      <c r="O193" s="150">
        <f t="shared" si="130"/>
        <v>1</v>
      </c>
      <c r="P193" s="148">
        <v>1748337412</v>
      </c>
      <c r="Q193" s="150">
        <f t="shared" si="130"/>
        <v>0.98239287725596991</v>
      </c>
      <c r="R193" s="148">
        <v>1748337412</v>
      </c>
      <c r="S193" s="150">
        <f t="shared" ref="S193" si="188">+R193/$M193</f>
        <v>0.98239287725596991</v>
      </c>
    </row>
    <row r="194" spans="1:19" ht="32.25" customHeight="1">
      <c r="A194" s="32" t="e">
        <v>#REF!</v>
      </c>
      <c r="B194" s="138" t="s">
        <v>695</v>
      </c>
      <c r="C194" s="139" t="s">
        <v>167</v>
      </c>
      <c r="D194" s="139">
        <v>4103</v>
      </c>
      <c r="E194" s="139" t="s">
        <v>172</v>
      </c>
      <c r="F194" s="139">
        <v>21</v>
      </c>
      <c r="G194" s="139" t="s">
        <v>175</v>
      </c>
      <c r="H194" s="139" t="s">
        <v>234</v>
      </c>
      <c r="I194" s="139"/>
      <c r="J194" s="139">
        <v>13</v>
      </c>
      <c r="K194" s="140" t="s">
        <v>29</v>
      </c>
      <c r="L194" s="140" t="s">
        <v>235</v>
      </c>
      <c r="M194" s="141">
        <v>1177258904</v>
      </c>
      <c r="N194" s="141">
        <v>1177258904</v>
      </c>
      <c r="O194" s="143">
        <f t="shared" si="130"/>
        <v>1</v>
      </c>
      <c r="P194" s="141">
        <v>1156530762</v>
      </c>
      <c r="Q194" s="143">
        <f t="shared" si="130"/>
        <v>0.98239287727655189</v>
      </c>
      <c r="R194" s="141">
        <v>1156530762</v>
      </c>
      <c r="S194" s="143">
        <f t="shared" ref="S194" si="189">+R194/$M194</f>
        <v>0.98239287727655189</v>
      </c>
    </row>
    <row r="195" spans="1:19" ht="24.95" customHeight="1">
      <c r="A195" s="32" t="e">
        <v>#REF!</v>
      </c>
      <c r="B195" s="144" t="s">
        <v>696</v>
      </c>
      <c r="C195" s="145" t="s">
        <v>167</v>
      </c>
      <c r="D195" s="145">
        <v>4103</v>
      </c>
      <c r="E195" s="145" t="s">
        <v>172</v>
      </c>
      <c r="F195" s="145">
        <v>21</v>
      </c>
      <c r="G195" s="145" t="s">
        <v>175</v>
      </c>
      <c r="H195" s="145" t="s">
        <v>234</v>
      </c>
      <c r="I195" s="145" t="s">
        <v>54</v>
      </c>
      <c r="J195" s="145">
        <v>13</v>
      </c>
      <c r="K195" s="146" t="s">
        <v>29</v>
      </c>
      <c r="L195" s="147" t="s">
        <v>178</v>
      </c>
      <c r="M195" s="148">
        <v>1177258904</v>
      </c>
      <c r="N195" s="148">
        <v>1177258904</v>
      </c>
      <c r="O195" s="150">
        <f t="shared" si="130"/>
        <v>1</v>
      </c>
      <c r="P195" s="148">
        <v>1156530762</v>
      </c>
      <c r="Q195" s="150">
        <f t="shared" si="130"/>
        <v>0.98239287727655189</v>
      </c>
      <c r="R195" s="148">
        <v>1156530762</v>
      </c>
      <c r="S195" s="150">
        <f t="shared" ref="S195" si="190">+R195/$M195</f>
        <v>0.98239287727655189</v>
      </c>
    </row>
    <row r="196" spans="1:19" ht="32.25" customHeight="1">
      <c r="A196" s="32" t="e">
        <v>#REF!</v>
      </c>
      <c r="B196" s="138" t="s">
        <v>697</v>
      </c>
      <c r="C196" s="139" t="s">
        <v>167</v>
      </c>
      <c r="D196" s="139">
        <v>4103</v>
      </c>
      <c r="E196" s="139" t="s">
        <v>172</v>
      </c>
      <c r="F196" s="139">
        <v>21</v>
      </c>
      <c r="G196" s="139" t="s">
        <v>175</v>
      </c>
      <c r="H196" s="139" t="s">
        <v>197</v>
      </c>
      <c r="I196" s="139"/>
      <c r="J196" s="139">
        <v>13</v>
      </c>
      <c r="K196" s="140" t="s">
        <v>29</v>
      </c>
      <c r="L196" s="140" t="s">
        <v>236</v>
      </c>
      <c r="M196" s="141">
        <v>1120901355</v>
      </c>
      <c r="N196" s="141">
        <v>1120901355</v>
      </c>
      <c r="O196" s="143">
        <f t="shared" si="130"/>
        <v>1</v>
      </c>
      <c r="P196" s="141">
        <v>1101165508</v>
      </c>
      <c r="Q196" s="143">
        <f t="shared" si="130"/>
        <v>0.98239287791743279</v>
      </c>
      <c r="R196" s="141">
        <v>1101165508</v>
      </c>
      <c r="S196" s="143">
        <f t="shared" ref="S196" si="191">+R196/$M196</f>
        <v>0.98239287791743279</v>
      </c>
    </row>
    <row r="197" spans="1:19" ht="24.95" customHeight="1">
      <c r="A197" s="32" t="e">
        <v>#REF!</v>
      </c>
      <c r="B197" s="144" t="s">
        <v>698</v>
      </c>
      <c r="C197" s="145" t="s">
        <v>167</v>
      </c>
      <c r="D197" s="145">
        <v>4103</v>
      </c>
      <c r="E197" s="145" t="s">
        <v>172</v>
      </c>
      <c r="F197" s="145">
        <v>21</v>
      </c>
      <c r="G197" s="145" t="s">
        <v>175</v>
      </c>
      <c r="H197" s="145" t="s">
        <v>197</v>
      </c>
      <c r="I197" s="145" t="s">
        <v>54</v>
      </c>
      <c r="J197" s="145">
        <v>13</v>
      </c>
      <c r="K197" s="146" t="s">
        <v>29</v>
      </c>
      <c r="L197" s="147" t="s">
        <v>178</v>
      </c>
      <c r="M197" s="148">
        <v>1120901355</v>
      </c>
      <c r="N197" s="148">
        <v>1120901355</v>
      </c>
      <c r="O197" s="150">
        <f t="shared" si="130"/>
        <v>1</v>
      </c>
      <c r="P197" s="148">
        <v>1101165508</v>
      </c>
      <c r="Q197" s="150">
        <f t="shared" si="130"/>
        <v>0.98239287791743279</v>
      </c>
      <c r="R197" s="148">
        <v>1101165508</v>
      </c>
      <c r="S197" s="150">
        <f t="shared" ref="S197" si="192">+R197/$M197</f>
        <v>0.98239287791743279</v>
      </c>
    </row>
    <row r="198" spans="1:19" ht="32.25" customHeight="1">
      <c r="A198" s="32" t="e">
        <v>#REF!</v>
      </c>
      <c r="B198" s="138" t="s">
        <v>699</v>
      </c>
      <c r="C198" s="139" t="s">
        <v>167</v>
      </c>
      <c r="D198" s="139">
        <v>4103</v>
      </c>
      <c r="E198" s="139" t="s">
        <v>172</v>
      </c>
      <c r="F198" s="139">
        <v>21</v>
      </c>
      <c r="G198" s="139" t="s">
        <v>175</v>
      </c>
      <c r="H198" s="139" t="s">
        <v>203</v>
      </c>
      <c r="I198" s="139"/>
      <c r="J198" s="139">
        <v>13</v>
      </c>
      <c r="K198" s="140" t="s">
        <v>29</v>
      </c>
      <c r="L198" s="140" t="s">
        <v>237</v>
      </c>
      <c r="M198" s="141">
        <v>4772677041</v>
      </c>
      <c r="N198" s="141">
        <v>4772677041</v>
      </c>
      <c r="O198" s="143">
        <f t="shared" si="130"/>
        <v>1</v>
      </c>
      <c r="P198" s="141">
        <v>4690946979</v>
      </c>
      <c r="Q198" s="143">
        <f t="shared" si="130"/>
        <v>0.9828754258254031</v>
      </c>
      <c r="R198" s="141">
        <v>4690946979</v>
      </c>
      <c r="S198" s="143">
        <f t="shared" ref="S198" si="193">+R198/$M198</f>
        <v>0.9828754258254031</v>
      </c>
    </row>
    <row r="199" spans="1:19" ht="24.95" customHeight="1">
      <c r="A199" s="32" t="e">
        <v>#REF!</v>
      </c>
      <c r="B199" s="144" t="s">
        <v>700</v>
      </c>
      <c r="C199" s="145" t="s">
        <v>167</v>
      </c>
      <c r="D199" s="145">
        <v>4103</v>
      </c>
      <c r="E199" s="145" t="s">
        <v>172</v>
      </c>
      <c r="F199" s="145">
        <v>21</v>
      </c>
      <c r="G199" s="145" t="s">
        <v>175</v>
      </c>
      <c r="H199" s="145" t="s">
        <v>203</v>
      </c>
      <c r="I199" s="145" t="s">
        <v>54</v>
      </c>
      <c r="J199" s="145">
        <v>13</v>
      </c>
      <c r="K199" s="146" t="s">
        <v>29</v>
      </c>
      <c r="L199" s="147" t="s">
        <v>178</v>
      </c>
      <c r="M199" s="148">
        <v>4772677041</v>
      </c>
      <c r="N199" s="148">
        <v>4772677041</v>
      </c>
      <c r="O199" s="150">
        <f t="shared" si="130"/>
        <v>1</v>
      </c>
      <c r="P199" s="148">
        <v>4690946979</v>
      </c>
      <c r="Q199" s="150">
        <f t="shared" si="130"/>
        <v>0.9828754258254031</v>
      </c>
      <c r="R199" s="148">
        <v>4690946979</v>
      </c>
      <c r="S199" s="150">
        <f t="shared" ref="S199" si="194">+R199/$M199</f>
        <v>0.9828754258254031</v>
      </c>
    </row>
    <row r="200" spans="1:19" ht="32.25" customHeight="1">
      <c r="A200" s="32" t="e">
        <v>#REF!</v>
      </c>
      <c r="B200" s="138" t="s">
        <v>701</v>
      </c>
      <c r="C200" s="139" t="s">
        <v>167</v>
      </c>
      <c r="D200" s="139">
        <v>4103</v>
      </c>
      <c r="E200" s="139" t="s">
        <v>172</v>
      </c>
      <c r="F200" s="139">
        <v>21</v>
      </c>
      <c r="G200" s="139" t="s">
        <v>175</v>
      </c>
      <c r="H200" s="139" t="s">
        <v>223</v>
      </c>
      <c r="I200" s="139"/>
      <c r="J200" s="139">
        <v>13</v>
      </c>
      <c r="K200" s="140" t="s">
        <v>29</v>
      </c>
      <c r="L200" s="140" t="s">
        <v>238</v>
      </c>
      <c r="M200" s="141">
        <v>16899490379</v>
      </c>
      <c r="N200" s="141">
        <v>15587390337</v>
      </c>
      <c r="O200" s="143">
        <f t="shared" ref="O200:Q232" si="195">+N200/$M200</f>
        <v>0.92235860297713657</v>
      </c>
      <c r="P200" s="141">
        <v>6603488256</v>
      </c>
      <c r="Q200" s="143">
        <f t="shared" si="195"/>
        <v>0.39075073318221271</v>
      </c>
      <c r="R200" s="141">
        <v>6603488256</v>
      </c>
      <c r="S200" s="143">
        <f t="shared" ref="S200" si="196">+R200/$M200</f>
        <v>0.39075073318221271</v>
      </c>
    </row>
    <row r="201" spans="1:19" ht="24.95" customHeight="1">
      <c r="A201" s="32" t="e">
        <v>#REF!</v>
      </c>
      <c r="B201" s="144" t="s">
        <v>702</v>
      </c>
      <c r="C201" s="145" t="s">
        <v>167</v>
      </c>
      <c r="D201" s="145">
        <v>4103</v>
      </c>
      <c r="E201" s="145" t="s">
        <v>172</v>
      </c>
      <c r="F201" s="145">
        <v>21</v>
      </c>
      <c r="G201" s="145" t="s">
        <v>175</v>
      </c>
      <c r="H201" s="145" t="s">
        <v>223</v>
      </c>
      <c r="I201" s="145" t="s">
        <v>54</v>
      </c>
      <c r="J201" s="145">
        <v>13</v>
      </c>
      <c r="K201" s="146" t="s">
        <v>29</v>
      </c>
      <c r="L201" s="147" t="s">
        <v>178</v>
      </c>
      <c r="M201" s="148">
        <v>16899490379</v>
      </c>
      <c r="N201" s="148">
        <v>15587390337</v>
      </c>
      <c r="O201" s="150">
        <f t="shared" si="195"/>
        <v>0.92235860297713657</v>
      </c>
      <c r="P201" s="148">
        <v>6603488256</v>
      </c>
      <c r="Q201" s="150">
        <f t="shared" si="195"/>
        <v>0.39075073318221271</v>
      </c>
      <c r="R201" s="148">
        <v>6603488256</v>
      </c>
      <c r="S201" s="150">
        <f t="shared" ref="S201" si="197">+R201/$M201</f>
        <v>0.39075073318221271</v>
      </c>
    </row>
    <row r="202" spans="1:19" ht="49.5" customHeight="1">
      <c r="A202" s="32" t="e">
        <v>#REF!</v>
      </c>
      <c r="B202" s="132" t="s">
        <v>704</v>
      </c>
      <c r="C202" s="133" t="s">
        <v>167</v>
      </c>
      <c r="D202" s="133">
        <v>4103</v>
      </c>
      <c r="E202" s="133" t="s">
        <v>172</v>
      </c>
      <c r="F202" s="133">
        <v>22</v>
      </c>
      <c r="G202" s="133"/>
      <c r="H202" s="133"/>
      <c r="I202" s="133"/>
      <c r="J202" s="133"/>
      <c r="K202" s="134"/>
      <c r="L202" s="134" t="s">
        <v>239</v>
      </c>
      <c r="M202" s="135">
        <v>167533000000</v>
      </c>
      <c r="N202" s="135">
        <v>135044839100</v>
      </c>
      <c r="O202" s="137">
        <f t="shared" si="195"/>
        <v>0.80607903577205686</v>
      </c>
      <c r="P202" s="135">
        <v>108181956900.83</v>
      </c>
      <c r="Q202" s="137">
        <f t="shared" si="195"/>
        <v>0.64573520978452004</v>
      </c>
      <c r="R202" s="135">
        <v>108149089900.83</v>
      </c>
      <c r="S202" s="137">
        <f t="shared" ref="S202" si="198">+R202/$M202</f>
        <v>0.64553902753982795</v>
      </c>
    </row>
    <row r="203" spans="1:19" ht="32.25" customHeight="1">
      <c r="A203" s="32" t="e">
        <v>#REF!</v>
      </c>
      <c r="B203" s="138" t="s">
        <v>705</v>
      </c>
      <c r="C203" s="139" t="s">
        <v>167</v>
      </c>
      <c r="D203" s="139">
        <v>4103</v>
      </c>
      <c r="E203" s="139" t="s">
        <v>172</v>
      </c>
      <c r="F203" s="139">
        <v>22</v>
      </c>
      <c r="G203" s="139" t="s">
        <v>175</v>
      </c>
      <c r="H203" s="139" t="s">
        <v>219</v>
      </c>
      <c r="I203" s="139"/>
      <c r="J203" s="139">
        <v>13</v>
      </c>
      <c r="K203" s="140" t="s">
        <v>29</v>
      </c>
      <c r="L203" s="140" t="s">
        <v>240</v>
      </c>
      <c r="M203" s="141">
        <v>6436224091</v>
      </c>
      <c r="N203" s="141">
        <v>3919643191</v>
      </c>
      <c r="O203" s="143">
        <f t="shared" si="195"/>
        <v>0.60899731513092836</v>
      </c>
      <c r="P203" s="141">
        <v>2873911460</v>
      </c>
      <c r="Q203" s="143">
        <f t="shared" si="195"/>
        <v>0.44652134844383251</v>
      </c>
      <c r="R203" s="141">
        <v>2873911460</v>
      </c>
      <c r="S203" s="143">
        <f t="shared" ref="S203" si="199">+R203/$M203</f>
        <v>0.44652134844383251</v>
      </c>
    </row>
    <row r="204" spans="1:19" ht="24.95" customHeight="1">
      <c r="A204" s="32" t="e">
        <v>#REF!</v>
      </c>
      <c r="B204" s="144" t="s">
        <v>706</v>
      </c>
      <c r="C204" s="145" t="s">
        <v>167</v>
      </c>
      <c r="D204" s="145">
        <v>4103</v>
      </c>
      <c r="E204" s="145" t="s">
        <v>172</v>
      </c>
      <c r="F204" s="145">
        <v>22</v>
      </c>
      <c r="G204" s="145" t="s">
        <v>175</v>
      </c>
      <c r="H204" s="145" t="s">
        <v>219</v>
      </c>
      <c r="I204" s="145" t="s">
        <v>54</v>
      </c>
      <c r="J204" s="145">
        <v>13</v>
      </c>
      <c r="K204" s="146" t="s">
        <v>29</v>
      </c>
      <c r="L204" s="147" t="s">
        <v>178</v>
      </c>
      <c r="M204" s="148">
        <v>6436224091</v>
      </c>
      <c r="N204" s="148">
        <v>3919643191</v>
      </c>
      <c r="O204" s="150">
        <f t="shared" si="195"/>
        <v>0.60899731513092836</v>
      </c>
      <c r="P204" s="148">
        <v>2873911460</v>
      </c>
      <c r="Q204" s="150">
        <f t="shared" si="195"/>
        <v>0.44652134844383251</v>
      </c>
      <c r="R204" s="148">
        <v>2873911460</v>
      </c>
      <c r="S204" s="150">
        <f t="shared" ref="S204" si="200">+R204/$M204</f>
        <v>0.44652134844383251</v>
      </c>
    </row>
    <row r="205" spans="1:19" ht="32.25" customHeight="1">
      <c r="A205" s="32" t="e">
        <v>#REF!</v>
      </c>
      <c r="B205" s="138" t="s">
        <v>707</v>
      </c>
      <c r="C205" s="139" t="s">
        <v>167</v>
      </c>
      <c r="D205" s="139">
        <v>4103</v>
      </c>
      <c r="E205" s="139" t="s">
        <v>172</v>
      </c>
      <c r="F205" s="139">
        <v>22</v>
      </c>
      <c r="G205" s="139" t="s">
        <v>175</v>
      </c>
      <c r="H205" s="139" t="s">
        <v>234</v>
      </c>
      <c r="I205" s="139"/>
      <c r="J205" s="139">
        <v>13</v>
      </c>
      <c r="K205" s="140" t="s">
        <v>29</v>
      </c>
      <c r="L205" s="140" t="s">
        <v>241</v>
      </c>
      <c r="M205" s="141">
        <v>21359683278</v>
      </c>
      <c r="N205" s="141">
        <v>18219558020</v>
      </c>
      <c r="O205" s="143">
        <f t="shared" si="195"/>
        <v>0.85298821068034003</v>
      </c>
      <c r="P205" s="141">
        <v>9420952812.8299999</v>
      </c>
      <c r="Q205" s="143">
        <f t="shared" si="195"/>
        <v>0.44106238328605613</v>
      </c>
      <c r="R205" s="141">
        <v>9420952812.8299999</v>
      </c>
      <c r="S205" s="143">
        <f t="shared" ref="S205" si="201">+R205/$M205</f>
        <v>0.44106238328605613</v>
      </c>
    </row>
    <row r="206" spans="1:19" ht="24.95" customHeight="1">
      <c r="A206" s="32" t="e">
        <v>#REF!</v>
      </c>
      <c r="B206" s="144" t="s">
        <v>708</v>
      </c>
      <c r="C206" s="145" t="s">
        <v>167</v>
      </c>
      <c r="D206" s="145">
        <v>4103</v>
      </c>
      <c r="E206" s="145" t="s">
        <v>172</v>
      </c>
      <c r="F206" s="145">
        <v>22</v>
      </c>
      <c r="G206" s="145" t="s">
        <v>175</v>
      </c>
      <c r="H206" s="145" t="s">
        <v>234</v>
      </c>
      <c r="I206" s="145" t="s">
        <v>54</v>
      </c>
      <c r="J206" s="145">
        <v>13</v>
      </c>
      <c r="K206" s="146" t="s">
        <v>29</v>
      </c>
      <c r="L206" s="147" t="s">
        <v>178</v>
      </c>
      <c r="M206" s="148">
        <v>21359683278</v>
      </c>
      <c r="N206" s="148">
        <v>18219558020</v>
      </c>
      <c r="O206" s="150">
        <f t="shared" si="195"/>
        <v>0.85298821068034003</v>
      </c>
      <c r="P206" s="148">
        <v>9420952812.8299999</v>
      </c>
      <c r="Q206" s="150">
        <f t="shared" si="195"/>
        <v>0.44106238328605613</v>
      </c>
      <c r="R206" s="148">
        <v>9420952812.8299999</v>
      </c>
      <c r="S206" s="150">
        <f t="shared" ref="S206" si="202">+R206/$M206</f>
        <v>0.44106238328605613</v>
      </c>
    </row>
    <row r="207" spans="1:19" ht="32.25" customHeight="1">
      <c r="A207" s="32" t="e">
        <v>#REF!</v>
      </c>
      <c r="B207" s="138" t="s">
        <v>710</v>
      </c>
      <c r="C207" s="139" t="s">
        <v>167</v>
      </c>
      <c r="D207" s="139">
        <v>4103</v>
      </c>
      <c r="E207" s="139" t="s">
        <v>172</v>
      </c>
      <c r="F207" s="139">
        <v>22</v>
      </c>
      <c r="G207" s="139" t="s">
        <v>175</v>
      </c>
      <c r="H207" s="139">
        <v>4103051</v>
      </c>
      <c r="I207" s="139"/>
      <c r="J207" s="139">
        <v>13</v>
      </c>
      <c r="K207" s="140" t="s">
        <v>29</v>
      </c>
      <c r="L207" s="140" t="s">
        <v>242</v>
      </c>
      <c r="M207" s="141">
        <v>7771853837</v>
      </c>
      <c r="N207" s="141">
        <v>3945310447</v>
      </c>
      <c r="O207" s="143">
        <f t="shared" si="195"/>
        <v>0.50764084473865023</v>
      </c>
      <c r="P207" s="141">
        <v>2963874977</v>
      </c>
      <c r="Q207" s="143">
        <f t="shared" si="195"/>
        <v>0.38136010264239351</v>
      </c>
      <c r="R207" s="141">
        <v>2963874977</v>
      </c>
      <c r="S207" s="143">
        <f t="shared" ref="S207" si="203">+R207/$M207</f>
        <v>0.38136010264239351</v>
      </c>
    </row>
    <row r="208" spans="1:19" ht="24.95" customHeight="1">
      <c r="A208" s="32" t="e">
        <v>#REF!</v>
      </c>
      <c r="B208" s="144" t="s">
        <v>711</v>
      </c>
      <c r="C208" s="145" t="s">
        <v>167</v>
      </c>
      <c r="D208" s="145">
        <v>4103</v>
      </c>
      <c r="E208" s="145" t="s">
        <v>172</v>
      </c>
      <c r="F208" s="145">
        <v>22</v>
      </c>
      <c r="G208" s="145" t="s">
        <v>175</v>
      </c>
      <c r="H208" s="145">
        <v>4103051</v>
      </c>
      <c r="I208" s="145" t="s">
        <v>54</v>
      </c>
      <c r="J208" s="145">
        <v>13</v>
      </c>
      <c r="K208" s="146" t="s">
        <v>29</v>
      </c>
      <c r="L208" s="147" t="s">
        <v>178</v>
      </c>
      <c r="M208" s="148">
        <v>7771853837</v>
      </c>
      <c r="N208" s="148">
        <v>3945310447</v>
      </c>
      <c r="O208" s="150">
        <f t="shared" si="195"/>
        <v>0.50764084473865023</v>
      </c>
      <c r="P208" s="148">
        <v>2963874977</v>
      </c>
      <c r="Q208" s="150">
        <f t="shared" si="195"/>
        <v>0.38136010264239351</v>
      </c>
      <c r="R208" s="148">
        <v>2963874977</v>
      </c>
      <c r="S208" s="150">
        <f t="shared" ref="S208" si="204">+R208/$M208</f>
        <v>0.38136010264239351</v>
      </c>
    </row>
    <row r="209" spans="1:19" ht="32.25" customHeight="1">
      <c r="A209" s="32" t="e">
        <v>#REF!</v>
      </c>
      <c r="B209" s="138" t="s">
        <v>712</v>
      </c>
      <c r="C209" s="139" t="s">
        <v>167</v>
      </c>
      <c r="D209" s="139">
        <v>4103</v>
      </c>
      <c r="E209" s="139" t="s">
        <v>172</v>
      </c>
      <c r="F209" s="139">
        <v>22</v>
      </c>
      <c r="G209" s="139" t="s">
        <v>175</v>
      </c>
      <c r="H209" s="139">
        <v>4103055</v>
      </c>
      <c r="I209" s="139"/>
      <c r="J209" s="139">
        <v>13</v>
      </c>
      <c r="K209" s="140" t="s">
        <v>29</v>
      </c>
      <c r="L209" s="140" t="s">
        <v>243</v>
      </c>
      <c r="M209" s="141">
        <v>931717456</v>
      </c>
      <c r="N209" s="141">
        <v>894550970</v>
      </c>
      <c r="O209" s="143">
        <f t="shared" si="195"/>
        <v>0.96010970304285037</v>
      </c>
      <c r="P209" s="141">
        <v>894550970</v>
      </c>
      <c r="Q209" s="143">
        <f t="shared" si="195"/>
        <v>0.96010970304285037</v>
      </c>
      <c r="R209" s="141">
        <v>894550970</v>
      </c>
      <c r="S209" s="143">
        <f t="shared" ref="S209" si="205">+R209/$M209</f>
        <v>0.96010970304285037</v>
      </c>
    </row>
    <row r="210" spans="1:19" ht="24.95" customHeight="1">
      <c r="A210" s="32" t="e">
        <v>#REF!</v>
      </c>
      <c r="B210" s="144" t="s">
        <v>713</v>
      </c>
      <c r="C210" s="145" t="s">
        <v>167</v>
      </c>
      <c r="D210" s="145">
        <v>4103</v>
      </c>
      <c r="E210" s="145" t="s">
        <v>172</v>
      </c>
      <c r="F210" s="145">
        <v>22</v>
      </c>
      <c r="G210" s="145" t="s">
        <v>175</v>
      </c>
      <c r="H210" s="145" t="s">
        <v>203</v>
      </c>
      <c r="I210" s="145" t="s">
        <v>54</v>
      </c>
      <c r="J210" s="145">
        <v>13</v>
      </c>
      <c r="K210" s="146" t="s">
        <v>29</v>
      </c>
      <c r="L210" s="147" t="s">
        <v>178</v>
      </c>
      <c r="M210" s="148">
        <v>931717456</v>
      </c>
      <c r="N210" s="148">
        <v>894550970</v>
      </c>
      <c r="O210" s="150">
        <f t="shared" si="195"/>
        <v>0.96010970304285037</v>
      </c>
      <c r="P210" s="148">
        <v>894550970</v>
      </c>
      <c r="Q210" s="150">
        <f t="shared" si="195"/>
        <v>0.96010970304285037</v>
      </c>
      <c r="R210" s="148">
        <v>894550970</v>
      </c>
      <c r="S210" s="150">
        <f t="shared" ref="S210" si="206">+R210/$M210</f>
        <v>0.96010970304285037</v>
      </c>
    </row>
    <row r="211" spans="1:19" ht="32.25" customHeight="1">
      <c r="A211" s="32" t="e">
        <v>#REF!</v>
      </c>
      <c r="B211" s="138" t="s">
        <v>715</v>
      </c>
      <c r="C211" s="139" t="s">
        <v>167</v>
      </c>
      <c r="D211" s="139">
        <v>4103</v>
      </c>
      <c r="E211" s="139" t="s">
        <v>172</v>
      </c>
      <c r="F211" s="139">
        <v>22</v>
      </c>
      <c r="G211" s="139" t="s">
        <v>175</v>
      </c>
      <c r="H211" s="139">
        <v>4103057</v>
      </c>
      <c r="I211" s="139"/>
      <c r="J211" s="139">
        <v>13</v>
      </c>
      <c r="K211" s="140" t="s">
        <v>29</v>
      </c>
      <c r="L211" s="140" t="s">
        <v>244</v>
      </c>
      <c r="M211" s="141">
        <v>64692324002</v>
      </c>
      <c r="N211" s="141">
        <v>63986224065</v>
      </c>
      <c r="O211" s="143">
        <f t="shared" si="195"/>
        <v>0.98908525937361336</v>
      </c>
      <c r="P211" s="141">
        <v>62150873708</v>
      </c>
      <c r="Q211" s="143">
        <f t="shared" si="195"/>
        <v>0.96071480916466334</v>
      </c>
      <c r="R211" s="141">
        <v>62118006708</v>
      </c>
      <c r="S211" s="143">
        <f t="shared" ref="S211" si="207">+R211/$M211</f>
        <v>0.96020675816314138</v>
      </c>
    </row>
    <row r="212" spans="1:19" ht="24.95" customHeight="1">
      <c r="A212" s="32" t="e">
        <v>#REF!</v>
      </c>
      <c r="B212" s="144" t="s">
        <v>716</v>
      </c>
      <c r="C212" s="145" t="s">
        <v>167</v>
      </c>
      <c r="D212" s="145">
        <v>4103</v>
      </c>
      <c r="E212" s="145" t="s">
        <v>172</v>
      </c>
      <c r="F212" s="145">
        <v>22</v>
      </c>
      <c r="G212" s="145" t="s">
        <v>175</v>
      </c>
      <c r="H212" s="145" t="s">
        <v>221</v>
      </c>
      <c r="I212" s="145" t="s">
        <v>54</v>
      </c>
      <c r="J212" s="145">
        <v>13</v>
      </c>
      <c r="K212" s="146" t="s">
        <v>29</v>
      </c>
      <c r="L212" s="147" t="s">
        <v>178</v>
      </c>
      <c r="M212" s="148">
        <v>4582330002</v>
      </c>
      <c r="N212" s="148">
        <v>3876230065</v>
      </c>
      <c r="O212" s="150">
        <f t="shared" si="195"/>
        <v>0.84590809987674043</v>
      </c>
      <c r="P212" s="148">
        <v>2059274708</v>
      </c>
      <c r="Q212" s="150">
        <f t="shared" si="195"/>
        <v>0.44939467631122393</v>
      </c>
      <c r="R212" s="148">
        <v>2026407708</v>
      </c>
      <c r="S212" s="150">
        <f t="shared" ref="S212" si="208">+R212/$M212</f>
        <v>0.44222212435934466</v>
      </c>
    </row>
    <row r="213" spans="1:19" ht="24.95" customHeight="1">
      <c r="A213" s="32" t="e">
        <v>#REF!</v>
      </c>
      <c r="B213" s="144" t="s">
        <v>717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 t="s">
        <v>221</v>
      </c>
      <c r="I213" s="145" t="s">
        <v>65</v>
      </c>
      <c r="J213" s="145">
        <v>13</v>
      </c>
      <c r="K213" s="146" t="s">
        <v>29</v>
      </c>
      <c r="L213" s="147" t="s">
        <v>127</v>
      </c>
      <c r="M213" s="148">
        <v>60109994000</v>
      </c>
      <c r="N213" s="148">
        <v>60109994000</v>
      </c>
      <c r="O213" s="150">
        <f t="shared" si="195"/>
        <v>1</v>
      </c>
      <c r="P213" s="148">
        <v>60091599000</v>
      </c>
      <c r="Q213" s="150">
        <f t="shared" si="195"/>
        <v>0.99969397767698998</v>
      </c>
      <c r="R213" s="148">
        <v>60091599000</v>
      </c>
      <c r="S213" s="150">
        <f t="shared" ref="S213" si="209">+R213/$M213</f>
        <v>0.99969397767698998</v>
      </c>
    </row>
    <row r="214" spans="1:19" ht="32.25" customHeight="1">
      <c r="A214" s="32" t="e">
        <v>#REF!</v>
      </c>
      <c r="B214" s="138" t="s">
        <v>718</v>
      </c>
      <c r="C214" s="139" t="s">
        <v>167</v>
      </c>
      <c r="D214" s="139">
        <v>4103</v>
      </c>
      <c r="E214" s="139" t="s">
        <v>172</v>
      </c>
      <c r="F214" s="139">
        <v>22</v>
      </c>
      <c r="G214" s="139" t="s">
        <v>175</v>
      </c>
      <c r="H214" s="139">
        <v>4103062</v>
      </c>
      <c r="I214" s="139"/>
      <c r="J214" s="139">
        <v>13</v>
      </c>
      <c r="K214" s="140" t="s">
        <v>29</v>
      </c>
      <c r="L214" s="140" t="s">
        <v>245</v>
      </c>
      <c r="M214" s="141">
        <v>66341197336</v>
      </c>
      <c r="N214" s="141">
        <v>44079552407</v>
      </c>
      <c r="O214" s="143">
        <f t="shared" si="195"/>
        <v>0.66443709455150679</v>
      </c>
      <c r="P214" s="141">
        <v>29877792973</v>
      </c>
      <c r="Q214" s="143">
        <f t="shared" si="195"/>
        <v>0.45036559743830307</v>
      </c>
      <c r="R214" s="141">
        <v>29877792973</v>
      </c>
      <c r="S214" s="143">
        <f t="shared" ref="S214" si="210">+R214/$M214</f>
        <v>0.45036559743830307</v>
      </c>
    </row>
    <row r="215" spans="1:19" ht="24.95" customHeight="1">
      <c r="A215" s="32" t="e">
        <v>#REF!</v>
      </c>
      <c r="B215" s="144" t="s">
        <v>719</v>
      </c>
      <c r="C215" s="145" t="s">
        <v>167</v>
      </c>
      <c r="D215" s="145">
        <v>4103</v>
      </c>
      <c r="E215" s="145" t="s">
        <v>172</v>
      </c>
      <c r="F215" s="145">
        <v>22</v>
      </c>
      <c r="G215" s="145" t="s">
        <v>175</v>
      </c>
      <c r="H215" s="145" t="s">
        <v>246</v>
      </c>
      <c r="I215" s="145" t="s">
        <v>54</v>
      </c>
      <c r="J215" s="145">
        <v>13</v>
      </c>
      <c r="K215" s="146" t="s">
        <v>29</v>
      </c>
      <c r="L215" s="147" t="s">
        <v>178</v>
      </c>
      <c r="M215" s="148">
        <v>7046075336</v>
      </c>
      <c r="N215" s="148">
        <v>4249430407</v>
      </c>
      <c r="O215" s="150">
        <f t="shared" si="195"/>
        <v>0.60309182124248584</v>
      </c>
      <c r="P215" s="148">
        <v>2215762973</v>
      </c>
      <c r="Q215" s="150">
        <f t="shared" si="195"/>
        <v>0.31446768127487418</v>
      </c>
      <c r="R215" s="148">
        <v>2215762973</v>
      </c>
      <c r="S215" s="150">
        <f t="shared" ref="S215" si="211">+R215/$M215</f>
        <v>0.31446768127487418</v>
      </c>
    </row>
    <row r="216" spans="1:19" ht="24.95" customHeight="1">
      <c r="A216" s="32" t="e">
        <v>#REF!</v>
      </c>
      <c r="B216" s="144" t="s">
        <v>720</v>
      </c>
      <c r="C216" s="145" t="s">
        <v>167</v>
      </c>
      <c r="D216" s="145">
        <v>4103</v>
      </c>
      <c r="E216" s="145" t="s">
        <v>172</v>
      </c>
      <c r="F216" s="145">
        <v>22</v>
      </c>
      <c r="G216" s="145" t="s">
        <v>175</v>
      </c>
      <c r="H216" s="145" t="s">
        <v>246</v>
      </c>
      <c r="I216" s="145" t="s">
        <v>65</v>
      </c>
      <c r="J216" s="145">
        <v>13</v>
      </c>
      <c r="K216" s="146" t="s">
        <v>29</v>
      </c>
      <c r="L216" s="147" t="s">
        <v>127</v>
      </c>
      <c r="M216" s="148">
        <v>59295122000</v>
      </c>
      <c r="N216" s="148">
        <v>39830122000</v>
      </c>
      <c r="O216" s="150">
        <f t="shared" si="195"/>
        <v>0.67172679061188201</v>
      </c>
      <c r="P216" s="148">
        <v>27662030000</v>
      </c>
      <c r="Q216" s="150">
        <f t="shared" si="195"/>
        <v>0.46651442929824816</v>
      </c>
      <c r="R216" s="148">
        <v>27662030000</v>
      </c>
      <c r="S216" s="150">
        <f t="shared" ref="S216" si="212">+R216/$M216</f>
        <v>0.46651442929824816</v>
      </c>
    </row>
    <row r="217" spans="1:19" ht="39.75" customHeight="1">
      <c r="A217" s="32"/>
      <c r="B217" s="132" t="s">
        <v>685</v>
      </c>
      <c r="C217" s="133" t="s">
        <v>167</v>
      </c>
      <c r="D217" s="133" t="s">
        <v>190</v>
      </c>
      <c r="E217" s="133" t="s">
        <v>172</v>
      </c>
      <c r="F217" s="133">
        <v>23</v>
      </c>
      <c r="G217" s="133"/>
      <c r="H217" s="133"/>
      <c r="I217" s="133"/>
      <c r="J217" s="133"/>
      <c r="K217" s="134"/>
      <c r="L217" s="134" t="s">
        <v>273</v>
      </c>
      <c r="M217" s="135">
        <v>1612279801419</v>
      </c>
      <c r="N217" s="135">
        <v>864790983578.20996</v>
      </c>
      <c r="O217" s="137">
        <f t="shared" si="195"/>
        <v>0.53637773221316176</v>
      </c>
      <c r="P217" s="135">
        <v>831164951440.67004</v>
      </c>
      <c r="Q217" s="137">
        <f t="shared" si="195"/>
        <v>0.5155215308838732</v>
      </c>
      <c r="R217" s="135">
        <v>831131031440.67004</v>
      </c>
      <c r="S217" s="137">
        <f t="shared" ref="S217" si="213">+R217/$M217</f>
        <v>0.51550049235199424</v>
      </c>
    </row>
    <row r="218" spans="1:19" ht="32.25" customHeight="1">
      <c r="A218" s="32"/>
      <c r="B218" s="138" t="s">
        <v>721</v>
      </c>
      <c r="C218" s="139" t="s">
        <v>167</v>
      </c>
      <c r="D218" s="139" t="s">
        <v>190</v>
      </c>
      <c r="E218" s="139" t="s">
        <v>172</v>
      </c>
      <c r="F218" s="139">
        <v>23</v>
      </c>
      <c r="G218" s="139" t="s">
        <v>175</v>
      </c>
      <c r="H218" s="139">
        <v>4103065</v>
      </c>
      <c r="I218" s="139"/>
      <c r="J218" s="139">
        <v>11</v>
      </c>
      <c r="K218" s="140" t="s">
        <v>29</v>
      </c>
      <c r="L218" s="140" t="s">
        <v>248</v>
      </c>
      <c r="M218" s="141">
        <v>1612279801419</v>
      </c>
      <c r="N218" s="141">
        <v>864790983578.20996</v>
      </c>
      <c r="O218" s="143">
        <f t="shared" si="195"/>
        <v>0.53637773221316176</v>
      </c>
      <c r="P218" s="141">
        <v>831164951440.67004</v>
      </c>
      <c r="Q218" s="143">
        <f t="shared" si="195"/>
        <v>0.5155215308838732</v>
      </c>
      <c r="R218" s="141">
        <v>831131031440.67004</v>
      </c>
      <c r="S218" s="143">
        <f t="shared" ref="S218" si="214">+R218/$M218</f>
        <v>0.51550049235199424</v>
      </c>
    </row>
    <row r="219" spans="1:19" ht="24.95" customHeight="1">
      <c r="A219" s="32"/>
      <c r="B219" s="144" t="s">
        <v>722</v>
      </c>
      <c r="C219" s="145" t="s">
        <v>167</v>
      </c>
      <c r="D219" s="145" t="s">
        <v>190</v>
      </c>
      <c r="E219" s="145" t="s">
        <v>172</v>
      </c>
      <c r="F219" s="145">
        <v>23</v>
      </c>
      <c r="G219" s="145" t="s">
        <v>175</v>
      </c>
      <c r="H219" s="145">
        <v>4103065</v>
      </c>
      <c r="I219" s="145" t="s">
        <v>54</v>
      </c>
      <c r="J219" s="145">
        <v>11</v>
      </c>
      <c r="K219" s="146" t="s">
        <v>29</v>
      </c>
      <c r="L219" s="147" t="s">
        <v>178</v>
      </c>
      <c r="M219" s="148">
        <v>82083094704.350006</v>
      </c>
      <c r="N219" s="148">
        <v>45534338578.209999</v>
      </c>
      <c r="O219" s="150">
        <f t="shared" si="195"/>
        <v>0.55473467152057687</v>
      </c>
      <c r="P219" s="148">
        <v>11908306440.67</v>
      </c>
      <c r="Q219" s="150">
        <f t="shared" si="195"/>
        <v>0.14507623626474841</v>
      </c>
      <c r="R219" s="148">
        <v>11908306440.67</v>
      </c>
      <c r="S219" s="150">
        <f t="shared" ref="S219" si="215">+R219/$M219</f>
        <v>0.14507623626474841</v>
      </c>
    </row>
    <row r="220" spans="1:19" ht="24.95" customHeight="1">
      <c r="A220" s="32"/>
      <c r="B220" s="144" t="s">
        <v>723</v>
      </c>
      <c r="C220" s="145" t="s">
        <v>167</v>
      </c>
      <c r="D220" s="145" t="s">
        <v>190</v>
      </c>
      <c r="E220" s="145" t="s">
        <v>172</v>
      </c>
      <c r="F220" s="145">
        <v>23</v>
      </c>
      <c r="G220" s="145" t="s">
        <v>175</v>
      </c>
      <c r="H220" s="145">
        <v>4103065</v>
      </c>
      <c r="I220" s="145" t="s">
        <v>65</v>
      </c>
      <c r="J220" s="145">
        <v>11</v>
      </c>
      <c r="K220" s="146" t="s">
        <v>29</v>
      </c>
      <c r="L220" s="147" t="s">
        <v>127</v>
      </c>
      <c r="M220" s="148">
        <v>697379609845.65002</v>
      </c>
      <c r="N220" s="148">
        <v>697379609814</v>
      </c>
      <c r="O220" s="150">
        <f t="shared" si="195"/>
        <v>0.99999999995461575</v>
      </c>
      <c r="P220" s="148">
        <v>697379609814</v>
      </c>
      <c r="Q220" s="150">
        <f t="shared" si="195"/>
        <v>0.99999999995461575</v>
      </c>
      <c r="R220" s="148">
        <v>697379609814</v>
      </c>
      <c r="S220" s="150">
        <f t="shared" ref="S220" si="216">+R220/$M220</f>
        <v>0.99999999995461575</v>
      </c>
    </row>
    <row r="221" spans="1:19" ht="24.95" customHeight="1">
      <c r="A221" s="32"/>
      <c r="B221" s="144" t="s">
        <v>723</v>
      </c>
      <c r="C221" s="145" t="s">
        <v>167</v>
      </c>
      <c r="D221" s="145" t="s">
        <v>190</v>
      </c>
      <c r="E221" s="145" t="s">
        <v>172</v>
      </c>
      <c r="F221" s="145">
        <v>23</v>
      </c>
      <c r="G221" s="145" t="s">
        <v>175</v>
      </c>
      <c r="H221" s="145">
        <v>4103065</v>
      </c>
      <c r="I221" s="145" t="s">
        <v>65</v>
      </c>
      <c r="J221" s="145">
        <v>13</v>
      </c>
      <c r="K221" s="146" t="s">
        <v>29</v>
      </c>
      <c r="L221" s="147" t="s">
        <v>127</v>
      </c>
      <c r="M221" s="148">
        <v>48925749186</v>
      </c>
      <c r="N221" s="148">
        <v>44717669186</v>
      </c>
      <c r="O221" s="150">
        <f t="shared" si="195"/>
        <v>0.91399048415176576</v>
      </c>
      <c r="P221" s="148">
        <v>44717669186</v>
      </c>
      <c r="Q221" s="150">
        <f t="shared" si="195"/>
        <v>0.91399048415176576</v>
      </c>
      <c r="R221" s="148">
        <v>44683749186</v>
      </c>
      <c r="S221" s="150">
        <f t="shared" ref="S221" si="217">+R221/$M221</f>
        <v>0.9132971886874276</v>
      </c>
    </row>
    <row r="222" spans="1:19" ht="24.95" customHeight="1">
      <c r="A222" s="32"/>
      <c r="B222" s="144" t="s">
        <v>723</v>
      </c>
      <c r="C222" s="145" t="s">
        <v>167</v>
      </c>
      <c r="D222" s="145" t="s">
        <v>190</v>
      </c>
      <c r="E222" s="145" t="s">
        <v>172</v>
      </c>
      <c r="F222" s="145">
        <v>23</v>
      </c>
      <c r="G222" s="145" t="s">
        <v>175</v>
      </c>
      <c r="H222" s="145">
        <v>4103065</v>
      </c>
      <c r="I222" s="145" t="s">
        <v>65</v>
      </c>
      <c r="J222" s="145">
        <v>16</v>
      </c>
      <c r="K222" s="146" t="s">
        <v>156</v>
      </c>
      <c r="L222" s="147" t="s">
        <v>127</v>
      </c>
      <c r="M222" s="148">
        <v>783891347683</v>
      </c>
      <c r="N222" s="148">
        <v>77159366000</v>
      </c>
      <c r="O222" s="150">
        <f t="shared" si="195"/>
        <v>9.8431199971864836E-2</v>
      </c>
      <c r="P222" s="148">
        <v>77159366000</v>
      </c>
      <c r="Q222" s="150">
        <f t="shared" si="195"/>
        <v>9.8431199971864836E-2</v>
      </c>
      <c r="R222" s="148">
        <v>77159366000</v>
      </c>
      <c r="S222" s="150">
        <f t="shared" ref="S222" si="218">+R222/$M222</f>
        <v>9.8431199971864836E-2</v>
      </c>
    </row>
    <row r="223" spans="1:19" ht="49.5" customHeight="1">
      <c r="A223" s="32" t="e">
        <v>#REF!</v>
      </c>
      <c r="B223" s="132" t="s">
        <v>732</v>
      </c>
      <c r="C223" s="133" t="s">
        <v>167</v>
      </c>
      <c r="D223" s="133" t="s">
        <v>190</v>
      </c>
      <c r="E223" s="133" t="s">
        <v>172</v>
      </c>
      <c r="F223" s="133">
        <v>24</v>
      </c>
      <c r="G223" s="133"/>
      <c r="H223" s="133"/>
      <c r="I223" s="133"/>
      <c r="J223" s="133"/>
      <c r="K223" s="134"/>
      <c r="L223" s="134" t="s">
        <v>249</v>
      </c>
      <c r="M223" s="135">
        <v>7237101000000</v>
      </c>
      <c r="N223" s="135">
        <v>2926306428350.3999</v>
      </c>
      <c r="O223" s="137">
        <f t="shared" si="195"/>
        <v>0.40434787746507889</v>
      </c>
      <c r="P223" s="135">
        <v>2543390510107.2798</v>
      </c>
      <c r="Q223" s="137">
        <f t="shared" si="195"/>
        <v>0.35143775250715442</v>
      </c>
      <c r="R223" s="135">
        <v>2543141976951.2798</v>
      </c>
      <c r="S223" s="137">
        <f t="shared" ref="S223" si="219">+R223/$M223</f>
        <v>0.35140341097233269</v>
      </c>
    </row>
    <row r="224" spans="1:19" ht="32.25" customHeight="1">
      <c r="A224" s="32" t="e">
        <v>#REF!</v>
      </c>
      <c r="B224" s="138" t="s">
        <v>733</v>
      </c>
      <c r="C224" s="139" t="s">
        <v>167</v>
      </c>
      <c r="D224" s="139" t="s">
        <v>190</v>
      </c>
      <c r="E224" s="139" t="s">
        <v>172</v>
      </c>
      <c r="F224" s="139">
        <v>24</v>
      </c>
      <c r="G224" s="139" t="s">
        <v>175</v>
      </c>
      <c r="H224" s="139">
        <v>4103061</v>
      </c>
      <c r="I224" s="139"/>
      <c r="J224" s="139">
        <v>13</v>
      </c>
      <c r="K224" s="140" t="s">
        <v>29</v>
      </c>
      <c r="L224" s="140" t="s">
        <v>231</v>
      </c>
      <c r="M224" s="141">
        <v>7237101000000</v>
      </c>
      <c r="N224" s="141">
        <v>2926306428350.3999</v>
      </c>
      <c r="O224" s="143">
        <f t="shared" si="195"/>
        <v>0.40434787746507889</v>
      </c>
      <c r="P224" s="141">
        <v>2543390510107.2798</v>
      </c>
      <c r="Q224" s="143">
        <f t="shared" si="195"/>
        <v>0.35143775250715442</v>
      </c>
      <c r="R224" s="141">
        <v>2543141976951.2798</v>
      </c>
      <c r="S224" s="143">
        <f t="shared" ref="S224" si="220">+R224/$M224</f>
        <v>0.35140341097233269</v>
      </c>
    </row>
    <row r="225" spans="1:42" ht="24.95" customHeight="1">
      <c r="A225" s="32" t="e">
        <v>#REF!</v>
      </c>
      <c r="B225" s="144" t="s">
        <v>734</v>
      </c>
      <c r="C225" s="145" t="s">
        <v>167</v>
      </c>
      <c r="D225" s="145" t="s">
        <v>190</v>
      </c>
      <c r="E225" s="145" t="s">
        <v>172</v>
      </c>
      <c r="F225" s="145">
        <v>24</v>
      </c>
      <c r="G225" s="145" t="s">
        <v>175</v>
      </c>
      <c r="H225" s="145">
        <v>4103061</v>
      </c>
      <c r="I225" s="145" t="s">
        <v>54</v>
      </c>
      <c r="J225" s="145">
        <v>13</v>
      </c>
      <c r="K225" s="146" t="s">
        <v>29</v>
      </c>
      <c r="L225" s="147" t="s">
        <v>178</v>
      </c>
      <c r="M225" s="148">
        <v>100180639294.83</v>
      </c>
      <c r="N225" s="148">
        <v>27204328350.400002</v>
      </c>
      <c r="O225" s="150">
        <f t="shared" si="195"/>
        <v>0.27155275252674427</v>
      </c>
      <c r="P225" s="148">
        <v>7121574107.2799997</v>
      </c>
      <c r="Q225" s="150">
        <f t="shared" si="195"/>
        <v>7.1087329422218223E-2</v>
      </c>
      <c r="R225" s="148">
        <v>6873040951.2799997</v>
      </c>
      <c r="S225" s="150">
        <f t="shared" ref="S225" si="221">+R225/$M225</f>
        <v>6.860647925247064E-2</v>
      </c>
    </row>
    <row r="226" spans="1:42" ht="24.95" customHeight="1">
      <c r="A226" s="32" t="e">
        <v>#REF!</v>
      </c>
      <c r="B226" s="144" t="s">
        <v>735</v>
      </c>
      <c r="C226" s="145" t="s">
        <v>167</v>
      </c>
      <c r="D226" s="145" t="s">
        <v>190</v>
      </c>
      <c r="E226" s="145" t="s">
        <v>172</v>
      </c>
      <c r="F226" s="145">
        <v>24</v>
      </c>
      <c r="G226" s="145" t="s">
        <v>175</v>
      </c>
      <c r="H226" s="145">
        <v>4103061</v>
      </c>
      <c r="I226" s="145" t="s">
        <v>65</v>
      </c>
      <c r="J226" s="145">
        <v>13</v>
      </c>
      <c r="K226" s="146" t="s">
        <v>29</v>
      </c>
      <c r="L226" s="147" t="s">
        <v>127</v>
      </c>
      <c r="M226" s="148">
        <v>7136920360705.1699</v>
      </c>
      <c r="N226" s="148">
        <v>2899102100000</v>
      </c>
      <c r="O226" s="150">
        <f t="shared" si="195"/>
        <v>0.40621191683208746</v>
      </c>
      <c r="P226" s="148">
        <v>2536268936000</v>
      </c>
      <c r="Q226" s="150">
        <f t="shared" si="195"/>
        <v>0.35537301914763159</v>
      </c>
      <c r="R226" s="148">
        <v>2536268936000</v>
      </c>
      <c r="S226" s="150">
        <f t="shared" ref="S226" si="222">+R226/$M226</f>
        <v>0.35537301914763159</v>
      </c>
    </row>
    <row r="227" spans="1:42" ht="36.75" customHeight="1">
      <c r="A227" s="32" t="e">
        <v>#REF!</v>
      </c>
      <c r="B227" s="124" t="s">
        <v>544</v>
      </c>
      <c r="C227" s="123" t="s">
        <v>167</v>
      </c>
      <c r="D227" s="123">
        <v>4199</v>
      </c>
      <c r="E227" s="123"/>
      <c r="F227" s="123"/>
      <c r="G227" s="123"/>
      <c r="H227" s="123"/>
      <c r="I227" s="123"/>
      <c r="J227" s="124"/>
      <c r="K227" s="124"/>
      <c r="L227" s="124" t="s">
        <v>250</v>
      </c>
      <c r="M227" s="125">
        <v>5000000000</v>
      </c>
      <c r="N227" s="125">
        <v>2450040887.5999999</v>
      </c>
      <c r="O227" s="126">
        <f t="shared" si="195"/>
        <v>0.49000817751999998</v>
      </c>
      <c r="P227" s="125">
        <v>2450040887.5999999</v>
      </c>
      <c r="Q227" s="126">
        <f t="shared" si="195"/>
        <v>0.49000817751999998</v>
      </c>
      <c r="R227" s="125">
        <v>2450040887.5999999</v>
      </c>
      <c r="S227" s="126">
        <f t="shared" ref="S227" si="223">+R227/$M227</f>
        <v>0.49000817751999998</v>
      </c>
    </row>
    <row r="228" spans="1:42" ht="24" customHeight="1">
      <c r="A228" s="32" t="e">
        <v>#REF!</v>
      </c>
      <c r="B228" s="129" t="s">
        <v>300</v>
      </c>
      <c r="C228" s="128" t="s">
        <v>167</v>
      </c>
      <c r="D228" s="128">
        <v>4199</v>
      </c>
      <c r="E228" s="128">
        <v>1500</v>
      </c>
      <c r="F228" s="128"/>
      <c r="G228" s="128"/>
      <c r="H228" s="128"/>
      <c r="I228" s="128"/>
      <c r="J228" s="129"/>
      <c r="K228" s="129"/>
      <c r="L228" s="129" t="s">
        <v>170</v>
      </c>
      <c r="M228" s="130">
        <v>5000000000</v>
      </c>
      <c r="N228" s="130">
        <v>2450040887.5999999</v>
      </c>
      <c r="O228" s="131">
        <f t="shared" si="195"/>
        <v>0.49000817751999998</v>
      </c>
      <c r="P228" s="130">
        <v>2450040887.5999999</v>
      </c>
      <c r="Q228" s="131">
        <f t="shared" si="195"/>
        <v>0.49000817751999998</v>
      </c>
      <c r="R228" s="130">
        <v>2450040887.5999999</v>
      </c>
      <c r="S228" s="131">
        <f t="shared" ref="S228" si="224">+R228/$M228</f>
        <v>0.49000817751999998</v>
      </c>
    </row>
    <row r="229" spans="1:42" ht="37.5" customHeight="1">
      <c r="A229" s="32" t="e">
        <v>#REF!</v>
      </c>
      <c r="B229" s="132" t="s">
        <v>547</v>
      </c>
      <c r="C229" s="133" t="s">
        <v>167</v>
      </c>
      <c r="D229" s="133" t="s">
        <v>251</v>
      </c>
      <c r="E229" s="133" t="s">
        <v>172</v>
      </c>
      <c r="F229" s="133" t="s">
        <v>252</v>
      </c>
      <c r="G229" s="133"/>
      <c r="H229" s="133"/>
      <c r="I229" s="133"/>
      <c r="J229" s="133"/>
      <c r="K229" s="134"/>
      <c r="L229" s="134" t="s">
        <v>274</v>
      </c>
      <c r="M229" s="135">
        <v>5000000000</v>
      </c>
      <c r="N229" s="135">
        <v>2450040887.5999999</v>
      </c>
      <c r="O229" s="137">
        <f t="shared" si="195"/>
        <v>0.49000817751999998</v>
      </c>
      <c r="P229" s="135">
        <v>2450040887.5999999</v>
      </c>
      <c r="Q229" s="137">
        <f t="shared" si="195"/>
        <v>0.49000817751999998</v>
      </c>
      <c r="R229" s="135">
        <v>2450040887.5999999</v>
      </c>
      <c r="S229" s="137">
        <f t="shared" ref="S229" si="225">+R229/$M229</f>
        <v>0.49000817751999998</v>
      </c>
    </row>
    <row r="230" spans="1:42" ht="32.25" customHeight="1">
      <c r="A230" s="32" t="e">
        <v>#REF!</v>
      </c>
      <c r="B230" s="138" t="s">
        <v>548</v>
      </c>
      <c r="C230" s="139" t="s">
        <v>167</v>
      </c>
      <c r="D230" s="139" t="s">
        <v>251</v>
      </c>
      <c r="E230" s="139" t="s">
        <v>172</v>
      </c>
      <c r="F230" s="139" t="s">
        <v>252</v>
      </c>
      <c r="G230" s="139" t="s">
        <v>175</v>
      </c>
      <c r="H230" s="139" t="s">
        <v>254</v>
      </c>
      <c r="I230" s="139"/>
      <c r="J230" s="139">
        <v>13</v>
      </c>
      <c r="K230" s="140" t="s">
        <v>29</v>
      </c>
      <c r="L230" s="140" t="s">
        <v>255</v>
      </c>
      <c r="M230" s="141">
        <v>5000000000</v>
      </c>
      <c r="N230" s="141">
        <v>2450040887.5999999</v>
      </c>
      <c r="O230" s="143">
        <f t="shared" si="195"/>
        <v>0.49000817751999998</v>
      </c>
      <c r="P230" s="141">
        <v>2450040887.5999999</v>
      </c>
      <c r="Q230" s="143">
        <f t="shared" si="195"/>
        <v>0.49000817751999998</v>
      </c>
      <c r="R230" s="141">
        <v>2450040887.5999999</v>
      </c>
      <c r="S230" s="143">
        <f t="shared" ref="S230" si="226">+R230/$M230</f>
        <v>0.49000817751999998</v>
      </c>
    </row>
    <row r="231" spans="1:42" ht="24.95" customHeight="1">
      <c r="A231" s="32" t="e">
        <v>#REF!</v>
      </c>
      <c r="B231" s="144" t="s">
        <v>549</v>
      </c>
      <c r="C231" s="145" t="s">
        <v>167</v>
      </c>
      <c r="D231" s="145" t="s">
        <v>251</v>
      </c>
      <c r="E231" s="145" t="s">
        <v>172</v>
      </c>
      <c r="F231" s="145" t="s">
        <v>252</v>
      </c>
      <c r="G231" s="145" t="s">
        <v>175</v>
      </c>
      <c r="H231" s="145" t="s">
        <v>254</v>
      </c>
      <c r="I231" s="145" t="s">
        <v>54</v>
      </c>
      <c r="J231" s="145">
        <v>13</v>
      </c>
      <c r="K231" s="146" t="s">
        <v>29</v>
      </c>
      <c r="L231" s="147" t="s">
        <v>178</v>
      </c>
      <c r="M231" s="148">
        <v>5000000000</v>
      </c>
      <c r="N231" s="148">
        <v>2450040887.5999999</v>
      </c>
      <c r="O231" s="150">
        <f t="shared" si="195"/>
        <v>0.49000817751999998</v>
      </c>
      <c r="P231" s="148">
        <v>2450040887.5999999</v>
      </c>
      <c r="Q231" s="150">
        <f t="shared" si="195"/>
        <v>0.49000817751999998</v>
      </c>
      <c r="R231" s="148">
        <v>2450040887.5999999</v>
      </c>
      <c r="S231" s="150">
        <f t="shared" ref="S231" si="227">+R231/$M231</f>
        <v>0.49000817751999998</v>
      </c>
    </row>
    <row r="232" spans="1:42" ht="35.1" customHeight="1">
      <c r="A232" s="32"/>
      <c r="B232" s="118"/>
      <c r="C232" s="118"/>
      <c r="D232" s="119"/>
      <c r="E232" s="119"/>
      <c r="F232" s="119"/>
      <c r="G232" s="119"/>
      <c r="H232" s="119"/>
      <c r="I232" s="119"/>
      <c r="J232" s="119"/>
      <c r="K232" s="119"/>
      <c r="L232" s="119" t="s">
        <v>256</v>
      </c>
      <c r="M232" s="120">
        <v>13102714225291</v>
      </c>
      <c r="N232" s="120">
        <v>6747630493668.6396</v>
      </c>
      <c r="O232" s="121">
        <f t="shared" si="195"/>
        <v>0.51497959717722386</v>
      </c>
      <c r="P232" s="120">
        <v>5183718638725.3496</v>
      </c>
      <c r="Q232" s="121">
        <f t="shared" si="195"/>
        <v>0.39562174291489011</v>
      </c>
      <c r="R232" s="120">
        <v>4850296710209.3496</v>
      </c>
      <c r="S232" s="121">
        <f t="shared" ref="S232" si="228">+R232/$M232</f>
        <v>0.37017495969249292</v>
      </c>
    </row>
    <row r="233" spans="1:42" s="90" customFormat="1" ht="16.5">
      <c r="A233" s="32"/>
      <c r="B233" s="32"/>
      <c r="C233" s="82"/>
      <c r="D233" s="82"/>
      <c r="E233" s="82"/>
      <c r="F233" s="82"/>
      <c r="G233" s="82"/>
      <c r="H233" s="83"/>
      <c r="I233" s="84"/>
      <c r="J233" s="84"/>
      <c r="K233" s="85"/>
      <c r="L233" s="84"/>
      <c r="M233" s="86"/>
      <c r="N233" s="86"/>
      <c r="O233" s="87"/>
      <c r="P233" s="88"/>
      <c r="Q233" s="87"/>
      <c r="R233" s="86"/>
      <c r="S233" s="89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</row>
    <row r="234" spans="1:42" s="8" customFormat="1" ht="16.5">
      <c r="A234" s="32" t="e">
        <v>#REF!</v>
      </c>
      <c r="B234" s="32"/>
      <c r="C234" s="91"/>
      <c r="D234" s="91"/>
      <c r="E234" s="91"/>
      <c r="F234" s="91"/>
      <c r="G234" s="91"/>
      <c r="H234" s="92"/>
      <c r="I234" s="93"/>
      <c r="J234" s="93"/>
      <c r="K234" s="94"/>
      <c r="L234" s="93"/>
      <c r="M234" s="95">
        <v>13102714225291</v>
      </c>
      <c r="N234" s="95">
        <v>6747630493668.6396</v>
      </c>
      <c r="O234" s="95">
        <v>0.51497959717722386</v>
      </c>
      <c r="P234" s="95">
        <v>5183718638725.3496</v>
      </c>
      <c r="Q234" s="95">
        <v>0.23177200595241876</v>
      </c>
      <c r="R234" s="95">
        <v>4850296710209.3496</v>
      </c>
      <c r="S234" s="95">
        <v>0.71881480688078947</v>
      </c>
    </row>
    <row r="235" spans="1:42" s="8" customFormat="1" ht="16.5">
      <c r="A235" s="32"/>
      <c r="B235" s="32"/>
      <c r="C235" s="94"/>
      <c r="D235" s="93"/>
      <c r="E235" s="93"/>
      <c r="F235" s="93"/>
      <c r="G235" s="93"/>
      <c r="H235" s="93"/>
      <c r="I235" s="93"/>
      <c r="J235" s="93"/>
      <c r="K235" s="94"/>
      <c r="L235" s="97"/>
      <c r="M235" s="98">
        <v>0</v>
      </c>
      <c r="N235" s="98">
        <v>0</v>
      </c>
      <c r="O235" s="98"/>
      <c r="P235" s="98">
        <v>0</v>
      </c>
      <c r="Q235" s="98"/>
      <c r="R235" s="98">
        <v>0</v>
      </c>
      <c r="S235" s="98"/>
    </row>
    <row r="236" spans="1:42" s="374" customFormat="1" ht="16.5">
      <c r="A236" s="369"/>
      <c r="B236" s="375"/>
      <c r="C236" s="370"/>
      <c r="D236" s="371"/>
      <c r="E236" s="371"/>
      <c r="F236" s="371"/>
      <c r="G236" s="371"/>
      <c r="H236" s="371"/>
      <c r="I236" s="371"/>
      <c r="J236" s="371"/>
      <c r="K236" s="370"/>
      <c r="L236" s="86"/>
      <c r="M236" s="359"/>
      <c r="N236" s="359"/>
      <c r="O236" s="372"/>
      <c r="P236" s="359"/>
      <c r="Q236" s="372"/>
      <c r="R236" s="359"/>
      <c r="S236" s="37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</row>
    <row r="237" spans="1:42" ht="18">
      <c r="A237" s="30"/>
      <c r="B237" s="31"/>
      <c r="C237" s="312"/>
      <c r="D237" s="317"/>
      <c r="E237" s="312"/>
      <c r="F237" s="312"/>
      <c r="G237" s="312"/>
      <c r="H237" s="312"/>
      <c r="I237" s="312"/>
      <c r="J237" s="312"/>
      <c r="K237" s="317"/>
      <c r="L237" s="312"/>
      <c r="M237" s="359"/>
      <c r="N237" s="332"/>
      <c r="O237" s="333"/>
      <c r="P237" s="332"/>
      <c r="Q237" s="333"/>
      <c r="R237" s="332"/>
      <c r="S237" s="333"/>
    </row>
    <row r="238" spans="1:42" ht="18">
      <c r="A238" s="30"/>
      <c r="B238" s="31"/>
      <c r="C238" s="312"/>
      <c r="D238" s="317"/>
      <c r="E238" s="312"/>
      <c r="F238" s="312"/>
      <c r="G238" s="312"/>
      <c r="H238" s="312"/>
      <c r="I238" s="312"/>
      <c r="J238" s="312"/>
      <c r="K238" s="317"/>
      <c r="L238" s="312"/>
      <c r="M238" s="332"/>
      <c r="N238" s="332"/>
      <c r="O238" s="333"/>
      <c r="P238" s="332"/>
      <c r="Q238" s="333"/>
      <c r="R238" s="332"/>
      <c r="S238" s="333"/>
    </row>
    <row r="239" spans="1:42" ht="18">
      <c r="A239" s="1"/>
      <c r="B239" s="2"/>
      <c r="C239" s="312"/>
      <c r="D239" s="312"/>
      <c r="E239" s="312"/>
      <c r="F239" s="312"/>
      <c r="G239" s="312"/>
      <c r="H239" s="312"/>
      <c r="I239" s="312"/>
      <c r="J239" s="312"/>
      <c r="K239" s="317"/>
      <c r="L239" s="312"/>
      <c r="M239" s="332"/>
      <c r="N239" s="332"/>
      <c r="O239" s="333"/>
      <c r="P239" s="332"/>
      <c r="Q239" s="333"/>
      <c r="R239" s="332"/>
      <c r="S239" s="333"/>
      <c r="T239" s="315"/>
    </row>
    <row r="240" spans="1:42" ht="30">
      <c r="A240" s="1"/>
      <c r="B240" s="2"/>
      <c r="C240" s="318"/>
      <c r="D240" s="318"/>
      <c r="E240" s="318"/>
      <c r="F240" s="318"/>
      <c r="G240" s="318"/>
      <c r="H240" s="318"/>
      <c r="I240" s="312"/>
      <c r="J240" s="312"/>
      <c r="K240" s="317"/>
      <c r="L240" s="336" t="s">
        <v>738</v>
      </c>
      <c r="M240" s="319"/>
      <c r="N240" s="319"/>
      <c r="O240" s="319"/>
      <c r="P240" s="319"/>
      <c r="Q240" s="320"/>
      <c r="R240" s="376"/>
      <c r="S240" s="319"/>
    </row>
    <row r="241" spans="1:19" ht="30">
      <c r="A241" s="1"/>
      <c r="B241" s="2"/>
      <c r="C241" s="321"/>
      <c r="D241" s="322"/>
      <c r="E241" s="322"/>
      <c r="F241" s="322"/>
      <c r="G241" s="322"/>
      <c r="H241" s="322"/>
      <c r="I241" s="322"/>
      <c r="J241" s="322"/>
      <c r="K241" s="321"/>
      <c r="L241" s="337" t="s">
        <v>739</v>
      </c>
      <c r="M241" s="360"/>
      <c r="N241" s="323"/>
      <c r="O241" s="323"/>
      <c r="P241" s="323"/>
      <c r="Q241" s="324"/>
      <c r="R241" s="323"/>
      <c r="S241" s="323"/>
    </row>
    <row r="242" spans="1:19" ht="30">
      <c r="A242" s="325"/>
      <c r="B242" s="313"/>
      <c r="C242" s="308"/>
      <c r="D242" s="308"/>
      <c r="E242" s="308"/>
      <c r="F242" s="308"/>
      <c r="G242" s="308"/>
      <c r="H242" s="308"/>
      <c r="I242" s="308"/>
      <c r="J242" s="308"/>
      <c r="K242" s="336"/>
      <c r="L242" s="308"/>
      <c r="M242" s="334"/>
      <c r="N242" s="334"/>
      <c r="O242" s="329"/>
      <c r="P242" s="329"/>
      <c r="Q242" s="329"/>
    </row>
  </sheetData>
  <sheetProtection selectLockedCells="1" selectUnlockedCells="1"/>
  <autoFilter ref="A6:S235" xr:uid="{00000000-0009-0000-0000-000002000000}"/>
  <mergeCells count="9">
    <mergeCell ref="M5:M6"/>
    <mergeCell ref="N5:O5"/>
    <mergeCell ref="P5:Q5"/>
    <mergeCell ref="R5:S5"/>
    <mergeCell ref="B5:B6"/>
    <mergeCell ref="C5:I5"/>
    <mergeCell ref="J5:J6"/>
    <mergeCell ref="K5:K6"/>
    <mergeCell ref="L5:L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39EC8-0431-49B2-9DDD-4DA8B935F0AF}">
  <sheetPr>
    <tabColor rgb="FF00B0F0"/>
    <pageSetUpPr fitToPage="1"/>
  </sheetPr>
  <dimension ref="A1:BB253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64.285156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3.7109375" style="13" bestFit="1" customWidth="1"/>
    <col min="24" max="24" width="19.8554687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933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934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2743618614.3600001</v>
      </c>
      <c r="Q8" s="120">
        <v>2743618614.3600001</v>
      </c>
      <c r="R8" s="120">
        <v>10390000000</v>
      </c>
      <c r="S8" s="120">
        <v>180813900000</v>
      </c>
      <c r="T8" s="120">
        <v>94084221753.099991</v>
      </c>
      <c r="U8" s="120">
        <v>86729678246.899994</v>
      </c>
      <c r="V8" s="121">
        <v>0.52033732889506834</v>
      </c>
      <c r="W8" s="120">
        <v>80419060518.419998</v>
      </c>
      <c r="X8" s="120">
        <v>13665161234.679998</v>
      </c>
      <c r="Y8" s="121">
        <v>0.14524392060701447</v>
      </c>
      <c r="Z8" s="120">
        <v>80269381699.419998</v>
      </c>
      <c r="AA8" s="120">
        <v>149678819</v>
      </c>
      <c r="AB8" s="718">
        <v>0.85316517694185201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125">
        <v>400000000</v>
      </c>
      <c r="Q9" s="125">
        <v>400000000</v>
      </c>
      <c r="R9" s="719">
        <v>0</v>
      </c>
      <c r="S9" s="125">
        <v>118340000000</v>
      </c>
      <c r="T9" s="125">
        <v>61589466995</v>
      </c>
      <c r="U9" s="125">
        <v>56750533005</v>
      </c>
      <c r="V9" s="126">
        <v>0.52044504812404935</v>
      </c>
      <c r="W9" s="125">
        <v>60033939677</v>
      </c>
      <c r="X9" s="125">
        <v>1555527318</v>
      </c>
      <c r="Y9" s="126">
        <v>2.5256385448607338E-2</v>
      </c>
      <c r="Z9" s="125">
        <v>60033939677</v>
      </c>
      <c r="AA9" s="125">
        <v>0</v>
      </c>
      <c r="AB9" s="720">
        <v>0.97474361455139269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130">
        <v>400000000</v>
      </c>
      <c r="Q10" s="130">
        <v>400000000</v>
      </c>
      <c r="R10" s="721">
        <v>0</v>
      </c>
      <c r="S10" s="130">
        <v>118340000000</v>
      </c>
      <c r="T10" s="130">
        <v>61589466995</v>
      </c>
      <c r="U10" s="130">
        <v>56750533005</v>
      </c>
      <c r="V10" s="131">
        <v>0.52044504812404935</v>
      </c>
      <c r="W10" s="130">
        <v>60033939677</v>
      </c>
      <c r="X10" s="130">
        <v>1555527318</v>
      </c>
      <c r="Y10" s="131">
        <v>2.5256385448607338E-2</v>
      </c>
      <c r="Z10" s="130">
        <v>60033939677</v>
      </c>
      <c r="AA10" s="130">
        <v>0</v>
      </c>
      <c r="AB10" s="722">
        <v>0.97474361455139269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5">
        <v>400000000</v>
      </c>
      <c r="Q11" s="135">
        <v>400000000</v>
      </c>
      <c r="R11" s="136">
        <v>0</v>
      </c>
      <c r="S11" s="135">
        <v>81484000000</v>
      </c>
      <c r="T11" s="135">
        <v>39623197338</v>
      </c>
      <c r="U11" s="135">
        <v>41860802662</v>
      </c>
      <c r="V11" s="137">
        <v>0.48626966444946246</v>
      </c>
      <c r="W11" s="135">
        <v>39586296314</v>
      </c>
      <c r="X11" s="135">
        <v>36901024</v>
      </c>
      <c r="Y11" s="137">
        <v>9.3129849378941105E-4</v>
      </c>
      <c r="Z11" s="135">
        <v>39586296314</v>
      </c>
      <c r="AA11" s="135">
        <v>0</v>
      </c>
      <c r="AB11" s="723">
        <v>0.99906870150621063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1">
        <v>400000000</v>
      </c>
      <c r="Q12" s="141">
        <v>400000000</v>
      </c>
      <c r="R12" s="142">
        <v>0</v>
      </c>
      <c r="S12" s="141">
        <v>81484000000</v>
      </c>
      <c r="T12" s="141">
        <v>39623197338</v>
      </c>
      <c r="U12" s="141">
        <v>41860802662</v>
      </c>
      <c r="V12" s="143">
        <v>0.48626966444946246</v>
      </c>
      <c r="W12" s="141">
        <v>39586296314</v>
      </c>
      <c r="X12" s="141">
        <v>36901024</v>
      </c>
      <c r="Y12" s="143">
        <v>9.3129849378941105E-4</v>
      </c>
      <c r="Z12" s="141">
        <v>39586296314</v>
      </c>
      <c r="AA12" s="141">
        <v>0</v>
      </c>
      <c r="AB12" s="724">
        <v>0.99906870150621063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33462273682</v>
      </c>
      <c r="U13" s="148">
        <v>33612726318</v>
      </c>
      <c r="V13" s="150">
        <v>0.49887847457323892</v>
      </c>
      <c r="W13" s="148">
        <v>33443147583</v>
      </c>
      <c r="X13" s="148">
        <v>19126099</v>
      </c>
      <c r="Y13" s="150">
        <v>5.7157200917546422E-4</v>
      </c>
      <c r="Z13" s="148">
        <v>33443147583</v>
      </c>
      <c r="AA13" s="148">
        <v>0</v>
      </c>
      <c r="AB13" s="150">
        <v>0.99942842799082454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147226425</v>
      </c>
      <c r="U14" s="148">
        <v>150773575</v>
      </c>
      <c r="V14" s="150">
        <v>0.49404840604026845</v>
      </c>
      <c r="W14" s="148">
        <v>146690700</v>
      </c>
      <c r="X14" s="148">
        <v>535725</v>
      </c>
      <c r="Y14" s="150">
        <v>3.6387829154990348E-3</v>
      </c>
      <c r="Z14" s="148">
        <v>146690700</v>
      </c>
      <c r="AA14" s="148">
        <v>0</v>
      </c>
      <c r="AB14" s="150">
        <v>0.99636121708450098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224467922</v>
      </c>
      <c r="U15" s="148">
        <v>315532078</v>
      </c>
      <c r="V15" s="150">
        <v>0.41568133703703702</v>
      </c>
      <c r="W15" s="148">
        <v>222441113</v>
      </c>
      <c r="X15" s="148">
        <v>2026809</v>
      </c>
      <c r="Y15" s="150">
        <v>9.0293926274240648E-3</v>
      </c>
      <c r="Z15" s="148">
        <v>222441113</v>
      </c>
      <c r="AA15" s="148">
        <v>0</v>
      </c>
      <c r="AB15" s="150">
        <v>0.99097060737257592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51398106</v>
      </c>
      <c r="U16" s="148">
        <v>44601894</v>
      </c>
      <c r="V16" s="150">
        <v>0.53539693749999995</v>
      </c>
      <c r="W16" s="148">
        <v>51398106</v>
      </c>
      <c r="X16" s="148">
        <v>0</v>
      </c>
      <c r="Y16" s="150">
        <v>0</v>
      </c>
      <c r="Z16" s="148">
        <v>51398106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77208544</v>
      </c>
      <c r="U17" s="148">
        <v>22791456</v>
      </c>
      <c r="V17" s="150">
        <v>0.77208544000000001</v>
      </c>
      <c r="W17" s="148">
        <v>69502531</v>
      </c>
      <c r="X17" s="148">
        <v>7706013</v>
      </c>
      <c r="Y17" s="150">
        <v>9.9807775160220616E-2</v>
      </c>
      <c r="Z17" s="148">
        <v>69502531</v>
      </c>
      <c r="AA17" s="148">
        <v>0</v>
      </c>
      <c r="AB17" s="150">
        <v>0.90019222483977934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>
        <v>400000000</v>
      </c>
      <c r="Q18" s="148"/>
      <c r="R18" s="148"/>
      <c r="S18" s="148">
        <v>3050000000</v>
      </c>
      <c r="T18" s="148">
        <v>2725829140</v>
      </c>
      <c r="U18" s="148">
        <v>324170860</v>
      </c>
      <c r="V18" s="150">
        <v>0.89371447213114752</v>
      </c>
      <c r="W18" s="148">
        <v>2722404255</v>
      </c>
      <c r="X18" s="148">
        <v>3424885</v>
      </c>
      <c r="Y18" s="150">
        <v>1.2564562282139226E-3</v>
      </c>
      <c r="Z18" s="148">
        <v>2722404255</v>
      </c>
      <c r="AA18" s="148">
        <v>0</v>
      </c>
      <c r="AB18" s="150">
        <v>0.99874354377178609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1214024815</v>
      </c>
      <c r="U19" s="148">
        <v>635975185</v>
      </c>
      <c r="V19" s="150">
        <v>0.65622962972972976</v>
      </c>
      <c r="W19" s="148">
        <v>1214024815</v>
      </c>
      <c r="X19" s="148">
        <v>0</v>
      </c>
      <c r="Y19" s="150">
        <v>0</v>
      </c>
      <c r="Z19" s="148">
        <v>1214024815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71574898</v>
      </c>
      <c r="U20" s="148">
        <v>68425102</v>
      </c>
      <c r="V20" s="150">
        <v>0.51124927142857146</v>
      </c>
      <c r="W20" s="148">
        <v>71574898</v>
      </c>
      <c r="X20" s="148">
        <v>0</v>
      </c>
      <c r="Y20" s="150">
        <v>0</v>
      </c>
      <c r="Z20" s="148">
        <v>71574898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>
        <v>400000000</v>
      </c>
      <c r="R21" s="148"/>
      <c r="S21" s="148">
        <v>5500000000</v>
      </c>
      <c r="T21" s="148">
        <v>81636105</v>
      </c>
      <c r="U21" s="148">
        <v>5418363895</v>
      </c>
      <c r="V21" s="150">
        <v>1.4842928181818182E-2</v>
      </c>
      <c r="W21" s="148">
        <v>81636105</v>
      </c>
      <c r="X21" s="148">
        <v>0</v>
      </c>
      <c r="Y21" s="150">
        <v>0</v>
      </c>
      <c r="Z21" s="148">
        <v>81636105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1556473229</v>
      </c>
      <c r="U22" s="148">
        <v>1243526771</v>
      </c>
      <c r="V22" s="150">
        <v>0.55588329607142861</v>
      </c>
      <c r="W22" s="148">
        <v>1556473229</v>
      </c>
      <c r="X22" s="148">
        <v>0</v>
      </c>
      <c r="Y22" s="150">
        <v>0</v>
      </c>
      <c r="Z22" s="148">
        <v>1556473229</v>
      </c>
      <c r="AA22" s="148">
        <v>0</v>
      </c>
      <c r="AB22" s="150">
        <v>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11084472</v>
      </c>
      <c r="U23" s="148">
        <v>23915528</v>
      </c>
      <c r="V23" s="150">
        <v>0.31669920000000001</v>
      </c>
      <c r="W23" s="148">
        <v>7002979</v>
      </c>
      <c r="X23" s="148">
        <v>4081493</v>
      </c>
      <c r="Y23" s="150">
        <v>0.36821717804871534</v>
      </c>
      <c r="Z23" s="148">
        <v>7002979</v>
      </c>
      <c r="AA23" s="148">
        <v>0</v>
      </c>
      <c r="AB23" s="150">
        <v>0.63178282195128466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29242000000</v>
      </c>
      <c r="T24" s="135">
        <v>16891180600</v>
      </c>
      <c r="U24" s="135">
        <v>12350819400</v>
      </c>
      <c r="V24" s="137">
        <v>0.57763424526366181</v>
      </c>
      <c r="W24" s="135">
        <v>15380659325</v>
      </c>
      <c r="X24" s="135">
        <v>1510521275</v>
      </c>
      <c r="Y24" s="137">
        <v>8.9426625099254461E-2</v>
      </c>
      <c r="Z24" s="135">
        <v>15380659325</v>
      </c>
      <c r="AA24" s="136">
        <v>0</v>
      </c>
      <c r="AB24" s="723">
        <v>0.91057337490074552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4537558500</v>
      </c>
      <c r="U25" s="148">
        <v>4359841500</v>
      </c>
      <c r="V25" s="150">
        <v>0.50998701867961427</v>
      </c>
      <c r="W25" s="148">
        <v>4537558500</v>
      </c>
      <c r="X25" s="148">
        <v>0</v>
      </c>
      <c r="Y25" s="150">
        <v>0</v>
      </c>
      <c r="Z25" s="148">
        <v>4537558500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3229575400</v>
      </c>
      <c r="U26" s="148">
        <v>3072824600</v>
      </c>
      <c r="V26" s="150">
        <v>0.51243580223406959</v>
      </c>
      <c r="W26" s="148">
        <v>3229575400</v>
      </c>
      <c r="X26" s="148">
        <v>0</v>
      </c>
      <c r="Y26" s="150">
        <v>0</v>
      </c>
      <c r="Z26" s="148">
        <v>3229575400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3489478725</v>
      </c>
      <c r="X27" s="148">
        <v>1510521275</v>
      </c>
      <c r="Y27" s="150">
        <v>0.30210425499999999</v>
      </c>
      <c r="Z27" s="148">
        <v>3489478725</v>
      </c>
      <c r="AA27" s="148">
        <v>0</v>
      </c>
      <c r="AB27" s="150">
        <v>0.69789574499999996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1674488800</v>
      </c>
      <c r="U28" s="148">
        <v>1513211200</v>
      </c>
      <c r="V28" s="150">
        <v>0.52529685980487495</v>
      </c>
      <c r="W28" s="148">
        <v>1674488800</v>
      </c>
      <c r="X28" s="148">
        <v>0</v>
      </c>
      <c r="Y28" s="150">
        <v>0</v>
      </c>
      <c r="Z28" s="148">
        <v>1674488800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355518500</v>
      </c>
      <c r="U29" s="148">
        <v>364481500</v>
      </c>
      <c r="V29" s="150">
        <v>0.49377569444444447</v>
      </c>
      <c r="W29" s="148">
        <v>355518500</v>
      </c>
      <c r="X29" s="148">
        <v>0</v>
      </c>
      <c r="Y29" s="150">
        <v>0</v>
      </c>
      <c r="Z29" s="148">
        <v>355518500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1255923300</v>
      </c>
      <c r="U30" s="148">
        <v>1158876700</v>
      </c>
      <c r="V30" s="150">
        <v>0.52009412787808518</v>
      </c>
      <c r="W30" s="148">
        <v>1255923300</v>
      </c>
      <c r="X30" s="148">
        <v>0</v>
      </c>
      <c r="Y30" s="150">
        <v>0</v>
      </c>
      <c r="Z30" s="148">
        <v>1255923300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209604700</v>
      </c>
      <c r="U31" s="148">
        <v>192895300</v>
      </c>
      <c r="V31" s="150">
        <v>0.5207570186335404</v>
      </c>
      <c r="W31" s="148">
        <v>209604700</v>
      </c>
      <c r="X31" s="148">
        <v>0</v>
      </c>
      <c r="Y31" s="150">
        <v>0</v>
      </c>
      <c r="Z31" s="148">
        <v>209604700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209604700</v>
      </c>
      <c r="U32" s="148">
        <v>192895300</v>
      </c>
      <c r="V32" s="150">
        <v>0.5207570186335404</v>
      </c>
      <c r="W32" s="148">
        <v>209604700</v>
      </c>
      <c r="X32" s="148">
        <v>0</v>
      </c>
      <c r="Y32" s="150">
        <v>0</v>
      </c>
      <c r="Z32" s="148">
        <v>209604700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418906700</v>
      </c>
      <c r="U33" s="148">
        <v>386093300</v>
      </c>
      <c r="V33" s="150">
        <v>0.52038099378881986</v>
      </c>
      <c r="W33" s="148">
        <v>418906700</v>
      </c>
      <c r="X33" s="148">
        <v>0</v>
      </c>
      <c r="Y33" s="150">
        <v>0</v>
      </c>
      <c r="Z33" s="148">
        <v>418906700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7614000000</v>
      </c>
      <c r="T34" s="135">
        <v>5075089057</v>
      </c>
      <c r="U34" s="135">
        <v>2538910943</v>
      </c>
      <c r="V34" s="137">
        <v>0.66654702613606509</v>
      </c>
      <c r="W34" s="135">
        <v>5066984038</v>
      </c>
      <c r="X34" s="135">
        <v>8105019</v>
      </c>
      <c r="Y34" s="137">
        <v>1.5970200540266107E-3</v>
      </c>
      <c r="Z34" s="135">
        <v>5066984038</v>
      </c>
      <c r="AA34" s="136">
        <v>0</v>
      </c>
      <c r="AB34" s="723">
        <v>0.99840297994597338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3537000000</v>
      </c>
      <c r="T35" s="141">
        <v>2562984164</v>
      </c>
      <c r="U35" s="141">
        <v>974015836</v>
      </c>
      <c r="V35" s="143">
        <v>0.72462091150692676</v>
      </c>
      <c r="W35" s="141">
        <v>2562984164</v>
      </c>
      <c r="X35" s="142">
        <v>0</v>
      </c>
      <c r="Y35" s="143">
        <v>0</v>
      </c>
      <c r="Z35" s="141">
        <v>2562984164</v>
      </c>
      <c r="AA35" s="142">
        <v>0</v>
      </c>
      <c r="AB35" s="724">
        <v>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2041925834</v>
      </c>
      <c r="U36" s="148">
        <v>695074166</v>
      </c>
      <c r="V36" s="150">
        <v>0.74604524442820608</v>
      </c>
      <c r="W36" s="148">
        <v>2041925834</v>
      </c>
      <c r="X36" s="148">
        <v>0</v>
      </c>
      <c r="Y36" s="150">
        <v>0</v>
      </c>
      <c r="Z36" s="148">
        <v>2041925834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332142538</v>
      </c>
      <c r="U37" s="148">
        <v>117857462</v>
      </c>
      <c r="V37" s="150">
        <v>0.73809452888888893</v>
      </c>
      <c r="W37" s="148">
        <v>332142538</v>
      </c>
      <c r="X37" s="148">
        <v>0</v>
      </c>
      <c r="Y37" s="150">
        <v>0</v>
      </c>
      <c r="Z37" s="148">
        <v>332142538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188915792</v>
      </c>
      <c r="U38" s="148">
        <v>161084208</v>
      </c>
      <c r="V38" s="150">
        <v>0.53975940571428571</v>
      </c>
      <c r="W38" s="148">
        <v>188915792</v>
      </c>
      <c r="X38" s="148">
        <v>0</v>
      </c>
      <c r="Y38" s="150">
        <v>0</v>
      </c>
      <c r="Z38" s="148">
        <v>188915792</v>
      </c>
      <c r="AA38" s="148">
        <v>0</v>
      </c>
      <c r="AB38" s="150">
        <v>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1712779664</v>
      </c>
      <c r="U39" s="148">
        <v>887220336</v>
      </c>
      <c r="V39" s="150">
        <v>0.6587614092307692</v>
      </c>
      <c r="W39" s="148">
        <v>1704674645</v>
      </c>
      <c r="X39" s="148">
        <v>8105019</v>
      </c>
      <c r="Y39" s="150">
        <v>4.7320850255027315E-3</v>
      </c>
      <c r="Z39" s="148">
        <v>1704674645</v>
      </c>
      <c r="AA39" s="148">
        <v>0</v>
      </c>
      <c r="AB39" s="150">
        <v>0.99526791497449729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2684520</v>
      </c>
      <c r="U40" s="148">
        <v>9315480</v>
      </c>
      <c r="V40" s="150">
        <v>0.22370999999999999</v>
      </c>
      <c r="W40" s="148">
        <v>2684520</v>
      </c>
      <c r="X40" s="148">
        <v>0</v>
      </c>
      <c r="Y40" s="150">
        <v>0</v>
      </c>
      <c r="Z40" s="148">
        <v>2684520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530348688</v>
      </c>
      <c r="U43" s="148">
        <v>309651312</v>
      </c>
      <c r="V43" s="150">
        <v>0.63136748571428569</v>
      </c>
      <c r="W43" s="148">
        <v>530348688</v>
      </c>
      <c r="X43" s="148">
        <v>0</v>
      </c>
      <c r="Y43" s="150">
        <v>0</v>
      </c>
      <c r="Z43" s="148">
        <v>530348688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266292021</v>
      </c>
      <c r="U44" s="148">
        <v>323707979</v>
      </c>
      <c r="V44" s="150">
        <v>0.4513424084745763</v>
      </c>
      <c r="W44" s="148">
        <v>266292021</v>
      </c>
      <c r="X44" s="148">
        <v>0</v>
      </c>
      <c r="Y44" s="150">
        <v>0</v>
      </c>
      <c r="Z44" s="148">
        <v>266292021</v>
      </c>
      <c r="AA44" s="148">
        <v>0</v>
      </c>
      <c r="AB44" s="150">
        <v>1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35">
        <v>0</v>
      </c>
      <c r="O45" s="735">
        <v>0</v>
      </c>
      <c r="P45" s="125">
        <v>2343618614.3600001</v>
      </c>
      <c r="Q45" s="125">
        <v>2343618614.3600001</v>
      </c>
      <c r="R45" s="735">
        <v>0</v>
      </c>
      <c r="S45" s="125">
        <v>42290000000</v>
      </c>
      <c r="T45" s="125">
        <v>31010389007.370003</v>
      </c>
      <c r="U45" s="125">
        <v>11279610992.629999</v>
      </c>
      <c r="V45" s="126">
        <v>0.73327947522747705</v>
      </c>
      <c r="W45" s="125">
        <v>19160437555.690002</v>
      </c>
      <c r="X45" s="125">
        <v>11849951451.679998</v>
      </c>
      <c r="Y45" s="126">
        <v>0.38212843601748148</v>
      </c>
      <c r="Z45" s="125">
        <v>19011031136.690002</v>
      </c>
      <c r="AA45" s="125">
        <v>149406419</v>
      </c>
      <c r="AB45" s="720">
        <v>0.61305361671444347</v>
      </c>
    </row>
    <row r="46" spans="1:28" ht="24" customHeight="1">
      <c r="A46" s="32" t="e">
        <v>#REF!</v>
      </c>
      <c r="B46" s="127" t="s">
        <v>373</v>
      </c>
      <c r="C46" s="128" t="s">
        <v>23</v>
      </c>
      <c r="D46" s="128" t="s">
        <v>54</v>
      </c>
      <c r="E46" s="736" t="s">
        <v>25</v>
      </c>
      <c r="F46" s="128"/>
      <c r="G46" s="128"/>
      <c r="H46" s="128"/>
      <c r="I46" s="128"/>
      <c r="J46" s="129"/>
      <c r="K46" s="129"/>
      <c r="L46" s="129" t="s">
        <v>81</v>
      </c>
      <c r="M46" s="721">
        <v>0</v>
      </c>
      <c r="N46" s="721">
        <v>0</v>
      </c>
      <c r="O46" s="721">
        <v>0</v>
      </c>
      <c r="P46" s="726">
        <v>70000000</v>
      </c>
      <c r="Q46" s="721">
        <v>0</v>
      </c>
      <c r="R46" s="721">
        <v>0</v>
      </c>
      <c r="S46" s="726">
        <v>70000000</v>
      </c>
      <c r="T46" s="721">
        <v>0</v>
      </c>
      <c r="U46" s="726">
        <v>70000000</v>
      </c>
      <c r="V46" s="131">
        <v>0</v>
      </c>
      <c r="W46" s="721">
        <v>0</v>
      </c>
      <c r="X46" s="721">
        <v>0</v>
      </c>
      <c r="Y46" s="131">
        <v>0</v>
      </c>
      <c r="Z46" s="721">
        <v>0</v>
      </c>
      <c r="AA46" s="721">
        <v>0</v>
      </c>
      <c r="AB46" s="722">
        <v>0</v>
      </c>
    </row>
    <row r="47" spans="1:28" ht="24.95" customHeight="1">
      <c r="A47" s="32" t="e">
        <v>#REF!</v>
      </c>
      <c r="B47" s="132" t="s">
        <v>374</v>
      </c>
      <c r="C47" s="133" t="s">
        <v>23</v>
      </c>
      <c r="D47" s="133" t="s">
        <v>54</v>
      </c>
      <c r="E47" s="737" t="s">
        <v>25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82</v>
      </c>
      <c r="M47" s="136">
        <v>0</v>
      </c>
      <c r="N47" s="136">
        <v>0</v>
      </c>
      <c r="O47" s="136">
        <v>0</v>
      </c>
      <c r="P47" s="727">
        <v>70000000</v>
      </c>
      <c r="Q47" s="136">
        <v>0</v>
      </c>
      <c r="R47" s="136">
        <v>0</v>
      </c>
      <c r="S47" s="727">
        <v>70000000</v>
      </c>
      <c r="T47" s="136">
        <v>0</v>
      </c>
      <c r="U47" s="727">
        <v>70000000</v>
      </c>
      <c r="V47" s="137">
        <v>0</v>
      </c>
      <c r="W47" s="136">
        <v>0</v>
      </c>
      <c r="X47" s="136">
        <v>0</v>
      </c>
      <c r="Y47" s="137">
        <v>0</v>
      </c>
      <c r="Z47" s="136">
        <v>0</v>
      </c>
      <c r="AA47" s="136">
        <v>0</v>
      </c>
      <c r="AB47" s="723">
        <v>0</v>
      </c>
    </row>
    <row r="48" spans="1:28" ht="24.95" customHeight="1">
      <c r="A48" s="32" t="e">
        <v>#REF!</v>
      </c>
      <c r="B48" s="138" t="s">
        <v>375</v>
      </c>
      <c r="C48" s="139" t="s">
        <v>23</v>
      </c>
      <c r="D48" s="139" t="s">
        <v>54</v>
      </c>
      <c r="E48" s="738" t="s">
        <v>25</v>
      </c>
      <c r="F48" s="139" t="s">
        <v>25</v>
      </c>
      <c r="G48" s="738" t="s">
        <v>38</v>
      </c>
      <c r="H48" s="140"/>
      <c r="I48" s="140"/>
      <c r="J48" s="139" t="s">
        <v>28</v>
      </c>
      <c r="K48" s="140" t="s">
        <v>29</v>
      </c>
      <c r="L48" s="140" t="s">
        <v>83</v>
      </c>
      <c r="M48" s="142">
        <v>0</v>
      </c>
      <c r="N48" s="142">
        <v>0</v>
      </c>
      <c r="O48" s="142">
        <v>0</v>
      </c>
      <c r="P48" s="728">
        <v>70000000</v>
      </c>
      <c r="Q48" s="142">
        <v>0</v>
      </c>
      <c r="R48" s="142">
        <v>0</v>
      </c>
      <c r="S48" s="728">
        <v>70000000</v>
      </c>
      <c r="T48" s="142">
        <v>0</v>
      </c>
      <c r="U48" s="728">
        <v>70000000</v>
      </c>
      <c r="V48" s="143">
        <v>0</v>
      </c>
      <c r="W48" s="142">
        <v>0</v>
      </c>
      <c r="X48" s="142">
        <v>0</v>
      </c>
      <c r="Y48" s="143">
        <v>0</v>
      </c>
      <c r="Z48" s="142">
        <v>0</v>
      </c>
      <c r="AA48" s="142">
        <v>0</v>
      </c>
      <c r="AB48" s="724">
        <v>0</v>
      </c>
    </row>
    <row r="49" spans="1:28" ht="24.95" customHeight="1">
      <c r="A49" s="32" t="e">
        <v>#REF!</v>
      </c>
      <c r="B49" s="144" t="s">
        <v>724</v>
      </c>
      <c r="C49" s="145" t="s">
        <v>23</v>
      </c>
      <c r="D49" s="145" t="s">
        <v>54</v>
      </c>
      <c r="E49" s="145" t="s">
        <v>25</v>
      </c>
      <c r="F49" s="145" t="s">
        <v>25</v>
      </c>
      <c r="G49" s="151" t="s">
        <v>38</v>
      </c>
      <c r="H49" s="151" t="s">
        <v>42</v>
      </c>
      <c r="I49" s="145"/>
      <c r="J49" s="145">
        <v>10</v>
      </c>
      <c r="K49" s="146" t="s">
        <v>29</v>
      </c>
      <c r="L49" s="147" t="s">
        <v>84</v>
      </c>
      <c r="M49" s="148">
        <v>0</v>
      </c>
      <c r="N49" s="148"/>
      <c r="O49" s="148"/>
      <c r="P49" s="148">
        <v>70000000</v>
      </c>
      <c r="Q49" s="148"/>
      <c r="R49" s="148"/>
      <c r="S49" s="148">
        <v>70000000</v>
      </c>
      <c r="T49" s="148">
        <v>0</v>
      </c>
      <c r="U49" s="148">
        <v>70000000</v>
      </c>
      <c r="V49" s="150">
        <v>0</v>
      </c>
      <c r="W49" s="148">
        <v>0</v>
      </c>
      <c r="X49" s="148">
        <v>0</v>
      </c>
      <c r="Y49" s="150">
        <v>0</v>
      </c>
      <c r="Z49" s="148">
        <v>0</v>
      </c>
      <c r="AA49" s="148">
        <v>0</v>
      </c>
      <c r="AB49" s="150">
        <v>0</v>
      </c>
    </row>
    <row r="50" spans="1:28" ht="24" customHeight="1">
      <c r="A50" s="32" t="e">
        <v>#REF!</v>
      </c>
      <c r="B50" s="127" t="s">
        <v>377</v>
      </c>
      <c r="C50" s="128" t="s">
        <v>23</v>
      </c>
      <c r="D50" s="128" t="s">
        <v>54</v>
      </c>
      <c r="E50" s="128" t="s">
        <v>54</v>
      </c>
      <c r="F50" s="128"/>
      <c r="G50" s="128"/>
      <c r="H50" s="128"/>
      <c r="I50" s="128"/>
      <c r="J50" s="129"/>
      <c r="K50" s="129"/>
      <c r="L50" s="129" t="s">
        <v>86</v>
      </c>
      <c r="M50" s="130">
        <v>42290000000</v>
      </c>
      <c r="N50" s="721">
        <v>0</v>
      </c>
      <c r="O50" s="721">
        <v>0</v>
      </c>
      <c r="P50" s="726">
        <v>2273618614.3600001</v>
      </c>
      <c r="Q50" s="726">
        <v>2343618614.3600001</v>
      </c>
      <c r="R50" s="721">
        <v>0</v>
      </c>
      <c r="S50" s="130">
        <v>42220000000</v>
      </c>
      <c r="T50" s="130">
        <v>31010389007.370003</v>
      </c>
      <c r="U50" s="130">
        <v>11209610992.629999</v>
      </c>
      <c r="V50" s="131">
        <v>0.73449523939767891</v>
      </c>
      <c r="W50" s="130">
        <v>19160437555.690002</v>
      </c>
      <c r="X50" s="130">
        <v>11849951451.679998</v>
      </c>
      <c r="Y50" s="131">
        <v>0.38212843601748148</v>
      </c>
      <c r="Z50" s="130">
        <v>19011031136.690002</v>
      </c>
      <c r="AA50" s="130">
        <v>149406419</v>
      </c>
      <c r="AB50" s="722">
        <v>0.61305361671444347</v>
      </c>
    </row>
    <row r="51" spans="1:28" ht="24.95" customHeight="1">
      <c r="A51" s="32" t="e">
        <v>#REF!</v>
      </c>
      <c r="B51" s="132" t="s">
        <v>379</v>
      </c>
      <c r="C51" s="133" t="s">
        <v>23</v>
      </c>
      <c r="D51" s="133" t="s">
        <v>54</v>
      </c>
      <c r="E51" s="133" t="s">
        <v>54</v>
      </c>
      <c r="F51" s="133" t="s">
        <v>25</v>
      </c>
      <c r="G51" s="133"/>
      <c r="H51" s="134"/>
      <c r="I51" s="134"/>
      <c r="J51" s="133" t="s">
        <v>28</v>
      </c>
      <c r="K51" s="134" t="s">
        <v>29</v>
      </c>
      <c r="L51" s="134" t="s">
        <v>87</v>
      </c>
      <c r="M51" s="135">
        <v>979241390</v>
      </c>
      <c r="N51" s="136">
        <v>0</v>
      </c>
      <c r="O51" s="136">
        <v>0</v>
      </c>
      <c r="P51" s="135">
        <v>212399020</v>
      </c>
      <c r="Q51" s="135">
        <v>278371952.61000001</v>
      </c>
      <c r="R51" s="136">
        <v>0</v>
      </c>
      <c r="S51" s="135">
        <v>913268457.38999999</v>
      </c>
      <c r="T51" s="135">
        <v>320551086</v>
      </c>
      <c r="U51" s="135">
        <v>592717371.38999999</v>
      </c>
      <c r="V51" s="137">
        <v>0.35099327410922793</v>
      </c>
      <c r="W51" s="135">
        <v>65942014.120000005</v>
      </c>
      <c r="X51" s="135">
        <v>254609071.88</v>
      </c>
      <c r="Y51" s="137">
        <v>0.79428547585703702</v>
      </c>
      <c r="Z51" s="135">
        <v>56580003.120000005</v>
      </c>
      <c r="AA51" s="135">
        <v>9362011</v>
      </c>
      <c r="AB51" s="723">
        <v>0.17650853667674052</v>
      </c>
    </row>
    <row r="52" spans="1:28" ht="24.95" customHeight="1">
      <c r="A52" s="32" t="e">
        <v>#REF!</v>
      </c>
      <c r="B52" s="138" t="s">
        <v>381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31</v>
      </c>
      <c r="H52" s="140"/>
      <c r="I52" s="140"/>
      <c r="J52" s="139" t="s">
        <v>28</v>
      </c>
      <c r="K52" s="140" t="s">
        <v>29</v>
      </c>
      <c r="L52" s="140" t="s">
        <v>88</v>
      </c>
      <c r="M52" s="141">
        <v>23000000</v>
      </c>
      <c r="N52" s="142">
        <v>0</v>
      </c>
      <c r="O52" s="142">
        <v>0</v>
      </c>
      <c r="P52" s="141">
        <v>3000000</v>
      </c>
      <c r="Q52" s="142">
        <v>0</v>
      </c>
      <c r="R52" s="142">
        <v>0</v>
      </c>
      <c r="S52" s="141">
        <v>26000000</v>
      </c>
      <c r="T52" s="141">
        <v>26000000</v>
      </c>
      <c r="U52" s="141">
        <v>0</v>
      </c>
      <c r="V52" s="143">
        <v>1</v>
      </c>
      <c r="W52" s="141">
        <v>639800</v>
      </c>
      <c r="X52" s="141">
        <v>25360200</v>
      </c>
      <c r="Y52" s="143">
        <v>0.97539230769230767</v>
      </c>
      <c r="Z52" s="141">
        <v>0</v>
      </c>
      <c r="AA52" s="141">
        <v>639800</v>
      </c>
      <c r="AB52" s="724">
        <v>0</v>
      </c>
    </row>
    <row r="53" spans="1:28" ht="24.95" customHeight="1">
      <c r="A53" s="32" t="e">
        <v>#REF!</v>
      </c>
      <c r="B53" s="144" t="s">
        <v>555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31</v>
      </c>
      <c r="H53" s="145" t="s">
        <v>40</v>
      </c>
      <c r="I53" s="145"/>
      <c r="J53" s="145">
        <v>10</v>
      </c>
      <c r="K53" s="146" t="s">
        <v>29</v>
      </c>
      <c r="L53" s="147" t="s">
        <v>89</v>
      </c>
      <c r="M53" s="148">
        <v>13000000</v>
      </c>
      <c r="N53" s="148"/>
      <c r="O53" s="148"/>
      <c r="P53" s="148"/>
      <c r="Q53" s="148"/>
      <c r="R53" s="148"/>
      <c r="S53" s="148">
        <v>13000000</v>
      </c>
      <c r="T53" s="148">
        <v>13000000</v>
      </c>
      <c r="U53" s="148">
        <v>0</v>
      </c>
      <c r="V53" s="150">
        <v>1</v>
      </c>
      <c r="W53" s="148">
        <v>639800</v>
      </c>
      <c r="X53" s="148">
        <v>12360200</v>
      </c>
      <c r="Y53" s="150">
        <v>0.95078461538461534</v>
      </c>
      <c r="Z53" s="148">
        <v>0</v>
      </c>
      <c r="AA53" s="148">
        <v>639800</v>
      </c>
      <c r="AB53" s="150">
        <v>0</v>
      </c>
    </row>
    <row r="54" spans="1:28" ht="24.95" customHeight="1">
      <c r="A54" s="32" t="e">
        <v>#REF!</v>
      </c>
      <c r="B54" s="144" t="s">
        <v>557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31</v>
      </c>
      <c r="H54" s="145" t="s">
        <v>44</v>
      </c>
      <c r="I54" s="145"/>
      <c r="J54" s="145">
        <v>10</v>
      </c>
      <c r="K54" s="146" t="s">
        <v>29</v>
      </c>
      <c r="L54" s="147" t="s">
        <v>90</v>
      </c>
      <c r="M54" s="148">
        <v>10000000</v>
      </c>
      <c r="N54" s="148"/>
      <c r="O54" s="148"/>
      <c r="P54" s="148">
        <v>3000000</v>
      </c>
      <c r="Q54" s="148"/>
      <c r="R54" s="148"/>
      <c r="S54" s="148">
        <v>13000000</v>
      </c>
      <c r="T54" s="148">
        <v>13000000</v>
      </c>
      <c r="U54" s="148">
        <v>0</v>
      </c>
      <c r="V54" s="150">
        <v>1</v>
      </c>
      <c r="W54" s="148">
        <v>0</v>
      </c>
      <c r="X54" s="148">
        <v>13000000</v>
      </c>
      <c r="Y54" s="150">
        <v>1</v>
      </c>
      <c r="Z54" s="148">
        <v>0</v>
      </c>
      <c r="AA54" s="148">
        <v>0</v>
      </c>
      <c r="AB54" s="150">
        <v>0</v>
      </c>
    </row>
    <row r="55" spans="1:28" ht="24.95" customHeight="1">
      <c r="A55" s="32" t="e">
        <v>#REF!</v>
      </c>
      <c r="B55" s="138" t="s">
        <v>383</v>
      </c>
      <c r="C55" s="139" t="s">
        <v>23</v>
      </c>
      <c r="D55" s="139" t="s">
        <v>54</v>
      </c>
      <c r="E55" s="139" t="s">
        <v>54</v>
      </c>
      <c r="F55" s="139" t="s">
        <v>25</v>
      </c>
      <c r="G55" s="139" t="s">
        <v>34</v>
      </c>
      <c r="H55" s="140"/>
      <c r="I55" s="140"/>
      <c r="J55" s="139" t="s">
        <v>28</v>
      </c>
      <c r="K55" s="140" t="s">
        <v>29</v>
      </c>
      <c r="L55" s="140" t="s">
        <v>91</v>
      </c>
      <c r="M55" s="141">
        <v>130000000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1">
        <v>130000000</v>
      </c>
      <c r="T55" s="141">
        <v>0</v>
      </c>
      <c r="U55" s="141">
        <v>130000000</v>
      </c>
      <c r="V55" s="143">
        <v>0</v>
      </c>
      <c r="W55" s="141">
        <v>0</v>
      </c>
      <c r="X55" s="141">
        <v>0</v>
      </c>
      <c r="Y55" s="141">
        <v>0</v>
      </c>
      <c r="Z55" s="141">
        <v>0</v>
      </c>
      <c r="AA55" s="142">
        <v>0</v>
      </c>
      <c r="AB55" s="724">
        <v>0</v>
      </c>
    </row>
    <row r="56" spans="1:28" ht="24.95" customHeight="1">
      <c r="A56" s="32" t="e">
        <v>#REF!</v>
      </c>
      <c r="B56" s="144" t="s">
        <v>559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34</v>
      </c>
      <c r="H56" s="145" t="s">
        <v>46</v>
      </c>
      <c r="I56" s="145"/>
      <c r="J56" s="145">
        <v>10</v>
      </c>
      <c r="K56" s="146" t="s">
        <v>29</v>
      </c>
      <c r="L56" s="147" t="s">
        <v>92</v>
      </c>
      <c r="M56" s="148">
        <v>130000000</v>
      </c>
      <c r="N56" s="148"/>
      <c r="O56" s="148"/>
      <c r="P56" s="148"/>
      <c r="Q56" s="148"/>
      <c r="R56" s="148"/>
      <c r="S56" s="148">
        <v>130000000</v>
      </c>
      <c r="T56" s="148">
        <v>0</v>
      </c>
      <c r="U56" s="148">
        <v>130000000</v>
      </c>
      <c r="V56" s="150">
        <v>0</v>
      </c>
      <c r="W56" s="148">
        <v>0</v>
      </c>
      <c r="X56" s="148">
        <v>0</v>
      </c>
      <c r="Y56" s="148">
        <v>0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38" t="s">
        <v>385</v>
      </c>
      <c r="C57" s="139" t="s">
        <v>23</v>
      </c>
      <c r="D57" s="139" t="s">
        <v>54</v>
      </c>
      <c r="E57" s="139" t="s">
        <v>54</v>
      </c>
      <c r="F57" s="139" t="s">
        <v>25</v>
      </c>
      <c r="G57" s="139" t="s">
        <v>36</v>
      </c>
      <c r="H57" s="140"/>
      <c r="I57" s="140"/>
      <c r="J57" s="139" t="s">
        <v>28</v>
      </c>
      <c r="K57" s="140" t="s">
        <v>29</v>
      </c>
      <c r="L57" s="140" t="s">
        <v>93</v>
      </c>
      <c r="M57" s="141">
        <v>617241390</v>
      </c>
      <c r="N57" s="142">
        <v>0</v>
      </c>
      <c r="O57" s="142">
        <v>0</v>
      </c>
      <c r="P57" s="141">
        <v>104304000</v>
      </c>
      <c r="Q57" s="141">
        <v>173664000</v>
      </c>
      <c r="R57" s="142">
        <v>0</v>
      </c>
      <c r="S57" s="141">
        <v>547881390</v>
      </c>
      <c r="T57" s="141">
        <v>234980006</v>
      </c>
      <c r="U57" s="141">
        <v>312901384</v>
      </c>
      <c r="V57" s="143">
        <v>0.42888846069401992</v>
      </c>
      <c r="W57" s="141">
        <v>57733105.120000005</v>
      </c>
      <c r="X57" s="141">
        <v>177246900.88</v>
      </c>
      <c r="Y57" s="143">
        <v>0.75430630842693913</v>
      </c>
      <c r="Z57" s="141">
        <v>51429269.120000005</v>
      </c>
      <c r="AA57" s="142">
        <v>6303836</v>
      </c>
      <c r="AB57" s="724">
        <v>0.21886657505660292</v>
      </c>
    </row>
    <row r="58" spans="1:28" ht="24.95" customHeight="1">
      <c r="A58" s="32" t="e">
        <v>#REF!</v>
      </c>
      <c r="B58" s="144" t="s">
        <v>561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34</v>
      </c>
      <c r="I58" s="145"/>
      <c r="J58" s="145">
        <v>10</v>
      </c>
      <c r="K58" s="146" t="s">
        <v>29</v>
      </c>
      <c r="L58" s="147" t="s">
        <v>94</v>
      </c>
      <c r="M58" s="148">
        <v>245100000</v>
      </c>
      <c r="N58" s="148"/>
      <c r="O58" s="148"/>
      <c r="P58" s="148">
        <v>80000000</v>
      </c>
      <c r="Q58" s="148">
        <v>20000000</v>
      </c>
      <c r="R58" s="148"/>
      <c r="S58" s="148">
        <v>305100000</v>
      </c>
      <c r="T58" s="148">
        <v>103729898</v>
      </c>
      <c r="U58" s="148">
        <v>201370102</v>
      </c>
      <c r="V58" s="150">
        <v>0.33998655522779414</v>
      </c>
      <c r="W58" s="148">
        <v>609530</v>
      </c>
      <c r="X58" s="148">
        <v>103120368</v>
      </c>
      <c r="Y58" s="150">
        <v>0.99412387352390919</v>
      </c>
      <c r="Z58" s="148">
        <v>415130</v>
      </c>
      <c r="AA58" s="148">
        <v>194400</v>
      </c>
      <c r="AB58" s="150">
        <v>4.0020284219309653E-3</v>
      </c>
    </row>
    <row r="59" spans="1:28" ht="24.95" customHeight="1">
      <c r="A59" s="32" t="e">
        <v>#REF!</v>
      </c>
      <c r="B59" s="144" t="s">
        <v>563</v>
      </c>
      <c r="C59" s="145" t="s">
        <v>23</v>
      </c>
      <c r="D59" s="145" t="s">
        <v>54</v>
      </c>
      <c r="E59" s="145" t="s">
        <v>54</v>
      </c>
      <c r="F59" s="145" t="s">
        <v>25</v>
      </c>
      <c r="G59" s="145" t="s">
        <v>36</v>
      </c>
      <c r="H59" s="145" t="s">
        <v>36</v>
      </c>
      <c r="I59" s="145"/>
      <c r="J59" s="145">
        <v>10</v>
      </c>
      <c r="K59" s="146" t="s">
        <v>29</v>
      </c>
      <c r="L59" s="147" t="s">
        <v>95</v>
      </c>
      <c r="M59" s="148">
        <v>57946108</v>
      </c>
      <c r="N59" s="148"/>
      <c r="O59" s="148"/>
      <c r="P59" s="148">
        <v>24304000</v>
      </c>
      <c r="Q59" s="148"/>
      <c r="R59" s="148"/>
      <c r="S59" s="148">
        <v>82250108</v>
      </c>
      <c r="T59" s="148">
        <v>76250108</v>
      </c>
      <c r="U59" s="148">
        <v>6000000</v>
      </c>
      <c r="V59" s="150">
        <v>0.92705176751865181</v>
      </c>
      <c r="W59" s="148">
        <v>32064050.120000001</v>
      </c>
      <c r="X59" s="148">
        <v>44186057.879999995</v>
      </c>
      <c r="Y59" s="150">
        <v>0.57948846288847222</v>
      </c>
      <c r="Z59" s="148">
        <v>32064050.120000001</v>
      </c>
      <c r="AA59" s="148">
        <v>0</v>
      </c>
      <c r="AB59" s="150">
        <v>0.42051153711152778</v>
      </c>
    </row>
    <row r="60" spans="1:28" ht="24.95" customHeight="1">
      <c r="A60" s="32" t="e">
        <v>#REF!</v>
      </c>
      <c r="B60" s="144" t="s">
        <v>565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36</v>
      </c>
      <c r="H60" s="145" t="s">
        <v>40</v>
      </c>
      <c r="I60" s="145"/>
      <c r="J60" s="145">
        <v>10</v>
      </c>
      <c r="K60" s="146" t="s">
        <v>29</v>
      </c>
      <c r="L60" s="147" t="s">
        <v>96</v>
      </c>
      <c r="M60" s="148">
        <v>47000000</v>
      </c>
      <c r="N60" s="148"/>
      <c r="O60" s="148"/>
      <c r="P60" s="148"/>
      <c r="Q60" s="148">
        <v>33664000</v>
      </c>
      <c r="R60" s="148"/>
      <c r="S60" s="148">
        <v>13336000</v>
      </c>
      <c r="T60" s="148">
        <v>7000000</v>
      </c>
      <c r="U60" s="148">
        <v>6336000</v>
      </c>
      <c r="V60" s="150">
        <v>0.52489502099580088</v>
      </c>
      <c r="W60" s="148">
        <v>3421284</v>
      </c>
      <c r="X60" s="148">
        <v>3578716</v>
      </c>
      <c r="Y60" s="150">
        <v>0.51124514285714284</v>
      </c>
      <c r="Z60" s="148">
        <v>2558396</v>
      </c>
      <c r="AA60" s="148">
        <v>862888</v>
      </c>
      <c r="AB60" s="150">
        <v>0.36548514285714284</v>
      </c>
    </row>
    <row r="61" spans="1:28" ht="24.95" customHeight="1">
      <c r="A61" s="32" t="e">
        <v>#REF!</v>
      </c>
      <c r="B61" s="144" t="s">
        <v>567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36</v>
      </c>
      <c r="H61" s="145" t="s">
        <v>42</v>
      </c>
      <c r="I61" s="145"/>
      <c r="J61" s="145">
        <v>10</v>
      </c>
      <c r="K61" s="146" t="s">
        <v>29</v>
      </c>
      <c r="L61" s="147" t="s">
        <v>97</v>
      </c>
      <c r="M61" s="148">
        <v>123000000</v>
      </c>
      <c r="N61" s="148"/>
      <c r="O61" s="148"/>
      <c r="P61" s="148"/>
      <c r="Q61" s="148">
        <v>100000000</v>
      </c>
      <c r="R61" s="148"/>
      <c r="S61" s="148">
        <v>23000000</v>
      </c>
      <c r="T61" s="148">
        <v>23000000</v>
      </c>
      <c r="U61" s="148">
        <v>0</v>
      </c>
      <c r="V61" s="150">
        <v>1</v>
      </c>
      <c r="W61" s="148">
        <v>7962088</v>
      </c>
      <c r="X61" s="148">
        <v>15037912</v>
      </c>
      <c r="Y61" s="150">
        <v>0.65382226086956519</v>
      </c>
      <c r="Z61" s="148">
        <v>3744054</v>
      </c>
      <c r="AA61" s="148">
        <v>4218034</v>
      </c>
      <c r="AB61" s="150">
        <v>0.16278495652173913</v>
      </c>
    </row>
    <row r="62" spans="1:28" ht="24.95" customHeight="1">
      <c r="A62" s="32" t="e">
        <v>#REF!</v>
      </c>
      <c r="B62" s="144" t="s">
        <v>571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36</v>
      </c>
      <c r="H62" s="145" t="s">
        <v>46</v>
      </c>
      <c r="I62" s="145"/>
      <c r="J62" s="145">
        <v>10</v>
      </c>
      <c r="K62" s="146" t="s">
        <v>29</v>
      </c>
      <c r="L62" s="147" t="s">
        <v>99</v>
      </c>
      <c r="M62" s="148">
        <v>144195282</v>
      </c>
      <c r="N62" s="148"/>
      <c r="O62" s="148"/>
      <c r="P62" s="148"/>
      <c r="Q62" s="148">
        <v>20000000</v>
      </c>
      <c r="R62" s="148"/>
      <c r="S62" s="148">
        <v>124195282</v>
      </c>
      <c r="T62" s="148">
        <v>25000000</v>
      </c>
      <c r="U62" s="148">
        <v>99195282</v>
      </c>
      <c r="V62" s="150">
        <v>0.2012958914171957</v>
      </c>
      <c r="W62" s="148">
        <v>13676153</v>
      </c>
      <c r="X62" s="148">
        <v>11323847</v>
      </c>
      <c r="Y62" s="150">
        <v>0.45295387999999998</v>
      </c>
      <c r="Z62" s="148">
        <v>12647639</v>
      </c>
      <c r="AA62" s="148">
        <v>1028514</v>
      </c>
      <c r="AB62" s="150">
        <v>0.50590555999999998</v>
      </c>
    </row>
    <row r="63" spans="1:28" ht="24.95" customHeight="1">
      <c r="A63" s="32" t="e">
        <v>#REF!</v>
      </c>
      <c r="B63" s="138" t="s">
        <v>387</v>
      </c>
      <c r="C63" s="139" t="s">
        <v>23</v>
      </c>
      <c r="D63" s="139" t="s">
        <v>54</v>
      </c>
      <c r="E63" s="139" t="s">
        <v>54</v>
      </c>
      <c r="F63" s="139" t="s">
        <v>25</v>
      </c>
      <c r="G63" s="139" t="s">
        <v>38</v>
      </c>
      <c r="H63" s="140"/>
      <c r="I63" s="140"/>
      <c r="J63" s="139" t="s">
        <v>28</v>
      </c>
      <c r="K63" s="140" t="s">
        <v>29</v>
      </c>
      <c r="L63" s="140" t="s">
        <v>100</v>
      </c>
      <c r="M63" s="141">
        <v>209000000</v>
      </c>
      <c r="N63" s="142">
        <v>0</v>
      </c>
      <c r="O63" s="142">
        <v>0</v>
      </c>
      <c r="P63" s="141">
        <v>105095020</v>
      </c>
      <c r="Q63" s="141">
        <v>104707952.61</v>
      </c>
      <c r="R63" s="142">
        <v>0</v>
      </c>
      <c r="S63" s="141">
        <v>209387067.38999999</v>
      </c>
      <c r="T63" s="141">
        <v>59571080</v>
      </c>
      <c r="U63" s="141">
        <v>149815987.38999999</v>
      </c>
      <c r="V63" s="143">
        <v>0.28450219367676682</v>
      </c>
      <c r="W63" s="141">
        <v>7569109</v>
      </c>
      <c r="X63" s="141">
        <v>52001971</v>
      </c>
      <c r="Y63" s="143">
        <v>0.8729398728376252</v>
      </c>
      <c r="Z63" s="141">
        <v>5150734</v>
      </c>
      <c r="AA63" s="142">
        <v>2418375</v>
      </c>
      <c r="AB63" s="724">
        <v>8.6463666597953237E-2</v>
      </c>
    </row>
    <row r="64" spans="1:28" ht="24.95" customHeight="1">
      <c r="A64" s="32" t="e">
        <v>#REF!</v>
      </c>
      <c r="B64" s="144" t="s">
        <v>573</v>
      </c>
      <c r="C64" s="145" t="s">
        <v>23</v>
      </c>
      <c r="D64" s="145" t="s">
        <v>54</v>
      </c>
      <c r="E64" s="145" t="s">
        <v>54</v>
      </c>
      <c r="F64" s="145" t="s">
        <v>25</v>
      </c>
      <c r="G64" s="145" t="s">
        <v>38</v>
      </c>
      <c r="H64" s="145" t="s">
        <v>34</v>
      </c>
      <c r="I64" s="145"/>
      <c r="J64" s="145">
        <v>10</v>
      </c>
      <c r="K64" s="146" t="s">
        <v>29</v>
      </c>
      <c r="L64" s="147" t="s">
        <v>101</v>
      </c>
      <c r="M64" s="148">
        <v>28000000</v>
      </c>
      <c r="N64" s="148"/>
      <c r="O64" s="148"/>
      <c r="P64" s="149"/>
      <c r="Q64" s="148"/>
      <c r="R64" s="148"/>
      <c r="S64" s="148">
        <v>28000000</v>
      </c>
      <c r="T64" s="148">
        <v>28000000</v>
      </c>
      <c r="U64" s="148">
        <v>0</v>
      </c>
      <c r="V64" s="150">
        <v>1</v>
      </c>
      <c r="W64" s="148">
        <v>7569109</v>
      </c>
      <c r="X64" s="148">
        <v>20430891</v>
      </c>
      <c r="Y64" s="150">
        <v>0.72967467857142854</v>
      </c>
      <c r="Z64" s="148">
        <v>5150734</v>
      </c>
      <c r="AA64" s="148">
        <v>2418375</v>
      </c>
      <c r="AB64" s="150">
        <v>0.18395478571428572</v>
      </c>
    </row>
    <row r="65" spans="1:28" ht="24.95" customHeight="1">
      <c r="A65" s="32" t="e">
        <v>#REF!</v>
      </c>
      <c r="B65" s="144" t="s">
        <v>575</v>
      </c>
      <c r="C65" s="145" t="s">
        <v>23</v>
      </c>
      <c r="D65" s="145" t="s">
        <v>54</v>
      </c>
      <c r="E65" s="145" t="s">
        <v>54</v>
      </c>
      <c r="F65" s="145" t="s">
        <v>25</v>
      </c>
      <c r="G65" s="145" t="s">
        <v>38</v>
      </c>
      <c r="H65" s="145" t="s">
        <v>40</v>
      </c>
      <c r="I65" s="145"/>
      <c r="J65" s="145">
        <v>10</v>
      </c>
      <c r="K65" s="146" t="s">
        <v>29</v>
      </c>
      <c r="L65" s="147" t="s">
        <v>102</v>
      </c>
      <c r="M65" s="148">
        <v>10000000</v>
      </c>
      <c r="N65" s="148"/>
      <c r="O65" s="148"/>
      <c r="P65" s="148">
        <v>80000000</v>
      </c>
      <c r="Q65" s="148"/>
      <c r="R65" s="148"/>
      <c r="S65" s="148">
        <v>90000000</v>
      </c>
      <c r="T65" s="148">
        <v>0</v>
      </c>
      <c r="U65" s="148">
        <v>90000000</v>
      </c>
      <c r="V65" s="150">
        <v>0</v>
      </c>
      <c r="W65" s="148">
        <v>0</v>
      </c>
      <c r="X65" s="148">
        <v>0</v>
      </c>
      <c r="Y65" s="150">
        <v>0</v>
      </c>
      <c r="Z65" s="148">
        <v>0</v>
      </c>
      <c r="AA65" s="148">
        <v>0</v>
      </c>
      <c r="AB65" s="150">
        <v>0</v>
      </c>
    </row>
    <row r="66" spans="1:28" ht="24.95" customHeight="1">
      <c r="A66" s="32" t="e">
        <v>#REF!</v>
      </c>
      <c r="B66" s="144" t="s">
        <v>577</v>
      </c>
      <c r="C66" s="145" t="s">
        <v>23</v>
      </c>
      <c r="D66" s="145" t="s">
        <v>54</v>
      </c>
      <c r="E66" s="145" t="s">
        <v>54</v>
      </c>
      <c r="F66" s="145" t="s">
        <v>25</v>
      </c>
      <c r="G66" s="145" t="s">
        <v>38</v>
      </c>
      <c r="H66" s="145" t="s">
        <v>42</v>
      </c>
      <c r="I66" s="145"/>
      <c r="J66" s="145">
        <v>10</v>
      </c>
      <c r="K66" s="146" t="s">
        <v>29</v>
      </c>
      <c r="L66" s="147" t="s">
        <v>84</v>
      </c>
      <c r="M66" s="148">
        <v>108000000</v>
      </c>
      <c r="N66" s="148"/>
      <c r="O66" s="148"/>
      <c r="P66" s="148"/>
      <c r="Q66" s="148">
        <v>70000000</v>
      </c>
      <c r="R66" s="148"/>
      <c r="S66" s="148">
        <v>38000000</v>
      </c>
      <c r="T66" s="148">
        <v>31571080</v>
      </c>
      <c r="U66" s="148">
        <v>6428920</v>
      </c>
      <c r="V66" s="150">
        <v>0.83081789473684209</v>
      </c>
      <c r="W66" s="148">
        <v>0</v>
      </c>
      <c r="X66" s="148">
        <v>31571080</v>
      </c>
      <c r="Y66" s="150">
        <v>1</v>
      </c>
      <c r="Z66" s="148">
        <v>0</v>
      </c>
      <c r="AA66" s="148">
        <v>0</v>
      </c>
      <c r="AB66" s="150">
        <v>0</v>
      </c>
    </row>
    <row r="67" spans="1:28" ht="24.95" customHeight="1">
      <c r="A67" s="32" t="e">
        <v>#REF!</v>
      </c>
      <c r="B67" s="144" t="s">
        <v>579</v>
      </c>
      <c r="C67" s="145" t="s">
        <v>23</v>
      </c>
      <c r="D67" s="145" t="s">
        <v>54</v>
      </c>
      <c r="E67" s="145" t="s">
        <v>54</v>
      </c>
      <c r="F67" s="145" t="s">
        <v>25</v>
      </c>
      <c r="G67" s="145" t="s">
        <v>38</v>
      </c>
      <c r="H67" s="145" t="s">
        <v>44</v>
      </c>
      <c r="I67" s="145"/>
      <c r="J67" s="145">
        <v>10</v>
      </c>
      <c r="K67" s="146" t="s">
        <v>29</v>
      </c>
      <c r="L67" s="147" t="s">
        <v>85</v>
      </c>
      <c r="M67" s="148">
        <v>63000000</v>
      </c>
      <c r="N67" s="148"/>
      <c r="O67" s="148"/>
      <c r="P67" s="148">
        <v>25095020</v>
      </c>
      <c r="Q67" s="148">
        <v>34707952.609999999</v>
      </c>
      <c r="R67" s="148"/>
      <c r="S67" s="148">
        <v>53387067.390000001</v>
      </c>
      <c r="T67" s="148">
        <v>0</v>
      </c>
      <c r="U67" s="148">
        <v>53387067.390000001</v>
      </c>
      <c r="V67" s="150">
        <v>0</v>
      </c>
      <c r="W67" s="148">
        <v>0</v>
      </c>
      <c r="X67" s="148">
        <v>0</v>
      </c>
      <c r="Y67" s="150">
        <v>0</v>
      </c>
      <c r="Z67" s="148">
        <v>0</v>
      </c>
      <c r="AA67" s="148">
        <v>0</v>
      </c>
      <c r="AB67" s="150">
        <v>0</v>
      </c>
    </row>
    <row r="68" spans="1:28" ht="24.95" customHeight="1">
      <c r="A68" s="32" t="e">
        <v>#REF!</v>
      </c>
      <c r="B68" s="132" t="s">
        <v>389</v>
      </c>
      <c r="C68" s="133" t="s">
        <v>23</v>
      </c>
      <c r="D68" s="133" t="s">
        <v>54</v>
      </c>
      <c r="E68" s="133" t="s">
        <v>54</v>
      </c>
      <c r="F68" s="133" t="s">
        <v>54</v>
      </c>
      <c r="G68" s="133"/>
      <c r="H68" s="134"/>
      <c r="I68" s="134"/>
      <c r="J68" s="133" t="s">
        <v>28</v>
      </c>
      <c r="K68" s="134" t="s">
        <v>29</v>
      </c>
      <c r="L68" s="134" t="s">
        <v>103</v>
      </c>
      <c r="M68" s="135">
        <v>41310758610</v>
      </c>
      <c r="N68" s="136">
        <v>0</v>
      </c>
      <c r="O68" s="136">
        <v>0</v>
      </c>
      <c r="P68" s="727">
        <v>2061219594.3600001</v>
      </c>
      <c r="Q68" s="727">
        <v>2065246661.75</v>
      </c>
      <c r="R68" s="136">
        <v>0</v>
      </c>
      <c r="S68" s="135">
        <v>41306731542.610001</v>
      </c>
      <c r="T68" s="135">
        <v>30689837921.370003</v>
      </c>
      <c r="U68" s="135">
        <v>10616893621.24</v>
      </c>
      <c r="V68" s="137">
        <v>0.74297425081216772</v>
      </c>
      <c r="W68" s="135">
        <v>19094495541.570004</v>
      </c>
      <c r="X68" s="135">
        <v>11595342379.799999</v>
      </c>
      <c r="Y68" s="137">
        <v>0.37782351309603723</v>
      </c>
      <c r="Z68" s="135">
        <v>18954451133.570004</v>
      </c>
      <c r="AA68" s="135">
        <v>140044408</v>
      </c>
      <c r="AB68" s="723">
        <v>0.6176132693216867</v>
      </c>
    </row>
    <row r="69" spans="1:28" ht="31.5" customHeight="1">
      <c r="A69" s="32" t="e">
        <v>#REF!</v>
      </c>
      <c r="B69" s="138" t="s">
        <v>391</v>
      </c>
      <c r="C69" s="139" t="s">
        <v>23</v>
      </c>
      <c r="D69" s="139" t="s">
        <v>54</v>
      </c>
      <c r="E69" s="139" t="s">
        <v>54</v>
      </c>
      <c r="F69" s="139" t="s">
        <v>54</v>
      </c>
      <c r="G69" s="139" t="s">
        <v>42</v>
      </c>
      <c r="H69" s="140"/>
      <c r="I69" s="140"/>
      <c r="J69" s="139" t="s">
        <v>28</v>
      </c>
      <c r="K69" s="140" t="s">
        <v>29</v>
      </c>
      <c r="L69" s="140" t="s">
        <v>104</v>
      </c>
      <c r="M69" s="141">
        <v>6238453772</v>
      </c>
      <c r="N69" s="142">
        <v>0</v>
      </c>
      <c r="O69" s="142">
        <v>0</v>
      </c>
      <c r="P69" s="141">
        <v>944000000</v>
      </c>
      <c r="Q69" s="141">
        <v>130000000</v>
      </c>
      <c r="R69" s="142">
        <v>0</v>
      </c>
      <c r="S69" s="141">
        <v>7052453772</v>
      </c>
      <c r="T69" s="141">
        <v>6224259547.2200003</v>
      </c>
      <c r="U69" s="141">
        <v>828194224.77999997</v>
      </c>
      <c r="V69" s="143">
        <v>0.88256651492447391</v>
      </c>
      <c r="W69" s="141">
        <v>4439124218.0200005</v>
      </c>
      <c r="X69" s="141">
        <v>1785135329.2</v>
      </c>
      <c r="Y69" s="143">
        <v>0.28680284227499991</v>
      </c>
      <c r="Z69" s="141">
        <v>4372221080.0200005</v>
      </c>
      <c r="AA69" s="141">
        <v>66903138</v>
      </c>
      <c r="AB69" s="724">
        <v>0.70244838712948698</v>
      </c>
    </row>
    <row r="70" spans="1:28" ht="24.95" customHeight="1">
      <c r="A70" s="32" t="e">
        <v>#REF!</v>
      </c>
      <c r="B70" s="144" t="s">
        <v>583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36</v>
      </c>
      <c r="I70" s="145"/>
      <c r="J70" s="145">
        <v>10</v>
      </c>
      <c r="K70" s="146" t="s">
        <v>29</v>
      </c>
      <c r="L70" s="147" t="s">
        <v>105</v>
      </c>
      <c r="M70" s="148">
        <v>120448180</v>
      </c>
      <c r="N70" s="148"/>
      <c r="O70" s="148"/>
      <c r="P70" s="148"/>
      <c r="Q70" s="148"/>
      <c r="R70" s="148"/>
      <c r="S70" s="148">
        <v>120448180</v>
      </c>
      <c r="T70" s="148">
        <v>111474234</v>
      </c>
      <c r="U70" s="148">
        <v>8973946</v>
      </c>
      <c r="V70" s="150">
        <v>0.92549537900863255</v>
      </c>
      <c r="W70" s="148">
        <v>71142990</v>
      </c>
      <c r="X70" s="148">
        <v>40331244</v>
      </c>
      <c r="Y70" s="150">
        <v>0.36179879917362789</v>
      </c>
      <c r="Z70" s="148">
        <v>71142990</v>
      </c>
      <c r="AA70" s="148">
        <v>0</v>
      </c>
      <c r="AB70" s="150">
        <v>0.63820120082637211</v>
      </c>
    </row>
    <row r="71" spans="1:28" ht="24.95" customHeight="1">
      <c r="A71" s="32" t="e">
        <v>#REF!</v>
      </c>
      <c r="B71" s="144" t="s">
        <v>585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42</v>
      </c>
      <c r="H71" s="145" t="s">
        <v>38</v>
      </c>
      <c r="I71" s="145"/>
      <c r="J71" s="145">
        <v>10</v>
      </c>
      <c r="K71" s="146" t="s">
        <v>29</v>
      </c>
      <c r="L71" s="147" t="s">
        <v>106</v>
      </c>
      <c r="M71" s="148">
        <v>2721505592</v>
      </c>
      <c r="N71" s="148"/>
      <c r="O71" s="148"/>
      <c r="P71" s="148">
        <v>880000000</v>
      </c>
      <c r="Q71" s="148">
        <v>130000000</v>
      </c>
      <c r="R71" s="148"/>
      <c r="S71" s="148">
        <v>3471505592</v>
      </c>
      <c r="T71" s="148">
        <v>3252947050</v>
      </c>
      <c r="U71" s="148">
        <v>218558542</v>
      </c>
      <c r="V71" s="150">
        <v>0.93704214606375325</v>
      </c>
      <c r="W71" s="148">
        <v>1928528701</v>
      </c>
      <c r="X71" s="148">
        <v>1324418349</v>
      </c>
      <c r="Y71" s="150">
        <v>0.40714414610591343</v>
      </c>
      <c r="Z71" s="148">
        <v>1865009751</v>
      </c>
      <c r="AA71" s="148">
        <v>63518950</v>
      </c>
      <c r="AB71" s="150">
        <v>0.57332926799407935</v>
      </c>
    </row>
    <row r="72" spans="1:28" ht="24.95" customHeight="1">
      <c r="A72" s="32" t="e">
        <v>#REF!</v>
      </c>
      <c r="B72" s="144" t="s">
        <v>587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42</v>
      </c>
      <c r="H72" s="145" t="s">
        <v>40</v>
      </c>
      <c r="I72" s="145"/>
      <c r="J72" s="145">
        <v>10</v>
      </c>
      <c r="K72" s="146" t="s">
        <v>29</v>
      </c>
      <c r="L72" s="147" t="s">
        <v>107</v>
      </c>
      <c r="M72" s="148">
        <v>50000000</v>
      </c>
      <c r="N72" s="148"/>
      <c r="O72" s="148"/>
      <c r="P72" s="148">
        <v>64000000</v>
      </c>
      <c r="Q72" s="148"/>
      <c r="R72" s="148"/>
      <c r="S72" s="148">
        <v>114000000</v>
      </c>
      <c r="T72" s="148">
        <v>104600000</v>
      </c>
      <c r="U72" s="148">
        <v>9400000</v>
      </c>
      <c r="V72" s="150">
        <v>0.91754385964912277</v>
      </c>
      <c r="W72" s="148">
        <v>0</v>
      </c>
      <c r="X72" s="148">
        <v>104600000</v>
      </c>
      <c r="Y72" s="150">
        <v>1</v>
      </c>
      <c r="Z72" s="148">
        <v>0</v>
      </c>
      <c r="AA72" s="148">
        <v>0</v>
      </c>
      <c r="AB72" s="150">
        <v>0</v>
      </c>
    </row>
    <row r="73" spans="1:28" ht="24.95" customHeight="1">
      <c r="A73" s="32" t="e">
        <v>#REF!</v>
      </c>
      <c r="B73" s="144" t="s">
        <v>591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42</v>
      </c>
      <c r="H73" s="145" t="s">
        <v>46</v>
      </c>
      <c r="I73" s="145"/>
      <c r="J73" s="145">
        <v>10</v>
      </c>
      <c r="K73" s="146" t="s">
        <v>29</v>
      </c>
      <c r="L73" s="147" t="s">
        <v>108</v>
      </c>
      <c r="M73" s="148">
        <v>2216500000</v>
      </c>
      <c r="N73" s="148"/>
      <c r="O73" s="148"/>
      <c r="P73" s="148"/>
      <c r="Q73" s="148"/>
      <c r="R73" s="148"/>
      <c r="S73" s="148">
        <v>2216500000</v>
      </c>
      <c r="T73" s="148">
        <v>2163580900</v>
      </c>
      <c r="U73" s="148">
        <v>52919100</v>
      </c>
      <c r="V73" s="150">
        <v>0.97612492668621698</v>
      </c>
      <c r="W73" s="148">
        <v>1850574107</v>
      </c>
      <c r="X73" s="148">
        <v>313006793</v>
      </c>
      <c r="Y73" s="150">
        <v>0.14467071372279169</v>
      </c>
      <c r="Z73" s="148">
        <v>1850574107</v>
      </c>
      <c r="AA73" s="148">
        <v>0</v>
      </c>
      <c r="AB73" s="150">
        <v>0.85532928627720828</v>
      </c>
    </row>
    <row r="74" spans="1:28" ht="24.95" customHeight="1">
      <c r="A74" s="32" t="e">
        <v>#REF!</v>
      </c>
      <c r="B74" s="144" t="s">
        <v>593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42</v>
      </c>
      <c r="H74" s="145" t="s">
        <v>48</v>
      </c>
      <c r="I74" s="145"/>
      <c r="J74" s="145">
        <v>10</v>
      </c>
      <c r="K74" s="146" t="s">
        <v>29</v>
      </c>
      <c r="L74" s="147" t="s">
        <v>109</v>
      </c>
      <c r="M74" s="148">
        <v>1130000000</v>
      </c>
      <c r="N74" s="148"/>
      <c r="O74" s="148"/>
      <c r="P74" s="148"/>
      <c r="Q74" s="148"/>
      <c r="R74" s="148"/>
      <c r="S74" s="148">
        <v>1130000000</v>
      </c>
      <c r="T74" s="148">
        <v>591657363.22000003</v>
      </c>
      <c r="U74" s="148">
        <v>538342636.77999997</v>
      </c>
      <c r="V74" s="150">
        <v>0.52359058692035398</v>
      </c>
      <c r="W74" s="148">
        <v>588878420.01999998</v>
      </c>
      <c r="X74" s="148">
        <v>2778943.2000000477</v>
      </c>
      <c r="Y74" s="150">
        <v>4.6968792628153842E-3</v>
      </c>
      <c r="Z74" s="148">
        <v>585494232.01999998</v>
      </c>
      <c r="AA74" s="148">
        <v>3384188</v>
      </c>
      <c r="AB74" s="150">
        <v>0.98958327643138222</v>
      </c>
    </row>
    <row r="75" spans="1:28" ht="24.95" customHeight="1">
      <c r="A75" s="32" t="e">
        <v>#REF!</v>
      </c>
      <c r="B75" s="138" t="s">
        <v>393</v>
      </c>
      <c r="C75" s="139" t="s">
        <v>23</v>
      </c>
      <c r="D75" s="139" t="s">
        <v>54</v>
      </c>
      <c r="E75" s="139" t="s">
        <v>54</v>
      </c>
      <c r="F75" s="139" t="s">
        <v>54</v>
      </c>
      <c r="G75" s="139" t="s">
        <v>44</v>
      </c>
      <c r="H75" s="140"/>
      <c r="I75" s="140"/>
      <c r="J75" s="139" t="s">
        <v>28</v>
      </c>
      <c r="K75" s="140" t="s">
        <v>29</v>
      </c>
      <c r="L75" s="140" t="s">
        <v>110</v>
      </c>
      <c r="M75" s="141">
        <v>15484127230</v>
      </c>
      <c r="N75" s="142">
        <v>0</v>
      </c>
      <c r="O75" s="142">
        <v>0</v>
      </c>
      <c r="P75" s="141">
        <v>3200000</v>
      </c>
      <c r="Q75" s="141">
        <v>263983289</v>
      </c>
      <c r="R75" s="142">
        <v>0</v>
      </c>
      <c r="S75" s="141">
        <v>15223343941</v>
      </c>
      <c r="T75" s="141">
        <v>13313287006</v>
      </c>
      <c r="U75" s="141">
        <v>1910056935</v>
      </c>
      <c r="V75" s="143">
        <v>0.87453105294062405</v>
      </c>
      <c r="W75" s="141">
        <v>8423812861</v>
      </c>
      <c r="X75" s="141">
        <v>4889474145</v>
      </c>
      <c r="Y75" s="143">
        <v>0.36726273104428858</v>
      </c>
      <c r="Z75" s="141">
        <v>8423812861</v>
      </c>
      <c r="AA75" s="141">
        <v>0</v>
      </c>
      <c r="AB75" s="724">
        <v>0.63273726895571136</v>
      </c>
    </row>
    <row r="76" spans="1:28" ht="24.95" customHeight="1">
      <c r="A76" s="32" t="e">
        <v>#REF!</v>
      </c>
      <c r="B76" s="144" t="s">
        <v>595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44</v>
      </c>
      <c r="H76" s="145" t="s">
        <v>31</v>
      </c>
      <c r="I76" s="145"/>
      <c r="J76" s="145">
        <v>10</v>
      </c>
      <c r="K76" s="146" t="s">
        <v>29</v>
      </c>
      <c r="L76" s="147" t="s">
        <v>111</v>
      </c>
      <c r="M76" s="148">
        <v>260000000</v>
      </c>
      <c r="N76" s="148"/>
      <c r="O76" s="148"/>
      <c r="P76" s="148">
        <v>3200000</v>
      </c>
      <c r="Q76" s="148">
        <v>189344000</v>
      </c>
      <c r="R76" s="148"/>
      <c r="S76" s="148">
        <v>73856000</v>
      </c>
      <c r="T76" s="148">
        <v>13084824</v>
      </c>
      <c r="U76" s="148">
        <v>60771176</v>
      </c>
      <c r="V76" s="150">
        <v>0.17716670277296359</v>
      </c>
      <c r="W76" s="148">
        <v>11157509</v>
      </c>
      <c r="X76" s="148">
        <v>1927315</v>
      </c>
      <c r="Y76" s="150">
        <v>0.14729391851201057</v>
      </c>
      <c r="Z76" s="148">
        <v>11157509</v>
      </c>
      <c r="AA76" s="148">
        <v>0</v>
      </c>
      <c r="AB76" s="150">
        <v>0.85270608148798943</v>
      </c>
    </row>
    <row r="77" spans="1:28" ht="24.95" customHeight="1">
      <c r="A77" s="32" t="e">
        <v>#REF!</v>
      </c>
      <c r="B77" s="144" t="s">
        <v>597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44</v>
      </c>
      <c r="H77" s="145" t="s">
        <v>34</v>
      </c>
      <c r="I77" s="145"/>
      <c r="J77" s="145">
        <v>10</v>
      </c>
      <c r="K77" s="146" t="s">
        <v>29</v>
      </c>
      <c r="L77" s="147" t="s">
        <v>112</v>
      </c>
      <c r="M77" s="148">
        <v>15224127230</v>
      </c>
      <c r="N77" s="148"/>
      <c r="O77" s="148"/>
      <c r="P77" s="148"/>
      <c r="Q77" s="148">
        <v>74639289</v>
      </c>
      <c r="R77" s="148"/>
      <c r="S77" s="148">
        <v>15149487941</v>
      </c>
      <c r="T77" s="148">
        <v>13300202182</v>
      </c>
      <c r="U77" s="148">
        <v>1849285759</v>
      </c>
      <c r="V77" s="150">
        <v>0.87793080754926622</v>
      </c>
      <c r="W77" s="148">
        <v>8412655352</v>
      </c>
      <c r="X77" s="148">
        <v>4887546830</v>
      </c>
      <c r="Y77" s="150">
        <v>0.36747913776939606</v>
      </c>
      <c r="Z77" s="148">
        <v>8412655352</v>
      </c>
      <c r="AA77" s="148">
        <v>0</v>
      </c>
      <c r="AB77" s="150">
        <v>0.632520862230604</v>
      </c>
    </row>
    <row r="78" spans="1:28" ht="24.95" customHeight="1">
      <c r="A78" s="32" t="e">
        <v>#REF!</v>
      </c>
      <c r="B78" s="138" t="s">
        <v>395</v>
      </c>
      <c r="C78" s="139" t="s">
        <v>23</v>
      </c>
      <c r="D78" s="139" t="s">
        <v>54</v>
      </c>
      <c r="E78" s="139" t="s">
        <v>54</v>
      </c>
      <c r="F78" s="139" t="s">
        <v>54</v>
      </c>
      <c r="G78" s="139" t="s">
        <v>46</v>
      </c>
      <c r="H78" s="140"/>
      <c r="I78" s="140"/>
      <c r="J78" s="139" t="s">
        <v>28</v>
      </c>
      <c r="K78" s="140" t="s">
        <v>29</v>
      </c>
      <c r="L78" s="140" t="s">
        <v>113</v>
      </c>
      <c r="M78" s="141">
        <v>15733677608</v>
      </c>
      <c r="N78" s="142">
        <v>0</v>
      </c>
      <c r="O78" s="142">
        <v>0</v>
      </c>
      <c r="P78" s="141">
        <v>1114019594.3600001</v>
      </c>
      <c r="Q78" s="141">
        <v>1291263372.75</v>
      </c>
      <c r="R78" s="142">
        <v>0</v>
      </c>
      <c r="S78" s="141">
        <v>15556433829.610001</v>
      </c>
      <c r="T78" s="141">
        <v>10239567749.060001</v>
      </c>
      <c r="U78" s="141">
        <v>5316866080.5500002</v>
      </c>
      <c r="V78" s="143">
        <v>0.65822076326838375</v>
      </c>
      <c r="W78" s="141">
        <v>5624987055.460001</v>
      </c>
      <c r="X78" s="141">
        <v>4614580693.6000004</v>
      </c>
      <c r="Y78" s="143">
        <v>0.45066166919239553</v>
      </c>
      <c r="Z78" s="141">
        <v>5552344652.460001</v>
      </c>
      <c r="AA78" s="141">
        <v>72642403</v>
      </c>
      <c r="AB78" s="724">
        <v>0.54224404667567239</v>
      </c>
    </row>
    <row r="79" spans="1:28" ht="24.95" customHeight="1">
      <c r="A79" s="32" t="e">
        <v>#REF!</v>
      </c>
      <c r="B79" s="144" t="s">
        <v>599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34</v>
      </c>
      <c r="I79" s="145"/>
      <c r="J79" s="145">
        <v>10</v>
      </c>
      <c r="K79" s="146" t="s">
        <v>29</v>
      </c>
      <c r="L79" s="147" t="s">
        <v>114</v>
      </c>
      <c r="M79" s="148">
        <v>50358513</v>
      </c>
      <c r="N79" s="148"/>
      <c r="O79" s="148"/>
      <c r="P79" s="148">
        <v>5950000</v>
      </c>
      <c r="Q79" s="148">
        <v>14565713</v>
      </c>
      <c r="R79" s="148"/>
      <c r="S79" s="148">
        <v>41742800</v>
      </c>
      <c r="T79" s="148">
        <v>39142800</v>
      </c>
      <c r="U79" s="148">
        <v>2600000</v>
      </c>
      <c r="V79" s="150">
        <v>0.93771380932759663</v>
      </c>
      <c r="W79" s="148">
        <v>5433376</v>
      </c>
      <c r="X79" s="148">
        <v>33709424</v>
      </c>
      <c r="Y79" s="150">
        <v>0.8611909214466007</v>
      </c>
      <c r="Z79" s="148">
        <v>5433376</v>
      </c>
      <c r="AA79" s="148">
        <v>0</v>
      </c>
      <c r="AB79" s="150">
        <v>0.13880907855339936</v>
      </c>
    </row>
    <row r="80" spans="1:28" ht="24.95" customHeight="1">
      <c r="A80" s="32" t="e">
        <v>#REF!</v>
      </c>
      <c r="B80" s="144" t="s">
        <v>601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36</v>
      </c>
      <c r="I80" s="145"/>
      <c r="J80" s="145">
        <v>10</v>
      </c>
      <c r="K80" s="146" t="s">
        <v>29</v>
      </c>
      <c r="L80" s="147" t="s">
        <v>115</v>
      </c>
      <c r="M80" s="148">
        <v>6350236530</v>
      </c>
      <c r="N80" s="148"/>
      <c r="O80" s="148"/>
      <c r="P80" s="148">
        <v>14565713</v>
      </c>
      <c r="Q80" s="148">
        <v>940295837</v>
      </c>
      <c r="R80" s="148"/>
      <c r="S80" s="148">
        <v>5424506406</v>
      </c>
      <c r="T80" s="148">
        <v>2886781307</v>
      </c>
      <c r="U80" s="148">
        <v>2537725099</v>
      </c>
      <c r="V80" s="150">
        <v>0.53217400643254031</v>
      </c>
      <c r="W80" s="148">
        <v>968009263</v>
      </c>
      <c r="X80" s="148">
        <v>1918772044</v>
      </c>
      <c r="Y80" s="150">
        <v>0.66467523513030702</v>
      </c>
      <c r="Z80" s="148">
        <v>904866969</v>
      </c>
      <c r="AA80" s="148">
        <v>63142294</v>
      </c>
      <c r="AB80" s="150">
        <v>0.31345185962159205</v>
      </c>
    </row>
    <row r="81" spans="1:28" ht="24.95" customHeight="1">
      <c r="A81" s="32" t="e">
        <v>#REF!</v>
      </c>
      <c r="B81" s="144" t="s">
        <v>603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46</v>
      </c>
      <c r="H81" s="145" t="s">
        <v>38</v>
      </c>
      <c r="I81" s="145"/>
      <c r="J81" s="145">
        <v>10</v>
      </c>
      <c r="K81" s="146" t="s">
        <v>29</v>
      </c>
      <c r="L81" s="147" t="s">
        <v>116</v>
      </c>
      <c r="M81" s="148">
        <v>2503588821</v>
      </c>
      <c r="N81" s="148"/>
      <c r="O81" s="148"/>
      <c r="P81" s="148">
        <v>3628797.75</v>
      </c>
      <c r="Q81" s="148">
        <v>187634033</v>
      </c>
      <c r="R81" s="148"/>
      <c r="S81" s="148">
        <v>2319583585.75</v>
      </c>
      <c r="T81" s="148">
        <v>1684187245.75</v>
      </c>
      <c r="U81" s="148">
        <v>635396340</v>
      </c>
      <c r="V81" s="150">
        <v>0.72607310040325412</v>
      </c>
      <c r="W81" s="148">
        <v>1390130302.3800001</v>
      </c>
      <c r="X81" s="148">
        <v>294056943.36999989</v>
      </c>
      <c r="Y81" s="150">
        <v>0.17459872357544831</v>
      </c>
      <c r="Z81" s="148">
        <v>1390013552.3800001</v>
      </c>
      <c r="AA81" s="148">
        <v>116750</v>
      </c>
      <c r="AB81" s="150">
        <v>0.82533195515383517</v>
      </c>
    </row>
    <row r="82" spans="1:28" ht="24.95" customHeight="1">
      <c r="A82" s="32" t="e">
        <v>#REF!</v>
      </c>
      <c r="B82" s="144" t="s">
        <v>605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46</v>
      </c>
      <c r="H82" s="145" t="s">
        <v>40</v>
      </c>
      <c r="I82" s="145"/>
      <c r="J82" s="145">
        <v>10</v>
      </c>
      <c r="K82" s="146" t="s">
        <v>29</v>
      </c>
      <c r="L82" s="147" t="s">
        <v>117</v>
      </c>
      <c r="M82" s="148">
        <v>5781495027</v>
      </c>
      <c r="N82" s="148"/>
      <c r="O82" s="148"/>
      <c r="P82" s="148">
        <v>762275704</v>
      </c>
      <c r="Q82" s="148">
        <v>28672769.75</v>
      </c>
      <c r="R82" s="148"/>
      <c r="S82" s="148">
        <v>6515097961.25</v>
      </c>
      <c r="T82" s="148">
        <v>4991080028.3800001</v>
      </c>
      <c r="U82" s="148">
        <v>1524017932.8699999</v>
      </c>
      <c r="V82" s="150">
        <v>0.76607904563608453</v>
      </c>
      <c r="W82" s="148">
        <v>3068849101.48</v>
      </c>
      <c r="X82" s="148">
        <v>1922230926.9000001</v>
      </c>
      <c r="Y82" s="150">
        <v>0.38513326093148537</v>
      </c>
      <c r="Z82" s="148">
        <v>3059465742.48</v>
      </c>
      <c r="AA82" s="148">
        <v>9383359</v>
      </c>
      <c r="AB82" s="150">
        <v>0.61298671331323817</v>
      </c>
    </row>
    <row r="83" spans="1:28" ht="24.95" customHeight="1">
      <c r="A83" s="32" t="e">
        <v>#REF!</v>
      </c>
      <c r="B83" s="144" t="s">
        <v>607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46</v>
      </c>
      <c r="H83" s="145" t="s">
        <v>44</v>
      </c>
      <c r="I83" s="145"/>
      <c r="J83" s="145">
        <v>10</v>
      </c>
      <c r="K83" s="146" t="s">
        <v>29</v>
      </c>
      <c r="L83" s="147" t="s">
        <v>118</v>
      </c>
      <c r="M83" s="148">
        <v>729998717</v>
      </c>
      <c r="N83" s="148"/>
      <c r="O83" s="148"/>
      <c r="P83" s="148">
        <v>327599379.61000001</v>
      </c>
      <c r="Q83" s="148">
        <v>120095020</v>
      </c>
      <c r="R83" s="148"/>
      <c r="S83" s="148">
        <v>937503076.61000001</v>
      </c>
      <c r="T83" s="148">
        <v>495350667.93000001</v>
      </c>
      <c r="U83" s="148">
        <v>442152408.68000001</v>
      </c>
      <c r="V83" s="150">
        <v>0.52837231182342581</v>
      </c>
      <c r="W83" s="148">
        <v>136336512.59999999</v>
      </c>
      <c r="X83" s="148">
        <v>359014155.33000004</v>
      </c>
      <c r="Y83" s="150">
        <v>0.72476768191364138</v>
      </c>
      <c r="Z83" s="148">
        <v>136336512.59999999</v>
      </c>
      <c r="AA83" s="148">
        <v>0</v>
      </c>
      <c r="AB83" s="150">
        <v>0.27523231808635867</v>
      </c>
    </row>
    <row r="84" spans="1:28" ht="24.95" customHeight="1">
      <c r="A84" s="32" t="e">
        <v>#REF!</v>
      </c>
      <c r="B84" s="144" t="s">
        <v>609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46</v>
      </c>
      <c r="H84" s="145" t="s">
        <v>48</v>
      </c>
      <c r="I84" s="145"/>
      <c r="J84" s="145">
        <v>10</v>
      </c>
      <c r="K84" s="146" t="s">
        <v>29</v>
      </c>
      <c r="L84" s="147" t="s">
        <v>119</v>
      </c>
      <c r="M84" s="148">
        <v>318000000</v>
      </c>
      <c r="N84" s="148"/>
      <c r="O84" s="148"/>
      <c r="P84" s="148"/>
      <c r="Q84" s="148"/>
      <c r="R84" s="148"/>
      <c r="S84" s="148">
        <v>318000000</v>
      </c>
      <c r="T84" s="148">
        <v>143025700</v>
      </c>
      <c r="U84" s="148">
        <v>174974300</v>
      </c>
      <c r="V84" s="150">
        <v>0.44976635220125788</v>
      </c>
      <c r="W84" s="148">
        <v>56228500</v>
      </c>
      <c r="X84" s="148">
        <v>86797200</v>
      </c>
      <c r="Y84" s="150">
        <v>0.606864360740762</v>
      </c>
      <c r="Z84" s="148">
        <v>56228500</v>
      </c>
      <c r="AA84" s="148">
        <v>0</v>
      </c>
      <c r="AB84" s="150">
        <v>0.393135639259238</v>
      </c>
    </row>
    <row r="85" spans="1:28" ht="24.95" customHeight="1">
      <c r="A85" s="32" t="e">
        <v>#REF!</v>
      </c>
      <c r="B85" s="138" t="s">
        <v>397</v>
      </c>
      <c r="C85" s="139" t="s">
        <v>23</v>
      </c>
      <c r="D85" s="139" t="s">
        <v>54</v>
      </c>
      <c r="E85" s="139" t="s">
        <v>54</v>
      </c>
      <c r="F85" s="139" t="s">
        <v>54</v>
      </c>
      <c r="G85" s="139" t="s">
        <v>48</v>
      </c>
      <c r="H85" s="140"/>
      <c r="I85" s="140"/>
      <c r="J85" s="139" t="s">
        <v>28</v>
      </c>
      <c r="K85" s="140" t="s">
        <v>29</v>
      </c>
      <c r="L85" s="140" t="s">
        <v>120</v>
      </c>
      <c r="M85" s="141">
        <v>2932500000</v>
      </c>
      <c r="N85" s="142">
        <v>0</v>
      </c>
      <c r="O85" s="142">
        <v>0</v>
      </c>
      <c r="P85" s="142">
        <v>0</v>
      </c>
      <c r="Q85" s="141">
        <v>380000000</v>
      </c>
      <c r="R85" s="142">
        <v>0</v>
      </c>
      <c r="S85" s="141">
        <v>2552500000</v>
      </c>
      <c r="T85" s="141">
        <v>260372631.09</v>
      </c>
      <c r="U85" s="141">
        <v>2292127368.9099998</v>
      </c>
      <c r="V85" s="143">
        <v>0.10200690738099902</v>
      </c>
      <c r="W85" s="141">
        <v>118657640.09</v>
      </c>
      <c r="X85" s="141">
        <v>141714991</v>
      </c>
      <c r="Y85" s="143">
        <v>0.54427760093961264</v>
      </c>
      <c r="Z85" s="141">
        <v>118158773.09</v>
      </c>
      <c r="AA85" s="141">
        <v>498867</v>
      </c>
      <c r="AB85" s="724">
        <v>0.45380642579579505</v>
      </c>
    </row>
    <row r="86" spans="1:28" ht="24.95" customHeight="1">
      <c r="A86" s="32" t="e">
        <v>#REF!</v>
      </c>
      <c r="B86" s="144" t="s">
        <v>611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34</v>
      </c>
      <c r="I86" s="145"/>
      <c r="J86" s="145">
        <v>10</v>
      </c>
      <c r="K86" s="146" t="s">
        <v>29</v>
      </c>
      <c r="L86" s="147" t="s">
        <v>121</v>
      </c>
      <c r="M86" s="148">
        <v>1250000000</v>
      </c>
      <c r="N86" s="148"/>
      <c r="O86" s="148"/>
      <c r="P86" s="148"/>
      <c r="Q86" s="148">
        <v>380000000</v>
      </c>
      <c r="R86" s="148"/>
      <c r="S86" s="148">
        <v>870000000</v>
      </c>
      <c r="T86" s="148">
        <v>0</v>
      </c>
      <c r="U86" s="148">
        <v>870000000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613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48</v>
      </c>
      <c r="H87" s="145" t="s">
        <v>36</v>
      </c>
      <c r="I87" s="145"/>
      <c r="J87" s="145">
        <v>10</v>
      </c>
      <c r="K87" s="146" t="s">
        <v>29</v>
      </c>
      <c r="L87" s="147" t="s">
        <v>122</v>
      </c>
      <c r="M87" s="148">
        <v>300000000</v>
      </c>
      <c r="N87" s="148"/>
      <c r="O87" s="148"/>
      <c r="P87" s="148"/>
      <c r="Q87" s="148"/>
      <c r="R87" s="148"/>
      <c r="S87" s="148">
        <v>300000000</v>
      </c>
      <c r="T87" s="148">
        <v>135097908</v>
      </c>
      <c r="U87" s="148">
        <v>164902092</v>
      </c>
      <c r="V87" s="150">
        <v>0.45032635999999998</v>
      </c>
      <c r="W87" s="148">
        <v>77587848</v>
      </c>
      <c r="X87" s="148">
        <v>57510060</v>
      </c>
      <c r="Y87" s="150">
        <v>0.42569171389389687</v>
      </c>
      <c r="Z87" s="148">
        <v>77587848</v>
      </c>
      <c r="AA87" s="148">
        <v>0</v>
      </c>
      <c r="AB87" s="150">
        <v>0.57430828610610318</v>
      </c>
    </row>
    <row r="88" spans="1:28" ht="24.95" customHeight="1">
      <c r="A88" s="32" t="e">
        <v>#REF!</v>
      </c>
      <c r="B88" s="144" t="s">
        <v>615</v>
      </c>
      <c r="C88" s="145" t="s">
        <v>23</v>
      </c>
      <c r="D88" s="145" t="s">
        <v>54</v>
      </c>
      <c r="E88" s="145" t="s">
        <v>54</v>
      </c>
      <c r="F88" s="145" t="s">
        <v>54</v>
      </c>
      <c r="G88" s="145" t="s">
        <v>48</v>
      </c>
      <c r="H88" s="145" t="s">
        <v>38</v>
      </c>
      <c r="I88" s="145"/>
      <c r="J88" s="145">
        <v>10</v>
      </c>
      <c r="K88" s="146" t="s">
        <v>29</v>
      </c>
      <c r="L88" s="147" t="s">
        <v>123</v>
      </c>
      <c r="M88" s="148">
        <v>87500000</v>
      </c>
      <c r="N88" s="148"/>
      <c r="O88" s="148"/>
      <c r="P88" s="148"/>
      <c r="Q88" s="148"/>
      <c r="R88" s="148"/>
      <c r="S88" s="148">
        <v>87500000</v>
      </c>
      <c r="T88" s="148">
        <v>35274723.090000004</v>
      </c>
      <c r="U88" s="148">
        <v>52225276.909999996</v>
      </c>
      <c r="V88" s="150">
        <v>0.40313969245714287</v>
      </c>
      <c r="W88" s="148">
        <v>35265798.090000004</v>
      </c>
      <c r="X88" s="148">
        <v>8925</v>
      </c>
      <c r="Y88" s="150">
        <v>2.5301403436190658E-4</v>
      </c>
      <c r="Z88" s="148">
        <v>34766931.090000004</v>
      </c>
      <c r="AA88" s="148">
        <v>498867</v>
      </c>
      <c r="AB88" s="150">
        <v>0.98560464957571969</v>
      </c>
    </row>
    <row r="89" spans="1:28" ht="24.95" customHeight="1">
      <c r="A89" s="32" t="e">
        <v>#REF!</v>
      </c>
      <c r="B89" s="144" t="s">
        <v>617</v>
      </c>
      <c r="C89" s="145" t="s">
        <v>23</v>
      </c>
      <c r="D89" s="145" t="s">
        <v>54</v>
      </c>
      <c r="E89" s="145" t="s">
        <v>54</v>
      </c>
      <c r="F89" s="145" t="s">
        <v>54</v>
      </c>
      <c r="G89" s="145" t="s">
        <v>48</v>
      </c>
      <c r="H89" s="145" t="s">
        <v>42</v>
      </c>
      <c r="I89" s="145"/>
      <c r="J89" s="145">
        <v>10</v>
      </c>
      <c r="K89" s="146" t="s">
        <v>29</v>
      </c>
      <c r="L89" s="147" t="s">
        <v>124</v>
      </c>
      <c r="M89" s="148">
        <v>1250000000</v>
      </c>
      <c r="N89" s="148"/>
      <c r="O89" s="148"/>
      <c r="P89" s="148"/>
      <c r="Q89" s="148"/>
      <c r="R89" s="148"/>
      <c r="S89" s="148">
        <v>1250000000</v>
      </c>
      <c r="T89" s="148">
        <v>90000000</v>
      </c>
      <c r="U89" s="148">
        <v>1160000000</v>
      </c>
      <c r="V89" s="150">
        <v>7.1999999999999995E-2</v>
      </c>
      <c r="W89" s="148">
        <v>5803994</v>
      </c>
      <c r="X89" s="148">
        <v>84196006</v>
      </c>
      <c r="Y89" s="150">
        <v>0.93551117777777781</v>
      </c>
      <c r="Z89" s="148">
        <v>5803994</v>
      </c>
      <c r="AA89" s="148">
        <v>0</v>
      </c>
      <c r="AB89" s="150">
        <v>6.4488822222222228E-2</v>
      </c>
    </row>
    <row r="90" spans="1:28" ht="24.95" customHeight="1">
      <c r="A90" s="32" t="e">
        <v>#REF!</v>
      </c>
      <c r="B90" s="144" t="s">
        <v>619</v>
      </c>
      <c r="C90" s="145" t="s">
        <v>23</v>
      </c>
      <c r="D90" s="145" t="s">
        <v>54</v>
      </c>
      <c r="E90" s="145" t="s">
        <v>54</v>
      </c>
      <c r="F90" s="145" t="s">
        <v>54</v>
      </c>
      <c r="G90" s="145" t="s">
        <v>48</v>
      </c>
      <c r="H90" s="145" t="s">
        <v>44</v>
      </c>
      <c r="I90" s="145"/>
      <c r="J90" s="145">
        <v>10</v>
      </c>
      <c r="K90" s="146" t="s">
        <v>29</v>
      </c>
      <c r="L90" s="147" t="s">
        <v>125</v>
      </c>
      <c r="M90" s="148">
        <v>45000000</v>
      </c>
      <c r="N90" s="148"/>
      <c r="O90" s="148"/>
      <c r="P90" s="149"/>
      <c r="Q90" s="148"/>
      <c r="R90" s="148"/>
      <c r="S90" s="148">
        <v>45000000</v>
      </c>
      <c r="T90" s="148">
        <v>0</v>
      </c>
      <c r="U90" s="148">
        <v>45000000</v>
      </c>
      <c r="V90" s="150">
        <v>0</v>
      </c>
      <c r="W90" s="148">
        <v>0</v>
      </c>
      <c r="X90" s="148">
        <v>0</v>
      </c>
      <c r="Y90" s="150">
        <v>0</v>
      </c>
      <c r="Z90" s="148">
        <v>0</v>
      </c>
      <c r="AA90" s="148">
        <v>0</v>
      </c>
      <c r="AB90" s="150">
        <v>0</v>
      </c>
    </row>
    <row r="91" spans="1:28" ht="24.95" customHeight="1">
      <c r="A91" s="32" t="e">
        <v>#REF!</v>
      </c>
      <c r="B91" s="144" t="s">
        <v>399</v>
      </c>
      <c r="C91" s="145" t="s">
        <v>23</v>
      </c>
      <c r="D91" s="145" t="s">
        <v>54</v>
      </c>
      <c r="E91" s="145" t="s">
        <v>54</v>
      </c>
      <c r="F91" s="145" t="s">
        <v>54</v>
      </c>
      <c r="G91" s="145" t="s">
        <v>50</v>
      </c>
      <c r="H91" s="145"/>
      <c r="I91" s="145"/>
      <c r="J91" s="145" t="s">
        <v>28</v>
      </c>
      <c r="K91" s="146" t="s">
        <v>29</v>
      </c>
      <c r="L91" s="152" t="s">
        <v>126</v>
      </c>
      <c r="M91" s="153">
        <v>922000000</v>
      </c>
      <c r="N91" s="153"/>
      <c r="O91" s="153"/>
      <c r="P91" s="153"/>
      <c r="Q91" s="153"/>
      <c r="R91" s="153"/>
      <c r="S91" s="153">
        <v>922000000</v>
      </c>
      <c r="T91" s="153">
        <v>652350988</v>
      </c>
      <c r="U91" s="153">
        <v>269649012</v>
      </c>
      <c r="V91" s="154">
        <v>0.70753903253796091</v>
      </c>
      <c r="W91" s="153">
        <v>487913767</v>
      </c>
      <c r="X91" s="153">
        <v>164437221</v>
      </c>
      <c r="Y91" s="154">
        <v>0.25206863180224082</v>
      </c>
      <c r="Z91" s="153">
        <v>487913767</v>
      </c>
      <c r="AA91" s="148">
        <v>0</v>
      </c>
      <c r="AB91" s="150">
        <v>0.74793136819775918</v>
      </c>
    </row>
    <row r="92" spans="1:28" ht="36" customHeight="1">
      <c r="A92" s="32" t="e">
        <v>#REF!</v>
      </c>
      <c r="B92" s="122" t="s">
        <v>401</v>
      </c>
      <c r="C92" s="123" t="s">
        <v>23</v>
      </c>
      <c r="D92" s="123" t="s">
        <v>65</v>
      </c>
      <c r="E92" s="123"/>
      <c r="F92" s="123"/>
      <c r="G92" s="123"/>
      <c r="H92" s="123"/>
      <c r="I92" s="123"/>
      <c r="J92" s="124"/>
      <c r="K92" s="124"/>
      <c r="L92" s="124" t="s">
        <v>127</v>
      </c>
      <c r="M92" s="125">
        <v>13468000000</v>
      </c>
      <c r="N92" s="719">
        <v>0</v>
      </c>
      <c r="O92" s="719">
        <v>0</v>
      </c>
      <c r="P92" s="719">
        <v>0</v>
      </c>
      <c r="Q92" s="719">
        <v>0</v>
      </c>
      <c r="R92" s="125">
        <v>10390000000</v>
      </c>
      <c r="S92" s="125">
        <v>3078000000</v>
      </c>
      <c r="T92" s="125">
        <v>1407340932.73</v>
      </c>
      <c r="U92" s="125">
        <v>1670659067.27</v>
      </c>
      <c r="V92" s="126">
        <v>0.45722577411630932</v>
      </c>
      <c r="W92" s="125">
        <v>1147736257.73</v>
      </c>
      <c r="X92" s="125">
        <v>259604675</v>
      </c>
      <c r="Y92" s="126">
        <v>0.18446466592598246</v>
      </c>
      <c r="Z92" s="125">
        <v>1147736257.73</v>
      </c>
      <c r="AA92" s="125">
        <v>0</v>
      </c>
      <c r="AB92" s="720">
        <v>0.81553533407401757</v>
      </c>
    </row>
    <row r="93" spans="1:28" ht="24" customHeight="1">
      <c r="A93" s="32" t="e">
        <v>#REF!</v>
      </c>
      <c r="B93" s="127" t="s">
        <v>621</v>
      </c>
      <c r="C93" s="128" t="s">
        <v>23</v>
      </c>
      <c r="D93" s="128" t="s">
        <v>65</v>
      </c>
      <c r="E93" s="128" t="s">
        <v>65</v>
      </c>
      <c r="F93" s="128"/>
      <c r="G93" s="128"/>
      <c r="H93" s="128"/>
      <c r="I93" s="128"/>
      <c r="J93" s="129"/>
      <c r="K93" s="129"/>
      <c r="L93" s="129" t="s">
        <v>128</v>
      </c>
      <c r="M93" s="130">
        <v>10390000000</v>
      </c>
      <c r="N93" s="721">
        <v>0</v>
      </c>
      <c r="O93" s="721">
        <v>0</v>
      </c>
      <c r="P93" s="721">
        <v>0</v>
      </c>
      <c r="Q93" s="721">
        <v>0</v>
      </c>
      <c r="R93" s="130">
        <v>10390000000</v>
      </c>
      <c r="S93" s="130">
        <v>0</v>
      </c>
      <c r="T93" s="130">
        <v>0</v>
      </c>
      <c r="U93" s="130">
        <v>0</v>
      </c>
      <c r="V93" s="131">
        <v>0</v>
      </c>
      <c r="W93" s="130">
        <v>0</v>
      </c>
      <c r="X93" s="130">
        <v>0</v>
      </c>
      <c r="Y93" s="131">
        <v>0</v>
      </c>
      <c r="Z93" s="130">
        <v>0</v>
      </c>
      <c r="AA93" s="130">
        <v>0</v>
      </c>
      <c r="AB93" s="722">
        <v>0</v>
      </c>
    </row>
    <row r="94" spans="1:28" ht="24" customHeight="1">
      <c r="A94" s="32" t="e">
        <v>#REF!</v>
      </c>
      <c r="B94" s="132" t="s">
        <v>623</v>
      </c>
      <c r="C94" s="133" t="s">
        <v>23</v>
      </c>
      <c r="D94" s="133" t="s">
        <v>65</v>
      </c>
      <c r="E94" s="133" t="s">
        <v>65</v>
      </c>
      <c r="F94" s="133" t="s">
        <v>25</v>
      </c>
      <c r="G94" s="133"/>
      <c r="H94" s="133"/>
      <c r="I94" s="133"/>
      <c r="J94" s="133"/>
      <c r="K94" s="134"/>
      <c r="L94" s="134" t="s">
        <v>129</v>
      </c>
      <c r="M94" s="135">
        <v>10390000000</v>
      </c>
      <c r="N94" s="136">
        <v>0</v>
      </c>
      <c r="O94" s="136">
        <v>0</v>
      </c>
      <c r="P94" s="136">
        <v>0</v>
      </c>
      <c r="Q94" s="136">
        <v>0</v>
      </c>
      <c r="R94" s="135">
        <v>10390000000</v>
      </c>
      <c r="S94" s="135">
        <v>0</v>
      </c>
      <c r="T94" s="135">
        <v>0</v>
      </c>
      <c r="U94" s="135">
        <v>0</v>
      </c>
      <c r="V94" s="137">
        <v>0</v>
      </c>
      <c r="W94" s="135">
        <v>0</v>
      </c>
      <c r="X94" s="135">
        <v>0</v>
      </c>
      <c r="Y94" s="137">
        <v>0</v>
      </c>
      <c r="Z94" s="135">
        <v>0</v>
      </c>
      <c r="AA94" s="135">
        <v>0</v>
      </c>
      <c r="AB94" s="723">
        <v>0</v>
      </c>
    </row>
    <row r="95" spans="1:28" ht="24.95" hidden="1" customHeight="1">
      <c r="A95" s="32" t="e">
        <v>#REF!</v>
      </c>
      <c r="B95" s="144" t="s">
        <v>625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130</v>
      </c>
      <c r="H95" s="145"/>
      <c r="I95" s="145"/>
      <c r="J95" s="145">
        <v>54</v>
      </c>
      <c r="K95" s="146" t="s">
        <v>29</v>
      </c>
      <c r="L95" s="147" t="s">
        <v>131</v>
      </c>
      <c r="M95" s="148"/>
      <c r="N95" s="148"/>
      <c r="O95" s="148"/>
      <c r="P95" s="148"/>
      <c r="Q95" s="148"/>
      <c r="R95" s="148"/>
      <c r="S95" s="148">
        <v>0</v>
      </c>
      <c r="T95" s="149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.95" hidden="1" customHeight="1">
      <c r="A96" s="32" t="e">
        <v>#REF!</v>
      </c>
      <c r="B96" s="144" t="s">
        <v>625</v>
      </c>
      <c r="C96" s="145" t="s">
        <v>23</v>
      </c>
      <c r="D96" s="145" t="s">
        <v>65</v>
      </c>
      <c r="E96" s="145" t="s">
        <v>65</v>
      </c>
      <c r="F96" s="145" t="s">
        <v>25</v>
      </c>
      <c r="G96" s="145" t="s">
        <v>130</v>
      </c>
      <c r="H96" s="145"/>
      <c r="I96" s="145"/>
      <c r="J96" s="145">
        <v>54</v>
      </c>
      <c r="K96" s="146" t="s">
        <v>29</v>
      </c>
      <c r="L96" s="147" t="s">
        <v>132</v>
      </c>
      <c r="M96" s="148"/>
      <c r="N96" s="148"/>
      <c r="O96" s="148"/>
      <c r="P96" s="148"/>
      <c r="Q96" s="148"/>
      <c r="R96" s="148"/>
      <c r="S96" s="148">
        <v>0</v>
      </c>
      <c r="T96" s="149"/>
      <c r="U96" s="148">
        <v>0</v>
      </c>
      <c r="V96" s="150">
        <v>0</v>
      </c>
      <c r="W96" s="148"/>
      <c r="X96" s="148">
        <v>0</v>
      </c>
      <c r="Y96" s="150">
        <v>0</v>
      </c>
      <c r="Z96" s="148"/>
      <c r="AA96" s="148">
        <v>0</v>
      </c>
      <c r="AB96" s="150">
        <v>0</v>
      </c>
    </row>
    <row r="97" spans="1:30" ht="24.95" hidden="1" customHeight="1">
      <c r="A97" s="32" t="e">
        <v>#REF!</v>
      </c>
      <c r="B97" s="144" t="s">
        <v>625</v>
      </c>
      <c r="C97" s="145" t="s">
        <v>23</v>
      </c>
      <c r="D97" s="145" t="s">
        <v>65</v>
      </c>
      <c r="E97" s="145" t="s">
        <v>65</v>
      </c>
      <c r="F97" s="145" t="s">
        <v>25</v>
      </c>
      <c r="G97" s="145" t="s">
        <v>130</v>
      </c>
      <c r="H97" s="145"/>
      <c r="I97" s="145"/>
      <c r="J97" s="145">
        <v>54</v>
      </c>
      <c r="K97" s="146" t="s">
        <v>29</v>
      </c>
      <c r="L97" s="147" t="s">
        <v>133</v>
      </c>
      <c r="M97" s="148"/>
      <c r="N97" s="148"/>
      <c r="O97" s="148"/>
      <c r="P97" s="148"/>
      <c r="Q97" s="148"/>
      <c r="R97" s="148"/>
      <c r="S97" s="148">
        <v>0</v>
      </c>
      <c r="T97" s="149"/>
      <c r="U97" s="148">
        <v>0</v>
      </c>
      <c r="V97" s="150">
        <v>0</v>
      </c>
      <c r="W97" s="148"/>
      <c r="X97" s="148">
        <v>0</v>
      </c>
      <c r="Y97" s="150">
        <v>0</v>
      </c>
      <c r="Z97" s="148"/>
      <c r="AA97" s="148">
        <v>0</v>
      </c>
      <c r="AB97" s="150">
        <v>0</v>
      </c>
    </row>
    <row r="98" spans="1:30" ht="24.95" customHeight="1">
      <c r="A98" s="32" t="e">
        <v>#REF!</v>
      </c>
      <c r="B98" s="144" t="s">
        <v>627</v>
      </c>
      <c r="C98" s="145" t="s">
        <v>23</v>
      </c>
      <c r="D98" s="145" t="s">
        <v>65</v>
      </c>
      <c r="E98" s="145" t="s">
        <v>65</v>
      </c>
      <c r="F98" s="145" t="s">
        <v>25</v>
      </c>
      <c r="G98" s="145" t="s">
        <v>134</v>
      </c>
      <c r="H98" s="145"/>
      <c r="I98" s="145"/>
      <c r="J98" s="145" t="s">
        <v>28</v>
      </c>
      <c r="K98" s="146" t="s">
        <v>29</v>
      </c>
      <c r="L98" s="147" t="s">
        <v>135</v>
      </c>
      <c r="M98" s="149">
        <v>10390000000</v>
      </c>
      <c r="N98" s="148"/>
      <c r="O98" s="148"/>
      <c r="P98" s="148"/>
      <c r="Q98" s="148"/>
      <c r="R98" s="149">
        <v>10390000000</v>
      </c>
      <c r="S98" s="149">
        <v>0</v>
      </c>
      <c r="T98" s="149">
        <v>0</v>
      </c>
      <c r="U98" s="148">
        <v>0</v>
      </c>
      <c r="V98" s="150">
        <v>0</v>
      </c>
      <c r="W98" s="149">
        <v>0</v>
      </c>
      <c r="X98" s="148">
        <v>0</v>
      </c>
      <c r="Y98" s="150">
        <v>0</v>
      </c>
      <c r="Z98" s="148">
        <v>0</v>
      </c>
      <c r="AA98" s="148">
        <v>0</v>
      </c>
      <c r="AB98" s="150">
        <v>0</v>
      </c>
    </row>
    <row r="99" spans="1:30" ht="24.95" hidden="1" customHeight="1">
      <c r="A99" s="32" t="e">
        <v>#REF!</v>
      </c>
      <c r="B99" s="144" t="s">
        <v>627</v>
      </c>
      <c r="C99" s="145" t="s">
        <v>23</v>
      </c>
      <c r="D99" s="145" t="s">
        <v>65</v>
      </c>
      <c r="E99" s="145" t="s">
        <v>65</v>
      </c>
      <c r="F99" s="145" t="s">
        <v>25</v>
      </c>
      <c r="G99" s="145" t="s">
        <v>134</v>
      </c>
      <c r="H99" s="145"/>
      <c r="I99" s="145"/>
      <c r="J99" s="145">
        <v>11</v>
      </c>
      <c r="K99" s="146" t="s">
        <v>29</v>
      </c>
      <c r="L99" s="147" t="s">
        <v>135</v>
      </c>
      <c r="M99" s="148"/>
      <c r="N99" s="148"/>
      <c r="O99" s="148"/>
      <c r="P99" s="148"/>
      <c r="Q99" s="148"/>
      <c r="R99" s="148"/>
      <c r="S99" s="148">
        <v>0</v>
      </c>
      <c r="T99" s="148"/>
      <c r="U99" s="148">
        <v>0</v>
      </c>
      <c r="V99" s="150">
        <v>0</v>
      </c>
      <c r="W99" s="148"/>
      <c r="X99" s="148">
        <v>0</v>
      </c>
      <c r="Y99" s="150">
        <v>0</v>
      </c>
      <c r="Z99" s="148"/>
      <c r="AA99" s="148">
        <v>0</v>
      </c>
      <c r="AB99" s="150">
        <v>0</v>
      </c>
    </row>
    <row r="100" spans="1:30" ht="24" customHeight="1">
      <c r="A100" s="32" t="e">
        <v>#REF!</v>
      </c>
      <c r="B100" s="127" t="s">
        <v>403</v>
      </c>
      <c r="C100" s="128" t="s">
        <v>23</v>
      </c>
      <c r="D100" s="128" t="s">
        <v>65</v>
      </c>
      <c r="E100" s="128" t="s">
        <v>136</v>
      </c>
      <c r="F100" s="128"/>
      <c r="G100" s="128"/>
      <c r="H100" s="128"/>
      <c r="I100" s="128"/>
      <c r="J100" s="129"/>
      <c r="K100" s="129"/>
      <c r="L100" s="129" t="s">
        <v>137</v>
      </c>
      <c r="M100" s="130">
        <v>719000000</v>
      </c>
      <c r="N100" s="721">
        <v>0</v>
      </c>
      <c r="O100" s="721">
        <v>0</v>
      </c>
      <c r="P100" s="721">
        <v>0</v>
      </c>
      <c r="Q100" s="721">
        <v>0</v>
      </c>
      <c r="R100" s="721">
        <v>0</v>
      </c>
      <c r="S100" s="130">
        <v>719000000</v>
      </c>
      <c r="T100" s="130">
        <v>410833202</v>
      </c>
      <c r="U100" s="130">
        <v>308166798</v>
      </c>
      <c r="V100" s="131">
        <v>0.57139527399165513</v>
      </c>
      <c r="W100" s="130">
        <v>151228527</v>
      </c>
      <c r="X100" s="130">
        <v>259604675</v>
      </c>
      <c r="Y100" s="131">
        <v>0.63189799104893185</v>
      </c>
      <c r="Z100" s="130">
        <v>151228527</v>
      </c>
      <c r="AA100" s="721">
        <v>0</v>
      </c>
      <c r="AB100" s="722">
        <v>0.36810200895106815</v>
      </c>
    </row>
    <row r="101" spans="1:30" ht="24" customHeight="1">
      <c r="A101" s="32" t="e">
        <v>#REF!</v>
      </c>
      <c r="B101" s="132" t="s">
        <v>405</v>
      </c>
      <c r="C101" s="133" t="s">
        <v>23</v>
      </c>
      <c r="D101" s="133" t="s">
        <v>65</v>
      </c>
      <c r="E101" s="133" t="s">
        <v>136</v>
      </c>
      <c r="F101" s="133" t="s">
        <v>54</v>
      </c>
      <c r="G101" s="133"/>
      <c r="H101" s="133"/>
      <c r="I101" s="133"/>
      <c r="J101" s="133" t="s">
        <v>28</v>
      </c>
      <c r="K101" s="134" t="s">
        <v>29</v>
      </c>
      <c r="L101" s="134" t="s">
        <v>138</v>
      </c>
      <c r="M101" s="135">
        <v>719000000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5">
        <v>719000000</v>
      </c>
      <c r="T101" s="135">
        <v>410833202</v>
      </c>
      <c r="U101" s="135">
        <v>308166798</v>
      </c>
      <c r="V101" s="137">
        <v>0.57139527399165513</v>
      </c>
      <c r="W101" s="135">
        <v>151228527</v>
      </c>
      <c r="X101" s="135">
        <v>259604675</v>
      </c>
      <c r="Y101" s="137">
        <v>0.63189799104893185</v>
      </c>
      <c r="Z101" s="135">
        <v>151228527</v>
      </c>
      <c r="AA101" s="136">
        <v>0</v>
      </c>
      <c r="AB101" s="723">
        <v>0.36810200895106815</v>
      </c>
    </row>
    <row r="102" spans="1:30" ht="24.95" customHeight="1">
      <c r="A102" s="32" t="e">
        <v>#REF!</v>
      </c>
      <c r="B102" s="138" t="s">
        <v>407</v>
      </c>
      <c r="C102" s="139" t="s">
        <v>23</v>
      </c>
      <c r="D102" s="139" t="s">
        <v>65</v>
      </c>
      <c r="E102" s="139" t="s">
        <v>136</v>
      </c>
      <c r="F102" s="139" t="s">
        <v>54</v>
      </c>
      <c r="G102" s="139" t="s">
        <v>52</v>
      </c>
      <c r="H102" s="139"/>
      <c r="I102" s="139"/>
      <c r="J102" s="139" t="s">
        <v>28</v>
      </c>
      <c r="K102" s="140" t="s">
        <v>29</v>
      </c>
      <c r="L102" s="140" t="s">
        <v>139</v>
      </c>
      <c r="M102" s="141">
        <v>719000000</v>
      </c>
      <c r="N102" s="142">
        <v>0</v>
      </c>
      <c r="O102" s="142">
        <v>0</v>
      </c>
      <c r="P102" s="142">
        <v>0</v>
      </c>
      <c r="Q102" s="142">
        <v>0</v>
      </c>
      <c r="R102" s="142">
        <v>0</v>
      </c>
      <c r="S102" s="141">
        <v>719000000</v>
      </c>
      <c r="T102" s="141">
        <v>410833202</v>
      </c>
      <c r="U102" s="141">
        <v>308166798</v>
      </c>
      <c r="V102" s="143">
        <v>0.57139527399165513</v>
      </c>
      <c r="W102" s="141">
        <v>151228527</v>
      </c>
      <c r="X102" s="141">
        <v>259604675</v>
      </c>
      <c r="Y102" s="143">
        <v>0.63189799104893185</v>
      </c>
      <c r="Z102" s="141">
        <v>151228527</v>
      </c>
      <c r="AA102" s="142">
        <v>0</v>
      </c>
      <c r="AB102" s="724">
        <v>0.36810200895106815</v>
      </c>
    </row>
    <row r="103" spans="1:30" ht="24.95" customHeight="1">
      <c r="A103" s="32" t="e">
        <v>#REF!</v>
      </c>
      <c r="B103" s="144" t="s">
        <v>409</v>
      </c>
      <c r="C103" s="145" t="s">
        <v>23</v>
      </c>
      <c r="D103" s="145" t="s">
        <v>65</v>
      </c>
      <c r="E103" s="145" t="s">
        <v>136</v>
      </c>
      <c r="F103" s="145" t="s">
        <v>54</v>
      </c>
      <c r="G103" s="145" t="s">
        <v>52</v>
      </c>
      <c r="H103" s="145" t="s">
        <v>31</v>
      </c>
      <c r="I103" s="145"/>
      <c r="J103" s="145" t="s">
        <v>28</v>
      </c>
      <c r="K103" s="146" t="s">
        <v>29</v>
      </c>
      <c r="L103" s="147" t="s">
        <v>140</v>
      </c>
      <c r="M103" s="148">
        <v>359500000</v>
      </c>
      <c r="N103" s="148"/>
      <c r="O103" s="148"/>
      <c r="P103" s="148"/>
      <c r="Q103" s="148"/>
      <c r="R103" s="148"/>
      <c r="S103" s="148">
        <v>359500000</v>
      </c>
      <c r="T103" s="148">
        <v>255895364</v>
      </c>
      <c r="U103" s="148">
        <v>103604636</v>
      </c>
      <c r="V103" s="150">
        <v>0.71180907927677328</v>
      </c>
      <c r="W103" s="148">
        <v>140494801</v>
      </c>
      <c r="X103" s="148">
        <v>115400563</v>
      </c>
      <c r="Y103" s="150">
        <v>0.45096777525051218</v>
      </c>
      <c r="Z103" s="148">
        <v>140494801</v>
      </c>
      <c r="AA103" s="148">
        <v>0</v>
      </c>
      <c r="AB103" s="150">
        <v>0.54903222474948787</v>
      </c>
    </row>
    <row r="104" spans="1:30" ht="24.95" customHeight="1">
      <c r="A104" s="32" t="e">
        <v>#REF!</v>
      </c>
      <c r="B104" s="144" t="s">
        <v>411</v>
      </c>
      <c r="C104" s="145" t="s">
        <v>23</v>
      </c>
      <c r="D104" s="145" t="s">
        <v>65</v>
      </c>
      <c r="E104" s="145" t="s">
        <v>136</v>
      </c>
      <c r="F104" s="145" t="s">
        <v>54</v>
      </c>
      <c r="G104" s="145" t="s">
        <v>52</v>
      </c>
      <c r="H104" s="145" t="s">
        <v>34</v>
      </c>
      <c r="I104" s="145"/>
      <c r="J104" s="145" t="s">
        <v>28</v>
      </c>
      <c r="K104" s="146" t="s">
        <v>29</v>
      </c>
      <c r="L104" s="147" t="s">
        <v>141</v>
      </c>
      <c r="M104" s="148">
        <v>359500000</v>
      </c>
      <c r="N104" s="148"/>
      <c r="O104" s="148"/>
      <c r="P104" s="148"/>
      <c r="Q104" s="148"/>
      <c r="R104" s="148"/>
      <c r="S104" s="148">
        <v>359500000</v>
      </c>
      <c r="T104" s="148">
        <v>154937838</v>
      </c>
      <c r="U104" s="148">
        <v>204562162</v>
      </c>
      <c r="V104" s="150">
        <v>0.43098146870653686</v>
      </c>
      <c r="W104" s="148">
        <v>10733726</v>
      </c>
      <c r="X104" s="148">
        <v>144204112</v>
      </c>
      <c r="Y104" s="150">
        <v>0.93072237138096636</v>
      </c>
      <c r="Z104" s="148">
        <v>10733726</v>
      </c>
      <c r="AA104" s="148">
        <v>0</v>
      </c>
      <c r="AB104" s="150">
        <v>6.9277628619033652E-2</v>
      </c>
    </row>
    <row r="105" spans="1:30" ht="24.95" hidden="1" customHeight="1">
      <c r="A105" s="32" t="e">
        <v>#REF!</v>
      </c>
      <c r="B105" s="32"/>
      <c r="C105" s="145" t="s">
        <v>23</v>
      </c>
      <c r="D105" s="145" t="s">
        <v>65</v>
      </c>
      <c r="E105" s="145" t="s">
        <v>136</v>
      </c>
      <c r="F105" s="145" t="s">
        <v>54</v>
      </c>
      <c r="G105" s="145" t="s">
        <v>142</v>
      </c>
      <c r="H105" s="145"/>
      <c r="I105" s="145"/>
      <c r="J105" s="145" t="s">
        <v>28</v>
      </c>
      <c r="K105" s="146" t="s">
        <v>29</v>
      </c>
      <c r="L105" s="147" t="s">
        <v>260</v>
      </c>
      <c r="M105" s="148">
        <v>0</v>
      </c>
      <c r="N105" s="148"/>
      <c r="O105" s="148"/>
      <c r="P105" s="148"/>
      <c r="Q105" s="148"/>
      <c r="R105" s="148"/>
      <c r="S105" s="148">
        <v>0</v>
      </c>
      <c r="T105" s="148">
        <v>0</v>
      </c>
      <c r="U105" s="148">
        <v>0</v>
      </c>
      <c r="V105" s="150">
        <v>0</v>
      </c>
      <c r="W105" s="148">
        <v>0</v>
      </c>
      <c r="X105" s="148">
        <v>0</v>
      </c>
      <c r="Y105" s="150">
        <v>0</v>
      </c>
      <c r="Z105" s="148">
        <v>0</v>
      </c>
      <c r="AA105" s="148">
        <v>0</v>
      </c>
      <c r="AB105" s="150">
        <v>0</v>
      </c>
    </row>
    <row r="106" spans="1:30" ht="24" customHeight="1">
      <c r="A106" s="32" t="e">
        <v>#REF!</v>
      </c>
      <c r="B106" s="127" t="s">
        <v>415</v>
      </c>
      <c r="C106" s="128" t="s">
        <v>23</v>
      </c>
      <c r="D106" s="128" t="s">
        <v>65</v>
      </c>
      <c r="E106" s="128" t="s">
        <v>28</v>
      </c>
      <c r="F106" s="128"/>
      <c r="G106" s="128"/>
      <c r="H106" s="128"/>
      <c r="I106" s="128"/>
      <c r="J106" s="129"/>
      <c r="K106" s="129"/>
      <c r="L106" s="129" t="s">
        <v>143</v>
      </c>
      <c r="M106" s="130">
        <v>2359000000</v>
      </c>
      <c r="N106" s="721">
        <v>0</v>
      </c>
      <c r="O106" s="721">
        <v>0</v>
      </c>
      <c r="P106" s="721">
        <v>0</v>
      </c>
      <c r="Q106" s="721">
        <v>0</v>
      </c>
      <c r="R106" s="721">
        <v>0</v>
      </c>
      <c r="S106" s="130">
        <v>2359000000</v>
      </c>
      <c r="T106" s="130">
        <v>996507730.73000002</v>
      </c>
      <c r="U106" s="130">
        <v>1362492269.27</v>
      </c>
      <c r="V106" s="131">
        <v>0.42242803337431117</v>
      </c>
      <c r="W106" s="130">
        <v>996507730.73000002</v>
      </c>
      <c r="X106" s="130">
        <v>0</v>
      </c>
      <c r="Y106" s="131">
        <v>0</v>
      </c>
      <c r="Z106" s="130">
        <v>996507730.73000002</v>
      </c>
      <c r="AA106" s="130">
        <v>0</v>
      </c>
      <c r="AB106" s="722">
        <v>1</v>
      </c>
    </row>
    <row r="107" spans="1:30" ht="24" customHeight="1">
      <c r="A107" s="32" t="e">
        <v>#REF!</v>
      </c>
      <c r="B107" s="132" t="s">
        <v>417</v>
      </c>
      <c r="C107" s="133" t="s">
        <v>23</v>
      </c>
      <c r="D107" s="133" t="s">
        <v>65</v>
      </c>
      <c r="E107" s="133" t="s">
        <v>28</v>
      </c>
      <c r="F107" s="133" t="s">
        <v>25</v>
      </c>
      <c r="G107" s="133"/>
      <c r="H107" s="133"/>
      <c r="I107" s="133"/>
      <c r="J107" s="133" t="s">
        <v>144</v>
      </c>
      <c r="K107" s="134" t="s">
        <v>29</v>
      </c>
      <c r="L107" s="134" t="s">
        <v>145</v>
      </c>
      <c r="M107" s="135">
        <v>2359000000</v>
      </c>
      <c r="N107" s="135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2359000000</v>
      </c>
      <c r="T107" s="135">
        <v>996507730.73000002</v>
      </c>
      <c r="U107" s="135">
        <v>1362492269.27</v>
      </c>
      <c r="V107" s="137">
        <v>0.42242803337431117</v>
      </c>
      <c r="W107" s="135">
        <v>996507730.73000002</v>
      </c>
      <c r="X107" s="135">
        <v>0</v>
      </c>
      <c r="Y107" s="137">
        <v>0</v>
      </c>
      <c r="Z107" s="135">
        <v>996507730.73000002</v>
      </c>
      <c r="AA107" s="135">
        <v>0</v>
      </c>
      <c r="AB107" s="723">
        <v>1</v>
      </c>
    </row>
    <row r="108" spans="1:30" ht="24.95" customHeight="1">
      <c r="A108" s="32" t="e">
        <v>#REF!</v>
      </c>
      <c r="B108" s="144" t="s">
        <v>418</v>
      </c>
      <c r="C108" s="145" t="s">
        <v>23</v>
      </c>
      <c r="D108" s="145" t="s">
        <v>65</v>
      </c>
      <c r="E108" s="145" t="s">
        <v>28</v>
      </c>
      <c r="F108" s="145" t="s">
        <v>25</v>
      </c>
      <c r="G108" s="145" t="s">
        <v>31</v>
      </c>
      <c r="H108" s="145"/>
      <c r="I108" s="145"/>
      <c r="J108" s="145">
        <v>10</v>
      </c>
      <c r="K108" s="146" t="s">
        <v>29</v>
      </c>
      <c r="L108" s="147" t="s">
        <v>146</v>
      </c>
      <c r="M108" s="149">
        <v>2311820000</v>
      </c>
      <c r="N108" s="148"/>
      <c r="O108" s="148"/>
      <c r="P108" s="148"/>
      <c r="Q108" s="148"/>
      <c r="R108" s="148"/>
      <c r="S108" s="148">
        <v>2311820000</v>
      </c>
      <c r="T108" s="149">
        <v>977095137.73000002</v>
      </c>
      <c r="U108" s="148">
        <v>1334724862.27</v>
      </c>
      <c r="V108" s="150">
        <v>0.42265190963396804</v>
      </c>
      <c r="W108" s="148">
        <v>977095137.73000002</v>
      </c>
      <c r="X108" s="148">
        <v>0</v>
      </c>
      <c r="Y108" s="150">
        <v>0</v>
      </c>
      <c r="Z108" s="148">
        <v>977095137.73000002</v>
      </c>
      <c r="AA108" s="148">
        <v>0</v>
      </c>
      <c r="AB108" s="150">
        <v>1</v>
      </c>
    </row>
    <row r="109" spans="1:30" ht="24.95" customHeight="1">
      <c r="A109" s="32" t="e">
        <v>#REF!</v>
      </c>
      <c r="B109" s="144" t="s">
        <v>419</v>
      </c>
      <c r="C109" s="145" t="s">
        <v>23</v>
      </c>
      <c r="D109" s="145" t="s">
        <v>65</v>
      </c>
      <c r="E109" s="145" t="s">
        <v>28</v>
      </c>
      <c r="F109" s="145" t="s">
        <v>25</v>
      </c>
      <c r="G109" s="151" t="s">
        <v>34</v>
      </c>
      <c r="H109" s="145"/>
      <c r="I109" s="145"/>
      <c r="J109" s="145">
        <v>10</v>
      </c>
      <c r="K109" s="146" t="s">
        <v>29</v>
      </c>
      <c r="L109" s="147" t="s">
        <v>147</v>
      </c>
      <c r="M109" s="149">
        <v>47180000</v>
      </c>
      <c r="N109" s="148"/>
      <c r="O109" s="148"/>
      <c r="P109" s="148"/>
      <c r="Q109" s="148"/>
      <c r="R109" s="148"/>
      <c r="S109" s="148">
        <v>47180000</v>
      </c>
      <c r="T109" s="149">
        <v>19412593</v>
      </c>
      <c r="U109" s="148">
        <v>27767407</v>
      </c>
      <c r="V109" s="150">
        <v>0.41145809665112337</v>
      </c>
      <c r="W109" s="148">
        <v>19412593</v>
      </c>
      <c r="X109" s="148">
        <v>0</v>
      </c>
      <c r="Y109" s="150">
        <v>0</v>
      </c>
      <c r="Z109" s="148">
        <v>19412593</v>
      </c>
      <c r="AA109" s="148">
        <v>0</v>
      </c>
      <c r="AB109" s="150">
        <v>1</v>
      </c>
    </row>
    <row r="110" spans="1:30" ht="24" customHeight="1">
      <c r="A110" s="32" t="e">
        <v>#REF!</v>
      </c>
      <c r="B110" s="122" t="s">
        <v>421</v>
      </c>
      <c r="C110" s="123" t="s">
        <v>23</v>
      </c>
      <c r="D110" s="123" t="s">
        <v>148</v>
      </c>
      <c r="E110" s="123"/>
      <c r="F110" s="123"/>
      <c r="G110" s="123"/>
      <c r="H110" s="123"/>
      <c r="I110" s="123"/>
      <c r="J110" s="124"/>
      <c r="K110" s="124"/>
      <c r="L110" s="124" t="s">
        <v>149</v>
      </c>
      <c r="M110" s="125">
        <v>17105900000</v>
      </c>
      <c r="N110" s="719">
        <v>0</v>
      </c>
      <c r="O110" s="719">
        <v>0</v>
      </c>
      <c r="P110" s="719">
        <v>0</v>
      </c>
      <c r="Q110" s="719">
        <v>0</v>
      </c>
      <c r="R110" s="719">
        <v>0</v>
      </c>
      <c r="S110" s="125">
        <v>17105900000</v>
      </c>
      <c r="T110" s="125">
        <v>77024818</v>
      </c>
      <c r="U110" s="125">
        <v>17028875182</v>
      </c>
      <c r="V110" s="126">
        <v>4.5028217164837861E-3</v>
      </c>
      <c r="W110" s="125">
        <v>76947028</v>
      </c>
      <c r="X110" s="125">
        <v>77790</v>
      </c>
      <c r="Y110" s="126">
        <v>1.0099342266540637E-3</v>
      </c>
      <c r="Z110" s="125">
        <v>76674628</v>
      </c>
      <c r="AA110" s="125">
        <v>272400</v>
      </c>
      <c r="AB110" s="720">
        <v>0.99545354329821334</v>
      </c>
    </row>
    <row r="111" spans="1:30" ht="24" customHeight="1">
      <c r="A111" s="32" t="e">
        <v>#REF!</v>
      </c>
      <c r="B111" s="127" t="s">
        <v>423</v>
      </c>
      <c r="C111" s="128" t="s">
        <v>23</v>
      </c>
      <c r="D111" s="128" t="s">
        <v>148</v>
      </c>
      <c r="E111" s="128" t="s">
        <v>25</v>
      </c>
      <c r="F111" s="128"/>
      <c r="G111" s="128"/>
      <c r="H111" s="128"/>
      <c r="I111" s="128"/>
      <c r="J111" s="129"/>
      <c r="K111" s="129"/>
      <c r="L111" s="129" t="s">
        <v>150</v>
      </c>
      <c r="M111" s="130">
        <v>137900000</v>
      </c>
      <c r="N111" s="721">
        <v>0</v>
      </c>
      <c r="O111" s="721">
        <v>0</v>
      </c>
      <c r="P111" s="721">
        <v>0</v>
      </c>
      <c r="Q111" s="721">
        <v>0</v>
      </c>
      <c r="R111" s="721">
        <v>0</v>
      </c>
      <c r="S111" s="130">
        <v>137900000</v>
      </c>
      <c r="T111" s="130">
        <v>77024818</v>
      </c>
      <c r="U111" s="130">
        <v>60875182</v>
      </c>
      <c r="V111" s="131">
        <v>0.55855560551124006</v>
      </c>
      <c r="W111" s="130">
        <v>76947028</v>
      </c>
      <c r="X111" s="130">
        <v>77790</v>
      </c>
      <c r="Y111" s="131">
        <v>1.0099342266540637E-3</v>
      </c>
      <c r="Z111" s="130">
        <v>76674628</v>
      </c>
      <c r="AA111" s="130">
        <v>272400</v>
      </c>
      <c r="AB111" s="722">
        <v>0.99545354329821334</v>
      </c>
    </row>
    <row r="112" spans="1:30" ht="24" customHeight="1">
      <c r="A112" s="32" t="e">
        <v>#REF!</v>
      </c>
      <c r="B112" s="132" t="s">
        <v>425</v>
      </c>
      <c r="C112" s="133" t="s">
        <v>23</v>
      </c>
      <c r="D112" s="133" t="s">
        <v>148</v>
      </c>
      <c r="E112" s="133" t="s">
        <v>25</v>
      </c>
      <c r="F112" s="133" t="s">
        <v>54</v>
      </c>
      <c r="G112" s="133"/>
      <c r="H112" s="133"/>
      <c r="I112" s="133"/>
      <c r="J112" s="133" t="s">
        <v>28</v>
      </c>
      <c r="K112" s="134" t="s">
        <v>29</v>
      </c>
      <c r="L112" s="134" t="s">
        <v>151</v>
      </c>
      <c r="M112" s="135">
        <v>137900000</v>
      </c>
      <c r="N112" s="136">
        <v>0</v>
      </c>
      <c r="O112" s="136">
        <v>0</v>
      </c>
      <c r="P112" s="136">
        <v>0</v>
      </c>
      <c r="Q112" s="136">
        <v>0</v>
      </c>
      <c r="R112" s="136">
        <v>0</v>
      </c>
      <c r="S112" s="135">
        <v>137900000</v>
      </c>
      <c r="T112" s="135">
        <v>77024818</v>
      </c>
      <c r="U112" s="135">
        <v>60875182</v>
      </c>
      <c r="V112" s="137">
        <v>0.55855560551124006</v>
      </c>
      <c r="W112" s="135">
        <v>76947028</v>
      </c>
      <c r="X112" s="136">
        <v>77790</v>
      </c>
      <c r="Y112" s="137">
        <v>1.0099342266540637E-3</v>
      </c>
      <c r="Z112" s="135">
        <v>76674628</v>
      </c>
      <c r="AA112" s="135">
        <v>272400</v>
      </c>
      <c r="AB112" s="723">
        <v>0.99545354329821334</v>
      </c>
    </row>
    <row r="113" spans="1:28" ht="24.95" customHeight="1">
      <c r="A113" s="32" t="e">
        <v>#REF!</v>
      </c>
      <c r="B113" s="144" t="s">
        <v>427</v>
      </c>
      <c r="C113" s="145" t="s">
        <v>23</v>
      </c>
      <c r="D113" s="145" t="s">
        <v>148</v>
      </c>
      <c r="E113" s="145" t="s">
        <v>25</v>
      </c>
      <c r="F113" s="145" t="s">
        <v>54</v>
      </c>
      <c r="G113" s="145" t="s">
        <v>31</v>
      </c>
      <c r="H113" s="145"/>
      <c r="I113" s="145"/>
      <c r="J113" s="145" t="s">
        <v>28</v>
      </c>
      <c r="K113" s="146" t="s">
        <v>29</v>
      </c>
      <c r="L113" s="147" t="s">
        <v>152</v>
      </c>
      <c r="M113" s="148">
        <v>61800000</v>
      </c>
      <c r="N113" s="148">
        <v>0</v>
      </c>
      <c r="O113" s="148"/>
      <c r="P113" s="148"/>
      <c r="Q113" s="148"/>
      <c r="R113" s="148"/>
      <c r="S113" s="148">
        <v>61800000</v>
      </c>
      <c r="T113" s="148">
        <v>46149614</v>
      </c>
      <c r="U113" s="148">
        <v>15650386</v>
      </c>
      <c r="V113" s="150">
        <v>0.74675750809061492</v>
      </c>
      <c r="W113" s="148">
        <v>46149614</v>
      </c>
      <c r="X113" s="148">
        <v>0</v>
      </c>
      <c r="Y113" s="150">
        <v>0</v>
      </c>
      <c r="Z113" s="148">
        <v>46149614</v>
      </c>
      <c r="AA113" s="148">
        <v>0</v>
      </c>
      <c r="AB113" s="150">
        <v>1</v>
      </c>
    </row>
    <row r="114" spans="1:28" ht="24.95" customHeight="1">
      <c r="A114" s="32" t="e">
        <v>#REF!</v>
      </c>
      <c r="B114" s="144" t="s">
        <v>429</v>
      </c>
      <c r="C114" s="145" t="s">
        <v>23</v>
      </c>
      <c r="D114" s="145" t="s">
        <v>148</v>
      </c>
      <c r="E114" s="145" t="s">
        <v>25</v>
      </c>
      <c r="F114" s="145" t="s">
        <v>54</v>
      </c>
      <c r="G114" s="145" t="s">
        <v>38</v>
      </c>
      <c r="H114" s="145"/>
      <c r="I114" s="145"/>
      <c r="J114" s="145" t="s">
        <v>28</v>
      </c>
      <c r="K114" s="146" t="s">
        <v>29</v>
      </c>
      <c r="L114" s="147" t="s">
        <v>153</v>
      </c>
      <c r="M114" s="148">
        <v>50000000</v>
      </c>
      <c r="N114" s="148"/>
      <c r="O114" s="148"/>
      <c r="P114" s="148"/>
      <c r="Q114" s="148"/>
      <c r="R114" s="148"/>
      <c r="S114" s="148">
        <v>50000000</v>
      </c>
      <c r="T114" s="148">
        <v>24649054</v>
      </c>
      <c r="U114" s="148">
        <v>25350946</v>
      </c>
      <c r="V114" s="150">
        <v>0.49298108000000002</v>
      </c>
      <c r="W114" s="148">
        <v>24571264</v>
      </c>
      <c r="X114" s="148">
        <v>77790</v>
      </c>
      <c r="Y114" s="150">
        <v>3.1559020480055747E-3</v>
      </c>
      <c r="Z114" s="148">
        <v>24298864</v>
      </c>
      <c r="AA114" s="148">
        <v>272400</v>
      </c>
      <c r="AB114" s="150">
        <v>0.98579296390035898</v>
      </c>
    </row>
    <row r="115" spans="1:28" ht="24.95" customHeight="1">
      <c r="A115" s="32" t="e">
        <v>#REF!</v>
      </c>
      <c r="B115" s="144" t="s">
        <v>431</v>
      </c>
      <c r="C115" s="145" t="s">
        <v>23</v>
      </c>
      <c r="D115" s="145" t="s">
        <v>148</v>
      </c>
      <c r="E115" s="145" t="s">
        <v>25</v>
      </c>
      <c r="F115" s="145" t="s">
        <v>54</v>
      </c>
      <c r="G115" s="145" t="s">
        <v>42</v>
      </c>
      <c r="H115" s="145"/>
      <c r="I115" s="145"/>
      <c r="J115" s="145" t="s">
        <v>28</v>
      </c>
      <c r="K115" s="146" t="s">
        <v>29</v>
      </c>
      <c r="L115" s="147" t="s">
        <v>154</v>
      </c>
      <c r="M115" s="148">
        <v>26100000</v>
      </c>
      <c r="N115" s="148">
        <v>0</v>
      </c>
      <c r="O115" s="148"/>
      <c r="P115" s="148"/>
      <c r="Q115" s="148"/>
      <c r="R115" s="148"/>
      <c r="S115" s="148">
        <v>26100000</v>
      </c>
      <c r="T115" s="148">
        <v>6226150</v>
      </c>
      <c r="U115" s="148">
        <v>19873850</v>
      </c>
      <c r="V115" s="150">
        <v>0.23854980842911877</v>
      </c>
      <c r="W115" s="148">
        <v>6226150</v>
      </c>
      <c r="X115" s="148">
        <v>0</v>
      </c>
      <c r="Y115" s="150">
        <v>0</v>
      </c>
      <c r="Z115" s="148">
        <v>6226150</v>
      </c>
      <c r="AA115" s="148">
        <v>0</v>
      </c>
      <c r="AB115" s="150">
        <v>1</v>
      </c>
    </row>
    <row r="116" spans="1:28" ht="24" customHeight="1">
      <c r="A116" s="32" t="e">
        <v>#REF!</v>
      </c>
      <c r="B116" s="127" t="s">
        <v>432</v>
      </c>
      <c r="C116" s="128" t="s">
        <v>23</v>
      </c>
      <c r="D116" s="128" t="s">
        <v>148</v>
      </c>
      <c r="E116" s="128" t="s">
        <v>136</v>
      </c>
      <c r="F116" s="128"/>
      <c r="G116" s="128"/>
      <c r="H116" s="128"/>
      <c r="I116" s="128"/>
      <c r="J116" s="129"/>
      <c r="K116" s="129"/>
      <c r="L116" s="129" t="s">
        <v>155</v>
      </c>
      <c r="M116" s="130">
        <v>16968000000</v>
      </c>
      <c r="N116" s="721">
        <v>0</v>
      </c>
      <c r="O116" s="721">
        <v>0</v>
      </c>
      <c r="P116" s="721">
        <v>0</v>
      </c>
      <c r="Q116" s="721">
        <v>0</v>
      </c>
      <c r="R116" s="721">
        <v>0</v>
      </c>
      <c r="S116" s="130">
        <v>16968000000</v>
      </c>
      <c r="T116" s="130">
        <v>0</v>
      </c>
      <c r="U116" s="130">
        <v>16968000000</v>
      </c>
      <c r="V116" s="131">
        <v>0</v>
      </c>
      <c r="W116" s="130">
        <v>0</v>
      </c>
      <c r="X116" s="130">
        <v>0</v>
      </c>
      <c r="Y116" s="131">
        <v>0</v>
      </c>
      <c r="Z116" s="130">
        <v>0</v>
      </c>
      <c r="AA116" s="130">
        <v>0</v>
      </c>
      <c r="AB116" s="722">
        <v>0</v>
      </c>
    </row>
    <row r="117" spans="1:28" ht="24.95" hidden="1" customHeight="1">
      <c r="A117" s="32"/>
      <c r="B117" s="32"/>
      <c r="C117" s="145" t="s">
        <v>23</v>
      </c>
      <c r="D117" s="145" t="s">
        <v>148</v>
      </c>
      <c r="E117" s="145" t="s">
        <v>136</v>
      </c>
      <c r="F117" s="145" t="s">
        <v>25</v>
      </c>
      <c r="G117" s="145"/>
      <c r="H117" s="145"/>
      <c r="I117" s="145"/>
      <c r="J117" s="145">
        <v>10</v>
      </c>
      <c r="K117" s="146" t="s">
        <v>156</v>
      </c>
      <c r="L117" s="147" t="s">
        <v>157</v>
      </c>
      <c r="M117" s="148">
        <v>0</v>
      </c>
      <c r="N117" s="148"/>
      <c r="O117" s="148"/>
      <c r="P117" s="148"/>
      <c r="Q117" s="148"/>
      <c r="R117" s="148"/>
      <c r="S117" s="148">
        <v>0</v>
      </c>
      <c r="T117" s="148">
        <v>0</v>
      </c>
      <c r="U117" s="148">
        <v>0</v>
      </c>
      <c r="V117" s="150">
        <v>0</v>
      </c>
      <c r="W117" s="148">
        <v>0</v>
      </c>
      <c r="X117" s="148">
        <v>0</v>
      </c>
      <c r="Y117" s="150">
        <v>0</v>
      </c>
      <c r="Z117" s="148">
        <v>0</v>
      </c>
      <c r="AA117" s="148">
        <v>0</v>
      </c>
      <c r="AB117" s="150">
        <v>0</v>
      </c>
    </row>
    <row r="118" spans="1:28" ht="24.95" customHeight="1">
      <c r="A118" s="32" t="e">
        <v>#REF!</v>
      </c>
      <c r="B118" s="144" t="s">
        <v>434</v>
      </c>
      <c r="C118" s="145" t="s">
        <v>23</v>
      </c>
      <c r="D118" s="145" t="s">
        <v>148</v>
      </c>
      <c r="E118" s="145" t="s">
        <v>136</v>
      </c>
      <c r="F118" s="145" t="s">
        <v>25</v>
      </c>
      <c r="G118" s="145"/>
      <c r="H118" s="145"/>
      <c r="I118" s="145"/>
      <c r="J118" s="145" t="s">
        <v>144</v>
      </c>
      <c r="K118" s="146" t="s">
        <v>156</v>
      </c>
      <c r="L118" s="147" t="s">
        <v>157</v>
      </c>
      <c r="M118" s="149">
        <v>16968000000</v>
      </c>
      <c r="N118" s="148"/>
      <c r="O118" s="148"/>
      <c r="P118" s="148"/>
      <c r="Q118" s="148"/>
      <c r="R118" s="148"/>
      <c r="S118" s="149">
        <v>16968000000</v>
      </c>
      <c r="T118" s="149">
        <v>0</v>
      </c>
      <c r="U118" s="148">
        <v>16968000000</v>
      </c>
      <c r="V118" s="150">
        <v>0</v>
      </c>
      <c r="W118" s="148">
        <v>0</v>
      </c>
      <c r="X118" s="148">
        <v>0</v>
      </c>
      <c r="Y118" s="150">
        <v>0</v>
      </c>
      <c r="Z118" s="148">
        <v>0</v>
      </c>
      <c r="AA118" s="148">
        <v>0</v>
      </c>
      <c r="AB118" s="150">
        <v>0</v>
      </c>
    </row>
    <row r="119" spans="1:28" ht="35.1" customHeight="1">
      <c r="A119" s="32" t="e">
        <v>#REF!</v>
      </c>
      <c r="B119" s="117" t="s">
        <v>162</v>
      </c>
      <c r="C119" s="118" t="s">
        <v>162</v>
      </c>
      <c r="D119" s="119"/>
      <c r="E119" s="119"/>
      <c r="F119" s="119"/>
      <c r="G119" s="119"/>
      <c r="H119" s="119"/>
      <c r="I119" s="119"/>
      <c r="J119" s="119"/>
      <c r="K119" s="119"/>
      <c r="L119" s="119" t="s">
        <v>163</v>
      </c>
      <c r="M119" s="120">
        <v>381865302</v>
      </c>
      <c r="N119" s="717">
        <v>0</v>
      </c>
      <c r="O119" s="717">
        <v>0</v>
      </c>
      <c r="P119" s="717">
        <v>0</v>
      </c>
      <c r="Q119" s="717">
        <v>0</v>
      </c>
      <c r="R119" s="717">
        <v>0</v>
      </c>
      <c r="S119" s="120">
        <v>381865302</v>
      </c>
      <c r="T119" s="120">
        <v>0</v>
      </c>
      <c r="U119" s="120">
        <v>381865302</v>
      </c>
      <c r="V119" s="121">
        <v>0</v>
      </c>
      <c r="W119" s="120">
        <v>0</v>
      </c>
      <c r="X119" s="120">
        <v>0</v>
      </c>
      <c r="Y119" s="121">
        <v>0</v>
      </c>
      <c r="Z119" s="120">
        <v>0</v>
      </c>
      <c r="AA119" s="120">
        <v>0</v>
      </c>
      <c r="AB119" s="718">
        <v>0</v>
      </c>
    </row>
    <row r="120" spans="1:28" ht="24" customHeight="1">
      <c r="A120" s="32" t="e">
        <v>#REF!</v>
      </c>
      <c r="B120" s="122" t="s">
        <v>729</v>
      </c>
      <c r="C120" s="123" t="s">
        <v>162</v>
      </c>
      <c r="D120" s="123">
        <v>10</v>
      </c>
      <c r="E120" s="123"/>
      <c r="F120" s="123"/>
      <c r="G120" s="123"/>
      <c r="H120" s="123"/>
      <c r="I120" s="123"/>
      <c r="J120" s="124"/>
      <c r="K120" s="124"/>
      <c r="L120" s="124" t="s">
        <v>164</v>
      </c>
      <c r="M120" s="125">
        <v>381865302</v>
      </c>
      <c r="N120" s="719">
        <v>0</v>
      </c>
      <c r="O120" s="719">
        <v>0</v>
      </c>
      <c r="P120" s="125">
        <v>0</v>
      </c>
      <c r="Q120" s="125">
        <v>0</v>
      </c>
      <c r="R120" s="719">
        <v>0</v>
      </c>
      <c r="S120" s="125">
        <v>381865302</v>
      </c>
      <c r="T120" s="125">
        <v>0</v>
      </c>
      <c r="U120" s="125">
        <v>381865302</v>
      </c>
      <c r="V120" s="126">
        <v>0</v>
      </c>
      <c r="W120" s="125">
        <v>0</v>
      </c>
      <c r="X120" s="125">
        <v>0</v>
      </c>
      <c r="Y120" s="126">
        <v>0</v>
      </c>
      <c r="Z120" s="125">
        <v>0</v>
      </c>
      <c r="AA120" s="125">
        <v>0</v>
      </c>
      <c r="AB120" s="720">
        <v>0</v>
      </c>
    </row>
    <row r="121" spans="1:28" ht="24" customHeight="1">
      <c r="A121" s="32" t="e">
        <v>#REF!</v>
      </c>
      <c r="B121" s="127" t="s">
        <v>730</v>
      </c>
      <c r="C121" s="128" t="s">
        <v>162</v>
      </c>
      <c r="D121" s="128">
        <v>10</v>
      </c>
      <c r="E121" s="128" t="s">
        <v>136</v>
      </c>
      <c r="F121" s="128"/>
      <c r="G121" s="128"/>
      <c r="H121" s="128"/>
      <c r="I121" s="128"/>
      <c r="J121" s="129"/>
      <c r="K121" s="129"/>
      <c r="L121" s="129" t="s">
        <v>165</v>
      </c>
      <c r="M121" s="130">
        <v>381865302</v>
      </c>
      <c r="N121" s="130">
        <v>0</v>
      </c>
      <c r="O121" s="130">
        <v>0</v>
      </c>
      <c r="P121" s="130">
        <v>0</v>
      </c>
      <c r="Q121" s="130">
        <v>0</v>
      </c>
      <c r="R121" s="130">
        <v>0</v>
      </c>
      <c r="S121" s="130">
        <v>381865302</v>
      </c>
      <c r="T121" s="130">
        <v>0</v>
      </c>
      <c r="U121" s="130">
        <v>381865302</v>
      </c>
      <c r="V121" s="131">
        <v>0</v>
      </c>
      <c r="W121" s="130">
        <v>0</v>
      </c>
      <c r="X121" s="130">
        <v>0</v>
      </c>
      <c r="Y121" s="131">
        <v>0</v>
      </c>
      <c r="Z121" s="130">
        <v>0</v>
      </c>
      <c r="AA121" s="130">
        <v>0</v>
      </c>
      <c r="AB121" s="722">
        <v>0</v>
      </c>
    </row>
    <row r="122" spans="1:28" ht="24.95" customHeight="1">
      <c r="A122" s="32" t="e">
        <v>#REF!</v>
      </c>
      <c r="B122" s="144" t="s">
        <v>731</v>
      </c>
      <c r="C122" s="145" t="s">
        <v>162</v>
      </c>
      <c r="D122" s="145">
        <v>10</v>
      </c>
      <c r="E122" s="145" t="s">
        <v>136</v>
      </c>
      <c r="F122" s="145" t="s">
        <v>25</v>
      </c>
      <c r="G122" s="145"/>
      <c r="H122" s="145"/>
      <c r="I122" s="145"/>
      <c r="J122" s="145" t="s">
        <v>144</v>
      </c>
      <c r="K122" s="146" t="s">
        <v>29</v>
      </c>
      <c r="L122" s="147" t="s">
        <v>166</v>
      </c>
      <c r="M122" s="149">
        <v>381865302</v>
      </c>
      <c r="N122" s="148"/>
      <c r="O122" s="148"/>
      <c r="P122" s="148"/>
      <c r="Q122" s="148"/>
      <c r="R122" s="148"/>
      <c r="S122" s="149">
        <v>381865302</v>
      </c>
      <c r="T122" s="149">
        <v>0</v>
      </c>
      <c r="U122" s="148">
        <v>381865302</v>
      </c>
      <c r="V122" s="150">
        <v>0</v>
      </c>
      <c r="W122" s="148">
        <v>0</v>
      </c>
      <c r="X122" s="148">
        <v>0</v>
      </c>
      <c r="Y122" s="150">
        <v>0</v>
      </c>
      <c r="Z122" s="148">
        <v>0</v>
      </c>
      <c r="AA122" s="148">
        <v>0</v>
      </c>
      <c r="AB122" s="150">
        <v>0</v>
      </c>
    </row>
    <row r="123" spans="1:28" ht="35.1" customHeight="1">
      <c r="A123" s="32" t="e">
        <v>#REF!</v>
      </c>
      <c r="B123" s="117" t="s">
        <v>167</v>
      </c>
      <c r="C123" s="118" t="s">
        <v>167</v>
      </c>
      <c r="D123" s="119"/>
      <c r="E123" s="119"/>
      <c r="F123" s="119"/>
      <c r="G123" s="119"/>
      <c r="H123" s="119"/>
      <c r="I123" s="119"/>
      <c r="J123" s="119"/>
      <c r="K123" s="119"/>
      <c r="L123" s="119" t="s">
        <v>168</v>
      </c>
      <c r="M123" s="120">
        <v>12916249110989</v>
      </c>
      <c r="N123" s="120">
        <v>5269349000</v>
      </c>
      <c r="O123" s="717">
        <v>0</v>
      </c>
      <c r="P123" s="120">
        <v>118930341014.46001</v>
      </c>
      <c r="Q123" s="120">
        <v>118930341014.46001</v>
      </c>
      <c r="R123" s="717">
        <v>0</v>
      </c>
      <c r="S123" s="120">
        <v>12921518459989</v>
      </c>
      <c r="T123" s="120">
        <v>8366264745505.9883</v>
      </c>
      <c r="U123" s="120">
        <v>4555253714483.0107</v>
      </c>
      <c r="V123" s="121">
        <v>0.64746761546731635</v>
      </c>
      <c r="W123" s="120">
        <v>6982356676707.7988</v>
      </c>
      <c r="X123" s="120">
        <v>1383908068798.1902</v>
      </c>
      <c r="Y123" s="121">
        <v>0.16541528518345877</v>
      </c>
      <c r="Z123" s="120">
        <v>6817188928169.7988</v>
      </c>
      <c r="AA123" s="120">
        <v>165167748538</v>
      </c>
      <c r="AB123" s="718">
        <v>0.81484260127337127</v>
      </c>
    </row>
    <row r="124" spans="1:28" ht="27.75" hidden="1" customHeight="1">
      <c r="A124" s="32" t="e">
        <v>#REF!</v>
      </c>
      <c r="B124" s="122" t="s">
        <v>437</v>
      </c>
      <c r="C124" s="123" t="s">
        <v>167</v>
      </c>
      <c r="D124" s="123">
        <v>4101</v>
      </c>
      <c r="E124" s="123"/>
      <c r="F124" s="123"/>
      <c r="G124" s="123"/>
      <c r="H124" s="123"/>
      <c r="I124" s="123"/>
      <c r="J124" s="124"/>
      <c r="K124" s="124"/>
      <c r="L124" s="124" t="s">
        <v>169</v>
      </c>
      <c r="M124" s="125">
        <v>0</v>
      </c>
      <c r="N124" s="719">
        <v>0</v>
      </c>
      <c r="O124" s="719">
        <v>0</v>
      </c>
      <c r="P124" s="719">
        <v>0</v>
      </c>
      <c r="Q124" s="719">
        <v>0</v>
      </c>
      <c r="R124" s="719">
        <v>0</v>
      </c>
      <c r="S124" s="125">
        <v>0</v>
      </c>
      <c r="T124" s="125">
        <v>0</v>
      </c>
      <c r="U124" s="125">
        <v>0</v>
      </c>
      <c r="V124" s="126">
        <v>0</v>
      </c>
      <c r="W124" s="125">
        <v>0</v>
      </c>
      <c r="X124" s="125">
        <v>0</v>
      </c>
      <c r="Y124" s="126">
        <v>0</v>
      </c>
      <c r="Z124" s="125">
        <v>0</v>
      </c>
      <c r="AA124" s="125">
        <v>0</v>
      </c>
      <c r="AB124" s="720">
        <v>0</v>
      </c>
    </row>
    <row r="125" spans="1:28" ht="24" hidden="1" customHeight="1">
      <c r="A125" s="32" t="e">
        <v>#REF!</v>
      </c>
      <c r="B125" s="127" t="s">
        <v>295</v>
      </c>
      <c r="C125" s="128" t="s">
        <v>167</v>
      </c>
      <c r="D125" s="128">
        <v>4101</v>
      </c>
      <c r="E125" s="128">
        <v>1500</v>
      </c>
      <c r="F125" s="128"/>
      <c r="G125" s="128"/>
      <c r="H125" s="128"/>
      <c r="I125" s="128"/>
      <c r="J125" s="129"/>
      <c r="K125" s="129"/>
      <c r="L125" s="129" t="s">
        <v>170</v>
      </c>
      <c r="M125" s="130"/>
      <c r="N125" s="721"/>
      <c r="O125" s="721"/>
      <c r="P125" s="721"/>
      <c r="Q125" s="721"/>
      <c r="R125" s="721"/>
      <c r="S125" s="130"/>
      <c r="T125" s="130"/>
      <c r="U125" s="721"/>
      <c r="V125" s="131">
        <v>0</v>
      </c>
      <c r="W125" s="130"/>
      <c r="X125" s="721"/>
      <c r="Y125" s="131">
        <v>0</v>
      </c>
      <c r="Z125" s="130"/>
      <c r="AA125" s="721"/>
      <c r="AB125" s="722">
        <v>0</v>
      </c>
    </row>
    <row r="126" spans="1:28" ht="54.75" hidden="1" customHeight="1">
      <c r="A126" s="32" t="e">
        <v>#REF!</v>
      </c>
      <c r="B126" s="132" t="s">
        <v>454</v>
      </c>
      <c r="C126" s="133" t="s">
        <v>167</v>
      </c>
      <c r="D126" s="133" t="s">
        <v>171</v>
      </c>
      <c r="E126" s="133" t="s">
        <v>172</v>
      </c>
      <c r="F126" s="133" t="s">
        <v>173</v>
      </c>
      <c r="G126" s="133"/>
      <c r="H126" s="133"/>
      <c r="I126" s="133"/>
      <c r="J126" s="133"/>
      <c r="K126" s="134"/>
      <c r="L126" s="134" t="s">
        <v>174</v>
      </c>
      <c r="M126" s="135">
        <v>0</v>
      </c>
      <c r="N126" s="136">
        <v>0</v>
      </c>
      <c r="O126" s="136">
        <v>0</v>
      </c>
      <c r="P126" s="136">
        <v>0</v>
      </c>
      <c r="Q126" s="136">
        <v>0</v>
      </c>
      <c r="R126" s="136">
        <v>0</v>
      </c>
      <c r="S126" s="135">
        <v>0</v>
      </c>
      <c r="T126" s="135">
        <v>0</v>
      </c>
      <c r="U126" s="135">
        <v>0</v>
      </c>
      <c r="V126" s="137">
        <v>0</v>
      </c>
      <c r="W126" s="135">
        <v>0</v>
      </c>
      <c r="X126" s="136">
        <v>0</v>
      </c>
      <c r="Y126" s="137">
        <v>0</v>
      </c>
      <c r="Z126" s="135">
        <v>0</v>
      </c>
      <c r="AA126" s="135">
        <v>0</v>
      </c>
      <c r="AB126" s="723">
        <v>0</v>
      </c>
    </row>
    <row r="127" spans="1:28" ht="31.5" hidden="1" customHeight="1">
      <c r="A127" s="32" t="e">
        <v>#REF!</v>
      </c>
      <c r="B127" s="138" t="s">
        <v>456</v>
      </c>
      <c r="C127" s="139" t="s">
        <v>167</v>
      </c>
      <c r="D127" s="139" t="s">
        <v>171</v>
      </c>
      <c r="E127" s="139" t="s">
        <v>172</v>
      </c>
      <c r="F127" s="139" t="s">
        <v>173</v>
      </c>
      <c r="G127" s="139" t="s">
        <v>175</v>
      </c>
      <c r="H127" s="139" t="s">
        <v>176</v>
      </c>
      <c r="I127" s="139"/>
      <c r="J127" s="139" t="s">
        <v>144</v>
      </c>
      <c r="K127" s="140" t="s">
        <v>29</v>
      </c>
      <c r="L127" s="140" t="s">
        <v>177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144" t="s">
        <v>458</v>
      </c>
      <c r="C128" s="145" t="s">
        <v>167</v>
      </c>
      <c r="D128" s="145" t="s">
        <v>171</v>
      </c>
      <c r="E128" s="145" t="s">
        <v>172</v>
      </c>
      <c r="F128" s="145" t="s">
        <v>173</v>
      </c>
      <c r="G128" s="145" t="s">
        <v>175</v>
      </c>
      <c r="H128" s="145" t="s">
        <v>176</v>
      </c>
      <c r="I128" s="145" t="s">
        <v>54</v>
      </c>
      <c r="J128" s="145" t="s">
        <v>144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31.5" hidden="1" customHeight="1">
      <c r="A129" s="32" t="e">
        <v>#REF!</v>
      </c>
      <c r="B129" s="138" t="s">
        <v>460</v>
      </c>
      <c r="C129" s="139" t="s">
        <v>167</v>
      </c>
      <c r="D129" s="139" t="s">
        <v>171</v>
      </c>
      <c r="E129" s="139" t="s">
        <v>172</v>
      </c>
      <c r="F129" s="139" t="s">
        <v>173</v>
      </c>
      <c r="G129" s="139" t="s">
        <v>175</v>
      </c>
      <c r="H129" s="139" t="s">
        <v>179</v>
      </c>
      <c r="I129" s="139"/>
      <c r="J129" s="139" t="s">
        <v>144</v>
      </c>
      <c r="K129" s="140" t="s">
        <v>29</v>
      </c>
      <c r="L129" s="140" t="s">
        <v>180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144" t="s">
        <v>462</v>
      </c>
      <c r="C130" s="145" t="s">
        <v>167</v>
      </c>
      <c r="D130" s="145" t="s">
        <v>171</v>
      </c>
      <c r="E130" s="145" t="s">
        <v>172</v>
      </c>
      <c r="F130" s="145" t="s">
        <v>173</v>
      </c>
      <c r="G130" s="145" t="s">
        <v>175</v>
      </c>
      <c r="H130" s="145" t="s">
        <v>179</v>
      </c>
      <c r="I130" s="145" t="s">
        <v>54</v>
      </c>
      <c r="J130" s="145" t="s">
        <v>144</v>
      </c>
      <c r="K130" s="146" t="s">
        <v>29</v>
      </c>
      <c r="L130" s="147" t="s">
        <v>178</v>
      </c>
      <c r="M130" s="148"/>
      <c r="N130" s="148"/>
      <c r="O130" s="148"/>
      <c r="P130" s="148"/>
      <c r="Q130" s="148"/>
      <c r="R130" s="148"/>
      <c r="S130" s="148">
        <v>0</v>
      </c>
      <c r="T130" s="148"/>
      <c r="U130" s="148">
        <v>0</v>
      </c>
      <c r="V130" s="150">
        <v>0</v>
      </c>
      <c r="W130" s="148"/>
      <c r="X130" s="148">
        <v>0</v>
      </c>
      <c r="Y130" s="150">
        <v>0</v>
      </c>
      <c r="Z130" s="148"/>
      <c r="AA130" s="148">
        <v>0</v>
      </c>
      <c r="AB130" s="150">
        <v>0</v>
      </c>
    </row>
    <row r="131" spans="1:28" ht="31.5" hidden="1" customHeight="1">
      <c r="A131" s="32" t="e">
        <v>#REF!</v>
      </c>
      <c r="B131" s="144" t="s">
        <v>690</v>
      </c>
      <c r="C131" s="139" t="s">
        <v>167</v>
      </c>
      <c r="D131" s="139" t="s">
        <v>171</v>
      </c>
      <c r="E131" s="139" t="s">
        <v>172</v>
      </c>
      <c r="F131" s="139" t="s">
        <v>173</v>
      </c>
      <c r="G131" s="139" t="s">
        <v>175</v>
      </c>
      <c r="H131" s="139" t="s">
        <v>181</v>
      </c>
      <c r="I131" s="139"/>
      <c r="J131" s="139" t="s">
        <v>144</v>
      </c>
      <c r="K131" s="140" t="s">
        <v>29</v>
      </c>
      <c r="L131" s="140" t="s">
        <v>182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144" t="s">
        <v>466</v>
      </c>
      <c r="C132" s="145" t="s">
        <v>167</v>
      </c>
      <c r="D132" s="145" t="s">
        <v>171</v>
      </c>
      <c r="E132" s="145" t="s">
        <v>172</v>
      </c>
      <c r="F132" s="145" t="s">
        <v>173</v>
      </c>
      <c r="G132" s="145" t="s">
        <v>175</v>
      </c>
      <c r="H132" s="145" t="s">
        <v>181</v>
      </c>
      <c r="I132" s="145" t="s">
        <v>54</v>
      </c>
      <c r="J132" s="145" t="s">
        <v>144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31.5" hidden="1" customHeight="1">
      <c r="A133" s="32" t="e">
        <v>#REF!</v>
      </c>
      <c r="B133" s="144" t="s">
        <v>691</v>
      </c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183</v>
      </c>
      <c r="I133" s="139"/>
      <c r="J133" s="139" t="s">
        <v>144</v>
      </c>
      <c r="K133" s="140" t="s">
        <v>29</v>
      </c>
      <c r="L133" s="140" t="s">
        <v>184</v>
      </c>
      <c r="M133" s="141">
        <v>0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1">
        <v>0</v>
      </c>
      <c r="T133" s="141">
        <v>0</v>
      </c>
      <c r="U133" s="141">
        <v>0</v>
      </c>
      <c r="V133" s="143">
        <v>0</v>
      </c>
      <c r="W133" s="141">
        <v>0</v>
      </c>
      <c r="X133" s="142">
        <v>0</v>
      </c>
      <c r="Y133" s="143">
        <v>0</v>
      </c>
      <c r="Z133" s="141">
        <v>0</v>
      </c>
      <c r="AA133" s="141">
        <v>0</v>
      </c>
      <c r="AB133" s="724">
        <v>0</v>
      </c>
    </row>
    <row r="134" spans="1:28" ht="24.95" hidden="1" customHeight="1">
      <c r="A134" s="32" t="e">
        <v>#REF!</v>
      </c>
      <c r="B134" s="144" t="s">
        <v>470</v>
      </c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183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31.5" hidden="1" customHeight="1">
      <c r="A135" s="32" t="e">
        <v>#REF!</v>
      </c>
      <c r="B135" s="138" t="s">
        <v>472</v>
      </c>
      <c r="C135" s="139" t="s">
        <v>167</v>
      </c>
      <c r="D135" s="139" t="s">
        <v>171</v>
      </c>
      <c r="E135" s="139" t="s">
        <v>172</v>
      </c>
      <c r="F135" s="139" t="s">
        <v>173</v>
      </c>
      <c r="G135" s="139" t="s">
        <v>175</v>
      </c>
      <c r="H135" s="139" t="s">
        <v>185</v>
      </c>
      <c r="I135" s="139"/>
      <c r="J135" s="139" t="s">
        <v>144</v>
      </c>
      <c r="K135" s="140" t="s">
        <v>29</v>
      </c>
      <c r="L135" s="140" t="s">
        <v>186</v>
      </c>
      <c r="M135" s="141">
        <v>0</v>
      </c>
      <c r="N135" s="142">
        <v>0</v>
      </c>
      <c r="O135" s="142">
        <v>0</v>
      </c>
      <c r="P135" s="142">
        <v>0</v>
      </c>
      <c r="Q135" s="142">
        <v>0</v>
      </c>
      <c r="R135" s="142">
        <v>0</v>
      </c>
      <c r="S135" s="141">
        <v>0</v>
      </c>
      <c r="T135" s="141">
        <v>0</v>
      </c>
      <c r="U135" s="141">
        <v>0</v>
      </c>
      <c r="V135" s="143">
        <v>0</v>
      </c>
      <c r="W135" s="141">
        <v>0</v>
      </c>
      <c r="X135" s="142">
        <v>0</v>
      </c>
      <c r="Y135" s="143">
        <v>0</v>
      </c>
      <c r="Z135" s="141">
        <v>0</v>
      </c>
      <c r="AA135" s="141">
        <v>0</v>
      </c>
      <c r="AB135" s="724">
        <v>0</v>
      </c>
    </row>
    <row r="136" spans="1:28" ht="24.95" hidden="1" customHeight="1">
      <c r="A136" s="32" t="e">
        <v>#REF!</v>
      </c>
      <c r="B136" s="144" t="s">
        <v>474</v>
      </c>
      <c r="C136" s="145" t="s">
        <v>167</v>
      </c>
      <c r="D136" s="145" t="s">
        <v>171</v>
      </c>
      <c r="E136" s="145" t="s">
        <v>172</v>
      </c>
      <c r="F136" s="145" t="s">
        <v>173</v>
      </c>
      <c r="G136" s="145" t="s">
        <v>175</v>
      </c>
      <c r="H136" s="145" t="s">
        <v>185</v>
      </c>
      <c r="I136" s="145" t="s">
        <v>54</v>
      </c>
      <c r="J136" s="145" t="s">
        <v>144</v>
      </c>
      <c r="K136" s="146" t="s">
        <v>29</v>
      </c>
      <c r="L136" s="147" t="s">
        <v>178</v>
      </c>
      <c r="M136" s="148"/>
      <c r="N136" s="148"/>
      <c r="O136" s="148"/>
      <c r="P136" s="148"/>
      <c r="Q136" s="148"/>
      <c r="R136" s="148"/>
      <c r="S136" s="148">
        <v>0</v>
      </c>
      <c r="T136" s="148"/>
      <c r="U136" s="148">
        <v>0</v>
      </c>
      <c r="V136" s="150">
        <v>0</v>
      </c>
      <c r="W136" s="148"/>
      <c r="X136" s="148">
        <v>0</v>
      </c>
      <c r="Y136" s="150">
        <v>0</v>
      </c>
      <c r="Z136" s="148"/>
      <c r="AA136" s="148">
        <v>0</v>
      </c>
      <c r="AB136" s="150">
        <v>0</v>
      </c>
    </row>
    <row r="137" spans="1:28" ht="31.5" hidden="1" customHeight="1">
      <c r="A137" s="32" t="e">
        <v>#REF!</v>
      </c>
      <c r="B137" s="32"/>
      <c r="C137" s="139" t="s">
        <v>167</v>
      </c>
      <c r="D137" s="139" t="s">
        <v>171</v>
      </c>
      <c r="E137" s="139" t="s">
        <v>172</v>
      </c>
      <c r="F137" s="139" t="s">
        <v>173</v>
      </c>
      <c r="G137" s="139" t="s">
        <v>175</v>
      </c>
      <c r="H137" s="139" t="s">
        <v>187</v>
      </c>
      <c r="I137" s="139"/>
      <c r="J137" s="139" t="s">
        <v>144</v>
      </c>
      <c r="K137" s="140" t="s">
        <v>29</v>
      </c>
      <c r="L137" s="140" t="s">
        <v>188</v>
      </c>
      <c r="M137" s="141">
        <v>0</v>
      </c>
      <c r="N137" s="142">
        <v>0</v>
      </c>
      <c r="O137" s="142">
        <v>0</v>
      </c>
      <c r="P137" s="142">
        <v>0</v>
      </c>
      <c r="Q137" s="142">
        <v>0</v>
      </c>
      <c r="R137" s="142">
        <v>0</v>
      </c>
      <c r="S137" s="141">
        <v>0</v>
      </c>
      <c r="T137" s="141">
        <v>0</v>
      </c>
      <c r="U137" s="141">
        <v>0</v>
      </c>
      <c r="V137" s="143">
        <v>0</v>
      </c>
      <c r="W137" s="141">
        <v>0</v>
      </c>
      <c r="X137" s="142">
        <v>0</v>
      </c>
      <c r="Y137" s="143">
        <v>0</v>
      </c>
      <c r="Z137" s="141">
        <v>0</v>
      </c>
      <c r="AA137" s="141">
        <v>0</v>
      </c>
      <c r="AB137" s="724">
        <v>0</v>
      </c>
    </row>
    <row r="138" spans="1:28" ht="24.95" hidden="1" customHeight="1">
      <c r="A138" s="32" t="e">
        <v>#REF!</v>
      </c>
      <c r="B138" s="32"/>
      <c r="C138" s="145" t="s">
        <v>167</v>
      </c>
      <c r="D138" s="145" t="s">
        <v>171</v>
      </c>
      <c r="E138" s="145" t="s">
        <v>172</v>
      </c>
      <c r="F138" s="145" t="s">
        <v>173</v>
      </c>
      <c r="G138" s="145" t="s">
        <v>175</v>
      </c>
      <c r="H138" s="145" t="s">
        <v>187</v>
      </c>
      <c r="I138" s="145" t="s">
        <v>54</v>
      </c>
      <c r="J138" s="145" t="s">
        <v>144</v>
      </c>
      <c r="K138" s="146" t="s">
        <v>29</v>
      </c>
      <c r="L138" s="147" t="s">
        <v>178</v>
      </c>
      <c r="M138" s="148">
        <v>0</v>
      </c>
      <c r="N138" s="148"/>
      <c r="O138" s="148"/>
      <c r="P138" s="148"/>
      <c r="Q138" s="148"/>
      <c r="R138" s="148"/>
      <c r="S138" s="148">
        <v>0</v>
      </c>
      <c r="T138" s="148">
        <v>0</v>
      </c>
      <c r="U138" s="148">
        <v>0</v>
      </c>
      <c r="V138" s="150">
        <v>0</v>
      </c>
      <c r="W138" s="148">
        <v>0</v>
      </c>
      <c r="X138" s="148">
        <v>0</v>
      </c>
      <c r="Y138" s="150">
        <v>0</v>
      </c>
      <c r="Z138" s="148">
        <v>0</v>
      </c>
      <c r="AA138" s="148">
        <v>0</v>
      </c>
      <c r="AB138" s="150">
        <v>0</v>
      </c>
    </row>
    <row r="139" spans="1:28" ht="24.95" hidden="1" customHeight="1">
      <c r="A139" s="32" t="e">
        <v>#REF!</v>
      </c>
      <c r="B139" s="32"/>
      <c r="C139" s="145" t="s">
        <v>167</v>
      </c>
      <c r="D139" s="145" t="s">
        <v>171</v>
      </c>
      <c r="E139" s="145" t="s">
        <v>172</v>
      </c>
      <c r="F139" s="145" t="s">
        <v>173</v>
      </c>
      <c r="G139" s="145" t="s">
        <v>175</v>
      </c>
      <c r="H139" s="145" t="s">
        <v>187</v>
      </c>
      <c r="I139" s="145" t="s">
        <v>65</v>
      </c>
      <c r="J139" s="145" t="s">
        <v>144</v>
      </c>
      <c r="K139" s="146" t="s">
        <v>29</v>
      </c>
      <c r="L139" s="147" t="s">
        <v>127</v>
      </c>
      <c r="M139" s="148">
        <v>0</v>
      </c>
      <c r="N139" s="148"/>
      <c r="O139" s="148"/>
      <c r="P139" s="148"/>
      <c r="Q139" s="148"/>
      <c r="R139" s="148"/>
      <c r="S139" s="148">
        <v>0</v>
      </c>
      <c r="T139" s="148">
        <v>0</v>
      </c>
      <c r="U139" s="148">
        <v>0</v>
      </c>
      <c r="V139" s="150">
        <v>0</v>
      </c>
      <c r="W139" s="148">
        <v>0</v>
      </c>
      <c r="X139" s="148">
        <v>0</v>
      </c>
      <c r="Y139" s="150">
        <v>0</v>
      </c>
      <c r="Z139" s="148">
        <v>0</v>
      </c>
      <c r="AA139" s="148">
        <v>0</v>
      </c>
      <c r="AB139" s="150">
        <v>0</v>
      </c>
    </row>
    <row r="140" spans="1:28" ht="35.25" customHeight="1">
      <c r="A140" s="32" t="e">
        <v>#REF!</v>
      </c>
      <c r="B140" s="122" t="s">
        <v>482</v>
      </c>
      <c r="C140" s="123" t="s">
        <v>167</v>
      </c>
      <c r="D140" s="123">
        <v>4103</v>
      </c>
      <c r="E140" s="123"/>
      <c r="F140" s="123"/>
      <c r="G140" s="123"/>
      <c r="H140" s="123"/>
      <c r="I140" s="123"/>
      <c r="J140" s="124"/>
      <c r="K140" s="124"/>
      <c r="L140" s="124" t="s">
        <v>189</v>
      </c>
      <c r="M140" s="125">
        <v>12911249110989</v>
      </c>
      <c r="N140" s="719">
        <v>5269349000</v>
      </c>
      <c r="O140" s="719">
        <v>0</v>
      </c>
      <c r="P140" s="125">
        <v>118930341014.46001</v>
      </c>
      <c r="Q140" s="125">
        <v>118930341014.46001</v>
      </c>
      <c r="R140" s="719">
        <v>0</v>
      </c>
      <c r="S140" s="125">
        <v>12916518459989</v>
      </c>
      <c r="T140" s="125">
        <v>8363723304618.3887</v>
      </c>
      <c r="U140" s="125">
        <v>4552795155370.6104</v>
      </c>
      <c r="V140" s="126">
        <v>0.64752149199696274</v>
      </c>
      <c r="W140" s="125">
        <v>6979906635820.1992</v>
      </c>
      <c r="X140" s="125">
        <v>1383816668798.1902</v>
      </c>
      <c r="Y140" s="126">
        <v>0.16545462091435478</v>
      </c>
      <c r="Z140" s="125">
        <v>6814738887282.1992</v>
      </c>
      <c r="AA140" s="125">
        <v>165167748538</v>
      </c>
      <c r="AB140" s="720">
        <v>0.81479726660961493</v>
      </c>
    </row>
    <row r="141" spans="1:28" ht="24" customHeight="1">
      <c r="A141" s="32" t="e">
        <v>#REF!</v>
      </c>
      <c r="B141" s="127" t="s">
        <v>296</v>
      </c>
      <c r="C141" s="128" t="s">
        <v>167</v>
      </c>
      <c r="D141" s="128">
        <v>4103</v>
      </c>
      <c r="E141" s="128">
        <v>1500</v>
      </c>
      <c r="F141" s="128"/>
      <c r="G141" s="128"/>
      <c r="H141" s="128"/>
      <c r="I141" s="128"/>
      <c r="J141" s="129"/>
      <c r="K141" s="129"/>
      <c r="L141" s="129" t="s">
        <v>170</v>
      </c>
      <c r="M141" s="130">
        <v>12911249110989</v>
      </c>
      <c r="N141" s="130">
        <v>5269349000</v>
      </c>
      <c r="O141" s="130">
        <v>0</v>
      </c>
      <c r="P141" s="130">
        <v>118930341014.46001</v>
      </c>
      <c r="Q141" s="130">
        <v>118930341014.46001</v>
      </c>
      <c r="R141" s="130">
        <v>0</v>
      </c>
      <c r="S141" s="130">
        <v>12916518459989</v>
      </c>
      <c r="T141" s="130">
        <v>8363723304618.3887</v>
      </c>
      <c r="U141" s="130">
        <v>4552795155370.6104</v>
      </c>
      <c r="V141" s="131">
        <v>0.64752149199696274</v>
      </c>
      <c r="W141" s="130">
        <v>6979906635820.1992</v>
      </c>
      <c r="X141" s="130">
        <v>1383816668798.1902</v>
      </c>
      <c r="Y141" s="131">
        <v>0.16545462091435478</v>
      </c>
      <c r="Z141" s="130">
        <v>6814738887282.1992</v>
      </c>
      <c r="AA141" s="130">
        <v>165167748538</v>
      </c>
      <c r="AB141" s="722">
        <v>0.81479726660961493</v>
      </c>
    </row>
    <row r="142" spans="1:28" ht="42.75" customHeight="1">
      <c r="A142" s="32" t="e">
        <v>#REF!</v>
      </c>
      <c r="B142" s="132" t="s">
        <v>297</v>
      </c>
      <c r="C142" s="133" t="s">
        <v>167</v>
      </c>
      <c r="D142" s="133" t="s">
        <v>190</v>
      </c>
      <c r="E142" s="133" t="s">
        <v>172</v>
      </c>
      <c r="F142" s="133" t="s">
        <v>191</v>
      </c>
      <c r="G142" s="133"/>
      <c r="H142" s="133"/>
      <c r="I142" s="133"/>
      <c r="J142" s="133"/>
      <c r="K142" s="134"/>
      <c r="L142" s="134" t="s">
        <v>263</v>
      </c>
      <c r="M142" s="135">
        <v>2205025363612</v>
      </c>
      <c r="N142" s="136">
        <v>0</v>
      </c>
      <c r="O142" s="136">
        <v>0</v>
      </c>
      <c r="P142" s="135">
        <v>25585024990</v>
      </c>
      <c r="Q142" s="135">
        <v>25585024990</v>
      </c>
      <c r="R142" s="136">
        <v>0</v>
      </c>
      <c r="S142" s="135">
        <v>2205025363612</v>
      </c>
      <c r="T142" s="135">
        <v>1495035575753.1099</v>
      </c>
      <c r="U142" s="135">
        <v>709989787858.89001</v>
      </c>
      <c r="V142" s="137">
        <v>0.67801287024840717</v>
      </c>
      <c r="W142" s="135">
        <v>1091456918328.5</v>
      </c>
      <c r="X142" s="135">
        <v>403578657424.60999</v>
      </c>
      <c r="Y142" s="137">
        <v>0.26994585544983507</v>
      </c>
      <c r="Z142" s="135">
        <v>1091408418328.5</v>
      </c>
      <c r="AA142" s="135">
        <v>48500000</v>
      </c>
      <c r="AB142" s="723">
        <v>0.73002170385056786</v>
      </c>
    </row>
    <row r="143" spans="1:28" ht="30.75" customHeight="1">
      <c r="A143" s="32" t="e">
        <v>#REF!</v>
      </c>
      <c r="B143" s="138" t="s">
        <v>486</v>
      </c>
      <c r="C143" s="139" t="s">
        <v>167</v>
      </c>
      <c r="D143" s="139" t="s">
        <v>190</v>
      </c>
      <c r="E143" s="139" t="s">
        <v>172</v>
      </c>
      <c r="F143" s="139" t="s">
        <v>191</v>
      </c>
      <c r="G143" s="139" t="s">
        <v>175</v>
      </c>
      <c r="H143" s="139" t="s">
        <v>193</v>
      </c>
      <c r="I143" s="139"/>
      <c r="J143" s="139"/>
      <c r="K143" s="140"/>
      <c r="L143" s="140" t="s">
        <v>194</v>
      </c>
      <c r="M143" s="141">
        <v>2199003443612</v>
      </c>
      <c r="N143" s="142">
        <v>0</v>
      </c>
      <c r="O143" s="142">
        <v>0</v>
      </c>
      <c r="P143" s="141">
        <v>24842911136</v>
      </c>
      <c r="Q143" s="141">
        <v>24985024990</v>
      </c>
      <c r="R143" s="142">
        <v>0</v>
      </c>
      <c r="S143" s="141">
        <v>2198861329758</v>
      </c>
      <c r="T143" s="141">
        <v>1488997639233.1099</v>
      </c>
      <c r="U143" s="141">
        <v>709863690524.89001</v>
      </c>
      <c r="V143" s="143">
        <v>0.67716759537400406</v>
      </c>
      <c r="W143" s="141">
        <v>1091456918328.5</v>
      </c>
      <c r="X143" s="141">
        <v>397540720904.60999</v>
      </c>
      <c r="Y143" s="143">
        <v>0.2669854608428785</v>
      </c>
      <c r="Z143" s="141">
        <v>1091408418328.5</v>
      </c>
      <c r="AA143" s="141">
        <v>48500000</v>
      </c>
      <c r="AB143" s="724">
        <v>0.73298196690937445</v>
      </c>
    </row>
    <row r="144" spans="1:28" ht="24.95" customHeight="1">
      <c r="A144" s="32" t="e">
        <v>#REF!</v>
      </c>
      <c r="B144" s="144" t="s">
        <v>488</v>
      </c>
      <c r="C144" s="145" t="s">
        <v>167</v>
      </c>
      <c r="D144" s="145" t="s">
        <v>190</v>
      </c>
      <c r="E144" s="145" t="s">
        <v>172</v>
      </c>
      <c r="F144" s="145" t="s">
        <v>191</v>
      </c>
      <c r="G144" s="145" t="s">
        <v>175</v>
      </c>
      <c r="H144" s="145" t="s">
        <v>193</v>
      </c>
      <c r="I144" s="145" t="s">
        <v>54</v>
      </c>
      <c r="J144" s="145">
        <v>11</v>
      </c>
      <c r="K144" s="146" t="s">
        <v>29</v>
      </c>
      <c r="L144" s="147" t="s">
        <v>178</v>
      </c>
      <c r="M144" s="148">
        <v>92687031389</v>
      </c>
      <c r="N144" s="148"/>
      <c r="O144" s="148"/>
      <c r="P144" s="148">
        <v>9770858686</v>
      </c>
      <c r="Q144" s="148">
        <v>15065613854</v>
      </c>
      <c r="R144" s="148"/>
      <c r="S144" s="148">
        <v>87392276221</v>
      </c>
      <c r="T144" s="148">
        <v>55326749986.110001</v>
      </c>
      <c r="U144" s="148">
        <v>32065526234.889999</v>
      </c>
      <c r="V144" s="150">
        <v>0.63308512352050639</v>
      </c>
      <c r="W144" s="148">
        <v>19635286077.5</v>
      </c>
      <c r="X144" s="148">
        <v>35691463908.610001</v>
      </c>
      <c r="Y144" s="150">
        <v>0.645103208078741</v>
      </c>
      <c r="Z144" s="148">
        <v>19586786077.5</v>
      </c>
      <c r="AA144" s="148">
        <v>48500000</v>
      </c>
      <c r="AB144" s="150">
        <v>0.35402018160143767</v>
      </c>
    </row>
    <row r="145" spans="1:28" ht="24.95" customHeight="1">
      <c r="A145" s="32" t="e">
        <v>#REF!</v>
      </c>
      <c r="B145" s="144" t="s">
        <v>488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 t="s">
        <v>193</v>
      </c>
      <c r="I145" s="145" t="s">
        <v>54</v>
      </c>
      <c r="J145" s="145">
        <v>13</v>
      </c>
      <c r="K145" s="146" t="s">
        <v>29</v>
      </c>
      <c r="L145" s="147" t="s">
        <v>178</v>
      </c>
      <c r="M145" s="148"/>
      <c r="N145" s="148"/>
      <c r="O145" s="148"/>
      <c r="P145" s="148">
        <v>148552450</v>
      </c>
      <c r="Q145" s="148"/>
      <c r="R145" s="148"/>
      <c r="S145" s="148">
        <v>148552450</v>
      </c>
      <c r="T145" s="148">
        <v>90475000</v>
      </c>
      <c r="U145" s="148">
        <v>58077450</v>
      </c>
      <c r="V145" s="150">
        <v>0.60904414568726395</v>
      </c>
      <c r="W145" s="148">
        <v>43712500</v>
      </c>
      <c r="X145" s="148">
        <v>46762500</v>
      </c>
      <c r="Y145" s="150">
        <v>0.5168554849405913</v>
      </c>
      <c r="Z145" s="148">
        <v>43712500</v>
      </c>
      <c r="AA145" s="148">
        <v>0</v>
      </c>
      <c r="AB145" s="150">
        <v>0.4831445150594087</v>
      </c>
    </row>
    <row r="146" spans="1:28" ht="24.95" customHeight="1">
      <c r="A146" s="32" t="e">
        <v>#REF!</v>
      </c>
      <c r="B146" s="144" t="s">
        <v>491</v>
      </c>
      <c r="C146" s="145" t="s">
        <v>167</v>
      </c>
      <c r="D146" s="145" t="s">
        <v>190</v>
      </c>
      <c r="E146" s="145" t="s">
        <v>172</v>
      </c>
      <c r="F146" s="145" t="s">
        <v>191</v>
      </c>
      <c r="G146" s="145" t="s">
        <v>175</v>
      </c>
      <c r="H146" s="145" t="s">
        <v>193</v>
      </c>
      <c r="I146" s="145" t="s">
        <v>65</v>
      </c>
      <c r="J146" s="145" t="s">
        <v>144</v>
      </c>
      <c r="K146" s="146" t="s">
        <v>29</v>
      </c>
      <c r="L146" s="147" t="s">
        <v>127</v>
      </c>
      <c r="M146" s="148">
        <v>240070263035</v>
      </c>
      <c r="N146" s="148"/>
      <c r="O146" s="148"/>
      <c r="P146" s="148">
        <v>14923500000</v>
      </c>
      <c r="Q146" s="148">
        <v>9770858686</v>
      </c>
      <c r="R146" s="148"/>
      <c r="S146" s="148">
        <v>245222904349</v>
      </c>
      <c r="T146" s="148">
        <v>225199750446</v>
      </c>
      <c r="U146" s="148">
        <v>20023153903</v>
      </c>
      <c r="V146" s="150">
        <v>0.91834713010941604</v>
      </c>
      <c r="W146" s="148">
        <v>210846359850</v>
      </c>
      <c r="X146" s="148">
        <v>14353390596</v>
      </c>
      <c r="Y146" s="150">
        <v>6.3736263328772025E-2</v>
      </c>
      <c r="Z146" s="148">
        <v>210846359850</v>
      </c>
      <c r="AA146" s="148">
        <v>0</v>
      </c>
      <c r="AB146" s="150">
        <v>0.93626373667122798</v>
      </c>
    </row>
    <row r="147" spans="1:28" ht="24.95" customHeight="1">
      <c r="A147" s="32" t="e">
        <v>#REF!</v>
      </c>
      <c r="B147" s="144" t="s">
        <v>491</v>
      </c>
      <c r="C147" s="145" t="s">
        <v>167</v>
      </c>
      <c r="D147" s="145" t="s">
        <v>190</v>
      </c>
      <c r="E147" s="145" t="s">
        <v>172</v>
      </c>
      <c r="F147" s="145" t="s">
        <v>191</v>
      </c>
      <c r="G147" s="145" t="s">
        <v>175</v>
      </c>
      <c r="H147" s="145" t="s">
        <v>193</v>
      </c>
      <c r="I147" s="145" t="s">
        <v>65</v>
      </c>
      <c r="J147" s="145">
        <v>13</v>
      </c>
      <c r="K147" s="146" t="s">
        <v>29</v>
      </c>
      <c r="L147" s="147" t="s">
        <v>127</v>
      </c>
      <c r="M147" s="148">
        <v>1866246149188</v>
      </c>
      <c r="N147" s="148"/>
      <c r="O147" s="148"/>
      <c r="P147" s="148"/>
      <c r="Q147" s="148">
        <v>148552450</v>
      </c>
      <c r="R147" s="148"/>
      <c r="S147" s="148">
        <v>1866097596738</v>
      </c>
      <c r="T147" s="148">
        <v>1208380663801</v>
      </c>
      <c r="U147" s="148">
        <v>657716932937</v>
      </c>
      <c r="V147" s="150">
        <v>0.64754419378348116</v>
      </c>
      <c r="W147" s="148">
        <v>860931559901</v>
      </c>
      <c r="X147" s="148">
        <v>347449103900</v>
      </c>
      <c r="Y147" s="150">
        <v>0.28753282331338187</v>
      </c>
      <c r="Z147" s="148">
        <v>860931559901</v>
      </c>
      <c r="AA147" s="148">
        <v>0</v>
      </c>
      <c r="AB147" s="150">
        <v>0.71246717668661819</v>
      </c>
    </row>
    <row r="148" spans="1:28" ht="32.25" customHeight="1">
      <c r="A148" s="32" t="e">
        <v>#REF!</v>
      </c>
      <c r="B148" s="138" t="s">
        <v>494</v>
      </c>
      <c r="C148" s="139" t="s">
        <v>167</v>
      </c>
      <c r="D148" s="139" t="s">
        <v>190</v>
      </c>
      <c r="E148" s="139" t="s">
        <v>172</v>
      </c>
      <c r="F148" s="139" t="s">
        <v>191</v>
      </c>
      <c r="G148" s="139" t="s">
        <v>175</v>
      </c>
      <c r="H148" s="139">
        <v>4103009</v>
      </c>
      <c r="I148" s="139"/>
      <c r="J148" s="139"/>
      <c r="K148" s="140" t="s">
        <v>29</v>
      </c>
      <c r="L148" s="140" t="s">
        <v>195</v>
      </c>
      <c r="M148" s="141">
        <v>5421920000</v>
      </c>
      <c r="N148" s="142">
        <v>0</v>
      </c>
      <c r="O148" s="142">
        <v>0</v>
      </c>
      <c r="P148" s="141">
        <v>742113854</v>
      </c>
      <c r="Q148" s="142">
        <v>0</v>
      </c>
      <c r="R148" s="142">
        <v>0</v>
      </c>
      <c r="S148" s="141">
        <v>6164033854</v>
      </c>
      <c r="T148" s="141">
        <v>6037936520</v>
      </c>
      <c r="U148" s="141">
        <v>126097334</v>
      </c>
      <c r="V148" s="143">
        <v>0.97954304973225093</v>
      </c>
      <c r="W148" s="141">
        <v>0</v>
      </c>
      <c r="X148" s="141">
        <v>6037936520</v>
      </c>
      <c r="Y148" s="143">
        <v>1</v>
      </c>
      <c r="Z148" s="141">
        <v>0</v>
      </c>
      <c r="AA148" s="141">
        <v>0</v>
      </c>
      <c r="AB148" s="724">
        <v>0</v>
      </c>
    </row>
    <row r="149" spans="1:28" ht="24.95" customHeight="1">
      <c r="A149" s="32" t="e">
        <v>#REF!</v>
      </c>
      <c r="B149" s="144" t="s">
        <v>496</v>
      </c>
      <c r="C149" s="145" t="s">
        <v>167</v>
      </c>
      <c r="D149" s="145" t="s">
        <v>190</v>
      </c>
      <c r="E149" s="145" t="s">
        <v>172</v>
      </c>
      <c r="F149" s="145" t="s">
        <v>191</v>
      </c>
      <c r="G149" s="145" t="s">
        <v>175</v>
      </c>
      <c r="H149" s="145">
        <v>4103009</v>
      </c>
      <c r="I149" s="145" t="s">
        <v>54</v>
      </c>
      <c r="J149" s="145">
        <v>11</v>
      </c>
      <c r="K149" s="146" t="s">
        <v>29</v>
      </c>
      <c r="L149" s="147" t="s">
        <v>178</v>
      </c>
      <c r="M149" s="148">
        <v>5421920000</v>
      </c>
      <c r="N149" s="148"/>
      <c r="O149" s="148"/>
      <c r="P149" s="148">
        <v>742113854</v>
      </c>
      <c r="Q149" s="148"/>
      <c r="R149" s="148"/>
      <c r="S149" s="148">
        <v>6164033854</v>
      </c>
      <c r="T149" s="148">
        <v>6037936520</v>
      </c>
      <c r="U149" s="148">
        <v>126097334</v>
      </c>
      <c r="V149" s="150">
        <v>0.97954304973225093</v>
      </c>
      <c r="W149" s="148">
        <v>0</v>
      </c>
      <c r="X149" s="148">
        <v>6037936520</v>
      </c>
      <c r="Y149" s="150">
        <v>1</v>
      </c>
      <c r="Z149" s="148">
        <v>0</v>
      </c>
      <c r="AA149" s="148">
        <v>0</v>
      </c>
      <c r="AB149" s="150">
        <v>0</v>
      </c>
    </row>
    <row r="150" spans="1:28" ht="32.25" customHeight="1">
      <c r="A150" s="32" t="e">
        <v>#REF!</v>
      </c>
      <c r="B150" s="138" t="s">
        <v>497</v>
      </c>
      <c r="C150" s="139" t="s">
        <v>167</v>
      </c>
      <c r="D150" s="139" t="s">
        <v>190</v>
      </c>
      <c r="E150" s="139" t="s">
        <v>172</v>
      </c>
      <c r="F150" s="139" t="s">
        <v>191</v>
      </c>
      <c r="G150" s="139" t="s">
        <v>175</v>
      </c>
      <c r="H150" s="139">
        <v>4103047</v>
      </c>
      <c r="I150" s="139"/>
      <c r="J150" s="139">
        <v>11</v>
      </c>
      <c r="K150" s="140" t="s">
        <v>29</v>
      </c>
      <c r="L150" s="140" t="s">
        <v>195</v>
      </c>
      <c r="M150" s="141">
        <v>600000000</v>
      </c>
      <c r="N150" s="142">
        <v>0</v>
      </c>
      <c r="O150" s="142">
        <v>0</v>
      </c>
      <c r="P150" s="142">
        <v>0</v>
      </c>
      <c r="Q150" s="141">
        <v>600000000</v>
      </c>
      <c r="R150" s="142">
        <v>0</v>
      </c>
      <c r="S150" s="141">
        <v>0</v>
      </c>
      <c r="T150" s="141">
        <v>0</v>
      </c>
      <c r="U150" s="141">
        <v>0</v>
      </c>
      <c r="V150" s="143">
        <v>0</v>
      </c>
      <c r="W150" s="141">
        <v>0</v>
      </c>
      <c r="X150" s="141">
        <v>0</v>
      </c>
      <c r="Y150" s="143">
        <v>0</v>
      </c>
      <c r="Z150" s="141">
        <v>0</v>
      </c>
      <c r="AA150" s="141">
        <v>0</v>
      </c>
      <c r="AB150" s="724">
        <v>0</v>
      </c>
    </row>
    <row r="151" spans="1:28" ht="24.95" customHeight="1">
      <c r="A151" s="32" t="e">
        <v>#REF!</v>
      </c>
      <c r="B151" s="144" t="s">
        <v>498</v>
      </c>
      <c r="C151" s="145" t="s">
        <v>167</v>
      </c>
      <c r="D151" s="145" t="s">
        <v>190</v>
      </c>
      <c r="E151" s="145" t="s">
        <v>172</v>
      </c>
      <c r="F151" s="145" t="s">
        <v>191</v>
      </c>
      <c r="G151" s="145" t="s">
        <v>175</v>
      </c>
      <c r="H151" s="145">
        <v>4103047</v>
      </c>
      <c r="I151" s="145" t="s">
        <v>54</v>
      </c>
      <c r="J151" s="145">
        <v>11</v>
      </c>
      <c r="K151" s="146" t="s">
        <v>29</v>
      </c>
      <c r="L151" s="147" t="s">
        <v>178</v>
      </c>
      <c r="M151" s="148">
        <v>600000000</v>
      </c>
      <c r="N151" s="148"/>
      <c r="O151" s="148"/>
      <c r="P151" s="148"/>
      <c r="Q151" s="148">
        <v>600000000</v>
      </c>
      <c r="R151" s="148"/>
      <c r="S151" s="148">
        <v>0</v>
      </c>
      <c r="T151" s="148">
        <v>0</v>
      </c>
      <c r="U151" s="148">
        <v>0</v>
      </c>
      <c r="V151" s="150">
        <v>0</v>
      </c>
      <c r="W151" s="148">
        <v>0</v>
      </c>
      <c r="X151" s="148">
        <v>0</v>
      </c>
      <c r="Y151" s="150">
        <v>0</v>
      </c>
      <c r="Z151" s="148">
        <v>0</v>
      </c>
      <c r="AA151" s="148">
        <v>0</v>
      </c>
      <c r="AB151" s="150">
        <v>0</v>
      </c>
    </row>
    <row r="152" spans="1:28" ht="42" customHeight="1">
      <c r="A152" s="32" t="e">
        <v>#REF!</v>
      </c>
      <c r="B152" s="132" t="s">
        <v>298</v>
      </c>
      <c r="C152" s="133" t="s">
        <v>167</v>
      </c>
      <c r="D152" s="133" t="s">
        <v>190</v>
      </c>
      <c r="E152" s="133" t="s">
        <v>172</v>
      </c>
      <c r="F152" s="133" t="s">
        <v>22</v>
      </c>
      <c r="G152" s="133"/>
      <c r="H152" s="133"/>
      <c r="I152" s="133"/>
      <c r="J152" s="133"/>
      <c r="K152" s="134"/>
      <c r="L152" s="134" t="s">
        <v>264</v>
      </c>
      <c r="M152" s="135">
        <v>127000000000</v>
      </c>
      <c r="N152" s="136">
        <v>0</v>
      </c>
      <c r="O152" s="136">
        <v>0</v>
      </c>
      <c r="P152" s="135">
        <v>1000000000</v>
      </c>
      <c r="Q152" s="135">
        <v>2000000000</v>
      </c>
      <c r="R152" s="136">
        <v>0</v>
      </c>
      <c r="S152" s="135">
        <v>126000000000</v>
      </c>
      <c r="T152" s="135">
        <v>117579625446</v>
      </c>
      <c r="U152" s="135">
        <v>8420374554</v>
      </c>
      <c r="V152" s="137">
        <v>0.93317163052380947</v>
      </c>
      <c r="W152" s="135">
        <v>55346417711.279999</v>
      </c>
      <c r="X152" s="135">
        <v>62233207734.720001</v>
      </c>
      <c r="Y152" s="137">
        <v>0.52928564365346975</v>
      </c>
      <c r="Z152" s="135">
        <v>55324234721.279999</v>
      </c>
      <c r="AA152" s="135">
        <v>22182990</v>
      </c>
      <c r="AB152" s="723">
        <v>0.47052569279265466</v>
      </c>
    </row>
    <row r="153" spans="1:28" ht="32.25" customHeight="1">
      <c r="A153" s="32" t="e">
        <v>#REF!</v>
      </c>
      <c r="B153" s="138" t="s">
        <v>500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197</v>
      </c>
      <c r="I153" s="139"/>
      <c r="J153" s="139">
        <v>13</v>
      </c>
      <c r="K153" s="140" t="s">
        <v>29</v>
      </c>
      <c r="L153" s="140" t="s">
        <v>198</v>
      </c>
      <c r="M153" s="141">
        <v>12543853246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1">
        <v>12543853246</v>
      </c>
      <c r="T153" s="141">
        <v>12497150539</v>
      </c>
      <c r="U153" s="141">
        <v>46702707</v>
      </c>
      <c r="V153" s="143">
        <v>0.99627684523374882</v>
      </c>
      <c r="W153" s="141">
        <v>3665329429</v>
      </c>
      <c r="X153" s="142">
        <v>8831821110</v>
      </c>
      <c r="Y153" s="143">
        <v>0.70670678747434745</v>
      </c>
      <c r="Z153" s="141">
        <v>3665329429</v>
      </c>
      <c r="AA153" s="141">
        <v>0</v>
      </c>
      <c r="AB153" s="724">
        <v>0.29329321252565255</v>
      </c>
    </row>
    <row r="154" spans="1:28" ht="24.95" customHeight="1">
      <c r="A154" s="32" t="e">
        <v>#REF!</v>
      </c>
      <c r="B154" s="144" t="s">
        <v>501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197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12543853246</v>
      </c>
      <c r="N154" s="148"/>
      <c r="O154" s="148"/>
      <c r="P154" s="148"/>
      <c r="Q154" s="148">
        <v>0</v>
      </c>
      <c r="R154" s="148">
        <v>0</v>
      </c>
      <c r="S154" s="148">
        <v>12543853246</v>
      </c>
      <c r="T154" s="148">
        <v>12497150539</v>
      </c>
      <c r="U154" s="148">
        <v>46702707</v>
      </c>
      <c r="V154" s="150">
        <v>0.99627684523374882</v>
      </c>
      <c r="W154" s="148">
        <v>3665329429</v>
      </c>
      <c r="X154" s="148">
        <v>8831821110</v>
      </c>
      <c r="Y154" s="150">
        <v>0.70670678747434745</v>
      </c>
      <c r="Z154" s="148">
        <v>3665329429</v>
      </c>
      <c r="AA154" s="148">
        <v>0</v>
      </c>
      <c r="AB154" s="150">
        <v>0.29329321252565255</v>
      </c>
    </row>
    <row r="155" spans="1:28" ht="32.25" customHeight="1">
      <c r="A155" s="32" t="e">
        <v>#REF!</v>
      </c>
      <c r="B155" s="138" t="s">
        <v>502</v>
      </c>
      <c r="C155" s="139" t="s">
        <v>167</v>
      </c>
      <c r="D155" s="139" t="s">
        <v>190</v>
      </c>
      <c r="E155" s="139" t="s">
        <v>172</v>
      </c>
      <c r="F155" s="139" t="s">
        <v>22</v>
      </c>
      <c r="G155" s="139" t="s">
        <v>175</v>
      </c>
      <c r="H155" s="139" t="s">
        <v>199</v>
      </c>
      <c r="I155" s="139"/>
      <c r="J155" s="139">
        <v>13</v>
      </c>
      <c r="K155" s="140" t="s">
        <v>29</v>
      </c>
      <c r="L155" s="140" t="s">
        <v>200</v>
      </c>
      <c r="M155" s="141">
        <v>6747471657</v>
      </c>
      <c r="N155" s="142">
        <v>0</v>
      </c>
      <c r="O155" s="142">
        <v>0</v>
      </c>
      <c r="P155" s="141">
        <v>1000000000</v>
      </c>
      <c r="Q155" s="141">
        <v>1000000000</v>
      </c>
      <c r="R155" s="142">
        <v>0</v>
      </c>
      <c r="S155" s="141">
        <v>6747471657</v>
      </c>
      <c r="T155" s="141">
        <v>5632124153</v>
      </c>
      <c r="U155" s="141">
        <v>1115347504</v>
      </c>
      <c r="V155" s="143">
        <v>0.83470141696069078</v>
      </c>
      <c r="W155" s="141">
        <v>1765747131</v>
      </c>
      <c r="X155" s="142">
        <v>3866377022</v>
      </c>
      <c r="Y155" s="143">
        <v>0.68648646886460063</v>
      </c>
      <c r="Z155" s="141">
        <v>1765747131</v>
      </c>
      <c r="AA155" s="141">
        <v>0</v>
      </c>
      <c r="AB155" s="724">
        <v>0.31351353113539931</v>
      </c>
    </row>
    <row r="156" spans="1:28" ht="24.95" customHeight="1">
      <c r="A156" s="32" t="e">
        <v>#REF!</v>
      </c>
      <c r="B156" s="144" t="s">
        <v>503</v>
      </c>
      <c r="C156" s="145" t="s">
        <v>167</v>
      </c>
      <c r="D156" s="145" t="s">
        <v>190</v>
      </c>
      <c r="E156" s="145" t="s">
        <v>172</v>
      </c>
      <c r="F156" s="145" t="s">
        <v>22</v>
      </c>
      <c r="G156" s="145" t="s">
        <v>175</v>
      </c>
      <c r="H156" s="145" t="s">
        <v>199</v>
      </c>
      <c r="I156" s="145" t="s">
        <v>54</v>
      </c>
      <c r="J156" s="145">
        <v>13</v>
      </c>
      <c r="K156" s="146" t="s">
        <v>29</v>
      </c>
      <c r="L156" s="147" t="s">
        <v>178</v>
      </c>
      <c r="M156" s="148">
        <v>6747471657</v>
      </c>
      <c r="N156" s="148"/>
      <c r="O156" s="148"/>
      <c r="P156" s="148">
        <v>1000000000</v>
      </c>
      <c r="Q156" s="148">
        <v>1000000000</v>
      </c>
      <c r="R156" s="148">
        <v>0</v>
      </c>
      <c r="S156" s="148">
        <v>6747471657</v>
      </c>
      <c r="T156" s="148">
        <v>5632124153</v>
      </c>
      <c r="U156" s="148">
        <v>1115347504</v>
      </c>
      <c r="V156" s="150">
        <v>0.83470141696069078</v>
      </c>
      <c r="W156" s="148">
        <v>1765747131</v>
      </c>
      <c r="X156" s="148">
        <v>3866377022</v>
      </c>
      <c r="Y156" s="150">
        <v>0.68648646886460063</v>
      </c>
      <c r="Z156" s="148">
        <v>1765747131</v>
      </c>
      <c r="AA156" s="148">
        <v>0</v>
      </c>
      <c r="AB156" s="150">
        <v>0.31351353113539931</v>
      </c>
    </row>
    <row r="157" spans="1:28" ht="32.25" customHeight="1">
      <c r="A157" s="32" t="e">
        <v>#REF!</v>
      </c>
      <c r="B157" s="138" t="s">
        <v>504</v>
      </c>
      <c r="C157" s="139" t="s">
        <v>167</v>
      </c>
      <c r="D157" s="139" t="s">
        <v>190</v>
      </c>
      <c r="E157" s="139" t="s">
        <v>172</v>
      </c>
      <c r="F157" s="139" t="s">
        <v>22</v>
      </c>
      <c r="G157" s="139" t="s">
        <v>175</v>
      </c>
      <c r="H157" s="139" t="s">
        <v>201</v>
      </c>
      <c r="I157" s="139"/>
      <c r="J157" s="139">
        <v>13</v>
      </c>
      <c r="K157" s="140" t="s">
        <v>29</v>
      </c>
      <c r="L157" s="140" t="s">
        <v>202</v>
      </c>
      <c r="M157" s="141">
        <v>11231519737</v>
      </c>
      <c r="N157" s="142">
        <v>0</v>
      </c>
      <c r="O157" s="142">
        <v>0</v>
      </c>
      <c r="P157" s="142">
        <v>0</v>
      </c>
      <c r="Q157" s="141">
        <v>1000000000</v>
      </c>
      <c r="R157" s="142">
        <v>0</v>
      </c>
      <c r="S157" s="141">
        <v>10231519737</v>
      </c>
      <c r="T157" s="141">
        <v>8738069898</v>
      </c>
      <c r="U157" s="141">
        <v>1493449839</v>
      </c>
      <c r="V157" s="143">
        <v>0.85403440765507466</v>
      </c>
      <c r="W157" s="141">
        <v>2966435235.2800002</v>
      </c>
      <c r="X157" s="141">
        <v>5771634662.7199993</v>
      </c>
      <c r="Y157" s="143">
        <v>0.66051596406215873</v>
      </c>
      <c r="Z157" s="141">
        <v>2944252245.2800002</v>
      </c>
      <c r="AA157" s="141">
        <v>22182990</v>
      </c>
      <c r="AB157" s="724">
        <v>0.33694537576929784</v>
      </c>
    </row>
    <row r="158" spans="1:28" ht="24.95" customHeight="1">
      <c r="A158" s="32" t="e">
        <v>#REF!</v>
      </c>
      <c r="B158" s="144" t="s">
        <v>505</v>
      </c>
      <c r="C158" s="145" t="s">
        <v>167</v>
      </c>
      <c r="D158" s="145" t="s">
        <v>190</v>
      </c>
      <c r="E158" s="145" t="s">
        <v>172</v>
      </c>
      <c r="F158" s="145" t="s">
        <v>22</v>
      </c>
      <c r="G158" s="145" t="s">
        <v>175</v>
      </c>
      <c r="H158" s="145" t="s">
        <v>201</v>
      </c>
      <c r="I158" s="145" t="s">
        <v>54</v>
      </c>
      <c r="J158" s="145">
        <v>13</v>
      </c>
      <c r="K158" s="146" t="s">
        <v>29</v>
      </c>
      <c r="L158" s="147" t="s">
        <v>178</v>
      </c>
      <c r="M158" s="148">
        <v>11231519737</v>
      </c>
      <c r="N158" s="148"/>
      <c r="O158" s="148"/>
      <c r="P158" s="148"/>
      <c r="Q158" s="148">
        <v>1000000000</v>
      </c>
      <c r="R158" s="148">
        <v>0</v>
      </c>
      <c r="S158" s="148">
        <v>10231519737</v>
      </c>
      <c r="T158" s="148">
        <v>8738069898</v>
      </c>
      <c r="U158" s="148">
        <v>1493449839</v>
      </c>
      <c r="V158" s="150">
        <v>0.85403440765507466</v>
      </c>
      <c r="W158" s="148">
        <v>2966435235.2800002</v>
      </c>
      <c r="X158" s="148">
        <v>5771634662.7199993</v>
      </c>
      <c r="Y158" s="150">
        <v>0.66051596406215873</v>
      </c>
      <c r="Z158" s="148">
        <v>2944252245.2800002</v>
      </c>
      <c r="AA158" s="148">
        <v>22182990</v>
      </c>
      <c r="AB158" s="150">
        <v>0.33694537576929784</v>
      </c>
    </row>
    <row r="159" spans="1:28" ht="32.25" customHeight="1">
      <c r="A159" s="32" t="e">
        <v>#REF!</v>
      </c>
      <c r="B159" s="138" t="s">
        <v>506</v>
      </c>
      <c r="C159" s="139" t="s">
        <v>167</v>
      </c>
      <c r="D159" s="139" t="s">
        <v>190</v>
      </c>
      <c r="E159" s="139" t="s">
        <v>172</v>
      </c>
      <c r="F159" s="139" t="s">
        <v>22</v>
      </c>
      <c r="G159" s="139" t="s">
        <v>175</v>
      </c>
      <c r="H159" s="139" t="s">
        <v>203</v>
      </c>
      <c r="I159" s="139"/>
      <c r="J159" s="139">
        <v>13</v>
      </c>
      <c r="K159" s="140" t="s">
        <v>29</v>
      </c>
      <c r="L159" s="140" t="s">
        <v>204</v>
      </c>
      <c r="M159" s="141">
        <v>96477155360</v>
      </c>
      <c r="N159" s="142">
        <v>0</v>
      </c>
      <c r="O159" s="142">
        <v>0</v>
      </c>
      <c r="P159" s="142">
        <v>0</v>
      </c>
      <c r="Q159" s="142">
        <v>0</v>
      </c>
      <c r="R159" s="142">
        <v>0</v>
      </c>
      <c r="S159" s="141">
        <v>96477155360</v>
      </c>
      <c r="T159" s="141">
        <v>90712280856</v>
      </c>
      <c r="U159" s="141">
        <v>5764874504</v>
      </c>
      <c r="V159" s="143">
        <v>0.94024622220163268</v>
      </c>
      <c r="W159" s="141">
        <v>46948905916</v>
      </c>
      <c r="X159" s="141">
        <v>43763374940</v>
      </c>
      <c r="Y159" s="143">
        <v>0.48244156719498199</v>
      </c>
      <c r="Z159" s="141">
        <v>46948905916</v>
      </c>
      <c r="AA159" s="141">
        <v>0</v>
      </c>
      <c r="AB159" s="724">
        <v>0.51755843280501801</v>
      </c>
    </row>
    <row r="160" spans="1:28" ht="24.95" customHeight="1">
      <c r="A160" s="32" t="e">
        <v>#REF!</v>
      </c>
      <c r="B160" s="144" t="s">
        <v>507</v>
      </c>
      <c r="C160" s="145" t="s">
        <v>167</v>
      </c>
      <c r="D160" s="145" t="s">
        <v>190</v>
      </c>
      <c r="E160" s="145" t="s">
        <v>172</v>
      </c>
      <c r="F160" s="145" t="s">
        <v>22</v>
      </c>
      <c r="G160" s="145" t="s">
        <v>175</v>
      </c>
      <c r="H160" s="145" t="s">
        <v>203</v>
      </c>
      <c r="I160" s="145" t="s">
        <v>54</v>
      </c>
      <c r="J160" s="145">
        <v>13</v>
      </c>
      <c r="K160" s="146" t="s">
        <v>29</v>
      </c>
      <c r="L160" s="147" t="s">
        <v>178</v>
      </c>
      <c r="M160" s="148">
        <v>96477155360</v>
      </c>
      <c r="N160" s="148"/>
      <c r="O160" s="148"/>
      <c r="P160" s="149"/>
      <c r="Q160" s="148">
        <v>0</v>
      </c>
      <c r="R160" s="148">
        <v>0</v>
      </c>
      <c r="S160" s="148">
        <v>96477155360</v>
      </c>
      <c r="T160" s="148">
        <v>90712280856</v>
      </c>
      <c r="U160" s="148">
        <v>5764874504</v>
      </c>
      <c r="V160" s="150">
        <v>0.94024622220163268</v>
      </c>
      <c r="W160" s="148">
        <v>46948905916</v>
      </c>
      <c r="X160" s="148">
        <v>43763374940</v>
      </c>
      <c r="Y160" s="150">
        <v>0.48244156719498199</v>
      </c>
      <c r="Z160" s="148">
        <v>46948905916</v>
      </c>
      <c r="AA160" s="148">
        <v>0</v>
      </c>
      <c r="AB160" s="150">
        <v>0.51755843280501801</v>
      </c>
    </row>
    <row r="161" spans="1:28" ht="42" customHeight="1">
      <c r="A161" s="32" t="e">
        <v>#REF!</v>
      </c>
      <c r="B161" s="132" t="s">
        <v>299</v>
      </c>
      <c r="C161" s="133" t="s">
        <v>167</v>
      </c>
      <c r="D161" s="133" t="s">
        <v>190</v>
      </c>
      <c r="E161" s="133" t="s">
        <v>172</v>
      </c>
      <c r="F161" s="133" t="s">
        <v>205</v>
      </c>
      <c r="G161" s="133"/>
      <c r="H161" s="133"/>
      <c r="I161" s="133"/>
      <c r="J161" s="133"/>
      <c r="K161" s="134"/>
      <c r="L161" s="134" t="s">
        <v>265</v>
      </c>
      <c r="M161" s="135">
        <v>662805945958</v>
      </c>
      <c r="N161" s="136">
        <v>0</v>
      </c>
      <c r="O161" s="136">
        <v>0</v>
      </c>
      <c r="P161" s="135">
        <v>14890237185.139999</v>
      </c>
      <c r="Q161" s="135">
        <v>14890237185.140001</v>
      </c>
      <c r="R161" s="136">
        <v>0</v>
      </c>
      <c r="S161" s="135">
        <v>662805945958.00012</v>
      </c>
      <c r="T161" s="135">
        <v>617536362348.32007</v>
      </c>
      <c r="U161" s="135">
        <v>45269583609.680054</v>
      </c>
      <c r="V161" s="137">
        <v>0.93170009429494671</v>
      </c>
      <c r="W161" s="135">
        <v>18673073092.879997</v>
      </c>
      <c r="X161" s="135">
        <v>598863289255.44006</v>
      </c>
      <c r="Y161" s="137">
        <v>0.96976198612520326</v>
      </c>
      <c r="Z161" s="135">
        <v>18208554507.879997</v>
      </c>
      <c r="AA161" s="135">
        <v>464518585</v>
      </c>
      <c r="AB161" s="723">
        <v>2.9485801352065973E-2</v>
      </c>
    </row>
    <row r="162" spans="1:28" ht="30.75" hidden="1" customHeight="1">
      <c r="A162" s="32"/>
      <c r="B162" s="135"/>
      <c r="C162" s="133"/>
      <c r="D162" s="133"/>
      <c r="E162" s="133"/>
      <c r="F162" s="133"/>
      <c r="G162" s="133"/>
      <c r="H162" s="133"/>
      <c r="I162" s="133"/>
      <c r="J162" s="133"/>
      <c r="K162" s="134"/>
      <c r="L162" s="135"/>
      <c r="M162" s="729"/>
      <c r="N162" s="135"/>
      <c r="O162" s="135"/>
      <c r="P162" s="136"/>
      <c r="Q162" s="135"/>
      <c r="R162" s="729"/>
      <c r="S162" s="135">
        <v>0</v>
      </c>
      <c r="T162" s="135"/>
      <c r="U162" s="135">
        <v>0</v>
      </c>
      <c r="V162" s="137"/>
      <c r="W162" s="135"/>
      <c r="X162" s="135">
        <v>0</v>
      </c>
      <c r="Y162" s="137"/>
      <c r="Z162" s="135"/>
      <c r="AA162" s="135">
        <v>0</v>
      </c>
      <c r="AB162" s="723"/>
    </row>
    <row r="163" spans="1:28" ht="32.25" customHeight="1">
      <c r="A163" s="32" t="e">
        <v>#REF!</v>
      </c>
      <c r="B163" s="138" t="s">
        <v>510</v>
      </c>
      <c r="C163" s="139" t="s">
        <v>167</v>
      </c>
      <c r="D163" s="139" t="s">
        <v>190</v>
      </c>
      <c r="E163" s="139" t="s">
        <v>172</v>
      </c>
      <c r="F163" s="139" t="s">
        <v>205</v>
      </c>
      <c r="G163" s="139" t="s">
        <v>175</v>
      </c>
      <c r="H163" s="139" t="s">
        <v>207</v>
      </c>
      <c r="I163" s="139"/>
      <c r="J163" s="139"/>
      <c r="K163" s="140"/>
      <c r="L163" s="140" t="s">
        <v>208</v>
      </c>
      <c r="M163" s="141">
        <v>633930608285</v>
      </c>
      <c r="N163" s="142">
        <v>0</v>
      </c>
      <c r="O163" s="142">
        <v>0</v>
      </c>
      <c r="P163" s="141">
        <v>14073065490.24</v>
      </c>
      <c r="Q163" s="141">
        <v>12122298981.240002</v>
      </c>
      <c r="R163" s="142">
        <v>0</v>
      </c>
      <c r="S163" s="141">
        <v>635881374794.00012</v>
      </c>
      <c r="T163" s="141">
        <v>591673132227.42004</v>
      </c>
      <c r="U163" s="141">
        <v>44208242566.580055</v>
      </c>
      <c r="V163" s="143">
        <v>0.93047721741983436</v>
      </c>
      <c r="W163" s="141">
        <v>7759248599.5100002</v>
      </c>
      <c r="X163" s="141">
        <v>583913883627.91003</v>
      </c>
      <c r="Y163" s="143">
        <v>0.98688592032175027</v>
      </c>
      <c r="Z163" s="141">
        <v>7759248599.5100002</v>
      </c>
      <c r="AA163" s="141">
        <v>0</v>
      </c>
      <c r="AB163" s="724">
        <v>1.3114079678249773E-2</v>
      </c>
    </row>
    <row r="164" spans="1:28" ht="24.95" customHeight="1">
      <c r="A164" s="32" t="e">
        <v>#REF!</v>
      </c>
      <c r="B164" s="144" t="s">
        <v>511</v>
      </c>
      <c r="C164" s="145" t="s">
        <v>167</v>
      </c>
      <c r="D164" s="145" t="s">
        <v>190</v>
      </c>
      <c r="E164" s="145" t="s">
        <v>172</v>
      </c>
      <c r="F164" s="145" t="s">
        <v>205</v>
      </c>
      <c r="G164" s="145" t="s">
        <v>175</v>
      </c>
      <c r="H164" s="145" t="s">
        <v>207</v>
      </c>
      <c r="I164" s="145" t="s">
        <v>54</v>
      </c>
      <c r="J164" s="145">
        <v>13</v>
      </c>
      <c r="K164" s="146" t="s">
        <v>29</v>
      </c>
      <c r="L164" s="147" t="s">
        <v>178</v>
      </c>
      <c r="M164" s="148">
        <v>74930114899</v>
      </c>
      <c r="N164" s="148"/>
      <c r="O164" s="148"/>
      <c r="P164" s="148">
        <v>5461855367.8199997</v>
      </c>
      <c r="Q164" s="148">
        <v>6229021918.5200005</v>
      </c>
      <c r="R164" s="149">
        <v>0</v>
      </c>
      <c r="S164" s="148">
        <v>74162948348.300003</v>
      </c>
      <c r="T164" s="148">
        <v>64119446532.400002</v>
      </c>
      <c r="U164" s="148">
        <v>10043501815.900002</v>
      </c>
      <c r="V164" s="150">
        <v>0.86457520851609693</v>
      </c>
      <c r="W164" s="148">
        <v>360022202.55000001</v>
      </c>
      <c r="X164" s="148">
        <v>63759424329.849998</v>
      </c>
      <c r="Y164" s="150">
        <v>0.99438513240490811</v>
      </c>
      <c r="Z164" s="148">
        <v>360022202.55000001</v>
      </c>
      <c r="AA164" s="148">
        <v>0</v>
      </c>
      <c r="AB164" s="150">
        <v>5.6148675950918932E-3</v>
      </c>
    </row>
    <row r="165" spans="1:28" ht="24.95" customHeight="1">
      <c r="A165" s="32" t="e">
        <v>#REF!</v>
      </c>
      <c r="B165" s="144" t="s">
        <v>514</v>
      </c>
      <c r="C165" s="145" t="s">
        <v>167</v>
      </c>
      <c r="D165" s="145" t="s">
        <v>190</v>
      </c>
      <c r="E165" s="145" t="s">
        <v>172</v>
      </c>
      <c r="F165" s="145" t="s">
        <v>205</v>
      </c>
      <c r="G165" s="145" t="s">
        <v>175</v>
      </c>
      <c r="H165" s="145" t="s">
        <v>207</v>
      </c>
      <c r="I165" s="145" t="s">
        <v>65</v>
      </c>
      <c r="J165" s="145">
        <v>13</v>
      </c>
      <c r="K165" s="146" t="s">
        <v>29</v>
      </c>
      <c r="L165" s="147" t="s">
        <v>127</v>
      </c>
      <c r="M165" s="148">
        <v>559000493386</v>
      </c>
      <c r="N165" s="149"/>
      <c r="O165" s="148"/>
      <c r="P165" s="148">
        <v>8611210122.4200001</v>
      </c>
      <c r="Q165" s="148">
        <v>5893277062.7200003</v>
      </c>
      <c r="R165" s="149">
        <v>0</v>
      </c>
      <c r="S165" s="149">
        <v>561718426445.70007</v>
      </c>
      <c r="T165" s="148">
        <v>527553685695.02002</v>
      </c>
      <c r="U165" s="148">
        <v>34164740750.680054</v>
      </c>
      <c r="V165" s="150">
        <v>0.93917817336550791</v>
      </c>
      <c r="W165" s="148">
        <v>7399226396.96</v>
      </c>
      <c r="X165" s="148">
        <v>520154459298.06</v>
      </c>
      <c r="Y165" s="150">
        <v>0.9859744579602131</v>
      </c>
      <c r="Z165" s="148">
        <v>7399226396.96</v>
      </c>
      <c r="AA165" s="148">
        <v>0</v>
      </c>
      <c r="AB165" s="150">
        <v>1.4025542039786846E-2</v>
      </c>
    </row>
    <row r="166" spans="1:28" ht="32.25" customHeight="1">
      <c r="A166" s="32" t="e">
        <v>#REF!</v>
      </c>
      <c r="B166" s="138" t="s">
        <v>516</v>
      </c>
      <c r="C166" s="139" t="s">
        <v>167</v>
      </c>
      <c r="D166" s="139" t="s">
        <v>190</v>
      </c>
      <c r="E166" s="139" t="s">
        <v>172</v>
      </c>
      <c r="F166" s="139" t="s">
        <v>205</v>
      </c>
      <c r="G166" s="139" t="s">
        <v>175</v>
      </c>
      <c r="H166" s="139" t="s">
        <v>209</v>
      </c>
      <c r="I166" s="139"/>
      <c r="J166" s="139">
        <v>11</v>
      </c>
      <c r="K166" s="140" t="s">
        <v>29</v>
      </c>
      <c r="L166" s="140" t="s">
        <v>210</v>
      </c>
      <c r="M166" s="141">
        <v>28875337673</v>
      </c>
      <c r="N166" s="142">
        <v>0</v>
      </c>
      <c r="O166" s="142">
        <v>0</v>
      </c>
      <c r="P166" s="141">
        <v>817171694.89999998</v>
      </c>
      <c r="Q166" s="141">
        <v>2767938203.9000001</v>
      </c>
      <c r="R166" s="142">
        <v>0</v>
      </c>
      <c r="S166" s="141">
        <v>26924571164</v>
      </c>
      <c r="T166" s="141">
        <v>25863230120.900002</v>
      </c>
      <c r="U166" s="141">
        <v>1061341043.1000004</v>
      </c>
      <c r="V166" s="143">
        <v>0.96058094902848135</v>
      </c>
      <c r="W166" s="141">
        <v>10913824493.369999</v>
      </c>
      <c r="X166" s="141">
        <v>14949405627.529999</v>
      </c>
      <c r="Y166" s="143">
        <v>0.57801773241964183</v>
      </c>
      <c r="Z166" s="141">
        <v>10449305908.369999</v>
      </c>
      <c r="AA166" s="141">
        <v>464518585</v>
      </c>
      <c r="AB166" s="724">
        <v>0.4040216886879085</v>
      </c>
    </row>
    <row r="167" spans="1:28" ht="24.95" customHeight="1">
      <c r="A167" s="32" t="e">
        <v>#REF!</v>
      </c>
      <c r="B167" s="144" t="s">
        <v>517</v>
      </c>
      <c r="C167" s="145" t="s">
        <v>167</v>
      </c>
      <c r="D167" s="145" t="s">
        <v>190</v>
      </c>
      <c r="E167" s="145" t="s">
        <v>172</v>
      </c>
      <c r="F167" s="145" t="s">
        <v>205</v>
      </c>
      <c r="G167" s="145" t="s">
        <v>175</v>
      </c>
      <c r="H167" s="145" t="s">
        <v>209</v>
      </c>
      <c r="I167" s="145" t="s">
        <v>54</v>
      </c>
      <c r="J167" s="145">
        <v>11</v>
      </c>
      <c r="K167" s="146" t="s">
        <v>29</v>
      </c>
      <c r="L167" s="147" t="s">
        <v>178</v>
      </c>
      <c r="M167" s="148">
        <v>17101987014</v>
      </c>
      <c r="N167" s="148"/>
      <c r="O167" s="148"/>
      <c r="P167" s="148"/>
      <c r="Q167" s="149">
        <v>0</v>
      </c>
      <c r="R167" s="148">
        <v>0</v>
      </c>
      <c r="S167" s="148">
        <v>17101987014</v>
      </c>
      <c r="T167" s="148">
        <v>17060419071</v>
      </c>
      <c r="U167" s="148">
        <v>41567943</v>
      </c>
      <c r="V167" s="150">
        <v>0.99756940857422172</v>
      </c>
      <c r="W167" s="148">
        <v>8159559244</v>
      </c>
      <c r="X167" s="148">
        <v>8900859827</v>
      </c>
      <c r="Y167" s="150">
        <v>0.52172574366183344</v>
      </c>
      <c r="Z167" s="148">
        <v>7868952288</v>
      </c>
      <c r="AA167" s="148">
        <v>290606956</v>
      </c>
      <c r="AB167" s="150">
        <v>0.46124026937743678</v>
      </c>
    </row>
    <row r="168" spans="1:28" ht="24.95" customHeight="1">
      <c r="A168" s="32" t="e">
        <v>#REF!</v>
      </c>
      <c r="B168" s="144" t="s">
        <v>517</v>
      </c>
      <c r="C168" s="145" t="s">
        <v>167</v>
      </c>
      <c r="D168" s="145" t="s">
        <v>190</v>
      </c>
      <c r="E168" s="145" t="s">
        <v>172</v>
      </c>
      <c r="F168" s="145" t="s">
        <v>205</v>
      </c>
      <c r="G168" s="145" t="s">
        <v>175</v>
      </c>
      <c r="H168" s="145" t="s">
        <v>209</v>
      </c>
      <c r="I168" s="145" t="s">
        <v>54</v>
      </c>
      <c r="J168" s="145">
        <v>13</v>
      </c>
      <c r="K168" s="146" t="s">
        <v>29</v>
      </c>
      <c r="L168" s="147" t="s">
        <v>178</v>
      </c>
      <c r="M168" s="148">
        <v>11773350659</v>
      </c>
      <c r="N168" s="148"/>
      <c r="O168" s="148"/>
      <c r="P168" s="148">
        <v>817171694.89999998</v>
      </c>
      <c r="Q168" s="148">
        <v>2767938203.9000001</v>
      </c>
      <c r="R168" s="148">
        <v>0</v>
      </c>
      <c r="S168" s="148">
        <v>9822584150</v>
      </c>
      <c r="T168" s="148">
        <v>8802811049.8999996</v>
      </c>
      <c r="U168" s="148">
        <v>1019773100.1000004</v>
      </c>
      <c r="V168" s="150">
        <v>0.89618077233779658</v>
      </c>
      <c r="W168" s="148">
        <v>2754265249.3699999</v>
      </c>
      <c r="X168" s="148">
        <v>6048545800.5299997</v>
      </c>
      <c r="Y168" s="150">
        <v>0.68711525968726905</v>
      </c>
      <c r="Z168" s="148">
        <v>2580353620.3699999</v>
      </c>
      <c r="AA168" s="148">
        <v>173911629</v>
      </c>
      <c r="AB168" s="150">
        <v>0.29312836612564946</v>
      </c>
    </row>
    <row r="169" spans="1:28" ht="38.25" customHeight="1">
      <c r="A169" s="32" t="e">
        <v>#REF!</v>
      </c>
      <c r="B169" s="132" t="s">
        <v>520</v>
      </c>
      <c r="C169" s="133" t="s">
        <v>167</v>
      </c>
      <c r="D169" s="133" t="s">
        <v>190</v>
      </c>
      <c r="E169" s="133" t="s">
        <v>172</v>
      </c>
      <c r="F169" s="133" t="s">
        <v>211</v>
      </c>
      <c r="G169" s="133"/>
      <c r="H169" s="133"/>
      <c r="I169" s="133"/>
      <c r="J169" s="133"/>
      <c r="K169" s="134"/>
      <c r="L169" s="134" t="s">
        <v>266</v>
      </c>
      <c r="M169" s="135">
        <v>1000000000</v>
      </c>
      <c r="N169" s="136">
        <v>0</v>
      </c>
      <c r="O169" s="136">
        <v>0</v>
      </c>
      <c r="P169" s="135">
        <v>1000000000</v>
      </c>
      <c r="Q169" s="136">
        <v>0</v>
      </c>
      <c r="R169" s="136">
        <v>0</v>
      </c>
      <c r="S169" s="135">
        <v>2000000000</v>
      </c>
      <c r="T169" s="135">
        <v>0</v>
      </c>
      <c r="U169" s="135">
        <v>2000000000</v>
      </c>
      <c r="V169" s="137">
        <v>0</v>
      </c>
      <c r="W169" s="135">
        <v>0</v>
      </c>
      <c r="X169" s="135">
        <v>0</v>
      </c>
      <c r="Y169" s="137">
        <v>0</v>
      </c>
      <c r="Z169" s="135">
        <v>0</v>
      </c>
      <c r="AA169" s="135">
        <v>0</v>
      </c>
      <c r="AB169" s="723">
        <v>0</v>
      </c>
    </row>
    <row r="170" spans="1:28" ht="32.25" customHeight="1">
      <c r="A170" s="32" t="e">
        <v>#REF!</v>
      </c>
      <c r="B170" s="138" t="s">
        <v>522</v>
      </c>
      <c r="C170" s="139" t="s">
        <v>167</v>
      </c>
      <c r="D170" s="139" t="s">
        <v>190</v>
      </c>
      <c r="E170" s="139" t="s">
        <v>172</v>
      </c>
      <c r="F170" s="139" t="s">
        <v>211</v>
      </c>
      <c r="G170" s="139" t="s">
        <v>175</v>
      </c>
      <c r="H170" s="139" t="s">
        <v>213</v>
      </c>
      <c r="I170" s="139"/>
      <c r="J170" s="139" t="s">
        <v>144</v>
      </c>
      <c r="K170" s="140" t="s">
        <v>29</v>
      </c>
      <c r="L170" s="140" t="s">
        <v>214</v>
      </c>
      <c r="M170" s="141">
        <v>820000000</v>
      </c>
      <c r="N170" s="142">
        <v>0</v>
      </c>
      <c r="O170" s="142">
        <v>0</v>
      </c>
      <c r="P170" s="142">
        <v>0</v>
      </c>
      <c r="Q170" s="142">
        <v>0</v>
      </c>
      <c r="R170" s="142">
        <v>0</v>
      </c>
      <c r="S170" s="141">
        <v>820000000</v>
      </c>
      <c r="T170" s="141">
        <v>0</v>
      </c>
      <c r="U170" s="141">
        <v>820000000</v>
      </c>
      <c r="V170" s="143">
        <v>0</v>
      </c>
      <c r="W170" s="141">
        <v>0</v>
      </c>
      <c r="X170" s="142">
        <v>0</v>
      </c>
      <c r="Y170" s="143">
        <v>0</v>
      </c>
      <c r="Z170" s="141">
        <v>0</v>
      </c>
      <c r="AA170" s="141">
        <v>0</v>
      </c>
      <c r="AB170" s="724">
        <v>0</v>
      </c>
    </row>
    <row r="171" spans="1:28" ht="24.95" customHeight="1">
      <c r="A171" s="32" t="e">
        <v>#REF!</v>
      </c>
      <c r="B171" s="144" t="s">
        <v>524</v>
      </c>
      <c r="C171" s="145" t="s">
        <v>167</v>
      </c>
      <c r="D171" s="145" t="s">
        <v>190</v>
      </c>
      <c r="E171" s="145" t="s">
        <v>172</v>
      </c>
      <c r="F171" s="145" t="s">
        <v>211</v>
      </c>
      <c r="G171" s="145" t="s">
        <v>175</v>
      </c>
      <c r="H171" s="145" t="s">
        <v>213</v>
      </c>
      <c r="I171" s="145" t="s">
        <v>54</v>
      </c>
      <c r="J171" s="145">
        <v>13</v>
      </c>
      <c r="K171" s="146" t="s">
        <v>29</v>
      </c>
      <c r="L171" s="147" t="s">
        <v>178</v>
      </c>
      <c r="M171" s="148">
        <v>820000000</v>
      </c>
      <c r="N171" s="148"/>
      <c r="O171" s="148"/>
      <c r="P171" s="148"/>
      <c r="Q171" s="149">
        <v>0</v>
      </c>
      <c r="R171" s="148">
        <v>0</v>
      </c>
      <c r="S171" s="148">
        <v>820000000</v>
      </c>
      <c r="T171" s="148">
        <v>0</v>
      </c>
      <c r="U171" s="148">
        <v>820000000</v>
      </c>
      <c r="V171" s="150">
        <v>0</v>
      </c>
      <c r="W171" s="148">
        <v>0</v>
      </c>
      <c r="X171" s="148">
        <v>0</v>
      </c>
      <c r="Y171" s="150">
        <v>0</v>
      </c>
      <c r="Z171" s="148">
        <v>0</v>
      </c>
      <c r="AA171" s="148">
        <v>0</v>
      </c>
      <c r="AB171" s="150">
        <v>0</v>
      </c>
    </row>
    <row r="172" spans="1:28" ht="32.25" customHeight="1">
      <c r="A172" s="32" t="e">
        <v>#REF!</v>
      </c>
      <c r="B172" s="138" t="s">
        <v>526</v>
      </c>
      <c r="C172" s="139" t="s">
        <v>167</v>
      </c>
      <c r="D172" s="139" t="s">
        <v>190</v>
      </c>
      <c r="E172" s="139" t="s">
        <v>172</v>
      </c>
      <c r="F172" s="139" t="s">
        <v>211</v>
      </c>
      <c r="G172" s="139" t="s">
        <v>175</v>
      </c>
      <c r="H172" s="139" t="s">
        <v>215</v>
      </c>
      <c r="I172" s="139"/>
      <c r="J172" s="139" t="s">
        <v>144</v>
      </c>
      <c r="K172" s="140" t="s">
        <v>29</v>
      </c>
      <c r="L172" s="140" t="s">
        <v>216</v>
      </c>
      <c r="M172" s="141">
        <v>180000000</v>
      </c>
      <c r="N172" s="142">
        <v>0</v>
      </c>
      <c r="O172" s="142">
        <v>0</v>
      </c>
      <c r="P172" s="141">
        <v>1000000000</v>
      </c>
      <c r="Q172" s="142">
        <v>0</v>
      </c>
      <c r="R172" s="142">
        <v>0</v>
      </c>
      <c r="S172" s="141">
        <v>1180000000</v>
      </c>
      <c r="T172" s="141">
        <v>0</v>
      </c>
      <c r="U172" s="141">
        <v>1180000000</v>
      </c>
      <c r="V172" s="143">
        <v>0</v>
      </c>
      <c r="W172" s="141">
        <v>0</v>
      </c>
      <c r="X172" s="141">
        <v>0</v>
      </c>
      <c r="Y172" s="143">
        <v>0</v>
      </c>
      <c r="Z172" s="141">
        <v>0</v>
      </c>
      <c r="AA172" s="141">
        <v>0</v>
      </c>
      <c r="AB172" s="724">
        <v>0</v>
      </c>
    </row>
    <row r="173" spans="1:28" ht="24.95" customHeight="1">
      <c r="A173" s="32" t="e">
        <v>#REF!</v>
      </c>
      <c r="B173" s="144" t="s">
        <v>528</v>
      </c>
      <c r="C173" s="145" t="s">
        <v>167</v>
      </c>
      <c r="D173" s="145" t="s">
        <v>190</v>
      </c>
      <c r="E173" s="145" t="s">
        <v>172</v>
      </c>
      <c r="F173" s="145" t="s">
        <v>211</v>
      </c>
      <c r="G173" s="145" t="s">
        <v>175</v>
      </c>
      <c r="H173" s="145" t="s">
        <v>215</v>
      </c>
      <c r="I173" s="145" t="s">
        <v>54</v>
      </c>
      <c r="J173" s="145">
        <v>13</v>
      </c>
      <c r="K173" s="146" t="s">
        <v>29</v>
      </c>
      <c r="L173" s="147" t="s">
        <v>178</v>
      </c>
      <c r="M173" s="148">
        <v>180000000</v>
      </c>
      <c r="N173" s="148"/>
      <c r="O173" s="148"/>
      <c r="P173" s="148">
        <v>1000000000</v>
      </c>
      <c r="Q173" s="149">
        <v>0</v>
      </c>
      <c r="R173" s="148">
        <v>0</v>
      </c>
      <c r="S173" s="148">
        <v>1180000000</v>
      </c>
      <c r="T173" s="148">
        <v>0</v>
      </c>
      <c r="U173" s="148">
        <v>1180000000</v>
      </c>
      <c r="V173" s="150">
        <v>0</v>
      </c>
      <c r="W173" s="148">
        <v>0</v>
      </c>
      <c r="X173" s="148">
        <v>0</v>
      </c>
      <c r="Y173" s="150">
        <v>0</v>
      </c>
      <c r="Z173" s="148">
        <v>0</v>
      </c>
      <c r="AA173" s="148">
        <v>0</v>
      </c>
      <c r="AB173" s="150">
        <v>0</v>
      </c>
    </row>
    <row r="174" spans="1:28" ht="49.5" customHeight="1">
      <c r="A174" s="32" t="e">
        <v>#REF!</v>
      </c>
      <c r="B174" s="132" t="s">
        <v>530</v>
      </c>
      <c r="C174" s="133" t="s">
        <v>167</v>
      </c>
      <c r="D174" s="133" t="s">
        <v>190</v>
      </c>
      <c r="E174" s="133" t="s">
        <v>172</v>
      </c>
      <c r="F174" s="133" t="s">
        <v>217</v>
      </c>
      <c r="G174" s="133"/>
      <c r="H174" s="133"/>
      <c r="I174" s="133"/>
      <c r="J174" s="133"/>
      <c r="K174" s="134"/>
      <c r="L174" s="134" t="s">
        <v>267</v>
      </c>
      <c r="M174" s="135">
        <v>20000000000</v>
      </c>
      <c r="N174" s="136">
        <v>0</v>
      </c>
      <c r="O174" s="136">
        <v>0</v>
      </c>
      <c r="P174" s="136">
        <v>0</v>
      </c>
      <c r="Q174" s="136">
        <v>0</v>
      </c>
      <c r="R174" s="136">
        <v>0</v>
      </c>
      <c r="S174" s="135">
        <v>20000000000</v>
      </c>
      <c r="T174" s="135">
        <v>2228436273</v>
      </c>
      <c r="U174" s="135">
        <v>17771563727</v>
      </c>
      <c r="V174" s="137">
        <v>0.11142181365000001</v>
      </c>
      <c r="W174" s="135">
        <v>1313807376</v>
      </c>
      <c r="X174" s="135">
        <v>914628897</v>
      </c>
      <c r="Y174" s="137">
        <v>0.41043529405877699</v>
      </c>
      <c r="Z174" s="135">
        <v>1309070376</v>
      </c>
      <c r="AA174" s="135">
        <v>4737000</v>
      </c>
      <c r="AB174" s="723">
        <v>0.58743900010103633</v>
      </c>
    </row>
    <row r="175" spans="1:28" ht="32.25" customHeight="1">
      <c r="A175" s="32" t="e">
        <v>#REF!</v>
      </c>
      <c r="B175" s="138" t="s">
        <v>531</v>
      </c>
      <c r="C175" s="139" t="s">
        <v>167</v>
      </c>
      <c r="D175" s="139" t="s">
        <v>190</v>
      </c>
      <c r="E175" s="139" t="s">
        <v>172</v>
      </c>
      <c r="F175" s="139" t="s">
        <v>217</v>
      </c>
      <c r="G175" s="139" t="s">
        <v>175</v>
      </c>
      <c r="H175" s="139" t="s">
        <v>219</v>
      </c>
      <c r="I175" s="139"/>
      <c r="J175" s="139">
        <v>11</v>
      </c>
      <c r="K175" s="140" t="s">
        <v>29</v>
      </c>
      <c r="L175" s="140" t="s">
        <v>220</v>
      </c>
      <c r="M175" s="141">
        <v>4242894515</v>
      </c>
      <c r="N175" s="142">
        <v>0</v>
      </c>
      <c r="O175" s="142">
        <v>0</v>
      </c>
      <c r="P175" s="142">
        <v>0</v>
      </c>
      <c r="Q175" s="142">
        <v>0</v>
      </c>
      <c r="R175" s="142">
        <v>0</v>
      </c>
      <c r="S175" s="141">
        <v>4242894515</v>
      </c>
      <c r="T175" s="141">
        <v>1028436273</v>
      </c>
      <c r="U175" s="141">
        <v>3214458242</v>
      </c>
      <c r="V175" s="143">
        <v>0.24239025254201965</v>
      </c>
      <c r="W175" s="141">
        <v>473807376</v>
      </c>
      <c r="X175" s="142">
        <v>554628897</v>
      </c>
      <c r="Y175" s="143">
        <v>0.53929340257721536</v>
      </c>
      <c r="Z175" s="141">
        <v>469070376</v>
      </c>
      <c r="AA175" s="141">
        <v>4737000</v>
      </c>
      <c r="AB175" s="724">
        <v>0.45610057551908229</v>
      </c>
    </row>
    <row r="176" spans="1:28" ht="24.95" customHeight="1">
      <c r="A176" s="32" t="e">
        <v>#REF!</v>
      </c>
      <c r="B176" s="144" t="s">
        <v>532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219</v>
      </c>
      <c r="I176" s="145" t="s">
        <v>54</v>
      </c>
      <c r="J176" s="145">
        <v>13</v>
      </c>
      <c r="K176" s="146" t="s">
        <v>29</v>
      </c>
      <c r="L176" s="147" t="s">
        <v>178</v>
      </c>
      <c r="M176" s="148">
        <v>4242894515</v>
      </c>
      <c r="N176" s="148"/>
      <c r="O176" s="148"/>
      <c r="P176" s="148"/>
      <c r="Q176" s="148">
        <v>0</v>
      </c>
      <c r="R176" s="148">
        <v>0</v>
      </c>
      <c r="S176" s="148">
        <v>4242894515</v>
      </c>
      <c r="T176" s="148">
        <v>1028436273</v>
      </c>
      <c r="U176" s="148">
        <v>3214458242</v>
      </c>
      <c r="V176" s="150">
        <v>0.24239025254201965</v>
      </c>
      <c r="W176" s="148">
        <v>473807376</v>
      </c>
      <c r="X176" s="148">
        <v>554628897</v>
      </c>
      <c r="Y176" s="150">
        <v>0.53929340257721536</v>
      </c>
      <c r="Z176" s="148">
        <v>469070376</v>
      </c>
      <c r="AA176" s="148">
        <v>4737000</v>
      </c>
      <c r="AB176" s="150">
        <v>0.45610057551908229</v>
      </c>
    </row>
    <row r="177" spans="1:28" ht="32.25" customHeight="1">
      <c r="A177" s="32" t="e">
        <v>#REF!</v>
      </c>
      <c r="B177" s="138" t="s">
        <v>533</v>
      </c>
      <c r="C177" s="139" t="s">
        <v>167</v>
      </c>
      <c r="D177" s="139" t="s">
        <v>190</v>
      </c>
      <c r="E177" s="139" t="s">
        <v>172</v>
      </c>
      <c r="F177" s="139" t="s">
        <v>217</v>
      </c>
      <c r="G177" s="139" t="s">
        <v>175</v>
      </c>
      <c r="H177" s="139" t="s">
        <v>221</v>
      </c>
      <c r="I177" s="139"/>
      <c r="J177" s="139">
        <v>11</v>
      </c>
      <c r="K177" s="140" t="s">
        <v>29</v>
      </c>
      <c r="L177" s="140" t="s">
        <v>222</v>
      </c>
      <c r="M177" s="141">
        <v>15757105485</v>
      </c>
      <c r="N177" s="142">
        <v>0</v>
      </c>
      <c r="O177" s="142">
        <v>0</v>
      </c>
      <c r="P177" s="142">
        <v>0</v>
      </c>
      <c r="Q177" s="142">
        <v>0</v>
      </c>
      <c r="R177" s="142">
        <v>0</v>
      </c>
      <c r="S177" s="141">
        <v>15757105485</v>
      </c>
      <c r="T177" s="141">
        <v>1200000000</v>
      </c>
      <c r="U177" s="141">
        <v>14557105485</v>
      </c>
      <c r="V177" s="143">
        <v>7.6156118973903036E-2</v>
      </c>
      <c r="W177" s="141">
        <v>840000000</v>
      </c>
      <c r="X177" s="141">
        <v>360000000</v>
      </c>
      <c r="Y177" s="143">
        <v>0.3</v>
      </c>
      <c r="Z177" s="141">
        <v>840000000</v>
      </c>
      <c r="AA177" s="141">
        <v>0</v>
      </c>
      <c r="AB177" s="724">
        <v>0.7</v>
      </c>
    </row>
    <row r="178" spans="1:28" ht="24.95" customHeight="1">
      <c r="A178" s="32" t="e">
        <v>#REF!</v>
      </c>
      <c r="B178" s="144" t="s">
        <v>534</v>
      </c>
      <c r="C178" s="145" t="s">
        <v>167</v>
      </c>
      <c r="D178" s="145" t="s">
        <v>190</v>
      </c>
      <c r="E178" s="145" t="s">
        <v>172</v>
      </c>
      <c r="F178" s="145" t="s">
        <v>217</v>
      </c>
      <c r="G178" s="145" t="s">
        <v>175</v>
      </c>
      <c r="H178" s="145" t="s">
        <v>221</v>
      </c>
      <c r="I178" s="145" t="s">
        <v>54</v>
      </c>
      <c r="J178" s="145">
        <v>13</v>
      </c>
      <c r="K178" s="146" t="s">
        <v>29</v>
      </c>
      <c r="L178" s="147" t="s">
        <v>178</v>
      </c>
      <c r="M178" s="148">
        <v>15757105485</v>
      </c>
      <c r="N178" s="148"/>
      <c r="O178" s="148"/>
      <c r="P178" s="148"/>
      <c r="Q178" s="148">
        <v>0</v>
      </c>
      <c r="R178" s="148">
        <v>0</v>
      </c>
      <c r="S178" s="148">
        <v>15757105485</v>
      </c>
      <c r="T178" s="148">
        <v>1200000000</v>
      </c>
      <c r="U178" s="148">
        <v>14557105485</v>
      </c>
      <c r="V178" s="150">
        <v>7.6156118973903036E-2</v>
      </c>
      <c r="W178" s="148">
        <v>840000000</v>
      </c>
      <c r="X178" s="148">
        <v>360000000</v>
      </c>
      <c r="Y178" s="150">
        <v>0.3</v>
      </c>
      <c r="Z178" s="148">
        <v>840000000</v>
      </c>
      <c r="AA178" s="148">
        <v>0</v>
      </c>
      <c r="AB178" s="150">
        <v>0.7</v>
      </c>
    </row>
    <row r="179" spans="1:28" ht="32.25" hidden="1" customHeight="1">
      <c r="A179" s="32" t="e">
        <v>#REF!</v>
      </c>
      <c r="B179" s="138" t="s">
        <v>536</v>
      </c>
      <c r="C179" s="139" t="s">
        <v>167</v>
      </c>
      <c r="D179" s="139" t="s">
        <v>190</v>
      </c>
      <c r="E179" s="139" t="s">
        <v>172</v>
      </c>
      <c r="F179" s="139" t="s">
        <v>217</v>
      </c>
      <c r="G179" s="139" t="s">
        <v>175</v>
      </c>
      <c r="H179" s="139" t="s">
        <v>223</v>
      </c>
      <c r="I179" s="139"/>
      <c r="J179" s="139">
        <v>11</v>
      </c>
      <c r="K179" s="140" t="s">
        <v>29</v>
      </c>
      <c r="L179" s="140" t="s">
        <v>224</v>
      </c>
      <c r="M179" s="142">
        <v>0</v>
      </c>
      <c r="N179" s="141">
        <v>0</v>
      </c>
      <c r="O179" s="141">
        <v>0</v>
      </c>
      <c r="P179" s="141">
        <v>0</v>
      </c>
      <c r="Q179" s="142">
        <v>0</v>
      </c>
      <c r="R179" s="142">
        <v>0</v>
      </c>
      <c r="S179" s="141">
        <v>0</v>
      </c>
      <c r="T179" s="141">
        <v>0</v>
      </c>
      <c r="U179" s="141">
        <v>0</v>
      </c>
      <c r="V179" s="143">
        <v>0</v>
      </c>
      <c r="W179" s="141">
        <v>0</v>
      </c>
      <c r="X179" s="141">
        <v>0</v>
      </c>
      <c r="Y179" s="143">
        <v>0</v>
      </c>
      <c r="Z179" s="141">
        <v>0</v>
      </c>
      <c r="AA179" s="141">
        <v>0</v>
      </c>
      <c r="AB179" s="724">
        <v>0</v>
      </c>
    </row>
    <row r="180" spans="1:28" ht="24.95" hidden="1" customHeight="1">
      <c r="A180" s="32" t="e">
        <v>#REF!</v>
      </c>
      <c r="B180" s="144" t="s">
        <v>537</v>
      </c>
      <c r="C180" s="145" t="s">
        <v>167</v>
      </c>
      <c r="D180" s="145" t="s">
        <v>190</v>
      </c>
      <c r="E180" s="145" t="s">
        <v>172</v>
      </c>
      <c r="F180" s="145" t="s">
        <v>217</v>
      </c>
      <c r="G180" s="145" t="s">
        <v>175</v>
      </c>
      <c r="H180" s="145" t="s">
        <v>223</v>
      </c>
      <c r="I180" s="145" t="s">
        <v>54</v>
      </c>
      <c r="J180" s="145">
        <v>11</v>
      </c>
      <c r="K180" s="146" t="s">
        <v>29</v>
      </c>
      <c r="L180" s="147" t="s">
        <v>178</v>
      </c>
      <c r="M180" s="148"/>
      <c r="N180" s="148"/>
      <c r="O180" s="148"/>
      <c r="P180" s="148"/>
      <c r="Q180" s="148"/>
      <c r="R180" s="148"/>
      <c r="S180" s="148">
        <v>0</v>
      </c>
      <c r="T180" s="148"/>
      <c r="U180" s="148">
        <v>0</v>
      </c>
      <c r="V180" s="150">
        <v>0</v>
      </c>
      <c r="W180" s="148"/>
      <c r="X180" s="148">
        <v>0</v>
      </c>
      <c r="Y180" s="150">
        <v>0</v>
      </c>
      <c r="Z180" s="148"/>
      <c r="AA180" s="148">
        <v>0</v>
      </c>
      <c r="AB180" s="150">
        <v>0</v>
      </c>
    </row>
    <row r="181" spans="1:28" ht="24.95" hidden="1" customHeight="1">
      <c r="A181" s="32" t="e">
        <v>#REF!</v>
      </c>
      <c r="B181" s="144" t="s">
        <v>539</v>
      </c>
      <c r="C181" s="145" t="s">
        <v>167</v>
      </c>
      <c r="D181" s="145" t="s">
        <v>190</v>
      </c>
      <c r="E181" s="145" t="s">
        <v>172</v>
      </c>
      <c r="F181" s="145" t="s">
        <v>217</v>
      </c>
      <c r="G181" s="145" t="s">
        <v>175</v>
      </c>
      <c r="H181" s="145" t="s">
        <v>223</v>
      </c>
      <c r="I181" s="145" t="s">
        <v>65</v>
      </c>
      <c r="J181" s="145">
        <v>11</v>
      </c>
      <c r="K181" s="146" t="s">
        <v>29</v>
      </c>
      <c r="L181" s="147" t="s">
        <v>127</v>
      </c>
      <c r="M181" s="148"/>
      <c r="N181" s="148"/>
      <c r="O181" s="148"/>
      <c r="P181" s="148"/>
      <c r="Q181" s="148"/>
      <c r="R181" s="148"/>
      <c r="S181" s="148">
        <v>0</v>
      </c>
      <c r="T181" s="148"/>
      <c r="U181" s="148">
        <v>0</v>
      </c>
      <c r="V181" s="150">
        <v>0</v>
      </c>
      <c r="W181" s="148"/>
      <c r="X181" s="148">
        <v>0</v>
      </c>
      <c r="Y181" s="150">
        <v>0</v>
      </c>
      <c r="Z181" s="148"/>
      <c r="AA181" s="148">
        <v>0</v>
      </c>
      <c r="AB181" s="150">
        <v>0</v>
      </c>
    </row>
    <row r="182" spans="1:28" ht="32.25" hidden="1" customHeight="1">
      <c r="A182" s="32" t="e">
        <v>#REF!</v>
      </c>
      <c r="B182" s="138" t="s">
        <v>540</v>
      </c>
      <c r="C182" s="139" t="s">
        <v>167</v>
      </c>
      <c r="D182" s="139" t="s">
        <v>190</v>
      </c>
      <c r="E182" s="139" t="s">
        <v>172</v>
      </c>
      <c r="F182" s="139" t="s">
        <v>217</v>
      </c>
      <c r="G182" s="139" t="s">
        <v>175</v>
      </c>
      <c r="H182" s="139" t="s">
        <v>225</v>
      </c>
      <c r="I182" s="139"/>
      <c r="J182" s="139">
        <v>11</v>
      </c>
      <c r="K182" s="140" t="s">
        <v>29</v>
      </c>
      <c r="L182" s="140" t="s">
        <v>226</v>
      </c>
      <c r="M182" s="142">
        <v>0</v>
      </c>
      <c r="N182" s="142">
        <v>0</v>
      </c>
      <c r="O182" s="142">
        <v>0</v>
      </c>
      <c r="P182" s="141">
        <v>0</v>
      </c>
      <c r="Q182" s="142">
        <v>0</v>
      </c>
      <c r="R182" s="142">
        <v>0</v>
      </c>
      <c r="S182" s="141">
        <v>0</v>
      </c>
      <c r="T182" s="141">
        <v>0</v>
      </c>
      <c r="U182" s="141">
        <v>0</v>
      </c>
      <c r="V182" s="143">
        <v>0</v>
      </c>
      <c r="W182" s="141">
        <v>0</v>
      </c>
      <c r="X182" s="142">
        <v>0</v>
      </c>
      <c r="Y182" s="143">
        <v>0</v>
      </c>
      <c r="Z182" s="141">
        <v>0</v>
      </c>
      <c r="AA182" s="141">
        <v>0</v>
      </c>
      <c r="AB182" s="724">
        <v>0</v>
      </c>
    </row>
    <row r="183" spans="1:28" ht="24.95" hidden="1" customHeight="1">
      <c r="A183" s="32" t="e">
        <v>#REF!</v>
      </c>
      <c r="B183" s="144" t="s">
        <v>541</v>
      </c>
      <c r="C183" s="145" t="s">
        <v>167</v>
      </c>
      <c r="D183" s="145" t="s">
        <v>190</v>
      </c>
      <c r="E183" s="145" t="s">
        <v>172</v>
      </c>
      <c r="F183" s="145" t="s">
        <v>217</v>
      </c>
      <c r="G183" s="145" t="s">
        <v>175</v>
      </c>
      <c r="H183" s="145" t="s">
        <v>225</v>
      </c>
      <c r="I183" s="145" t="s">
        <v>54</v>
      </c>
      <c r="J183" s="145">
        <v>11</v>
      </c>
      <c r="K183" s="146" t="s">
        <v>29</v>
      </c>
      <c r="L183" s="147" t="s">
        <v>178</v>
      </c>
      <c r="M183" s="148"/>
      <c r="N183" s="148"/>
      <c r="O183" s="148"/>
      <c r="P183" s="148"/>
      <c r="Q183" s="148"/>
      <c r="R183" s="148"/>
      <c r="S183" s="148">
        <v>0</v>
      </c>
      <c r="T183" s="148"/>
      <c r="U183" s="148">
        <v>0</v>
      </c>
      <c r="V183" s="150">
        <v>0</v>
      </c>
      <c r="W183" s="148"/>
      <c r="X183" s="148">
        <v>0</v>
      </c>
      <c r="Y183" s="150">
        <v>0</v>
      </c>
      <c r="Z183" s="148"/>
      <c r="AA183" s="148">
        <v>0</v>
      </c>
      <c r="AB183" s="150">
        <v>0</v>
      </c>
    </row>
    <row r="184" spans="1:28" ht="41.25" customHeight="1">
      <c r="A184" s="32" t="e">
        <v>#REF!</v>
      </c>
      <c r="B184" s="132" t="s">
        <v>664</v>
      </c>
      <c r="C184" s="133" t="s">
        <v>167</v>
      </c>
      <c r="D184" s="133" t="s">
        <v>190</v>
      </c>
      <c r="E184" s="133" t="s">
        <v>172</v>
      </c>
      <c r="F184" s="133">
        <v>19</v>
      </c>
      <c r="G184" s="133"/>
      <c r="H184" s="133"/>
      <c r="I184" s="133"/>
      <c r="J184" s="133"/>
      <c r="K184" s="134"/>
      <c r="L184" s="134" t="s">
        <v>270</v>
      </c>
      <c r="M184" s="135">
        <v>12800000000</v>
      </c>
      <c r="N184" s="135">
        <v>5269349000</v>
      </c>
      <c r="O184" s="135">
        <v>0</v>
      </c>
      <c r="P184" s="135">
        <v>0</v>
      </c>
      <c r="Q184" s="135">
        <v>0</v>
      </c>
      <c r="R184" s="135">
        <v>0</v>
      </c>
      <c r="S184" s="135">
        <v>18069349000</v>
      </c>
      <c r="T184" s="135">
        <v>12410072530.51</v>
      </c>
      <c r="U184" s="135">
        <v>5659276469.4899998</v>
      </c>
      <c r="V184" s="137">
        <v>0.6868024149907116</v>
      </c>
      <c r="W184" s="135">
        <v>4043102341.3299999</v>
      </c>
      <c r="X184" s="135">
        <v>8366970189.1800003</v>
      </c>
      <c r="Y184" s="137">
        <v>0.67420800068733799</v>
      </c>
      <c r="Z184" s="135">
        <v>3739184118.3299999</v>
      </c>
      <c r="AA184" s="135">
        <v>303918223</v>
      </c>
      <c r="AB184" s="723">
        <v>0.30130235815602729</v>
      </c>
    </row>
    <row r="185" spans="1:28" ht="32.25" customHeight="1">
      <c r="A185" s="32" t="e">
        <v>#REF!</v>
      </c>
      <c r="B185" s="138" t="s">
        <v>666</v>
      </c>
      <c r="C185" s="139" t="s">
        <v>167</v>
      </c>
      <c r="D185" s="139" t="s">
        <v>190</v>
      </c>
      <c r="E185" s="139" t="s">
        <v>172</v>
      </c>
      <c r="F185" s="139">
        <v>19</v>
      </c>
      <c r="G185" s="139" t="s">
        <v>175</v>
      </c>
      <c r="H185" s="139">
        <v>4103049</v>
      </c>
      <c r="I185" s="139"/>
      <c r="J185" s="139">
        <v>13</v>
      </c>
      <c r="K185" s="140" t="s">
        <v>29</v>
      </c>
      <c r="L185" s="140" t="s">
        <v>228</v>
      </c>
      <c r="M185" s="141">
        <v>321785352</v>
      </c>
      <c r="N185" s="142">
        <v>0</v>
      </c>
      <c r="O185" s="142">
        <v>0</v>
      </c>
      <c r="P185" s="142">
        <v>0</v>
      </c>
      <c r="Q185" s="142">
        <v>0</v>
      </c>
      <c r="R185" s="142">
        <v>0</v>
      </c>
      <c r="S185" s="141">
        <v>321785352</v>
      </c>
      <c r="T185" s="141">
        <v>291749332</v>
      </c>
      <c r="U185" s="141">
        <v>30036020</v>
      </c>
      <c r="V185" s="143">
        <v>0.90665821233528365</v>
      </c>
      <c r="W185" s="141">
        <v>233293136</v>
      </c>
      <c r="X185" s="141">
        <v>58456196</v>
      </c>
      <c r="Y185" s="143">
        <v>0.20036445533318309</v>
      </c>
      <c r="Z185" s="141">
        <v>233293136</v>
      </c>
      <c r="AA185" s="141">
        <v>0</v>
      </c>
      <c r="AB185" s="724">
        <v>0.79963554466681697</v>
      </c>
    </row>
    <row r="186" spans="1:28" ht="24.95" customHeight="1">
      <c r="A186" s="32" t="e">
        <v>#REF!</v>
      </c>
      <c r="B186" s="144" t="s">
        <v>668</v>
      </c>
      <c r="C186" s="145" t="s">
        <v>167</v>
      </c>
      <c r="D186" s="145" t="s">
        <v>190</v>
      </c>
      <c r="E186" s="145" t="s">
        <v>172</v>
      </c>
      <c r="F186" s="145">
        <v>19</v>
      </c>
      <c r="G186" s="145" t="s">
        <v>175</v>
      </c>
      <c r="H186" s="145">
        <v>4103049</v>
      </c>
      <c r="I186" s="145" t="s">
        <v>54</v>
      </c>
      <c r="J186" s="145">
        <v>13</v>
      </c>
      <c r="K186" s="146" t="s">
        <v>29</v>
      </c>
      <c r="L186" s="147" t="s">
        <v>178</v>
      </c>
      <c r="M186" s="148">
        <v>321785352</v>
      </c>
      <c r="N186" s="148"/>
      <c r="O186" s="148"/>
      <c r="P186" s="148"/>
      <c r="Q186" s="148">
        <v>0</v>
      </c>
      <c r="R186" s="148">
        <v>0</v>
      </c>
      <c r="S186" s="148">
        <v>321785352</v>
      </c>
      <c r="T186" s="148">
        <v>291749332</v>
      </c>
      <c r="U186" s="148">
        <v>30036020</v>
      </c>
      <c r="V186" s="150">
        <v>0.90665821233528365</v>
      </c>
      <c r="W186" s="148">
        <v>233293136</v>
      </c>
      <c r="X186" s="148">
        <v>58456196</v>
      </c>
      <c r="Y186" s="150">
        <v>0.20036445533318309</v>
      </c>
      <c r="Z186" s="148">
        <v>233293136</v>
      </c>
      <c r="AA186" s="148">
        <v>0</v>
      </c>
      <c r="AB186" s="150">
        <v>0.79963554466681697</v>
      </c>
    </row>
    <row r="187" spans="1:28" ht="32.25" customHeight="1">
      <c r="A187" s="32" t="e">
        <v>#REF!</v>
      </c>
      <c r="B187" s="138" t="s">
        <v>670</v>
      </c>
      <c r="C187" s="139" t="s">
        <v>167</v>
      </c>
      <c r="D187" s="139" t="s">
        <v>190</v>
      </c>
      <c r="E187" s="139" t="s">
        <v>172</v>
      </c>
      <c r="F187" s="139">
        <v>19</v>
      </c>
      <c r="G187" s="139" t="s">
        <v>175</v>
      </c>
      <c r="H187" s="139">
        <v>4103052</v>
      </c>
      <c r="I187" s="139"/>
      <c r="J187" s="139">
        <v>13</v>
      </c>
      <c r="K187" s="140" t="s">
        <v>29</v>
      </c>
      <c r="L187" s="140" t="s">
        <v>229</v>
      </c>
      <c r="M187" s="141">
        <v>12478214648</v>
      </c>
      <c r="N187" s="142">
        <v>0</v>
      </c>
      <c r="O187" s="142">
        <v>0</v>
      </c>
      <c r="P187" s="142">
        <v>0</v>
      </c>
      <c r="Q187" s="142">
        <v>0</v>
      </c>
      <c r="R187" s="142">
        <v>0</v>
      </c>
      <c r="S187" s="141">
        <v>12478214648</v>
      </c>
      <c r="T187" s="141">
        <v>12118323198.51</v>
      </c>
      <c r="U187" s="141">
        <v>359891449.48999977</v>
      </c>
      <c r="V187" s="143">
        <v>0.97115841811972015</v>
      </c>
      <c r="W187" s="141">
        <v>3809809205.3299999</v>
      </c>
      <c r="X187" s="141">
        <v>8308513993.1800003</v>
      </c>
      <c r="Y187" s="143">
        <v>0.6856158114516675</v>
      </c>
      <c r="Z187" s="141">
        <v>3505890982.3299999</v>
      </c>
      <c r="AA187" s="141">
        <v>303918223</v>
      </c>
      <c r="AB187" s="724">
        <v>0.28930495786422533</v>
      </c>
    </row>
    <row r="188" spans="1:28" ht="24.95" customHeight="1">
      <c r="A188" s="32" t="e">
        <v>#REF!</v>
      </c>
      <c r="B188" s="144" t="s">
        <v>672</v>
      </c>
      <c r="C188" s="145" t="s">
        <v>167</v>
      </c>
      <c r="D188" s="145" t="s">
        <v>190</v>
      </c>
      <c r="E188" s="145" t="s">
        <v>172</v>
      </c>
      <c r="F188" s="145">
        <v>19</v>
      </c>
      <c r="G188" s="145" t="s">
        <v>175</v>
      </c>
      <c r="H188" s="145">
        <v>4103052</v>
      </c>
      <c r="I188" s="145" t="s">
        <v>54</v>
      </c>
      <c r="J188" s="145">
        <v>13</v>
      </c>
      <c r="K188" s="146" t="s">
        <v>29</v>
      </c>
      <c r="L188" s="147" t="s">
        <v>178</v>
      </c>
      <c r="M188" s="148">
        <v>12478214648</v>
      </c>
      <c r="N188" s="148"/>
      <c r="O188" s="148"/>
      <c r="P188" s="148"/>
      <c r="Q188" s="148">
        <v>0</v>
      </c>
      <c r="R188" s="148">
        <v>0</v>
      </c>
      <c r="S188" s="148">
        <v>12478214648</v>
      </c>
      <c r="T188" s="148">
        <v>12118323198.51</v>
      </c>
      <c r="U188" s="148">
        <v>359891449.48999977</v>
      </c>
      <c r="V188" s="150">
        <v>0.97115841811972015</v>
      </c>
      <c r="W188" s="148">
        <v>3809809205.3299999</v>
      </c>
      <c r="X188" s="148">
        <v>8308513993.1800003</v>
      </c>
      <c r="Y188" s="150">
        <v>0.6856158114516675</v>
      </c>
      <c r="Z188" s="148">
        <v>3505890982.3299999</v>
      </c>
      <c r="AA188" s="148">
        <v>303918223</v>
      </c>
      <c r="AB188" s="150">
        <v>0.28930495786422533</v>
      </c>
    </row>
    <row r="189" spans="1:28" ht="32.25" customHeight="1">
      <c r="A189" s="32" t="e">
        <v>#REF!</v>
      </c>
      <c r="B189" s="138" t="s">
        <v>670</v>
      </c>
      <c r="C189" s="139" t="s">
        <v>167</v>
      </c>
      <c r="D189" s="139" t="s">
        <v>190</v>
      </c>
      <c r="E189" s="139" t="s">
        <v>172</v>
      </c>
      <c r="F189" s="139">
        <v>19</v>
      </c>
      <c r="G189" s="139" t="s">
        <v>175</v>
      </c>
      <c r="H189" s="139">
        <v>4103052</v>
      </c>
      <c r="I189" s="139"/>
      <c r="J189" s="139">
        <v>15</v>
      </c>
      <c r="K189" s="140" t="s">
        <v>29</v>
      </c>
      <c r="L189" s="140" t="s">
        <v>229</v>
      </c>
      <c r="M189" s="141">
        <v>0</v>
      </c>
      <c r="N189" s="141">
        <v>5269349000</v>
      </c>
      <c r="O189" s="142">
        <v>0</v>
      </c>
      <c r="P189" s="142">
        <v>0</v>
      </c>
      <c r="Q189" s="142">
        <v>0</v>
      </c>
      <c r="R189" s="142">
        <v>0</v>
      </c>
      <c r="S189" s="141">
        <v>5269349000</v>
      </c>
      <c r="T189" s="141">
        <v>0</v>
      </c>
      <c r="U189" s="141">
        <v>5269349000</v>
      </c>
      <c r="V189" s="143">
        <v>0</v>
      </c>
      <c r="W189" s="141">
        <v>0</v>
      </c>
      <c r="X189" s="141">
        <v>0</v>
      </c>
      <c r="Y189" s="143">
        <v>0</v>
      </c>
      <c r="Z189" s="141">
        <v>0</v>
      </c>
      <c r="AA189" s="141">
        <v>0</v>
      </c>
      <c r="AB189" s="724">
        <v>0</v>
      </c>
    </row>
    <row r="190" spans="1:28" ht="24.95" customHeight="1">
      <c r="A190" s="32" t="e">
        <v>#REF!</v>
      </c>
      <c r="B190" s="144" t="s">
        <v>672</v>
      </c>
      <c r="C190" s="145" t="s">
        <v>167</v>
      </c>
      <c r="D190" s="145" t="s">
        <v>190</v>
      </c>
      <c r="E190" s="145" t="s">
        <v>172</v>
      </c>
      <c r="F190" s="145">
        <v>19</v>
      </c>
      <c r="G190" s="145" t="s">
        <v>175</v>
      </c>
      <c r="H190" s="145">
        <v>4103052</v>
      </c>
      <c r="I190" s="145" t="s">
        <v>54</v>
      </c>
      <c r="J190" s="145">
        <v>15</v>
      </c>
      <c r="K190" s="146" t="s">
        <v>29</v>
      </c>
      <c r="L190" s="147" t="s">
        <v>178</v>
      </c>
      <c r="M190" s="148"/>
      <c r="N190" s="148">
        <v>5269349000</v>
      </c>
      <c r="O190" s="148"/>
      <c r="P190" s="148"/>
      <c r="Q190" s="148">
        <v>0</v>
      </c>
      <c r="R190" s="148">
        <v>0</v>
      </c>
      <c r="S190" s="148">
        <v>5269349000</v>
      </c>
      <c r="T190" s="148">
        <v>0</v>
      </c>
      <c r="U190" s="148">
        <v>5269349000</v>
      </c>
      <c r="V190" s="150">
        <v>0</v>
      </c>
      <c r="W190" s="148">
        <v>0</v>
      </c>
      <c r="X190" s="148">
        <v>0</v>
      </c>
      <c r="Y190" s="150">
        <v>0</v>
      </c>
      <c r="Z190" s="148">
        <v>0</v>
      </c>
      <c r="AA190" s="148">
        <v>0</v>
      </c>
      <c r="AB190" s="150">
        <v>0</v>
      </c>
    </row>
    <row r="191" spans="1:28" ht="49.5" customHeight="1">
      <c r="A191" s="32" t="e">
        <v>#REF!</v>
      </c>
      <c r="B191" s="132" t="s">
        <v>678</v>
      </c>
      <c r="C191" s="133" t="s">
        <v>167</v>
      </c>
      <c r="D191" s="133" t="s">
        <v>190</v>
      </c>
      <c r="E191" s="133" t="s">
        <v>172</v>
      </c>
      <c r="F191" s="133">
        <v>20</v>
      </c>
      <c r="G191" s="133"/>
      <c r="H191" s="133"/>
      <c r="I191" s="133"/>
      <c r="J191" s="133"/>
      <c r="K191" s="134"/>
      <c r="L191" s="134" t="s">
        <v>271</v>
      </c>
      <c r="M191" s="135">
        <v>839954000000</v>
      </c>
      <c r="N191" s="136">
        <v>0</v>
      </c>
      <c r="O191" s="136">
        <v>0</v>
      </c>
      <c r="P191" s="135">
        <v>185554780.13999999</v>
      </c>
      <c r="Q191" s="135">
        <v>185554780.13999999</v>
      </c>
      <c r="R191" s="136">
        <v>0</v>
      </c>
      <c r="S191" s="135">
        <v>839954000000</v>
      </c>
      <c r="T191" s="135">
        <v>666277366035.83997</v>
      </c>
      <c r="U191" s="135">
        <v>173676633964.15997</v>
      </c>
      <c r="V191" s="137">
        <v>0.79323077934724995</v>
      </c>
      <c r="W191" s="135">
        <v>630338997649.42993</v>
      </c>
      <c r="X191" s="135">
        <v>35938368386.410004</v>
      </c>
      <c r="Y191" s="137">
        <v>5.3939050339099813E-2</v>
      </c>
      <c r="Z191" s="135">
        <v>470423609538.42999</v>
      </c>
      <c r="AA191" s="135">
        <v>159915388111</v>
      </c>
      <c r="AB191" s="723">
        <v>0.70604771153688761</v>
      </c>
    </row>
    <row r="192" spans="1:28" ht="32.25" customHeight="1">
      <c r="A192" s="32" t="e">
        <v>#REF!</v>
      </c>
      <c r="B192" s="138" t="s">
        <v>680</v>
      </c>
      <c r="C192" s="139" t="s">
        <v>167</v>
      </c>
      <c r="D192" s="139" t="s">
        <v>190</v>
      </c>
      <c r="E192" s="139" t="s">
        <v>172</v>
      </c>
      <c r="F192" s="139">
        <v>20</v>
      </c>
      <c r="G192" s="139" t="s">
        <v>175</v>
      </c>
      <c r="H192" s="139">
        <v>4103061</v>
      </c>
      <c r="I192" s="139"/>
      <c r="J192" s="139">
        <v>11</v>
      </c>
      <c r="K192" s="140" t="s">
        <v>29</v>
      </c>
      <c r="L192" s="140" t="s">
        <v>231</v>
      </c>
      <c r="M192" s="141">
        <v>839954000000</v>
      </c>
      <c r="N192" s="142">
        <v>0</v>
      </c>
      <c r="O192" s="142">
        <v>0</v>
      </c>
      <c r="P192" s="141">
        <v>185554780.13999999</v>
      </c>
      <c r="Q192" s="141">
        <v>185554780.13999999</v>
      </c>
      <c r="R192" s="142">
        <v>0</v>
      </c>
      <c r="S192" s="141">
        <v>839954000000</v>
      </c>
      <c r="T192" s="141">
        <v>666277366035.83997</v>
      </c>
      <c r="U192" s="141">
        <v>173676633964.15997</v>
      </c>
      <c r="V192" s="143">
        <v>0.79323077934724995</v>
      </c>
      <c r="W192" s="141">
        <v>630338997649.42993</v>
      </c>
      <c r="X192" s="141">
        <v>35938368386.410004</v>
      </c>
      <c r="Y192" s="143">
        <v>5.3939050339099813E-2</v>
      </c>
      <c r="Z192" s="141">
        <v>470423609538.42999</v>
      </c>
      <c r="AA192" s="141">
        <v>159915388111</v>
      </c>
      <c r="AB192" s="724">
        <v>0.70604771153688761</v>
      </c>
    </row>
    <row r="193" spans="1:28" ht="24.95" customHeight="1">
      <c r="A193" s="32" t="e">
        <v>#REF!</v>
      </c>
      <c r="B193" s="144" t="s">
        <v>682</v>
      </c>
      <c r="C193" s="145" t="s">
        <v>167</v>
      </c>
      <c r="D193" s="145" t="s">
        <v>190</v>
      </c>
      <c r="E193" s="145" t="s">
        <v>172</v>
      </c>
      <c r="F193" s="145">
        <v>20</v>
      </c>
      <c r="G193" s="145" t="s">
        <v>175</v>
      </c>
      <c r="H193" s="145">
        <v>4103061</v>
      </c>
      <c r="I193" s="145" t="s">
        <v>54</v>
      </c>
      <c r="J193" s="145">
        <v>11</v>
      </c>
      <c r="K193" s="146" t="s">
        <v>29</v>
      </c>
      <c r="L193" s="147" t="s">
        <v>178</v>
      </c>
      <c r="M193" s="148">
        <v>34318600300</v>
      </c>
      <c r="N193" s="148"/>
      <c r="O193" s="148"/>
      <c r="P193" s="148">
        <v>185554780.13999999</v>
      </c>
      <c r="Q193" s="148">
        <v>0</v>
      </c>
      <c r="R193" s="148">
        <v>0</v>
      </c>
      <c r="S193" s="148">
        <v>34504155080.139999</v>
      </c>
      <c r="T193" s="148">
        <v>26391739479.84</v>
      </c>
      <c r="U193" s="148">
        <v>8112415600.2999992</v>
      </c>
      <c r="V193" s="150">
        <v>0.76488583530134413</v>
      </c>
      <c r="W193" s="148">
        <v>9367881649.4300003</v>
      </c>
      <c r="X193" s="148">
        <v>17023857830.41</v>
      </c>
      <c r="Y193" s="150">
        <v>0.64504493322291645</v>
      </c>
      <c r="Z193" s="148">
        <v>9357053538.4300003</v>
      </c>
      <c r="AA193" s="148">
        <v>10828111</v>
      </c>
      <c r="AB193" s="150">
        <v>0.3545447826801118</v>
      </c>
    </row>
    <row r="194" spans="1:28" ht="24.95" customHeight="1">
      <c r="A194" s="32" t="e">
        <v>#REF!</v>
      </c>
      <c r="B194" s="144" t="s">
        <v>684</v>
      </c>
      <c r="C194" s="145" t="s">
        <v>167</v>
      </c>
      <c r="D194" s="145" t="s">
        <v>190</v>
      </c>
      <c r="E194" s="145" t="s">
        <v>172</v>
      </c>
      <c r="F194" s="145">
        <v>20</v>
      </c>
      <c r="G194" s="145" t="s">
        <v>175</v>
      </c>
      <c r="H194" s="145">
        <v>4103061</v>
      </c>
      <c r="I194" s="145" t="s">
        <v>65</v>
      </c>
      <c r="J194" s="145">
        <v>11</v>
      </c>
      <c r="K194" s="146" t="s">
        <v>29</v>
      </c>
      <c r="L194" s="147" t="s">
        <v>127</v>
      </c>
      <c r="M194" s="148">
        <v>318915399700</v>
      </c>
      <c r="N194" s="148"/>
      <c r="O194" s="148"/>
      <c r="P194" s="148"/>
      <c r="Q194" s="148">
        <v>185554780.13999999</v>
      </c>
      <c r="R194" s="148">
        <v>0</v>
      </c>
      <c r="S194" s="148">
        <v>318729844919.85999</v>
      </c>
      <c r="T194" s="148">
        <v>159981066556</v>
      </c>
      <c r="U194" s="148">
        <v>158748778363.85999</v>
      </c>
      <c r="V194" s="150">
        <v>0.50193312332023665</v>
      </c>
      <c r="W194" s="148">
        <v>141066556000</v>
      </c>
      <c r="X194" s="148">
        <v>18914510556</v>
      </c>
      <c r="Y194" s="150">
        <v>0.11822968156909454</v>
      </c>
      <c r="Z194" s="148">
        <v>141066556000</v>
      </c>
      <c r="AA194" s="148">
        <v>0</v>
      </c>
      <c r="AB194" s="150">
        <v>0.88177031843090548</v>
      </c>
    </row>
    <row r="195" spans="1:28" ht="24.95" customHeight="1">
      <c r="A195" s="32" t="e">
        <v>#REF!</v>
      </c>
      <c r="B195" s="144" t="s">
        <v>684</v>
      </c>
      <c r="C195" s="145" t="s">
        <v>167</v>
      </c>
      <c r="D195" s="145" t="s">
        <v>190</v>
      </c>
      <c r="E195" s="145" t="s">
        <v>172</v>
      </c>
      <c r="F195" s="145">
        <v>20</v>
      </c>
      <c r="G195" s="145" t="s">
        <v>175</v>
      </c>
      <c r="H195" s="145">
        <v>4103061</v>
      </c>
      <c r="I195" s="145" t="s">
        <v>65</v>
      </c>
      <c r="J195" s="145">
        <v>13</v>
      </c>
      <c r="K195" s="146" t="s">
        <v>29</v>
      </c>
      <c r="L195" s="147" t="s">
        <v>127</v>
      </c>
      <c r="M195" s="148">
        <v>486720000000</v>
      </c>
      <c r="N195" s="148"/>
      <c r="O195" s="148"/>
      <c r="P195" s="148"/>
      <c r="Q195" s="148">
        <v>0</v>
      </c>
      <c r="R195" s="148">
        <v>0</v>
      </c>
      <c r="S195" s="148">
        <v>486720000000</v>
      </c>
      <c r="T195" s="148">
        <v>479904560000</v>
      </c>
      <c r="U195" s="148">
        <v>6815440000</v>
      </c>
      <c r="V195" s="150">
        <v>0.9859972057856673</v>
      </c>
      <c r="W195" s="148">
        <v>479904560000</v>
      </c>
      <c r="X195" s="148">
        <v>0</v>
      </c>
      <c r="Y195" s="150">
        <v>0</v>
      </c>
      <c r="Z195" s="148">
        <v>320000000000</v>
      </c>
      <c r="AA195" s="148">
        <v>159904560000</v>
      </c>
      <c r="AB195" s="150">
        <v>0.66679924858392681</v>
      </c>
    </row>
    <row r="196" spans="1:28" ht="42" customHeight="1">
      <c r="A196" s="32" t="e">
        <v>#REF!</v>
      </c>
      <c r="B196" s="132" t="s">
        <v>692</v>
      </c>
      <c r="C196" s="133" t="s">
        <v>167</v>
      </c>
      <c r="D196" s="133">
        <v>4103</v>
      </c>
      <c r="E196" s="133" t="s">
        <v>172</v>
      </c>
      <c r="F196" s="133">
        <v>21</v>
      </c>
      <c r="G196" s="133"/>
      <c r="H196" s="133"/>
      <c r="I196" s="133"/>
      <c r="J196" s="133"/>
      <c r="K196" s="134"/>
      <c r="L196" s="134" t="s">
        <v>272</v>
      </c>
      <c r="M196" s="135">
        <v>25750000000</v>
      </c>
      <c r="N196" s="136">
        <v>0</v>
      </c>
      <c r="O196" s="136">
        <v>0</v>
      </c>
      <c r="P196" s="135">
        <v>453102205</v>
      </c>
      <c r="Q196" s="135">
        <v>453102205</v>
      </c>
      <c r="R196" s="136">
        <v>0</v>
      </c>
      <c r="S196" s="135">
        <v>25750000000</v>
      </c>
      <c r="T196" s="135">
        <v>24455291722</v>
      </c>
      <c r="U196" s="135">
        <v>1294708278</v>
      </c>
      <c r="V196" s="137">
        <v>0.94972006687378641</v>
      </c>
      <c r="W196" s="135">
        <v>16562914756</v>
      </c>
      <c r="X196" s="135">
        <v>7892376966</v>
      </c>
      <c r="Y196" s="137">
        <v>0.32272675606237039</v>
      </c>
      <c r="Z196" s="135">
        <v>16536402139</v>
      </c>
      <c r="AA196" s="135">
        <v>26512617</v>
      </c>
      <c r="AB196" s="723">
        <v>0.67618911796189451</v>
      </c>
    </row>
    <row r="197" spans="1:28" ht="32.25" customHeight="1">
      <c r="A197" s="32" t="e">
        <v>#REF!</v>
      </c>
      <c r="B197" s="138" t="s">
        <v>693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219</v>
      </c>
      <c r="I197" s="139"/>
      <c r="J197" s="139">
        <v>13</v>
      </c>
      <c r="K197" s="140" t="s">
        <v>29</v>
      </c>
      <c r="L197" s="140" t="s">
        <v>233</v>
      </c>
      <c r="M197" s="141">
        <v>1870782718</v>
      </c>
      <c r="N197" s="142">
        <v>0</v>
      </c>
      <c r="O197" s="142">
        <v>0</v>
      </c>
      <c r="P197" s="142">
        <v>0</v>
      </c>
      <c r="Q197" s="141">
        <v>91110397</v>
      </c>
      <c r="R197" s="142">
        <v>0</v>
      </c>
      <c r="S197" s="141">
        <v>1779672321</v>
      </c>
      <c r="T197" s="141">
        <v>1779672321</v>
      </c>
      <c r="U197" s="141">
        <v>0</v>
      </c>
      <c r="V197" s="143">
        <v>1</v>
      </c>
      <c r="W197" s="141">
        <v>1748337412</v>
      </c>
      <c r="X197" s="141">
        <v>31334909</v>
      </c>
      <c r="Y197" s="143">
        <v>1.7607122744030135E-2</v>
      </c>
      <c r="Z197" s="141">
        <v>1748337412</v>
      </c>
      <c r="AA197" s="141">
        <v>0</v>
      </c>
      <c r="AB197" s="724">
        <v>0.98239287725596991</v>
      </c>
    </row>
    <row r="198" spans="1:28" ht="24.95" customHeight="1">
      <c r="A198" s="32" t="e">
        <v>#REF!</v>
      </c>
      <c r="B198" s="144" t="s">
        <v>694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219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1870782718</v>
      </c>
      <c r="N198" s="148"/>
      <c r="O198" s="148"/>
      <c r="P198" s="148"/>
      <c r="Q198" s="148">
        <v>91110397</v>
      </c>
      <c r="R198" s="148">
        <v>0</v>
      </c>
      <c r="S198" s="148">
        <v>1779672321</v>
      </c>
      <c r="T198" s="148">
        <v>1779672321</v>
      </c>
      <c r="U198" s="148">
        <v>0</v>
      </c>
      <c r="V198" s="150">
        <v>1</v>
      </c>
      <c r="W198" s="148">
        <v>1748337412</v>
      </c>
      <c r="X198" s="148">
        <v>31334909</v>
      </c>
      <c r="Y198" s="150">
        <v>1.7607122744030135E-2</v>
      </c>
      <c r="Z198" s="148">
        <v>1748337412</v>
      </c>
      <c r="AA198" s="148">
        <v>0</v>
      </c>
      <c r="AB198" s="150">
        <v>0.98239287725596991</v>
      </c>
    </row>
    <row r="199" spans="1:28" ht="32.25" customHeight="1">
      <c r="A199" s="32" t="e">
        <v>#REF!</v>
      </c>
      <c r="B199" s="138" t="s">
        <v>695</v>
      </c>
      <c r="C199" s="139" t="s">
        <v>167</v>
      </c>
      <c r="D199" s="139">
        <v>4103</v>
      </c>
      <c r="E199" s="139" t="s">
        <v>172</v>
      </c>
      <c r="F199" s="139">
        <v>21</v>
      </c>
      <c r="G199" s="139" t="s">
        <v>175</v>
      </c>
      <c r="H199" s="139" t="s">
        <v>234</v>
      </c>
      <c r="I199" s="139"/>
      <c r="J199" s="139">
        <v>13</v>
      </c>
      <c r="K199" s="140" t="s">
        <v>29</v>
      </c>
      <c r="L199" s="140" t="s">
        <v>235</v>
      </c>
      <c r="M199" s="141">
        <v>1237528721</v>
      </c>
      <c r="N199" s="142">
        <v>0</v>
      </c>
      <c r="O199" s="142">
        <v>0</v>
      </c>
      <c r="P199" s="142">
        <v>0</v>
      </c>
      <c r="Q199" s="141">
        <v>60269817</v>
      </c>
      <c r="R199" s="142">
        <v>0</v>
      </c>
      <c r="S199" s="141">
        <v>1177258904</v>
      </c>
      <c r="T199" s="141">
        <v>1177258904</v>
      </c>
      <c r="U199" s="141">
        <v>0</v>
      </c>
      <c r="V199" s="143">
        <v>1</v>
      </c>
      <c r="W199" s="141">
        <v>1156530762</v>
      </c>
      <c r="X199" s="142">
        <v>20728142</v>
      </c>
      <c r="Y199" s="143">
        <v>1.7607122723448096E-2</v>
      </c>
      <c r="Z199" s="141">
        <v>1156530762</v>
      </c>
      <c r="AA199" s="141">
        <v>0</v>
      </c>
      <c r="AB199" s="724">
        <v>0.98239287727655189</v>
      </c>
    </row>
    <row r="200" spans="1:28" ht="24.95" customHeight="1">
      <c r="A200" s="32" t="e">
        <v>#REF!</v>
      </c>
      <c r="B200" s="144" t="s">
        <v>696</v>
      </c>
      <c r="C200" s="145" t="s">
        <v>167</v>
      </c>
      <c r="D200" s="145">
        <v>4103</v>
      </c>
      <c r="E200" s="145" t="s">
        <v>172</v>
      </c>
      <c r="F200" s="145">
        <v>21</v>
      </c>
      <c r="G200" s="145" t="s">
        <v>175</v>
      </c>
      <c r="H200" s="145" t="s">
        <v>234</v>
      </c>
      <c r="I200" s="145" t="s">
        <v>54</v>
      </c>
      <c r="J200" s="145">
        <v>13</v>
      </c>
      <c r="K200" s="146" t="s">
        <v>29</v>
      </c>
      <c r="L200" s="147" t="s">
        <v>178</v>
      </c>
      <c r="M200" s="148">
        <v>1237528721</v>
      </c>
      <c r="N200" s="148"/>
      <c r="O200" s="148"/>
      <c r="P200" s="148"/>
      <c r="Q200" s="148">
        <v>60269817</v>
      </c>
      <c r="R200" s="148">
        <v>0</v>
      </c>
      <c r="S200" s="148">
        <v>1177258904</v>
      </c>
      <c r="T200" s="148">
        <v>1177258904</v>
      </c>
      <c r="U200" s="148">
        <v>0</v>
      </c>
      <c r="V200" s="150">
        <v>1</v>
      </c>
      <c r="W200" s="148">
        <v>1156530762</v>
      </c>
      <c r="X200" s="148">
        <v>20728142</v>
      </c>
      <c r="Y200" s="150">
        <v>1.7607122723448096E-2</v>
      </c>
      <c r="Z200" s="148">
        <v>1156530762</v>
      </c>
      <c r="AA200" s="148">
        <v>0</v>
      </c>
      <c r="AB200" s="150">
        <v>0.98239287727655189</v>
      </c>
    </row>
    <row r="201" spans="1:28" ht="32.25" customHeight="1">
      <c r="A201" s="32" t="e">
        <v>#REF!</v>
      </c>
      <c r="B201" s="138" t="s">
        <v>697</v>
      </c>
      <c r="C201" s="139" t="s">
        <v>167</v>
      </c>
      <c r="D201" s="139">
        <v>4103</v>
      </c>
      <c r="E201" s="139" t="s">
        <v>172</v>
      </c>
      <c r="F201" s="139">
        <v>21</v>
      </c>
      <c r="G201" s="139" t="s">
        <v>175</v>
      </c>
      <c r="H201" s="139" t="s">
        <v>197</v>
      </c>
      <c r="I201" s="139"/>
      <c r="J201" s="139">
        <v>13</v>
      </c>
      <c r="K201" s="140" t="s">
        <v>29</v>
      </c>
      <c r="L201" s="140" t="s">
        <v>236</v>
      </c>
      <c r="M201" s="141">
        <v>1178285948</v>
      </c>
      <c r="N201" s="142">
        <v>0</v>
      </c>
      <c r="O201" s="142">
        <v>0</v>
      </c>
      <c r="P201" s="142">
        <v>0</v>
      </c>
      <c r="Q201" s="141">
        <v>57384593</v>
      </c>
      <c r="R201" s="142">
        <v>0</v>
      </c>
      <c r="S201" s="141">
        <v>1120901355</v>
      </c>
      <c r="T201" s="141">
        <v>1120901355</v>
      </c>
      <c r="U201" s="141">
        <v>0</v>
      </c>
      <c r="V201" s="143">
        <v>1</v>
      </c>
      <c r="W201" s="141">
        <v>1101165508</v>
      </c>
      <c r="X201" s="141">
        <v>19735847</v>
      </c>
      <c r="Y201" s="143">
        <v>1.7607122082567202E-2</v>
      </c>
      <c r="Z201" s="141">
        <v>1101165508</v>
      </c>
      <c r="AA201" s="141">
        <v>0</v>
      </c>
      <c r="AB201" s="724">
        <v>0.98239287791743279</v>
      </c>
    </row>
    <row r="202" spans="1:28" ht="24.95" customHeight="1">
      <c r="A202" s="32" t="e">
        <v>#REF!</v>
      </c>
      <c r="B202" s="144" t="s">
        <v>698</v>
      </c>
      <c r="C202" s="145" t="s">
        <v>167</v>
      </c>
      <c r="D202" s="145">
        <v>4103</v>
      </c>
      <c r="E202" s="145" t="s">
        <v>172</v>
      </c>
      <c r="F202" s="145">
        <v>21</v>
      </c>
      <c r="G202" s="145" t="s">
        <v>175</v>
      </c>
      <c r="H202" s="145" t="s">
        <v>197</v>
      </c>
      <c r="I202" s="145" t="s">
        <v>54</v>
      </c>
      <c r="J202" s="145">
        <v>13</v>
      </c>
      <c r="K202" s="146" t="s">
        <v>29</v>
      </c>
      <c r="L202" s="147" t="s">
        <v>178</v>
      </c>
      <c r="M202" s="148">
        <v>1178285948</v>
      </c>
      <c r="N202" s="148"/>
      <c r="O202" s="148"/>
      <c r="P202" s="148"/>
      <c r="Q202" s="148">
        <v>57384593</v>
      </c>
      <c r="R202" s="148">
        <v>0</v>
      </c>
      <c r="S202" s="148">
        <v>1120901355</v>
      </c>
      <c r="T202" s="148">
        <v>1120901355</v>
      </c>
      <c r="U202" s="148">
        <v>0</v>
      </c>
      <c r="V202" s="150">
        <v>1</v>
      </c>
      <c r="W202" s="148">
        <v>1101165508</v>
      </c>
      <c r="X202" s="148">
        <v>19735847</v>
      </c>
      <c r="Y202" s="150">
        <v>1.7607122082567202E-2</v>
      </c>
      <c r="Z202" s="148">
        <v>1101165508</v>
      </c>
      <c r="AA202" s="148">
        <v>0</v>
      </c>
      <c r="AB202" s="150">
        <v>0.98239287791743279</v>
      </c>
    </row>
    <row r="203" spans="1:28" ht="32.25" customHeight="1">
      <c r="A203" s="32" t="e">
        <v>#REF!</v>
      </c>
      <c r="B203" s="138" t="s">
        <v>699</v>
      </c>
      <c r="C203" s="139" t="s">
        <v>167</v>
      </c>
      <c r="D203" s="139">
        <v>4103</v>
      </c>
      <c r="E203" s="139" t="s">
        <v>172</v>
      </c>
      <c r="F203" s="139">
        <v>21</v>
      </c>
      <c r="G203" s="139" t="s">
        <v>175</v>
      </c>
      <c r="H203" s="139" t="s">
        <v>203</v>
      </c>
      <c r="I203" s="139"/>
      <c r="J203" s="139">
        <v>13</v>
      </c>
      <c r="K203" s="140" t="s">
        <v>29</v>
      </c>
      <c r="L203" s="140" t="s">
        <v>237</v>
      </c>
      <c r="M203" s="141">
        <v>5017014439</v>
      </c>
      <c r="N203" s="142">
        <v>0</v>
      </c>
      <c r="O203" s="142">
        <v>0</v>
      </c>
      <c r="P203" s="142">
        <v>0</v>
      </c>
      <c r="Q203" s="141">
        <v>244337398</v>
      </c>
      <c r="R203" s="142">
        <v>0</v>
      </c>
      <c r="S203" s="141">
        <v>4772677041</v>
      </c>
      <c r="T203" s="141">
        <v>4772677041</v>
      </c>
      <c r="U203" s="141">
        <v>0</v>
      </c>
      <c r="V203" s="143">
        <v>1</v>
      </c>
      <c r="W203" s="141">
        <v>4767711459</v>
      </c>
      <c r="X203" s="141">
        <v>4965582</v>
      </c>
      <c r="Y203" s="143">
        <v>1.0404186072811626E-3</v>
      </c>
      <c r="Z203" s="141">
        <v>4767711459</v>
      </c>
      <c r="AA203" s="141">
        <v>0</v>
      </c>
      <c r="AB203" s="724">
        <v>0.99895958139271879</v>
      </c>
    </row>
    <row r="204" spans="1:28" ht="24.95" customHeight="1">
      <c r="A204" s="32" t="e">
        <v>#REF!</v>
      </c>
      <c r="B204" s="144" t="s">
        <v>700</v>
      </c>
      <c r="C204" s="145" t="s">
        <v>167</v>
      </c>
      <c r="D204" s="145">
        <v>4103</v>
      </c>
      <c r="E204" s="145" t="s">
        <v>172</v>
      </c>
      <c r="F204" s="145">
        <v>21</v>
      </c>
      <c r="G204" s="145" t="s">
        <v>175</v>
      </c>
      <c r="H204" s="145" t="s">
        <v>203</v>
      </c>
      <c r="I204" s="145" t="s">
        <v>54</v>
      </c>
      <c r="J204" s="145">
        <v>13</v>
      </c>
      <c r="K204" s="146" t="s">
        <v>29</v>
      </c>
      <c r="L204" s="147" t="s">
        <v>178</v>
      </c>
      <c r="M204" s="148">
        <v>5017014439</v>
      </c>
      <c r="N204" s="148"/>
      <c r="O204" s="148"/>
      <c r="P204" s="148"/>
      <c r="Q204" s="148">
        <v>244337398</v>
      </c>
      <c r="R204" s="148">
        <v>0</v>
      </c>
      <c r="S204" s="148">
        <v>4772677041</v>
      </c>
      <c r="T204" s="148">
        <v>4772677041</v>
      </c>
      <c r="U204" s="148">
        <v>0</v>
      </c>
      <c r="V204" s="150">
        <v>1</v>
      </c>
      <c r="W204" s="148">
        <v>4767711459</v>
      </c>
      <c r="X204" s="148">
        <v>4965582</v>
      </c>
      <c r="Y204" s="150">
        <v>1.0404186072811626E-3</v>
      </c>
      <c r="Z204" s="148">
        <v>4767711459</v>
      </c>
      <c r="AA204" s="148">
        <v>0</v>
      </c>
      <c r="AB204" s="150">
        <v>0.99895958139271879</v>
      </c>
    </row>
    <row r="205" spans="1:28" ht="32.25" customHeight="1">
      <c r="A205" s="32" t="e">
        <v>#REF!</v>
      </c>
      <c r="B205" s="138" t="s">
        <v>701</v>
      </c>
      <c r="C205" s="139" t="s">
        <v>167</v>
      </c>
      <c r="D205" s="139">
        <v>4103</v>
      </c>
      <c r="E205" s="139" t="s">
        <v>172</v>
      </c>
      <c r="F205" s="139">
        <v>21</v>
      </c>
      <c r="G205" s="139" t="s">
        <v>175</v>
      </c>
      <c r="H205" s="139" t="s">
        <v>223</v>
      </c>
      <c r="I205" s="139"/>
      <c r="J205" s="139">
        <v>13</v>
      </c>
      <c r="K205" s="140" t="s">
        <v>29</v>
      </c>
      <c r="L205" s="140" t="s">
        <v>238</v>
      </c>
      <c r="M205" s="141">
        <v>16446388174</v>
      </c>
      <c r="N205" s="142">
        <v>0</v>
      </c>
      <c r="O205" s="142">
        <v>0</v>
      </c>
      <c r="P205" s="141">
        <v>453102205</v>
      </c>
      <c r="Q205" s="142">
        <v>0</v>
      </c>
      <c r="R205" s="142">
        <v>0</v>
      </c>
      <c r="S205" s="141">
        <v>16899490379</v>
      </c>
      <c r="T205" s="141">
        <v>15604782101</v>
      </c>
      <c r="U205" s="141">
        <v>1294708278</v>
      </c>
      <c r="V205" s="143">
        <v>0.92338773247216632</v>
      </c>
      <c r="W205" s="141">
        <v>7789169615</v>
      </c>
      <c r="X205" s="141">
        <v>7815612486</v>
      </c>
      <c r="Y205" s="143">
        <v>0.50084726819089342</v>
      </c>
      <c r="Z205" s="141">
        <v>7762656998</v>
      </c>
      <c r="AA205" s="141">
        <v>26512617</v>
      </c>
      <c r="AB205" s="724">
        <v>0.49745372589999487</v>
      </c>
    </row>
    <row r="206" spans="1:28" ht="24.95" customHeight="1">
      <c r="A206" s="32" t="e">
        <v>#REF!</v>
      </c>
      <c r="B206" s="144" t="s">
        <v>702</v>
      </c>
      <c r="C206" s="145" t="s">
        <v>167</v>
      </c>
      <c r="D206" s="145">
        <v>4103</v>
      </c>
      <c r="E206" s="145" t="s">
        <v>172</v>
      </c>
      <c r="F206" s="145">
        <v>21</v>
      </c>
      <c r="G206" s="145" t="s">
        <v>175</v>
      </c>
      <c r="H206" s="145" t="s">
        <v>223</v>
      </c>
      <c r="I206" s="145" t="s">
        <v>54</v>
      </c>
      <c r="J206" s="145">
        <v>13</v>
      </c>
      <c r="K206" s="146" t="s">
        <v>29</v>
      </c>
      <c r="L206" s="147" t="s">
        <v>178</v>
      </c>
      <c r="M206" s="148">
        <v>16446388174</v>
      </c>
      <c r="N206" s="148"/>
      <c r="O206" s="148"/>
      <c r="P206" s="148">
        <v>453102205</v>
      </c>
      <c r="Q206" s="148">
        <v>0</v>
      </c>
      <c r="R206" s="148">
        <v>0</v>
      </c>
      <c r="S206" s="148">
        <v>16899490379</v>
      </c>
      <c r="T206" s="148">
        <v>15604782101</v>
      </c>
      <c r="U206" s="148">
        <v>1294708278</v>
      </c>
      <c r="V206" s="150">
        <v>0.92338773247216632</v>
      </c>
      <c r="W206" s="148">
        <v>7789169615</v>
      </c>
      <c r="X206" s="148">
        <v>7815612486</v>
      </c>
      <c r="Y206" s="150">
        <v>0.50084726819089342</v>
      </c>
      <c r="Z206" s="148">
        <v>7762656998</v>
      </c>
      <c r="AA206" s="148">
        <v>26512617</v>
      </c>
      <c r="AB206" s="150">
        <v>0.49745372589999487</v>
      </c>
    </row>
    <row r="207" spans="1:28" ht="49.5" customHeight="1">
      <c r="A207" s="32" t="e">
        <v>#REF!</v>
      </c>
      <c r="B207" s="132" t="s">
        <v>704</v>
      </c>
      <c r="C207" s="133" t="s">
        <v>167</v>
      </c>
      <c r="D207" s="133">
        <v>4103</v>
      </c>
      <c r="E207" s="133" t="s">
        <v>172</v>
      </c>
      <c r="F207" s="133">
        <v>22</v>
      </c>
      <c r="G207" s="133"/>
      <c r="H207" s="133"/>
      <c r="I207" s="133"/>
      <c r="J207" s="133"/>
      <c r="K207" s="134"/>
      <c r="L207" s="134" t="s">
        <v>239</v>
      </c>
      <c r="M207" s="135">
        <v>167533000000</v>
      </c>
      <c r="N207" s="136">
        <v>0</v>
      </c>
      <c r="O207" s="136">
        <v>0</v>
      </c>
      <c r="P207" s="135">
        <v>7157479331</v>
      </c>
      <c r="Q207" s="135">
        <v>7157479331</v>
      </c>
      <c r="R207" s="136">
        <v>0</v>
      </c>
      <c r="S207" s="135">
        <v>167533000000</v>
      </c>
      <c r="T207" s="135">
        <v>135076864938</v>
      </c>
      <c r="U207" s="135">
        <v>32456135062</v>
      </c>
      <c r="V207" s="137">
        <v>0.80627019714324943</v>
      </c>
      <c r="W207" s="135">
        <v>124737860208.83</v>
      </c>
      <c r="X207" s="135">
        <v>10339004729.17</v>
      </c>
      <c r="Y207" s="137">
        <v>7.6541639709476389E-2</v>
      </c>
      <c r="Z207" s="135">
        <v>120481604110.83</v>
      </c>
      <c r="AA207" s="135">
        <v>4256256098</v>
      </c>
      <c r="AB207" s="723">
        <v>0.89194847812118538</v>
      </c>
    </row>
    <row r="208" spans="1:28" ht="32.25" customHeight="1">
      <c r="A208" s="32" t="e">
        <v>#REF!</v>
      </c>
      <c r="B208" s="138" t="s">
        <v>705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 t="s">
        <v>219</v>
      </c>
      <c r="I208" s="139"/>
      <c r="J208" s="139">
        <v>13</v>
      </c>
      <c r="K208" s="140" t="s">
        <v>29</v>
      </c>
      <c r="L208" s="140" t="s">
        <v>240</v>
      </c>
      <c r="M208" s="141">
        <v>5834100502</v>
      </c>
      <c r="N208" s="142">
        <v>0</v>
      </c>
      <c r="O208" s="142">
        <v>0</v>
      </c>
      <c r="P208" s="141">
        <v>602123589</v>
      </c>
      <c r="Q208" s="142">
        <v>0</v>
      </c>
      <c r="R208" s="142">
        <v>0</v>
      </c>
      <c r="S208" s="141">
        <v>6436224091</v>
      </c>
      <c r="T208" s="141">
        <v>3919643191</v>
      </c>
      <c r="U208" s="141">
        <v>2516580900</v>
      </c>
      <c r="V208" s="143">
        <v>0.60899731513092836</v>
      </c>
      <c r="W208" s="141">
        <v>2873911460</v>
      </c>
      <c r="X208" s="141">
        <v>1045731731</v>
      </c>
      <c r="Y208" s="143">
        <v>0.2667925829068149</v>
      </c>
      <c r="Z208" s="141">
        <v>2873911460</v>
      </c>
      <c r="AA208" s="141">
        <v>0</v>
      </c>
      <c r="AB208" s="724">
        <v>0.73320741709318515</v>
      </c>
    </row>
    <row r="209" spans="1:28" ht="24.95" customHeight="1">
      <c r="A209" s="32" t="e">
        <v>#REF!</v>
      </c>
      <c r="B209" s="144" t="s">
        <v>706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 t="s">
        <v>219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5834100502</v>
      </c>
      <c r="N209" s="148"/>
      <c r="O209" s="148"/>
      <c r="P209" s="148">
        <v>602123589</v>
      </c>
      <c r="Q209" s="148">
        <v>0</v>
      </c>
      <c r="R209" s="148">
        <v>0</v>
      </c>
      <c r="S209" s="148">
        <v>6436224091</v>
      </c>
      <c r="T209" s="148">
        <v>3919643191</v>
      </c>
      <c r="U209" s="148">
        <v>2516580900</v>
      </c>
      <c r="V209" s="150">
        <v>0.60899731513092836</v>
      </c>
      <c r="W209" s="148">
        <v>2873911460</v>
      </c>
      <c r="X209" s="148">
        <v>1045731731</v>
      </c>
      <c r="Y209" s="150">
        <v>0.2667925829068149</v>
      </c>
      <c r="Z209" s="148">
        <v>2873911460</v>
      </c>
      <c r="AA209" s="148">
        <v>0</v>
      </c>
      <c r="AB209" s="150">
        <v>0.73320741709318515</v>
      </c>
    </row>
    <row r="210" spans="1:28" ht="32.25" customHeight="1">
      <c r="A210" s="32" t="e">
        <v>#REF!</v>
      </c>
      <c r="B210" s="138" t="s">
        <v>707</v>
      </c>
      <c r="C210" s="139" t="s">
        <v>167</v>
      </c>
      <c r="D210" s="139">
        <v>4103</v>
      </c>
      <c r="E210" s="139" t="s">
        <v>172</v>
      </c>
      <c r="F210" s="139">
        <v>22</v>
      </c>
      <c r="G210" s="139" t="s">
        <v>175</v>
      </c>
      <c r="H210" s="139" t="s">
        <v>234</v>
      </c>
      <c r="I210" s="139"/>
      <c r="J210" s="139">
        <v>13</v>
      </c>
      <c r="K210" s="140" t="s">
        <v>29</v>
      </c>
      <c r="L210" s="140" t="s">
        <v>241</v>
      </c>
      <c r="M210" s="141">
        <v>21263252053</v>
      </c>
      <c r="N210" s="142">
        <v>0</v>
      </c>
      <c r="O210" s="142">
        <v>0</v>
      </c>
      <c r="P210" s="141">
        <v>96431225</v>
      </c>
      <c r="Q210" s="142">
        <v>0</v>
      </c>
      <c r="R210" s="142">
        <v>0</v>
      </c>
      <c r="S210" s="141">
        <v>21359683278</v>
      </c>
      <c r="T210" s="141">
        <v>18219558020</v>
      </c>
      <c r="U210" s="141">
        <v>3140125258</v>
      </c>
      <c r="V210" s="143">
        <v>0.85298821068034003</v>
      </c>
      <c r="W210" s="141">
        <v>13315190554.83</v>
      </c>
      <c r="X210" s="141">
        <v>4904367465.1700001</v>
      </c>
      <c r="Y210" s="143">
        <v>0.26918147299656614</v>
      </c>
      <c r="Z210" s="141">
        <v>9420952812.8299999</v>
      </c>
      <c r="AA210" s="141">
        <v>3894237742</v>
      </c>
      <c r="AB210" s="724">
        <v>0.5170791082027576</v>
      </c>
    </row>
    <row r="211" spans="1:28" ht="24.95" customHeight="1">
      <c r="A211" s="32" t="e">
        <v>#REF!</v>
      </c>
      <c r="B211" s="144" t="s">
        <v>708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234</v>
      </c>
      <c r="I211" s="145" t="s">
        <v>54</v>
      </c>
      <c r="J211" s="145">
        <v>13</v>
      </c>
      <c r="K211" s="146" t="s">
        <v>29</v>
      </c>
      <c r="L211" s="147" t="s">
        <v>178</v>
      </c>
      <c r="M211" s="148">
        <v>21263252053</v>
      </c>
      <c r="N211" s="148"/>
      <c r="O211" s="148"/>
      <c r="P211" s="148">
        <v>96431225</v>
      </c>
      <c r="Q211" s="148">
        <v>0</v>
      </c>
      <c r="R211" s="148">
        <v>0</v>
      </c>
      <c r="S211" s="148">
        <v>21359683278</v>
      </c>
      <c r="T211" s="148">
        <v>18219558020</v>
      </c>
      <c r="U211" s="148">
        <v>3140125258</v>
      </c>
      <c r="V211" s="150">
        <v>0.85298821068034003</v>
      </c>
      <c r="W211" s="148">
        <v>13315190554.83</v>
      </c>
      <c r="X211" s="148">
        <v>4904367465.1700001</v>
      </c>
      <c r="Y211" s="150">
        <v>0.26918147299656614</v>
      </c>
      <c r="Z211" s="148">
        <v>9420952812.8299999</v>
      </c>
      <c r="AA211" s="148">
        <v>3894237742</v>
      </c>
      <c r="AB211" s="150">
        <v>0.5170791082027576</v>
      </c>
    </row>
    <row r="212" spans="1:28" ht="32.25" customHeight="1">
      <c r="A212" s="32" t="e">
        <v>#REF!</v>
      </c>
      <c r="B212" s="138" t="s">
        <v>710</v>
      </c>
      <c r="C212" s="139" t="s">
        <v>167</v>
      </c>
      <c r="D212" s="139">
        <v>4103</v>
      </c>
      <c r="E212" s="139" t="s">
        <v>172</v>
      </c>
      <c r="F212" s="139">
        <v>22</v>
      </c>
      <c r="G212" s="139" t="s">
        <v>175</v>
      </c>
      <c r="H212" s="139">
        <v>4103051</v>
      </c>
      <c r="I212" s="139"/>
      <c r="J212" s="139">
        <v>13</v>
      </c>
      <c r="K212" s="140" t="s">
        <v>29</v>
      </c>
      <c r="L212" s="140" t="s">
        <v>242</v>
      </c>
      <c r="M212" s="141">
        <v>5191519285</v>
      </c>
      <c r="N212" s="142">
        <v>0</v>
      </c>
      <c r="O212" s="142">
        <v>0</v>
      </c>
      <c r="P212" s="141">
        <v>2580334552</v>
      </c>
      <c r="Q212" s="142">
        <v>0</v>
      </c>
      <c r="R212" s="142">
        <v>0</v>
      </c>
      <c r="S212" s="141">
        <v>7771853837</v>
      </c>
      <c r="T212" s="141">
        <v>3945310447</v>
      </c>
      <c r="U212" s="141">
        <v>3826543390</v>
      </c>
      <c r="V212" s="143">
        <v>0.50764084473865023</v>
      </c>
      <c r="W212" s="141">
        <v>3016976475</v>
      </c>
      <c r="X212" s="141">
        <v>928333972</v>
      </c>
      <c r="Y212" s="143">
        <v>0.23530061435492405</v>
      </c>
      <c r="Z212" s="141">
        <v>2963874977</v>
      </c>
      <c r="AA212" s="141">
        <v>53101498</v>
      </c>
      <c r="AB212" s="724">
        <v>0.75123998904920652</v>
      </c>
    </row>
    <row r="213" spans="1:28" ht="24.95" customHeight="1">
      <c r="A213" s="32" t="e">
        <v>#REF!</v>
      </c>
      <c r="B213" s="144" t="s">
        <v>711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>
        <v>4103051</v>
      </c>
      <c r="I213" s="145" t="s">
        <v>54</v>
      </c>
      <c r="J213" s="145">
        <v>13</v>
      </c>
      <c r="K213" s="146" t="s">
        <v>29</v>
      </c>
      <c r="L213" s="147" t="s">
        <v>178</v>
      </c>
      <c r="M213" s="148">
        <v>5191519285</v>
      </c>
      <c r="N213" s="148"/>
      <c r="O213" s="148"/>
      <c r="P213" s="148">
        <v>2580334552</v>
      </c>
      <c r="Q213" s="148">
        <v>0</v>
      </c>
      <c r="R213" s="148">
        <v>0</v>
      </c>
      <c r="S213" s="148">
        <v>7771853837</v>
      </c>
      <c r="T213" s="148">
        <v>3945310447</v>
      </c>
      <c r="U213" s="148">
        <v>3826543390</v>
      </c>
      <c r="V213" s="150">
        <v>0.50764084473865023</v>
      </c>
      <c r="W213" s="148">
        <v>3016976475</v>
      </c>
      <c r="X213" s="148">
        <v>928333972</v>
      </c>
      <c r="Y213" s="150">
        <v>0.23530061435492405</v>
      </c>
      <c r="Z213" s="148">
        <v>2963874977</v>
      </c>
      <c r="AA213" s="148">
        <v>53101498</v>
      </c>
      <c r="AB213" s="150">
        <v>0.75123998904920652</v>
      </c>
    </row>
    <row r="214" spans="1:28" ht="32.25" customHeight="1">
      <c r="A214" s="32" t="e">
        <v>#REF!</v>
      </c>
      <c r="B214" s="138" t="s">
        <v>712</v>
      </c>
      <c r="C214" s="139" t="s">
        <v>167</v>
      </c>
      <c r="D214" s="139">
        <v>4103</v>
      </c>
      <c r="E214" s="139" t="s">
        <v>172</v>
      </c>
      <c r="F214" s="139">
        <v>22</v>
      </c>
      <c r="G214" s="139" t="s">
        <v>175</v>
      </c>
      <c r="H214" s="139">
        <v>4103055</v>
      </c>
      <c r="I214" s="139"/>
      <c r="J214" s="139">
        <v>13</v>
      </c>
      <c r="K214" s="140" t="s">
        <v>29</v>
      </c>
      <c r="L214" s="140" t="s">
        <v>243</v>
      </c>
      <c r="M214" s="141">
        <v>7874924941</v>
      </c>
      <c r="N214" s="142">
        <v>0</v>
      </c>
      <c r="O214" s="142">
        <v>0</v>
      </c>
      <c r="P214" s="142">
        <v>0</v>
      </c>
      <c r="Q214" s="141">
        <v>6943207485</v>
      </c>
      <c r="R214" s="142">
        <v>0</v>
      </c>
      <c r="S214" s="141">
        <v>931717456</v>
      </c>
      <c r="T214" s="141">
        <v>894550970</v>
      </c>
      <c r="U214" s="141">
        <v>37166486</v>
      </c>
      <c r="V214" s="143">
        <v>0.96010970304285037</v>
      </c>
      <c r="W214" s="141">
        <v>894550970</v>
      </c>
      <c r="X214" s="141">
        <v>0</v>
      </c>
      <c r="Y214" s="143">
        <v>0</v>
      </c>
      <c r="Z214" s="141">
        <v>894550970</v>
      </c>
      <c r="AA214" s="141">
        <v>0</v>
      </c>
      <c r="AB214" s="724">
        <v>1</v>
      </c>
    </row>
    <row r="215" spans="1:28" ht="24.95" customHeight="1">
      <c r="A215" s="32" t="e">
        <v>#REF!</v>
      </c>
      <c r="B215" s="144" t="s">
        <v>713</v>
      </c>
      <c r="C215" s="145" t="s">
        <v>167</v>
      </c>
      <c r="D215" s="145">
        <v>4103</v>
      </c>
      <c r="E215" s="145" t="s">
        <v>172</v>
      </c>
      <c r="F215" s="145">
        <v>22</v>
      </c>
      <c r="G215" s="145" t="s">
        <v>175</v>
      </c>
      <c r="H215" s="145" t="s">
        <v>203</v>
      </c>
      <c r="I215" s="145" t="s">
        <v>54</v>
      </c>
      <c r="J215" s="145">
        <v>13</v>
      </c>
      <c r="K215" s="146" t="s">
        <v>29</v>
      </c>
      <c r="L215" s="147" t="s">
        <v>178</v>
      </c>
      <c r="M215" s="148">
        <v>7874924941</v>
      </c>
      <c r="N215" s="148"/>
      <c r="O215" s="148"/>
      <c r="P215" s="148"/>
      <c r="Q215" s="148">
        <v>6943207485</v>
      </c>
      <c r="R215" s="148">
        <v>0</v>
      </c>
      <c r="S215" s="148">
        <v>931717456</v>
      </c>
      <c r="T215" s="148">
        <v>894550970</v>
      </c>
      <c r="U215" s="148">
        <v>37166486</v>
      </c>
      <c r="V215" s="150">
        <v>0.96010970304285037</v>
      </c>
      <c r="W215" s="148">
        <v>894550970</v>
      </c>
      <c r="X215" s="148">
        <v>0</v>
      </c>
      <c r="Y215" s="150">
        <v>0</v>
      </c>
      <c r="Z215" s="148">
        <v>894550970</v>
      </c>
      <c r="AA215" s="148">
        <v>0</v>
      </c>
      <c r="AB215" s="150">
        <v>1</v>
      </c>
    </row>
    <row r="216" spans="1:28" ht="32.25" customHeight="1">
      <c r="A216" s="32" t="e">
        <v>#REF!</v>
      </c>
      <c r="B216" s="138" t="s">
        <v>715</v>
      </c>
      <c r="C216" s="139" t="s">
        <v>167</v>
      </c>
      <c r="D216" s="139">
        <v>4103</v>
      </c>
      <c r="E216" s="139" t="s">
        <v>172</v>
      </c>
      <c r="F216" s="139">
        <v>22</v>
      </c>
      <c r="G216" s="139" t="s">
        <v>175</v>
      </c>
      <c r="H216" s="139">
        <v>4103057</v>
      </c>
      <c r="I216" s="139"/>
      <c r="J216" s="139">
        <v>13</v>
      </c>
      <c r="K216" s="140" t="s">
        <v>29</v>
      </c>
      <c r="L216" s="140" t="s">
        <v>244</v>
      </c>
      <c r="M216" s="141">
        <v>64906595848</v>
      </c>
      <c r="N216" s="142">
        <v>0</v>
      </c>
      <c r="O216" s="142">
        <v>0</v>
      </c>
      <c r="P216" s="142">
        <v>0</v>
      </c>
      <c r="Q216" s="141">
        <v>214271846</v>
      </c>
      <c r="R216" s="142">
        <v>0</v>
      </c>
      <c r="S216" s="141">
        <v>64692324002</v>
      </c>
      <c r="T216" s="141">
        <v>64018249903</v>
      </c>
      <c r="U216" s="141">
        <v>674074099</v>
      </c>
      <c r="V216" s="143">
        <v>0.98958030787425166</v>
      </c>
      <c r="W216" s="141">
        <v>62459637170</v>
      </c>
      <c r="X216" s="141">
        <v>1558612733</v>
      </c>
      <c r="Y216" s="143">
        <v>2.4346381467184732E-2</v>
      </c>
      <c r="Z216" s="141">
        <v>62426114760</v>
      </c>
      <c r="AA216" s="141">
        <v>33522410</v>
      </c>
      <c r="AB216" s="724">
        <v>0.97512998019451658</v>
      </c>
    </row>
    <row r="217" spans="1:28" ht="24.95" customHeight="1">
      <c r="A217" s="32" t="e">
        <v>#REF!</v>
      </c>
      <c r="B217" s="144" t="s">
        <v>716</v>
      </c>
      <c r="C217" s="145" t="s">
        <v>167</v>
      </c>
      <c r="D217" s="145">
        <v>4103</v>
      </c>
      <c r="E217" s="145" t="s">
        <v>172</v>
      </c>
      <c r="F217" s="145">
        <v>22</v>
      </c>
      <c r="G217" s="145" t="s">
        <v>175</v>
      </c>
      <c r="H217" s="145" t="s">
        <v>221</v>
      </c>
      <c r="I217" s="145" t="s">
        <v>54</v>
      </c>
      <c r="J217" s="145">
        <v>13</v>
      </c>
      <c r="K217" s="146" t="s">
        <v>29</v>
      </c>
      <c r="L217" s="147" t="s">
        <v>178</v>
      </c>
      <c r="M217" s="148">
        <v>4796601848</v>
      </c>
      <c r="N217" s="148"/>
      <c r="O217" s="148"/>
      <c r="P217" s="148"/>
      <c r="Q217" s="148">
        <v>214271846</v>
      </c>
      <c r="R217" s="148">
        <v>0</v>
      </c>
      <c r="S217" s="148">
        <v>4582330002</v>
      </c>
      <c r="T217" s="148">
        <v>3908255903</v>
      </c>
      <c r="U217" s="148">
        <v>674074099</v>
      </c>
      <c r="V217" s="150">
        <v>0.85289708538979203</v>
      </c>
      <c r="W217" s="148">
        <v>2349643170</v>
      </c>
      <c r="X217" s="148">
        <v>1558612733</v>
      </c>
      <c r="Y217" s="150">
        <v>0.39880007135755868</v>
      </c>
      <c r="Z217" s="148">
        <v>2316120760</v>
      </c>
      <c r="AA217" s="148">
        <v>33522410</v>
      </c>
      <c r="AB217" s="150">
        <v>0.59262259623842239</v>
      </c>
    </row>
    <row r="218" spans="1:28" ht="24.95" customHeight="1">
      <c r="A218" s="32" t="e">
        <v>#REF!</v>
      </c>
      <c r="B218" s="144" t="s">
        <v>717</v>
      </c>
      <c r="C218" s="145" t="s">
        <v>167</v>
      </c>
      <c r="D218" s="145">
        <v>4103</v>
      </c>
      <c r="E218" s="145" t="s">
        <v>172</v>
      </c>
      <c r="F218" s="145">
        <v>22</v>
      </c>
      <c r="G218" s="145" t="s">
        <v>175</v>
      </c>
      <c r="H218" s="145" t="s">
        <v>221</v>
      </c>
      <c r="I218" s="145" t="s">
        <v>65</v>
      </c>
      <c r="J218" s="145">
        <v>13</v>
      </c>
      <c r="K218" s="146" t="s">
        <v>29</v>
      </c>
      <c r="L218" s="147" t="s">
        <v>127</v>
      </c>
      <c r="M218" s="148">
        <v>60109994000</v>
      </c>
      <c r="N218" s="148"/>
      <c r="O218" s="148"/>
      <c r="P218" s="148"/>
      <c r="Q218" s="148">
        <v>0</v>
      </c>
      <c r="R218" s="148">
        <v>0</v>
      </c>
      <c r="S218" s="148">
        <v>60109994000</v>
      </c>
      <c r="T218" s="148">
        <v>60109994000</v>
      </c>
      <c r="U218" s="148">
        <v>0</v>
      </c>
      <c r="V218" s="150">
        <v>1</v>
      </c>
      <c r="W218" s="148">
        <v>60109994000</v>
      </c>
      <c r="X218" s="148">
        <v>0</v>
      </c>
      <c r="Y218" s="150">
        <v>0</v>
      </c>
      <c r="Z218" s="148">
        <v>60109994000</v>
      </c>
      <c r="AA218" s="148">
        <v>0</v>
      </c>
      <c r="AB218" s="150">
        <v>1</v>
      </c>
    </row>
    <row r="219" spans="1:28" ht="32.25" customHeight="1">
      <c r="A219" s="32" t="e">
        <v>#REF!</v>
      </c>
      <c r="B219" s="138" t="s">
        <v>718</v>
      </c>
      <c r="C219" s="139" t="s">
        <v>167</v>
      </c>
      <c r="D219" s="139">
        <v>4103</v>
      </c>
      <c r="E219" s="139" t="s">
        <v>172</v>
      </c>
      <c r="F219" s="139">
        <v>22</v>
      </c>
      <c r="G219" s="139" t="s">
        <v>175</v>
      </c>
      <c r="H219" s="139">
        <v>4103062</v>
      </c>
      <c r="I219" s="139"/>
      <c r="J219" s="139">
        <v>13</v>
      </c>
      <c r="K219" s="140" t="s">
        <v>29</v>
      </c>
      <c r="L219" s="140" t="s">
        <v>245</v>
      </c>
      <c r="M219" s="141">
        <v>62462607371</v>
      </c>
      <c r="N219" s="142">
        <v>0</v>
      </c>
      <c r="O219" s="142">
        <v>0</v>
      </c>
      <c r="P219" s="141">
        <v>3878589965</v>
      </c>
      <c r="Q219" s="142">
        <v>0</v>
      </c>
      <c r="R219" s="142">
        <v>0</v>
      </c>
      <c r="S219" s="141">
        <v>66341197336</v>
      </c>
      <c r="T219" s="141">
        <v>44079552407</v>
      </c>
      <c r="U219" s="141">
        <v>22261644929</v>
      </c>
      <c r="V219" s="143">
        <v>0.66443709455150679</v>
      </c>
      <c r="W219" s="141">
        <v>42177593579</v>
      </c>
      <c r="X219" s="142">
        <v>1901958828</v>
      </c>
      <c r="Y219" s="143">
        <v>4.3148324430307999E-2</v>
      </c>
      <c r="Z219" s="141">
        <v>41902199131</v>
      </c>
      <c r="AA219" s="141">
        <v>275394448</v>
      </c>
      <c r="AB219" s="724">
        <v>0.95060400668555278</v>
      </c>
    </row>
    <row r="220" spans="1:28" ht="24.95" customHeight="1">
      <c r="A220" s="32" t="e">
        <v>#REF!</v>
      </c>
      <c r="B220" s="144" t="s">
        <v>719</v>
      </c>
      <c r="C220" s="145" t="s">
        <v>167</v>
      </c>
      <c r="D220" s="145">
        <v>4103</v>
      </c>
      <c r="E220" s="145" t="s">
        <v>172</v>
      </c>
      <c r="F220" s="145">
        <v>22</v>
      </c>
      <c r="G220" s="145" t="s">
        <v>175</v>
      </c>
      <c r="H220" s="145" t="s">
        <v>246</v>
      </c>
      <c r="I220" s="145" t="s">
        <v>54</v>
      </c>
      <c r="J220" s="145">
        <v>13</v>
      </c>
      <c r="K220" s="146" t="s">
        <v>29</v>
      </c>
      <c r="L220" s="147" t="s">
        <v>178</v>
      </c>
      <c r="M220" s="148">
        <v>6064335371</v>
      </c>
      <c r="N220" s="148"/>
      <c r="O220" s="148"/>
      <c r="P220" s="148">
        <v>981739965</v>
      </c>
      <c r="Q220" s="148">
        <v>0</v>
      </c>
      <c r="R220" s="148">
        <v>0</v>
      </c>
      <c r="S220" s="148">
        <v>7046075336</v>
      </c>
      <c r="T220" s="148">
        <v>4249430407</v>
      </c>
      <c r="U220" s="148">
        <v>2796644929</v>
      </c>
      <c r="V220" s="150">
        <v>0.60309182124248584</v>
      </c>
      <c r="W220" s="148">
        <v>2524271579</v>
      </c>
      <c r="X220" s="148">
        <v>1725158828</v>
      </c>
      <c r="Y220" s="150">
        <v>0.40597413365287288</v>
      </c>
      <c r="Z220" s="148">
        <v>2248877131</v>
      </c>
      <c r="AA220" s="148">
        <v>275394448</v>
      </c>
      <c r="AB220" s="150">
        <v>0.52921848709311026</v>
      </c>
    </row>
    <row r="221" spans="1:28" ht="24.95" customHeight="1">
      <c r="A221" s="32" t="e">
        <v>#REF!</v>
      </c>
      <c r="B221" s="144" t="s">
        <v>720</v>
      </c>
      <c r="C221" s="145" t="s">
        <v>167</v>
      </c>
      <c r="D221" s="145">
        <v>4103</v>
      </c>
      <c r="E221" s="145" t="s">
        <v>172</v>
      </c>
      <c r="F221" s="145">
        <v>22</v>
      </c>
      <c r="G221" s="145" t="s">
        <v>175</v>
      </c>
      <c r="H221" s="145" t="s">
        <v>246</v>
      </c>
      <c r="I221" s="145" t="s">
        <v>65</v>
      </c>
      <c r="J221" s="145">
        <v>13</v>
      </c>
      <c r="K221" s="146" t="s">
        <v>29</v>
      </c>
      <c r="L221" s="147" t="s">
        <v>127</v>
      </c>
      <c r="M221" s="148">
        <v>56398272000</v>
      </c>
      <c r="N221" s="148"/>
      <c r="O221" s="148"/>
      <c r="P221" s="148">
        <v>2896850000</v>
      </c>
      <c r="Q221" s="148">
        <v>0</v>
      </c>
      <c r="R221" s="148">
        <v>0</v>
      </c>
      <c r="S221" s="148">
        <v>59295122000</v>
      </c>
      <c r="T221" s="148">
        <v>39830122000</v>
      </c>
      <c r="U221" s="148">
        <v>19465000000</v>
      </c>
      <c r="V221" s="150">
        <v>0.67172679061188201</v>
      </c>
      <c r="W221" s="148">
        <v>39653322000</v>
      </c>
      <c r="X221" s="148">
        <v>176800000</v>
      </c>
      <c r="Y221" s="150">
        <v>4.4388515807207421E-3</v>
      </c>
      <c r="Z221" s="148">
        <v>39653322000</v>
      </c>
      <c r="AA221" s="148">
        <v>0</v>
      </c>
      <c r="AB221" s="150">
        <v>0.99556114841927923</v>
      </c>
    </row>
    <row r="222" spans="1:28" ht="39.75" customHeight="1">
      <c r="A222" s="32"/>
      <c r="B222" s="132" t="s">
        <v>685</v>
      </c>
      <c r="C222" s="133" t="s">
        <v>167</v>
      </c>
      <c r="D222" s="133" t="s">
        <v>190</v>
      </c>
      <c r="E222" s="133" t="s">
        <v>172</v>
      </c>
      <c r="F222" s="133">
        <v>23</v>
      </c>
      <c r="G222" s="133"/>
      <c r="H222" s="133"/>
      <c r="I222" s="133"/>
      <c r="J222" s="133"/>
      <c r="K222" s="134"/>
      <c r="L222" s="134" t="s">
        <v>273</v>
      </c>
      <c r="M222" s="135">
        <v>1612279801419</v>
      </c>
      <c r="N222" s="136">
        <v>0</v>
      </c>
      <c r="O222" s="136">
        <v>0</v>
      </c>
      <c r="P222" s="135">
        <v>67826035802.349998</v>
      </c>
      <c r="Q222" s="135">
        <v>67826035802.349998</v>
      </c>
      <c r="R222" s="136">
        <v>0</v>
      </c>
      <c r="S222" s="135">
        <v>1612279801419</v>
      </c>
      <c r="T222" s="135">
        <v>1028976025956.21</v>
      </c>
      <c r="U222" s="135">
        <v>583303775462.79004</v>
      </c>
      <c r="V222" s="137">
        <v>0.63821181971676844</v>
      </c>
      <c r="W222" s="135">
        <v>835022248952.67004</v>
      </c>
      <c r="X222" s="135">
        <v>193953777003.54001</v>
      </c>
      <c r="Y222" s="137">
        <v>0.18849202713280133</v>
      </c>
      <c r="Z222" s="135">
        <v>835016758641.67004</v>
      </c>
      <c r="AA222" s="135">
        <v>5490311</v>
      </c>
      <c r="AB222" s="723">
        <v>0.81150263716368232</v>
      </c>
    </row>
    <row r="223" spans="1:28" ht="32.25" customHeight="1">
      <c r="A223" s="32"/>
      <c r="B223" s="138" t="s">
        <v>721</v>
      </c>
      <c r="C223" s="139" t="s">
        <v>167</v>
      </c>
      <c r="D223" s="139" t="s">
        <v>190</v>
      </c>
      <c r="E223" s="139" t="s">
        <v>172</v>
      </c>
      <c r="F223" s="139">
        <v>23</v>
      </c>
      <c r="G223" s="139" t="s">
        <v>175</v>
      </c>
      <c r="H223" s="139">
        <v>4103065</v>
      </c>
      <c r="I223" s="139"/>
      <c r="J223" s="139">
        <v>11</v>
      </c>
      <c r="K223" s="140" t="s">
        <v>29</v>
      </c>
      <c r="L223" s="140" t="s">
        <v>248</v>
      </c>
      <c r="M223" s="141">
        <v>1612279801419</v>
      </c>
      <c r="N223" s="142">
        <v>0</v>
      </c>
      <c r="O223" s="142">
        <v>0</v>
      </c>
      <c r="P223" s="141">
        <v>67826035802.349998</v>
      </c>
      <c r="Q223" s="141">
        <v>67826035802.349998</v>
      </c>
      <c r="R223" s="142">
        <v>0</v>
      </c>
      <c r="S223" s="141">
        <v>1612279801419</v>
      </c>
      <c r="T223" s="141">
        <v>1028976025956.21</v>
      </c>
      <c r="U223" s="141">
        <v>583303775462.79004</v>
      </c>
      <c r="V223" s="143">
        <v>0.63821181971676844</v>
      </c>
      <c r="W223" s="141">
        <v>835022248952.67004</v>
      </c>
      <c r="X223" s="141">
        <v>193953777003.54001</v>
      </c>
      <c r="Y223" s="143">
        <v>0.18849202713280133</v>
      </c>
      <c r="Z223" s="141">
        <v>835016758641.67004</v>
      </c>
      <c r="AA223" s="141">
        <v>5490311</v>
      </c>
      <c r="AB223" s="724">
        <v>0.81150263716368232</v>
      </c>
    </row>
    <row r="224" spans="1:28" ht="24.95" customHeight="1">
      <c r="A224" s="32"/>
      <c r="B224" s="144" t="s">
        <v>722</v>
      </c>
      <c r="C224" s="145" t="s">
        <v>167</v>
      </c>
      <c r="D224" s="145" t="s">
        <v>190</v>
      </c>
      <c r="E224" s="145" t="s">
        <v>172</v>
      </c>
      <c r="F224" s="145">
        <v>23</v>
      </c>
      <c r="G224" s="145" t="s">
        <v>175</v>
      </c>
      <c r="H224" s="145">
        <v>4103065</v>
      </c>
      <c r="I224" s="145" t="s">
        <v>54</v>
      </c>
      <c r="J224" s="145">
        <v>11</v>
      </c>
      <c r="K224" s="146" t="s">
        <v>29</v>
      </c>
      <c r="L224" s="147" t="s">
        <v>178</v>
      </c>
      <c r="M224" s="148">
        <v>54257058902</v>
      </c>
      <c r="N224" s="148"/>
      <c r="O224" s="148"/>
      <c r="P224" s="148">
        <v>27826035802.349998</v>
      </c>
      <c r="Q224" s="148">
        <v>36000000000</v>
      </c>
      <c r="R224" s="148">
        <v>0</v>
      </c>
      <c r="S224" s="148">
        <v>46083094704.350006</v>
      </c>
      <c r="T224" s="148">
        <v>45721946956.209999</v>
      </c>
      <c r="U224" s="148">
        <v>361147748.14000702</v>
      </c>
      <c r="V224" s="150">
        <v>0.99216311859138406</v>
      </c>
      <c r="W224" s="148">
        <v>15768803952.67</v>
      </c>
      <c r="X224" s="148">
        <v>29953143003.540001</v>
      </c>
      <c r="Y224" s="150">
        <v>0.65511521266203943</v>
      </c>
      <c r="Z224" s="148">
        <v>15763313641.67</v>
      </c>
      <c r="AA224" s="148">
        <v>5490311</v>
      </c>
      <c r="AB224" s="150">
        <v>0.34476470690907468</v>
      </c>
    </row>
    <row r="225" spans="1:51" ht="24.95" customHeight="1">
      <c r="A225" s="32"/>
      <c r="B225" s="144" t="s">
        <v>723</v>
      </c>
      <c r="C225" s="145" t="s">
        <v>167</v>
      </c>
      <c r="D225" s="145" t="s">
        <v>190</v>
      </c>
      <c r="E225" s="145" t="s">
        <v>172</v>
      </c>
      <c r="F225" s="145">
        <v>23</v>
      </c>
      <c r="G225" s="145" t="s">
        <v>175</v>
      </c>
      <c r="H225" s="145">
        <v>4103065</v>
      </c>
      <c r="I225" s="145" t="s">
        <v>65</v>
      </c>
      <c r="J225" s="145">
        <v>11</v>
      </c>
      <c r="K225" s="146" t="s">
        <v>29</v>
      </c>
      <c r="L225" s="147" t="s">
        <v>127</v>
      </c>
      <c r="M225" s="148">
        <v>725205645648</v>
      </c>
      <c r="N225" s="148"/>
      <c r="O225" s="148"/>
      <c r="P225" s="148">
        <v>36000000000</v>
      </c>
      <c r="Q225" s="148">
        <v>27826035802.349998</v>
      </c>
      <c r="R225" s="148">
        <v>0</v>
      </c>
      <c r="S225" s="148">
        <v>733379609845.65002</v>
      </c>
      <c r="T225" s="148">
        <v>697379609814</v>
      </c>
      <c r="U225" s="148">
        <v>36000000031.650024</v>
      </c>
      <c r="V225" s="150">
        <v>0.95091218851963077</v>
      </c>
      <c r="W225" s="148">
        <v>697379609814</v>
      </c>
      <c r="X225" s="148">
        <v>0</v>
      </c>
      <c r="Y225" s="150">
        <v>0</v>
      </c>
      <c r="Z225" s="148">
        <v>697379609814</v>
      </c>
      <c r="AA225" s="148">
        <v>0</v>
      </c>
      <c r="AB225" s="150">
        <v>1</v>
      </c>
    </row>
    <row r="226" spans="1:51" ht="24.95" customHeight="1">
      <c r="A226" s="32"/>
      <c r="B226" s="144" t="s">
        <v>722</v>
      </c>
      <c r="C226" s="145" t="s">
        <v>167</v>
      </c>
      <c r="D226" s="145" t="s">
        <v>190</v>
      </c>
      <c r="E226" s="145" t="s">
        <v>172</v>
      </c>
      <c r="F226" s="145">
        <v>23</v>
      </c>
      <c r="G226" s="145" t="s">
        <v>175</v>
      </c>
      <c r="H226" s="145">
        <v>4103065</v>
      </c>
      <c r="I226" s="145" t="s">
        <v>54</v>
      </c>
      <c r="J226" s="145">
        <v>13</v>
      </c>
      <c r="K226" s="146" t="s">
        <v>29</v>
      </c>
      <c r="L226" s="147" t="s">
        <v>178</v>
      </c>
      <c r="M226" s="148">
        <v>0</v>
      </c>
      <c r="N226" s="148"/>
      <c r="O226" s="148"/>
      <c r="P226" s="148">
        <v>4000000000</v>
      </c>
      <c r="Q226" s="148">
        <v>0</v>
      </c>
      <c r="R226" s="148">
        <v>0</v>
      </c>
      <c r="S226" s="148">
        <v>4000000000</v>
      </c>
      <c r="T226" s="148">
        <v>4000000000</v>
      </c>
      <c r="U226" s="148">
        <v>0</v>
      </c>
      <c r="V226" s="150">
        <v>1</v>
      </c>
      <c r="W226" s="148">
        <v>0</v>
      </c>
      <c r="X226" s="148">
        <v>4000000000</v>
      </c>
      <c r="Y226" s="150">
        <v>1</v>
      </c>
      <c r="Z226" s="148">
        <v>0</v>
      </c>
      <c r="AA226" s="148">
        <v>0</v>
      </c>
      <c r="AB226" s="150">
        <v>0</v>
      </c>
    </row>
    <row r="227" spans="1:51" ht="24.95" customHeight="1">
      <c r="A227" s="32"/>
      <c r="B227" s="144" t="s">
        <v>723</v>
      </c>
      <c r="C227" s="145" t="s">
        <v>167</v>
      </c>
      <c r="D227" s="145" t="s">
        <v>190</v>
      </c>
      <c r="E227" s="145" t="s">
        <v>172</v>
      </c>
      <c r="F227" s="145">
        <v>23</v>
      </c>
      <c r="G227" s="145" t="s">
        <v>175</v>
      </c>
      <c r="H227" s="145">
        <v>4103065</v>
      </c>
      <c r="I227" s="145" t="s">
        <v>65</v>
      </c>
      <c r="J227" s="145">
        <v>13</v>
      </c>
      <c r="K227" s="146" t="s">
        <v>29</v>
      </c>
      <c r="L227" s="147" t="s">
        <v>127</v>
      </c>
      <c r="M227" s="148">
        <v>48925749186</v>
      </c>
      <c r="N227" s="148"/>
      <c r="O227" s="148"/>
      <c r="P227" s="148"/>
      <c r="Q227" s="148">
        <v>4000000000</v>
      </c>
      <c r="R227" s="148">
        <v>0</v>
      </c>
      <c r="S227" s="148">
        <v>44925749186</v>
      </c>
      <c r="T227" s="148">
        <v>44714469186</v>
      </c>
      <c r="U227" s="148">
        <v>211280000</v>
      </c>
      <c r="V227" s="150">
        <v>0.99529712906677936</v>
      </c>
      <c r="W227" s="148">
        <v>44714469186</v>
      </c>
      <c r="X227" s="148">
        <v>0</v>
      </c>
      <c r="Y227" s="150">
        <v>0</v>
      </c>
      <c r="Z227" s="148">
        <v>44714469186</v>
      </c>
      <c r="AA227" s="148">
        <v>0</v>
      </c>
      <c r="AB227" s="150">
        <v>1</v>
      </c>
    </row>
    <row r="228" spans="1:51" ht="24.95" customHeight="1">
      <c r="A228" s="32"/>
      <c r="B228" s="144" t="s">
        <v>723</v>
      </c>
      <c r="C228" s="145" t="s">
        <v>167</v>
      </c>
      <c r="D228" s="145" t="s">
        <v>190</v>
      </c>
      <c r="E228" s="145" t="s">
        <v>172</v>
      </c>
      <c r="F228" s="145">
        <v>23</v>
      </c>
      <c r="G228" s="145" t="s">
        <v>175</v>
      </c>
      <c r="H228" s="145">
        <v>4103065</v>
      </c>
      <c r="I228" s="145" t="s">
        <v>65</v>
      </c>
      <c r="J228" s="145">
        <v>16</v>
      </c>
      <c r="K228" s="146" t="s">
        <v>156</v>
      </c>
      <c r="L228" s="147" t="s">
        <v>127</v>
      </c>
      <c r="M228" s="148">
        <v>783891347683</v>
      </c>
      <c r="N228" s="148"/>
      <c r="O228" s="148"/>
      <c r="P228" s="148"/>
      <c r="Q228" s="148">
        <v>0</v>
      </c>
      <c r="R228" s="148">
        <v>0</v>
      </c>
      <c r="S228" s="148">
        <v>783891347683</v>
      </c>
      <c r="T228" s="148">
        <v>237160000000</v>
      </c>
      <c r="U228" s="148">
        <v>546731347683</v>
      </c>
      <c r="V228" s="150">
        <v>0.30254192842029659</v>
      </c>
      <c r="W228" s="148">
        <v>77159366000</v>
      </c>
      <c r="X228" s="148">
        <v>160000634000</v>
      </c>
      <c r="Y228" s="150">
        <v>0.67465269860010124</v>
      </c>
      <c r="Z228" s="148">
        <v>77159366000</v>
      </c>
      <c r="AA228" s="148">
        <v>0</v>
      </c>
      <c r="AB228" s="150">
        <v>0.32534730139989881</v>
      </c>
    </row>
    <row r="229" spans="1:51" ht="49.5" customHeight="1">
      <c r="A229" s="32" t="e">
        <v>#REF!</v>
      </c>
      <c r="B229" s="132" t="s">
        <v>732</v>
      </c>
      <c r="C229" s="133" t="s">
        <v>167</v>
      </c>
      <c r="D229" s="133" t="s">
        <v>190</v>
      </c>
      <c r="E229" s="133" t="s">
        <v>172</v>
      </c>
      <c r="F229" s="133">
        <v>24</v>
      </c>
      <c r="G229" s="133"/>
      <c r="H229" s="133"/>
      <c r="I229" s="133"/>
      <c r="J229" s="133"/>
      <c r="K229" s="134"/>
      <c r="L229" s="134" t="s">
        <v>249</v>
      </c>
      <c r="M229" s="135">
        <v>7237101000000</v>
      </c>
      <c r="N229" s="136">
        <v>0</v>
      </c>
      <c r="O229" s="136">
        <v>0</v>
      </c>
      <c r="P229" s="135">
        <v>832906720.83000004</v>
      </c>
      <c r="Q229" s="135">
        <v>832906720.83000004</v>
      </c>
      <c r="R229" s="136">
        <v>0</v>
      </c>
      <c r="S229" s="135">
        <v>7237101000000</v>
      </c>
      <c r="T229" s="135">
        <v>4264147683615.3999</v>
      </c>
      <c r="U229" s="135">
        <v>2972953316384.6001</v>
      </c>
      <c r="V229" s="137">
        <v>0.58920660131942337</v>
      </c>
      <c r="W229" s="135">
        <v>4202411295403.2798</v>
      </c>
      <c r="X229" s="135">
        <v>61736388212.120003</v>
      </c>
      <c r="Y229" s="137">
        <v>1.4478013613209615E-2</v>
      </c>
      <c r="Z229" s="135">
        <v>4202291050800.2798</v>
      </c>
      <c r="AA229" s="135">
        <v>120244603</v>
      </c>
      <c r="AB229" s="723">
        <v>0.98549378740966254</v>
      </c>
    </row>
    <row r="230" spans="1:51" ht="32.25" customHeight="1">
      <c r="A230" s="32" t="e">
        <v>#REF!</v>
      </c>
      <c r="B230" s="138" t="s">
        <v>733</v>
      </c>
      <c r="C230" s="139" t="s">
        <v>167</v>
      </c>
      <c r="D230" s="139" t="s">
        <v>190</v>
      </c>
      <c r="E230" s="139" t="s">
        <v>172</v>
      </c>
      <c r="F230" s="139">
        <v>24</v>
      </c>
      <c r="G230" s="139" t="s">
        <v>175</v>
      </c>
      <c r="H230" s="139">
        <v>4103061</v>
      </c>
      <c r="I230" s="139"/>
      <c r="J230" s="139">
        <v>13</v>
      </c>
      <c r="K230" s="140" t="s">
        <v>29</v>
      </c>
      <c r="L230" s="140" t="s">
        <v>231</v>
      </c>
      <c r="M230" s="141">
        <v>7237101000000</v>
      </c>
      <c r="N230" s="142">
        <v>0</v>
      </c>
      <c r="O230" s="142">
        <v>0</v>
      </c>
      <c r="P230" s="141">
        <v>832906720.83000004</v>
      </c>
      <c r="Q230" s="141">
        <v>832906720.83000004</v>
      </c>
      <c r="R230" s="142">
        <v>0</v>
      </c>
      <c r="S230" s="141">
        <v>7237101000000</v>
      </c>
      <c r="T230" s="141">
        <v>4264147683615.3999</v>
      </c>
      <c r="U230" s="141">
        <v>2972953316384.6001</v>
      </c>
      <c r="V230" s="143">
        <v>0.58920660131942337</v>
      </c>
      <c r="W230" s="141">
        <v>4202411295403.2798</v>
      </c>
      <c r="X230" s="141">
        <v>61736388212.120003</v>
      </c>
      <c r="Y230" s="143">
        <v>1.4478013613209615E-2</v>
      </c>
      <c r="Z230" s="141">
        <v>4202291050800.2798</v>
      </c>
      <c r="AA230" s="141">
        <v>120244603</v>
      </c>
      <c r="AB230" s="724">
        <v>0.98549378740966254</v>
      </c>
    </row>
    <row r="231" spans="1:51" ht="24.95" customHeight="1">
      <c r="A231" s="32" t="e">
        <v>#REF!</v>
      </c>
      <c r="B231" s="144" t="s">
        <v>734</v>
      </c>
      <c r="C231" s="145" t="s">
        <v>167</v>
      </c>
      <c r="D231" s="145" t="s">
        <v>190</v>
      </c>
      <c r="E231" s="145" t="s">
        <v>172</v>
      </c>
      <c r="F231" s="145">
        <v>24</v>
      </c>
      <c r="G231" s="145" t="s">
        <v>175</v>
      </c>
      <c r="H231" s="145">
        <v>4103061</v>
      </c>
      <c r="I231" s="145" t="s">
        <v>54</v>
      </c>
      <c r="J231" s="145">
        <v>13</v>
      </c>
      <c r="K231" s="146" t="s">
        <v>29</v>
      </c>
      <c r="L231" s="147" t="s">
        <v>178</v>
      </c>
      <c r="M231" s="148">
        <v>99347732574</v>
      </c>
      <c r="N231" s="148"/>
      <c r="O231" s="148"/>
      <c r="P231" s="148">
        <v>832906720.83000004</v>
      </c>
      <c r="Q231" s="148">
        <v>0</v>
      </c>
      <c r="R231" s="148">
        <v>0</v>
      </c>
      <c r="S231" s="148">
        <v>100180639294.83</v>
      </c>
      <c r="T231" s="148">
        <v>32870137615.400002</v>
      </c>
      <c r="U231" s="148">
        <v>67310501679.43</v>
      </c>
      <c r="V231" s="150">
        <v>0.32810868294285606</v>
      </c>
      <c r="W231" s="148">
        <v>12342737403.280001</v>
      </c>
      <c r="X231" s="148">
        <v>20527400212.120003</v>
      </c>
      <c r="Y231" s="150">
        <v>0.62449997783102384</v>
      </c>
      <c r="Z231" s="148">
        <v>12222492800.280001</v>
      </c>
      <c r="AA231" s="148">
        <v>120244603</v>
      </c>
      <c r="AB231" s="150">
        <v>0.37184185059674457</v>
      </c>
    </row>
    <row r="232" spans="1:51" ht="24.95" customHeight="1">
      <c r="A232" s="32" t="e">
        <v>#REF!</v>
      </c>
      <c r="B232" s="144" t="s">
        <v>735</v>
      </c>
      <c r="C232" s="145" t="s">
        <v>167</v>
      </c>
      <c r="D232" s="145" t="s">
        <v>190</v>
      </c>
      <c r="E232" s="145" t="s">
        <v>172</v>
      </c>
      <c r="F232" s="145">
        <v>24</v>
      </c>
      <c r="G232" s="145" t="s">
        <v>175</v>
      </c>
      <c r="H232" s="145">
        <v>4103061</v>
      </c>
      <c r="I232" s="145" t="s">
        <v>65</v>
      </c>
      <c r="J232" s="145">
        <v>13</v>
      </c>
      <c r="K232" s="146" t="s">
        <v>29</v>
      </c>
      <c r="L232" s="147" t="s">
        <v>127</v>
      </c>
      <c r="M232" s="148">
        <v>7137753267426</v>
      </c>
      <c r="N232" s="148"/>
      <c r="O232" s="148"/>
      <c r="P232" s="148"/>
      <c r="Q232" s="148">
        <v>832906720.83000004</v>
      </c>
      <c r="R232" s="148">
        <v>0</v>
      </c>
      <c r="S232" s="148">
        <v>7136920360705.1699</v>
      </c>
      <c r="T232" s="148">
        <v>4231277546000</v>
      </c>
      <c r="U232" s="148">
        <v>2905642814705.1699</v>
      </c>
      <c r="V232" s="150">
        <v>0.59287162139244109</v>
      </c>
      <c r="W232" s="148">
        <v>4190068558000</v>
      </c>
      <c r="X232" s="148">
        <v>41208988000</v>
      </c>
      <c r="Y232" s="150">
        <v>9.7391361242555562E-3</v>
      </c>
      <c r="Z232" s="148">
        <v>4190068558000</v>
      </c>
      <c r="AA232" s="148">
        <v>0</v>
      </c>
      <c r="AB232" s="150">
        <v>0.99026086387574441</v>
      </c>
    </row>
    <row r="233" spans="1:51" ht="36.75" customHeight="1">
      <c r="A233" s="32" t="e">
        <v>#REF!</v>
      </c>
      <c r="B233" s="124" t="s">
        <v>544</v>
      </c>
      <c r="C233" s="123" t="s">
        <v>167</v>
      </c>
      <c r="D233" s="123">
        <v>4199</v>
      </c>
      <c r="E233" s="123"/>
      <c r="F233" s="123"/>
      <c r="G233" s="123"/>
      <c r="H233" s="123"/>
      <c r="I233" s="123"/>
      <c r="J233" s="124"/>
      <c r="K233" s="124"/>
      <c r="L233" s="124" t="s">
        <v>250</v>
      </c>
      <c r="M233" s="125">
        <v>5000000000</v>
      </c>
      <c r="N233" s="719">
        <v>0</v>
      </c>
      <c r="O233" s="719">
        <v>0</v>
      </c>
      <c r="P233" s="719">
        <v>0</v>
      </c>
      <c r="Q233" s="719">
        <v>0</v>
      </c>
      <c r="R233" s="719">
        <v>0</v>
      </c>
      <c r="S233" s="125">
        <v>5000000000</v>
      </c>
      <c r="T233" s="125">
        <v>2541440887.5999999</v>
      </c>
      <c r="U233" s="125">
        <v>2458559112.4000001</v>
      </c>
      <c r="V233" s="126">
        <v>0.50828817752</v>
      </c>
      <c r="W233" s="125">
        <v>2450040887.5999999</v>
      </c>
      <c r="X233" s="125">
        <v>91400000</v>
      </c>
      <c r="Y233" s="126">
        <v>3.5963850446395093E-2</v>
      </c>
      <c r="Z233" s="125">
        <v>2450040887.5999999</v>
      </c>
      <c r="AA233" s="125">
        <v>0</v>
      </c>
      <c r="AB233" s="720">
        <v>0.96403614955360495</v>
      </c>
    </row>
    <row r="234" spans="1:51" ht="24" customHeight="1">
      <c r="A234" s="32" t="e">
        <v>#REF!</v>
      </c>
      <c r="B234" s="129" t="s">
        <v>300</v>
      </c>
      <c r="C234" s="128" t="s">
        <v>167</v>
      </c>
      <c r="D234" s="128">
        <v>4199</v>
      </c>
      <c r="E234" s="128">
        <v>1500</v>
      </c>
      <c r="F234" s="128"/>
      <c r="G234" s="128"/>
      <c r="H234" s="128"/>
      <c r="I234" s="128"/>
      <c r="J234" s="129"/>
      <c r="K234" s="129"/>
      <c r="L234" s="129" t="s">
        <v>170</v>
      </c>
      <c r="M234" s="130">
        <v>5000000000</v>
      </c>
      <c r="N234" s="721">
        <v>0</v>
      </c>
      <c r="O234" s="721">
        <v>0</v>
      </c>
      <c r="P234" s="721">
        <v>0</v>
      </c>
      <c r="Q234" s="721">
        <v>0</v>
      </c>
      <c r="R234" s="721">
        <v>0</v>
      </c>
      <c r="S234" s="130">
        <v>5000000000</v>
      </c>
      <c r="T234" s="130">
        <v>2541440887.5999999</v>
      </c>
      <c r="U234" s="130">
        <v>2458559112.4000001</v>
      </c>
      <c r="V234" s="131">
        <v>0.50828817752</v>
      </c>
      <c r="W234" s="130">
        <v>2450040887.5999999</v>
      </c>
      <c r="X234" s="130">
        <v>91400000</v>
      </c>
      <c r="Y234" s="131">
        <v>3.5963850446395093E-2</v>
      </c>
      <c r="Z234" s="130">
        <v>2450040887.5999999</v>
      </c>
      <c r="AA234" s="130">
        <v>0</v>
      </c>
      <c r="AB234" s="722">
        <v>0.96403614955360495</v>
      </c>
    </row>
    <row r="235" spans="1:51" ht="37.5" customHeight="1">
      <c r="A235" s="32" t="e">
        <v>#REF!</v>
      </c>
      <c r="B235" s="132" t="s">
        <v>547</v>
      </c>
      <c r="C235" s="133" t="s">
        <v>167</v>
      </c>
      <c r="D235" s="133" t="s">
        <v>251</v>
      </c>
      <c r="E235" s="133" t="s">
        <v>172</v>
      </c>
      <c r="F235" s="133" t="s">
        <v>252</v>
      </c>
      <c r="G235" s="133"/>
      <c r="H235" s="133"/>
      <c r="I235" s="133"/>
      <c r="J235" s="133"/>
      <c r="K235" s="134"/>
      <c r="L235" s="134" t="s">
        <v>274</v>
      </c>
      <c r="M235" s="135">
        <v>5000000000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5">
        <v>5000000000</v>
      </c>
      <c r="T235" s="135">
        <v>2541440887.5999999</v>
      </c>
      <c r="U235" s="135">
        <v>2458559112.4000001</v>
      </c>
      <c r="V235" s="137">
        <v>0.50828817752</v>
      </c>
      <c r="W235" s="135">
        <v>2450040887.5999999</v>
      </c>
      <c r="X235" s="135">
        <v>91400000</v>
      </c>
      <c r="Y235" s="137">
        <v>3.5963850446395093E-2</v>
      </c>
      <c r="Z235" s="135">
        <v>2450040887.5999999</v>
      </c>
      <c r="AA235" s="135">
        <v>0</v>
      </c>
      <c r="AB235" s="723">
        <v>0.96403614955360495</v>
      </c>
    </row>
    <row r="236" spans="1:51" ht="32.25" customHeight="1">
      <c r="A236" s="32" t="e">
        <v>#REF!</v>
      </c>
      <c r="B236" s="138" t="s">
        <v>548</v>
      </c>
      <c r="C236" s="139" t="s">
        <v>167</v>
      </c>
      <c r="D236" s="139" t="s">
        <v>251</v>
      </c>
      <c r="E236" s="139" t="s">
        <v>172</v>
      </c>
      <c r="F236" s="139" t="s">
        <v>252</v>
      </c>
      <c r="G236" s="139" t="s">
        <v>175</v>
      </c>
      <c r="H236" s="139" t="s">
        <v>254</v>
      </c>
      <c r="I236" s="139"/>
      <c r="J236" s="139">
        <v>13</v>
      </c>
      <c r="K236" s="140" t="s">
        <v>29</v>
      </c>
      <c r="L236" s="140" t="s">
        <v>255</v>
      </c>
      <c r="M236" s="141">
        <v>5000000000</v>
      </c>
      <c r="N236" s="142">
        <v>0</v>
      </c>
      <c r="O236" s="142">
        <v>0</v>
      </c>
      <c r="P236" s="142">
        <v>0</v>
      </c>
      <c r="Q236" s="142">
        <v>0</v>
      </c>
      <c r="R236" s="142">
        <v>0</v>
      </c>
      <c r="S236" s="141">
        <v>5000000000</v>
      </c>
      <c r="T236" s="141">
        <v>2541440887.5999999</v>
      </c>
      <c r="U236" s="141">
        <v>2458559112.4000001</v>
      </c>
      <c r="V236" s="143">
        <v>0.50828817752</v>
      </c>
      <c r="W236" s="141">
        <v>2450040887.5999999</v>
      </c>
      <c r="X236" s="141">
        <v>91400000</v>
      </c>
      <c r="Y236" s="143">
        <v>3.5963850446395093E-2</v>
      </c>
      <c r="Z236" s="141">
        <v>2450040887.5999999</v>
      </c>
      <c r="AA236" s="141">
        <v>0</v>
      </c>
      <c r="AB236" s="724">
        <v>0.96403614955360495</v>
      </c>
    </row>
    <row r="237" spans="1:51" ht="24.95" customHeight="1">
      <c r="A237" s="32" t="e">
        <v>#REF!</v>
      </c>
      <c r="B237" s="144" t="s">
        <v>549</v>
      </c>
      <c r="C237" s="145" t="s">
        <v>167</v>
      </c>
      <c r="D237" s="145" t="s">
        <v>251</v>
      </c>
      <c r="E237" s="145" t="s">
        <v>172</v>
      </c>
      <c r="F237" s="145" t="s">
        <v>252</v>
      </c>
      <c r="G237" s="145" t="s">
        <v>175</v>
      </c>
      <c r="H237" s="145" t="s">
        <v>254</v>
      </c>
      <c r="I237" s="145" t="s">
        <v>54</v>
      </c>
      <c r="J237" s="145">
        <v>13</v>
      </c>
      <c r="K237" s="146" t="s">
        <v>29</v>
      </c>
      <c r="L237" s="147" t="s">
        <v>178</v>
      </c>
      <c r="M237" s="148">
        <v>5000000000</v>
      </c>
      <c r="N237" s="148">
        <v>0</v>
      </c>
      <c r="O237" s="148">
        <v>0</v>
      </c>
      <c r="P237" s="148">
        <v>0</v>
      </c>
      <c r="Q237" s="148">
        <v>0</v>
      </c>
      <c r="R237" s="148">
        <v>0</v>
      </c>
      <c r="S237" s="148">
        <v>5000000000</v>
      </c>
      <c r="T237" s="148">
        <v>2541440887.5999999</v>
      </c>
      <c r="U237" s="148">
        <v>2458559112.4000001</v>
      </c>
      <c r="V237" s="150">
        <v>0.50828817752</v>
      </c>
      <c r="W237" s="148">
        <v>2450040887.5999999</v>
      </c>
      <c r="X237" s="148">
        <v>91400000</v>
      </c>
      <c r="Y237" s="150">
        <v>3.5963850446395093E-2</v>
      </c>
      <c r="Z237" s="148">
        <v>2450040887.5999999</v>
      </c>
      <c r="AA237" s="148">
        <v>0</v>
      </c>
      <c r="AB237" s="150">
        <v>0.96403614955360495</v>
      </c>
    </row>
    <row r="238" spans="1:51" ht="35.1" customHeight="1">
      <c r="A238" s="32"/>
      <c r="B238" s="118"/>
      <c r="C238" s="118"/>
      <c r="D238" s="119"/>
      <c r="E238" s="119"/>
      <c r="F238" s="119"/>
      <c r="G238" s="119"/>
      <c r="H238" s="119"/>
      <c r="I238" s="119"/>
      <c r="J238" s="119"/>
      <c r="K238" s="119"/>
      <c r="L238" s="119" t="s">
        <v>256</v>
      </c>
      <c r="M238" s="120">
        <v>13107834876291</v>
      </c>
      <c r="N238" s="120">
        <v>5269349000</v>
      </c>
      <c r="O238" s="120">
        <v>0</v>
      </c>
      <c r="P238" s="120">
        <v>121673959628.82001</v>
      </c>
      <c r="Q238" s="120">
        <v>121673959628.82001</v>
      </c>
      <c r="R238" s="120">
        <v>10390000000</v>
      </c>
      <c r="S238" s="120">
        <v>13102714225291</v>
      </c>
      <c r="T238" s="120">
        <v>8460348967259.0879</v>
      </c>
      <c r="U238" s="120">
        <v>4642365258031.9111</v>
      </c>
      <c r="V238" s="121">
        <v>0.64569438223179987</v>
      </c>
      <c r="W238" s="120">
        <v>7062775737226.2188</v>
      </c>
      <c r="X238" s="120">
        <v>1397573230032.8701</v>
      </c>
      <c r="Y238" s="121">
        <v>0.16519096735150915</v>
      </c>
      <c r="Z238" s="120">
        <v>6897458309869.2188</v>
      </c>
      <c r="AA238" s="120">
        <v>165317427357</v>
      </c>
      <c r="AB238" s="718">
        <v>0.81526877160290456</v>
      </c>
    </row>
    <row r="239" spans="1:51" s="90" customFormat="1" ht="16.5">
      <c r="A239" s="32"/>
      <c r="B239" s="32"/>
      <c r="C239" s="82"/>
      <c r="D239" s="82"/>
      <c r="E239" s="82"/>
      <c r="F239" s="82"/>
      <c r="G239" s="82"/>
      <c r="H239" s="83"/>
      <c r="I239" s="84"/>
      <c r="J239" s="84"/>
      <c r="K239" s="85"/>
      <c r="L239" s="84"/>
      <c r="M239" s="86"/>
      <c r="N239" s="86"/>
      <c r="O239" s="86"/>
      <c r="P239" s="86"/>
      <c r="Q239" s="86"/>
      <c r="R239" s="86"/>
      <c r="S239" s="86"/>
      <c r="T239" s="86"/>
      <c r="U239" s="86"/>
      <c r="V239" s="87"/>
      <c r="W239" s="88"/>
      <c r="X239" s="86"/>
      <c r="Y239" s="87"/>
      <c r="Z239" s="86"/>
      <c r="AA239" s="86"/>
      <c r="AB239" s="89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</row>
    <row r="240" spans="1:51" s="8" customFormat="1" ht="16.5">
      <c r="A240" s="32" t="e">
        <v>#REF!</v>
      </c>
      <c r="B240" s="32"/>
      <c r="C240" s="91"/>
      <c r="D240" s="91"/>
      <c r="E240" s="91"/>
      <c r="F240" s="91"/>
      <c r="G240" s="91"/>
      <c r="H240" s="92"/>
      <c r="I240" s="93"/>
      <c r="J240" s="93"/>
      <c r="K240" s="94"/>
      <c r="L240" s="93"/>
      <c r="M240" s="95">
        <v>13107834876291</v>
      </c>
      <c r="N240" s="95">
        <v>5269349000</v>
      </c>
      <c r="O240" s="95">
        <v>0</v>
      </c>
      <c r="P240" s="95">
        <v>121673959628.82001</v>
      </c>
      <c r="Q240" s="95">
        <v>121673959628.82001</v>
      </c>
      <c r="R240" s="95">
        <v>10390000000</v>
      </c>
      <c r="S240" s="95">
        <v>13102714225291</v>
      </c>
      <c r="T240" s="95">
        <v>8460348967259.0898</v>
      </c>
      <c r="U240" s="95">
        <v>4642365258031.9121</v>
      </c>
      <c r="V240" s="95">
        <v>0.64569438223179987</v>
      </c>
      <c r="W240" s="95">
        <v>7062775737226.2197</v>
      </c>
      <c r="X240" s="95">
        <v>1397573230032.8701</v>
      </c>
      <c r="Y240" s="95">
        <v>0.16519096735150915</v>
      </c>
      <c r="Z240" s="95">
        <v>6897458309869.2197</v>
      </c>
      <c r="AA240" s="95">
        <v>165317427357</v>
      </c>
      <c r="AB240" s="95">
        <v>0.81526877160290456</v>
      </c>
    </row>
    <row r="241" spans="1:51" s="8" customFormat="1" ht="16.5">
      <c r="A241" s="32"/>
      <c r="B241" s="32"/>
      <c r="C241" s="94"/>
      <c r="D241" s="93"/>
      <c r="E241" s="93"/>
      <c r="F241" s="93"/>
      <c r="G241" s="93"/>
      <c r="H241" s="93"/>
      <c r="I241" s="93"/>
      <c r="J241" s="93"/>
      <c r="K241" s="94"/>
      <c r="L241" s="97"/>
      <c r="M241" s="98">
        <v>0</v>
      </c>
      <c r="N241" s="95">
        <v>0</v>
      </c>
      <c r="O241" s="95">
        <v>0</v>
      </c>
      <c r="P241" s="98">
        <v>0</v>
      </c>
      <c r="Q241" s="98">
        <v>0</v>
      </c>
      <c r="R241" s="98">
        <v>0</v>
      </c>
      <c r="S241" s="98">
        <v>0</v>
      </c>
      <c r="T241" s="98">
        <v>0</v>
      </c>
      <c r="U241" s="98">
        <v>0</v>
      </c>
      <c r="V241" s="98"/>
      <c r="W241" s="98">
        <v>0</v>
      </c>
      <c r="X241" s="98">
        <v>0</v>
      </c>
      <c r="Y241" s="98"/>
      <c r="Z241" s="98">
        <v>0</v>
      </c>
      <c r="AA241" s="98">
        <v>0</v>
      </c>
      <c r="AB241" s="98"/>
    </row>
    <row r="242" spans="1:51" s="289" customFormat="1" ht="16.5">
      <c r="A242" s="22"/>
      <c r="B242" s="311"/>
      <c r="C242" s="284"/>
      <c r="D242" s="285"/>
      <c r="E242" s="285"/>
      <c r="F242" s="285"/>
      <c r="G242" s="285"/>
      <c r="H242" s="285"/>
      <c r="I242" s="285"/>
      <c r="J242" s="285"/>
      <c r="K242" s="284"/>
      <c r="L242" s="286"/>
      <c r="M242" s="98"/>
      <c r="N242" s="98"/>
      <c r="O242" s="98"/>
      <c r="P242" s="98"/>
      <c r="Q242" s="98"/>
      <c r="R242" s="98"/>
      <c r="S242" s="98"/>
      <c r="T242" s="98"/>
      <c r="U242" s="98"/>
      <c r="V242" s="287"/>
      <c r="W242" s="98"/>
      <c r="X242" s="98"/>
      <c r="Y242" s="287"/>
      <c r="Z242" s="98"/>
      <c r="AA242" s="98"/>
      <c r="AB242" s="28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 ht="18">
      <c r="A243" s="30"/>
      <c r="B243" s="31"/>
      <c r="C243" s="312"/>
      <c r="D243" s="317"/>
      <c r="E243" s="312"/>
      <c r="F243" s="312"/>
      <c r="G243" s="312"/>
      <c r="H243" s="312"/>
      <c r="I243" s="312"/>
      <c r="J243" s="312"/>
      <c r="K243" s="317"/>
      <c r="L243" s="312"/>
      <c r="M243" s="335"/>
      <c r="N243" s="364"/>
      <c r="O243" s="332"/>
      <c r="P243" s="332"/>
      <c r="Q243" s="633"/>
      <c r="R243" s="633"/>
      <c r="S243" s="359"/>
      <c r="T243" s="332"/>
      <c r="U243" s="332"/>
      <c r="V243" s="333"/>
      <c r="W243" s="332"/>
      <c r="X243" s="332"/>
      <c r="Y243" s="333"/>
      <c r="Z243" s="332"/>
      <c r="AA243" s="332"/>
      <c r="AB243" s="333"/>
    </row>
    <row r="244" spans="1:51" ht="18">
      <c r="A244" s="30"/>
      <c r="B244" s="31"/>
      <c r="C244" s="312"/>
      <c r="D244" s="317"/>
      <c r="E244" s="312"/>
      <c r="F244" s="312"/>
      <c r="G244" s="312"/>
      <c r="H244" s="312"/>
      <c r="I244" s="312"/>
      <c r="J244" s="312"/>
      <c r="K244" s="317"/>
      <c r="L244" s="312"/>
      <c r="M244" s="332"/>
      <c r="N244" s="632"/>
      <c r="O244" s="332"/>
      <c r="P244" s="359"/>
      <c r="Q244" s="633"/>
      <c r="R244" s="633"/>
      <c r="S244" s="332"/>
      <c r="T244" s="332"/>
      <c r="U244" s="332"/>
      <c r="V244" s="333"/>
      <c r="W244" s="332"/>
      <c r="X244" s="332"/>
      <c r="Y244" s="333"/>
      <c r="Z244" s="332"/>
      <c r="AA244" s="332"/>
      <c r="AB244" s="333"/>
    </row>
    <row r="245" spans="1:51" ht="18">
      <c r="A245" s="1"/>
      <c r="B245" s="2"/>
      <c r="C245" s="312"/>
      <c r="D245" s="312"/>
      <c r="E245" s="312"/>
      <c r="F245" s="312"/>
      <c r="G245" s="312"/>
      <c r="H245" s="312"/>
      <c r="I245" s="312"/>
      <c r="J245" s="312"/>
      <c r="K245" s="317"/>
      <c r="L245" s="312"/>
      <c r="M245" s="332"/>
      <c r="N245" s="632"/>
      <c r="O245" s="332"/>
      <c r="P245" s="332"/>
      <c r="Q245" s="332"/>
      <c r="R245" s="332"/>
      <c r="S245" s="332"/>
      <c r="T245" s="332"/>
      <c r="U245" s="332"/>
      <c r="V245" s="333"/>
      <c r="W245" s="332"/>
      <c r="X245" s="631"/>
      <c r="Y245" s="333"/>
      <c r="Z245" s="332"/>
      <c r="AA245" s="332"/>
      <c r="AB245" s="333"/>
      <c r="AC245" s="315"/>
    </row>
    <row r="246" spans="1:51" ht="30">
      <c r="A246" s="1"/>
      <c r="B246" s="2"/>
      <c r="C246" s="318"/>
      <c r="D246" s="318"/>
      <c r="E246" s="318"/>
      <c r="F246" s="318"/>
      <c r="G246" s="318"/>
      <c r="H246" s="318"/>
      <c r="I246" s="312"/>
      <c r="J246" s="312"/>
      <c r="K246" s="317"/>
      <c r="L246" s="336" t="s">
        <v>738</v>
      </c>
      <c r="M246" s="628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20"/>
      <c r="Z246" s="376"/>
      <c r="AA246" s="319"/>
      <c r="AB246" s="319"/>
    </row>
    <row r="247" spans="1:51" ht="30">
      <c r="A247" s="1"/>
      <c r="B247" s="2"/>
      <c r="C247" s="321"/>
      <c r="D247" s="322"/>
      <c r="E247" s="322"/>
      <c r="F247" s="322"/>
      <c r="G247" s="322"/>
      <c r="H247" s="322"/>
      <c r="I247" s="322"/>
      <c r="J247" s="322"/>
      <c r="K247" s="321"/>
      <c r="L247" s="337" t="s">
        <v>739</v>
      </c>
      <c r="M247" s="628"/>
      <c r="O247" s="323"/>
      <c r="P247" s="323"/>
      <c r="Q247" s="323"/>
      <c r="R247" s="323"/>
      <c r="S247" s="360"/>
      <c r="T247" s="323"/>
      <c r="U247" s="323"/>
      <c r="V247" s="323"/>
      <c r="W247" s="323"/>
      <c r="X247" s="323"/>
      <c r="Y247" s="324"/>
      <c r="Z247" s="323"/>
      <c r="AA247" s="323"/>
      <c r="AB247" s="323"/>
    </row>
    <row r="248" spans="1:51" ht="30">
      <c r="A248" s="325"/>
      <c r="B248" s="313"/>
      <c r="C248" s="308"/>
      <c r="D248" s="308"/>
      <c r="E248" s="308"/>
      <c r="F248" s="308"/>
      <c r="G248" s="308"/>
      <c r="H248" s="308"/>
      <c r="I248" s="308"/>
      <c r="J248" s="308"/>
      <c r="K248" s="336"/>
      <c r="L248" s="308"/>
      <c r="M248" s="628"/>
      <c r="O248" s="309"/>
      <c r="P248" s="309"/>
      <c r="Q248" s="630"/>
      <c r="R248" s="630"/>
      <c r="S248" s="334"/>
      <c r="T248" s="334"/>
      <c r="U248" s="629"/>
      <c r="V248" s="329"/>
      <c r="W248" s="329"/>
      <c r="X248" s="329"/>
      <c r="Y248" s="329"/>
    </row>
    <row r="249" spans="1:51" ht="16.5">
      <c r="M249" s="628"/>
      <c r="N249" s="628"/>
    </row>
    <row r="250" spans="1:51" ht="16.5">
      <c r="M250" s="628"/>
      <c r="N250" s="628"/>
    </row>
    <row r="251" spans="1:51" ht="16.5">
      <c r="M251" s="628"/>
    </row>
    <row r="252" spans="1:51" ht="16.5">
      <c r="M252" s="628"/>
    </row>
    <row r="253" spans="1:51" ht="16.5">
      <c r="M253" s="628"/>
    </row>
  </sheetData>
  <sheetProtection selectLockedCells="1" selectUnlockedCells="1"/>
  <autoFilter ref="A6:AB241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08C9-C53F-41A5-8B0A-24A19C7B5853}">
  <sheetPr>
    <tabColor rgb="FF00B0F0"/>
    <pageSetUpPr fitToPage="1"/>
  </sheetPr>
  <dimension ref="A1:BB253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28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3.85546875" style="9" customWidth="1" collapsed="1"/>
    <col min="11" max="11" width="6.28515625" style="111" customWidth="1"/>
    <col min="12" max="12" width="74.1406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0.85546875" style="13" bestFit="1" customWidth="1"/>
    <col min="21" max="21" width="20.5703125" style="13" customWidth="1"/>
    <col min="22" max="22" width="12.85546875" style="13" customWidth="1"/>
    <col min="23" max="23" width="23.7109375" style="13" bestFit="1" customWidth="1"/>
    <col min="24" max="24" width="19.8554687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19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12" t="s">
        <v>0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</row>
    <row r="3" spans="1:28" ht="19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13" t="s">
        <v>935</v>
      </c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</row>
    <row r="4" spans="1:28" ht="19.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18" t="s">
        <v>2</v>
      </c>
      <c r="C5" s="814" t="s">
        <v>2</v>
      </c>
      <c r="D5" s="814"/>
      <c r="E5" s="814"/>
      <c r="F5" s="814"/>
      <c r="G5" s="814"/>
      <c r="H5" s="814"/>
      <c r="I5" s="814"/>
      <c r="J5" s="815" t="s">
        <v>3</v>
      </c>
      <c r="K5" s="822" t="s">
        <v>4</v>
      </c>
      <c r="L5" s="816" t="s">
        <v>5</v>
      </c>
      <c r="M5" s="818" t="s">
        <v>869</v>
      </c>
      <c r="N5" s="820" t="s">
        <v>870</v>
      </c>
      <c r="O5" s="821"/>
      <c r="P5" s="820" t="s">
        <v>871</v>
      </c>
      <c r="Q5" s="821"/>
      <c r="R5" s="818" t="s">
        <v>872</v>
      </c>
      <c r="S5" s="804" t="s">
        <v>6</v>
      </c>
      <c r="T5" s="806" t="s">
        <v>7</v>
      </c>
      <c r="U5" s="807"/>
      <c r="V5" s="808"/>
      <c r="W5" s="809" t="s">
        <v>8</v>
      </c>
      <c r="X5" s="810"/>
      <c r="Y5" s="811"/>
      <c r="Z5" s="806" t="s">
        <v>9</v>
      </c>
      <c r="AA5" s="807"/>
      <c r="AB5" s="808"/>
    </row>
    <row r="6" spans="1:28" s="25" customFormat="1" ht="48.75" customHeight="1">
      <c r="A6" s="22"/>
      <c r="B6" s="819" t="s">
        <v>2</v>
      </c>
      <c r="C6" s="113" t="s">
        <v>10</v>
      </c>
      <c r="D6" s="113" t="s">
        <v>11</v>
      </c>
      <c r="E6" s="113" t="s">
        <v>12</v>
      </c>
      <c r="F6" s="113" t="s">
        <v>13</v>
      </c>
      <c r="G6" s="113" t="s">
        <v>14</v>
      </c>
      <c r="H6" s="113" t="s">
        <v>15</v>
      </c>
      <c r="I6" s="113" t="s">
        <v>16</v>
      </c>
      <c r="J6" s="815"/>
      <c r="K6" s="822" t="s">
        <v>17</v>
      </c>
      <c r="L6" s="817"/>
      <c r="M6" s="819"/>
      <c r="N6" s="114" t="s">
        <v>873</v>
      </c>
      <c r="O6" s="114" t="s">
        <v>874</v>
      </c>
      <c r="P6" s="114" t="s">
        <v>875</v>
      </c>
      <c r="Q6" s="114" t="s">
        <v>876</v>
      </c>
      <c r="R6" s="819"/>
      <c r="S6" s="805" t="s">
        <v>6</v>
      </c>
      <c r="T6" s="112" t="s">
        <v>18</v>
      </c>
      <c r="U6" s="112" t="s">
        <v>877</v>
      </c>
      <c r="V6" s="115" t="s">
        <v>19</v>
      </c>
      <c r="W6" s="112" t="s">
        <v>18</v>
      </c>
      <c r="X6" s="114" t="s">
        <v>926</v>
      </c>
      <c r="Y6" s="116" t="s">
        <v>879</v>
      </c>
      <c r="Z6" s="114" t="s">
        <v>18</v>
      </c>
      <c r="AA6" s="114" t="s">
        <v>927</v>
      </c>
      <c r="AB6" s="116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117" t="s">
        <v>23</v>
      </c>
      <c r="C8" s="118" t="s">
        <v>23</v>
      </c>
      <c r="D8" s="119"/>
      <c r="E8" s="119"/>
      <c r="F8" s="119"/>
      <c r="G8" s="119"/>
      <c r="H8" s="119"/>
      <c r="I8" s="119"/>
      <c r="J8" s="119"/>
      <c r="K8" s="119"/>
      <c r="L8" s="119" t="s">
        <v>24</v>
      </c>
      <c r="M8" s="120">
        <v>191203900000</v>
      </c>
      <c r="N8" s="120">
        <v>0</v>
      </c>
      <c r="O8" s="717">
        <v>0</v>
      </c>
      <c r="P8" s="120">
        <v>2793618614.3600001</v>
      </c>
      <c r="Q8" s="120">
        <v>2793618614.3600001</v>
      </c>
      <c r="R8" s="120">
        <v>10390000000</v>
      </c>
      <c r="S8" s="120">
        <v>180813900000</v>
      </c>
      <c r="T8" s="120">
        <v>104107433323.31</v>
      </c>
      <c r="U8" s="120">
        <v>76706466676.690002</v>
      </c>
      <c r="V8" s="121">
        <v>0.5757711842027079</v>
      </c>
      <c r="W8" s="120">
        <v>92083710048.949997</v>
      </c>
      <c r="X8" s="120">
        <v>12023723274.360001</v>
      </c>
      <c r="Y8" s="121">
        <v>0.1154934176219658</v>
      </c>
      <c r="Z8" s="120">
        <v>91585449571.610001</v>
      </c>
      <c r="AA8" s="120">
        <v>498260477.33999991</v>
      </c>
      <c r="AB8" s="718">
        <v>0.87972056027149903</v>
      </c>
    </row>
    <row r="9" spans="1:28" ht="24" customHeight="1">
      <c r="A9" s="32" t="e">
        <v>#REF!</v>
      </c>
      <c r="B9" s="122" t="s">
        <v>303</v>
      </c>
      <c r="C9" s="123" t="s">
        <v>23</v>
      </c>
      <c r="D9" s="123" t="s">
        <v>25</v>
      </c>
      <c r="E9" s="123"/>
      <c r="F9" s="123"/>
      <c r="G9" s="123"/>
      <c r="H9" s="123"/>
      <c r="I9" s="123"/>
      <c r="J9" s="124"/>
      <c r="K9" s="124"/>
      <c r="L9" s="124" t="s">
        <v>26</v>
      </c>
      <c r="M9" s="125">
        <v>118340000000</v>
      </c>
      <c r="N9" s="719">
        <v>0</v>
      </c>
      <c r="O9" s="719">
        <v>0</v>
      </c>
      <c r="P9" s="125">
        <v>400000000</v>
      </c>
      <c r="Q9" s="125">
        <v>400000000</v>
      </c>
      <c r="R9" s="719">
        <v>0</v>
      </c>
      <c r="S9" s="125">
        <v>118340000000</v>
      </c>
      <c r="T9" s="125">
        <v>69075935741</v>
      </c>
      <c r="U9" s="125">
        <v>49264064259</v>
      </c>
      <c r="V9" s="126">
        <v>0.58370741711171203</v>
      </c>
      <c r="W9" s="125">
        <v>67967432931</v>
      </c>
      <c r="X9" s="125">
        <v>1108502810</v>
      </c>
      <c r="Y9" s="126">
        <v>1.6047597446328166E-2</v>
      </c>
      <c r="Z9" s="125">
        <v>67967432931</v>
      </c>
      <c r="AA9" s="125">
        <v>0</v>
      </c>
      <c r="AB9" s="720">
        <v>0.98395240255367189</v>
      </c>
    </row>
    <row r="10" spans="1:28" ht="24" customHeight="1">
      <c r="A10" s="32" t="e">
        <v>#REF!</v>
      </c>
      <c r="B10" s="127" t="s">
        <v>305</v>
      </c>
      <c r="C10" s="128" t="s">
        <v>23</v>
      </c>
      <c r="D10" s="128" t="s">
        <v>25</v>
      </c>
      <c r="E10" s="128" t="s">
        <v>25</v>
      </c>
      <c r="F10" s="128"/>
      <c r="G10" s="128"/>
      <c r="H10" s="128"/>
      <c r="I10" s="128"/>
      <c r="J10" s="129"/>
      <c r="K10" s="129"/>
      <c r="L10" s="129" t="s">
        <v>27</v>
      </c>
      <c r="M10" s="130">
        <v>118340000000</v>
      </c>
      <c r="N10" s="721">
        <v>0</v>
      </c>
      <c r="O10" s="721">
        <v>0</v>
      </c>
      <c r="P10" s="130">
        <v>400000000</v>
      </c>
      <c r="Q10" s="130">
        <v>400000000</v>
      </c>
      <c r="R10" s="721">
        <v>0</v>
      </c>
      <c r="S10" s="130">
        <v>118340000000</v>
      </c>
      <c r="T10" s="130">
        <v>69075935741</v>
      </c>
      <c r="U10" s="130">
        <v>49264064259</v>
      </c>
      <c r="V10" s="131">
        <v>0.58370741711171203</v>
      </c>
      <c r="W10" s="130">
        <v>67967432931</v>
      </c>
      <c r="X10" s="130">
        <v>1108502810</v>
      </c>
      <c r="Y10" s="131">
        <v>1.6047597446328166E-2</v>
      </c>
      <c r="Z10" s="130">
        <v>67967432931</v>
      </c>
      <c r="AA10" s="130">
        <v>0</v>
      </c>
      <c r="AB10" s="722">
        <v>0.98395240255367189</v>
      </c>
    </row>
    <row r="11" spans="1:28" ht="24" customHeight="1">
      <c r="A11" s="32" t="e">
        <v>#REF!</v>
      </c>
      <c r="B11" s="132" t="s">
        <v>307</v>
      </c>
      <c r="C11" s="133" t="s">
        <v>23</v>
      </c>
      <c r="D11" s="133" t="s">
        <v>25</v>
      </c>
      <c r="E11" s="133" t="s">
        <v>25</v>
      </c>
      <c r="F11" s="133" t="s">
        <v>25</v>
      </c>
      <c r="G11" s="133"/>
      <c r="H11" s="133"/>
      <c r="I11" s="133"/>
      <c r="J11" s="133" t="s">
        <v>28</v>
      </c>
      <c r="K11" s="134" t="s">
        <v>29</v>
      </c>
      <c r="L11" s="134" t="s">
        <v>30</v>
      </c>
      <c r="M11" s="135">
        <v>81484000000</v>
      </c>
      <c r="N11" s="136">
        <v>0</v>
      </c>
      <c r="O11" s="136">
        <v>0</v>
      </c>
      <c r="P11" s="135">
        <v>400000000</v>
      </c>
      <c r="Q11" s="135">
        <v>400000000</v>
      </c>
      <c r="R11" s="136">
        <v>0</v>
      </c>
      <c r="S11" s="135">
        <v>81484000000</v>
      </c>
      <c r="T11" s="135">
        <v>44812687275</v>
      </c>
      <c r="U11" s="135">
        <v>36671312725</v>
      </c>
      <c r="V11" s="137">
        <v>0.54995689061656272</v>
      </c>
      <c r="W11" s="135">
        <v>44769019150</v>
      </c>
      <c r="X11" s="135">
        <v>43668125</v>
      </c>
      <c r="Y11" s="137">
        <v>9.7445896810480887E-4</v>
      </c>
      <c r="Z11" s="135">
        <v>44769019150</v>
      </c>
      <c r="AA11" s="135">
        <v>0</v>
      </c>
      <c r="AB11" s="723">
        <v>0.99902554103189523</v>
      </c>
    </row>
    <row r="12" spans="1:28" ht="24.95" customHeight="1">
      <c r="A12" s="32" t="e">
        <v>#REF!</v>
      </c>
      <c r="B12" s="138" t="s">
        <v>309</v>
      </c>
      <c r="C12" s="139" t="s">
        <v>23</v>
      </c>
      <c r="D12" s="139" t="s">
        <v>25</v>
      </c>
      <c r="E12" s="139" t="s">
        <v>25</v>
      </c>
      <c r="F12" s="139" t="s">
        <v>25</v>
      </c>
      <c r="G12" s="139" t="s">
        <v>31</v>
      </c>
      <c r="H12" s="139"/>
      <c r="I12" s="139"/>
      <c r="J12" s="139" t="s">
        <v>28</v>
      </c>
      <c r="K12" s="140" t="s">
        <v>29</v>
      </c>
      <c r="L12" s="140" t="s">
        <v>32</v>
      </c>
      <c r="M12" s="141">
        <v>81484000000</v>
      </c>
      <c r="N12" s="142">
        <v>0</v>
      </c>
      <c r="O12" s="142">
        <v>0</v>
      </c>
      <c r="P12" s="141">
        <v>400000000</v>
      </c>
      <c r="Q12" s="141">
        <v>400000000</v>
      </c>
      <c r="R12" s="142">
        <v>0</v>
      </c>
      <c r="S12" s="141">
        <v>81484000000</v>
      </c>
      <c r="T12" s="141">
        <v>44812687275</v>
      </c>
      <c r="U12" s="141">
        <v>36671312725</v>
      </c>
      <c r="V12" s="143">
        <v>0.54995689061656272</v>
      </c>
      <c r="W12" s="141">
        <v>44769019150</v>
      </c>
      <c r="X12" s="141">
        <v>43668125</v>
      </c>
      <c r="Y12" s="143">
        <v>9.7445896810480887E-4</v>
      </c>
      <c r="Z12" s="141">
        <v>44769019150</v>
      </c>
      <c r="AA12" s="141">
        <v>0</v>
      </c>
      <c r="AB12" s="724">
        <v>0.99902554103189523</v>
      </c>
    </row>
    <row r="13" spans="1:28" ht="24.95" customHeight="1">
      <c r="A13" s="32" t="e">
        <v>#REF!</v>
      </c>
      <c r="B13" s="144" t="s">
        <v>311</v>
      </c>
      <c r="C13" s="145" t="s">
        <v>23</v>
      </c>
      <c r="D13" s="145" t="s">
        <v>25</v>
      </c>
      <c r="E13" s="145" t="s">
        <v>25</v>
      </c>
      <c r="F13" s="145" t="s">
        <v>25</v>
      </c>
      <c r="G13" s="145" t="s">
        <v>31</v>
      </c>
      <c r="H13" s="145" t="s">
        <v>31</v>
      </c>
      <c r="I13" s="145"/>
      <c r="J13" s="145" t="s">
        <v>28</v>
      </c>
      <c r="K13" s="146" t="s">
        <v>29</v>
      </c>
      <c r="L13" s="147" t="s">
        <v>33</v>
      </c>
      <c r="M13" s="148">
        <v>67075000000</v>
      </c>
      <c r="N13" s="148"/>
      <c r="O13" s="148"/>
      <c r="P13" s="148"/>
      <c r="Q13" s="148"/>
      <c r="R13" s="149"/>
      <c r="S13" s="148">
        <v>67075000000</v>
      </c>
      <c r="T13" s="148">
        <v>38217613566</v>
      </c>
      <c r="U13" s="148">
        <v>28857386434</v>
      </c>
      <c r="V13" s="150">
        <v>0.56977433568393587</v>
      </c>
      <c r="W13" s="148">
        <v>38192841738</v>
      </c>
      <c r="X13" s="148">
        <v>24771828</v>
      </c>
      <c r="Y13" s="150">
        <v>6.4817830546170109E-4</v>
      </c>
      <c r="Z13" s="148">
        <v>38192841738</v>
      </c>
      <c r="AA13" s="148">
        <v>0</v>
      </c>
      <c r="AB13" s="150">
        <v>0.99935182169453829</v>
      </c>
    </row>
    <row r="14" spans="1:28" ht="24.95" customHeight="1">
      <c r="A14" s="32" t="e">
        <v>#REF!</v>
      </c>
      <c r="B14" s="144" t="s">
        <v>313</v>
      </c>
      <c r="C14" s="145" t="s">
        <v>23</v>
      </c>
      <c r="D14" s="145" t="s">
        <v>25</v>
      </c>
      <c r="E14" s="145" t="s">
        <v>25</v>
      </c>
      <c r="F14" s="145" t="s">
        <v>25</v>
      </c>
      <c r="G14" s="145" t="s">
        <v>31</v>
      </c>
      <c r="H14" s="145" t="s">
        <v>34</v>
      </c>
      <c r="I14" s="145"/>
      <c r="J14" s="145" t="s">
        <v>28</v>
      </c>
      <c r="K14" s="146" t="s">
        <v>29</v>
      </c>
      <c r="L14" s="147" t="s">
        <v>35</v>
      </c>
      <c r="M14" s="148">
        <v>298000000</v>
      </c>
      <c r="N14" s="148"/>
      <c r="O14" s="148"/>
      <c r="P14" s="148"/>
      <c r="Q14" s="148"/>
      <c r="R14" s="148"/>
      <c r="S14" s="148">
        <v>298000000</v>
      </c>
      <c r="T14" s="148">
        <v>166387643</v>
      </c>
      <c r="U14" s="148">
        <v>131612357</v>
      </c>
      <c r="V14" s="150">
        <v>0.55834779530201339</v>
      </c>
      <c r="W14" s="148">
        <v>164730546</v>
      </c>
      <c r="X14" s="148">
        <v>1657097</v>
      </c>
      <c r="Y14" s="150">
        <v>9.9592552074314802E-3</v>
      </c>
      <c r="Z14" s="148">
        <v>164730546</v>
      </c>
      <c r="AA14" s="148">
        <v>0</v>
      </c>
      <c r="AB14" s="150">
        <v>0.99004074479256854</v>
      </c>
    </row>
    <row r="15" spans="1:28" ht="24.95" customHeight="1">
      <c r="A15" s="32" t="e">
        <v>#REF!</v>
      </c>
      <c r="B15" s="144" t="s">
        <v>315</v>
      </c>
      <c r="C15" s="145" t="s">
        <v>23</v>
      </c>
      <c r="D15" s="145" t="s">
        <v>25</v>
      </c>
      <c r="E15" s="145" t="s">
        <v>25</v>
      </c>
      <c r="F15" s="145" t="s">
        <v>25</v>
      </c>
      <c r="G15" s="145" t="s">
        <v>31</v>
      </c>
      <c r="H15" s="145" t="s">
        <v>36</v>
      </c>
      <c r="I15" s="145"/>
      <c r="J15" s="145" t="s">
        <v>28</v>
      </c>
      <c r="K15" s="146" t="s">
        <v>29</v>
      </c>
      <c r="L15" s="147" t="s">
        <v>37</v>
      </c>
      <c r="M15" s="148">
        <v>540000000</v>
      </c>
      <c r="N15" s="148"/>
      <c r="O15" s="148"/>
      <c r="P15" s="148"/>
      <c r="Q15" s="148"/>
      <c r="R15" s="148"/>
      <c r="S15" s="148">
        <v>540000000</v>
      </c>
      <c r="T15" s="148">
        <v>248633509</v>
      </c>
      <c r="U15" s="148">
        <v>291366491</v>
      </c>
      <c r="V15" s="150">
        <v>0.46043242407407409</v>
      </c>
      <c r="W15" s="148">
        <v>246606700</v>
      </c>
      <c r="X15" s="148">
        <v>2026809</v>
      </c>
      <c r="Y15" s="150">
        <v>8.1517934093107303E-3</v>
      </c>
      <c r="Z15" s="148">
        <v>246606700</v>
      </c>
      <c r="AA15" s="148">
        <v>0</v>
      </c>
      <c r="AB15" s="150">
        <v>0.99184820659068929</v>
      </c>
    </row>
    <row r="16" spans="1:28" ht="24.95" customHeight="1">
      <c r="A16" s="32" t="e">
        <v>#REF!</v>
      </c>
      <c r="B16" s="144" t="s">
        <v>317</v>
      </c>
      <c r="C16" s="145" t="s">
        <v>23</v>
      </c>
      <c r="D16" s="145" t="s">
        <v>25</v>
      </c>
      <c r="E16" s="145" t="s">
        <v>25</v>
      </c>
      <c r="F16" s="145" t="s">
        <v>25</v>
      </c>
      <c r="G16" s="145" t="s">
        <v>31</v>
      </c>
      <c r="H16" s="145" t="s">
        <v>38</v>
      </c>
      <c r="I16" s="145"/>
      <c r="J16" s="145" t="s">
        <v>28</v>
      </c>
      <c r="K16" s="146" t="s">
        <v>29</v>
      </c>
      <c r="L16" s="147" t="s">
        <v>39</v>
      </c>
      <c r="M16" s="148">
        <v>96000000</v>
      </c>
      <c r="N16" s="148"/>
      <c r="O16" s="148"/>
      <c r="P16" s="148"/>
      <c r="Q16" s="148"/>
      <c r="R16" s="148"/>
      <c r="S16" s="148">
        <v>96000000</v>
      </c>
      <c r="T16" s="148">
        <v>59223223</v>
      </c>
      <c r="U16" s="148">
        <v>36776777</v>
      </c>
      <c r="V16" s="150">
        <v>0.61690857291666668</v>
      </c>
      <c r="W16" s="148">
        <v>59223223</v>
      </c>
      <c r="X16" s="148">
        <v>0</v>
      </c>
      <c r="Y16" s="150">
        <v>0</v>
      </c>
      <c r="Z16" s="148">
        <v>59223223</v>
      </c>
      <c r="AA16" s="148">
        <v>0</v>
      </c>
      <c r="AB16" s="150">
        <v>1</v>
      </c>
    </row>
    <row r="17" spans="1:54" ht="24.95" customHeight="1">
      <c r="A17" s="32" t="e">
        <v>#REF!</v>
      </c>
      <c r="B17" s="144" t="s">
        <v>319</v>
      </c>
      <c r="C17" s="145" t="s">
        <v>23</v>
      </c>
      <c r="D17" s="145" t="s">
        <v>25</v>
      </c>
      <c r="E17" s="145" t="s">
        <v>25</v>
      </c>
      <c r="F17" s="145" t="s">
        <v>25</v>
      </c>
      <c r="G17" s="145" t="s">
        <v>31</v>
      </c>
      <c r="H17" s="145" t="s">
        <v>40</v>
      </c>
      <c r="I17" s="145"/>
      <c r="J17" s="145" t="s">
        <v>28</v>
      </c>
      <c r="K17" s="146" t="s">
        <v>29</v>
      </c>
      <c r="L17" s="147" t="s">
        <v>41</v>
      </c>
      <c r="M17" s="148">
        <v>100000000</v>
      </c>
      <c r="N17" s="148"/>
      <c r="O17" s="148"/>
      <c r="P17" s="148"/>
      <c r="Q17" s="148"/>
      <c r="R17" s="148"/>
      <c r="S17" s="148">
        <v>100000000</v>
      </c>
      <c r="T17" s="148">
        <v>88550793</v>
      </c>
      <c r="U17" s="148">
        <v>11449207</v>
      </c>
      <c r="V17" s="150">
        <v>0.88550793000000005</v>
      </c>
      <c r="W17" s="148">
        <v>80844780</v>
      </c>
      <c r="X17" s="148">
        <v>7706013</v>
      </c>
      <c r="Y17" s="150">
        <v>8.7023647546555574E-2</v>
      </c>
      <c r="Z17" s="148">
        <v>80844780</v>
      </c>
      <c r="AA17" s="148">
        <v>0</v>
      </c>
      <c r="AB17" s="150">
        <v>0.91297635245344444</v>
      </c>
    </row>
    <row r="18" spans="1:54" ht="24.95" customHeight="1">
      <c r="A18" s="32" t="e">
        <v>#REF!</v>
      </c>
      <c r="B18" s="144" t="s">
        <v>321</v>
      </c>
      <c r="C18" s="145" t="s">
        <v>23</v>
      </c>
      <c r="D18" s="145" t="s">
        <v>25</v>
      </c>
      <c r="E18" s="145" t="s">
        <v>25</v>
      </c>
      <c r="F18" s="145" t="s">
        <v>25</v>
      </c>
      <c r="G18" s="145" t="s">
        <v>31</v>
      </c>
      <c r="H18" s="145" t="s">
        <v>42</v>
      </c>
      <c r="I18" s="145"/>
      <c r="J18" s="145" t="s">
        <v>28</v>
      </c>
      <c r="K18" s="146" t="s">
        <v>29</v>
      </c>
      <c r="L18" s="147" t="s">
        <v>43</v>
      </c>
      <c r="M18" s="148">
        <v>2650000000</v>
      </c>
      <c r="N18" s="148"/>
      <c r="O18" s="148"/>
      <c r="P18" s="148">
        <v>400000000</v>
      </c>
      <c r="Q18" s="148"/>
      <c r="R18" s="148"/>
      <c r="S18" s="148">
        <v>3050000000</v>
      </c>
      <c r="T18" s="148">
        <v>2727404873</v>
      </c>
      <c r="U18" s="148">
        <v>322595127</v>
      </c>
      <c r="V18" s="150">
        <v>0.89423110590163934</v>
      </c>
      <c r="W18" s="148">
        <v>2723979988</v>
      </c>
      <c r="X18" s="148">
        <v>3424885</v>
      </c>
      <c r="Y18" s="150">
        <v>1.2557303222212144E-3</v>
      </c>
      <c r="Z18" s="148">
        <v>2723979988</v>
      </c>
      <c r="AA18" s="148">
        <v>0</v>
      </c>
      <c r="AB18" s="150">
        <v>0.99874426967777874</v>
      </c>
    </row>
    <row r="19" spans="1:54" ht="24.95" customHeight="1">
      <c r="A19" s="32" t="e">
        <v>#REF!</v>
      </c>
      <c r="B19" s="144" t="s">
        <v>323</v>
      </c>
      <c r="C19" s="145" t="s">
        <v>23</v>
      </c>
      <c r="D19" s="145" t="s">
        <v>25</v>
      </c>
      <c r="E19" s="145" t="s">
        <v>25</v>
      </c>
      <c r="F19" s="145" t="s">
        <v>25</v>
      </c>
      <c r="G19" s="145" t="s">
        <v>31</v>
      </c>
      <c r="H19" s="145" t="s">
        <v>44</v>
      </c>
      <c r="I19" s="145"/>
      <c r="J19" s="145" t="s">
        <v>28</v>
      </c>
      <c r="K19" s="146" t="s">
        <v>29</v>
      </c>
      <c r="L19" s="147" t="s">
        <v>45</v>
      </c>
      <c r="M19" s="148">
        <v>1850000000</v>
      </c>
      <c r="N19" s="148"/>
      <c r="O19" s="148"/>
      <c r="P19" s="148"/>
      <c r="Q19" s="148"/>
      <c r="R19" s="148"/>
      <c r="S19" s="148">
        <v>1850000000</v>
      </c>
      <c r="T19" s="148">
        <v>1315994492</v>
      </c>
      <c r="U19" s="148">
        <v>534005508</v>
      </c>
      <c r="V19" s="150">
        <v>0.71134837405405404</v>
      </c>
      <c r="W19" s="148">
        <v>1315994492</v>
      </c>
      <c r="X19" s="148">
        <v>0</v>
      </c>
      <c r="Y19" s="150">
        <v>0</v>
      </c>
      <c r="Z19" s="148">
        <v>1315994492</v>
      </c>
      <c r="AA19" s="148">
        <v>0</v>
      </c>
      <c r="AB19" s="150">
        <v>1</v>
      </c>
    </row>
    <row r="20" spans="1:54" ht="24.95" customHeight="1">
      <c r="A20" s="32" t="e">
        <v>#REF!</v>
      </c>
      <c r="B20" s="144" t="s">
        <v>325</v>
      </c>
      <c r="C20" s="145" t="s">
        <v>23</v>
      </c>
      <c r="D20" s="145" t="s">
        <v>25</v>
      </c>
      <c r="E20" s="145" t="s">
        <v>25</v>
      </c>
      <c r="F20" s="145" t="s">
        <v>25</v>
      </c>
      <c r="G20" s="145" t="s">
        <v>31</v>
      </c>
      <c r="H20" s="145" t="s">
        <v>46</v>
      </c>
      <c r="I20" s="145"/>
      <c r="J20" s="145" t="s">
        <v>28</v>
      </c>
      <c r="K20" s="146" t="s">
        <v>29</v>
      </c>
      <c r="L20" s="147" t="s">
        <v>47</v>
      </c>
      <c r="M20" s="148">
        <v>140000000</v>
      </c>
      <c r="N20" s="148"/>
      <c r="O20" s="148"/>
      <c r="P20" s="148"/>
      <c r="Q20" s="148"/>
      <c r="R20" s="148"/>
      <c r="S20" s="148">
        <v>140000000</v>
      </c>
      <c r="T20" s="148">
        <v>84360371</v>
      </c>
      <c r="U20" s="148">
        <v>55639629</v>
      </c>
      <c r="V20" s="150">
        <v>0.60257407857142853</v>
      </c>
      <c r="W20" s="148">
        <v>84360371</v>
      </c>
      <c r="X20" s="148">
        <v>0</v>
      </c>
      <c r="Y20" s="150">
        <v>0</v>
      </c>
      <c r="Z20" s="148">
        <v>84360371</v>
      </c>
      <c r="AA20" s="148">
        <v>0</v>
      </c>
      <c r="AB20" s="150">
        <v>1</v>
      </c>
    </row>
    <row r="21" spans="1:54" ht="24.95" customHeight="1">
      <c r="A21" s="32" t="e">
        <v>#REF!</v>
      </c>
      <c r="B21" s="144" t="s">
        <v>327</v>
      </c>
      <c r="C21" s="145" t="s">
        <v>23</v>
      </c>
      <c r="D21" s="145" t="s">
        <v>25</v>
      </c>
      <c r="E21" s="145" t="s">
        <v>25</v>
      </c>
      <c r="F21" s="145" t="s">
        <v>25</v>
      </c>
      <c r="G21" s="145" t="s">
        <v>31</v>
      </c>
      <c r="H21" s="145" t="s">
        <v>48</v>
      </c>
      <c r="I21" s="145"/>
      <c r="J21" s="145" t="s">
        <v>28</v>
      </c>
      <c r="K21" s="146" t="s">
        <v>29</v>
      </c>
      <c r="L21" s="147" t="s">
        <v>49</v>
      </c>
      <c r="M21" s="148">
        <v>5900000000</v>
      </c>
      <c r="N21" s="148"/>
      <c r="O21" s="148"/>
      <c r="P21" s="148"/>
      <c r="Q21" s="148">
        <v>400000000</v>
      </c>
      <c r="R21" s="148"/>
      <c r="S21" s="148">
        <v>5500000000</v>
      </c>
      <c r="T21" s="148">
        <v>100673845</v>
      </c>
      <c r="U21" s="148">
        <v>5399326155</v>
      </c>
      <c r="V21" s="150">
        <v>1.8304335454545455E-2</v>
      </c>
      <c r="W21" s="148">
        <v>100673845</v>
      </c>
      <c r="X21" s="148">
        <v>0</v>
      </c>
      <c r="Y21" s="150">
        <v>0</v>
      </c>
      <c r="Z21" s="148">
        <v>100673845</v>
      </c>
      <c r="AA21" s="148">
        <v>0</v>
      </c>
      <c r="AB21" s="150">
        <v>1</v>
      </c>
    </row>
    <row r="22" spans="1:54" ht="24.95" customHeight="1">
      <c r="A22" s="32" t="e">
        <v>#REF!</v>
      </c>
      <c r="B22" s="144" t="s">
        <v>329</v>
      </c>
      <c r="C22" s="145" t="s">
        <v>23</v>
      </c>
      <c r="D22" s="145" t="s">
        <v>25</v>
      </c>
      <c r="E22" s="145" t="s">
        <v>25</v>
      </c>
      <c r="F22" s="145" t="s">
        <v>25</v>
      </c>
      <c r="G22" s="145" t="s">
        <v>31</v>
      </c>
      <c r="H22" s="145" t="s">
        <v>50</v>
      </c>
      <c r="I22" s="145"/>
      <c r="J22" s="145" t="s">
        <v>28</v>
      </c>
      <c r="K22" s="146" t="s">
        <v>29</v>
      </c>
      <c r="L22" s="147" t="s">
        <v>51</v>
      </c>
      <c r="M22" s="148">
        <v>2800000000</v>
      </c>
      <c r="N22" s="148"/>
      <c r="O22" s="148"/>
      <c r="P22" s="148"/>
      <c r="Q22" s="148"/>
      <c r="R22" s="148"/>
      <c r="S22" s="148">
        <v>2800000000</v>
      </c>
      <c r="T22" s="148">
        <v>1792760488</v>
      </c>
      <c r="U22" s="148">
        <v>1007239512</v>
      </c>
      <c r="V22" s="150">
        <v>0.64027160285714291</v>
      </c>
      <c r="W22" s="148">
        <v>1792760488</v>
      </c>
      <c r="X22" s="148">
        <v>0</v>
      </c>
      <c r="Y22" s="150">
        <v>0</v>
      </c>
      <c r="Z22" s="148">
        <v>1792760488</v>
      </c>
      <c r="AA22" s="148">
        <v>0</v>
      </c>
      <c r="AB22" s="150">
        <v>1</v>
      </c>
    </row>
    <row r="23" spans="1:54" s="64" customFormat="1" ht="24.95" customHeight="1">
      <c r="A23" s="32" t="e">
        <v>#REF!</v>
      </c>
      <c r="B23" s="144" t="s">
        <v>553</v>
      </c>
      <c r="C23" s="145" t="s">
        <v>23</v>
      </c>
      <c r="D23" s="145" t="s">
        <v>25</v>
      </c>
      <c r="E23" s="145" t="s">
        <v>25</v>
      </c>
      <c r="F23" s="145" t="s">
        <v>25</v>
      </c>
      <c r="G23" s="145" t="s">
        <v>31</v>
      </c>
      <c r="H23" s="151" t="s">
        <v>52</v>
      </c>
      <c r="I23" s="145"/>
      <c r="J23" s="145" t="s">
        <v>28</v>
      </c>
      <c r="K23" s="146" t="s">
        <v>29</v>
      </c>
      <c r="L23" s="147" t="s">
        <v>53</v>
      </c>
      <c r="M23" s="148">
        <v>35000000</v>
      </c>
      <c r="N23" s="148"/>
      <c r="O23" s="148"/>
      <c r="P23" s="148"/>
      <c r="Q23" s="148"/>
      <c r="R23" s="148"/>
      <c r="S23" s="148">
        <v>35000000</v>
      </c>
      <c r="T23" s="148">
        <v>11084472</v>
      </c>
      <c r="U23" s="148">
        <v>23915528</v>
      </c>
      <c r="V23" s="150">
        <v>0.31669920000000001</v>
      </c>
      <c r="W23" s="148">
        <v>7002979</v>
      </c>
      <c r="X23" s="148">
        <v>4081493</v>
      </c>
      <c r="Y23" s="150">
        <v>0.36821717804871534</v>
      </c>
      <c r="Z23" s="148">
        <v>7002979</v>
      </c>
      <c r="AA23" s="148">
        <v>0</v>
      </c>
      <c r="AB23" s="150">
        <v>0.63178282195128466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.95" customHeight="1">
      <c r="A24" s="32" t="e">
        <v>#REF!</v>
      </c>
      <c r="B24" s="132" t="s">
        <v>331</v>
      </c>
      <c r="C24" s="133" t="s">
        <v>23</v>
      </c>
      <c r="D24" s="133" t="s">
        <v>25</v>
      </c>
      <c r="E24" s="133" t="s">
        <v>25</v>
      </c>
      <c r="F24" s="133" t="s">
        <v>54</v>
      </c>
      <c r="G24" s="134"/>
      <c r="H24" s="134"/>
      <c r="I24" s="134"/>
      <c r="J24" s="133" t="s">
        <v>28</v>
      </c>
      <c r="K24" s="134" t="s">
        <v>29</v>
      </c>
      <c r="L24" s="134" t="s">
        <v>55</v>
      </c>
      <c r="M24" s="135">
        <v>29242000000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5">
        <v>29242000000</v>
      </c>
      <c r="T24" s="135">
        <v>18517058000</v>
      </c>
      <c r="U24" s="135">
        <v>10724942000</v>
      </c>
      <c r="V24" s="137">
        <v>0.63323500444566039</v>
      </c>
      <c r="W24" s="135">
        <v>17462740724</v>
      </c>
      <c r="X24" s="135">
        <v>1054317276</v>
      </c>
      <c r="Y24" s="137">
        <v>5.6937623460487079E-2</v>
      </c>
      <c r="Z24" s="135">
        <v>17462740724</v>
      </c>
      <c r="AA24" s="136">
        <v>0</v>
      </c>
      <c r="AB24" s="723">
        <v>0.94306237653951297</v>
      </c>
    </row>
    <row r="25" spans="1:54" ht="24.95" customHeight="1">
      <c r="A25" s="32" t="e">
        <v>#REF!</v>
      </c>
      <c r="B25" s="144" t="s">
        <v>333</v>
      </c>
      <c r="C25" s="145" t="s">
        <v>23</v>
      </c>
      <c r="D25" s="145" t="s">
        <v>25</v>
      </c>
      <c r="E25" s="145" t="s">
        <v>25</v>
      </c>
      <c r="F25" s="145" t="s">
        <v>54</v>
      </c>
      <c r="G25" s="145" t="s">
        <v>31</v>
      </c>
      <c r="H25" s="145"/>
      <c r="I25" s="145"/>
      <c r="J25" s="145" t="s">
        <v>28</v>
      </c>
      <c r="K25" s="146" t="s">
        <v>29</v>
      </c>
      <c r="L25" s="147" t="s">
        <v>56</v>
      </c>
      <c r="M25" s="148">
        <v>8897400000</v>
      </c>
      <c r="N25" s="148"/>
      <c r="O25" s="148"/>
      <c r="P25" s="148"/>
      <c r="Q25" s="148"/>
      <c r="R25" s="148"/>
      <c r="S25" s="148">
        <v>8897400000</v>
      </c>
      <c r="T25" s="148">
        <v>5169481500</v>
      </c>
      <c r="U25" s="148">
        <v>3727918500</v>
      </c>
      <c r="V25" s="150">
        <v>0.58101035133859324</v>
      </c>
      <c r="W25" s="148">
        <v>5169481500</v>
      </c>
      <c r="X25" s="148">
        <v>0</v>
      </c>
      <c r="Y25" s="150">
        <v>0</v>
      </c>
      <c r="Z25" s="148">
        <v>5169481500</v>
      </c>
      <c r="AA25" s="148">
        <v>0</v>
      </c>
      <c r="AB25" s="150">
        <v>1</v>
      </c>
    </row>
    <row r="26" spans="1:54" ht="24.95" customHeight="1">
      <c r="A26" s="32" t="e">
        <v>#REF!</v>
      </c>
      <c r="B26" s="144" t="s">
        <v>335</v>
      </c>
      <c r="C26" s="145" t="s">
        <v>23</v>
      </c>
      <c r="D26" s="145" t="s">
        <v>25</v>
      </c>
      <c r="E26" s="145" t="s">
        <v>25</v>
      </c>
      <c r="F26" s="145" t="s">
        <v>54</v>
      </c>
      <c r="G26" s="145" t="s">
        <v>34</v>
      </c>
      <c r="H26" s="145"/>
      <c r="I26" s="145"/>
      <c r="J26" s="145" t="s">
        <v>28</v>
      </c>
      <c r="K26" s="146" t="s">
        <v>29</v>
      </c>
      <c r="L26" s="147" t="s">
        <v>57</v>
      </c>
      <c r="M26" s="148">
        <v>6302400000</v>
      </c>
      <c r="N26" s="148"/>
      <c r="O26" s="148"/>
      <c r="P26" s="148"/>
      <c r="Q26" s="148"/>
      <c r="R26" s="148"/>
      <c r="S26" s="148">
        <v>6302400000</v>
      </c>
      <c r="T26" s="148">
        <v>3679309300</v>
      </c>
      <c r="U26" s="148">
        <v>2623090700</v>
      </c>
      <c r="V26" s="150">
        <v>0.58379495112972835</v>
      </c>
      <c r="W26" s="148">
        <v>3679309300</v>
      </c>
      <c r="X26" s="148">
        <v>0</v>
      </c>
      <c r="Y26" s="150">
        <v>0</v>
      </c>
      <c r="Z26" s="148">
        <v>3679309300</v>
      </c>
      <c r="AA26" s="148">
        <v>0</v>
      </c>
      <c r="AB26" s="150">
        <v>1</v>
      </c>
    </row>
    <row r="27" spans="1:54" ht="24.95" customHeight="1">
      <c r="A27" s="32" t="e">
        <v>#REF!</v>
      </c>
      <c r="B27" s="144" t="s">
        <v>337</v>
      </c>
      <c r="C27" s="145" t="s">
        <v>23</v>
      </c>
      <c r="D27" s="145" t="s">
        <v>25</v>
      </c>
      <c r="E27" s="145" t="s">
        <v>25</v>
      </c>
      <c r="F27" s="145" t="s">
        <v>54</v>
      </c>
      <c r="G27" s="145" t="s">
        <v>36</v>
      </c>
      <c r="H27" s="145"/>
      <c r="I27" s="145"/>
      <c r="J27" s="145" t="s">
        <v>28</v>
      </c>
      <c r="K27" s="146" t="s">
        <v>29</v>
      </c>
      <c r="L27" s="147" t="s">
        <v>58</v>
      </c>
      <c r="M27" s="148">
        <v>6109700000</v>
      </c>
      <c r="N27" s="148"/>
      <c r="O27" s="148"/>
      <c r="P27" s="148"/>
      <c r="Q27" s="148"/>
      <c r="R27" s="148"/>
      <c r="S27" s="148">
        <v>6109700000</v>
      </c>
      <c r="T27" s="148">
        <v>5000000000</v>
      </c>
      <c r="U27" s="148">
        <v>1109700000</v>
      </c>
      <c r="V27" s="150">
        <v>0.8183707874363717</v>
      </c>
      <c r="W27" s="148">
        <v>3945682724</v>
      </c>
      <c r="X27" s="148">
        <v>1054317276</v>
      </c>
      <c r="Y27" s="150">
        <v>0.21086345519999999</v>
      </c>
      <c r="Z27" s="148">
        <v>3945682724</v>
      </c>
      <c r="AA27" s="148">
        <v>0</v>
      </c>
      <c r="AB27" s="150">
        <v>0.78913654479999995</v>
      </c>
    </row>
    <row r="28" spans="1:54" ht="24.95" customHeight="1">
      <c r="A28" s="32" t="e">
        <v>#REF!</v>
      </c>
      <c r="B28" s="144" t="s">
        <v>339</v>
      </c>
      <c r="C28" s="145" t="s">
        <v>23</v>
      </c>
      <c r="D28" s="145" t="s">
        <v>25</v>
      </c>
      <c r="E28" s="145" t="s">
        <v>25</v>
      </c>
      <c r="F28" s="145" t="s">
        <v>54</v>
      </c>
      <c r="G28" s="145" t="s">
        <v>38</v>
      </c>
      <c r="H28" s="145"/>
      <c r="I28" s="145"/>
      <c r="J28" s="145" t="s">
        <v>28</v>
      </c>
      <c r="K28" s="146" t="s">
        <v>29</v>
      </c>
      <c r="L28" s="147" t="s">
        <v>59</v>
      </c>
      <c r="M28" s="148">
        <v>3187700000</v>
      </c>
      <c r="N28" s="148"/>
      <c r="O28" s="148"/>
      <c r="P28" s="148"/>
      <c r="Q28" s="148"/>
      <c r="R28" s="148"/>
      <c r="S28" s="148">
        <v>3187700000</v>
      </c>
      <c r="T28" s="148">
        <v>1894801100</v>
      </c>
      <c r="U28" s="148">
        <v>1292898900</v>
      </c>
      <c r="V28" s="150">
        <v>0.5944101076010917</v>
      </c>
      <c r="W28" s="148">
        <v>1894801100</v>
      </c>
      <c r="X28" s="148">
        <v>0</v>
      </c>
      <c r="Y28" s="150">
        <v>0</v>
      </c>
      <c r="Z28" s="148">
        <v>1894801100</v>
      </c>
      <c r="AA28" s="148">
        <v>0</v>
      </c>
      <c r="AB28" s="150">
        <v>1</v>
      </c>
    </row>
    <row r="29" spans="1:54" ht="24.95" customHeight="1">
      <c r="A29" s="32" t="e">
        <v>#REF!</v>
      </c>
      <c r="B29" s="144" t="s">
        <v>341</v>
      </c>
      <c r="C29" s="145" t="s">
        <v>23</v>
      </c>
      <c r="D29" s="145" t="s">
        <v>25</v>
      </c>
      <c r="E29" s="145" t="s">
        <v>25</v>
      </c>
      <c r="F29" s="145" t="s">
        <v>54</v>
      </c>
      <c r="G29" s="145" t="s">
        <v>40</v>
      </c>
      <c r="H29" s="145"/>
      <c r="I29" s="145"/>
      <c r="J29" s="145" t="s">
        <v>28</v>
      </c>
      <c r="K29" s="146" t="s">
        <v>29</v>
      </c>
      <c r="L29" s="147" t="s">
        <v>60</v>
      </c>
      <c r="M29" s="148">
        <v>720000000</v>
      </c>
      <c r="N29" s="148"/>
      <c r="O29" s="148"/>
      <c r="P29" s="148"/>
      <c r="Q29" s="148"/>
      <c r="R29" s="148"/>
      <c r="S29" s="148">
        <v>720000000</v>
      </c>
      <c r="T29" s="148">
        <v>403910000</v>
      </c>
      <c r="U29" s="148">
        <v>316090000</v>
      </c>
      <c r="V29" s="150">
        <v>0.56098611111111107</v>
      </c>
      <c r="W29" s="148">
        <v>403910000</v>
      </c>
      <c r="X29" s="148">
        <v>0</v>
      </c>
      <c r="Y29" s="150">
        <v>0</v>
      </c>
      <c r="Z29" s="148">
        <v>403910000</v>
      </c>
      <c r="AA29" s="148">
        <v>0</v>
      </c>
      <c r="AB29" s="150">
        <v>1</v>
      </c>
    </row>
    <row r="30" spans="1:54" ht="24.95" customHeight="1">
      <c r="A30" s="32" t="e">
        <v>#REF!</v>
      </c>
      <c r="B30" s="144" t="s">
        <v>343</v>
      </c>
      <c r="C30" s="145" t="s">
        <v>23</v>
      </c>
      <c r="D30" s="145" t="s">
        <v>25</v>
      </c>
      <c r="E30" s="145" t="s">
        <v>25</v>
      </c>
      <c r="F30" s="145" t="s">
        <v>54</v>
      </c>
      <c r="G30" s="145" t="s">
        <v>42</v>
      </c>
      <c r="H30" s="145"/>
      <c r="I30" s="145"/>
      <c r="J30" s="145" t="s">
        <v>28</v>
      </c>
      <c r="K30" s="146" t="s">
        <v>29</v>
      </c>
      <c r="L30" s="147" t="s">
        <v>61</v>
      </c>
      <c r="M30" s="148">
        <v>2414800000</v>
      </c>
      <c r="N30" s="148"/>
      <c r="O30" s="148"/>
      <c r="P30" s="148"/>
      <c r="Q30" s="148"/>
      <c r="R30" s="148"/>
      <c r="S30" s="148">
        <v>2414800000</v>
      </c>
      <c r="T30" s="148">
        <v>1421164100</v>
      </c>
      <c r="U30" s="148">
        <v>993635900</v>
      </c>
      <c r="V30" s="150">
        <v>0.58852248633427195</v>
      </c>
      <c r="W30" s="148">
        <v>1421164100</v>
      </c>
      <c r="X30" s="148">
        <v>0</v>
      </c>
      <c r="Y30" s="150">
        <v>0</v>
      </c>
      <c r="Z30" s="148">
        <v>1421164100</v>
      </c>
      <c r="AA30" s="148">
        <v>0</v>
      </c>
      <c r="AB30" s="150">
        <v>1</v>
      </c>
    </row>
    <row r="31" spans="1:54" ht="24.95" customHeight="1">
      <c r="A31" s="32" t="e">
        <v>#REF!</v>
      </c>
      <c r="B31" s="144" t="s">
        <v>345</v>
      </c>
      <c r="C31" s="145" t="s">
        <v>23</v>
      </c>
      <c r="D31" s="145" t="s">
        <v>25</v>
      </c>
      <c r="E31" s="145" t="s">
        <v>25</v>
      </c>
      <c r="F31" s="145" t="s">
        <v>54</v>
      </c>
      <c r="G31" s="145" t="s">
        <v>44</v>
      </c>
      <c r="H31" s="145"/>
      <c r="I31" s="145"/>
      <c r="J31" s="145" t="s">
        <v>28</v>
      </c>
      <c r="K31" s="146" t="s">
        <v>29</v>
      </c>
      <c r="L31" s="147" t="s">
        <v>62</v>
      </c>
      <c r="M31" s="148">
        <v>402500000</v>
      </c>
      <c r="N31" s="148"/>
      <c r="O31" s="148"/>
      <c r="P31" s="148"/>
      <c r="Q31" s="148"/>
      <c r="R31" s="148"/>
      <c r="S31" s="148">
        <v>402500000</v>
      </c>
      <c r="T31" s="148">
        <v>237184700</v>
      </c>
      <c r="U31" s="148">
        <v>165315300</v>
      </c>
      <c r="V31" s="150">
        <v>0.5892787577639752</v>
      </c>
      <c r="W31" s="148">
        <v>237184700</v>
      </c>
      <c r="X31" s="148">
        <v>0</v>
      </c>
      <c r="Y31" s="150">
        <v>0</v>
      </c>
      <c r="Z31" s="148">
        <v>237184700</v>
      </c>
      <c r="AA31" s="148">
        <v>0</v>
      </c>
      <c r="AB31" s="150">
        <v>1</v>
      </c>
    </row>
    <row r="32" spans="1:54" ht="24.95" customHeight="1">
      <c r="A32" s="32" t="e">
        <v>#REF!</v>
      </c>
      <c r="B32" s="144" t="s">
        <v>347</v>
      </c>
      <c r="C32" s="145" t="s">
        <v>23</v>
      </c>
      <c r="D32" s="145" t="s">
        <v>25</v>
      </c>
      <c r="E32" s="145" t="s">
        <v>25</v>
      </c>
      <c r="F32" s="145" t="s">
        <v>54</v>
      </c>
      <c r="G32" s="145" t="s">
        <v>46</v>
      </c>
      <c r="H32" s="145"/>
      <c r="I32" s="145"/>
      <c r="J32" s="145" t="s">
        <v>28</v>
      </c>
      <c r="K32" s="146" t="s">
        <v>29</v>
      </c>
      <c r="L32" s="147" t="s">
        <v>63</v>
      </c>
      <c r="M32" s="148">
        <v>402500000</v>
      </c>
      <c r="N32" s="148"/>
      <c r="O32" s="148"/>
      <c r="P32" s="148"/>
      <c r="Q32" s="148"/>
      <c r="R32" s="148"/>
      <c r="S32" s="148">
        <v>402500000</v>
      </c>
      <c r="T32" s="148">
        <v>237184700</v>
      </c>
      <c r="U32" s="148">
        <v>165315300</v>
      </c>
      <c r="V32" s="150">
        <v>0.5892787577639752</v>
      </c>
      <c r="W32" s="148">
        <v>237184700</v>
      </c>
      <c r="X32" s="148">
        <v>0</v>
      </c>
      <c r="Y32" s="150">
        <v>0</v>
      </c>
      <c r="Z32" s="148">
        <v>237184700</v>
      </c>
      <c r="AA32" s="148">
        <v>0</v>
      </c>
      <c r="AB32" s="150">
        <v>1</v>
      </c>
    </row>
    <row r="33" spans="1:28" ht="24.75" customHeight="1">
      <c r="A33" s="32" t="e">
        <v>#REF!</v>
      </c>
      <c r="B33" s="144" t="s">
        <v>349</v>
      </c>
      <c r="C33" s="145" t="s">
        <v>23</v>
      </c>
      <c r="D33" s="145" t="s">
        <v>25</v>
      </c>
      <c r="E33" s="145" t="s">
        <v>25</v>
      </c>
      <c r="F33" s="145" t="s">
        <v>54</v>
      </c>
      <c r="G33" s="145" t="s">
        <v>48</v>
      </c>
      <c r="H33" s="145"/>
      <c r="I33" s="145"/>
      <c r="J33" s="145" t="s">
        <v>28</v>
      </c>
      <c r="K33" s="146" t="s">
        <v>29</v>
      </c>
      <c r="L33" s="147" t="s">
        <v>64</v>
      </c>
      <c r="M33" s="148">
        <v>805000000</v>
      </c>
      <c r="N33" s="148"/>
      <c r="O33" s="148"/>
      <c r="P33" s="148"/>
      <c r="Q33" s="148"/>
      <c r="R33" s="148"/>
      <c r="S33" s="148">
        <v>805000000</v>
      </c>
      <c r="T33" s="148">
        <v>474022600</v>
      </c>
      <c r="U33" s="148">
        <v>330977400</v>
      </c>
      <c r="V33" s="150">
        <v>0.58884795031055903</v>
      </c>
      <c r="W33" s="148">
        <v>474022600</v>
      </c>
      <c r="X33" s="148">
        <v>0</v>
      </c>
      <c r="Y33" s="150">
        <v>0</v>
      </c>
      <c r="Z33" s="148">
        <v>474022600</v>
      </c>
      <c r="AA33" s="148">
        <v>0</v>
      </c>
      <c r="AB33" s="150">
        <v>1</v>
      </c>
    </row>
    <row r="34" spans="1:28" ht="24.95" customHeight="1">
      <c r="A34" s="32" t="e">
        <v>#REF!</v>
      </c>
      <c r="B34" s="132" t="s">
        <v>351</v>
      </c>
      <c r="C34" s="133" t="s">
        <v>23</v>
      </c>
      <c r="D34" s="133" t="s">
        <v>25</v>
      </c>
      <c r="E34" s="133" t="s">
        <v>25</v>
      </c>
      <c r="F34" s="133" t="s">
        <v>65</v>
      </c>
      <c r="G34" s="133"/>
      <c r="H34" s="134"/>
      <c r="I34" s="134"/>
      <c r="J34" s="133" t="s">
        <v>28</v>
      </c>
      <c r="K34" s="134" t="s">
        <v>29</v>
      </c>
      <c r="L34" s="134" t="s">
        <v>66</v>
      </c>
      <c r="M34" s="135">
        <v>7614000000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5">
        <v>7614000000</v>
      </c>
      <c r="T34" s="135">
        <v>5746190466</v>
      </c>
      <c r="U34" s="135">
        <v>1867809534</v>
      </c>
      <c r="V34" s="137">
        <v>0.75468747911741529</v>
      </c>
      <c r="W34" s="135">
        <v>5735673057</v>
      </c>
      <c r="X34" s="135">
        <v>10517409</v>
      </c>
      <c r="Y34" s="137">
        <v>1.8303272511120414E-3</v>
      </c>
      <c r="Z34" s="135">
        <v>5735673057</v>
      </c>
      <c r="AA34" s="136">
        <v>0</v>
      </c>
      <c r="AB34" s="723">
        <v>0.9981696727488879</v>
      </c>
    </row>
    <row r="35" spans="1:28" ht="24.95" customHeight="1">
      <c r="A35" s="32" t="e">
        <v>#REF!</v>
      </c>
      <c r="B35" s="138" t="s">
        <v>353</v>
      </c>
      <c r="C35" s="139" t="s">
        <v>23</v>
      </c>
      <c r="D35" s="139" t="s">
        <v>25</v>
      </c>
      <c r="E35" s="139" t="s">
        <v>25</v>
      </c>
      <c r="F35" s="139" t="s">
        <v>65</v>
      </c>
      <c r="G35" s="139" t="s">
        <v>31</v>
      </c>
      <c r="H35" s="140"/>
      <c r="I35" s="140"/>
      <c r="J35" s="139" t="s">
        <v>28</v>
      </c>
      <c r="K35" s="140" t="s">
        <v>29</v>
      </c>
      <c r="L35" s="140" t="s">
        <v>67</v>
      </c>
      <c r="M35" s="141">
        <v>3537000000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1">
        <v>3537000000</v>
      </c>
      <c r="T35" s="141">
        <v>2906681274</v>
      </c>
      <c r="U35" s="141">
        <v>630318726</v>
      </c>
      <c r="V35" s="143">
        <v>0.82179283969465644</v>
      </c>
      <c r="W35" s="141">
        <v>2906681274</v>
      </c>
      <c r="X35" s="142">
        <v>0</v>
      </c>
      <c r="Y35" s="143">
        <v>0</v>
      </c>
      <c r="Z35" s="141">
        <v>2906681274</v>
      </c>
      <c r="AA35" s="142">
        <v>0</v>
      </c>
      <c r="AB35" s="724">
        <v>1</v>
      </c>
    </row>
    <row r="36" spans="1:28" ht="24.95" customHeight="1">
      <c r="A36" s="32" t="e">
        <v>#REF!</v>
      </c>
      <c r="B36" s="144" t="s">
        <v>355</v>
      </c>
      <c r="C36" s="145" t="s">
        <v>23</v>
      </c>
      <c r="D36" s="145" t="s">
        <v>25</v>
      </c>
      <c r="E36" s="145" t="s">
        <v>25</v>
      </c>
      <c r="F36" s="145" t="s">
        <v>65</v>
      </c>
      <c r="G36" s="145" t="s">
        <v>31</v>
      </c>
      <c r="H36" s="145" t="s">
        <v>31</v>
      </c>
      <c r="I36" s="145"/>
      <c r="J36" s="145" t="s">
        <v>28</v>
      </c>
      <c r="K36" s="146" t="s">
        <v>29</v>
      </c>
      <c r="L36" s="147" t="s">
        <v>68</v>
      </c>
      <c r="M36" s="148">
        <v>2737000000</v>
      </c>
      <c r="N36" s="148"/>
      <c r="O36" s="148"/>
      <c r="P36" s="148"/>
      <c r="Q36" s="148"/>
      <c r="R36" s="148"/>
      <c r="S36" s="148">
        <v>2737000000</v>
      </c>
      <c r="T36" s="148">
        <v>2310619227</v>
      </c>
      <c r="U36" s="148">
        <v>426380773</v>
      </c>
      <c r="V36" s="150">
        <v>0.84421601278772374</v>
      </c>
      <c r="W36" s="148">
        <v>2310619227</v>
      </c>
      <c r="X36" s="148">
        <v>0</v>
      </c>
      <c r="Y36" s="150">
        <v>0</v>
      </c>
      <c r="Z36" s="148">
        <v>2310619227</v>
      </c>
      <c r="AA36" s="148">
        <v>0</v>
      </c>
      <c r="AB36" s="150">
        <v>1</v>
      </c>
    </row>
    <row r="37" spans="1:28" ht="24.95" customHeight="1">
      <c r="A37" s="32" t="e">
        <v>#REF!</v>
      </c>
      <c r="B37" s="144" t="s">
        <v>357</v>
      </c>
      <c r="C37" s="145" t="s">
        <v>23</v>
      </c>
      <c r="D37" s="145" t="s">
        <v>25</v>
      </c>
      <c r="E37" s="145" t="s">
        <v>25</v>
      </c>
      <c r="F37" s="145" t="s">
        <v>65</v>
      </c>
      <c r="G37" s="145" t="s">
        <v>31</v>
      </c>
      <c r="H37" s="145" t="s">
        <v>34</v>
      </c>
      <c r="I37" s="145"/>
      <c r="J37" s="145" t="s">
        <v>28</v>
      </c>
      <c r="K37" s="146" t="s">
        <v>29</v>
      </c>
      <c r="L37" s="147" t="s">
        <v>69</v>
      </c>
      <c r="M37" s="148">
        <v>450000000</v>
      </c>
      <c r="N37" s="148"/>
      <c r="O37" s="148"/>
      <c r="P37" s="148"/>
      <c r="Q37" s="148"/>
      <c r="R37" s="148"/>
      <c r="S37" s="148">
        <v>450000000</v>
      </c>
      <c r="T37" s="148">
        <v>378770725</v>
      </c>
      <c r="U37" s="148">
        <v>71229275</v>
      </c>
      <c r="V37" s="150">
        <v>0.84171272222222226</v>
      </c>
      <c r="W37" s="148">
        <v>378770725</v>
      </c>
      <c r="X37" s="148">
        <v>0</v>
      </c>
      <c r="Y37" s="150">
        <v>0</v>
      </c>
      <c r="Z37" s="148">
        <v>378770725</v>
      </c>
      <c r="AA37" s="148">
        <v>0</v>
      </c>
      <c r="AB37" s="150">
        <v>1</v>
      </c>
    </row>
    <row r="38" spans="1:28" ht="24.95" customHeight="1">
      <c r="A38" s="32" t="e">
        <v>#REF!</v>
      </c>
      <c r="B38" s="144" t="s">
        <v>359</v>
      </c>
      <c r="C38" s="145" t="s">
        <v>23</v>
      </c>
      <c r="D38" s="145" t="s">
        <v>25</v>
      </c>
      <c r="E38" s="145" t="s">
        <v>25</v>
      </c>
      <c r="F38" s="145" t="s">
        <v>65</v>
      </c>
      <c r="G38" s="145" t="s">
        <v>31</v>
      </c>
      <c r="H38" s="145" t="s">
        <v>36</v>
      </c>
      <c r="I38" s="145"/>
      <c r="J38" s="145" t="s">
        <v>28</v>
      </c>
      <c r="K38" s="146" t="s">
        <v>29</v>
      </c>
      <c r="L38" s="147" t="s">
        <v>70</v>
      </c>
      <c r="M38" s="148">
        <v>350000000</v>
      </c>
      <c r="N38" s="148"/>
      <c r="O38" s="148"/>
      <c r="P38" s="148"/>
      <c r="Q38" s="148"/>
      <c r="R38" s="148"/>
      <c r="S38" s="148">
        <v>350000000</v>
      </c>
      <c r="T38" s="148">
        <v>217291322</v>
      </c>
      <c r="U38" s="148">
        <v>132708678</v>
      </c>
      <c r="V38" s="150">
        <v>0.62083234857142855</v>
      </c>
      <c r="W38" s="148">
        <v>217291322</v>
      </c>
      <c r="X38" s="148">
        <v>0</v>
      </c>
      <c r="Y38" s="150">
        <v>0</v>
      </c>
      <c r="Z38" s="148">
        <v>217291322</v>
      </c>
      <c r="AA38" s="148">
        <v>0</v>
      </c>
      <c r="AB38" s="150">
        <v>1</v>
      </c>
    </row>
    <row r="39" spans="1:28" ht="24.95" customHeight="1">
      <c r="A39" s="32" t="e">
        <v>#REF!</v>
      </c>
      <c r="B39" s="144" t="s">
        <v>361</v>
      </c>
      <c r="C39" s="145" t="s">
        <v>23</v>
      </c>
      <c r="D39" s="145" t="s">
        <v>25</v>
      </c>
      <c r="E39" s="145" t="s">
        <v>25</v>
      </c>
      <c r="F39" s="145" t="s">
        <v>65</v>
      </c>
      <c r="G39" s="145" t="s">
        <v>34</v>
      </c>
      <c r="H39" s="145"/>
      <c r="I39" s="145"/>
      <c r="J39" s="145" t="s">
        <v>28</v>
      </c>
      <c r="K39" s="146" t="s">
        <v>29</v>
      </c>
      <c r="L39" s="147" t="s">
        <v>71</v>
      </c>
      <c r="M39" s="148">
        <v>2600000000</v>
      </c>
      <c r="N39" s="148"/>
      <c r="O39" s="148"/>
      <c r="P39" s="148"/>
      <c r="Q39" s="148"/>
      <c r="R39" s="148"/>
      <c r="S39" s="148">
        <v>2600000000</v>
      </c>
      <c r="T39" s="148">
        <v>1954845659</v>
      </c>
      <c r="U39" s="148">
        <v>645154341</v>
      </c>
      <c r="V39" s="150">
        <v>0.75186371500000004</v>
      </c>
      <c r="W39" s="148">
        <v>1944328250</v>
      </c>
      <c r="X39" s="148">
        <v>10517409</v>
      </c>
      <c r="Y39" s="150">
        <v>5.3801735966102684E-3</v>
      </c>
      <c r="Z39" s="148">
        <v>1944328250</v>
      </c>
      <c r="AA39" s="148">
        <v>0</v>
      </c>
      <c r="AB39" s="150">
        <v>0.99461982640338975</v>
      </c>
    </row>
    <row r="40" spans="1:28" ht="24.95" customHeight="1">
      <c r="A40" s="32" t="e">
        <v>#REF!</v>
      </c>
      <c r="B40" s="144" t="s">
        <v>363</v>
      </c>
      <c r="C40" s="145" t="s">
        <v>23</v>
      </c>
      <c r="D40" s="145" t="s">
        <v>25</v>
      </c>
      <c r="E40" s="145" t="s">
        <v>25</v>
      </c>
      <c r="F40" s="145" t="s">
        <v>65</v>
      </c>
      <c r="G40" s="145" t="s">
        <v>40</v>
      </c>
      <c r="H40" s="145"/>
      <c r="I40" s="145"/>
      <c r="J40" s="145" t="s">
        <v>28</v>
      </c>
      <c r="K40" s="146" t="s">
        <v>29</v>
      </c>
      <c r="L40" s="147" t="s">
        <v>72</v>
      </c>
      <c r="M40" s="148">
        <v>12000000</v>
      </c>
      <c r="N40" s="148"/>
      <c r="O40" s="148"/>
      <c r="P40" s="148"/>
      <c r="Q40" s="148"/>
      <c r="R40" s="148"/>
      <c r="S40" s="148">
        <v>12000000</v>
      </c>
      <c r="T40" s="148">
        <v>3017528</v>
      </c>
      <c r="U40" s="148">
        <v>8982472</v>
      </c>
      <c r="V40" s="150">
        <v>0.25146066666666667</v>
      </c>
      <c r="W40" s="148">
        <v>3017528</v>
      </c>
      <c r="X40" s="148">
        <v>0</v>
      </c>
      <c r="Y40" s="150">
        <v>0</v>
      </c>
      <c r="Z40" s="148">
        <v>3017528</v>
      </c>
      <c r="AA40" s="148">
        <v>0</v>
      </c>
      <c r="AB40" s="150">
        <v>1</v>
      </c>
    </row>
    <row r="41" spans="1:28" ht="24.95" customHeight="1">
      <c r="A41" s="32" t="e">
        <v>#REF!</v>
      </c>
      <c r="B41" s="144" t="s">
        <v>364</v>
      </c>
      <c r="C41" s="145" t="s">
        <v>23</v>
      </c>
      <c r="D41" s="145" t="s">
        <v>25</v>
      </c>
      <c r="E41" s="145" t="s">
        <v>25</v>
      </c>
      <c r="F41" s="145" t="s">
        <v>65</v>
      </c>
      <c r="G41" s="151" t="s">
        <v>44</v>
      </c>
      <c r="H41" s="145"/>
      <c r="I41" s="145"/>
      <c r="J41" s="145" t="s">
        <v>28</v>
      </c>
      <c r="K41" s="146" t="s">
        <v>29</v>
      </c>
      <c r="L41" s="147" t="s">
        <v>73</v>
      </c>
      <c r="M41" s="148">
        <v>5000000</v>
      </c>
      <c r="N41" s="148"/>
      <c r="O41" s="148"/>
      <c r="P41" s="148"/>
      <c r="Q41" s="148"/>
      <c r="R41" s="148"/>
      <c r="S41" s="148">
        <v>5000000</v>
      </c>
      <c r="T41" s="148">
        <v>0</v>
      </c>
      <c r="U41" s="148">
        <v>5000000</v>
      </c>
      <c r="V41" s="150">
        <v>0</v>
      </c>
      <c r="W41" s="148">
        <v>0</v>
      </c>
      <c r="X41" s="148">
        <v>0</v>
      </c>
      <c r="Y41" s="150">
        <v>0</v>
      </c>
      <c r="Z41" s="148">
        <v>0</v>
      </c>
      <c r="AA41" s="148">
        <v>0</v>
      </c>
      <c r="AB41" s="150">
        <v>0</v>
      </c>
    </row>
    <row r="42" spans="1:28" ht="24.95" customHeight="1">
      <c r="A42" s="32" t="e">
        <v>#REF!</v>
      </c>
      <c r="B42" s="144" t="s">
        <v>366</v>
      </c>
      <c r="C42" s="145" t="s">
        <v>23</v>
      </c>
      <c r="D42" s="145" t="s">
        <v>25</v>
      </c>
      <c r="E42" s="145" t="s">
        <v>25</v>
      </c>
      <c r="F42" s="145" t="s">
        <v>65</v>
      </c>
      <c r="G42" s="145" t="s">
        <v>74</v>
      </c>
      <c r="H42" s="145"/>
      <c r="I42" s="145"/>
      <c r="J42" s="145" t="s">
        <v>28</v>
      </c>
      <c r="K42" s="146" t="s">
        <v>29</v>
      </c>
      <c r="L42" s="147" t="s">
        <v>75</v>
      </c>
      <c r="M42" s="148">
        <v>30000000</v>
      </c>
      <c r="N42" s="148"/>
      <c r="O42" s="148"/>
      <c r="P42" s="148"/>
      <c r="Q42" s="148"/>
      <c r="R42" s="148"/>
      <c r="S42" s="148">
        <v>30000000</v>
      </c>
      <c r="T42" s="148">
        <v>0</v>
      </c>
      <c r="U42" s="148">
        <v>30000000</v>
      </c>
      <c r="V42" s="150">
        <v>0</v>
      </c>
      <c r="W42" s="148">
        <v>0</v>
      </c>
      <c r="X42" s="148">
        <v>0</v>
      </c>
      <c r="Y42" s="150">
        <v>0</v>
      </c>
      <c r="Z42" s="148">
        <v>0</v>
      </c>
      <c r="AA42" s="148">
        <v>0</v>
      </c>
      <c r="AB42" s="150">
        <v>0</v>
      </c>
    </row>
    <row r="43" spans="1:28" ht="24.95" customHeight="1">
      <c r="A43" s="32" t="e">
        <v>#REF!</v>
      </c>
      <c r="B43" s="144" t="s">
        <v>368</v>
      </c>
      <c r="C43" s="145" t="s">
        <v>23</v>
      </c>
      <c r="D43" s="145" t="s">
        <v>25</v>
      </c>
      <c r="E43" s="145" t="s">
        <v>25</v>
      </c>
      <c r="F43" s="145" t="s">
        <v>65</v>
      </c>
      <c r="G43" s="145" t="s">
        <v>76</v>
      </c>
      <c r="H43" s="145"/>
      <c r="I43" s="145"/>
      <c r="J43" s="145" t="s">
        <v>28</v>
      </c>
      <c r="K43" s="146" t="s">
        <v>29</v>
      </c>
      <c r="L43" s="147" t="s">
        <v>77</v>
      </c>
      <c r="M43" s="148">
        <v>840000000</v>
      </c>
      <c r="N43" s="148"/>
      <c r="O43" s="148"/>
      <c r="P43" s="148"/>
      <c r="Q43" s="148"/>
      <c r="R43" s="148"/>
      <c r="S43" s="148">
        <v>840000000</v>
      </c>
      <c r="T43" s="148">
        <v>615353984</v>
      </c>
      <c r="U43" s="148">
        <v>224646016</v>
      </c>
      <c r="V43" s="150">
        <v>0.73256426666666663</v>
      </c>
      <c r="W43" s="148">
        <v>615353984</v>
      </c>
      <c r="X43" s="148">
        <v>0</v>
      </c>
      <c r="Y43" s="150">
        <v>0</v>
      </c>
      <c r="Z43" s="148">
        <v>615353984</v>
      </c>
      <c r="AA43" s="148">
        <v>0</v>
      </c>
      <c r="AB43" s="150">
        <v>1</v>
      </c>
    </row>
    <row r="44" spans="1:28" ht="24.95" customHeight="1">
      <c r="A44" s="32" t="e">
        <v>#REF!</v>
      </c>
      <c r="B44" s="144" t="s">
        <v>370</v>
      </c>
      <c r="C44" s="145" t="s">
        <v>23</v>
      </c>
      <c r="D44" s="145" t="s">
        <v>25</v>
      </c>
      <c r="E44" s="145" t="s">
        <v>25</v>
      </c>
      <c r="F44" s="145" t="s">
        <v>65</v>
      </c>
      <c r="G44" s="145" t="s">
        <v>78</v>
      </c>
      <c r="H44" s="145"/>
      <c r="I44" s="145"/>
      <c r="J44" s="145" t="s">
        <v>28</v>
      </c>
      <c r="K44" s="146" t="s">
        <v>29</v>
      </c>
      <c r="L44" s="147" t="s">
        <v>79</v>
      </c>
      <c r="M44" s="148">
        <v>590000000</v>
      </c>
      <c r="N44" s="148"/>
      <c r="O44" s="148"/>
      <c r="P44" s="148"/>
      <c r="Q44" s="148"/>
      <c r="R44" s="148"/>
      <c r="S44" s="148">
        <v>590000000</v>
      </c>
      <c r="T44" s="148">
        <v>266292021</v>
      </c>
      <c r="U44" s="148">
        <v>323707979</v>
      </c>
      <c r="V44" s="150">
        <v>0.4513424084745763</v>
      </c>
      <c r="W44" s="148">
        <v>266292021</v>
      </c>
      <c r="X44" s="148">
        <v>0</v>
      </c>
      <c r="Y44" s="150">
        <v>0</v>
      </c>
      <c r="Z44" s="148">
        <v>266292021</v>
      </c>
      <c r="AA44" s="148">
        <v>0</v>
      </c>
      <c r="AB44" s="150">
        <v>1</v>
      </c>
    </row>
    <row r="45" spans="1:28" ht="24" customHeight="1">
      <c r="A45" s="32" t="e">
        <v>#REF!</v>
      </c>
      <c r="B45" s="122" t="s">
        <v>372</v>
      </c>
      <c r="C45" s="123" t="s">
        <v>23</v>
      </c>
      <c r="D45" s="123" t="s">
        <v>54</v>
      </c>
      <c r="E45" s="123"/>
      <c r="F45" s="123"/>
      <c r="G45" s="123"/>
      <c r="H45" s="123"/>
      <c r="I45" s="123"/>
      <c r="J45" s="124"/>
      <c r="K45" s="124"/>
      <c r="L45" s="124" t="s">
        <v>80</v>
      </c>
      <c r="M45" s="125">
        <v>42290000000</v>
      </c>
      <c r="N45" s="735">
        <v>0</v>
      </c>
      <c r="O45" s="735">
        <v>0</v>
      </c>
      <c r="P45" s="125">
        <v>2393618614.3600001</v>
      </c>
      <c r="Q45" s="125">
        <v>2393618614.3600001</v>
      </c>
      <c r="R45" s="735">
        <v>0</v>
      </c>
      <c r="S45" s="125">
        <v>42290000000</v>
      </c>
      <c r="T45" s="125">
        <v>32906444708.580002</v>
      </c>
      <c r="U45" s="125">
        <v>9383555291.4200001</v>
      </c>
      <c r="V45" s="126">
        <v>0.77811408627524237</v>
      </c>
      <c r="W45" s="125">
        <v>22314441865.220001</v>
      </c>
      <c r="X45" s="125">
        <v>10592002843.360001</v>
      </c>
      <c r="Y45" s="126">
        <v>0.32188232235852116</v>
      </c>
      <c r="Z45" s="125">
        <v>21816325581.880001</v>
      </c>
      <c r="AA45" s="125">
        <v>498116283.33999991</v>
      </c>
      <c r="AB45" s="720">
        <v>0.66298033029960324</v>
      </c>
    </row>
    <row r="46" spans="1:28" ht="24" customHeight="1">
      <c r="A46" s="32" t="e">
        <v>#REF!</v>
      </c>
      <c r="B46" s="127" t="s">
        <v>373</v>
      </c>
      <c r="C46" s="128" t="s">
        <v>23</v>
      </c>
      <c r="D46" s="128" t="s">
        <v>54</v>
      </c>
      <c r="E46" s="736" t="s">
        <v>25</v>
      </c>
      <c r="F46" s="128"/>
      <c r="G46" s="128"/>
      <c r="H46" s="128"/>
      <c r="I46" s="128"/>
      <c r="J46" s="129"/>
      <c r="K46" s="129"/>
      <c r="L46" s="129" t="s">
        <v>81</v>
      </c>
      <c r="M46" s="721">
        <v>0</v>
      </c>
      <c r="N46" s="721">
        <v>0</v>
      </c>
      <c r="O46" s="721">
        <v>0</v>
      </c>
      <c r="P46" s="726">
        <v>70000000</v>
      </c>
      <c r="Q46" s="721">
        <v>0</v>
      </c>
      <c r="R46" s="721">
        <v>0</v>
      </c>
      <c r="S46" s="726">
        <v>70000000</v>
      </c>
      <c r="T46" s="721">
        <v>0</v>
      </c>
      <c r="U46" s="726">
        <v>70000000</v>
      </c>
      <c r="V46" s="131">
        <v>0</v>
      </c>
      <c r="W46" s="721">
        <v>0</v>
      </c>
      <c r="X46" s="721">
        <v>0</v>
      </c>
      <c r="Y46" s="131">
        <v>0</v>
      </c>
      <c r="Z46" s="721">
        <v>0</v>
      </c>
      <c r="AA46" s="721">
        <v>0</v>
      </c>
      <c r="AB46" s="722">
        <v>0</v>
      </c>
    </row>
    <row r="47" spans="1:28" ht="24.95" customHeight="1">
      <c r="A47" s="32" t="e">
        <v>#REF!</v>
      </c>
      <c r="B47" s="132" t="s">
        <v>374</v>
      </c>
      <c r="C47" s="133" t="s">
        <v>23</v>
      </c>
      <c r="D47" s="133" t="s">
        <v>54</v>
      </c>
      <c r="E47" s="737" t="s">
        <v>25</v>
      </c>
      <c r="F47" s="133" t="s">
        <v>25</v>
      </c>
      <c r="G47" s="133"/>
      <c r="H47" s="134"/>
      <c r="I47" s="134"/>
      <c r="J47" s="133" t="s">
        <v>28</v>
      </c>
      <c r="K47" s="134" t="s">
        <v>29</v>
      </c>
      <c r="L47" s="134" t="s">
        <v>82</v>
      </c>
      <c r="M47" s="136">
        <v>0</v>
      </c>
      <c r="N47" s="136">
        <v>0</v>
      </c>
      <c r="O47" s="136">
        <v>0</v>
      </c>
      <c r="P47" s="727">
        <v>70000000</v>
      </c>
      <c r="Q47" s="136">
        <v>0</v>
      </c>
      <c r="R47" s="136">
        <v>0</v>
      </c>
      <c r="S47" s="727">
        <v>70000000</v>
      </c>
      <c r="T47" s="136">
        <v>0</v>
      </c>
      <c r="U47" s="727">
        <v>70000000</v>
      </c>
      <c r="V47" s="137">
        <v>0</v>
      </c>
      <c r="W47" s="136">
        <v>0</v>
      </c>
      <c r="X47" s="136">
        <v>0</v>
      </c>
      <c r="Y47" s="137">
        <v>0</v>
      </c>
      <c r="Z47" s="136">
        <v>0</v>
      </c>
      <c r="AA47" s="136">
        <v>0</v>
      </c>
      <c r="AB47" s="723">
        <v>0</v>
      </c>
    </row>
    <row r="48" spans="1:28" ht="24.95" customHeight="1">
      <c r="A48" s="32" t="e">
        <v>#REF!</v>
      </c>
      <c r="B48" s="138" t="s">
        <v>375</v>
      </c>
      <c r="C48" s="139" t="s">
        <v>23</v>
      </c>
      <c r="D48" s="139" t="s">
        <v>54</v>
      </c>
      <c r="E48" s="738" t="s">
        <v>25</v>
      </c>
      <c r="F48" s="139" t="s">
        <v>25</v>
      </c>
      <c r="G48" s="738" t="s">
        <v>38</v>
      </c>
      <c r="H48" s="140"/>
      <c r="I48" s="140"/>
      <c r="J48" s="139" t="s">
        <v>28</v>
      </c>
      <c r="K48" s="140" t="s">
        <v>29</v>
      </c>
      <c r="L48" s="140" t="s">
        <v>83</v>
      </c>
      <c r="M48" s="142">
        <v>0</v>
      </c>
      <c r="N48" s="142">
        <v>0</v>
      </c>
      <c r="O48" s="142">
        <v>0</v>
      </c>
      <c r="P48" s="728">
        <v>70000000</v>
      </c>
      <c r="Q48" s="142">
        <v>0</v>
      </c>
      <c r="R48" s="142">
        <v>0</v>
      </c>
      <c r="S48" s="728">
        <v>70000000</v>
      </c>
      <c r="T48" s="142">
        <v>0</v>
      </c>
      <c r="U48" s="728">
        <v>70000000</v>
      </c>
      <c r="V48" s="143">
        <v>0</v>
      </c>
      <c r="W48" s="142">
        <v>0</v>
      </c>
      <c r="X48" s="142">
        <v>0</v>
      </c>
      <c r="Y48" s="143">
        <v>0</v>
      </c>
      <c r="Z48" s="142">
        <v>0</v>
      </c>
      <c r="AA48" s="142">
        <v>0</v>
      </c>
      <c r="AB48" s="724">
        <v>0</v>
      </c>
    </row>
    <row r="49" spans="1:28" ht="24.95" customHeight="1">
      <c r="A49" s="32" t="e">
        <v>#REF!</v>
      </c>
      <c r="B49" s="144" t="s">
        <v>724</v>
      </c>
      <c r="C49" s="145" t="s">
        <v>23</v>
      </c>
      <c r="D49" s="145" t="s">
        <v>54</v>
      </c>
      <c r="E49" s="145" t="s">
        <v>25</v>
      </c>
      <c r="F49" s="145" t="s">
        <v>25</v>
      </c>
      <c r="G49" s="151" t="s">
        <v>38</v>
      </c>
      <c r="H49" s="151" t="s">
        <v>42</v>
      </c>
      <c r="I49" s="145"/>
      <c r="J49" s="145">
        <v>10</v>
      </c>
      <c r="K49" s="146" t="s">
        <v>29</v>
      </c>
      <c r="L49" s="147" t="s">
        <v>84</v>
      </c>
      <c r="M49" s="148">
        <v>0</v>
      </c>
      <c r="N49" s="148"/>
      <c r="O49" s="148"/>
      <c r="P49" s="148">
        <v>70000000</v>
      </c>
      <c r="Q49" s="148"/>
      <c r="R49" s="148"/>
      <c r="S49" s="148">
        <v>70000000</v>
      </c>
      <c r="T49" s="148">
        <v>0</v>
      </c>
      <c r="U49" s="148">
        <v>70000000</v>
      </c>
      <c r="V49" s="150">
        <v>0</v>
      </c>
      <c r="W49" s="148">
        <v>0</v>
      </c>
      <c r="X49" s="148">
        <v>0</v>
      </c>
      <c r="Y49" s="150">
        <v>0</v>
      </c>
      <c r="Z49" s="148">
        <v>0</v>
      </c>
      <c r="AA49" s="148">
        <v>0</v>
      </c>
      <c r="AB49" s="150">
        <v>0</v>
      </c>
    </row>
    <row r="50" spans="1:28" ht="24" customHeight="1">
      <c r="A50" s="32" t="e">
        <v>#REF!</v>
      </c>
      <c r="B50" s="127" t="s">
        <v>377</v>
      </c>
      <c r="C50" s="128" t="s">
        <v>23</v>
      </c>
      <c r="D50" s="128" t="s">
        <v>54</v>
      </c>
      <c r="E50" s="128" t="s">
        <v>54</v>
      </c>
      <c r="F50" s="128"/>
      <c r="G50" s="128"/>
      <c r="H50" s="128"/>
      <c r="I50" s="128"/>
      <c r="J50" s="129"/>
      <c r="K50" s="129"/>
      <c r="L50" s="129" t="s">
        <v>86</v>
      </c>
      <c r="M50" s="130">
        <v>42290000000</v>
      </c>
      <c r="N50" s="721">
        <v>0</v>
      </c>
      <c r="O50" s="721">
        <v>0</v>
      </c>
      <c r="P50" s="726">
        <v>2323618614.3600001</v>
      </c>
      <c r="Q50" s="726">
        <v>2393618614.3600001</v>
      </c>
      <c r="R50" s="721">
        <v>0</v>
      </c>
      <c r="S50" s="130">
        <v>42220000000</v>
      </c>
      <c r="T50" s="130">
        <v>32906444708.580002</v>
      </c>
      <c r="U50" s="130">
        <v>9313555291.4200001</v>
      </c>
      <c r="V50" s="131">
        <v>0.77940418542349599</v>
      </c>
      <c r="W50" s="130">
        <v>22314441865.220001</v>
      </c>
      <c r="X50" s="130">
        <v>10592002843.360001</v>
      </c>
      <c r="Y50" s="131">
        <v>0.32188232235852116</v>
      </c>
      <c r="Z50" s="130">
        <v>21816325581.880001</v>
      </c>
      <c r="AA50" s="130">
        <v>498116283.33999991</v>
      </c>
      <c r="AB50" s="722">
        <v>0.66298033029960324</v>
      </c>
    </row>
    <row r="51" spans="1:28" ht="24.95" customHeight="1">
      <c r="A51" s="32" t="e">
        <v>#REF!</v>
      </c>
      <c r="B51" s="132" t="s">
        <v>379</v>
      </c>
      <c r="C51" s="133" t="s">
        <v>23</v>
      </c>
      <c r="D51" s="133" t="s">
        <v>54</v>
      </c>
      <c r="E51" s="133" t="s">
        <v>54</v>
      </c>
      <c r="F51" s="133" t="s">
        <v>25</v>
      </c>
      <c r="G51" s="133"/>
      <c r="H51" s="134"/>
      <c r="I51" s="134"/>
      <c r="J51" s="133" t="s">
        <v>28</v>
      </c>
      <c r="K51" s="134" t="s">
        <v>29</v>
      </c>
      <c r="L51" s="134" t="s">
        <v>87</v>
      </c>
      <c r="M51" s="135">
        <v>979241390</v>
      </c>
      <c r="N51" s="136">
        <v>0</v>
      </c>
      <c r="O51" s="136">
        <v>0</v>
      </c>
      <c r="P51" s="135">
        <v>212399020</v>
      </c>
      <c r="Q51" s="135">
        <v>278371952.61000001</v>
      </c>
      <c r="R51" s="136">
        <v>0</v>
      </c>
      <c r="S51" s="135">
        <v>913268457.38999999</v>
      </c>
      <c r="T51" s="135">
        <v>500034815.30000001</v>
      </c>
      <c r="U51" s="135">
        <v>413233642.08999997</v>
      </c>
      <c r="V51" s="137">
        <v>0.54752226604763421</v>
      </c>
      <c r="W51" s="135">
        <v>183068652.59</v>
      </c>
      <c r="X51" s="135">
        <v>316966162.71000004</v>
      </c>
      <c r="Y51" s="137">
        <v>0.63388818740517816</v>
      </c>
      <c r="Z51" s="135">
        <v>183068652.59</v>
      </c>
      <c r="AA51" s="135">
        <v>0</v>
      </c>
      <c r="AB51" s="723">
        <v>0.36611181259482195</v>
      </c>
    </row>
    <row r="52" spans="1:28" ht="24.95" customHeight="1">
      <c r="A52" s="32" t="e">
        <v>#REF!</v>
      </c>
      <c r="B52" s="138" t="s">
        <v>381</v>
      </c>
      <c r="C52" s="139" t="s">
        <v>23</v>
      </c>
      <c r="D52" s="139" t="s">
        <v>54</v>
      </c>
      <c r="E52" s="139" t="s">
        <v>54</v>
      </c>
      <c r="F52" s="139" t="s">
        <v>25</v>
      </c>
      <c r="G52" s="139" t="s">
        <v>31</v>
      </c>
      <c r="H52" s="140"/>
      <c r="I52" s="140"/>
      <c r="J52" s="139" t="s">
        <v>28</v>
      </c>
      <c r="K52" s="140" t="s">
        <v>29</v>
      </c>
      <c r="L52" s="140" t="s">
        <v>88</v>
      </c>
      <c r="M52" s="141">
        <v>23000000</v>
      </c>
      <c r="N52" s="142">
        <v>0</v>
      </c>
      <c r="O52" s="142">
        <v>0</v>
      </c>
      <c r="P52" s="141">
        <v>3000000</v>
      </c>
      <c r="Q52" s="142">
        <v>0</v>
      </c>
      <c r="R52" s="142">
        <v>0</v>
      </c>
      <c r="S52" s="141">
        <v>26000000</v>
      </c>
      <c r="T52" s="141">
        <v>26000000</v>
      </c>
      <c r="U52" s="141">
        <v>0</v>
      </c>
      <c r="V52" s="143">
        <v>1</v>
      </c>
      <c r="W52" s="141">
        <v>639800</v>
      </c>
      <c r="X52" s="141">
        <v>25360200</v>
      </c>
      <c r="Y52" s="143">
        <v>0.97539230769230767</v>
      </c>
      <c r="Z52" s="141">
        <v>639800</v>
      </c>
      <c r="AA52" s="141">
        <v>0</v>
      </c>
      <c r="AB52" s="724">
        <v>2.4607692307692306E-2</v>
      </c>
    </row>
    <row r="53" spans="1:28" ht="24.95" customHeight="1">
      <c r="A53" s="32" t="e">
        <v>#REF!</v>
      </c>
      <c r="B53" s="144" t="s">
        <v>555</v>
      </c>
      <c r="C53" s="145" t="s">
        <v>23</v>
      </c>
      <c r="D53" s="145" t="s">
        <v>54</v>
      </c>
      <c r="E53" s="145" t="s">
        <v>54</v>
      </c>
      <c r="F53" s="145" t="s">
        <v>25</v>
      </c>
      <c r="G53" s="145" t="s">
        <v>31</v>
      </c>
      <c r="H53" s="145" t="s">
        <v>40</v>
      </c>
      <c r="I53" s="145"/>
      <c r="J53" s="145">
        <v>10</v>
      </c>
      <c r="K53" s="146" t="s">
        <v>29</v>
      </c>
      <c r="L53" s="147" t="s">
        <v>89</v>
      </c>
      <c r="M53" s="148">
        <v>13000000</v>
      </c>
      <c r="N53" s="148"/>
      <c r="O53" s="148"/>
      <c r="P53" s="148"/>
      <c r="Q53" s="148"/>
      <c r="R53" s="148"/>
      <c r="S53" s="148">
        <v>13000000</v>
      </c>
      <c r="T53" s="148">
        <v>13000000</v>
      </c>
      <c r="U53" s="148">
        <v>0</v>
      </c>
      <c r="V53" s="150">
        <v>1</v>
      </c>
      <c r="W53" s="148">
        <v>639800</v>
      </c>
      <c r="X53" s="148">
        <v>12360200</v>
      </c>
      <c r="Y53" s="150">
        <v>0.95078461538461534</v>
      </c>
      <c r="Z53" s="148">
        <v>639800</v>
      </c>
      <c r="AA53" s="148">
        <v>0</v>
      </c>
      <c r="AB53" s="150">
        <v>4.9215384615384612E-2</v>
      </c>
    </row>
    <row r="54" spans="1:28" ht="24.95" customHeight="1">
      <c r="A54" s="32" t="e">
        <v>#REF!</v>
      </c>
      <c r="B54" s="144" t="s">
        <v>557</v>
      </c>
      <c r="C54" s="145" t="s">
        <v>23</v>
      </c>
      <c r="D54" s="145" t="s">
        <v>54</v>
      </c>
      <c r="E54" s="145" t="s">
        <v>54</v>
      </c>
      <c r="F54" s="145" t="s">
        <v>25</v>
      </c>
      <c r="G54" s="145" t="s">
        <v>31</v>
      </c>
      <c r="H54" s="145" t="s">
        <v>44</v>
      </c>
      <c r="I54" s="145"/>
      <c r="J54" s="145">
        <v>10</v>
      </c>
      <c r="K54" s="146" t="s">
        <v>29</v>
      </c>
      <c r="L54" s="147" t="s">
        <v>90</v>
      </c>
      <c r="M54" s="148">
        <v>10000000</v>
      </c>
      <c r="N54" s="148"/>
      <c r="O54" s="148"/>
      <c r="P54" s="148">
        <v>3000000</v>
      </c>
      <c r="Q54" s="148"/>
      <c r="R54" s="148"/>
      <c r="S54" s="148">
        <v>13000000</v>
      </c>
      <c r="T54" s="148">
        <v>13000000</v>
      </c>
      <c r="U54" s="148">
        <v>0</v>
      </c>
      <c r="V54" s="150">
        <v>1</v>
      </c>
      <c r="W54" s="148">
        <v>0</v>
      </c>
      <c r="X54" s="148">
        <v>13000000</v>
      </c>
      <c r="Y54" s="150">
        <v>1</v>
      </c>
      <c r="Z54" s="148">
        <v>0</v>
      </c>
      <c r="AA54" s="148">
        <v>0</v>
      </c>
      <c r="AB54" s="150">
        <v>0</v>
      </c>
    </row>
    <row r="55" spans="1:28" ht="24.95" customHeight="1">
      <c r="A55" s="32" t="e">
        <v>#REF!</v>
      </c>
      <c r="B55" s="138" t="s">
        <v>383</v>
      </c>
      <c r="C55" s="139" t="s">
        <v>23</v>
      </c>
      <c r="D55" s="139" t="s">
        <v>54</v>
      </c>
      <c r="E55" s="139" t="s">
        <v>54</v>
      </c>
      <c r="F55" s="139" t="s">
        <v>25</v>
      </c>
      <c r="G55" s="139" t="s">
        <v>34</v>
      </c>
      <c r="H55" s="140"/>
      <c r="I55" s="140"/>
      <c r="J55" s="139" t="s">
        <v>28</v>
      </c>
      <c r="K55" s="140" t="s">
        <v>29</v>
      </c>
      <c r="L55" s="140" t="s">
        <v>91</v>
      </c>
      <c r="M55" s="141">
        <v>130000000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1">
        <v>130000000</v>
      </c>
      <c r="T55" s="141">
        <v>0</v>
      </c>
      <c r="U55" s="141">
        <v>130000000</v>
      </c>
      <c r="V55" s="143">
        <v>0</v>
      </c>
      <c r="W55" s="141">
        <v>0</v>
      </c>
      <c r="X55" s="141">
        <v>0</v>
      </c>
      <c r="Y55" s="141">
        <v>0</v>
      </c>
      <c r="Z55" s="141">
        <v>0</v>
      </c>
      <c r="AA55" s="142">
        <v>0</v>
      </c>
      <c r="AB55" s="724">
        <v>0</v>
      </c>
    </row>
    <row r="56" spans="1:28" ht="24.95" customHeight="1">
      <c r="A56" s="32" t="e">
        <v>#REF!</v>
      </c>
      <c r="B56" s="144" t="s">
        <v>559</v>
      </c>
      <c r="C56" s="145" t="s">
        <v>23</v>
      </c>
      <c r="D56" s="145" t="s">
        <v>54</v>
      </c>
      <c r="E56" s="145" t="s">
        <v>54</v>
      </c>
      <c r="F56" s="145" t="s">
        <v>25</v>
      </c>
      <c r="G56" s="145" t="s">
        <v>34</v>
      </c>
      <c r="H56" s="145" t="s">
        <v>46</v>
      </c>
      <c r="I56" s="145"/>
      <c r="J56" s="145">
        <v>10</v>
      </c>
      <c r="K56" s="146" t="s">
        <v>29</v>
      </c>
      <c r="L56" s="147" t="s">
        <v>92</v>
      </c>
      <c r="M56" s="148">
        <v>130000000</v>
      </c>
      <c r="N56" s="148"/>
      <c r="O56" s="148"/>
      <c r="P56" s="148"/>
      <c r="Q56" s="148"/>
      <c r="R56" s="148"/>
      <c r="S56" s="148">
        <v>130000000</v>
      </c>
      <c r="T56" s="148">
        <v>0</v>
      </c>
      <c r="U56" s="148">
        <v>130000000</v>
      </c>
      <c r="V56" s="150">
        <v>0</v>
      </c>
      <c r="W56" s="148">
        <v>0</v>
      </c>
      <c r="X56" s="148">
        <v>0</v>
      </c>
      <c r="Y56" s="148">
        <v>0</v>
      </c>
      <c r="Z56" s="148">
        <v>0</v>
      </c>
      <c r="AA56" s="148">
        <v>0</v>
      </c>
      <c r="AB56" s="150">
        <v>0</v>
      </c>
    </row>
    <row r="57" spans="1:28" ht="24.95" customHeight="1">
      <c r="A57" s="32" t="e">
        <v>#REF!</v>
      </c>
      <c r="B57" s="138" t="s">
        <v>385</v>
      </c>
      <c r="C57" s="139" t="s">
        <v>23</v>
      </c>
      <c r="D57" s="139" t="s">
        <v>54</v>
      </c>
      <c r="E57" s="139" t="s">
        <v>54</v>
      </c>
      <c r="F57" s="139" t="s">
        <v>25</v>
      </c>
      <c r="G57" s="139" t="s">
        <v>36</v>
      </c>
      <c r="H57" s="140"/>
      <c r="I57" s="140"/>
      <c r="J57" s="139" t="s">
        <v>28</v>
      </c>
      <c r="K57" s="140" t="s">
        <v>29</v>
      </c>
      <c r="L57" s="140" t="s">
        <v>93</v>
      </c>
      <c r="M57" s="141">
        <v>617241390</v>
      </c>
      <c r="N57" s="142">
        <v>0</v>
      </c>
      <c r="O57" s="142">
        <v>0</v>
      </c>
      <c r="P57" s="141">
        <v>104304000</v>
      </c>
      <c r="Q57" s="141">
        <v>173664000</v>
      </c>
      <c r="R57" s="142">
        <v>0</v>
      </c>
      <c r="S57" s="141">
        <v>547881390</v>
      </c>
      <c r="T57" s="141">
        <v>414463735.30000001</v>
      </c>
      <c r="U57" s="141">
        <v>133417654.69999999</v>
      </c>
      <c r="V57" s="143">
        <v>0.75648441955657597</v>
      </c>
      <c r="W57" s="141">
        <v>150522046.59</v>
      </c>
      <c r="X57" s="141">
        <v>263941688.71000001</v>
      </c>
      <c r="Y57" s="143">
        <v>0.63682697961246693</v>
      </c>
      <c r="Z57" s="141">
        <v>150522046.59</v>
      </c>
      <c r="AA57" s="142">
        <v>0</v>
      </c>
      <c r="AB57" s="724">
        <v>0.36317302038753302</v>
      </c>
    </row>
    <row r="58" spans="1:28" ht="24.95" customHeight="1">
      <c r="A58" s="32" t="e">
        <v>#REF!</v>
      </c>
      <c r="B58" s="144" t="s">
        <v>561</v>
      </c>
      <c r="C58" s="145" t="s">
        <v>23</v>
      </c>
      <c r="D58" s="145" t="s">
        <v>54</v>
      </c>
      <c r="E58" s="145" t="s">
        <v>54</v>
      </c>
      <c r="F58" s="145" t="s">
        <v>25</v>
      </c>
      <c r="G58" s="145" t="s">
        <v>36</v>
      </c>
      <c r="H58" s="145" t="s">
        <v>34</v>
      </c>
      <c r="I58" s="145"/>
      <c r="J58" s="145">
        <v>10</v>
      </c>
      <c r="K58" s="146" t="s">
        <v>29</v>
      </c>
      <c r="L58" s="147" t="s">
        <v>94</v>
      </c>
      <c r="M58" s="148">
        <v>245100000</v>
      </c>
      <c r="N58" s="148"/>
      <c r="O58" s="148"/>
      <c r="P58" s="148">
        <v>80000000</v>
      </c>
      <c r="Q58" s="148">
        <v>20000000</v>
      </c>
      <c r="R58" s="148"/>
      <c r="S58" s="148">
        <v>305100000</v>
      </c>
      <c r="T58" s="148">
        <v>283213627.30000001</v>
      </c>
      <c r="U58" s="148">
        <v>21886372.699999988</v>
      </c>
      <c r="V58" s="150">
        <v>0.92826492068174371</v>
      </c>
      <c r="W58" s="148">
        <v>83392159</v>
      </c>
      <c r="X58" s="148">
        <v>199821468.30000001</v>
      </c>
      <c r="Y58" s="150">
        <v>0.70555033034598613</v>
      </c>
      <c r="Z58" s="148">
        <v>83392159</v>
      </c>
      <c r="AA58" s="148">
        <v>0</v>
      </c>
      <c r="AB58" s="150">
        <v>0.29444966965401387</v>
      </c>
    </row>
    <row r="59" spans="1:28" ht="24.95" customHeight="1">
      <c r="A59" s="32" t="e">
        <v>#REF!</v>
      </c>
      <c r="B59" s="144" t="s">
        <v>563</v>
      </c>
      <c r="C59" s="145" t="s">
        <v>23</v>
      </c>
      <c r="D59" s="145" t="s">
        <v>54</v>
      </c>
      <c r="E59" s="145" t="s">
        <v>54</v>
      </c>
      <c r="F59" s="145" t="s">
        <v>25</v>
      </c>
      <c r="G59" s="145" t="s">
        <v>36</v>
      </c>
      <c r="H59" s="145" t="s">
        <v>36</v>
      </c>
      <c r="I59" s="145"/>
      <c r="J59" s="145">
        <v>10</v>
      </c>
      <c r="K59" s="146" t="s">
        <v>29</v>
      </c>
      <c r="L59" s="147" t="s">
        <v>95</v>
      </c>
      <c r="M59" s="148">
        <v>57946108</v>
      </c>
      <c r="N59" s="148"/>
      <c r="O59" s="148"/>
      <c r="P59" s="148">
        <v>24304000</v>
      </c>
      <c r="Q59" s="148"/>
      <c r="R59" s="148"/>
      <c r="S59" s="148">
        <v>82250108</v>
      </c>
      <c r="T59" s="148">
        <v>76250108</v>
      </c>
      <c r="U59" s="148">
        <v>6000000</v>
      </c>
      <c r="V59" s="150">
        <v>0.92705176751865181</v>
      </c>
      <c r="W59" s="148">
        <v>38257559.590000004</v>
      </c>
      <c r="X59" s="148">
        <v>37992548.409999996</v>
      </c>
      <c r="Y59" s="150">
        <v>0.49826222423186595</v>
      </c>
      <c r="Z59" s="148">
        <v>38257559.590000004</v>
      </c>
      <c r="AA59" s="148">
        <v>0</v>
      </c>
      <c r="AB59" s="150">
        <v>0.50173777576813405</v>
      </c>
    </row>
    <row r="60" spans="1:28" ht="24.95" customHeight="1">
      <c r="A60" s="32" t="e">
        <v>#REF!</v>
      </c>
      <c r="B60" s="144" t="s">
        <v>565</v>
      </c>
      <c r="C60" s="145" t="s">
        <v>23</v>
      </c>
      <c r="D60" s="145" t="s">
        <v>54</v>
      </c>
      <c r="E60" s="145" t="s">
        <v>54</v>
      </c>
      <c r="F60" s="145" t="s">
        <v>25</v>
      </c>
      <c r="G60" s="145" t="s">
        <v>36</v>
      </c>
      <c r="H60" s="145" t="s">
        <v>40</v>
      </c>
      <c r="I60" s="145"/>
      <c r="J60" s="145">
        <v>10</v>
      </c>
      <c r="K60" s="146" t="s">
        <v>29</v>
      </c>
      <c r="L60" s="147" t="s">
        <v>96</v>
      </c>
      <c r="M60" s="148">
        <v>47000000</v>
      </c>
      <c r="N60" s="148"/>
      <c r="O60" s="148"/>
      <c r="P60" s="148"/>
      <c r="Q60" s="148">
        <v>33664000</v>
      </c>
      <c r="R60" s="148"/>
      <c r="S60" s="148">
        <v>13336000</v>
      </c>
      <c r="T60" s="148">
        <v>7000000</v>
      </c>
      <c r="U60" s="148">
        <v>6336000</v>
      </c>
      <c r="V60" s="150">
        <v>0.52489502099580088</v>
      </c>
      <c r="W60" s="148">
        <v>3877095</v>
      </c>
      <c r="X60" s="148">
        <v>3122905</v>
      </c>
      <c r="Y60" s="150">
        <v>0.44612928571428573</v>
      </c>
      <c r="Z60" s="148">
        <v>3877095</v>
      </c>
      <c r="AA60" s="148">
        <v>0</v>
      </c>
      <c r="AB60" s="150">
        <v>0.55387071428571433</v>
      </c>
    </row>
    <row r="61" spans="1:28" ht="24.95" customHeight="1">
      <c r="A61" s="32" t="e">
        <v>#REF!</v>
      </c>
      <c r="B61" s="144" t="s">
        <v>567</v>
      </c>
      <c r="C61" s="145" t="s">
        <v>23</v>
      </c>
      <c r="D61" s="145" t="s">
        <v>54</v>
      </c>
      <c r="E61" s="145" t="s">
        <v>54</v>
      </c>
      <c r="F61" s="145" t="s">
        <v>25</v>
      </c>
      <c r="G61" s="145" t="s">
        <v>36</v>
      </c>
      <c r="H61" s="145" t="s">
        <v>42</v>
      </c>
      <c r="I61" s="145"/>
      <c r="J61" s="145">
        <v>10</v>
      </c>
      <c r="K61" s="146" t="s">
        <v>29</v>
      </c>
      <c r="L61" s="147" t="s">
        <v>97</v>
      </c>
      <c r="M61" s="148">
        <v>123000000</v>
      </c>
      <c r="N61" s="148"/>
      <c r="O61" s="148"/>
      <c r="P61" s="148"/>
      <c r="Q61" s="148">
        <v>100000000</v>
      </c>
      <c r="R61" s="148"/>
      <c r="S61" s="148">
        <v>23000000</v>
      </c>
      <c r="T61" s="148">
        <v>23000000</v>
      </c>
      <c r="U61" s="148">
        <v>0</v>
      </c>
      <c r="V61" s="150">
        <v>1</v>
      </c>
      <c r="W61" s="148">
        <v>9029192</v>
      </c>
      <c r="X61" s="148">
        <v>13970808</v>
      </c>
      <c r="Y61" s="150">
        <v>0.60742643478260872</v>
      </c>
      <c r="Z61" s="148">
        <v>9029192</v>
      </c>
      <c r="AA61" s="148">
        <v>0</v>
      </c>
      <c r="AB61" s="150">
        <v>0.39257356521739128</v>
      </c>
    </row>
    <row r="62" spans="1:28" ht="24.95" customHeight="1">
      <c r="A62" s="32" t="e">
        <v>#REF!</v>
      </c>
      <c r="B62" s="144" t="s">
        <v>571</v>
      </c>
      <c r="C62" s="145" t="s">
        <v>23</v>
      </c>
      <c r="D62" s="145" t="s">
        <v>54</v>
      </c>
      <c r="E62" s="145" t="s">
        <v>54</v>
      </c>
      <c r="F62" s="145" t="s">
        <v>25</v>
      </c>
      <c r="G62" s="145" t="s">
        <v>36</v>
      </c>
      <c r="H62" s="145" t="s">
        <v>46</v>
      </c>
      <c r="I62" s="145"/>
      <c r="J62" s="145">
        <v>10</v>
      </c>
      <c r="K62" s="146" t="s">
        <v>29</v>
      </c>
      <c r="L62" s="147" t="s">
        <v>99</v>
      </c>
      <c r="M62" s="148">
        <v>144195282</v>
      </c>
      <c r="N62" s="148"/>
      <c r="O62" s="148"/>
      <c r="P62" s="148"/>
      <c r="Q62" s="148">
        <v>20000000</v>
      </c>
      <c r="R62" s="148"/>
      <c r="S62" s="148">
        <v>124195282</v>
      </c>
      <c r="T62" s="148">
        <v>25000000</v>
      </c>
      <c r="U62" s="148">
        <v>99195282</v>
      </c>
      <c r="V62" s="150">
        <v>0.2012958914171957</v>
      </c>
      <c r="W62" s="148">
        <v>15966041</v>
      </c>
      <c r="X62" s="148">
        <v>9033959</v>
      </c>
      <c r="Y62" s="150">
        <v>0.36135835999999999</v>
      </c>
      <c r="Z62" s="148">
        <v>15966041</v>
      </c>
      <c r="AA62" s="148">
        <v>0</v>
      </c>
      <c r="AB62" s="150">
        <v>0.63864164000000001</v>
      </c>
    </row>
    <row r="63" spans="1:28" ht="24.95" customHeight="1">
      <c r="A63" s="32" t="e">
        <v>#REF!</v>
      </c>
      <c r="B63" s="138" t="s">
        <v>387</v>
      </c>
      <c r="C63" s="139" t="s">
        <v>23</v>
      </c>
      <c r="D63" s="139" t="s">
        <v>54</v>
      </c>
      <c r="E63" s="139" t="s">
        <v>54</v>
      </c>
      <c r="F63" s="139" t="s">
        <v>25</v>
      </c>
      <c r="G63" s="139" t="s">
        <v>38</v>
      </c>
      <c r="H63" s="140"/>
      <c r="I63" s="140"/>
      <c r="J63" s="139" t="s">
        <v>28</v>
      </c>
      <c r="K63" s="140" t="s">
        <v>29</v>
      </c>
      <c r="L63" s="140" t="s">
        <v>100</v>
      </c>
      <c r="M63" s="141">
        <v>209000000</v>
      </c>
      <c r="N63" s="142">
        <v>0</v>
      </c>
      <c r="O63" s="142">
        <v>0</v>
      </c>
      <c r="P63" s="141">
        <v>105095020</v>
      </c>
      <c r="Q63" s="141">
        <v>104707952.61</v>
      </c>
      <c r="R63" s="142">
        <v>0</v>
      </c>
      <c r="S63" s="141">
        <v>209387067.38999999</v>
      </c>
      <c r="T63" s="141">
        <v>59571080</v>
      </c>
      <c r="U63" s="141">
        <v>149815987.38999999</v>
      </c>
      <c r="V63" s="143">
        <v>0.28450219367676682</v>
      </c>
      <c r="W63" s="141">
        <v>31906806</v>
      </c>
      <c r="X63" s="141">
        <v>27664274</v>
      </c>
      <c r="Y63" s="143">
        <v>0.46439100986586107</v>
      </c>
      <c r="Z63" s="141">
        <v>31906806</v>
      </c>
      <c r="AA63" s="142">
        <v>0</v>
      </c>
      <c r="AB63" s="724">
        <v>0.53560899013413887</v>
      </c>
    </row>
    <row r="64" spans="1:28" ht="24.95" customHeight="1">
      <c r="A64" s="32" t="e">
        <v>#REF!</v>
      </c>
      <c r="B64" s="144" t="s">
        <v>573</v>
      </c>
      <c r="C64" s="145" t="s">
        <v>23</v>
      </c>
      <c r="D64" s="145" t="s">
        <v>54</v>
      </c>
      <c r="E64" s="145" t="s">
        <v>54</v>
      </c>
      <c r="F64" s="145" t="s">
        <v>25</v>
      </c>
      <c r="G64" s="145" t="s">
        <v>38</v>
      </c>
      <c r="H64" s="145" t="s">
        <v>34</v>
      </c>
      <c r="I64" s="145"/>
      <c r="J64" s="145">
        <v>10</v>
      </c>
      <c r="K64" s="146" t="s">
        <v>29</v>
      </c>
      <c r="L64" s="147" t="s">
        <v>101</v>
      </c>
      <c r="M64" s="148">
        <v>28000000</v>
      </c>
      <c r="N64" s="148"/>
      <c r="O64" s="148"/>
      <c r="P64" s="149"/>
      <c r="Q64" s="148"/>
      <c r="R64" s="148"/>
      <c r="S64" s="148">
        <v>28000000</v>
      </c>
      <c r="T64" s="148">
        <v>28000000</v>
      </c>
      <c r="U64" s="148">
        <v>0</v>
      </c>
      <c r="V64" s="150">
        <v>1</v>
      </c>
      <c r="W64" s="148">
        <v>8335726</v>
      </c>
      <c r="X64" s="148">
        <v>19664274</v>
      </c>
      <c r="Y64" s="150">
        <v>0.70229549999999996</v>
      </c>
      <c r="Z64" s="148">
        <v>8335726</v>
      </c>
      <c r="AA64" s="148">
        <v>0</v>
      </c>
      <c r="AB64" s="150">
        <v>0.29770449999999998</v>
      </c>
    </row>
    <row r="65" spans="1:28" ht="24.95" customHeight="1">
      <c r="A65" s="32" t="e">
        <v>#REF!</v>
      </c>
      <c r="B65" s="144" t="s">
        <v>575</v>
      </c>
      <c r="C65" s="145" t="s">
        <v>23</v>
      </c>
      <c r="D65" s="145" t="s">
        <v>54</v>
      </c>
      <c r="E65" s="145" t="s">
        <v>54</v>
      </c>
      <c r="F65" s="145" t="s">
        <v>25</v>
      </c>
      <c r="G65" s="145" t="s">
        <v>38</v>
      </c>
      <c r="H65" s="145" t="s">
        <v>40</v>
      </c>
      <c r="I65" s="145"/>
      <c r="J65" s="145">
        <v>10</v>
      </c>
      <c r="K65" s="146" t="s">
        <v>29</v>
      </c>
      <c r="L65" s="147" t="s">
        <v>102</v>
      </c>
      <c r="M65" s="148">
        <v>10000000</v>
      </c>
      <c r="N65" s="148"/>
      <c r="O65" s="148"/>
      <c r="P65" s="148">
        <v>80000000</v>
      </c>
      <c r="Q65" s="148"/>
      <c r="R65" s="148"/>
      <c r="S65" s="148">
        <v>90000000</v>
      </c>
      <c r="T65" s="148">
        <v>0</v>
      </c>
      <c r="U65" s="148">
        <v>90000000</v>
      </c>
      <c r="V65" s="150">
        <v>0</v>
      </c>
      <c r="W65" s="148">
        <v>0</v>
      </c>
      <c r="X65" s="148">
        <v>0</v>
      </c>
      <c r="Y65" s="150">
        <v>0</v>
      </c>
      <c r="Z65" s="148">
        <v>0</v>
      </c>
      <c r="AA65" s="148">
        <v>0</v>
      </c>
      <c r="AB65" s="150">
        <v>0</v>
      </c>
    </row>
    <row r="66" spans="1:28" ht="24.95" customHeight="1">
      <c r="A66" s="32" t="e">
        <v>#REF!</v>
      </c>
      <c r="B66" s="144" t="s">
        <v>577</v>
      </c>
      <c r="C66" s="145" t="s">
        <v>23</v>
      </c>
      <c r="D66" s="145" t="s">
        <v>54</v>
      </c>
      <c r="E66" s="145" t="s">
        <v>54</v>
      </c>
      <c r="F66" s="145" t="s">
        <v>25</v>
      </c>
      <c r="G66" s="145" t="s">
        <v>38</v>
      </c>
      <c r="H66" s="145" t="s">
        <v>42</v>
      </c>
      <c r="I66" s="145"/>
      <c r="J66" s="145">
        <v>10</v>
      </c>
      <c r="K66" s="146" t="s">
        <v>29</v>
      </c>
      <c r="L66" s="147" t="s">
        <v>84</v>
      </c>
      <c r="M66" s="148">
        <v>108000000</v>
      </c>
      <c r="N66" s="148"/>
      <c r="O66" s="148"/>
      <c r="P66" s="148"/>
      <c r="Q66" s="148">
        <v>70000000</v>
      </c>
      <c r="R66" s="148"/>
      <c r="S66" s="148">
        <v>38000000</v>
      </c>
      <c r="T66" s="148">
        <v>31571080</v>
      </c>
      <c r="U66" s="148">
        <v>6428920</v>
      </c>
      <c r="V66" s="150">
        <v>0.83081789473684209</v>
      </c>
      <c r="W66" s="148">
        <v>23571080</v>
      </c>
      <c r="X66" s="148">
        <v>8000000</v>
      </c>
      <c r="Y66" s="150">
        <v>0.25339646283877526</v>
      </c>
      <c r="Z66" s="148">
        <v>23571080</v>
      </c>
      <c r="AA66" s="148">
        <v>0</v>
      </c>
      <c r="AB66" s="150">
        <v>0.74660353716122474</v>
      </c>
    </row>
    <row r="67" spans="1:28" ht="24.95" customHeight="1">
      <c r="A67" s="32" t="e">
        <v>#REF!</v>
      </c>
      <c r="B67" s="144" t="s">
        <v>579</v>
      </c>
      <c r="C67" s="145" t="s">
        <v>23</v>
      </c>
      <c r="D67" s="145" t="s">
        <v>54</v>
      </c>
      <c r="E67" s="145" t="s">
        <v>54</v>
      </c>
      <c r="F67" s="145" t="s">
        <v>25</v>
      </c>
      <c r="G67" s="145" t="s">
        <v>38</v>
      </c>
      <c r="H67" s="145" t="s">
        <v>44</v>
      </c>
      <c r="I67" s="145"/>
      <c r="J67" s="145">
        <v>10</v>
      </c>
      <c r="K67" s="146" t="s">
        <v>29</v>
      </c>
      <c r="L67" s="147" t="s">
        <v>85</v>
      </c>
      <c r="M67" s="148">
        <v>63000000</v>
      </c>
      <c r="N67" s="148"/>
      <c r="O67" s="148"/>
      <c r="P67" s="148">
        <v>25095020</v>
      </c>
      <c r="Q67" s="148">
        <v>34707952.609999999</v>
      </c>
      <c r="R67" s="148"/>
      <c r="S67" s="148">
        <v>53387067.390000001</v>
      </c>
      <c r="T67" s="148">
        <v>0</v>
      </c>
      <c r="U67" s="148">
        <v>53387067.390000001</v>
      </c>
      <c r="V67" s="150">
        <v>0</v>
      </c>
      <c r="W67" s="148">
        <v>0</v>
      </c>
      <c r="X67" s="148">
        <v>0</v>
      </c>
      <c r="Y67" s="150">
        <v>0</v>
      </c>
      <c r="Z67" s="148">
        <v>0</v>
      </c>
      <c r="AA67" s="148">
        <v>0</v>
      </c>
      <c r="AB67" s="150">
        <v>0</v>
      </c>
    </row>
    <row r="68" spans="1:28" ht="24.95" customHeight="1">
      <c r="A68" s="32" t="e">
        <v>#REF!</v>
      </c>
      <c r="B68" s="132" t="s">
        <v>389</v>
      </c>
      <c r="C68" s="133" t="s">
        <v>23</v>
      </c>
      <c r="D68" s="133" t="s">
        <v>54</v>
      </c>
      <c r="E68" s="133" t="s">
        <v>54</v>
      </c>
      <c r="F68" s="133" t="s">
        <v>54</v>
      </c>
      <c r="G68" s="133"/>
      <c r="H68" s="134"/>
      <c r="I68" s="134"/>
      <c r="J68" s="133" t="s">
        <v>28</v>
      </c>
      <c r="K68" s="134" t="s">
        <v>29</v>
      </c>
      <c r="L68" s="134" t="s">
        <v>103</v>
      </c>
      <c r="M68" s="135">
        <v>41310758610</v>
      </c>
      <c r="N68" s="136">
        <v>0</v>
      </c>
      <c r="O68" s="136">
        <v>0</v>
      </c>
      <c r="P68" s="727">
        <v>2111219594.3600001</v>
      </c>
      <c r="Q68" s="727">
        <v>2115246661.75</v>
      </c>
      <c r="R68" s="136">
        <v>0</v>
      </c>
      <c r="S68" s="135">
        <v>41306731542.610001</v>
      </c>
      <c r="T68" s="135">
        <v>32406409893.280003</v>
      </c>
      <c r="U68" s="135">
        <v>8900321649.3299999</v>
      </c>
      <c r="V68" s="137">
        <v>0.78453096343028583</v>
      </c>
      <c r="W68" s="135">
        <v>22131373212.630001</v>
      </c>
      <c r="X68" s="135">
        <v>10275036680.650002</v>
      </c>
      <c r="Y68" s="137">
        <v>0.31706803420951291</v>
      </c>
      <c r="Z68" s="135">
        <v>21633256929.290001</v>
      </c>
      <c r="AA68" s="135">
        <v>498116283.33999991</v>
      </c>
      <c r="AB68" s="723">
        <v>0.6675610473524255</v>
      </c>
    </row>
    <row r="69" spans="1:28" ht="31.5" customHeight="1">
      <c r="A69" s="32" t="e">
        <v>#REF!</v>
      </c>
      <c r="B69" s="138" t="s">
        <v>391</v>
      </c>
      <c r="C69" s="139" t="s">
        <v>23</v>
      </c>
      <c r="D69" s="139" t="s">
        <v>54</v>
      </c>
      <c r="E69" s="139" t="s">
        <v>54</v>
      </c>
      <c r="F69" s="139" t="s">
        <v>54</v>
      </c>
      <c r="G69" s="139" t="s">
        <v>42</v>
      </c>
      <c r="H69" s="140"/>
      <c r="I69" s="140"/>
      <c r="J69" s="139" t="s">
        <v>28</v>
      </c>
      <c r="K69" s="140" t="s">
        <v>29</v>
      </c>
      <c r="L69" s="140" t="s">
        <v>104</v>
      </c>
      <c r="M69" s="141">
        <v>6238453772</v>
      </c>
      <c r="N69" s="142">
        <v>0</v>
      </c>
      <c r="O69" s="142">
        <v>0</v>
      </c>
      <c r="P69" s="141">
        <v>994000000</v>
      </c>
      <c r="Q69" s="141">
        <v>130000000</v>
      </c>
      <c r="R69" s="142">
        <v>0</v>
      </c>
      <c r="S69" s="141">
        <v>7102453772</v>
      </c>
      <c r="T69" s="141">
        <v>6465993505.6999998</v>
      </c>
      <c r="U69" s="141">
        <v>636460266.29999995</v>
      </c>
      <c r="V69" s="143">
        <v>0.9103886787958948</v>
      </c>
      <c r="W69" s="141">
        <v>4988774246.6999998</v>
      </c>
      <c r="X69" s="141">
        <v>1477219259</v>
      </c>
      <c r="Y69" s="143">
        <v>0.2284597498741345</v>
      </c>
      <c r="Z69" s="141">
        <v>4986358352.6999998</v>
      </c>
      <c r="AA69" s="141">
        <v>2415894</v>
      </c>
      <c r="AB69" s="724">
        <v>0.77116661937633413</v>
      </c>
    </row>
    <row r="70" spans="1:28" ht="24.95" customHeight="1">
      <c r="A70" s="32" t="e">
        <v>#REF!</v>
      </c>
      <c r="B70" s="144" t="s">
        <v>583</v>
      </c>
      <c r="C70" s="145" t="s">
        <v>23</v>
      </c>
      <c r="D70" s="145" t="s">
        <v>54</v>
      </c>
      <c r="E70" s="145" t="s">
        <v>54</v>
      </c>
      <c r="F70" s="145" t="s">
        <v>54</v>
      </c>
      <c r="G70" s="145" t="s">
        <v>42</v>
      </c>
      <c r="H70" s="145" t="s">
        <v>36</v>
      </c>
      <c r="I70" s="145"/>
      <c r="J70" s="145">
        <v>10</v>
      </c>
      <c r="K70" s="146" t="s">
        <v>29</v>
      </c>
      <c r="L70" s="147" t="s">
        <v>105</v>
      </c>
      <c r="M70" s="148">
        <v>120448180</v>
      </c>
      <c r="N70" s="148"/>
      <c r="O70" s="148"/>
      <c r="P70" s="148">
        <v>38282800</v>
      </c>
      <c r="Q70" s="148"/>
      <c r="R70" s="148"/>
      <c r="S70" s="148">
        <v>158730980</v>
      </c>
      <c r="T70" s="148">
        <v>125479470</v>
      </c>
      <c r="U70" s="148">
        <v>33251510</v>
      </c>
      <c r="V70" s="150">
        <v>0.79051657086726235</v>
      </c>
      <c r="W70" s="148">
        <v>84299615</v>
      </c>
      <c r="X70" s="148">
        <v>41179855</v>
      </c>
      <c r="Y70" s="150">
        <v>0.32818002020569581</v>
      </c>
      <c r="Z70" s="148">
        <v>84299615</v>
      </c>
      <c r="AA70" s="148">
        <v>0</v>
      </c>
      <c r="AB70" s="150">
        <v>0.67181997979430419</v>
      </c>
    </row>
    <row r="71" spans="1:28" ht="24.95" customHeight="1">
      <c r="A71" s="32" t="e">
        <v>#REF!</v>
      </c>
      <c r="B71" s="144" t="s">
        <v>585</v>
      </c>
      <c r="C71" s="145" t="s">
        <v>23</v>
      </c>
      <c r="D71" s="145" t="s">
        <v>54</v>
      </c>
      <c r="E71" s="145" t="s">
        <v>54</v>
      </c>
      <c r="F71" s="145" t="s">
        <v>54</v>
      </c>
      <c r="G71" s="145" t="s">
        <v>42</v>
      </c>
      <c r="H71" s="145" t="s">
        <v>38</v>
      </c>
      <c r="I71" s="145"/>
      <c r="J71" s="145">
        <v>10</v>
      </c>
      <c r="K71" s="146" t="s">
        <v>29</v>
      </c>
      <c r="L71" s="147" t="s">
        <v>106</v>
      </c>
      <c r="M71" s="148">
        <v>2721505592</v>
      </c>
      <c r="N71" s="148"/>
      <c r="O71" s="148"/>
      <c r="P71" s="148">
        <v>891717200</v>
      </c>
      <c r="Q71" s="148">
        <v>130000000</v>
      </c>
      <c r="R71" s="148"/>
      <c r="S71" s="148">
        <v>3483222792</v>
      </c>
      <c r="T71" s="148">
        <v>3260711814</v>
      </c>
      <c r="U71" s="148">
        <v>222510978</v>
      </c>
      <c r="V71" s="150">
        <v>0.93611922311973661</v>
      </c>
      <c r="W71" s="148">
        <v>1974677930</v>
      </c>
      <c r="X71" s="148">
        <v>1286033884</v>
      </c>
      <c r="Y71" s="150">
        <v>0.39440280446691445</v>
      </c>
      <c r="Z71" s="148">
        <v>1973486004</v>
      </c>
      <c r="AA71" s="148">
        <v>1191926</v>
      </c>
      <c r="AB71" s="150">
        <v>0.60523165387592881</v>
      </c>
    </row>
    <row r="72" spans="1:28" ht="24.95" customHeight="1">
      <c r="A72" s="32" t="e">
        <v>#REF!</v>
      </c>
      <c r="B72" s="144" t="s">
        <v>587</v>
      </c>
      <c r="C72" s="145" t="s">
        <v>23</v>
      </c>
      <c r="D72" s="145" t="s">
        <v>54</v>
      </c>
      <c r="E72" s="145" t="s">
        <v>54</v>
      </c>
      <c r="F72" s="145" t="s">
        <v>54</v>
      </c>
      <c r="G72" s="145" t="s">
        <v>42</v>
      </c>
      <c r="H72" s="145" t="s">
        <v>40</v>
      </c>
      <c r="I72" s="145"/>
      <c r="J72" s="145">
        <v>10</v>
      </c>
      <c r="K72" s="146" t="s">
        <v>29</v>
      </c>
      <c r="L72" s="147" t="s">
        <v>107</v>
      </c>
      <c r="M72" s="148">
        <v>50000000</v>
      </c>
      <c r="N72" s="148"/>
      <c r="O72" s="148"/>
      <c r="P72" s="148">
        <v>64000000</v>
      </c>
      <c r="Q72" s="148"/>
      <c r="R72" s="148"/>
      <c r="S72" s="148">
        <v>114000000</v>
      </c>
      <c r="T72" s="148">
        <v>109800000</v>
      </c>
      <c r="U72" s="148">
        <v>4200000</v>
      </c>
      <c r="V72" s="150">
        <v>0.9631578947368421</v>
      </c>
      <c r="W72" s="148">
        <v>9800000</v>
      </c>
      <c r="X72" s="148">
        <v>100000000</v>
      </c>
      <c r="Y72" s="150">
        <v>0.91074681238615662</v>
      </c>
      <c r="Z72" s="148">
        <v>9800000</v>
      </c>
      <c r="AA72" s="148">
        <v>0</v>
      </c>
      <c r="AB72" s="150">
        <v>8.9253187613843349E-2</v>
      </c>
    </row>
    <row r="73" spans="1:28" ht="24.95" customHeight="1">
      <c r="A73" s="32" t="e">
        <v>#REF!</v>
      </c>
      <c r="B73" s="144" t="s">
        <v>591</v>
      </c>
      <c r="C73" s="145" t="s">
        <v>23</v>
      </c>
      <c r="D73" s="145" t="s">
        <v>54</v>
      </c>
      <c r="E73" s="145" t="s">
        <v>54</v>
      </c>
      <c r="F73" s="145" t="s">
        <v>54</v>
      </c>
      <c r="G73" s="145" t="s">
        <v>42</v>
      </c>
      <c r="H73" s="145" t="s">
        <v>46</v>
      </c>
      <c r="I73" s="145"/>
      <c r="J73" s="145">
        <v>10</v>
      </c>
      <c r="K73" s="146" t="s">
        <v>29</v>
      </c>
      <c r="L73" s="147" t="s">
        <v>108</v>
      </c>
      <c r="M73" s="148">
        <v>2216500000</v>
      </c>
      <c r="N73" s="148"/>
      <c r="O73" s="148"/>
      <c r="P73" s="148"/>
      <c r="Q73" s="148"/>
      <c r="R73" s="148"/>
      <c r="S73" s="148">
        <v>2216500000</v>
      </c>
      <c r="T73" s="148">
        <v>2213602100</v>
      </c>
      <c r="U73" s="148">
        <v>2897900</v>
      </c>
      <c r="V73" s="150">
        <v>0.99869257838935255</v>
      </c>
      <c r="W73" s="148">
        <v>2163596580</v>
      </c>
      <c r="X73" s="148">
        <v>50005520</v>
      </c>
      <c r="Y73" s="150">
        <v>2.2590112288021411E-2</v>
      </c>
      <c r="Z73" s="148">
        <v>2163596580</v>
      </c>
      <c r="AA73" s="148">
        <v>0</v>
      </c>
      <c r="AB73" s="150">
        <v>0.97740988771197856</v>
      </c>
    </row>
    <row r="74" spans="1:28" ht="24.95" customHeight="1">
      <c r="A74" s="32" t="e">
        <v>#REF!</v>
      </c>
      <c r="B74" s="144" t="s">
        <v>593</v>
      </c>
      <c r="C74" s="145" t="s">
        <v>23</v>
      </c>
      <c r="D74" s="145" t="s">
        <v>54</v>
      </c>
      <c r="E74" s="145" t="s">
        <v>54</v>
      </c>
      <c r="F74" s="145" t="s">
        <v>54</v>
      </c>
      <c r="G74" s="145" t="s">
        <v>42</v>
      </c>
      <c r="H74" s="145" t="s">
        <v>48</v>
      </c>
      <c r="I74" s="145"/>
      <c r="J74" s="145">
        <v>10</v>
      </c>
      <c r="K74" s="146" t="s">
        <v>29</v>
      </c>
      <c r="L74" s="147" t="s">
        <v>109</v>
      </c>
      <c r="M74" s="148">
        <v>1130000000</v>
      </c>
      <c r="N74" s="148"/>
      <c r="O74" s="148"/>
      <c r="P74" s="148"/>
      <c r="Q74" s="148"/>
      <c r="R74" s="148"/>
      <c r="S74" s="148">
        <v>1130000000</v>
      </c>
      <c r="T74" s="148">
        <v>756400121.70000005</v>
      </c>
      <c r="U74" s="148">
        <v>373599878.29999995</v>
      </c>
      <c r="V74" s="150">
        <v>0.66938063867256636</v>
      </c>
      <c r="W74" s="148">
        <v>756400121.70000005</v>
      </c>
      <c r="X74" s="148">
        <v>0</v>
      </c>
      <c r="Y74" s="150">
        <v>0</v>
      </c>
      <c r="Z74" s="148">
        <v>755176153.70000005</v>
      </c>
      <c r="AA74" s="148">
        <v>1223968</v>
      </c>
      <c r="AB74" s="150">
        <v>0.99838185113290412</v>
      </c>
    </row>
    <row r="75" spans="1:28" ht="24.95" customHeight="1">
      <c r="A75" s="32" t="e">
        <v>#REF!</v>
      </c>
      <c r="B75" s="138" t="s">
        <v>393</v>
      </c>
      <c r="C75" s="139" t="s">
        <v>23</v>
      </c>
      <c r="D75" s="139" t="s">
        <v>54</v>
      </c>
      <c r="E75" s="139" t="s">
        <v>54</v>
      </c>
      <c r="F75" s="139" t="s">
        <v>54</v>
      </c>
      <c r="G75" s="139" t="s">
        <v>44</v>
      </c>
      <c r="H75" s="140"/>
      <c r="I75" s="140"/>
      <c r="J75" s="139" t="s">
        <v>28</v>
      </c>
      <c r="K75" s="140" t="s">
        <v>29</v>
      </c>
      <c r="L75" s="140" t="s">
        <v>110</v>
      </c>
      <c r="M75" s="141">
        <v>15484127230</v>
      </c>
      <c r="N75" s="142">
        <v>0</v>
      </c>
      <c r="O75" s="142">
        <v>0</v>
      </c>
      <c r="P75" s="141">
        <v>3200000</v>
      </c>
      <c r="Q75" s="141">
        <v>263983289</v>
      </c>
      <c r="R75" s="142">
        <v>0</v>
      </c>
      <c r="S75" s="141">
        <v>15223343941</v>
      </c>
      <c r="T75" s="141">
        <v>13397354227</v>
      </c>
      <c r="U75" s="141">
        <v>1825989714</v>
      </c>
      <c r="V75" s="143">
        <v>0.880053310161233</v>
      </c>
      <c r="W75" s="141">
        <v>9740702983</v>
      </c>
      <c r="X75" s="141">
        <v>3656651244</v>
      </c>
      <c r="Y75" s="143">
        <v>0.2729383117026693</v>
      </c>
      <c r="Z75" s="141">
        <v>9726477583</v>
      </c>
      <c r="AA75" s="141">
        <v>14225400</v>
      </c>
      <c r="AB75" s="724">
        <v>0.72599988163319618</v>
      </c>
    </row>
    <row r="76" spans="1:28" ht="24.95" customHeight="1">
      <c r="A76" s="32" t="e">
        <v>#REF!</v>
      </c>
      <c r="B76" s="144" t="s">
        <v>595</v>
      </c>
      <c r="C76" s="145" t="s">
        <v>23</v>
      </c>
      <c r="D76" s="145" t="s">
        <v>54</v>
      </c>
      <c r="E76" s="145" t="s">
        <v>54</v>
      </c>
      <c r="F76" s="145" t="s">
        <v>54</v>
      </c>
      <c r="G76" s="145" t="s">
        <v>44</v>
      </c>
      <c r="H76" s="145" t="s">
        <v>31</v>
      </c>
      <c r="I76" s="145"/>
      <c r="J76" s="145">
        <v>10</v>
      </c>
      <c r="K76" s="146" t="s">
        <v>29</v>
      </c>
      <c r="L76" s="147" t="s">
        <v>111</v>
      </c>
      <c r="M76" s="148">
        <v>260000000</v>
      </c>
      <c r="N76" s="148"/>
      <c r="O76" s="148"/>
      <c r="P76" s="148">
        <v>3200000</v>
      </c>
      <c r="Q76" s="148">
        <v>189344000</v>
      </c>
      <c r="R76" s="148"/>
      <c r="S76" s="148">
        <v>73856000</v>
      </c>
      <c r="T76" s="148">
        <v>59453757</v>
      </c>
      <c r="U76" s="148">
        <v>14402243</v>
      </c>
      <c r="V76" s="150">
        <v>0.80499562662478341</v>
      </c>
      <c r="W76" s="148">
        <v>11369509</v>
      </c>
      <c r="X76" s="148">
        <v>48084248</v>
      </c>
      <c r="Y76" s="150">
        <v>0.80876719027192845</v>
      </c>
      <c r="Z76" s="148">
        <v>11369509</v>
      </c>
      <c r="AA76" s="148">
        <v>0</v>
      </c>
      <c r="AB76" s="150">
        <v>0.19123280972807152</v>
      </c>
    </row>
    <row r="77" spans="1:28" ht="24.95" customHeight="1">
      <c r="A77" s="32" t="e">
        <v>#REF!</v>
      </c>
      <c r="B77" s="144" t="s">
        <v>597</v>
      </c>
      <c r="C77" s="145" t="s">
        <v>23</v>
      </c>
      <c r="D77" s="145" t="s">
        <v>54</v>
      </c>
      <c r="E77" s="145" t="s">
        <v>54</v>
      </c>
      <c r="F77" s="145" t="s">
        <v>54</v>
      </c>
      <c r="G77" s="145" t="s">
        <v>44</v>
      </c>
      <c r="H77" s="145" t="s">
        <v>34</v>
      </c>
      <c r="I77" s="145"/>
      <c r="J77" s="145">
        <v>10</v>
      </c>
      <c r="K77" s="146" t="s">
        <v>29</v>
      </c>
      <c r="L77" s="147" t="s">
        <v>112</v>
      </c>
      <c r="M77" s="148">
        <v>15224127230</v>
      </c>
      <c r="N77" s="148"/>
      <c r="O77" s="148"/>
      <c r="P77" s="148"/>
      <c r="Q77" s="148">
        <v>74639289</v>
      </c>
      <c r="R77" s="148"/>
      <c r="S77" s="148">
        <v>15149487941</v>
      </c>
      <c r="T77" s="148">
        <v>13337900470</v>
      </c>
      <c r="U77" s="148">
        <v>1811587471</v>
      </c>
      <c r="V77" s="150">
        <v>0.88041922749763779</v>
      </c>
      <c r="W77" s="148">
        <v>9729333474</v>
      </c>
      <c r="X77" s="148">
        <v>3608566996</v>
      </c>
      <c r="Y77" s="150">
        <v>0.27054985183886293</v>
      </c>
      <c r="Z77" s="148">
        <v>9715108074</v>
      </c>
      <c r="AA77" s="148">
        <v>14225400</v>
      </c>
      <c r="AB77" s="150">
        <v>0.72838360848857042</v>
      </c>
    </row>
    <row r="78" spans="1:28" ht="24.95" customHeight="1">
      <c r="A78" s="32" t="e">
        <v>#REF!</v>
      </c>
      <c r="B78" s="138" t="s">
        <v>395</v>
      </c>
      <c r="C78" s="139" t="s">
        <v>23</v>
      </c>
      <c r="D78" s="139" t="s">
        <v>54</v>
      </c>
      <c r="E78" s="139" t="s">
        <v>54</v>
      </c>
      <c r="F78" s="139" t="s">
        <v>54</v>
      </c>
      <c r="G78" s="139" t="s">
        <v>46</v>
      </c>
      <c r="H78" s="140"/>
      <c r="I78" s="140"/>
      <c r="J78" s="139" t="s">
        <v>28</v>
      </c>
      <c r="K78" s="140" t="s">
        <v>29</v>
      </c>
      <c r="L78" s="140" t="s">
        <v>113</v>
      </c>
      <c r="M78" s="141">
        <v>15733677608</v>
      </c>
      <c r="N78" s="142">
        <v>0</v>
      </c>
      <c r="O78" s="142">
        <v>0</v>
      </c>
      <c r="P78" s="141">
        <v>1114019594.3600001</v>
      </c>
      <c r="Q78" s="141">
        <v>1291263372.75</v>
      </c>
      <c r="R78" s="142">
        <v>0</v>
      </c>
      <c r="S78" s="141">
        <v>15556433829.610001</v>
      </c>
      <c r="T78" s="141">
        <v>11582031107.490002</v>
      </c>
      <c r="U78" s="141">
        <v>3974402722.1199994</v>
      </c>
      <c r="V78" s="143">
        <v>0.7445171068349129</v>
      </c>
      <c r="W78" s="141">
        <v>6676948195.8400002</v>
      </c>
      <c r="X78" s="141">
        <v>4905082911.6500006</v>
      </c>
      <c r="Y78" s="143">
        <v>0.42350800702632591</v>
      </c>
      <c r="Z78" s="141">
        <v>6195660179.5</v>
      </c>
      <c r="AA78" s="141">
        <v>481288016.33999991</v>
      </c>
      <c r="AB78" s="724">
        <v>0.53493727671766644</v>
      </c>
    </row>
    <row r="79" spans="1:28" ht="24.95" customHeight="1">
      <c r="A79" s="32" t="e">
        <v>#REF!</v>
      </c>
      <c r="B79" s="144" t="s">
        <v>599</v>
      </c>
      <c r="C79" s="145" t="s">
        <v>23</v>
      </c>
      <c r="D79" s="145" t="s">
        <v>54</v>
      </c>
      <c r="E79" s="145" t="s">
        <v>54</v>
      </c>
      <c r="F79" s="145" t="s">
        <v>54</v>
      </c>
      <c r="G79" s="145" t="s">
        <v>46</v>
      </c>
      <c r="H79" s="145" t="s">
        <v>34</v>
      </c>
      <c r="I79" s="145"/>
      <c r="J79" s="145">
        <v>10</v>
      </c>
      <c r="K79" s="146" t="s">
        <v>29</v>
      </c>
      <c r="L79" s="147" t="s">
        <v>114</v>
      </c>
      <c r="M79" s="148">
        <v>50358513</v>
      </c>
      <c r="N79" s="148"/>
      <c r="O79" s="148"/>
      <c r="P79" s="148">
        <v>5950000</v>
      </c>
      <c r="Q79" s="148">
        <v>14565713</v>
      </c>
      <c r="R79" s="148"/>
      <c r="S79" s="148">
        <v>41742800</v>
      </c>
      <c r="T79" s="148">
        <v>39142800</v>
      </c>
      <c r="U79" s="148">
        <v>2600000</v>
      </c>
      <c r="V79" s="150">
        <v>0.93771380932759663</v>
      </c>
      <c r="W79" s="148">
        <v>13832976</v>
      </c>
      <c r="X79" s="148">
        <v>25309824</v>
      </c>
      <c r="Y79" s="150">
        <v>0.64660228701063793</v>
      </c>
      <c r="Z79" s="148">
        <v>13832976</v>
      </c>
      <c r="AA79" s="148">
        <v>0</v>
      </c>
      <c r="AB79" s="150">
        <v>0.35339771298936201</v>
      </c>
    </row>
    <row r="80" spans="1:28" ht="24.95" customHeight="1">
      <c r="A80" s="32" t="e">
        <v>#REF!</v>
      </c>
      <c r="B80" s="144" t="s">
        <v>601</v>
      </c>
      <c r="C80" s="145" t="s">
        <v>23</v>
      </c>
      <c r="D80" s="145" t="s">
        <v>54</v>
      </c>
      <c r="E80" s="145" t="s">
        <v>54</v>
      </c>
      <c r="F80" s="145" t="s">
        <v>54</v>
      </c>
      <c r="G80" s="145" t="s">
        <v>46</v>
      </c>
      <c r="H80" s="145" t="s">
        <v>36</v>
      </c>
      <c r="I80" s="145"/>
      <c r="J80" s="145">
        <v>10</v>
      </c>
      <c r="K80" s="146" t="s">
        <v>29</v>
      </c>
      <c r="L80" s="147" t="s">
        <v>115</v>
      </c>
      <c r="M80" s="148">
        <v>6350236530</v>
      </c>
      <c r="N80" s="148"/>
      <c r="O80" s="148"/>
      <c r="P80" s="148">
        <v>14565713</v>
      </c>
      <c r="Q80" s="148">
        <v>940295837</v>
      </c>
      <c r="R80" s="148"/>
      <c r="S80" s="148">
        <v>5424506406</v>
      </c>
      <c r="T80" s="148">
        <v>3137258275</v>
      </c>
      <c r="U80" s="148">
        <v>2287248131</v>
      </c>
      <c r="V80" s="150">
        <v>0.57834907735197905</v>
      </c>
      <c r="W80" s="148">
        <v>1289564612</v>
      </c>
      <c r="X80" s="148">
        <v>1847693663</v>
      </c>
      <c r="Y80" s="150">
        <v>0.58895172186612532</v>
      </c>
      <c r="Z80" s="148">
        <v>1207823918</v>
      </c>
      <c r="AA80" s="148">
        <v>81740694</v>
      </c>
      <c r="AB80" s="150">
        <v>0.38499345993437534</v>
      </c>
    </row>
    <row r="81" spans="1:28" ht="24.95" customHeight="1">
      <c r="A81" s="32" t="e">
        <v>#REF!</v>
      </c>
      <c r="B81" s="144" t="s">
        <v>603</v>
      </c>
      <c r="C81" s="145" t="s">
        <v>23</v>
      </c>
      <c r="D81" s="145" t="s">
        <v>54</v>
      </c>
      <c r="E81" s="145" t="s">
        <v>54</v>
      </c>
      <c r="F81" s="145" t="s">
        <v>54</v>
      </c>
      <c r="G81" s="145" t="s">
        <v>46</v>
      </c>
      <c r="H81" s="145" t="s">
        <v>38</v>
      </c>
      <c r="I81" s="145"/>
      <c r="J81" s="145">
        <v>10</v>
      </c>
      <c r="K81" s="146" t="s">
        <v>29</v>
      </c>
      <c r="L81" s="147" t="s">
        <v>116</v>
      </c>
      <c r="M81" s="148">
        <v>2503588821</v>
      </c>
      <c r="N81" s="148"/>
      <c r="O81" s="148"/>
      <c r="P81" s="148">
        <v>3628797.75</v>
      </c>
      <c r="Q81" s="148">
        <v>187634033</v>
      </c>
      <c r="R81" s="148"/>
      <c r="S81" s="148">
        <v>2319583585.75</v>
      </c>
      <c r="T81" s="148">
        <v>1760995976.75</v>
      </c>
      <c r="U81" s="148">
        <v>558587609</v>
      </c>
      <c r="V81" s="150">
        <v>0.75918625548499485</v>
      </c>
      <c r="W81" s="148">
        <v>1567179866.3499999</v>
      </c>
      <c r="X81" s="148">
        <v>193816110.4000001</v>
      </c>
      <c r="Y81" s="150">
        <v>0.11006050721234284</v>
      </c>
      <c r="Z81" s="148">
        <v>1551513555.7</v>
      </c>
      <c r="AA81" s="148">
        <v>15666310.649999857</v>
      </c>
      <c r="AB81" s="150">
        <v>0.88104321428569676</v>
      </c>
    </row>
    <row r="82" spans="1:28" ht="24.95" customHeight="1">
      <c r="A82" s="32" t="e">
        <v>#REF!</v>
      </c>
      <c r="B82" s="144" t="s">
        <v>605</v>
      </c>
      <c r="C82" s="145" t="s">
        <v>23</v>
      </c>
      <c r="D82" s="145" t="s">
        <v>54</v>
      </c>
      <c r="E82" s="145" t="s">
        <v>54</v>
      </c>
      <c r="F82" s="145" t="s">
        <v>54</v>
      </c>
      <c r="G82" s="145" t="s">
        <v>46</v>
      </c>
      <c r="H82" s="145" t="s">
        <v>40</v>
      </c>
      <c r="I82" s="145"/>
      <c r="J82" s="145">
        <v>10</v>
      </c>
      <c r="K82" s="146" t="s">
        <v>29</v>
      </c>
      <c r="L82" s="147" t="s">
        <v>117</v>
      </c>
      <c r="M82" s="148">
        <v>5781495027</v>
      </c>
      <c r="N82" s="148"/>
      <c r="O82" s="148"/>
      <c r="P82" s="148">
        <v>762275704</v>
      </c>
      <c r="Q82" s="148">
        <v>28672769.75</v>
      </c>
      <c r="R82" s="148"/>
      <c r="S82" s="148">
        <v>6515097961.25</v>
      </c>
      <c r="T82" s="148">
        <v>6006234387.8100004</v>
      </c>
      <c r="U82" s="148">
        <v>508863573.43999958</v>
      </c>
      <c r="V82" s="150">
        <v>0.92189471647754506</v>
      </c>
      <c r="W82" s="148">
        <v>3535244902.0700002</v>
      </c>
      <c r="X82" s="148">
        <v>2470989485.7400002</v>
      </c>
      <c r="Y82" s="150">
        <v>0.41140410549994788</v>
      </c>
      <c r="Z82" s="148">
        <v>3165081351.3800001</v>
      </c>
      <c r="AA82" s="148">
        <v>370163550.69000006</v>
      </c>
      <c r="AB82" s="150">
        <v>0.52696600682179762</v>
      </c>
    </row>
    <row r="83" spans="1:28" ht="24.95" customHeight="1">
      <c r="A83" s="32" t="e">
        <v>#REF!</v>
      </c>
      <c r="B83" s="144" t="s">
        <v>607</v>
      </c>
      <c r="C83" s="145" t="s">
        <v>23</v>
      </c>
      <c r="D83" s="145" t="s">
        <v>54</v>
      </c>
      <c r="E83" s="145" t="s">
        <v>54</v>
      </c>
      <c r="F83" s="145" t="s">
        <v>54</v>
      </c>
      <c r="G83" s="145" t="s">
        <v>46</v>
      </c>
      <c r="H83" s="145" t="s">
        <v>44</v>
      </c>
      <c r="I83" s="145"/>
      <c r="J83" s="145">
        <v>10</v>
      </c>
      <c r="K83" s="146" t="s">
        <v>29</v>
      </c>
      <c r="L83" s="147" t="s">
        <v>118</v>
      </c>
      <c r="M83" s="148">
        <v>729998717</v>
      </c>
      <c r="N83" s="148"/>
      <c r="O83" s="148"/>
      <c r="P83" s="148">
        <v>327599379.61000001</v>
      </c>
      <c r="Q83" s="148">
        <v>120095020</v>
      </c>
      <c r="R83" s="148"/>
      <c r="S83" s="148">
        <v>937503076.61000001</v>
      </c>
      <c r="T83" s="148">
        <v>495350667.93000001</v>
      </c>
      <c r="U83" s="148">
        <v>442152408.68000001</v>
      </c>
      <c r="V83" s="150">
        <v>0.52837231182342581</v>
      </c>
      <c r="W83" s="148">
        <v>214836739.41999999</v>
      </c>
      <c r="X83" s="148">
        <v>280513928.50999999</v>
      </c>
      <c r="Y83" s="150">
        <v>0.5662936313020992</v>
      </c>
      <c r="Z83" s="148">
        <v>201119278.41999999</v>
      </c>
      <c r="AA83" s="148">
        <v>13717461</v>
      </c>
      <c r="AB83" s="150">
        <v>0.40601394414274</v>
      </c>
    </row>
    <row r="84" spans="1:28" ht="24.95" customHeight="1">
      <c r="A84" s="32" t="e">
        <v>#REF!</v>
      </c>
      <c r="B84" s="144" t="s">
        <v>609</v>
      </c>
      <c r="C84" s="145" t="s">
        <v>23</v>
      </c>
      <c r="D84" s="145" t="s">
        <v>54</v>
      </c>
      <c r="E84" s="145" t="s">
        <v>54</v>
      </c>
      <c r="F84" s="145" t="s">
        <v>54</v>
      </c>
      <c r="G84" s="145" t="s">
        <v>46</v>
      </c>
      <c r="H84" s="145" t="s">
        <v>48</v>
      </c>
      <c r="I84" s="145"/>
      <c r="J84" s="145">
        <v>10</v>
      </c>
      <c r="K84" s="146" t="s">
        <v>29</v>
      </c>
      <c r="L84" s="147" t="s">
        <v>119</v>
      </c>
      <c r="M84" s="148">
        <v>318000000</v>
      </c>
      <c r="N84" s="148"/>
      <c r="O84" s="148"/>
      <c r="P84" s="148"/>
      <c r="Q84" s="148"/>
      <c r="R84" s="148"/>
      <c r="S84" s="148">
        <v>318000000</v>
      </c>
      <c r="T84" s="148">
        <v>143049000</v>
      </c>
      <c r="U84" s="148">
        <v>174951000</v>
      </c>
      <c r="V84" s="150">
        <v>0.44983962264150945</v>
      </c>
      <c r="W84" s="148">
        <v>56289100</v>
      </c>
      <c r="X84" s="148">
        <v>86759900</v>
      </c>
      <c r="Y84" s="150">
        <v>0.60650476410181131</v>
      </c>
      <c r="Z84" s="148">
        <v>56289100</v>
      </c>
      <c r="AA84" s="148">
        <v>0</v>
      </c>
      <c r="AB84" s="150">
        <v>0.39349523589818874</v>
      </c>
    </row>
    <row r="85" spans="1:28" ht="24.95" customHeight="1">
      <c r="A85" s="32" t="e">
        <v>#REF!</v>
      </c>
      <c r="B85" s="138" t="s">
        <v>397</v>
      </c>
      <c r="C85" s="139" t="s">
        <v>23</v>
      </c>
      <c r="D85" s="139" t="s">
        <v>54</v>
      </c>
      <c r="E85" s="139" t="s">
        <v>54</v>
      </c>
      <c r="F85" s="139" t="s">
        <v>54</v>
      </c>
      <c r="G85" s="139" t="s">
        <v>48</v>
      </c>
      <c r="H85" s="140"/>
      <c r="I85" s="140"/>
      <c r="J85" s="139" t="s">
        <v>28</v>
      </c>
      <c r="K85" s="140" t="s">
        <v>29</v>
      </c>
      <c r="L85" s="140" t="s">
        <v>120</v>
      </c>
      <c r="M85" s="141">
        <v>2932500000</v>
      </c>
      <c r="N85" s="142">
        <v>0</v>
      </c>
      <c r="O85" s="142">
        <v>0</v>
      </c>
      <c r="P85" s="142">
        <v>0</v>
      </c>
      <c r="Q85" s="141">
        <v>430000000</v>
      </c>
      <c r="R85" s="142">
        <v>0</v>
      </c>
      <c r="S85" s="141">
        <v>2502500000</v>
      </c>
      <c r="T85" s="141">
        <v>266577909.09</v>
      </c>
      <c r="U85" s="141">
        <v>2235922090.9099998</v>
      </c>
      <c r="V85" s="143">
        <v>0.106524638997003</v>
      </c>
      <c r="W85" s="141">
        <v>145462574.09</v>
      </c>
      <c r="X85" s="141">
        <v>121115335</v>
      </c>
      <c r="Y85" s="143">
        <v>0.45433372710230824</v>
      </c>
      <c r="Z85" s="141">
        <v>145275601.09</v>
      </c>
      <c r="AA85" s="141">
        <v>186973</v>
      </c>
      <c r="AB85" s="724">
        <v>0.54496489069900067</v>
      </c>
    </row>
    <row r="86" spans="1:28" ht="24.95" customHeight="1">
      <c r="A86" s="32" t="e">
        <v>#REF!</v>
      </c>
      <c r="B86" s="144" t="s">
        <v>611</v>
      </c>
      <c r="C86" s="145" t="s">
        <v>23</v>
      </c>
      <c r="D86" s="145" t="s">
        <v>54</v>
      </c>
      <c r="E86" s="145" t="s">
        <v>54</v>
      </c>
      <c r="F86" s="145" t="s">
        <v>54</v>
      </c>
      <c r="G86" s="145" t="s">
        <v>48</v>
      </c>
      <c r="H86" s="145" t="s">
        <v>34</v>
      </c>
      <c r="I86" s="145"/>
      <c r="J86" s="145">
        <v>10</v>
      </c>
      <c r="K86" s="146" t="s">
        <v>29</v>
      </c>
      <c r="L86" s="147" t="s">
        <v>121</v>
      </c>
      <c r="M86" s="148">
        <v>1250000000</v>
      </c>
      <c r="N86" s="148"/>
      <c r="O86" s="148"/>
      <c r="P86" s="148"/>
      <c r="Q86" s="148">
        <v>430000000</v>
      </c>
      <c r="R86" s="148"/>
      <c r="S86" s="148">
        <v>820000000</v>
      </c>
      <c r="T86" s="148">
        <v>0</v>
      </c>
      <c r="U86" s="148">
        <v>820000000</v>
      </c>
      <c r="V86" s="150">
        <v>0</v>
      </c>
      <c r="W86" s="148">
        <v>0</v>
      </c>
      <c r="X86" s="148">
        <v>0</v>
      </c>
      <c r="Y86" s="150">
        <v>0</v>
      </c>
      <c r="Z86" s="148">
        <v>0</v>
      </c>
      <c r="AA86" s="148">
        <v>0</v>
      </c>
      <c r="AB86" s="150">
        <v>0</v>
      </c>
    </row>
    <row r="87" spans="1:28" ht="24.95" customHeight="1">
      <c r="A87" s="32" t="e">
        <v>#REF!</v>
      </c>
      <c r="B87" s="144" t="s">
        <v>613</v>
      </c>
      <c r="C87" s="145" t="s">
        <v>23</v>
      </c>
      <c r="D87" s="145" t="s">
        <v>54</v>
      </c>
      <c r="E87" s="145" t="s">
        <v>54</v>
      </c>
      <c r="F87" s="145" t="s">
        <v>54</v>
      </c>
      <c r="G87" s="145" t="s">
        <v>48</v>
      </c>
      <c r="H87" s="145" t="s">
        <v>36</v>
      </c>
      <c r="I87" s="145"/>
      <c r="J87" s="145">
        <v>10</v>
      </c>
      <c r="K87" s="146" t="s">
        <v>29</v>
      </c>
      <c r="L87" s="147" t="s">
        <v>122</v>
      </c>
      <c r="M87" s="148">
        <v>300000000</v>
      </c>
      <c r="N87" s="148"/>
      <c r="O87" s="148"/>
      <c r="P87" s="148"/>
      <c r="Q87" s="148"/>
      <c r="R87" s="148"/>
      <c r="S87" s="148">
        <v>300000000</v>
      </c>
      <c r="T87" s="148">
        <v>135097908</v>
      </c>
      <c r="U87" s="148">
        <v>164902092</v>
      </c>
      <c r="V87" s="150">
        <v>0.45032635999999998</v>
      </c>
      <c r="W87" s="148">
        <v>93147483</v>
      </c>
      <c r="X87" s="148">
        <v>41950425</v>
      </c>
      <c r="Y87" s="150">
        <v>0.31051868693629214</v>
      </c>
      <c r="Z87" s="148">
        <v>93147483</v>
      </c>
      <c r="AA87" s="148">
        <v>0</v>
      </c>
      <c r="AB87" s="150">
        <v>0.68948131306370786</v>
      </c>
    </row>
    <row r="88" spans="1:28" ht="24.95" customHeight="1">
      <c r="A88" s="32" t="e">
        <v>#REF!</v>
      </c>
      <c r="B88" s="144" t="s">
        <v>615</v>
      </c>
      <c r="C88" s="145" t="s">
        <v>23</v>
      </c>
      <c r="D88" s="145" t="s">
        <v>54</v>
      </c>
      <c r="E88" s="145" t="s">
        <v>54</v>
      </c>
      <c r="F88" s="145" t="s">
        <v>54</v>
      </c>
      <c r="G88" s="145" t="s">
        <v>48</v>
      </c>
      <c r="H88" s="145" t="s">
        <v>38</v>
      </c>
      <c r="I88" s="145"/>
      <c r="J88" s="145">
        <v>10</v>
      </c>
      <c r="K88" s="146" t="s">
        <v>29</v>
      </c>
      <c r="L88" s="147" t="s">
        <v>123</v>
      </c>
      <c r="M88" s="148">
        <v>87500000</v>
      </c>
      <c r="N88" s="148"/>
      <c r="O88" s="148"/>
      <c r="P88" s="148"/>
      <c r="Q88" s="148"/>
      <c r="R88" s="148"/>
      <c r="S88" s="148">
        <v>87500000</v>
      </c>
      <c r="T88" s="148">
        <v>41480001.090000004</v>
      </c>
      <c r="U88" s="148">
        <v>46019998.909999996</v>
      </c>
      <c r="V88" s="150">
        <v>0.47405715531428577</v>
      </c>
      <c r="W88" s="148">
        <v>41480001.090000004</v>
      </c>
      <c r="X88" s="148">
        <v>0</v>
      </c>
      <c r="Y88" s="150">
        <v>0</v>
      </c>
      <c r="Z88" s="148">
        <v>41293028.090000004</v>
      </c>
      <c r="AA88" s="148">
        <v>186973</v>
      </c>
      <c r="AB88" s="150">
        <v>0.99549245431324074</v>
      </c>
    </row>
    <row r="89" spans="1:28" ht="24.95" customHeight="1">
      <c r="A89" s="32" t="e">
        <v>#REF!</v>
      </c>
      <c r="B89" s="144" t="s">
        <v>617</v>
      </c>
      <c r="C89" s="145" t="s">
        <v>23</v>
      </c>
      <c r="D89" s="145" t="s">
        <v>54</v>
      </c>
      <c r="E89" s="145" t="s">
        <v>54</v>
      </c>
      <c r="F89" s="145" t="s">
        <v>54</v>
      </c>
      <c r="G89" s="145" t="s">
        <v>48</v>
      </c>
      <c r="H89" s="145" t="s">
        <v>42</v>
      </c>
      <c r="I89" s="145"/>
      <c r="J89" s="145">
        <v>10</v>
      </c>
      <c r="K89" s="146" t="s">
        <v>29</v>
      </c>
      <c r="L89" s="147" t="s">
        <v>124</v>
      </c>
      <c r="M89" s="148">
        <v>1250000000</v>
      </c>
      <c r="N89" s="148"/>
      <c r="O89" s="148"/>
      <c r="P89" s="148"/>
      <c r="Q89" s="148"/>
      <c r="R89" s="148"/>
      <c r="S89" s="148">
        <v>1250000000</v>
      </c>
      <c r="T89" s="148">
        <v>90000000</v>
      </c>
      <c r="U89" s="148">
        <v>1160000000</v>
      </c>
      <c r="V89" s="150">
        <v>7.1999999999999995E-2</v>
      </c>
      <c r="W89" s="148">
        <v>10835090</v>
      </c>
      <c r="X89" s="148">
        <v>79164910</v>
      </c>
      <c r="Y89" s="150">
        <v>0.87961011111111109</v>
      </c>
      <c r="Z89" s="148">
        <v>10835090</v>
      </c>
      <c r="AA89" s="148">
        <v>0</v>
      </c>
      <c r="AB89" s="150">
        <v>0.12038988888888889</v>
      </c>
    </row>
    <row r="90" spans="1:28" ht="24.95" customHeight="1">
      <c r="A90" s="32" t="e">
        <v>#REF!</v>
      </c>
      <c r="B90" s="144" t="s">
        <v>619</v>
      </c>
      <c r="C90" s="145" t="s">
        <v>23</v>
      </c>
      <c r="D90" s="145" t="s">
        <v>54</v>
      </c>
      <c r="E90" s="145" t="s">
        <v>54</v>
      </c>
      <c r="F90" s="145" t="s">
        <v>54</v>
      </c>
      <c r="G90" s="145" t="s">
        <v>48</v>
      </c>
      <c r="H90" s="145" t="s">
        <v>44</v>
      </c>
      <c r="I90" s="145"/>
      <c r="J90" s="145">
        <v>10</v>
      </c>
      <c r="K90" s="146" t="s">
        <v>29</v>
      </c>
      <c r="L90" s="147" t="s">
        <v>125</v>
      </c>
      <c r="M90" s="148">
        <v>45000000</v>
      </c>
      <c r="N90" s="148"/>
      <c r="O90" s="148"/>
      <c r="P90" s="149"/>
      <c r="Q90" s="148"/>
      <c r="R90" s="148"/>
      <c r="S90" s="148">
        <v>45000000</v>
      </c>
      <c r="T90" s="148">
        <v>0</v>
      </c>
      <c r="U90" s="148">
        <v>45000000</v>
      </c>
      <c r="V90" s="150">
        <v>0</v>
      </c>
      <c r="W90" s="148">
        <v>0</v>
      </c>
      <c r="X90" s="148">
        <v>0</v>
      </c>
      <c r="Y90" s="150">
        <v>0</v>
      </c>
      <c r="Z90" s="148">
        <v>0</v>
      </c>
      <c r="AA90" s="148">
        <v>0</v>
      </c>
      <c r="AB90" s="150">
        <v>0</v>
      </c>
    </row>
    <row r="91" spans="1:28" ht="24.95" customHeight="1">
      <c r="A91" s="32" t="e">
        <v>#REF!</v>
      </c>
      <c r="B91" s="144" t="s">
        <v>399</v>
      </c>
      <c r="C91" s="145" t="s">
        <v>23</v>
      </c>
      <c r="D91" s="145" t="s">
        <v>54</v>
      </c>
      <c r="E91" s="145" t="s">
        <v>54</v>
      </c>
      <c r="F91" s="145" t="s">
        <v>54</v>
      </c>
      <c r="G91" s="145" t="s">
        <v>50</v>
      </c>
      <c r="H91" s="145"/>
      <c r="I91" s="145"/>
      <c r="J91" s="145" t="s">
        <v>28</v>
      </c>
      <c r="K91" s="146" t="s">
        <v>29</v>
      </c>
      <c r="L91" s="152" t="s">
        <v>126</v>
      </c>
      <c r="M91" s="153">
        <v>922000000</v>
      </c>
      <c r="N91" s="153"/>
      <c r="O91" s="153"/>
      <c r="P91" s="153"/>
      <c r="Q91" s="153"/>
      <c r="R91" s="153"/>
      <c r="S91" s="153">
        <v>922000000</v>
      </c>
      <c r="T91" s="153">
        <v>694453144</v>
      </c>
      <c r="U91" s="153">
        <v>227546856</v>
      </c>
      <c r="V91" s="154">
        <v>0.75320297613882858</v>
      </c>
      <c r="W91" s="153">
        <v>579485213</v>
      </c>
      <c r="X91" s="153">
        <v>114967931</v>
      </c>
      <c r="Y91" s="154">
        <v>0.16555174671367029</v>
      </c>
      <c r="Z91" s="153">
        <v>579485213</v>
      </c>
      <c r="AA91" s="148">
        <v>0</v>
      </c>
      <c r="AB91" s="150">
        <v>0.83444825328632977</v>
      </c>
    </row>
    <row r="92" spans="1:28" ht="36" customHeight="1">
      <c r="A92" s="32" t="e">
        <v>#REF!</v>
      </c>
      <c r="B92" s="122" t="s">
        <v>401</v>
      </c>
      <c r="C92" s="123" t="s">
        <v>23</v>
      </c>
      <c r="D92" s="123" t="s">
        <v>65</v>
      </c>
      <c r="E92" s="123"/>
      <c r="F92" s="123"/>
      <c r="G92" s="123"/>
      <c r="H92" s="123"/>
      <c r="I92" s="123"/>
      <c r="J92" s="124"/>
      <c r="K92" s="124"/>
      <c r="L92" s="124" t="s">
        <v>127</v>
      </c>
      <c r="M92" s="125">
        <v>13468000000</v>
      </c>
      <c r="N92" s="719">
        <v>0</v>
      </c>
      <c r="O92" s="719">
        <v>0</v>
      </c>
      <c r="P92" s="719">
        <v>0</v>
      </c>
      <c r="Q92" s="719">
        <v>0</v>
      </c>
      <c r="R92" s="125">
        <v>10390000000</v>
      </c>
      <c r="S92" s="125">
        <v>3078000000</v>
      </c>
      <c r="T92" s="125">
        <v>2043124361.73</v>
      </c>
      <c r="U92" s="125">
        <v>1034875638.27</v>
      </c>
      <c r="V92" s="126">
        <v>0.66378309347953213</v>
      </c>
      <c r="W92" s="125">
        <v>1719906740.73</v>
      </c>
      <c r="X92" s="125">
        <v>323217621</v>
      </c>
      <c r="Y92" s="126">
        <v>0.15819772259301823</v>
      </c>
      <c r="Z92" s="125">
        <v>1719906740.73</v>
      </c>
      <c r="AA92" s="125">
        <v>0</v>
      </c>
      <c r="AB92" s="720">
        <v>0.84180227740698177</v>
      </c>
    </row>
    <row r="93" spans="1:28" ht="24" customHeight="1">
      <c r="A93" s="32" t="e">
        <v>#REF!</v>
      </c>
      <c r="B93" s="127" t="s">
        <v>621</v>
      </c>
      <c r="C93" s="128" t="s">
        <v>23</v>
      </c>
      <c r="D93" s="128" t="s">
        <v>65</v>
      </c>
      <c r="E93" s="128" t="s">
        <v>65</v>
      </c>
      <c r="F93" s="128"/>
      <c r="G93" s="128"/>
      <c r="H93" s="128"/>
      <c r="I93" s="128"/>
      <c r="J93" s="129"/>
      <c r="K93" s="129"/>
      <c r="L93" s="129" t="s">
        <v>128</v>
      </c>
      <c r="M93" s="130">
        <v>10390000000</v>
      </c>
      <c r="N93" s="721">
        <v>0</v>
      </c>
      <c r="O93" s="721">
        <v>0</v>
      </c>
      <c r="P93" s="721">
        <v>0</v>
      </c>
      <c r="Q93" s="721">
        <v>0</v>
      </c>
      <c r="R93" s="130">
        <v>10390000000</v>
      </c>
      <c r="S93" s="130">
        <v>0</v>
      </c>
      <c r="T93" s="130">
        <v>0</v>
      </c>
      <c r="U93" s="130">
        <v>0</v>
      </c>
      <c r="V93" s="131">
        <v>0</v>
      </c>
      <c r="W93" s="130">
        <v>0</v>
      </c>
      <c r="X93" s="130">
        <v>0</v>
      </c>
      <c r="Y93" s="131">
        <v>0</v>
      </c>
      <c r="Z93" s="130">
        <v>0</v>
      </c>
      <c r="AA93" s="130">
        <v>0</v>
      </c>
      <c r="AB93" s="722">
        <v>0</v>
      </c>
    </row>
    <row r="94" spans="1:28" ht="24" customHeight="1">
      <c r="A94" s="32" t="e">
        <v>#REF!</v>
      </c>
      <c r="B94" s="132" t="s">
        <v>623</v>
      </c>
      <c r="C94" s="133" t="s">
        <v>23</v>
      </c>
      <c r="D94" s="133" t="s">
        <v>65</v>
      </c>
      <c r="E94" s="133" t="s">
        <v>65</v>
      </c>
      <c r="F94" s="133" t="s">
        <v>25</v>
      </c>
      <c r="G94" s="133"/>
      <c r="H94" s="133"/>
      <c r="I94" s="133"/>
      <c r="J94" s="133"/>
      <c r="K94" s="134"/>
      <c r="L94" s="134" t="s">
        <v>129</v>
      </c>
      <c r="M94" s="135">
        <v>10390000000</v>
      </c>
      <c r="N94" s="136">
        <v>0</v>
      </c>
      <c r="O94" s="136">
        <v>0</v>
      </c>
      <c r="P94" s="136">
        <v>0</v>
      </c>
      <c r="Q94" s="136">
        <v>0</v>
      </c>
      <c r="R94" s="135">
        <v>10390000000</v>
      </c>
      <c r="S94" s="135">
        <v>0</v>
      </c>
      <c r="T94" s="135">
        <v>0</v>
      </c>
      <c r="U94" s="135">
        <v>0</v>
      </c>
      <c r="V94" s="137">
        <v>0</v>
      </c>
      <c r="W94" s="135">
        <v>0</v>
      </c>
      <c r="X94" s="135">
        <v>0</v>
      </c>
      <c r="Y94" s="137">
        <v>0</v>
      </c>
      <c r="Z94" s="135">
        <v>0</v>
      </c>
      <c r="AA94" s="135">
        <v>0</v>
      </c>
      <c r="AB94" s="723">
        <v>0</v>
      </c>
    </row>
    <row r="95" spans="1:28" ht="24.95" hidden="1" customHeight="1">
      <c r="A95" s="32" t="e">
        <v>#REF!</v>
      </c>
      <c r="B95" s="144" t="s">
        <v>625</v>
      </c>
      <c r="C95" s="145" t="s">
        <v>23</v>
      </c>
      <c r="D95" s="145" t="s">
        <v>65</v>
      </c>
      <c r="E95" s="145" t="s">
        <v>65</v>
      </c>
      <c r="F95" s="145" t="s">
        <v>25</v>
      </c>
      <c r="G95" s="145" t="s">
        <v>130</v>
      </c>
      <c r="H95" s="145"/>
      <c r="I95" s="145"/>
      <c r="J95" s="145">
        <v>54</v>
      </c>
      <c r="K95" s="146" t="s">
        <v>29</v>
      </c>
      <c r="L95" s="147" t="s">
        <v>131</v>
      </c>
      <c r="M95" s="148"/>
      <c r="N95" s="148"/>
      <c r="O95" s="148"/>
      <c r="P95" s="148"/>
      <c r="Q95" s="148"/>
      <c r="R95" s="148"/>
      <c r="S95" s="148">
        <v>0</v>
      </c>
      <c r="T95" s="149"/>
      <c r="U95" s="148">
        <v>0</v>
      </c>
      <c r="V95" s="150">
        <v>0</v>
      </c>
      <c r="W95" s="148"/>
      <c r="X95" s="148">
        <v>0</v>
      </c>
      <c r="Y95" s="150">
        <v>0</v>
      </c>
      <c r="Z95" s="148"/>
      <c r="AA95" s="148">
        <v>0</v>
      </c>
      <c r="AB95" s="150">
        <v>0</v>
      </c>
    </row>
    <row r="96" spans="1:28" ht="24.95" hidden="1" customHeight="1">
      <c r="A96" s="32" t="e">
        <v>#REF!</v>
      </c>
      <c r="B96" s="144" t="s">
        <v>625</v>
      </c>
      <c r="C96" s="145" t="s">
        <v>23</v>
      </c>
      <c r="D96" s="145" t="s">
        <v>65</v>
      </c>
      <c r="E96" s="145" t="s">
        <v>65</v>
      </c>
      <c r="F96" s="145" t="s">
        <v>25</v>
      </c>
      <c r="G96" s="145" t="s">
        <v>130</v>
      </c>
      <c r="H96" s="145"/>
      <c r="I96" s="145"/>
      <c r="J96" s="145">
        <v>54</v>
      </c>
      <c r="K96" s="146" t="s">
        <v>29</v>
      </c>
      <c r="L96" s="147" t="s">
        <v>132</v>
      </c>
      <c r="M96" s="148"/>
      <c r="N96" s="148"/>
      <c r="O96" s="148"/>
      <c r="P96" s="148"/>
      <c r="Q96" s="148"/>
      <c r="R96" s="148"/>
      <c r="S96" s="148">
        <v>0</v>
      </c>
      <c r="T96" s="149"/>
      <c r="U96" s="148">
        <v>0</v>
      </c>
      <c r="V96" s="150">
        <v>0</v>
      </c>
      <c r="W96" s="148"/>
      <c r="X96" s="148">
        <v>0</v>
      </c>
      <c r="Y96" s="150">
        <v>0</v>
      </c>
      <c r="Z96" s="148"/>
      <c r="AA96" s="148">
        <v>0</v>
      </c>
      <c r="AB96" s="150">
        <v>0</v>
      </c>
    </row>
    <row r="97" spans="1:30" ht="24.95" hidden="1" customHeight="1">
      <c r="A97" s="32" t="e">
        <v>#REF!</v>
      </c>
      <c r="B97" s="144" t="s">
        <v>625</v>
      </c>
      <c r="C97" s="145" t="s">
        <v>23</v>
      </c>
      <c r="D97" s="145" t="s">
        <v>65</v>
      </c>
      <c r="E97" s="145" t="s">
        <v>65</v>
      </c>
      <c r="F97" s="145" t="s">
        <v>25</v>
      </c>
      <c r="G97" s="145" t="s">
        <v>130</v>
      </c>
      <c r="H97" s="145"/>
      <c r="I97" s="145"/>
      <c r="J97" s="145">
        <v>54</v>
      </c>
      <c r="K97" s="146" t="s">
        <v>29</v>
      </c>
      <c r="L97" s="147" t="s">
        <v>133</v>
      </c>
      <c r="M97" s="148"/>
      <c r="N97" s="148"/>
      <c r="O97" s="148"/>
      <c r="P97" s="148"/>
      <c r="Q97" s="148"/>
      <c r="R97" s="148"/>
      <c r="S97" s="148">
        <v>0</v>
      </c>
      <c r="T97" s="149"/>
      <c r="U97" s="148">
        <v>0</v>
      </c>
      <c r="V97" s="150">
        <v>0</v>
      </c>
      <c r="W97" s="148"/>
      <c r="X97" s="148">
        <v>0</v>
      </c>
      <c r="Y97" s="150">
        <v>0</v>
      </c>
      <c r="Z97" s="148"/>
      <c r="AA97" s="148">
        <v>0</v>
      </c>
      <c r="AB97" s="150">
        <v>0</v>
      </c>
    </row>
    <row r="98" spans="1:30" ht="24.95" customHeight="1">
      <c r="A98" s="32" t="e">
        <v>#REF!</v>
      </c>
      <c r="B98" s="144" t="s">
        <v>627</v>
      </c>
      <c r="C98" s="145" t="s">
        <v>23</v>
      </c>
      <c r="D98" s="145" t="s">
        <v>65</v>
      </c>
      <c r="E98" s="145" t="s">
        <v>65</v>
      </c>
      <c r="F98" s="145" t="s">
        <v>25</v>
      </c>
      <c r="G98" s="145" t="s">
        <v>134</v>
      </c>
      <c r="H98" s="145"/>
      <c r="I98" s="145"/>
      <c r="J98" s="145" t="s">
        <v>28</v>
      </c>
      <c r="K98" s="146" t="s">
        <v>29</v>
      </c>
      <c r="L98" s="147" t="s">
        <v>135</v>
      </c>
      <c r="M98" s="149">
        <v>10390000000</v>
      </c>
      <c r="N98" s="148"/>
      <c r="O98" s="148"/>
      <c r="P98" s="148"/>
      <c r="Q98" s="148"/>
      <c r="R98" s="149">
        <v>10390000000</v>
      </c>
      <c r="S98" s="149">
        <v>0</v>
      </c>
      <c r="T98" s="149">
        <v>0</v>
      </c>
      <c r="U98" s="148">
        <v>0</v>
      </c>
      <c r="V98" s="150">
        <v>0</v>
      </c>
      <c r="W98" s="149">
        <v>0</v>
      </c>
      <c r="X98" s="148">
        <v>0</v>
      </c>
      <c r="Y98" s="150">
        <v>0</v>
      </c>
      <c r="Z98" s="148">
        <v>0</v>
      </c>
      <c r="AA98" s="148">
        <v>0</v>
      </c>
      <c r="AB98" s="150">
        <v>0</v>
      </c>
    </row>
    <row r="99" spans="1:30" ht="24.95" hidden="1" customHeight="1">
      <c r="A99" s="32" t="e">
        <v>#REF!</v>
      </c>
      <c r="B99" s="144" t="s">
        <v>627</v>
      </c>
      <c r="C99" s="145" t="s">
        <v>23</v>
      </c>
      <c r="D99" s="145" t="s">
        <v>65</v>
      </c>
      <c r="E99" s="145" t="s">
        <v>65</v>
      </c>
      <c r="F99" s="145" t="s">
        <v>25</v>
      </c>
      <c r="G99" s="145" t="s">
        <v>134</v>
      </c>
      <c r="H99" s="145"/>
      <c r="I99" s="145"/>
      <c r="J99" s="145">
        <v>11</v>
      </c>
      <c r="K99" s="146" t="s">
        <v>29</v>
      </c>
      <c r="L99" s="147" t="s">
        <v>135</v>
      </c>
      <c r="M99" s="148"/>
      <c r="N99" s="148"/>
      <c r="O99" s="148"/>
      <c r="P99" s="148"/>
      <c r="Q99" s="148"/>
      <c r="R99" s="148"/>
      <c r="S99" s="148">
        <v>0</v>
      </c>
      <c r="T99" s="148"/>
      <c r="U99" s="148">
        <v>0</v>
      </c>
      <c r="V99" s="150">
        <v>0</v>
      </c>
      <c r="W99" s="148"/>
      <c r="X99" s="148">
        <v>0</v>
      </c>
      <c r="Y99" s="150">
        <v>0</v>
      </c>
      <c r="Z99" s="148"/>
      <c r="AA99" s="148">
        <v>0</v>
      </c>
      <c r="AB99" s="150">
        <v>0</v>
      </c>
    </row>
    <row r="100" spans="1:30" ht="24" customHeight="1">
      <c r="A100" s="32" t="e">
        <v>#REF!</v>
      </c>
      <c r="B100" s="127" t="s">
        <v>403</v>
      </c>
      <c r="C100" s="128" t="s">
        <v>23</v>
      </c>
      <c r="D100" s="128" t="s">
        <v>65</v>
      </c>
      <c r="E100" s="128" t="s">
        <v>136</v>
      </c>
      <c r="F100" s="128"/>
      <c r="G100" s="128"/>
      <c r="H100" s="128"/>
      <c r="I100" s="128"/>
      <c r="J100" s="129"/>
      <c r="K100" s="129"/>
      <c r="L100" s="129" t="s">
        <v>137</v>
      </c>
      <c r="M100" s="130">
        <v>719000000</v>
      </c>
      <c r="N100" s="721">
        <v>0</v>
      </c>
      <c r="O100" s="721">
        <v>0</v>
      </c>
      <c r="P100" s="721">
        <v>0</v>
      </c>
      <c r="Q100" s="721">
        <v>0</v>
      </c>
      <c r="R100" s="721">
        <v>0</v>
      </c>
      <c r="S100" s="130">
        <v>719000000</v>
      </c>
      <c r="T100" s="130">
        <v>466779017</v>
      </c>
      <c r="U100" s="130">
        <v>252220983</v>
      </c>
      <c r="V100" s="131">
        <v>0.64920586509040334</v>
      </c>
      <c r="W100" s="130">
        <v>143561396</v>
      </c>
      <c r="X100" s="130">
        <v>323217621</v>
      </c>
      <c r="Y100" s="131">
        <v>0.69244248183503931</v>
      </c>
      <c r="Z100" s="130">
        <v>143561396</v>
      </c>
      <c r="AA100" s="721">
        <v>0</v>
      </c>
      <c r="AB100" s="722">
        <v>0.30755751816496069</v>
      </c>
    </row>
    <row r="101" spans="1:30" ht="24" customHeight="1">
      <c r="A101" s="32" t="e">
        <v>#REF!</v>
      </c>
      <c r="B101" s="132" t="s">
        <v>405</v>
      </c>
      <c r="C101" s="133" t="s">
        <v>23</v>
      </c>
      <c r="D101" s="133" t="s">
        <v>65</v>
      </c>
      <c r="E101" s="133" t="s">
        <v>136</v>
      </c>
      <c r="F101" s="133" t="s">
        <v>54</v>
      </c>
      <c r="G101" s="133"/>
      <c r="H101" s="133"/>
      <c r="I101" s="133"/>
      <c r="J101" s="133" t="s">
        <v>28</v>
      </c>
      <c r="K101" s="134" t="s">
        <v>29</v>
      </c>
      <c r="L101" s="134" t="s">
        <v>138</v>
      </c>
      <c r="M101" s="135">
        <v>719000000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5">
        <v>719000000</v>
      </c>
      <c r="T101" s="135">
        <v>466779017</v>
      </c>
      <c r="U101" s="135">
        <v>252220983</v>
      </c>
      <c r="V101" s="137">
        <v>0.64920586509040334</v>
      </c>
      <c r="W101" s="135">
        <v>143561396</v>
      </c>
      <c r="X101" s="135">
        <v>323217621</v>
      </c>
      <c r="Y101" s="137">
        <v>0.69244248183503931</v>
      </c>
      <c r="Z101" s="135">
        <v>143561396</v>
      </c>
      <c r="AA101" s="136">
        <v>0</v>
      </c>
      <c r="AB101" s="723">
        <v>0.30755751816496069</v>
      </c>
    </row>
    <row r="102" spans="1:30" ht="24.95" customHeight="1">
      <c r="A102" s="32" t="e">
        <v>#REF!</v>
      </c>
      <c r="B102" s="138" t="s">
        <v>407</v>
      </c>
      <c r="C102" s="139" t="s">
        <v>23</v>
      </c>
      <c r="D102" s="139" t="s">
        <v>65</v>
      </c>
      <c r="E102" s="139" t="s">
        <v>136</v>
      </c>
      <c r="F102" s="139" t="s">
        <v>54</v>
      </c>
      <c r="G102" s="139" t="s">
        <v>52</v>
      </c>
      <c r="H102" s="139"/>
      <c r="I102" s="139"/>
      <c r="J102" s="139" t="s">
        <v>28</v>
      </c>
      <c r="K102" s="140" t="s">
        <v>29</v>
      </c>
      <c r="L102" s="140" t="s">
        <v>139</v>
      </c>
      <c r="M102" s="141">
        <v>719000000</v>
      </c>
      <c r="N102" s="142">
        <v>0</v>
      </c>
      <c r="O102" s="142">
        <v>0</v>
      </c>
      <c r="P102" s="142">
        <v>0</v>
      </c>
      <c r="Q102" s="142">
        <v>0</v>
      </c>
      <c r="R102" s="142">
        <v>0</v>
      </c>
      <c r="S102" s="141">
        <v>719000000</v>
      </c>
      <c r="T102" s="141">
        <v>466779017</v>
      </c>
      <c r="U102" s="141">
        <v>252220983</v>
      </c>
      <c r="V102" s="143">
        <v>0.64920586509040334</v>
      </c>
      <c r="W102" s="141">
        <v>143561396</v>
      </c>
      <c r="X102" s="141">
        <v>323217621</v>
      </c>
      <c r="Y102" s="143">
        <v>0.69244248183503931</v>
      </c>
      <c r="Z102" s="141">
        <v>143561396</v>
      </c>
      <c r="AA102" s="142">
        <v>0</v>
      </c>
      <c r="AB102" s="724">
        <v>0.30755751816496069</v>
      </c>
    </row>
    <row r="103" spans="1:30" ht="24.95" customHeight="1">
      <c r="A103" s="32" t="e">
        <v>#REF!</v>
      </c>
      <c r="B103" s="144" t="s">
        <v>409</v>
      </c>
      <c r="C103" s="145" t="s">
        <v>23</v>
      </c>
      <c r="D103" s="145" t="s">
        <v>65</v>
      </c>
      <c r="E103" s="145" t="s">
        <v>136</v>
      </c>
      <c r="F103" s="145" t="s">
        <v>54</v>
      </c>
      <c r="G103" s="145" t="s">
        <v>52</v>
      </c>
      <c r="H103" s="145" t="s">
        <v>31</v>
      </c>
      <c r="I103" s="145"/>
      <c r="J103" s="145" t="s">
        <v>28</v>
      </c>
      <c r="K103" s="146" t="s">
        <v>29</v>
      </c>
      <c r="L103" s="147" t="s">
        <v>140</v>
      </c>
      <c r="M103" s="148">
        <v>359500000</v>
      </c>
      <c r="N103" s="148"/>
      <c r="O103" s="148"/>
      <c r="P103" s="148"/>
      <c r="Q103" s="148"/>
      <c r="R103" s="148"/>
      <c r="S103" s="148">
        <v>359500000</v>
      </c>
      <c r="T103" s="148">
        <v>291435682</v>
      </c>
      <c r="U103" s="148">
        <v>68064318</v>
      </c>
      <c r="V103" s="150">
        <v>0.81066949095966623</v>
      </c>
      <c r="W103" s="148">
        <v>134826439</v>
      </c>
      <c r="X103" s="148">
        <v>156609243</v>
      </c>
      <c r="Y103" s="150">
        <v>0.53737154601405324</v>
      </c>
      <c r="Z103" s="148">
        <v>134826439</v>
      </c>
      <c r="AA103" s="148">
        <v>0</v>
      </c>
      <c r="AB103" s="150">
        <v>0.46262845398594671</v>
      </c>
    </row>
    <row r="104" spans="1:30" ht="24.95" customHeight="1">
      <c r="A104" s="32" t="e">
        <v>#REF!</v>
      </c>
      <c r="B104" s="144" t="s">
        <v>411</v>
      </c>
      <c r="C104" s="145" t="s">
        <v>23</v>
      </c>
      <c r="D104" s="145" t="s">
        <v>65</v>
      </c>
      <c r="E104" s="145" t="s">
        <v>136</v>
      </c>
      <c r="F104" s="145" t="s">
        <v>54</v>
      </c>
      <c r="G104" s="145" t="s">
        <v>52</v>
      </c>
      <c r="H104" s="145" t="s">
        <v>34</v>
      </c>
      <c r="I104" s="145"/>
      <c r="J104" s="145" t="s">
        <v>28</v>
      </c>
      <c r="K104" s="146" t="s">
        <v>29</v>
      </c>
      <c r="L104" s="147" t="s">
        <v>141</v>
      </c>
      <c r="M104" s="148">
        <v>359500000</v>
      </c>
      <c r="N104" s="148"/>
      <c r="O104" s="148"/>
      <c r="P104" s="148"/>
      <c r="Q104" s="148"/>
      <c r="R104" s="148"/>
      <c r="S104" s="148">
        <v>359500000</v>
      </c>
      <c r="T104" s="148">
        <v>175343335</v>
      </c>
      <c r="U104" s="148">
        <v>184156665</v>
      </c>
      <c r="V104" s="150">
        <v>0.48774223922114046</v>
      </c>
      <c r="W104" s="148">
        <v>8734957</v>
      </c>
      <c r="X104" s="148">
        <v>166608378</v>
      </c>
      <c r="Y104" s="150">
        <v>0.9501836953198135</v>
      </c>
      <c r="Z104" s="148">
        <v>8734957</v>
      </c>
      <c r="AA104" s="148">
        <v>0</v>
      </c>
      <c r="AB104" s="150">
        <v>4.9816304680186448E-2</v>
      </c>
    </row>
    <row r="105" spans="1:30" ht="24.95" hidden="1" customHeight="1">
      <c r="A105" s="32" t="e">
        <v>#REF!</v>
      </c>
      <c r="B105" s="32"/>
      <c r="C105" s="145" t="s">
        <v>23</v>
      </c>
      <c r="D105" s="145" t="s">
        <v>65</v>
      </c>
      <c r="E105" s="145" t="s">
        <v>136</v>
      </c>
      <c r="F105" s="145" t="s">
        <v>54</v>
      </c>
      <c r="G105" s="145" t="s">
        <v>142</v>
      </c>
      <c r="H105" s="145"/>
      <c r="I105" s="145"/>
      <c r="J105" s="145" t="s">
        <v>28</v>
      </c>
      <c r="K105" s="146" t="s">
        <v>29</v>
      </c>
      <c r="L105" s="147" t="s">
        <v>260</v>
      </c>
      <c r="M105" s="148">
        <v>0</v>
      </c>
      <c r="N105" s="148"/>
      <c r="O105" s="148"/>
      <c r="P105" s="148"/>
      <c r="Q105" s="148"/>
      <c r="R105" s="148"/>
      <c r="S105" s="148">
        <v>0</v>
      </c>
      <c r="T105" s="148">
        <v>0</v>
      </c>
      <c r="U105" s="148">
        <v>0</v>
      </c>
      <c r="V105" s="150">
        <v>0</v>
      </c>
      <c r="W105" s="148">
        <v>0</v>
      </c>
      <c r="X105" s="148">
        <v>0</v>
      </c>
      <c r="Y105" s="150">
        <v>0</v>
      </c>
      <c r="Z105" s="148">
        <v>0</v>
      </c>
      <c r="AA105" s="148">
        <v>0</v>
      </c>
      <c r="AB105" s="150">
        <v>0</v>
      </c>
    </row>
    <row r="106" spans="1:30" ht="24" customHeight="1">
      <c r="A106" s="32" t="e">
        <v>#REF!</v>
      </c>
      <c r="B106" s="127" t="s">
        <v>415</v>
      </c>
      <c r="C106" s="128" t="s">
        <v>23</v>
      </c>
      <c r="D106" s="128" t="s">
        <v>65</v>
      </c>
      <c r="E106" s="128" t="s">
        <v>28</v>
      </c>
      <c r="F106" s="128"/>
      <c r="G106" s="128"/>
      <c r="H106" s="128"/>
      <c r="I106" s="128"/>
      <c r="J106" s="129"/>
      <c r="K106" s="129"/>
      <c r="L106" s="129" t="s">
        <v>143</v>
      </c>
      <c r="M106" s="130">
        <v>2359000000</v>
      </c>
      <c r="N106" s="721">
        <v>0</v>
      </c>
      <c r="O106" s="721">
        <v>0</v>
      </c>
      <c r="P106" s="721">
        <v>0</v>
      </c>
      <c r="Q106" s="721">
        <v>0</v>
      </c>
      <c r="R106" s="721">
        <v>0</v>
      </c>
      <c r="S106" s="130">
        <v>2359000000</v>
      </c>
      <c r="T106" s="130">
        <v>1576345344.73</v>
      </c>
      <c r="U106" s="130">
        <v>782654655.26999998</v>
      </c>
      <c r="V106" s="131">
        <v>0.66822608933022465</v>
      </c>
      <c r="W106" s="130">
        <v>1576345344.73</v>
      </c>
      <c r="X106" s="130">
        <v>0</v>
      </c>
      <c r="Y106" s="131">
        <v>0</v>
      </c>
      <c r="Z106" s="130">
        <v>1576345344.73</v>
      </c>
      <c r="AA106" s="130">
        <v>0</v>
      </c>
      <c r="AB106" s="722">
        <v>1</v>
      </c>
    </row>
    <row r="107" spans="1:30" ht="24" customHeight="1">
      <c r="A107" s="32" t="e">
        <v>#REF!</v>
      </c>
      <c r="B107" s="132" t="s">
        <v>417</v>
      </c>
      <c r="C107" s="133" t="s">
        <v>23</v>
      </c>
      <c r="D107" s="133" t="s">
        <v>65</v>
      </c>
      <c r="E107" s="133" t="s">
        <v>28</v>
      </c>
      <c r="F107" s="133" t="s">
        <v>25</v>
      </c>
      <c r="G107" s="133"/>
      <c r="H107" s="133"/>
      <c r="I107" s="133"/>
      <c r="J107" s="133" t="s">
        <v>144</v>
      </c>
      <c r="K107" s="134" t="s">
        <v>29</v>
      </c>
      <c r="L107" s="134" t="s">
        <v>145</v>
      </c>
      <c r="M107" s="135">
        <v>2359000000</v>
      </c>
      <c r="N107" s="135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2359000000</v>
      </c>
      <c r="T107" s="135">
        <v>1576345344.73</v>
      </c>
      <c r="U107" s="135">
        <v>782654655.26999998</v>
      </c>
      <c r="V107" s="137">
        <v>0.66822608933022465</v>
      </c>
      <c r="W107" s="135">
        <v>1576345344.73</v>
      </c>
      <c r="X107" s="135">
        <v>0</v>
      </c>
      <c r="Y107" s="137">
        <v>0</v>
      </c>
      <c r="Z107" s="135">
        <v>1576345344.73</v>
      </c>
      <c r="AA107" s="135">
        <v>0</v>
      </c>
      <c r="AB107" s="723">
        <v>1</v>
      </c>
    </row>
    <row r="108" spans="1:30" ht="24.95" customHeight="1">
      <c r="A108" s="32" t="e">
        <v>#REF!</v>
      </c>
      <c r="B108" s="144" t="s">
        <v>418</v>
      </c>
      <c r="C108" s="145" t="s">
        <v>23</v>
      </c>
      <c r="D108" s="145" t="s">
        <v>65</v>
      </c>
      <c r="E108" s="145" t="s">
        <v>28</v>
      </c>
      <c r="F108" s="145" t="s">
        <v>25</v>
      </c>
      <c r="G108" s="145" t="s">
        <v>31</v>
      </c>
      <c r="H108" s="145"/>
      <c r="I108" s="145"/>
      <c r="J108" s="145">
        <v>10</v>
      </c>
      <c r="K108" s="146" t="s">
        <v>29</v>
      </c>
      <c r="L108" s="147" t="s">
        <v>146</v>
      </c>
      <c r="M108" s="149">
        <v>2311820000</v>
      </c>
      <c r="N108" s="148"/>
      <c r="O108" s="148"/>
      <c r="P108" s="148"/>
      <c r="Q108" s="148"/>
      <c r="R108" s="148"/>
      <c r="S108" s="148">
        <v>2311820000</v>
      </c>
      <c r="T108" s="149">
        <v>1556932751.73</v>
      </c>
      <c r="U108" s="148">
        <v>754887248.26999998</v>
      </c>
      <c r="V108" s="150">
        <v>0.67346625244612468</v>
      </c>
      <c r="W108" s="148">
        <v>1556932751.73</v>
      </c>
      <c r="X108" s="148">
        <v>0</v>
      </c>
      <c r="Y108" s="150">
        <v>0</v>
      </c>
      <c r="Z108" s="148">
        <v>1556932751.73</v>
      </c>
      <c r="AA108" s="148">
        <v>0</v>
      </c>
      <c r="AB108" s="150">
        <v>1</v>
      </c>
    </row>
    <row r="109" spans="1:30" ht="24.95" customHeight="1">
      <c r="A109" s="32" t="e">
        <v>#REF!</v>
      </c>
      <c r="B109" s="144" t="s">
        <v>419</v>
      </c>
      <c r="C109" s="145" t="s">
        <v>23</v>
      </c>
      <c r="D109" s="145" t="s">
        <v>65</v>
      </c>
      <c r="E109" s="145" t="s">
        <v>28</v>
      </c>
      <c r="F109" s="145" t="s">
        <v>25</v>
      </c>
      <c r="G109" s="151" t="s">
        <v>34</v>
      </c>
      <c r="H109" s="145"/>
      <c r="I109" s="145"/>
      <c r="J109" s="145">
        <v>10</v>
      </c>
      <c r="K109" s="146" t="s">
        <v>29</v>
      </c>
      <c r="L109" s="147" t="s">
        <v>147</v>
      </c>
      <c r="M109" s="149">
        <v>47180000</v>
      </c>
      <c r="N109" s="148"/>
      <c r="O109" s="148"/>
      <c r="P109" s="148"/>
      <c r="Q109" s="148"/>
      <c r="R109" s="148"/>
      <c r="S109" s="148">
        <v>47180000</v>
      </c>
      <c r="T109" s="149">
        <v>19412593</v>
      </c>
      <c r="U109" s="148">
        <v>27767407</v>
      </c>
      <c r="V109" s="150">
        <v>0.41145809665112337</v>
      </c>
      <c r="W109" s="148">
        <v>19412593</v>
      </c>
      <c r="X109" s="148">
        <v>0</v>
      </c>
      <c r="Y109" s="150">
        <v>0</v>
      </c>
      <c r="Z109" s="148">
        <v>19412593</v>
      </c>
      <c r="AA109" s="148">
        <v>0</v>
      </c>
      <c r="AB109" s="150">
        <v>1</v>
      </c>
    </row>
    <row r="110" spans="1:30" ht="24" customHeight="1">
      <c r="A110" s="32" t="e">
        <v>#REF!</v>
      </c>
      <c r="B110" s="122" t="s">
        <v>421</v>
      </c>
      <c r="C110" s="123" t="s">
        <v>23</v>
      </c>
      <c r="D110" s="123" t="s">
        <v>148</v>
      </c>
      <c r="E110" s="123"/>
      <c r="F110" s="123"/>
      <c r="G110" s="123"/>
      <c r="H110" s="123"/>
      <c r="I110" s="123"/>
      <c r="J110" s="124"/>
      <c r="K110" s="124"/>
      <c r="L110" s="124" t="s">
        <v>149</v>
      </c>
      <c r="M110" s="125">
        <v>17105900000</v>
      </c>
      <c r="N110" s="719">
        <v>0</v>
      </c>
      <c r="O110" s="719">
        <v>0</v>
      </c>
      <c r="P110" s="719">
        <v>0</v>
      </c>
      <c r="Q110" s="719">
        <v>0</v>
      </c>
      <c r="R110" s="719">
        <v>0</v>
      </c>
      <c r="S110" s="125">
        <v>17105900000</v>
      </c>
      <c r="T110" s="125">
        <v>81928512</v>
      </c>
      <c r="U110" s="125">
        <v>17023971488</v>
      </c>
      <c r="V110" s="126">
        <v>4.789488539042085E-3</v>
      </c>
      <c r="W110" s="125">
        <v>81928512</v>
      </c>
      <c r="X110" s="125">
        <v>0</v>
      </c>
      <c r="Y110" s="126">
        <v>0</v>
      </c>
      <c r="Z110" s="125">
        <v>81784318</v>
      </c>
      <c r="AA110" s="125">
        <v>144194</v>
      </c>
      <c r="AB110" s="720">
        <v>0.99824000221070774</v>
      </c>
    </row>
    <row r="111" spans="1:30" ht="24" customHeight="1">
      <c r="A111" s="32" t="e">
        <v>#REF!</v>
      </c>
      <c r="B111" s="127" t="s">
        <v>423</v>
      </c>
      <c r="C111" s="128" t="s">
        <v>23</v>
      </c>
      <c r="D111" s="128" t="s">
        <v>148</v>
      </c>
      <c r="E111" s="128" t="s">
        <v>25</v>
      </c>
      <c r="F111" s="128"/>
      <c r="G111" s="128"/>
      <c r="H111" s="128"/>
      <c r="I111" s="128"/>
      <c r="J111" s="129"/>
      <c r="K111" s="129"/>
      <c r="L111" s="129" t="s">
        <v>150</v>
      </c>
      <c r="M111" s="130">
        <v>137900000</v>
      </c>
      <c r="N111" s="721">
        <v>0</v>
      </c>
      <c r="O111" s="721">
        <v>0</v>
      </c>
      <c r="P111" s="721">
        <v>0</v>
      </c>
      <c r="Q111" s="721">
        <v>0</v>
      </c>
      <c r="R111" s="721">
        <v>0</v>
      </c>
      <c r="S111" s="130">
        <v>137900000</v>
      </c>
      <c r="T111" s="130">
        <v>81928512</v>
      </c>
      <c r="U111" s="130">
        <v>55971488</v>
      </c>
      <c r="V111" s="131">
        <v>0.59411538796229146</v>
      </c>
      <c r="W111" s="130">
        <v>81928512</v>
      </c>
      <c r="X111" s="130">
        <v>0</v>
      </c>
      <c r="Y111" s="131">
        <v>0</v>
      </c>
      <c r="Z111" s="130">
        <v>81784318</v>
      </c>
      <c r="AA111" s="130">
        <v>144194</v>
      </c>
      <c r="AB111" s="722">
        <v>0.99824000221070774</v>
      </c>
    </row>
    <row r="112" spans="1:30" ht="24" customHeight="1">
      <c r="A112" s="32" t="e">
        <v>#REF!</v>
      </c>
      <c r="B112" s="132" t="s">
        <v>425</v>
      </c>
      <c r="C112" s="133" t="s">
        <v>23</v>
      </c>
      <c r="D112" s="133" t="s">
        <v>148</v>
      </c>
      <c r="E112" s="133" t="s">
        <v>25</v>
      </c>
      <c r="F112" s="133" t="s">
        <v>54</v>
      </c>
      <c r="G112" s="133"/>
      <c r="H112" s="133"/>
      <c r="I112" s="133"/>
      <c r="J112" s="133" t="s">
        <v>28</v>
      </c>
      <c r="K112" s="134" t="s">
        <v>29</v>
      </c>
      <c r="L112" s="134" t="s">
        <v>151</v>
      </c>
      <c r="M112" s="135">
        <v>137900000</v>
      </c>
      <c r="N112" s="136">
        <v>0</v>
      </c>
      <c r="O112" s="136">
        <v>0</v>
      </c>
      <c r="P112" s="136">
        <v>0</v>
      </c>
      <c r="Q112" s="136">
        <v>0</v>
      </c>
      <c r="R112" s="136">
        <v>0</v>
      </c>
      <c r="S112" s="135">
        <v>137900000</v>
      </c>
      <c r="T112" s="135">
        <v>81928512</v>
      </c>
      <c r="U112" s="135">
        <v>55971488</v>
      </c>
      <c r="V112" s="137">
        <v>0.59411538796229146</v>
      </c>
      <c r="W112" s="135">
        <v>81928512</v>
      </c>
      <c r="X112" s="136">
        <v>0</v>
      </c>
      <c r="Y112" s="137">
        <v>0</v>
      </c>
      <c r="Z112" s="135">
        <v>81784318</v>
      </c>
      <c r="AA112" s="135">
        <v>144194</v>
      </c>
      <c r="AB112" s="723">
        <v>0.99824000221070774</v>
      </c>
    </row>
    <row r="113" spans="1:28" ht="24.95" customHeight="1">
      <c r="A113" s="32" t="e">
        <v>#REF!</v>
      </c>
      <c r="B113" s="144" t="s">
        <v>427</v>
      </c>
      <c r="C113" s="145" t="s">
        <v>23</v>
      </c>
      <c r="D113" s="145" t="s">
        <v>148</v>
      </c>
      <c r="E113" s="145" t="s">
        <v>25</v>
      </c>
      <c r="F113" s="145" t="s">
        <v>54</v>
      </c>
      <c r="G113" s="145" t="s">
        <v>31</v>
      </c>
      <c r="H113" s="145"/>
      <c r="I113" s="145"/>
      <c r="J113" s="145" t="s">
        <v>28</v>
      </c>
      <c r="K113" s="146" t="s">
        <v>29</v>
      </c>
      <c r="L113" s="147" t="s">
        <v>152</v>
      </c>
      <c r="M113" s="148">
        <v>61800000</v>
      </c>
      <c r="N113" s="148">
        <v>0</v>
      </c>
      <c r="O113" s="148"/>
      <c r="P113" s="148"/>
      <c r="Q113" s="148"/>
      <c r="R113" s="148"/>
      <c r="S113" s="148">
        <v>61800000</v>
      </c>
      <c r="T113" s="148">
        <v>46149614</v>
      </c>
      <c r="U113" s="148">
        <v>15650386</v>
      </c>
      <c r="V113" s="150">
        <v>0.74675750809061492</v>
      </c>
      <c r="W113" s="148">
        <v>46149614</v>
      </c>
      <c r="X113" s="148">
        <v>0</v>
      </c>
      <c r="Y113" s="150">
        <v>0</v>
      </c>
      <c r="Z113" s="148">
        <v>46149614</v>
      </c>
      <c r="AA113" s="148">
        <v>0</v>
      </c>
      <c r="AB113" s="150">
        <v>1</v>
      </c>
    </row>
    <row r="114" spans="1:28" ht="24.95" customHeight="1">
      <c r="A114" s="32" t="e">
        <v>#REF!</v>
      </c>
      <c r="B114" s="144" t="s">
        <v>429</v>
      </c>
      <c r="C114" s="145" t="s">
        <v>23</v>
      </c>
      <c r="D114" s="145" t="s">
        <v>148</v>
      </c>
      <c r="E114" s="145" t="s">
        <v>25</v>
      </c>
      <c r="F114" s="145" t="s">
        <v>54</v>
      </c>
      <c r="G114" s="145" t="s">
        <v>38</v>
      </c>
      <c r="H114" s="145"/>
      <c r="I114" s="145"/>
      <c r="J114" s="145" t="s">
        <v>28</v>
      </c>
      <c r="K114" s="146" t="s">
        <v>29</v>
      </c>
      <c r="L114" s="147" t="s">
        <v>153</v>
      </c>
      <c r="M114" s="148">
        <v>50000000</v>
      </c>
      <c r="N114" s="148"/>
      <c r="O114" s="148"/>
      <c r="P114" s="148"/>
      <c r="Q114" s="148"/>
      <c r="R114" s="148"/>
      <c r="S114" s="148">
        <v>50000000</v>
      </c>
      <c r="T114" s="148">
        <v>28681748</v>
      </c>
      <c r="U114" s="148">
        <v>21318252</v>
      </c>
      <c r="V114" s="150">
        <v>0.57363496000000003</v>
      </c>
      <c r="W114" s="148">
        <v>28681748</v>
      </c>
      <c r="X114" s="148">
        <v>0</v>
      </c>
      <c r="Y114" s="150">
        <v>0</v>
      </c>
      <c r="Z114" s="148">
        <v>28537554</v>
      </c>
      <c r="AA114" s="148">
        <v>144194</v>
      </c>
      <c r="AB114" s="150">
        <v>0.9949726216128808</v>
      </c>
    </row>
    <row r="115" spans="1:28" ht="24.95" customHeight="1">
      <c r="A115" s="32" t="e">
        <v>#REF!</v>
      </c>
      <c r="B115" s="144" t="s">
        <v>431</v>
      </c>
      <c r="C115" s="145" t="s">
        <v>23</v>
      </c>
      <c r="D115" s="145" t="s">
        <v>148</v>
      </c>
      <c r="E115" s="145" t="s">
        <v>25</v>
      </c>
      <c r="F115" s="145" t="s">
        <v>54</v>
      </c>
      <c r="G115" s="145" t="s">
        <v>42</v>
      </c>
      <c r="H115" s="145"/>
      <c r="I115" s="145"/>
      <c r="J115" s="145" t="s">
        <v>28</v>
      </c>
      <c r="K115" s="146" t="s">
        <v>29</v>
      </c>
      <c r="L115" s="147" t="s">
        <v>154</v>
      </c>
      <c r="M115" s="148">
        <v>26100000</v>
      </c>
      <c r="N115" s="148">
        <v>0</v>
      </c>
      <c r="O115" s="148"/>
      <c r="P115" s="148"/>
      <c r="Q115" s="148"/>
      <c r="R115" s="148"/>
      <c r="S115" s="148">
        <v>26100000</v>
      </c>
      <c r="T115" s="148">
        <v>7097150</v>
      </c>
      <c r="U115" s="148">
        <v>19002850</v>
      </c>
      <c r="V115" s="150">
        <v>0.27192145593869732</v>
      </c>
      <c r="W115" s="148">
        <v>7097150</v>
      </c>
      <c r="X115" s="148">
        <v>0</v>
      </c>
      <c r="Y115" s="150">
        <v>0</v>
      </c>
      <c r="Z115" s="148">
        <v>7097150</v>
      </c>
      <c r="AA115" s="148">
        <v>0</v>
      </c>
      <c r="AB115" s="150">
        <v>1</v>
      </c>
    </row>
    <row r="116" spans="1:28" ht="24" customHeight="1">
      <c r="A116" s="32" t="e">
        <v>#REF!</v>
      </c>
      <c r="B116" s="127" t="s">
        <v>432</v>
      </c>
      <c r="C116" s="128" t="s">
        <v>23</v>
      </c>
      <c r="D116" s="128" t="s">
        <v>148</v>
      </c>
      <c r="E116" s="128" t="s">
        <v>136</v>
      </c>
      <c r="F116" s="128"/>
      <c r="G116" s="128"/>
      <c r="H116" s="128"/>
      <c r="I116" s="128"/>
      <c r="J116" s="129"/>
      <c r="K116" s="129"/>
      <c r="L116" s="129" t="s">
        <v>155</v>
      </c>
      <c r="M116" s="130">
        <v>16968000000</v>
      </c>
      <c r="N116" s="721">
        <v>0</v>
      </c>
      <c r="O116" s="721">
        <v>0</v>
      </c>
      <c r="P116" s="721">
        <v>0</v>
      </c>
      <c r="Q116" s="721">
        <v>0</v>
      </c>
      <c r="R116" s="721">
        <v>0</v>
      </c>
      <c r="S116" s="130">
        <v>16968000000</v>
      </c>
      <c r="T116" s="130">
        <v>0</v>
      </c>
      <c r="U116" s="130">
        <v>16968000000</v>
      </c>
      <c r="V116" s="131">
        <v>0</v>
      </c>
      <c r="W116" s="130">
        <v>0</v>
      </c>
      <c r="X116" s="130">
        <v>0</v>
      </c>
      <c r="Y116" s="131">
        <v>0</v>
      </c>
      <c r="Z116" s="130">
        <v>0</v>
      </c>
      <c r="AA116" s="130">
        <v>0</v>
      </c>
      <c r="AB116" s="722">
        <v>0</v>
      </c>
    </row>
    <row r="117" spans="1:28" ht="24.95" hidden="1" customHeight="1">
      <c r="A117" s="32"/>
      <c r="B117" s="32"/>
      <c r="C117" s="145" t="s">
        <v>23</v>
      </c>
      <c r="D117" s="145" t="s">
        <v>148</v>
      </c>
      <c r="E117" s="145" t="s">
        <v>136</v>
      </c>
      <c r="F117" s="145" t="s">
        <v>25</v>
      </c>
      <c r="G117" s="145"/>
      <c r="H117" s="145"/>
      <c r="I117" s="145"/>
      <c r="J117" s="145">
        <v>10</v>
      </c>
      <c r="K117" s="146" t="s">
        <v>156</v>
      </c>
      <c r="L117" s="147" t="s">
        <v>157</v>
      </c>
      <c r="M117" s="148">
        <v>0</v>
      </c>
      <c r="N117" s="148"/>
      <c r="O117" s="148"/>
      <c r="P117" s="148"/>
      <c r="Q117" s="148"/>
      <c r="R117" s="148"/>
      <c r="S117" s="148">
        <v>0</v>
      </c>
      <c r="T117" s="148">
        <v>0</v>
      </c>
      <c r="U117" s="148">
        <v>0</v>
      </c>
      <c r="V117" s="150">
        <v>0</v>
      </c>
      <c r="W117" s="148">
        <v>0</v>
      </c>
      <c r="X117" s="148">
        <v>0</v>
      </c>
      <c r="Y117" s="150">
        <v>0</v>
      </c>
      <c r="Z117" s="148">
        <v>0</v>
      </c>
      <c r="AA117" s="148">
        <v>0</v>
      </c>
      <c r="AB117" s="150">
        <v>0</v>
      </c>
    </row>
    <row r="118" spans="1:28" ht="24.95" customHeight="1">
      <c r="A118" s="32" t="e">
        <v>#REF!</v>
      </c>
      <c r="B118" s="144" t="s">
        <v>434</v>
      </c>
      <c r="C118" s="145" t="s">
        <v>23</v>
      </c>
      <c r="D118" s="145" t="s">
        <v>148</v>
      </c>
      <c r="E118" s="145" t="s">
        <v>136</v>
      </c>
      <c r="F118" s="145" t="s">
        <v>25</v>
      </c>
      <c r="G118" s="145"/>
      <c r="H118" s="145"/>
      <c r="I118" s="145"/>
      <c r="J118" s="145" t="s">
        <v>144</v>
      </c>
      <c r="K118" s="146" t="s">
        <v>156</v>
      </c>
      <c r="L118" s="147" t="s">
        <v>157</v>
      </c>
      <c r="M118" s="149">
        <v>16968000000</v>
      </c>
      <c r="N118" s="148"/>
      <c r="O118" s="148"/>
      <c r="P118" s="148"/>
      <c r="Q118" s="148"/>
      <c r="R118" s="148"/>
      <c r="S118" s="149">
        <v>16968000000</v>
      </c>
      <c r="T118" s="149">
        <v>0</v>
      </c>
      <c r="U118" s="148">
        <v>16968000000</v>
      </c>
      <c r="V118" s="150">
        <v>0</v>
      </c>
      <c r="W118" s="148">
        <v>0</v>
      </c>
      <c r="X118" s="148">
        <v>0</v>
      </c>
      <c r="Y118" s="150">
        <v>0</v>
      </c>
      <c r="Z118" s="148">
        <v>0</v>
      </c>
      <c r="AA118" s="148">
        <v>0</v>
      </c>
      <c r="AB118" s="150">
        <v>0</v>
      </c>
    </row>
    <row r="119" spans="1:28" ht="35.1" customHeight="1">
      <c r="A119" s="32" t="e">
        <v>#REF!</v>
      </c>
      <c r="B119" s="117" t="s">
        <v>162</v>
      </c>
      <c r="C119" s="118" t="s">
        <v>162</v>
      </c>
      <c r="D119" s="119"/>
      <c r="E119" s="119"/>
      <c r="F119" s="119"/>
      <c r="G119" s="119"/>
      <c r="H119" s="119"/>
      <c r="I119" s="119"/>
      <c r="J119" s="119"/>
      <c r="K119" s="119"/>
      <c r="L119" s="119" t="s">
        <v>163</v>
      </c>
      <c r="M119" s="120">
        <v>381865302</v>
      </c>
      <c r="N119" s="717">
        <v>0</v>
      </c>
      <c r="O119" s="717">
        <v>0</v>
      </c>
      <c r="P119" s="717">
        <v>0</v>
      </c>
      <c r="Q119" s="717">
        <v>0</v>
      </c>
      <c r="R119" s="717">
        <v>0</v>
      </c>
      <c r="S119" s="120">
        <v>381865302</v>
      </c>
      <c r="T119" s="120">
        <v>0</v>
      </c>
      <c r="U119" s="120">
        <v>381865302</v>
      </c>
      <c r="V119" s="121">
        <v>0</v>
      </c>
      <c r="W119" s="120">
        <v>0</v>
      </c>
      <c r="X119" s="120">
        <v>0</v>
      </c>
      <c r="Y119" s="121">
        <v>0</v>
      </c>
      <c r="Z119" s="120">
        <v>0</v>
      </c>
      <c r="AA119" s="120">
        <v>0</v>
      </c>
      <c r="AB119" s="718">
        <v>0</v>
      </c>
    </row>
    <row r="120" spans="1:28" ht="24" customHeight="1">
      <c r="A120" s="32" t="e">
        <v>#REF!</v>
      </c>
      <c r="B120" s="122" t="s">
        <v>729</v>
      </c>
      <c r="C120" s="123" t="s">
        <v>162</v>
      </c>
      <c r="D120" s="123">
        <v>10</v>
      </c>
      <c r="E120" s="123"/>
      <c r="F120" s="123"/>
      <c r="G120" s="123"/>
      <c r="H120" s="123"/>
      <c r="I120" s="123"/>
      <c r="J120" s="124"/>
      <c r="K120" s="124"/>
      <c r="L120" s="124" t="s">
        <v>164</v>
      </c>
      <c r="M120" s="125">
        <v>381865302</v>
      </c>
      <c r="N120" s="719">
        <v>0</v>
      </c>
      <c r="O120" s="719">
        <v>0</v>
      </c>
      <c r="P120" s="125">
        <v>0</v>
      </c>
      <c r="Q120" s="125">
        <v>0</v>
      </c>
      <c r="R120" s="719">
        <v>0</v>
      </c>
      <c r="S120" s="125">
        <v>381865302</v>
      </c>
      <c r="T120" s="125">
        <v>0</v>
      </c>
      <c r="U120" s="125">
        <v>381865302</v>
      </c>
      <c r="V120" s="126">
        <v>0</v>
      </c>
      <c r="W120" s="125">
        <v>0</v>
      </c>
      <c r="X120" s="125">
        <v>0</v>
      </c>
      <c r="Y120" s="126">
        <v>0</v>
      </c>
      <c r="Z120" s="125">
        <v>0</v>
      </c>
      <c r="AA120" s="125">
        <v>0</v>
      </c>
      <c r="AB120" s="720">
        <v>0</v>
      </c>
    </row>
    <row r="121" spans="1:28" ht="24" customHeight="1">
      <c r="A121" s="32" t="e">
        <v>#REF!</v>
      </c>
      <c r="B121" s="127" t="s">
        <v>730</v>
      </c>
      <c r="C121" s="128" t="s">
        <v>162</v>
      </c>
      <c r="D121" s="128">
        <v>10</v>
      </c>
      <c r="E121" s="128" t="s">
        <v>136</v>
      </c>
      <c r="F121" s="128"/>
      <c r="G121" s="128"/>
      <c r="H121" s="128"/>
      <c r="I121" s="128"/>
      <c r="J121" s="129"/>
      <c r="K121" s="129"/>
      <c r="L121" s="129" t="s">
        <v>165</v>
      </c>
      <c r="M121" s="130">
        <v>381865302</v>
      </c>
      <c r="N121" s="130">
        <v>0</v>
      </c>
      <c r="O121" s="130">
        <v>0</v>
      </c>
      <c r="P121" s="130">
        <v>0</v>
      </c>
      <c r="Q121" s="130">
        <v>0</v>
      </c>
      <c r="R121" s="130">
        <v>0</v>
      </c>
      <c r="S121" s="130">
        <v>381865302</v>
      </c>
      <c r="T121" s="130">
        <v>0</v>
      </c>
      <c r="U121" s="130">
        <v>381865302</v>
      </c>
      <c r="V121" s="131">
        <v>0</v>
      </c>
      <c r="W121" s="130">
        <v>0</v>
      </c>
      <c r="X121" s="130">
        <v>0</v>
      </c>
      <c r="Y121" s="131">
        <v>0</v>
      </c>
      <c r="Z121" s="130">
        <v>0</v>
      </c>
      <c r="AA121" s="130">
        <v>0</v>
      </c>
      <c r="AB121" s="722">
        <v>0</v>
      </c>
    </row>
    <row r="122" spans="1:28" ht="24.95" customHeight="1">
      <c r="A122" s="32" t="e">
        <v>#REF!</v>
      </c>
      <c r="B122" s="144" t="s">
        <v>731</v>
      </c>
      <c r="C122" s="145" t="s">
        <v>162</v>
      </c>
      <c r="D122" s="145">
        <v>10</v>
      </c>
      <c r="E122" s="145" t="s">
        <v>136</v>
      </c>
      <c r="F122" s="145" t="s">
        <v>25</v>
      </c>
      <c r="G122" s="145"/>
      <c r="H122" s="145"/>
      <c r="I122" s="145"/>
      <c r="J122" s="145" t="s">
        <v>144</v>
      </c>
      <c r="K122" s="146" t="s">
        <v>29</v>
      </c>
      <c r="L122" s="147" t="s">
        <v>166</v>
      </c>
      <c r="M122" s="149">
        <v>381865302</v>
      </c>
      <c r="N122" s="148"/>
      <c r="O122" s="148"/>
      <c r="P122" s="148"/>
      <c r="Q122" s="148"/>
      <c r="R122" s="148"/>
      <c r="S122" s="149">
        <v>381865302</v>
      </c>
      <c r="T122" s="149">
        <v>0</v>
      </c>
      <c r="U122" s="148">
        <v>381865302</v>
      </c>
      <c r="V122" s="150">
        <v>0</v>
      </c>
      <c r="W122" s="148">
        <v>0</v>
      </c>
      <c r="X122" s="148">
        <v>0</v>
      </c>
      <c r="Y122" s="150">
        <v>0</v>
      </c>
      <c r="Z122" s="148">
        <v>0</v>
      </c>
      <c r="AA122" s="148">
        <v>0</v>
      </c>
      <c r="AB122" s="150">
        <v>0</v>
      </c>
    </row>
    <row r="123" spans="1:28" ht="35.1" customHeight="1">
      <c r="A123" s="32" t="e">
        <v>#REF!</v>
      </c>
      <c r="B123" s="117" t="s">
        <v>167</v>
      </c>
      <c r="C123" s="118" t="s">
        <v>167</v>
      </c>
      <c r="D123" s="119"/>
      <c r="E123" s="119"/>
      <c r="F123" s="119"/>
      <c r="G123" s="119"/>
      <c r="H123" s="119"/>
      <c r="I123" s="119"/>
      <c r="J123" s="119"/>
      <c r="K123" s="119"/>
      <c r="L123" s="119" t="s">
        <v>168</v>
      </c>
      <c r="M123" s="120">
        <v>12916249110989</v>
      </c>
      <c r="N123" s="120">
        <v>5269349000</v>
      </c>
      <c r="O123" s="717">
        <v>0</v>
      </c>
      <c r="P123" s="120">
        <v>130242461332.46001</v>
      </c>
      <c r="Q123" s="120">
        <v>130242461332.46001</v>
      </c>
      <c r="R123" s="717">
        <v>0</v>
      </c>
      <c r="S123" s="120">
        <v>12921518459989</v>
      </c>
      <c r="T123" s="120">
        <v>8750186793696.2188</v>
      </c>
      <c r="U123" s="120">
        <v>4171331666292.7798</v>
      </c>
      <c r="V123" s="121">
        <v>0.67717945230592258</v>
      </c>
      <c r="W123" s="120">
        <v>7345652600273.3096</v>
      </c>
      <c r="X123" s="120">
        <v>1404534193422.9104</v>
      </c>
      <c r="Y123" s="121">
        <v>0.16051476688872063</v>
      </c>
      <c r="Z123" s="120">
        <v>7215469085471.3096</v>
      </c>
      <c r="AA123" s="120">
        <v>130183514802</v>
      </c>
      <c r="AB123" s="718">
        <v>0.82460743474293074</v>
      </c>
    </row>
    <row r="124" spans="1:28" ht="27.75" hidden="1" customHeight="1">
      <c r="A124" s="32" t="e">
        <v>#REF!</v>
      </c>
      <c r="B124" s="122" t="s">
        <v>437</v>
      </c>
      <c r="C124" s="123" t="s">
        <v>167</v>
      </c>
      <c r="D124" s="123">
        <v>4101</v>
      </c>
      <c r="E124" s="123"/>
      <c r="F124" s="123"/>
      <c r="G124" s="123"/>
      <c r="H124" s="123"/>
      <c r="I124" s="123"/>
      <c r="J124" s="124"/>
      <c r="K124" s="124"/>
      <c r="L124" s="124" t="s">
        <v>169</v>
      </c>
      <c r="M124" s="125">
        <v>0</v>
      </c>
      <c r="N124" s="719">
        <v>0</v>
      </c>
      <c r="O124" s="719">
        <v>0</v>
      </c>
      <c r="P124" s="719">
        <v>0</v>
      </c>
      <c r="Q124" s="719">
        <v>0</v>
      </c>
      <c r="R124" s="719">
        <v>0</v>
      </c>
      <c r="S124" s="125">
        <v>0</v>
      </c>
      <c r="T124" s="125">
        <v>0</v>
      </c>
      <c r="U124" s="125">
        <v>0</v>
      </c>
      <c r="V124" s="126">
        <v>0</v>
      </c>
      <c r="W124" s="125">
        <v>0</v>
      </c>
      <c r="X124" s="125">
        <v>0</v>
      </c>
      <c r="Y124" s="126">
        <v>0</v>
      </c>
      <c r="Z124" s="125">
        <v>0</v>
      </c>
      <c r="AA124" s="125">
        <v>0</v>
      </c>
      <c r="AB124" s="720">
        <v>0</v>
      </c>
    </row>
    <row r="125" spans="1:28" ht="24" hidden="1" customHeight="1">
      <c r="A125" s="32" t="e">
        <v>#REF!</v>
      </c>
      <c r="B125" s="127" t="s">
        <v>295</v>
      </c>
      <c r="C125" s="128" t="s">
        <v>167</v>
      </c>
      <c r="D125" s="128">
        <v>4101</v>
      </c>
      <c r="E125" s="128">
        <v>1500</v>
      </c>
      <c r="F125" s="128"/>
      <c r="G125" s="128"/>
      <c r="H125" s="128"/>
      <c r="I125" s="128"/>
      <c r="J125" s="129"/>
      <c r="K125" s="129"/>
      <c r="L125" s="129" t="s">
        <v>170</v>
      </c>
      <c r="M125" s="130"/>
      <c r="N125" s="721"/>
      <c r="O125" s="721"/>
      <c r="P125" s="721"/>
      <c r="Q125" s="721"/>
      <c r="R125" s="721"/>
      <c r="S125" s="130"/>
      <c r="T125" s="130"/>
      <c r="U125" s="721"/>
      <c r="V125" s="131">
        <v>0</v>
      </c>
      <c r="W125" s="130"/>
      <c r="X125" s="721"/>
      <c r="Y125" s="131">
        <v>0</v>
      </c>
      <c r="Z125" s="130"/>
      <c r="AA125" s="721"/>
      <c r="AB125" s="722">
        <v>0</v>
      </c>
    </row>
    <row r="126" spans="1:28" ht="54.75" hidden="1" customHeight="1">
      <c r="A126" s="32" t="e">
        <v>#REF!</v>
      </c>
      <c r="B126" s="132" t="s">
        <v>454</v>
      </c>
      <c r="C126" s="133" t="s">
        <v>167</v>
      </c>
      <c r="D126" s="133" t="s">
        <v>171</v>
      </c>
      <c r="E126" s="133" t="s">
        <v>172</v>
      </c>
      <c r="F126" s="133" t="s">
        <v>173</v>
      </c>
      <c r="G126" s="133"/>
      <c r="H126" s="133"/>
      <c r="I126" s="133"/>
      <c r="J126" s="133"/>
      <c r="K126" s="134"/>
      <c r="L126" s="134" t="s">
        <v>174</v>
      </c>
      <c r="M126" s="135">
        <v>0</v>
      </c>
      <c r="N126" s="136">
        <v>0</v>
      </c>
      <c r="O126" s="136">
        <v>0</v>
      </c>
      <c r="P126" s="136">
        <v>0</v>
      </c>
      <c r="Q126" s="136">
        <v>0</v>
      </c>
      <c r="R126" s="136">
        <v>0</v>
      </c>
      <c r="S126" s="135">
        <v>0</v>
      </c>
      <c r="T126" s="135">
        <v>0</v>
      </c>
      <c r="U126" s="135">
        <v>0</v>
      </c>
      <c r="V126" s="137">
        <v>0</v>
      </c>
      <c r="W126" s="135">
        <v>0</v>
      </c>
      <c r="X126" s="136">
        <v>0</v>
      </c>
      <c r="Y126" s="137">
        <v>0</v>
      </c>
      <c r="Z126" s="135">
        <v>0</v>
      </c>
      <c r="AA126" s="135">
        <v>0</v>
      </c>
      <c r="AB126" s="723">
        <v>0</v>
      </c>
    </row>
    <row r="127" spans="1:28" ht="31.5" hidden="1" customHeight="1">
      <c r="A127" s="32" t="e">
        <v>#REF!</v>
      </c>
      <c r="B127" s="138" t="s">
        <v>456</v>
      </c>
      <c r="C127" s="139" t="s">
        <v>167</v>
      </c>
      <c r="D127" s="139" t="s">
        <v>171</v>
      </c>
      <c r="E127" s="139" t="s">
        <v>172</v>
      </c>
      <c r="F127" s="139" t="s">
        <v>173</v>
      </c>
      <c r="G127" s="139" t="s">
        <v>175</v>
      </c>
      <c r="H127" s="139" t="s">
        <v>176</v>
      </c>
      <c r="I127" s="139"/>
      <c r="J127" s="139" t="s">
        <v>144</v>
      </c>
      <c r="K127" s="140" t="s">
        <v>29</v>
      </c>
      <c r="L127" s="140" t="s">
        <v>177</v>
      </c>
      <c r="M127" s="141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141">
        <v>0</v>
      </c>
      <c r="T127" s="141">
        <v>0</v>
      </c>
      <c r="U127" s="141">
        <v>0</v>
      </c>
      <c r="V127" s="143">
        <v>0</v>
      </c>
      <c r="W127" s="141">
        <v>0</v>
      </c>
      <c r="X127" s="142">
        <v>0</v>
      </c>
      <c r="Y127" s="143">
        <v>0</v>
      </c>
      <c r="Z127" s="141">
        <v>0</v>
      </c>
      <c r="AA127" s="141">
        <v>0</v>
      </c>
      <c r="AB127" s="724">
        <v>0</v>
      </c>
    </row>
    <row r="128" spans="1:28" ht="24.95" hidden="1" customHeight="1">
      <c r="A128" s="32" t="e">
        <v>#REF!</v>
      </c>
      <c r="B128" s="144" t="s">
        <v>458</v>
      </c>
      <c r="C128" s="145" t="s">
        <v>167</v>
      </c>
      <c r="D128" s="145" t="s">
        <v>171</v>
      </c>
      <c r="E128" s="145" t="s">
        <v>172</v>
      </c>
      <c r="F128" s="145" t="s">
        <v>173</v>
      </c>
      <c r="G128" s="145" t="s">
        <v>175</v>
      </c>
      <c r="H128" s="145" t="s">
        <v>176</v>
      </c>
      <c r="I128" s="145" t="s">
        <v>54</v>
      </c>
      <c r="J128" s="145" t="s">
        <v>144</v>
      </c>
      <c r="K128" s="146" t="s">
        <v>29</v>
      </c>
      <c r="L128" s="147" t="s">
        <v>178</v>
      </c>
      <c r="M128" s="148"/>
      <c r="N128" s="148"/>
      <c r="O128" s="148"/>
      <c r="P128" s="148"/>
      <c r="Q128" s="148"/>
      <c r="R128" s="148"/>
      <c r="S128" s="148">
        <v>0</v>
      </c>
      <c r="T128" s="148"/>
      <c r="U128" s="148">
        <v>0</v>
      </c>
      <c r="V128" s="150">
        <v>0</v>
      </c>
      <c r="W128" s="148"/>
      <c r="X128" s="148">
        <v>0</v>
      </c>
      <c r="Y128" s="150">
        <v>0</v>
      </c>
      <c r="Z128" s="148"/>
      <c r="AA128" s="148">
        <v>0</v>
      </c>
      <c r="AB128" s="150">
        <v>0</v>
      </c>
    </row>
    <row r="129" spans="1:28" ht="31.5" hidden="1" customHeight="1">
      <c r="A129" s="32" t="e">
        <v>#REF!</v>
      </c>
      <c r="B129" s="138" t="s">
        <v>460</v>
      </c>
      <c r="C129" s="139" t="s">
        <v>167</v>
      </c>
      <c r="D129" s="139" t="s">
        <v>171</v>
      </c>
      <c r="E129" s="139" t="s">
        <v>172</v>
      </c>
      <c r="F129" s="139" t="s">
        <v>173</v>
      </c>
      <c r="G129" s="139" t="s">
        <v>175</v>
      </c>
      <c r="H129" s="139" t="s">
        <v>179</v>
      </c>
      <c r="I129" s="139"/>
      <c r="J129" s="139" t="s">
        <v>144</v>
      </c>
      <c r="K129" s="140" t="s">
        <v>29</v>
      </c>
      <c r="L129" s="140" t="s">
        <v>180</v>
      </c>
      <c r="M129" s="141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1">
        <v>0</v>
      </c>
      <c r="T129" s="141">
        <v>0</v>
      </c>
      <c r="U129" s="141">
        <v>0</v>
      </c>
      <c r="V129" s="143">
        <v>0</v>
      </c>
      <c r="W129" s="141">
        <v>0</v>
      </c>
      <c r="X129" s="142">
        <v>0</v>
      </c>
      <c r="Y129" s="143">
        <v>0</v>
      </c>
      <c r="Z129" s="141">
        <v>0</v>
      </c>
      <c r="AA129" s="141">
        <v>0</v>
      </c>
      <c r="AB129" s="724">
        <v>0</v>
      </c>
    </row>
    <row r="130" spans="1:28" ht="24.95" hidden="1" customHeight="1">
      <c r="A130" s="32" t="e">
        <v>#REF!</v>
      </c>
      <c r="B130" s="144" t="s">
        <v>462</v>
      </c>
      <c r="C130" s="145" t="s">
        <v>167</v>
      </c>
      <c r="D130" s="145" t="s">
        <v>171</v>
      </c>
      <c r="E130" s="145" t="s">
        <v>172</v>
      </c>
      <c r="F130" s="145" t="s">
        <v>173</v>
      </c>
      <c r="G130" s="145" t="s">
        <v>175</v>
      </c>
      <c r="H130" s="145" t="s">
        <v>179</v>
      </c>
      <c r="I130" s="145" t="s">
        <v>54</v>
      </c>
      <c r="J130" s="145" t="s">
        <v>144</v>
      </c>
      <c r="K130" s="146" t="s">
        <v>29</v>
      </c>
      <c r="L130" s="147" t="s">
        <v>178</v>
      </c>
      <c r="M130" s="148"/>
      <c r="N130" s="148"/>
      <c r="O130" s="148"/>
      <c r="P130" s="148"/>
      <c r="Q130" s="148"/>
      <c r="R130" s="148"/>
      <c r="S130" s="148">
        <v>0</v>
      </c>
      <c r="T130" s="148"/>
      <c r="U130" s="148">
        <v>0</v>
      </c>
      <c r="V130" s="150">
        <v>0</v>
      </c>
      <c r="W130" s="148"/>
      <c r="X130" s="148">
        <v>0</v>
      </c>
      <c r="Y130" s="150">
        <v>0</v>
      </c>
      <c r="Z130" s="148"/>
      <c r="AA130" s="148">
        <v>0</v>
      </c>
      <c r="AB130" s="150">
        <v>0</v>
      </c>
    </row>
    <row r="131" spans="1:28" ht="31.5" hidden="1" customHeight="1">
      <c r="A131" s="32" t="e">
        <v>#REF!</v>
      </c>
      <c r="B131" s="144" t="s">
        <v>690</v>
      </c>
      <c r="C131" s="139" t="s">
        <v>167</v>
      </c>
      <c r="D131" s="139" t="s">
        <v>171</v>
      </c>
      <c r="E131" s="139" t="s">
        <v>172</v>
      </c>
      <c r="F131" s="139" t="s">
        <v>173</v>
      </c>
      <c r="G131" s="139" t="s">
        <v>175</v>
      </c>
      <c r="H131" s="139" t="s">
        <v>181</v>
      </c>
      <c r="I131" s="139"/>
      <c r="J131" s="139" t="s">
        <v>144</v>
      </c>
      <c r="K131" s="140" t="s">
        <v>29</v>
      </c>
      <c r="L131" s="140" t="s">
        <v>182</v>
      </c>
      <c r="M131" s="141">
        <v>0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1">
        <v>0</v>
      </c>
      <c r="T131" s="141">
        <v>0</v>
      </c>
      <c r="U131" s="141">
        <v>0</v>
      </c>
      <c r="V131" s="143">
        <v>0</v>
      </c>
      <c r="W131" s="141">
        <v>0</v>
      </c>
      <c r="X131" s="142">
        <v>0</v>
      </c>
      <c r="Y131" s="143">
        <v>0</v>
      </c>
      <c r="Z131" s="141">
        <v>0</v>
      </c>
      <c r="AA131" s="141">
        <v>0</v>
      </c>
      <c r="AB131" s="724">
        <v>0</v>
      </c>
    </row>
    <row r="132" spans="1:28" ht="24.95" hidden="1" customHeight="1">
      <c r="A132" s="32" t="e">
        <v>#REF!</v>
      </c>
      <c r="B132" s="144" t="s">
        <v>466</v>
      </c>
      <c r="C132" s="145" t="s">
        <v>167</v>
      </c>
      <c r="D132" s="145" t="s">
        <v>171</v>
      </c>
      <c r="E132" s="145" t="s">
        <v>172</v>
      </c>
      <c r="F132" s="145" t="s">
        <v>173</v>
      </c>
      <c r="G132" s="145" t="s">
        <v>175</v>
      </c>
      <c r="H132" s="145" t="s">
        <v>181</v>
      </c>
      <c r="I132" s="145" t="s">
        <v>54</v>
      </c>
      <c r="J132" s="145" t="s">
        <v>144</v>
      </c>
      <c r="K132" s="146" t="s">
        <v>29</v>
      </c>
      <c r="L132" s="147" t="s">
        <v>178</v>
      </c>
      <c r="M132" s="148"/>
      <c r="N132" s="148"/>
      <c r="O132" s="148"/>
      <c r="P132" s="148"/>
      <c r="Q132" s="148"/>
      <c r="R132" s="148"/>
      <c r="S132" s="148">
        <v>0</v>
      </c>
      <c r="T132" s="148"/>
      <c r="U132" s="148">
        <v>0</v>
      </c>
      <c r="V132" s="150">
        <v>0</v>
      </c>
      <c r="W132" s="148"/>
      <c r="X132" s="148">
        <v>0</v>
      </c>
      <c r="Y132" s="150">
        <v>0</v>
      </c>
      <c r="Z132" s="148"/>
      <c r="AA132" s="148">
        <v>0</v>
      </c>
      <c r="AB132" s="150">
        <v>0</v>
      </c>
    </row>
    <row r="133" spans="1:28" ht="31.5" hidden="1" customHeight="1">
      <c r="A133" s="32" t="e">
        <v>#REF!</v>
      </c>
      <c r="B133" s="144" t="s">
        <v>691</v>
      </c>
      <c r="C133" s="139" t="s">
        <v>167</v>
      </c>
      <c r="D133" s="139" t="s">
        <v>171</v>
      </c>
      <c r="E133" s="139" t="s">
        <v>172</v>
      </c>
      <c r="F133" s="139" t="s">
        <v>173</v>
      </c>
      <c r="G133" s="139" t="s">
        <v>175</v>
      </c>
      <c r="H133" s="139" t="s">
        <v>183</v>
      </c>
      <c r="I133" s="139"/>
      <c r="J133" s="139" t="s">
        <v>144</v>
      </c>
      <c r="K133" s="140" t="s">
        <v>29</v>
      </c>
      <c r="L133" s="140" t="s">
        <v>184</v>
      </c>
      <c r="M133" s="141">
        <v>0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1">
        <v>0</v>
      </c>
      <c r="T133" s="141">
        <v>0</v>
      </c>
      <c r="U133" s="141">
        <v>0</v>
      </c>
      <c r="V133" s="143">
        <v>0</v>
      </c>
      <c r="W133" s="141">
        <v>0</v>
      </c>
      <c r="X133" s="142">
        <v>0</v>
      </c>
      <c r="Y133" s="143">
        <v>0</v>
      </c>
      <c r="Z133" s="141">
        <v>0</v>
      </c>
      <c r="AA133" s="141">
        <v>0</v>
      </c>
      <c r="AB133" s="724">
        <v>0</v>
      </c>
    </row>
    <row r="134" spans="1:28" ht="24.95" hidden="1" customHeight="1">
      <c r="A134" s="32" t="e">
        <v>#REF!</v>
      </c>
      <c r="B134" s="144" t="s">
        <v>470</v>
      </c>
      <c r="C134" s="145" t="s">
        <v>167</v>
      </c>
      <c r="D134" s="145" t="s">
        <v>171</v>
      </c>
      <c r="E134" s="145" t="s">
        <v>172</v>
      </c>
      <c r="F134" s="145" t="s">
        <v>173</v>
      </c>
      <c r="G134" s="145" t="s">
        <v>175</v>
      </c>
      <c r="H134" s="145" t="s">
        <v>183</v>
      </c>
      <c r="I134" s="145" t="s">
        <v>54</v>
      </c>
      <c r="J134" s="145" t="s">
        <v>144</v>
      </c>
      <c r="K134" s="146" t="s">
        <v>29</v>
      </c>
      <c r="L134" s="147" t="s">
        <v>178</v>
      </c>
      <c r="M134" s="148">
        <v>0</v>
      </c>
      <c r="N134" s="148"/>
      <c r="O134" s="148"/>
      <c r="P134" s="148"/>
      <c r="Q134" s="148"/>
      <c r="R134" s="148"/>
      <c r="S134" s="148">
        <v>0</v>
      </c>
      <c r="T134" s="148">
        <v>0</v>
      </c>
      <c r="U134" s="148">
        <v>0</v>
      </c>
      <c r="V134" s="150">
        <v>0</v>
      </c>
      <c r="W134" s="148">
        <v>0</v>
      </c>
      <c r="X134" s="148">
        <v>0</v>
      </c>
      <c r="Y134" s="150">
        <v>0</v>
      </c>
      <c r="Z134" s="148">
        <v>0</v>
      </c>
      <c r="AA134" s="148">
        <v>0</v>
      </c>
      <c r="AB134" s="150">
        <v>0</v>
      </c>
    </row>
    <row r="135" spans="1:28" ht="31.5" hidden="1" customHeight="1">
      <c r="A135" s="32" t="e">
        <v>#REF!</v>
      </c>
      <c r="B135" s="138" t="s">
        <v>472</v>
      </c>
      <c r="C135" s="139" t="s">
        <v>167</v>
      </c>
      <c r="D135" s="139" t="s">
        <v>171</v>
      </c>
      <c r="E135" s="139" t="s">
        <v>172</v>
      </c>
      <c r="F135" s="139" t="s">
        <v>173</v>
      </c>
      <c r="G135" s="139" t="s">
        <v>175</v>
      </c>
      <c r="H135" s="139" t="s">
        <v>185</v>
      </c>
      <c r="I135" s="139"/>
      <c r="J135" s="139" t="s">
        <v>144</v>
      </c>
      <c r="K135" s="140" t="s">
        <v>29</v>
      </c>
      <c r="L135" s="140" t="s">
        <v>186</v>
      </c>
      <c r="M135" s="141">
        <v>0</v>
      </c>
      <c r="N135" s="142">
        <v>0</v>
      </c>
      <c r="O135" s="142">
        <v>0</v>
      </c>
      <c r="P135" s="142">
        <v>0</v>
      </c>
      <c r="Q135" s="142">
        <v>0</v>
      </c>
      <c r="R135" s="142">
        <v>0</v>
      </c>
      <c r="S135" s="141">
        <v>0</v>
      </c>
      <c r="T135" s="141">
        <v>0</v>
      </c>
      <c r="U135" s="141">
        <v>0</v>
      </c>
      <c r="V135" s="143">
        <v>0</v>
      </c>
      <c r="W135" s="141">
        <v>0</v>
      </c>
      <c r="X135" s="142">
        <v>0</v>
      </c>
      <c r="Y135" s="143">
        <v>0</v>
      </c>
      <c r="Z135" s="141">
        <v>0</v>
      </c>
      <c r="AA135" s="141">
        <v>0</v>
      </c>
      <c r="AB135" s="724">
        <v>0</v>
      </c>
    </row>
    <row r="136" spans="1:28" ht="24.95" hidden="1" customHeight="1">
      <c r="A136" s="32" t="e">
        <v>#REF!</v>
      </c>
      <c r="B136" s="144" t="s">
        <v>474</v>
      </c>
      <c r="C136" s="145" t="s">
        <v>167</v>
      </c>
      <c r="D136" s="145" t="s">
        <v>171</v>
      </c>
      <c r="E136" s="145" t="s">
        <v>172</v>
      </c>
      <c r="F136" s="145" t="s">
        <v>173</v>
      </c>
      <c r="G136" s="145" t="s">
        <v>175</v>
      </c>
      <c r="H136" s="145" t="s">
        <v>185</v>
      </c>
      <c r="I136" s="145" t="s">
        <v>54</v>
      </c>
      <c r="J136" s="145" t="s">
        <v>144</v>
      </c>
      <c r="K136" s="146" t="s">
        <v>29</v>
      </c>
      <c r="L136" s="147" t="s">
        <v>178</v>
      </c>
      <c r="M136" s="148"/>
      <c r="N136" s="148"/>
      <c r="O136" s="148"/>
      <c r="P136" s="148"/>
      <c r="Q136" s="148"/>
      <c r="R136" s="148"/>
      <c r="S136" s="148">
        <v>0</v>
      </c>
      <c r="T136" s="148"/>
      <c r="U136" s="148">
        <v>0</v>
      </c>
      <c r="V136" s="150">
        <v>0</v>
      </c>
      <c r="W136" s="148"/>
      <c r="X136" s="148">
        <v>0</v>
      </c>
      <c r="Y136" s="150">
        <v>0</v>
      </c>
      <c r="Z136" s="148"/>
      <c r="AA136" s="148">
        <v>0</v>
      </c>
      <c r="AB136" s="150">
        <v>0</v>
      </c>
    </row>
    <row r="137" spans="1:28" ht="31.5" hidden="1" customHeight="1">
      <c r="A137" s="32" t="e">
        <v>#REF!</v>
      </c>
      <c r="B137" s="32"/>
      <c r="C137" s="139" t="s">
        <v>167</v>
      </c>
      <c r="D137" s="139" t="s">
        <v>171</v>
      </c>
      <c r="E137" s="139" t="s">
        <v>172</v>
      </c>
      <c r="F137" s="139" t="s">
        <v>173</v>
      </c>
      <c r="G137" s="139" t="s">
        <v>175</v>
      </c>
      <c r="H137" s="139" t="s">
        <v>187</v>
      </c>
      <c r="I137" s="139"/>
      <c r="J137" s="139" t="s">
        <v>144</v>
      </c>
      <c r="K137" s="140" t="s">
        <v>29</v>
      </c>
      <c r="L137" s="140" t="s">
        <v>188</v>
      </c>
      <c r="M137" s="141">
        <v>0</v>
      </c>
      <c r="N137" s="142">
        <v>0</v>
      </c>
      <c r="O137" s="142">
        <v>0</v>
      </c>
      <c r="P137" s="142">
        <v>0</v>
      </c>
      <c r="Q137" s="142">
        <v>0</v>
      </c>
      <c r="R137" s="142">
        <v>0</v>
      </c>
      <c r="S137" s="141">
        <v>0</v>
      </c>
      <c r="T137" s="141">
        <v>0</v>
      </c>
      <c r="U137" s="141">
        <v>0</v>
      </c>
      <c r="V137" s="143">
        <v>0</v>
      </c>
      <c r="W137" s="141">
        <v>0</v>
      </c>
      <c r="X137" s="142">
        <v>0</v>
      </c>
      <c r="Y137" s="143">
        <v>0</v>
      </c>
      <c r="Z137" s="141">
        <v>0</v>
      </c>
      <c r="AA137" s="141">
        <v>0</v>
      </c>
      <c r="AB137" s="724">
        <v>0</v>
      </c>
    </row>
    <row r="138" spans="1:28" ht="24.95" hidden="1" customHeight="1">
      <c r="A138" s="32" t="e">
        <v>#REF!</v>
      </c>
      <c r="B138" s="32"/>
      <c r="C138" s="145" t="s">
        <v>167</v>
      </c>
      <c r="D138" s="145" t="s">
        <v>171</v>
      </c>
      <c r="E138" s="145" t="s">
        <v>172</v>
      </c>
      <c r="F138" s="145" t="s">
        <v>173</v>
      </c>
      <c r="G138" s="145" t="s">
        <v>175</v>
      </c>
      <c r="H138" s="145" t="s">
        <v>187</v>
      </c>
      <c r="I138" s="145" t="s">
        <v>54</v>
      </c>
      <c r="J138" s="145" t="s">
        <v>144</v>
      </c>
      <c r="K138" s="146" t="s">
        <v>29</v>
      </c>
      <c r="L138" s="147" t="s">
        <v>178</v>
      </c>
      <c r="M138" s="148">
        <v>0</v>
      </c>
      <c r="N138" s="148"/>
      <c r="O138" s="148"/>
      <c r="P138" s="148"/>
      <c r="Q138" s="148"/>
      <c r="R138" s="148"/>
      <c r="S138" s="148">
        <v>0</v>
      </c>
      <c r="T138" s="148">
        <v>0</v>
      </c>
      <c r="U138" s="148">
        <v>0</v>
      </c>
      <c r="V138" s="150">
        <v>0</v>
      </c>
      <c r="W138" s="148">
        <v>0</v>
      </c>
      <c r="X138" s="148">
        <v>0</v>
      </c>
      <c r="Y138" s="150">
        <v>0</v>
      </c>
      <c r="Z138" s="148">
        <v>0</v>
      </c>
      <c r="AA138" s="148">
        <v>0</v>
      </c>
      <c r="AB138" s="150">
        <v>0</v>
      </c>
    </row>
    <row r="139" spans="1:28" ht="24.95" hidden="1" customHeight="1">
      <c r="A139" s="32" t="e">
        <v>#REF!</v>
      </c>
      <c r="B139" s="32"/>
      <c r="C139" s="145" t="s">
        <v>167</v>
      </c>
      <c r="D139" s="145" t="s">
        <v>171</v>
      </c>
      <c r="E139" s="145" t="s">
        <v>172</v>
      </c>
      <c r="F139" s="145" t="s">
        <v>173</v>
      </c>
      <c r="G139" s="145" t="s">
        <v>175</v>
      </c>
      <c r="H139" s="145" t="s">
        <v>187</v>
      </c>
      <c r="I139" s="145" t="s">
        <v>65</v>
      </c>
      <c r="J139" s="145" t="s">
        <v>144</v>
      </c>
      <c r="K139" s="146" t="s">
        <v>29</v>
      </c>
      <c r="L139" s="147" t="s">
        <v>127</v>
      </c>
      <c r="M139" s="148">
        <v>0</v>
      </c>
      <c r="N139" s="148"/>
      <c r="O139" s="148"/>
      <c r="P139" s="148"/>
      <c r="Q139" s="148"/>
      <c r="R139" s="148"/>
      <c r="S139" s="148">
        <v>0</v>
      </c>
      <c r="T139" s="148">
        <v>0</v>
      </c>
      <c r="U139" s="148">
        <v>0</v>
      </c>
      <c r="V139" s="150">
        <v>0</v>
      </c>
      <c r="W139" s="148">
        <v>0</v>
      </c>
      <c r="X139" s="148">
        <v>0</v>
      </c>
      <c r="Y139" s="150">
        <v>0</v>
      </c>
      <c r="Z139" s="148">
        <v>0</v>
      </c>
      <c r="AA139" s="148">
        <v>0</v>
      </c>
      <c r="AB139" s="150">
        <v>0</v>
      </c>
    </row>
    <row r="140" spans="1:28" ht="35.25" customHeight="1">
      <c r="A140" s="32" t="e">
        <v>#REF!</v>
      </c>
      <c r="B140" s="122" t="s">
        <v>482</v>
      </c>
      <c r="C140" s="123" t="s">
        <v>167</v>
      </c>
      <c r="D140" s="123">
        <v>4103</v>
      </c>
      <c r="E140" s="123"/>
      <c r="F140" s="123"/>
      <c r="G140" s="123"/>
      <c r="H140" s="123"/>
      <c r="I140" s="123"/>
      <c r="J140" s="124"/>
      <c r="K140" s="124"/>
      <c r="L140" s="124" t="s">
        <v>189</v>
      </c>
      <c r="M140" s="125">
        <v>12911249110989</v>
      </c>
      <c r="N140" s="719">
        <v>5269349000</v>
      </c>
      <c r="O140" s="719">
        <v>0</v>
      </c>
      <c r="P140" s="125">
        <v>130242461332.46001</v>
      </c>
      <c r="Q140" s="125">
        <v>130242461332.46001</v>
      </c>
      <c r="R140" s="719">
        <v>0</v>
      </c>
      <c r="S140" s="125">
        <v>12916518459989</v>
      </c>
      <c r="T140" s="125">
        <v>8747645352808.6191</v>
      </c>
      <c r="U140" s="125">
        <v>4168873107180.3799</v>
      </c>
      <c r="V140" s="126">
        <v>0.67724483032373328</v>
      </c>
      <c r="W140" s="125">
        <v>7343111159385.71</v>
      </c>
      <c r="X140" s="125">
        <v>1404534193422.9104</v>
      </c>
      <c r="Y140" s="126">
        <v>0.16056140101426888</v>
      </c>
      <c r="Z140" s="125">
        <v>7212927644583.71</v>
      </c>
      <c r="AA140" s="125">
        <v>130183514802</v>
      </c>
      <c r="AB140" s="720">
        <v>0.8245564781919108</v>
      </c>
    </row>
    <row r="141" spans="1:28" ht="24" customHeight="1">
      <c r="A141" s="32" t="e">
        <v>#REF!</v>
      </c>
      <c r="B141" s="127" t="s">
        <v>296</v>
      </c>
      <c r="C141" s="128" t="s">
        <v>167</v>
      </c>
      <c r="D141" s="128">
        <v>4103</v>
      </c>
      <c r="E141" s="128">
        <v>1500</v>
      </c>
      <c r="F141" s="128"/>
      <c r="G141" s="128"/>
      <c r="H141" s="128"/>
      <c r="I141" s="128"/>
      <c r="J141" s="129"/>
      <c r="K141" s="129"/>
      <c r="L141" s="129" t="s">
        <v>170</v>
      </c>
      <c r="M141" s="130">
        <v>12911249110989</v>
      </c>
      <c r="N141" s="130">
        <v>5269349000</v>
      </c>
      <c r="O141" s="130">
        <v>0</v>
      </c>
      <c r="P141" s="130">
        <v>130242461332.46001</v>
      </c>
      <c r="Q141" s="130">
        <v>130242461332.46001</v>
      </c>
      <c r="R141" s="130">
        <v>0</v>
      </c>
      <c r="S141" s="130">
        <v>12916518459989</v>
      </c>
      <c r="T141" s="130">
        <v>8747645352808.6191</v>
      </c>
      <c r="U141" s="130">
        <v>4168873107180.3799</v>
      </c>
      <c r="V141" s="131">
        <v>0.67724483032373328</v>
      </c>
      <c r="W141" s="130">
        <v>7343111159385.71</v>
      </c>
      <c r="X141" s="130">
        <v>1404534193422.9104</v>
      </c>
      <c r="Y141" s="131">
        <v>0.16056140101426888</v>
      </c>
      <c r="Z141" s="130">
        <v>7212927644583.71</v>
      </c>
      <c r="AA141" s="130">
        <v>130183514802</v>
      </c>
      <c r="AB141" s="722">
        <v>0.8245564781919108</v>
      </c>
    </row>
    <row r="142" spans="1:28" ht="42.75" customHeight="1">
      <c r="A142" s="32" t="e">
        <v>#REF!</v>
      </c>
      <c r="B142" s="132" t="s">
        <v>297</v>
      </c>
      <c r="C142" s="133" t="s">
        <v>167</v>
      </c>
      <c r="D142" s="133" t="s">
        <v>190</v>
      </c>
      <c r="E142" s="133" t="s">
        <v>172</v>
      </c>
      <c r="F142" s="133" t="s">
        <v>191</v>
      </c>
      <c r="G142" s="133"/>
      <c r="H142" s="133"/>
      <c r="I142" s="133"/>
      <c r="J142" s="133"/>
      <c r="K142" s="134"/>
      <c r="L142" s="134" t="s">
        <v>263</v>
      </c>
      <c r="M142" s="135">
        <v>2205025363612</v>
      </c>
      <c r="N142" s="136">
        <v>0</v>
      </c>
      <c r="O142" s="136">
        <v>0</v>
      </c>
      <c r="P142" s="135">
        <v>36677145308</v>
      </c>
      <c r="Q142" s="135">
        <v>36677145308</v>
      </c>
      <c r="R142" s="136">
        <v>0</v>
      </c>
      <c r="S142" s="135">
        <v>2205025363612</v>
      </c>
      <c r="T142" s="135">
        <v>1795279078534.1099</v>
      </c>
      <c r="U142" s="135">
        <v>409746285077.89001</v>
      </c>
      <c r="V142" s="137">
        <v>0.81417615786210529</v>
      </c>
      <c r="W142" s="135">
        <v>1147152908072.27</v>
      </c>
      <c r="X142" s="135">
        <v>648126170461.83997</v>
      </c>
      <c r="Y142" s="137">
        <v>0.36101694617365626</v>
      </c>
      <c r="Z142" s="135">
        <v>1146986392646.27</v>
      </c>
      <c r="AA142" s="135">
        <v>166515426</v>
      </c>
      <c r="AB142" s="723">
        <v>0.63889030199294305</v>
      </c>
    </row>
    <row r="143" spans="1:28" ht="30.75" customHeight="1">
      <c r="A143" s="32" t="e">
        <v>#REF!</v>
      </c>
      <c r="B143" s="138" t="s">
        <v>486</v>
      </c>
      <c r="C143" s="139" t="s">
        <v>167</v>
      </c>
      <c r="D143" s="139" t="s">
        <v>190</v>
      </c>
      <c r="E143" s="139" t="s">
        <v>172</v>
      </c>
      <c r="F143" s="139" t="s">
        <v>191</v>
      </c>
      <c r="G143" s="139" t="s">
        <v>175</v>
      </c>
      <c r="H143" s="139" t="s">
        <v>193</v>
      </c>
      <c r="I143" s="139"/>
      <c r="J143" s="139"/>
      <c r="K143" s="140"/>
      <c r="L143" s="140" t="s">
        <v>194</v>
      </c>
      <c r="M143" s="141">
        <v>2199003443612</v>
      </c>
      <c r="N143" s="142">
        <v>0</v>
      </c>
      <c r="O143" s="142">
        <v>0</v>
      </c>
      <c r="P143" s="141">
        <v>35935031454</v>
      </c>
      <c r="Q143" s="141">
        <v>36077145308</v>
      </c>
      <c r="R143" s="142">
        <v>0</v>
      </c>
      <c r="S143" s="141">
        <v>2198861329758</v>
      </c>
      <c r="T143" s="141">
        <v>1789241142014.1099</v>
      </c>
      <c r="U143" s="141">
        <v>409620187743.89001</v>
      </c>
      <c r="V143" s="143">
        <v>0.81371258741952057</v>
      </c>
      <c r="W143" s="141">
        <v>1146549114420.27</v>
      </c>
      <c r="X143" s="141">
        <v>642692027593.83997</v>
      </c>
      <c r="Y143" s="143">
        <v>0.3591981049968343</v>
      </c>
      <c r="Z143" s="141">
        <v>1146382598994.27</v>
      </c>
      <c r="AA143" s="141">
        <v>166515426</v>
      </c>
      <c r="AB143" s="724">
        <v>0.64070883017132729</v>
      </c>
    </row>
    <row r="144" spans="1:28" ht="24.95" customHeight="1">
      <c r="A144" s="32" t="e">
        <v>#REF!</v>
      </c>
      <c r="B144" s="144" t="s">
        <v>488</v>
      </c>
      <c r="C144" s="145" t="s">
        <v>167</v>
      </c>
      <c r="D144" s="145" t="s">
        <v>190</v>
      </c>
      <c r="E144" s="145" t="s">
        <v>172</v>
      </c>
      <c r="F144" s="145" t="s">
        <v>191</v>
      </c>
      <c r="G144" s="145" t="s">
        <v>175</v>
      </c>
      <c r="H144" s="145" t="s">
        <v>193</v>
      </c>
      <c r="I144" s="145" t="s">
        <v>54</v>
      </c>
      <c r="J144" s="145">
        <v>11</v>
      </c>
      <c r="K144" s="146" t="s">
        <v>29</v>
      </c>
      <c r="L144" s="147" t="s">
        <v>178</v>
      </c>
      <c r="M144" s="148">
        <v>92687031389</v>
      </c>
      <c r="N144" s="148"/>
      <c r="O144" s="148"/>
      <c r="P144" s="148">
        <v>9770858686</v>
      </c>
      <c r="Q144" s="148">
        <v>26157734172</v>
      </c>
      <c r="R144" s="148"/>
      <c r="S144" s="148">
        <v>76300155903</v>
      </c>
      <c r="T144" s="148">
        <v>54733567116.110001</v>
      </c>
      <c r="U144" s="148">
        <v>21566588786.889999</v>
      </c>
      <c r="V144" s="150">
        <v>0.71734541651123895</v>
      </c>
      <c r="W144" s="148">
        <v>28059464219.27</v>
      </c>
      <c r="X144" s="148">
        <v>26674102896.84</v>
      </c>
      <c r="Y144" s="150">
        <v>0.48734449995291612</v>
      </c>
      <c r="Z144" s="148">
        <v>27892948793.27</v>
      </c>
      <c r="AA144" s="148">
        <v>166515426</v>
      </c>
      <c r="AB144" s="150">
        <v>0.50961320927793374</v>
      </c>
    </row>
    <row r="145" spans="1:28" ht="24.95" customHeight="1">
      <c r="A145" s="32" t="e">
        <v>#REF!</v>
      </c>
      <c r="B145" s="144" t="s">
        <v>488</v>
      </c>
      <c r="C145" s="145" t="s">
        <v>167</v>
      </c>
      <c r="D145" s="145" t="s">
        <v>190</v>
      </c>
      <c r="E145" s="145" t="s">
        <v>172</v>
      </c>
      <c r="F145" s="145" t="s">
        <v>191</v>
      </c>
      <c r="G145" s="145" t="s">
        <v>175</v>
      </c>
      <c r="H145" s="145" t="s">
        <v>193</v>
      </c>
      <c r="I145" s="145" t="s">
        <v>54</v>
      </c>
      <c r="J145" s="145">
        <v>13</v>
      </c>
      <c r="K145" s="146" t="s">
        <v>29</v>
      </c>
      <c r="L145" s="147" t="s">
        <v>178</v>
      </c>
      <c r="M145" s="148"/>
      <c r="N145" s="148"/>
      <c r="O145" s="148"/>
      <c r="P145" s="148">
        <v>148552450</v>
      </c>
      <c r="Q145" s="148"/>
      <c r="R145" s="148"/>
      <c r="S145" s="148">
        <v>148552450</v>
      </c>
      <c r="T145" s="148">
        <v>90475000</v>
      </c>
      <c r="U145" s="148">
        <v>58077450</v>
      </c>
      <c r="V145" s="150">
        <v>0.60904414568726395</v>
      </c>
      <c r="W145" s="148">
        <v>53812500</v>
      </c>
      <c r="X145" s="148">
        <v>36662500</v>
      </c>
      <c r="Y145" s="150">
        <v>0.40522243713733075</v>
      </c>
      <c r="Z145" s="148">
        <v>53812500</v>
      </c>
      <c r="AA145" s="148">
        <v>0</v>
      </c>
      <c r="AB145" s="150">
        <v>0.59477756286266925</v>
      </c>
    </row>
    <row r="146" spans="1:28" ht="24.95" customHeight="1">
      <c r="A146" s="32" t="e">
        <v>#REF!</v>
      </c>
      <c r="B146" s="144" t="s">
        <v>491</v>
      </c>
      <c r="C146" s="145" t="s">
        <v>167</v>
      </c>
      <c r="D146" s="145" t="s">
        <v>190</v>
      </c>
      <c r="E146" s="145" t="s">
        <v>172</v>
      </c>
      <c r="F146" s="145" t="s">
        <v>191</v>
      </c>
      <c r="G146" s="145" t="s">
        <v>175</v>
      </c>
      <c r="H146" s="145" t="s">
        <v>193</v>
      </c>
      <c r="I146" s="145" t="s">
        <v>65</v>
      </c>
      <c r="J146" s="145" t="s">
        <v>144</v>
      </c>
      <c r="K146" s="146" t="s">
        <v>29</v>
      </c>
      <c r="L146" s="147" t="s">
        <v>127</v>
      </c>
      <c r="M146" s="148">
        <v>240070263035</v>
      </c>
      <c r="N146" s="148"/>
      <c r="O146" s="148"/>
      <c r="P146" s="148">
        <v>26015620318</v>
      </c>
      <c r="Q146" s="148">
        <v>9770858686</v>
      </c>
      <c r="R146" s="148"/>
      <c r="S146" s="148">
        <v>256315024667</v>
      </c>
      <c r="T146" s="148">
        <v>227326220846</v>
      </c>
      <c r="U146" s="148">
        <v>28988803821</v>
      </c>
      <c r="V146" s="150">
        <v>0.88690165994497694</v>
      </c>
      <c r="W146" s="148">
        <v>226912259066</v>
      </c>
      <c r="X146" s="148">
        <v>413961780</v>
      </c>
      <c r="Y146" s="150">
        <v>1.821003219335769E-3</v>
      </c>
      <c r="Z146" s="148">
        <v>226912259066</v>
      </c>
      <c r="AA146" s="148">
        <v>0</v>
      </c>
      <c r="AB146" s="150">
        <v>0.99817899678066424</v>
      </c>
    </row>
    <row r="147" spans="1:28" ht="24.95" customHeight="1">
      <c r="A147" s="32" t="e">
        <v>#REF!</v>
      </c>
      <c r="B147" s="144" t="s">
        <v>491</v>
      </c>
      <c r="C147" s="145" t="s">
        <v>167</v>
      </c>
      <c r="D147" s="145" t="s">
        <v>190</v>
      </c>
      <c r="E147" s="145" t="s">
        <v>172</v>
      </c>
      <c r="F147" s="145" t="s">
        <v>191</v>
      </c>
      <c r="G147" s="145" t="s">
        <v>175</v>
      </c>
      <c r="H147" s="145" t="s">
        <v>193</v>
      </c>
      <c r="I147" s="145" t="s">
        <v>65</v>
      </c>
      <c r="J147" s="145">
        <v>13</v>
      </c>
      <c r="K147" s="146" t="s">
        <v>29</v>
      </c>
      <c r="L147" s="147" t="s">
        <v>127</v>
      </c>
      <c r="M147" s="148">
        <v>1866246149188</v>
      </c>
      <c r="N147" s="148"/>
      <c r="O147" s="148"/>
      <c r="P147" s="148"/>
      <c r="Q147" s="148">
        <v>148552450</v>
      </c>
      <c r="R147" s="148"/>
      <c r="S147" s="148">
        <v>1866097596738</v>
      </c>
      <c r="T147" s="148">
        <v>1507090879052</v>
      </c>
      <c r="U147" s="148">
        <v>359006717686</v>
      </c>
      <c r="V147" s="150">
        <v>0.80761632279385842</v>
      </c>
      <c r="W147" s="148">
        <v>891523578635</v>
      </c>
      <c r="X147" s="148">
        <v>615567300417</v>
      </c>
      <c r="Y147" s="150">
        <v>0.40844736636201268</v>
      </c>
      <c r="Z147" s="148">
        <v>891523578635</v>
      </c>
      <c r="AA147" s="148">
        <v>0</v>
      </c>
      <c r="AB147" s="150">
        <v>0.59155263363798727</v>
      </c>
    </row>
    <row r="148" spans="1:28" ht="32.25" customHeight="1">
      <c r="A148" s="32" t="e">
        <v>#REF!</v>
      </c>
      <c r="B148" s="138" t="s">
        <v>494</v>
      </c>
      <c r="C148" s="139" t="s">
        <v>167</v>
      </c>
      <c r="D148" s="139" t="s">
        <v>190</v>
      </c>
      <c r="E148" s="139" t="s">
        <v>172</v>
      </c>
      <c r="F148" s="139" t="s">
        <v>191</v>
      </c>
      <c r="G148" s="139" t="s">
        <v>175</v>
      </c>
      <c r="H148" s="139">
        <v>4103009</v>
      </c>
      <c r="I148" s="139"/>
      <c r="J148" s="139"/>
      <c r="K148" s="140" t="s">
        <v>29</v>
      </c>
      <c r="L148" s="140" t="s">
        <v>195</v>
      </c>
      <c r="M148" s="141">
        <v>5421920000</v>
      </c>
      <c r="N148" s="142">
        <v>0</v>
      </c>
      <c r="O148" s="142">
        <v>0</v>
      </c>
      <c r="P148" s="141">
        <v>742113854</v>
      </c>
      <c r="Q148" s="142">
        <v>0</v>
      </c>
      <c r="R148" s="142">
        <v>0</v>
      </c>
      <c r="S148" s="141">
        <v>6164033854</v>
      </c>
      <c r="T148" s="141">
        <v>6037936520</v>
      </c>
      <c r="U148" s="141">
        <v>126097334</v>
      </c>
      <c r="V148" s="143">
        <v>0.97954304973225093</v>
      </c>
      <c r="W148" s="141">
        <v>603793652</v>
      </c>
      <c r="X148" s="141">
        <v>5434142868</v>
      </c>
      <c r="Y148" s="143">
        <v>0.9</v>
      </c>
      <c r="Z148" s="141">
        <v>603793652</v>
      </c>
      <c r="AA148" s="141">
        <v>0</v>
      </c>
      <c r="AB148" s="724">
        <v>0.1</v>
      </c>
    </row>
    <row r="149" spans="1:28" ht="24.95" customHeight="1">
      <c r="A149" s="32" t="e">
        <v>#REF!</v>
      </c>
      <c r="B149" s="144" t="s">
        <v>496</v>
      </c>
      <c r="C149" s="145" t="s">
        <v>167</v>
      </c>
      <c r="D149" s="145" t="s">
        <v>190</v>
      </c>
      <c r="E149" s="145" t="s">
        <v>172</v>
      </c>
      <c r="F149" s="145" t="s">
        <v>191</v>
      </c>
      <c r="G149" s="145" t="s">
        <v>175</v>
      </c>
      <c r="H149" s="145">
        <v>4103009</v>
      </c>
      <c r="I149" s="145" t="s">
        <v>54</v>
      </c>
      <c r="J149" s="145">
        <v>11</v>
      </c>
      <c r="K149" s="146" t="s">
        <v>29</v>
      </c>
      <c r="L149" s="147" t="s">
        <v>178</v>
      </c>
      <c r="M149" s="148">
        <v>5421920000</v>
      </c>
      <c r="N149" s="148"/>
      <c r="O149" s="148"/>
      <c r="P149" s="148">
        <v>742113854</v>
      </c>
      <c r="Q149" s="148"/>
      <c r="R149" s="148"/>
      <c r="S149" s="148">
        <v>6164033854</v>
      </c>
      <c r="T149" s="148">
        <v>6037936520</v>
      </c>
      <c r="U149" s="148">
        <v>126097334</v>
      </c>
      <c r="V149" s="150">
        <v>0.97954304973225093</v>
      </c>
      <c r="W149" s="148">
        <v>603793652</v>
      </c>
      <c r="X149" s="148">
        <v>5434142868</v>
      </c>
      <c r="Y149" s="150">
        <v>0.9</v>
      </c>
      <c r="Z149" s="148">
        <v>603793652</v>
      </c>
      <c r="AA149" s="148">
        <v>0</v>
      </c>
      <c r="AB149" s="150">
        <v>0.1</v>
      </c>
    </row>
    <row r="150" spans="1:28" ht="32.25" customHeight="1">
      <c r="A150" s="32" t="e">
        <v>#REF!</v>
      </c>
      <c r="B150" s="138" t="s">
        <v>497</v>
      </c>
      <c r="C150" s="139" t="s">
        <v>167</v>
      </c>
      <c r="D150" s="139" t="s">
        <v>190</v>
      </c>
      <c r="E150" s="139" t="s">
        <v>172</v>
      </c>
      <c r="F150" s="139" t="s">
        <v>191</v>
      </c>
      <c r="G150" s="139" t="s">
        <v>175</v>
      </c>
      <c r="H150" s="139">
        <v>4103047</v>
      </c>
      <c r="I150" s="139"/>
      <c r="J150" s="139">
        <v>11</v>
      </c>
      <c r="K150" s="140" t="s">
        <v>29</v>
      </c>
      <c r="L150" s="140" t="s">
        <v>195</v>
      </c>
      <c r="M150" s="141">
        <v>600000000</v>
      </c>
      <c r="N150" s="142">
        <v>0</v>
      </c>
      <c r="O150" s="142">
        <v>0</v>
      </c>
      <c r="P150" s="142">
        <v>0</v>
      </c>
      <c r="Q150" s="141">
        <v>600000000</v>
      </c>
      <c r="R150" s="142">
        <v>0</v>
      </c>
      <c r="S150" s="141">
        <v>0</v>
      </c>
      <c r="T150" s="141">
        <v>0</v>
      </c>
      <c r="U150" s="141">
        <v>0</v>
      </c>
      <c r="V150" s="143">
        <v>0</v>
      </c>
      <c r="W150" s="141">
        <v>0</v>
      </c>
      <c r="X150" s="141">
        <v>0</v>
      </c>
      <c r="Y150" s="143">
        <v>0</v>
      </c>
      <c r="Z150" s="141">
        <v>0</v>
      </c>
      <c r="AA150" s="141">
        <v>0</v>
      </c>
      <c r="AB150" s="724">
        <v>0</v>
      </c>
    </row>
    <row r="151" spans="1:28" ht="24.95" customHeight="1">
      <c r="A151" s="32" t="e">
        <v>#REF!</v>
      </c>
      <c r="B151" s="144" t="s">
        <v>498</v>
      </c>
      <c r="C151" s="145" t="s">
        <v>167</v>
      </c>
      <c r="D151" s="145" t="s">
        <v>190</v>
      </c>
      <c r="E151" s="145" t="s">
        <v>172</v>
      </c>
      <c r="F151" s="145" t="s">
        <v>191</v>
      </c>
      <c r="G151" s="145" t="s">
        <v>175</v>
      </c>
      <c r="H151" s="145">
        <v>4103047</v>
      </c>
      <c r="I151" s="145" t="s">
        <v>54</v>
      </c>
      <c r="J151" s="145">
        <v>11</v>
      </c>
      <c r="K151" s="146" t="s">
        <v>29</v>
      </c>
      <c r="L151" s="147" t="s">
        <v>178</v>
      </c>
      <c r="M151" s="148">
        <v>600000000</v>
      </c>
      <c r="N151" s="148"/>
      <c r="O151" s="148"/>
      <c r="P151" s="148"/>
      <c r="Q151" s="148">
        <v>600000000</v>
      </c>
      <c r="R151" s="148"/>
      <c r="S151" s="148">
        <v>0</v>
      </c>
      <c r="T151" s="148">
        <v>0</v>
      </c>
      <c r="U151" s="148">
        <v>0</v>
      </c>
      <c r="V151" s="150">
        <v>0</v>
      </c>
      <c r="W151" s="148">
        <v>0</v>
      </c>
      <c r="X151" s="148">
        <v>0</v>
      </c>
      <c r="Y151" s="150">
        <v>0</v>
      </c>
      <c r="Z151" s="148">
        <v>0</v>
      </c>
      <c r="AA151" s="148">
        <v>0</v>
      </c>
      <c r="AB151" s="150">
        <v>0</v>
      </c>
    </row>
    <row r="152" spans="1:28" ht="42" customHeight="1">
      <c r="A152" s="32" t="e">
        <v>#REF!</v>
      </c>
      <c r="B152" s="132" t="s">
        <v>298</v>
      </c>
      <c r="C152" s="133" t="s">
        <v>167</v>
      </c>
      <c r="D152" s="133" t="s">
        <v>190</v>
      </c>
      <c r="E152" s="133" t="s">
        <v>172</v>
      </c>
      <c r="F152" s="133" t="s">
        <v>22</v>
      </c>
      <c r="G152" s="133"/>
      <c r="H152" s="133"/>
      <c r="I152" s="133"/>
      <c r="J152" s="133"/>
      <c r="K152" s="134"/>
      <c r="L152" s="134" t="s">
        <v>264</v>
      </c>
      <c r="M152" s="135">
        <v>127000000000</v>
      </c>
      <c r="N152" s="136">
        <v>0</v>
      </c>
      <c r="O152" s="136">
        <v>0</v>
      </c>
      <c r="P152" s="135">
        <v>1000000000</v>
      </c>
      <c r="Q152" s="135">
        <v>2000000000</v>
      </c>
      <c r="R152" s="136">
        <v>0</v>
      </c>
      <c r="S152" s="135">
        <v>126000000000</v>
      </c>
      <c r="T152" s="135">
        <v>117646530842</v>
      </c>
      <c r="U152" s="135">
        <v>8353469158</v>
      </c>
      <c r="V152" s="137">
        <v>0.93370262573015872</v>
      </c>
      <c r="W152" s="135">
        <v>61531538266.619995</v>
      </c>
      <c r="X152" s="135">
        <v>56114992575.380005</v>
      </c>
      <c r="Y152" s="137">
        <v>0.47697957750018805</v>
      </c>
      <c r="Z152" s="135">
        <v>59653335429.619995</v>
      </c>
      <c r="AA152" s="135">
        <v>1878202837</v>
      </c>
      <c r="AB152" s="723">
        <v>0.50705562673781501</v>
      </c>
    </row>
    <row r="153" spans="1:28" ht="32.25" customHeight="1">
      <c r="A153" s="32" t="e">
        <v>#REF!</v>
      </c>
      <c r="B153" s="138" t="s">
        <v>500</v>
      </c>
      <c r="C153" s="139" t="s">
        <v>167</v>
      </c>
      <c r="D153" s="139" t="s">
        <v>190</v>
      </c>
      <c r="E153" s="139" t="s">
        <v>172</v>
      </c>
      <c r="F153" s="139" t="s">
        <v>22</v>
      </c>
      <c r="G153" s="139" t="s">
        <v>175</v>
      </c>
      <c r="H153" s="139" t="s">
        <v>197</v>
      </c>
      <c r="I153" s="139"/>
      <c r="J153" s="139">
        <v>13</v>
      </c>
      <c r="K153" s="140" t="s">
        <v>29</v>
      </c>
      <c r="L153" s="140" t="s">
        <v>198</v>
      </c>
      <c r="M153" s="141">
        <v>12543853246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1">
        <v>12543853246</v>
      </c>
      <c r="T153" s="141">
        <v>12497150539</v>
      </c>
      <c r="U153" s="141">
        <v>46702707</v>
      </c>
      <c r="V153" s="143">
        <v>0.99627684523374882</v>
      </c>
      <c r="W153" s="141">
        <v>6968613668</v>
      </c>
      <c r="X153" s="142">
        <v>5528536871</v>
      </c>
      <c r="Y153" s="143">
        <v>0.44238379410946777</v>
      </c>
      <c r="Z153" s="141">
        <v>5765160360</v>
      </c>
      <c r="AA153" s="141">
        <v>1203453308</v>
      </c>
      <c r="AB153" s="724">
        <v>0.46131798940955365</v>
      </c>
    </row>
    <row r="154" spans="1:28" ht="24.95" customHeight="1">
      <c r="A154" s="32" t="e">
        <v>#REF!</v>
      </c>
      <c r="B154" s="144" t="s">
        <v>501</v>
      </c>
      <c r="C154" s="145" t="s">
        <v>167</v>
      </c>
      <c r="D154" s="145" t="s">
        <v>190</v>
      </c>
      <c r="E154" s="145" t="s">
        <v>172</v>
      </c>
      <c r="F154" s="145" t="s">
        <v>22</v>
      </c>
      <c r="G154" s="145" t="s">
        <v>175</v>
      </c>
      <c r="H154" s="145" t="s">
        <v>197</v>
      </c>
      <c r="I154" s="145" t="s">
        <v>54</v>
      </c>
      <c r="J154" s="145">
        <v>13</v>
      </c>
      <c r="K154" s="146" t="s">
        <v>29</v>
      </c>
      <c r="L154" s="147" t="s">
        <v>178</v>
      </c>
      <c r="M154" s="148">
        <v>12543853246</v>
      </c>
      <c r="N154" s="148"/>
      <c r="O154" s="148"/>
      <c r="P154" s="148"/>
      <c r="Q154" s="148">
        <v>0</v>
      </c>
      <c r="R154" s="148">
        <v>0</v>
      </c>
      <c r="S154" s="148">
        <v>12543853246</v>
      </c>
      <c r="T154" s="148">
        <v>12497150539</v>
      </c>
      <c r="U154" s="148">
        <v>46702707</v>
      </c>
      <c r="V154" s="150">
        <v>0.99627684523374882</v>
      </c>
      <c r="W154" s="148">
        <v>6968613668</v>
      </c>
      <c r="X154" s="148">
        <v>5528536871</v>
      </c>
      <c r="Y154" s="150">
        <v>0.44238379410946777</v>
      </c>
      <c r="Z154" s="148">
        <v>5765160360</v>
      </c>
      <c r="AA154" s="148">
        <v>1203453308</v>
      </c>
      <c r="AB154" s="150">
        <v>0.46131798940955365</v>
      </c>
    </row>
    <row r="155" spans="1:28" ht="32.25" customHeight="1">
      <c r="A155" s="32" t="e">
        <v>#REF!</v>
      </c>
      <c r="B155" s="138" t="s">
        <v>502</v>
      </c>
      <c r="C155" s="139" t="s">
        <v>167</v>
      </c>
      <c r="D155" s="139" t="s">
        <v>190</v>
      </c>
      <c r="E155" s="139" t="s">
        <v>172</v>
      </c>
      <c r="F155" s="139" t="s">
        <v>22</v>
      </c>
      <c r="G155" s="139" t="s">
        <v>175</v>
      </c>
      <c r="H155" s="139" t="s">
        <v>199</v>
      </c>
      <c r="I155" s="139"/>
      <c r="J155" s="139">
        <v>13</v>
      </c>
      <c r="K155" s="140" t="s">
        <v>29</v>
      </c>
      <c r="L155" s="140" t="s">
        <v>200</v>
      </c>
      <c r="M155" s="141">
        <v>6747471657</v>
      </c>
      <c r="N155" s="142">
        <v>0</v>
      </c>
      <c r="O155" s="142">
        <v>0</v>
      </c>
      <c r="P155" s="141">
        <v>1000000000</v>
      </c>
      <c r="Q155" s="141">
        <v>1000000000</v>
      </c>
      <c r="R155" s="142">
        <v>0</v>
      </c>
      <c r="S155" s="141">
        <v>6747471657</v>
      </c>
      <c r="T155" s="141">
        <v>5632124153</v>
      </c>
      <c r="U155" s="141">
        <v>1115347504</v>
      </c>
      <c r="V155" s="143">
        <v>0.83470141696069078</v>
      </c>
      <c r="W155" s="141">
        <v>2712083535</v>
      </c>
      <c r="X155" s="142">
        <v>2920040618</v>
      </c>
      <c r="Y155" s="143">
        <v>0.51846169201448</v>
      </c>
      <c r="Z155" s="141">
        <v>2712083535</v>
      </c>
      <c r="AA155" s="141">
        <v>0</v>
      </c>
      <c r="AB155" s="724">
        <v>0.48153830798552</v>
      </c>
    </row>
    <row r="156" spans="1:28" ht="24.95" customHeight="1">
      <c r="A156" s="32" t="e">
        <v>#REF!</v>
      </c>
      <c r="B156" s="144" t="s">
        <v>503</v>
      </c>
      <c r="C156" s="145" t="s">
        <v>167</v>
      </c>
      <c r="D156" s="145" t="s">
        <v>190</v>
      </c>
      <c r="E156" s="145" t="s">
        <v>172</v>
      </c>
      <c r="F156" s="145" t="s">
        <v>22</v>
      </c>
      <c r="G156" s="145" t="s">
        <v>175</v>
      </c>
      <c r="H156" s="145" t="s">
        <v>199</v>
      </c>
      <c r="I156" s="145" t="s">
        <v>54</v>
      </c>
      <c r="J156" s="145">
        <v>13</v>
      </c>
      <c r="K156" s="146" t="s">
        <v>29</v>
      </c>
      <c r="L156" s="147" t="s">
        <v>178</v>
      </c>
      <c r="M156" s="148">
        <v>6747471657</v>
      </c>
      <c r="N156" s="148"/>
      <c r="O156" s="148"/>
      <c r="P156" s="148">
        <v>1000000000</v>
      </c>
      <c r="Q156" s="148">
        <v>1000000000</v>
      </c>
      <c r="R156" s="148">
        <v>0</v>
      </c>
      <c r="S156" s="148">
        <v>6747471657</v>
      </c>
      <c r="T156" s="148">
        <v>5632124153</v>
      </c>
      <c r="U156" s="148">
        <v>1115347504</v>
      </c>
      <c r="V156" s="150">
        <v>0.83470141696069078</v>
      </c>
      <c r="W156" s="148">
        <v>2712083535</v>
      </c>
      <c r="X156" s="148">
        <v>2920040618</v>
      </c>
      <c r="Y156" s="150">
        <v>0.51846169201448</v>
      </c>
      <c r="Z156" s="148">
        <v>2712083535</v>
      </c>
      <c r="AA156" s="148">
        <v>0</v>
      </c>
      <c r="AB156" s="150">
        <v>0.48153830798552</v>
      </c>
    </row>
    <row r="157" spans="1:28" ht="32.25" customHeight="1">
      <c r="A157" s="32" t="e">
        <v>#REF!</v>
      </c>
      <c r="B157" s="138" t="s">
        <v>504</v>
      </c>
      <c r="C157" s="139" t="s">
        <v>167</v>
      </c>
      <c r="D157" s="139" t="s">
        <v>190</v>
      </c>
      <c r="E157" s="139" t="s">
        <v>172</v>
      </c>
      <c r="F157" s="139" t="s">
        <v>22</v>
      </c>
      <c r="G157" s="139" t="s">
        <v>175</v>
      </c>
      <c r="H157" s="139" t="s">
        <v>201</v>
      </c>
      <c r="I157" s="139"/>
      <c r="J157" s="139">
        <v>13</v>
      </c>
      <c r="K157" s="140" t="s">
        <v>29</v>
      </c>
      <c r="L157" s="140" t="s">
        <v>202</v>
      </c>
      <c r="M157" s="141">
        <v>11231519737</v>
      </c>
      <c r="N157" s="142">
        <v>0</v>
      </c>
      <c r="O157" s="142">
        <v>0</v>
      </c>
      <c r="P157" s="142">
        <v>0</v>
      </c>
      <c r="Q157" s="141">
        <v>1000000000</v>
      </c>
      <c r="R157" s="142">
        <v>0</v>
      </c>
      <c r="S157" s="141">
        <v>10231519737</v>
      </c>
      <c r="T157" s="141">
        <v>8804975294</v>
      </c>
      <c r="U157" s="141">
        <v>1426544443</v>
      </c>
      <c r="V157" s="143">
        <v>0.86057355313099559</v>
      </c>
      <c r="W157" s="141">
        <v>4827261402.6199999</v>
      </c>
      <c r="X157" s="141">
        <v>3977713891.3800001</v>
      </c>
      <c r="Y157" s="143">
        <v>0.45175753009671082</v>
      </c>
      <c r="Z157" s="141">
        <v>4178535757.6199999</v>
      </c>
      <c r="AA157" s="141">
        <v>648725645</v>
      </c>
      <c r="AB157" s="724">
        <v>0.47456530178652423</v>
      </c>
    </row>
    <row r="158" spans="1:28" ht="24.95" customHeight="1">
      <c r="A158" s="32" t="e">
        <v>#REF!</v>
      </c>
      <c r="B158" s="144" t="s">
        <v>505</v>
      </c>
      <c r="C158" s="145" t="s">
        <v>167</v>
      </c>
      <c r="D158" s="145" t="s">
        <v>190</v>
      </c>
      <c r="E158" s="145" t="s">
        <v>172</v>
      </c>
      <c r="F158" s="145" t="s">
        <v>22</v>
      </c>
      <c r="G158" s="145" t="s">
        <v>175</v>
      </c>
      <c r="H158" s="145" t="s">
        <v>201</v>
      </c>
      <c r="I158" s="145" t="s">
        <v>54</v>
      </c>
      <c r="J158" s="145">
        <v>13</v>
      </c>
      <c r="K158" s="146" t="s">
        <v>29</v>
      </c>
      <c r="L158" s="147" t="s">
        <v>178</v>
      </c>
      <c r="M158" s="148">
        <v>11231519737</v>
      </c>
      <c r="N158" s="148"/>
      <c r="O158" s="148"/>
      <c r="P158" s="148"/>
      <c r="Q158" s="148">
        <v>1000000000</v>
      </c>
      <c r="R158" s="148">
        <v>0</v>
      </c>
      <c r="S158" s="148">
        <v>10231519737</v>
      </c>
      <c r="T158" s="148">
        <v>8804975294</v>
      </c>
      <c r="U158" s="148">
        <v>1426544443</v>
      </c>
      <c r="V158" s="150">
        <v>0.86057355313099559</v>
      </c>
      <c r="W158" s="148">
        <v>4827261402.6199999</v>
      </c>
      <c r="X158" s="148">
        <v>3977713891.3800001</v>
      </c>
      <c r="Y158" s="150">
        <v>0.45175753009671082</v>
      </c>
      <c r="Z158" s="148">
        <v>4178535757.6199999</v>
      </c>
      <c r="AA158" s="148">
        <v>648725645</v>
      </c>
      <c r="AB158" s="150">
        <v>0.47456530178652423</v>
      </c>
    </row>
    <row r="159" spans="1:28" ht="32.25" customHeight="1">
      <c r="A159" s="32" t="e">
        <v>#REF!</v>
      </c>
      <c r="B159" s="138" t="s">
        <v>506</v>
      </c>
      <c r="C159" s="139" t="s">
        <v>167</v>
      </c>
      <c r="D159" s="139" t="s">
        <v>190</v>
      </c>
      <c r="E159" s="139" t="s">
        <v>172</v>
      </c>
      <c r="F159" s="139" t="s">
        <v>22</v>
      </c>
      <c r="G159" s="139" t="s">
        <v>175</v>
      </c>
      <c r="H159" s="139" t="s">
        <v>203</v>
      </c>
      <c r="I159" s="139"/>
      <c r="J159" s="139">
        <v>13</v>
      </c>
      <c r="K159" s="140" t="s">
        <v>29</v>
      </c>
      <c r="L159" s="140" t="s">
        <v>204</v>
      </c>
      <c r="M159" s="141">
        <v>96477155360</v>
      </c>
      <c r="N159" s="142">
        <v>0</v>
      </c>
      <c r="O159" s="142">
        <v>0</v>
      </c>
      <c r="P159" s="142">
        <v>0</v>
      </c>
      <c r="Q159" s="142">
        <v>0</v>
      </c>
      <c r="R159" s="142">
        <v>0</v>
      </c>
      <c r="S159" s="141">
        <v>96477155360</v>
      </c>
      <c r="T159" s="141">
        <v>90712280856</v>
      </c>
      <c r="U159" s="141">
        <v>5764874504</v>
      </c>
      <c r="V159" s="143">
        <v>0.94024622220163268</v>
      </c>
      <c r="W159" s="141">
        <v>47023579661</v>
      </c>
      <c r="X159" s="141">
        <v>43688701195</v>
      </c>
      <c r="Y159" s="143">
        <v>0.48161837386001843</v>
      </c>
      <c r="Z159" s="141">
        <v>46997555777</v>
      </c>
      <c r="AA159" s="141">
        <v>26023884</v>
      </c>
      <c r="AB159" s="724">
        <v>0.51809474233820274</v>
      </c>
    </row>
    <row r="160" spans="1:28" ht="24.95" customHeight="1">
      <c r="A160" s="32" t="e">
        <v>#REF!</v>
      </c>
      <c r="B160" s="144" t="s">
        <v>507</v>
      </c>
      <c r="C160" s="145" t="s">
        <v>167</v>
      </c>
      <c r="D160" s="145" t="s">
        <v>190</v>
      </c>
      <c r="E160" s="145" t="s">
        <v>172</v>
      </c>
      <c r="F160" s="145" t="s">
        <v>22</v>
      </c>
      <c r="G160" s="145" t="s">
        <v>175</v>
      </c>
      <c r="H160" s="145" t="s">
        <v>203</v>
      </c>
      <c r="I160" s="145" t="s">
        <v>54</v>
      </c>
      <c r="J160" s="145">
        <v>13</v>
      </c>
      <c r="K160" s="146" t="s">
        <v>29</v>
      </c>
      <c r="L160" s="147" t="s">
        <v>178</v>
      </c>
      <c r="M160" s="148">
        <v>96477155360</v>
      </c>
      <c r="N160" s="148"/>
      <c r="O160" s="148"/>
      <c r="P160" s="149"/>
      <c r="Q160" s="148">
        <v>0</v>
      </c>
      <c r="R160" s="148">
        <v>0</v>
      </c>
      <c r="S160" s="148">
        <v>96477155360</v>
      </c>
      <c r="T160" s="148">
        <v>90712280856</v>
      </c>
      <c r="U160" s="148">
        <v>5764874504</v>
      </c>
      <c r="V160" s="150">
        <v>0.94024622220163268</v>
      </c>
      <c r="W160" s="148">
        <v>47023579661</v>
      </c>
      <c r="X160" s="148">
        <v>43688701195</v>
      </c>
      <c r="Y160" s="150">
        <v>0.48161837386001843</v>
      </c>
      <c r="Z160" s="148">
        <v>46997555777</v>
      </c>
      <c r="AA160" s="148">
        <v>26023884</v>
      </c>
      <c r="AB160" s="150">
        <v>0.51809474233820274</v>
      </c>
    </row>
    <row r="161" spans="1:28" ht="42" customHeight="1">
      <c r="A161" s="32" t="e">
        <v>#REF!</v>
      </c>
      <c r="B161" s="132" t="s">
        <v>299</v>
      </c>
      <c r="C161" s="133" t="s">
        <v>167</v>
      </c>
      <c r="D161" s="133" t="s">
        <v>190</v>
      </c>
      <c r="E161" s="133" t="s">
        <v>172</v>
      </c>
      <c r="F161" s="133" t="s">
        <v>205</v>
      </c>
      <c r="G161" s="133"/>
      <c r="H161" s="133"/>
      <c r="I161" s="133"/>
      <c r="J161" s="133"/>
      <c r="K161" s="134"/>
      <c r="L161" s="134" t="s">
        <v>265</v>
      </c>
      <c r="M161" s="135">
        <v>662805945958</v>
      </c>
      <c r="N161" s="136">
        <v>0</v>
      </c>
      <c r="O161" s="136">
        <v>0</v>
      </c>
      <c r="P161" s="135">
        <v>15110237185.139999</v>
      </c>
      <c r="Q161" s="135">
        <v>15110237185.140001</v>
      </c>
      <c r="R161" s="136">
        <v>0</v>
      </c>
      <c r="S161" s="135">
        <v>662805945958.00012</v>
      </c>
      <c r="T161" s="135">
        <v>604236941390.54993</v>
      </c>
      <c r="U161" s="135">
        <v>58569004567.450066</v>
      </c>
      <c r="V161" s="137">
        <v>0.91163476289761358</v>
      </c>
      <c r="W161" s="135">
        <v>30552279472.07</v>
      </c>
      <c r="X161" s="135">
        <v>573684661918.47998</v>
      </c>
      <c r="Y161" s="137">
        <v>0.94943659121244883</v>
      </c>
      <c r="Z161" s="135">
        <v>29179172614.07</v>
      </c>
      <c r="AA161" s="135">
        <v>1373106858</v>
      </c>
      <c r="AB161" s="723">
        <v>4.8290944520735575E-2</v>
      </c>
    </row>
    <row r="162" spans="1:28" ht="30.75" hidden="1" customHeight="1">
      <c r="A162" s="32"/>
      <c r="B162" s="135"/>
      <c r="C162" s="133"/>
      <c r="D162" s="133"/>
      <c r="E162" s="133"/>
      <c r="F162" s="133"/>
      <c r="G162" s="133"/>
      <c r="H162" s="133"/>
      <c r="I162" s="133"/>
      <c r="J162" s="133"/>
      <c r="K162" s="134"/>
      <c r="L162" s="135"/>
      <c r="M162" s="729"/>
      <c r="N162" s="135"/>
      <c r="O162" s="135"/>
      <c r="P162" s="136"/>
      <c r="Q162" s="135"/>
      <c r="R162" s="729"/>
      <c r="S162" s="135">
        <v>0</v>
      </c>
      <c r="T162" s="135"/>
      <c r="U162" s="135">
        <v>0</v>
      </c>
      <c r="V162" s="137"/>
      <c r="W162" s="135"/>
      <c r="X162" s="135">
        <v>0</v>
      </c>
      <c r="Y162" s="137"/>
      <c r="Z162" s="135"/>
      <c r="AA162" s="135">
        <v>0</v>
      </c>
      <c r="AB162" s="723"/>
    </row>
    <row r="163" spans="1:28" ht="32.25" customHeight="1">
      <c r="A163" s="32" t="e">
        <v>#REF!</v>
      </c>
      <c r="B163" s="138" t="s">
        <v>510</v>
      </c>
      <c r="C163" s="139" t="s">
        <v>167</v>
      </c>
      <c r="D163" s="139" t="s">
        <v>190</v>
      </c>
      <c r="E163" s="139" t="s">
        <v>172</v>
      </c>
      <c r="F163" s="139" t="s">
        <v>205</v>
      </c>
      <c r="G163" s="139" t="s">
        <v>175</v>
      </c>
      <c r="H163" s="139" t="s">
        <v>207</v>
      </c>
      <c r="I163" s="139"/>
      <c r="J163" s="139"/>
      <c r="K163" s="140"/>
      <c r="L163" s="140" t="s">
        <v>208</v>
      </c>
      <c r="M163" s="141">
        <v>633930608285</v>
      </c>
      <c r="N163" s="142">
        <v>0</v>
      </c>
      <c r="O163" s="142">
        <v>0</v>
      </c>
      <c r="P163" s="141">
        <v>14183065490.24</v>
      </c>
      <c r="Q163" s="141">
        <v>12342298981.240002</v>
      </c>
      <c r="R163" s="142">
        <v>0</v>
      </c>
      <c r="S163" s="141">
        <v>635771374794.00012</v>
      </c>
      <c r="T163" s="141">
        <v>579149294271.46997</v>
      </c>
      <c r="U163" s="141">
        <v>56622080522.530067</v>
      </c>
      <c r="V163" s="143">
        <v>0.91093955662776327</v>
      </c>
      <c r="W163" s="141">
        <v>16214606341.480001</v>
      </c>
      <c r="X163" s="141">
        <v>562934687929.98999</v>
      </c>
      <c r="Y163" s="143">
        <v>0.97200271760345169</v>
      </c>
      <c r="Z163" s="141">
        <v>16214606341.480001</v>
      </c>
      <c r="AA163" s="141">
        <v>0</v>
      </c>
      <c r="AB163" s="724">
        <v>2.7997282396548306E-2</v>
      </c>
    </row>
    <row r="164" spans="1:28" ht="24.95" customHeight="1">
      <c r="A164" s="32" t="e">
        <v>#REF!</v>
      </c>
      <c r="B164" s="144" t="s">
        <v>511</v>
      </c>
      <c r="C164" s="145" t="s">
        <v>167</v>
      </c>
      <c r="D164" s="145" t="s">
        <v>190</v>
      </c>
      <c r="E164" s="145" t="s">
        <v>172</v>
      </c>
      <c r="F164" s="145" t="s">
        <v>205</v>
      </c>
      <c r="G164" s="145" t="s">
        <v>175</v>
      </c>
      <c r="H164" s="145" t="s">
        <v>207</v>
      </c>
      <c r="I164" s="145" t="s">
        <v>54</v>
      </c>
      <c r="J164" s="145">
        <v>13</v>
      </c>
      <c r="K164" s="146" t="s">
        <v>29</v>
      </c>
      <c r="L164" s="147" t="s">
        <v>178</v>
      </c>
      <c r="M164" s="148">
        <v>74930114899</v>
      </c>
      <c r="N164" s="148"/>
      <c r="O164" s="148"/>
      <c r="P164" s="148">
        <v>5461855367.8199997</v>
      </c>
      <c r="Q164" s="148">
        <v>6339021918.5200005</v>
      </c>
      <c r="R164" s="149">
        <v>0</v>
      </c>
      <c r="S164" s="148">
        <v>74052948348.300003</v>
      </c>
      <c r="T164" s="148">
        <v>62518312972.150002</v>
      </c>
      <c r="U164" s="148">
        <v>11534635376.150002</v>
      </c>
      <c r="V164" s="150">
        <v>0.84423799952031486</v>
      </c>
      <c r="W164" s="148">
        <v>385338441.44</v>
      </c>
      <c r="X164" s="148">
        <v>62132974530.709999</v>
      </c>
      <c r="Y164" s="150">
        <v>0.99383639092098253</v>
      </c>
      <c r="Z164" s="148">
        <v>385338441.44</v>
      </c>
      <c r="AA164" s="148">
        <v>0</v>
      </c>
      <c r="AB164" s="150">
        <v>6.1636090790174796E-3</v>
      </c>
    </row>
    <row r="165" spans="1:28" ht="24.95" customHeight="1">
      <c r="A165" s="32" t="e">
        <v>#REF!</v>
      </c>
      <c r="B165" s="144" t="s">
        <v>514</v>
      </c>
      <c r="C165" s="145" t="s">
        <v>167</v>
      </c>
      <c r="D165" s="145" t="s">
        <v>190</v>
      </c>
      <c r="E165" s="145" t="s">
        <v>172</v>
      </c>
      <c r="F165" s="145" t="s">
        <v>205</v>
      </c>
      <c r="G165" s="145" t="s">
        <v>175</v>
      </c>
      <c r="H165" s="145" t="s">
        <v>207</v>
      </c>
      <c r="I165" s="145" t="s">
        <v>65</v>
      </c>
      <c r="J165" s="145">
        <v>13</v>
      </c>
      <c r="K165" s="146" t="s">
        <v>29</v>
      </c>
      <c r="L165" s="147" t="s">
        <v>127</v>
      </c>
      <c r="M165" s="148">
        <v>559000493386</v>
      </c>
      <c r="N165" s="149"/>
      <c r="O165" s="148"/>
      <c r="P165" s="148">
        <v>8721210122.4200001</v>
      </c>
      <c r="Q165" s="148">
        <v>6003277062.7200003</v>
      </c>
      <c r="R165" s="149">
        <v>0</v>
      </c>
      <c r="S165" s="149">
        <v>561718426445.70007</v>
      </c>
      <c r="T165" s="148">
        <v>516630981299.32001</v>
      </c>
      <c r="U165" s="148">
        <v>45087445146.380066</v>
      </c>
      <c r="V165" s="150">
        <v>0.91973301386662176</v>
      </c>
      <c r="W165" s="148">
        <v>15829267900.040001</v>
      </c>
      <c r="X165" s="148">
        <v>500801713399.28003</v>
      </c>
      <c r="Y165" s="150">
        <v>0.96936059107367201</v>
      </c>
      <c r="Z165" s="148">
        <v>15829267900.040001</v>
      </c>
      <c r="AA165" s="148">
        <v>0</v>
      </c>
      <c r="AB165" s="150">
        <v>3.0639408926328042E-2</v>
      </c>
    </row>
    <row r="166" spans="1:28" ht="32.25" customHeight="1">
      <c r="A166" s="32" t="e">
        <v>#REF!</v>
      </c>
      <c r="B166" s="138" t="s">
        <v>516</v>
      </c>
      <c r="C166" s="139" t="s">
        <v>167</v>
      </c>
      <c r="D166" s="139" t="s">
        <v>190</v>
      </c>
      <c r="E166" s="139" t="s">
        <v>172</v>
      </c>
      <c r="F166" s="139" t="s">
        <v>205</v>
      </c>
      <c r="G166" s="139" t="s">
        <v>175</v>
      </c>
      <c r="H166" s="139" t="s">
        <v>209</v>
      </c>
      <c r="I166" s="139"/>
      <c r="J166" s="139">
        <v>11</v>
      </c>
      <c r="K166" s="140" t="s">
        <v>29</v>
      </c>
      <c r="L166" s="140" t="s">
        <v>210</v>
      </c>
      <c r="M166" s="141">
        <v>28875337673</v>
      </c>
      <c r="N166" s="142">
        <v>0</v>
      </c>
      <c r="O166" s="142">
        <v>0</v>
      </c>
      <c r="P166" s="141">
        <v>927171694.89999998</v>
      </c>
      <c r="Q166" s="141">
        <v>2767938203.9000001</v>
      </c>
      <c r="R166" s="142">
        <v>0</v>
      </c>
      <c r="S166" s="141">
        <v>27034571164</v>
      </c>
      <c r="T166" s="141">
        <v>25087647119.080002</v>
      </c>
      <c r="U166" s="141">
        <v>1946924044.9200001</v>
      </c>
      <c r="V166" s="143">
        <v>0.92798391240943456</v>
      </c>
      <c r="W166" s="141">
        <v>14337673130.59</v>
      </c>
      <c r="X166" s="141">
        <v>10749973988.49</v>
      </c>
      <c r="Y166" s="143">
        <v>0.42849669948977726</v>
      </c>
      <c r="Z166" s="141">
        <v>12964566272.59</v>
      </c>
      <c r="AA166" s="141">
        <v>1373106858</v>
      </c>
      <c r="AB166" s="724">
        <v>0.51677091163842181</v>
      </c>
    </row>
    <row r="167" spans="1:28" ht="24.95" customHeight="1">
      <c r="A167" s="32" t="e">
        <v>#REF!</v>
      </c>
      <c r="B167" s="144" t="s">
        <v>517</v>
      </c>
      <c r="C167" s="145" t="s">
        <v>167</v>
      </c>
      <c r="D167" s="145" t="s">
        <v>190</v>
      </c>
      <c r="E167" s="145" t="s">
        <v>172</v>
      </c>
      <c r="F167" s="145" t="s">
        <v>205</v>
      </c>
      <c r="G167" s="145" t="s">
        <v>175</v>
      </c>
      <c r="H167" s="145" t="s">
        <v>209</v>
      </c>
      <c r="I167" s="145" t="s">
        <v>54</v>
      </c>
      <c r="J167" s="145">
        <v>11</v>
      </c>
      <c r="K167" s="146" t="s">
        <v>29</v>
      </c>
      <c r="L167" s="147" t="s">
        <v>178</v>
      </c>
      <c r="M167" s="148">
        <v>17101987014</v>
      </c>
      <c r="N167" s="148"/>
      <c r="O167" s="148"/>
      <c r="P167" s="148"/>
      <c r="Q167" s="149">
        <v>0</v>
      </c>
      <c r="R167" s="148">
        <v>0</v>
      </c>
      <c r="S167" s="148">
        <v>17101987014</v>
      </c>
      <c r="T167" s="148">
        <v>17101855657</v>
      </c>
      <c r="U167" s="148">
        <v>131357</v>
      </c>
      <c r="V167" s="150">
        <v>0.99999231919660025</v>
      </c>
      <c r="W167" s="148">
        <v>10497123685</v>
      </c>
      <c r="X167" s="148">
        <v>6604731972</v>
      </c>
      <c r="Y167" s="150">
        <v>0.38619972618565529</v>
      </c>
      <c r="Z167" s="148">
        <v>9401657452</v>
      </c>
      <c r="AA167" s="148">
        <v>1095466233</v>
      </c>
      <c r="AB167" s="150">
        <v>0.54974487216840628</v>
      </c>
    </row>
    <row r="168" spans="1:28" ht="24.95" customHeight="1">
      <c r="A168" s="32" t="e">
        <v>#REF!</v>
      </c>
      <c r="B168" s="144" t="s">
        <v>517</v>
      </c>
      <c r="C168" s="145" t="s">
        <v>167</v>
      </c>
      <c r="D168" s="145" t="s">
        <v>190</v>
      </c>
      <c r="E168" s="145" t="s">
        <v>172</v>
      </c>
      <c r="F168" s="145" t="s">
        <v>205</v>
      </c>
      <c r="G168" s="145" t="s">
        <v>175</v>
      </c>
      <c r="H168" s="145" t="s">
        <v>209</v>
      </c>
      <c r="I168" s="145" t="s">
        <v>54</v>
      </c>
      <c r="J168" s="145">
        <v>13</v>
      </c>
      <c r="K168" s="146" t="s">
        <v>29</v>
      </c>
      <c r="L168" s="147" t="s">
        <v>178</v>
      </c>
      <c r="M168" s="148">
        <v>11773350659</v>
      </c>
      <c r="N168" s="148"/>
      <c r="O168" s="148"/>
      <c r="P168" s="148">
        <v>927171694.89999998</v>
      </c>
      <c r="Q168" s="148">
        <v>2767938203.9000001</v>
      </c>
      <c r="R168" s="148">
        <v>0</v>
      </c>
      <c r="S168" s="148">
        <v>9932584150</v>
      </c>
      <c r="T168" s="148">
        <v>7985791462.0799999</v>
      </c>
      <c r="U168" s="148">
        <v>1946792687.9200001</v>
      </c>
      <c r="V168" s="150">
        <v>0.80399937634356711</v>
      </c>
      <c r="W168" s="148">
        <v>3840549445.5900002</v>
      </c>
      <c r="X168" s="148">
        <v>4145242016.4899998</v>
      </c>
      <c r="Y168" s="150">
        <v>0.5190771680143923</v>
      </c>
      <c r="Z168" s="148">
        <v>3562908820.5900002</v>
      </c>
      <c r="AA168" s="148">
        <v>277640625</v>
      </c>
      <c r="AB168" s="150">
        <v>0.44615600563929525</v>
      </c>
    </row>
    <row r="169" spans="1:28" ht="38.25" customHeight="1">
      <c r="A169" s="32" t="e">
        <v>#REF!</v>
      </c>
      <c r="B169" s="132" t="s">
        <v>520</v>
      </c>
      <c r="C169" s="133" t="s">
        <v>167</v>
      </c>
      <c r="D169" s="133" t="s">
        <v>190</v>
      </c>
      <c r="E169" s="133" t="s">
        <v>172</v>
      </c>
      <c r="F169" s="133" t="s">
        <v>211</v>
      </c>
      <c r="G169" s="133"/>
      <c r="H169" s="133"/>
      <c r="I169" s="133"/>
      <c r="J169" s="133"/>
      <c r="K169" s="134"/>
      <c r="L169" s="134" t="s">
        <v>266</v>
      </c>
      <c r="M169" s="135">
        <v>1000000000</v>
      </c>
      <c r="N169" s="136">
        <v>0</v>
      </c>
      <c r="O169" s="136">
        <v>0</v>
      </c>
      <c r="P169" s="135">
        <v>1000000000</v>
      </c>
      <c r="Q169" s="136">
        <v>0</v>
      </c>
      <c r="R169" s="136">
        <v>0</v>
      </c>
      <c r="S169" s="135">
        <v>2000000000</v>
      </c>
      <c r="T169" s="135">
        <v>0</v>
      </c>
      <c r="U169" s="135">
        <v>2000000000</v>
      </c>
      <c r="V169" s="137">
        <v>0</v>
      </c>
      <c r="W169" s="135">
        <v>0</v>
      </c>
      <c r="X169" s="135">
        <v>0</v>
      </c>
      <c r="Y169" s="137">
        <v>0</v>
      </c>
      <c r="Z169" s="135">
        <v>0</v>
      </c>
      <c r="AA169" s="135">
        <v>0</v>
      </c>
      <c r="AB169" s="723">
        <v>0</v>
      </c>
    </row>
    <row r="170" spans="1:28" ht="32.25" customHeight="1">
      <c r="A170" s="32" t="e">
        <v>#REF!</v>
      </c>
      <c r="B170" s="138" t="s">
        <v>522</v>
      </c>
      <c r="C170" s="139" t="s">
        <v>167</v>
      </c>
      <c r="D170" s="139" t="s">
        <v>190</v>
      </c>
      <c r="E170" s="139" t="s">
        <v>172</v>
      </c>
      <c r="F170" s="139" t="s">
        <v>211</v>
      </c>
      <c r="G170" s="139" t="s">
        <v>175</v>
      </c>
      <c r="H170" s="139" t="s">
        <v>213</v>
      </c>
      <c r="I170" s="139"/>
      <c r="J170" s="139" t="s">
        <v>144</v>
      </c>
      <c r="K170" s="140" t="s">
        <v>29</v>
      </c>
      <c r="L170" s="140" t="s">
        <v>214</v>
      </c>
      <c r="M170" s="141">
        <v>820000000</v>
      </c>
      <c r="N170" s="142">
        <v>0</v>
      </c>
      <c r="O170" s="142">
        <v>0</v>
      </c>
      <c r="P170" s="142">
        <v>0</v>
      </c>
      <c r="Q170" s="142">
        <v>0</v>
      </c>
      <c r="R170" s="142">
        <v>0</v>
      </c>
      <c r="S170" s="141">
        <v>820000000</v>
      </c>
      <c r="T170" s="141">
        <v>0</v>
      </c>
      <c r="U170" s="141">
        <v>820000000</v>
      </c>
      <c r="V170" s="143">
        <v>0</v>
      </c>
      <c r="W170" s="141">
        <v>0</v>
      </c>
      <c r="X170" s="142">
        <v>0</v>
      </c>
      <c r="Y170" s="143">
        <v>0</v>
      </c>
      <c r="Z170" s="141">
        <v>0</v>
      </c>
      <c r="AA170" s="141">
        <v>0</v>
      </c>
      <c r="AB170" s="724">
        <v>0</v>
      </c>
    </row>
    <row r="171" spans="1:28" ht="24.95" customHeight="1">
      <c r="A171" s="32" t="e">
        <v>#REF!</v>
      </c>
      <c r="B171" s="144" t="s">
        <v>524</v>
      </c>
      <c r="C171" s="145" t="s">
        <v>167</v>
      </c>
      <c r="D171" s="145" t="s">
        <v>190</v>
      </c>
      <c r="E171" s="145" t="s">
        <v>172</v>
      </c>
      <c r="F171" s="145" t="s">
        <v>211</v>
      </c>
      <c r="G171" s="145" t="s">
        <v>175</v>
      </c>
      <c r="H171" s="145" t="s">
        <v>213</v>
      </c>
      <c r="I171" s="145" t="s">
        <v>54</v>
      </c>
      <c r="J171" s="145">
        <v>13</v>
      </c>
      <c r="K171" s="146" t="s">
        <v>29</v>
      </c>
      <c r="L171" s="147" t="s">
        <v>178</v>
      </c>
      <c r="M171" s="148">
        <v>820000000</v>
      </c>
      <c r="N171" s="148"/>
      <c r="O171" s="148"/>
      <c r="P171" s="148"/>
      <c r="Q171" s="149">
        <v>0</v>
      </c>
      <c r="R171" s="148">
        <v>0</v>
      </c>
      <c r="S171" s="148">
        <v>820000000</v>
      </c>
      <c r="T171" s="148">
        <v>0</v>
      </c>
      <c r="U171" s="148">
        <v>820000000</v>
      </c>
      <c r="V171" s="150">
        <v>0</v>
      </c>
      <c r="W171" s="148">
        <v>0</v>
      </c>
      <c r="X171" s="148">
        <v>0</v>
      </c>
      <c r="Y171" s="150">
        <v>0</v>
      </c>
      <c r="Z171" s="148">
        <v>0</v>
      </c>
      <c r="AA171" s="148">
        <v>0</v>
      </c>
      <c r="AB171" s="150">
        <v>0</v>
      </c>
    </row>
    <row r="172" spans="1:28" ht="32.25" customHeight="1">
      <c r="A172" s="32" t="e">
        <v>#REF!</v>
      </c>
      <c r="B172" s="138" t="s">
        <v>526</v>
      </c>
      <c r="C172" s="139" t="s">
        <v>167</v>
      </c>
      <c r="D172" s="139" t="s">
        <v>190</v>
      </c>
      <c r="E172" s="139" t="s">
        <v>172</v>
      </c>
      <c r="F172" s="139" t="s">
        <v>211</v>
      </c>
      <c r="G172" s="139" t="s">
        <v>175</v>
      </c>
      <c r="H172" s="139" t="s">
        <v>215</v>
      </c>
      <c r="I172" s="139"/>
      <c r="J172" s="139" t="s">
        <v>144</v>
      </c>
      <c r="K172" s="140" t="s">
        <v>29</v>
      </c>
      <c r="L172" s="140" t="s">
        <v>216</v>
      </c>
      <c r="M172" s="141">
        <v>180000000</v>
      </c>
      <c r="N172" s="142">
        <v>0</v>
      </c>
      <c r="O172" s="142">
        <v>0</v>
      </c>
      <c r="P172" s="141">
        <v>1000000000</v>
      </c>
      <c r="Q172" s="142">
        <v>0</v>
      </c>
      <c r="R172" s="142">
        <v>0</v>
      </c>
      <c r="S172" s="141">
        <v>1180000000</v>
      </c>
      <c r="T172" s="141">
        <v>0</v>
      </c>
      <c r="U172" s="141">
        <v>1180000000</v>
      </c>
      <c r="V172" s="143">
        <v>0</v>
      </c>
      <c r="W172" s="141">
        <v>0</v>
      </c>
      <c r="X172" s="141">
        <v>0</v>
      </c>
      <c r="Y172" s="143">
        <v>0</v>
      </c>
      <c r="Z172" s="141">
        <v>0</v>
      </c>
      <c r="AA172" s="141">
        <v>0</v>
      </c>
      <c r="AB172" s="724">
        <v>0</v>
      </c>
    </row>
    <row r="173" spans="1:28" ht="24.95" customHeight="1">
      <c r="A173" s="32" t="e">
        <v>#REF!</v>
      </c>
      <c r="B173" s="144" t="s">
        <v>528</v>
      </c>
      <c r="C173" s="145" t="s">
        <v>167</v>
      </c>
      <c r="D173" s="145" t="s">
        <v>190</v>
      </c>
      <c r="E173" s="145" t="s">
        <v>172</v>
      </c>
      <c r="F173" s="145" t="s">
        <v>211</v>
      </c>
      <c r="G173" s="145" t="s">
        <v>175</v>
      </c>
      <c r="H173" s="145" t="s">
        <v>215</v>
      </c>
      <c r="I173" s="145" t="s">
        <v>54</v>
      </c>
      <c r="J173" s="145">
        <v>13</v>
      </c>
      <c r="K173" s="146" t="s">
        <v>29</v>
      </c>
      <c r="L173" s="147" t="s">
        <v>178</v>
      </c>
      <c r="M173" s="148">
        <v>180000000</v>
      </c>
      <c r="N173" s="148"/>
      <c r="O173" s="148"/>
      <c r="P173" s="148">
        <v>1000000000</v>
      </c>
      <c r="Q173" s="149">
        <v>0</v>
      </c>
      <c r="R173" s="148">
        <v>0</v>
      </c>
      <c r="S173" s="148">
        <v>1180000000</v>
      </c>
      <c r="T173" s="148">
        <v>0</v>
      </c>
      <c r="U173" s="148">
        <v>1180000000</v>
      </c>
      <c r="V173" s="150">
        <v>0</v>
      </c>
      <c r="W173" s="148">
        <v>0</v>
      </c>
      <c r="X173" s="148">
        <v>0</v>
      </c>
      <c r="Y173" s="150">
        <v>0</v>
      </c>
      <c r="Z173" s="148">
        <v>0</v>
      </c>
      <c r="AA173" s="148">
        <v>0</v>
      </c>
      <c r="AB173" s="150">
        <v>0</v>
      </c>
    </row>
    <row r="174" spans="1:28" ht="49.5" customHeight="1">
      <c r="A174" s="32" t="e">
        <v>#REF!</v>
      </c>
      <c r="B174" s="132" t="s">
        <v>530</v>
      </c>
      <c r="C174" s="133" t="s">
        <v>167</v>
      </c>
      <c r="D174" s="133" t="s">
        <v>190</v>
      </c>
      <c r="E174" s="133" t="s">
        <v>172</v>
      </c>
      <c r="F174" s="133" t="s">
        <v>217</v>
      </c>
      <c r="G174" s="133"/>
      <c r="H174" s="133"/>
      <c r="I174" s="133"/>
      <c r="J174" s="133"/>
      <c r="K174" s="134"/>
      <c r="L174" s="134" t="s">
        <v>267</v>
      </c>
      <c r="M174" s="135">
        <v>20000000000</v>
      </c>
      <c r="N174" s="136">
        <v>0</v>
      </c>
      <c r="O174" s="136">
        <v>0</v>
      </c>
      <c r="P174" s="136">
        <v>0</v>
      </c>
      <c r="Q174" s="136">
        <v>0</v>
      </c>
      <c r="R174" s="136">
        <v>0</v>
      </c>
      <c r="S174" s="135">
        <v>20000000000</v>
      </c>
      <c r="T174" s="135">
        <v>16886637208</v>
      </c>
      <c r="U174" s="135">
        <v>3113362792</v>
      </c>
      <c r="V174" s="137">
        <v>0.84433186039999997</v>
      </c>
      <c r="W174" s="135">
        <v>1796971144</v>
      </c>
      <c r="X174" s="135">
        <v>15089666064</v>
      </c>
      <c r="Y174" s="137">
        <v>0.89358620536072808</v>
      </c>
      <c r="Z174" s="135">
        <v>1747989144</v>
      </c>
      <c r="AA174" s="135">
        <v>48982000</v>
      </c>
      <c r="AB174" s="723">
        <v>0.10351315791707154</v>
      </c>
    </row>
    <row r="175" spans="1:28" ht="32.25" customHeight="1">
      <c r="A175" s="32" t="e">
        <v>#REF!</v>
      </c>
      <c r="B175" s="138" t="s">
        <v>531</v>
      </c>
      <c r="C175" s="139" t="s">
        <v>167</v>
      </c>
      <c r="D175" s="139" t="s">
        <v>190</v>
      </c>
      <c r="E175" s="139" t="s">
        <v>172</v>
      </c>
      <c r="F175" s="139" t="s">
        <v>217</v>
      </c>
      <c r="G175" s="139" t="s">
        <v>175</v>
      </c>
      <c r="H175" s="139" t="s">
        <v>219</v>
      </c>
      <c r="I175" s="139"/>
      <c r="J175" s="139">
        <v>11</v>
      </c>
      <c r="K175" s="140" t="s">
        <v>29</v>
      </c>
      <c r="L175" s="140" t="s">
        <v>220</v>
      </c>
      <c r="M175" s="141">
        <v>4242894515</v>
      </c>
      <c r="N175" s="142">
        <v>0</v>
      </c>
      <c r="O175" s="142">
        <v>0</v>
      </c>
      <c r="P175" s="142">
        <v>0</v>
      </c>
      <c r="Q175" s="142">
        <v>0</v>
      </c>
      <c r="R175" s="142">
        <v>0</v>
      </c>
      <c r="S175" s="141">
        <v>4242894515</v>
      </c>
      <c r="T175" s="141">
        <v>2613531723</v>
      </c>
      <c r="U175" s="141">
        <v>1629362792</v>
      </c>
      <c r="V175" s="143">
        <v>0.61597848208583139</v>
      </c>
      <c r="W175" s="141">
        <v>596971144</v>
      </c>
      <c r="X175" s="142">
        <v>2016560579</v>
      </c>
      <c r="Y175" s="143">
        <v>0.77158450431405001</v>
      </c>
      <c r="Z175" s="141">
        <v>547989144</v>
      </c>
      <c r="AA175" s="141">
        <v>48982000</v>
      </c>
      <c r="AB175" s="724">
        <v>0.20967380620541257</v>
      </c>
    </row>
    <row r="176" spans="1:28" ht="24.95" customHeight="1">
      <c r="A176" s="32" t="e">
        <v>#REF!</v>
      </c>
      <c r="B176" s="144" t="s">
        <v>532</v>
      </c>
      <c r="C176" s="145" t="s">
        <v>167</v>
      </c>
      <c r="D176" s="145" t="s">
        <v>190</v>
      </c>
      <c r="E176" s="145" t="s">
        <v>172</v>
      </c>
      <c r="F176" s="145" t="s">
        <v>217</v>
      </c>
      <c r="G176" s="145" t="s">
        <v>175</v>
      </c>
      <c r="H176" s="145" t="s">
        <v>219</v>
      </c>
      <c r="I176" s="145" t="s">
        <v>54</v>
      </c>
      <c r="J176" s="145">
        <v>13</v>
      </c>
      <c r="K176" s="146" t="s">
        <v>29</v>
      </c>
      <c r="L176" s="147" t="s">
        <v>178</v>
      </c>
      <c r="M176" s="148">
        <v>4242894515</v>
      </c>
      <c r="N176" s="148"/>
      <c r="O176" s="148"/>
      <c r="P176" s="148"/>
      <c r="Q176" s="148">
        <v>0</v>
      </c>
      <c r="R176" s="148">
        <v>0</v>
      </c>
      <c r="S176" s="148">
        <v>4242894515</v>
      </c>
      <c r="T176" s="148">
        <v>2613531723</v>
      </c>
      <c r="U176" s="148">
        <v>1629362792</v>
      </c>
      <c r="V176" s="150">
        <v>0.61597848208583139</v>
      </c>
      <c r="W176" s="148">
        <v>596971144</v>
      </c>
      <c r="X176" s="148">
        <v>2016560579</v>
      </c>
      <c r="Y176" s="150">
        <v>0.77158450431405001</v>
      </c>
      <c r="Z176" s="148">
        <v>547989144</v>
      </c>
      <c r="AA176" s="148">
        <v>48982000</v>
      </c>
      <c r="AB176" s="150">
        <v>0.20967380620541257</v>
      </c>
    </row>
    <row r="177" spans="1:28" ht="32.25" customHeight="1">
      <c r="A177" s="32" t="e">
        <v>#REF!</v>
      </c>
      <c r="B177" s="138" t="s">
        <v>533</v>
      </c>
      <c r="C177" s="139" t="s">
        <v>167</v>
      </c>
      <c r="D177" s="139" t="s">
        <v>190</v>
      </c>
      <c r="E177" s="139" t="s">
        <v>172</v>
      </c>
      <c r="F177" s="139" t="s">
        <v>217</v>
      </c>
      <c r="G177" s="139" t="s">
        <v>175</v>
      </c>
      <c r="H177" s="139" t="s">
        <v>221</v>
      </c>
      <c r="I177" s="139"/>
      <c r="J177" s="139">
        <v>11</v>
      </c>
      <c r="K177" s="140" t="s">
        <v>29</v>
      </c>
      <c r="L177" s="140" t="s">
        <v>222</v>
      </c>
      <c r="M177" s="141">
        <v>15757105485</v>
      </c>
      <c r="N177" s="142">
        <v>0</v>
      </c>
      <c r="O177" s="142">
        <v>0</v>
      </c>
      <c r="P177" s="142">
        <v>0</v>
      </c>
      <c r="Q177" s="142">
        <v>0</v>
      </c>
      <c r="R177" s="142">
        <v>0</v>
      </c>
      <c r="S177" s="141">
        <v>15757105485</v>
      </c>
      <c r="T177" s="141">
        <v>14273105485</v>
      </c>
      <c r="U177" s="141">
        <v>1484000000</v>
      </c>
      <c r="V177" s="143">
        <v>0.90582026620227329</v>
      </c>
      <c r="W177" s="141">
        <v>1200000000</v>
      </c>
      <c r="X177" s="141">
        <v>13073105485</v>
      </c>
      <c r="Y177" s="143">
        <v>0.9159257947570616</v>
      </c>
      <c r="Z177" s="141">
        <v>1200000000</v>
      </c>
      <c r="AA177" s="141">
        <v>0</v>
      </c>
      <c r="AB177" s="724">
        <v>8.4074205242938418E-2</v>
      </c>
    </row>
    <row r="178" spans="1:28" ht="24.95" customHeight="1">
      <c r="A178" s="32" t="e">
        <v>#REF!</v>
      </c>
      <c r="B178" s="144" t="s">
        <v>534</v>
      </c>
      <c r="C178" s="145" t="s">
        <v>167</v>
      </c>
      <c r="D178" s="145" t="s">
        <v>190</v>
      </c>
      <c r="E178" s="145" t="s">
        <v>172</v>
      </c>
      <c r="F178" s="145" t="s">
        <v>217</v>
      </c>
      <c r="G178" s="145" t="s">
        <v>175</v>
      </c>
      <c r="H178" s="145" t="s">
        <v>221</v>
      </c>
      <c r="I178" s="145" t="s">
        <v>54</v>
      </c>
      <c r="J178" s="145">
        <v>13</v>
      </c>
      <c r="K178" s="146" t="s">
        <v>29</v>
      </c>
      <c r="L178" s="147" t="s">
        <v>178</v>
      </c>
      <c r="M178" s="148">
        <v>15757105485</v>
      </c>
      <c r="N178" s="148"/>
      <c r="O178" s="148"/>
      <c r="P178" s="148"/>
      <c r="Q178" s="148">
        <v>0</v>
      </c>
      <c r="R178" s="148">
        <v>0</v>
      </c>
      <c r="S178" s="148">
        <v>15757105485</v>
      </c>
      <c r="T178" s="148">
        <v>14273105485</v>
      </c>
      <c r="U178" s="148">
        <v>1484000000</v>
      </c>
      <c r="V178" s="150">
        <v>0.90582026620227329</v>
      </c>
      <c r="W178" s="148">
        <v>1200000000</v>
      </c>
      <c r="X178" s="148">
        <v>13073105485</v>
      </c>
      <c r="Y178" s="150">
        <v>0.9159257947570616</v>
      </c>
      <c r="Z178" s="148">
        <v>1200000000</v>
      </c>
      <c r="AA178" s="148">
        <v>0</v>
      </c>
      <c r="AB178" s="150">
        <v>8.4074205242938418E-2</v>
      </c>
    </row>
    <row r="179" spans="1:28" ht="32.25" hidden="1" customHeight="1">
      <c r="A179" s="32" t="e">
        <v>#REF!</v>
      </c>
      <c r="B179" s="138" t="s">
        <v>536</v>
      </c>
      <c r="C179" s="139" t="s">
        <v>167</v>
      </c>
      <c r="D179" s="139" t="s">
        <v>190</v>
      </c>
      <c r="E179" s="139" t="s">
        <v>172</v>
      </c>
      <c r="F179" s="139" t="s">
        <v>217</v>
      </c>
      <c r="G179" s="139" t="s">
        <v>175</v>
      </c>
      <c r="H179" s="139" t="s">
        <v>223</v>
      </c>
      <c r="I179" s="139"/>
      <c r="J179" s="139">
        <v>11</v>
      </c>
      <c r="K179" s="140" t="s">
        <v>29</v>
      </c>
      <c r="L179" s="140" t="s">
        <v>224</v>
      </c>
      <c r="M179" s="142">
        <v>0</v>
      </c>
      <c r="N179" s="141">
        <v>0</v>
      </c>
      <c r="O179" s="141">
        <v>0</v>
      </c>
      <c r="P179" s="141">
        <v>0</v>
      </c>
      <c r="Q179" s="142">
        <v>0</v>
      </c>
      <c r="R179" s="142">
        <v>0</v>
      </c>
      <c r="S179" s="141">
        <v>0</v>
      </c>
      <c r="T179" s="141">
        <v>0</v>
      </c>
      <c r="U179" s="141">
        <v>0</v>
      </c>
      <c r="V179" s="143">
        <v>0</v>
      </c>
      <c r="W179" s="141">
        <v>0</v>
      </c>
      <c r="X179" s="141">
        <v>0</v>
      </c>
      <c r="Y179" s="143">
        <v>0</v>
      </c>
      <c r="Z179" s="141">
        <v>0</v>
      </c>
      <c r="AA179" s="141">
        <v>0</v>
      </c>
      <c r="AB179" s="724">
        <v>0</v>
      </c>
    </row>
    <row r="180" spans="1:28" ht="24.95" hidden="1" customHeight="1">
      <c r="A180" s="32" t="e">
        <v>#REF!</v>
      </c>
      <c r="B180" s="144" t="s">
        <v>537</v>
      </c>
      <c r="C180" s="145" t="s">
        <v>167</v>
      </c>
      <c r="D180" s="145" t="s">
        <v>190</v>
      </c>
      <c r="E180" s="145" t="s">
        <v>172</v>
      </c>
      <c r="F180" s="145" t="s">
        <v>217</v>
      </c>
      <c r="G180" s="145" t="s">
        <v>175</v>
      </c>
      <c r="H180" s="145" t="s">
        <v>223</v>
      </c>
      <c r="I180" s="145" t="s">
        <v>54</v>
      </c>
      <c r="J180" s="145">
        <v>11</v>
      </c>
      <c r="K180" s="146" t="s">
        <v>29</v>
      </c>
      <c r="L180" s="147" t="s">
        <v>178</v>
      </c>
      <c r="M180" s="148"/>
      <c r="N180" s="148"/>
      <c r="O180" s="148"/>
      <c r="P180" s="148"/>
      <c r="Q180" s="148"/>
      <c r="R180" s="148"/>
      <c r="S180" s="148">
        <v>0</v>
      </c>
      <c r="T180" s="148"/>
      <c r="U180" s="148">
        <v>0</v>
      </c>
      <c r="V180" s="150">
        <v>0</v>
      </c>
      <c r="W180" s="148"/>
      <c r="X180" s="148">
        <v>0</v>
      </c>
      <c r="Y180" s="150">
        <v>0</v>
      </c>
      <c r="Z180" s="148"/>
      <c r="AA180" s="148">
        <v>0</v>
      </c>
      <c r="AB180" s="150">
        <v>0</v>
      </c>
    </row>
    <row r="181" spans="1:28" ht="24.95" hidden="1" customHeight="1">
      <c r="A181" s="32" t="e">
        <v>#REF!</v>
      </c>
      <c r="B181" s="144" t="s">
        <v>539</v>
      </c>
      <c r="C181" s="145" t="s">
        <v>167</v>
      </c>
      <c r="D181" s="145" t="s">
        <v>190</v>
      </c>
      <c r="E181" s="145" t="s">
        <v>172</v>
      </c>
      <c r="F181" s="145" t="s">
        <v>217</v>
      </c>
      <c r="G181" s="145" t="s">
        <v>175</v>
      </c>
      <c r="H181" s="145" t="s">
        <v>223</v>
      </c>
      <c r="I181" s="145" t="s">
        <v>65</v>
      </c>
      <c r="J181" s="145">
        <v>11</v>
      </c>
      <c r="K181" s="146" t="s">
        <v>29</v>
      </c>
      <c r="L181" s="147" t="s">
        <v>127</v>
      </c>
      <c r="M181" s="148"/>
      <c r="N181" s="148"/>
      <c r="O181" s="148"/>
      <c r="P181" s="148"/>
      <c r="Q181" s="148"/>
      <c r="R181" s="148"/>
      <c r="S181" s="148">
        <v>0</v>
      </c>
      <c r="T181" s="148"/>
      <c r="U181" s="148">
        <v>0</v>
      </c>
      <c r="V181" s="150">
        <v>0</v>
      </c>
      <c r="W181" s="148"/>
      <c r="X181" s="148">
        <v>0</v>
      </c>
      <c r="Y181" s="150">
        <v>0</v>
      </c>
      <c r="Z181" s="148"/>
      <c r="AA181" s="148">
        <v>0</v>
      </c>
      <c r="AB181" s="150">
        <v>0</v>
      </c>
    </row>
    <row r="182" spans="1:28" ht="32.25" hidden="1" customHeight="1">
      <c r="A182" s="32" t="e">
        <v>#REF!</v>
      </c>
      <c r="B182" s="138" t="s">
        <v>540</v>
      </c>
      <c r="C182" s="139" t="s">
        <v>167</v>
      </c>
      <c r="D182" s="139" t="s">
        <v>190</v>
      </c>
      <c r="E182" s="139" t="s">
        <v>172</v>
      </c>
      <c r="F182" s="139" t="s">
        <v>217</v>
      </c>
      <c r="G182" s="139" t="s">
        <v>175</v>
      </c>
      <c r="H182" s="139" t="s">
        <v>225</v>
      </c>
      <c r="I182" s="139"/>
      <c r="J182" s="139">
        <v>11</v>
      </c>
      <c r="K182" s="140" t="s">
        <v>29</v>
      </c>
      <c r="L182" s="140" t="s">
        <v>226</v>
      </c>
      <c r="M182" s="142">
        <v>0</v>
      </c>
      <c r="N182" s="142">
        <v>0</v>
      </c>
      <c r="O182" s="142">
        <v>0</v>
      </c>
      <c r="P182" s="141">
        <v>0</v>
      </c>
      <c r="Q182" s="142">
        <v>0</v>
      </c>
      <c r="R182" s="142">
        <v>0</v>
      </c>
      <c r="S182" s="141">
        <v>0</v>
      </c>
      <c r="T182" s="141">
        <v>0</v>
      </c>
      <c r="U182" s="141">
        <v>0</v>
      </c>
      <c r="V182" s="143">
        <v>0</v>
      </c>
      <c r="W182" s="141">
        <v>0</v>
      </c>
      <c r="X182" s="142">
        <v>0</v>
      </c>
      <c r="Y182" s="143">
        <v>0</v>
      </c>
      <c r="Z182" s="141">
        <v>0</v>
      </c>
      <c r="AA182" s="141">
        <v>0</v>
      </c>
      <c r="AB182" s="724">
        <v>0</v>
      </c>
    </row>
    <row r="183" spans="1:28" ht="24.95" hidden="1" customHeight="1">
      <c r="A183" s="32" t="e">
        <v>#REF!</v>
      </c>
      <c r="B183" s="144" t="s">
        <v>541</v>
      </c>
      <c r="C183" s="145" t="s">
        <v>167</v>
      </c>
      <c r="D183" s="145" t="s">
        <v>190</v>
      </c>
      <c r="E183" s="145" t="s">
        <v>172</v>
      </c>
      <c r="F183" s="145" t="s">
        <v>217</v>
      </c>
      <c r="G183" s="145" t="s">
        <v>175</v>
      </c>
      <c r="H183" s="145" t="s">
        <v>225</v>
      </c>
      <c r="I183" s="145" t="s">
        <v>54</v>
      </c>
      <c r="J183" s="145">
        <v>11</v>
      </c>
      <c r="K183" s="146" t="s">
        <v>29</v>
      </c>
      <c r="L183" s="147" t="s">
        <v>178</v>
      </c>
      <c r="M183" s="148"/>
      <c r="N183" s="148"/>
      <c r="O183" s="148"/>
      <c r="P183" s="148"/>
      <c r="Q183" s="148"/>
      <c r="R183" s="148"/>
      <c r="S183" s="148">
        <v>0</v>
      </c>
      <c r="T183" s="148"/>
      <c r="U183" s="148">
        <v>0</v>
      </c>
      <c r="V183" s="150">
        <v>0</v>
      </c>
      <c r="W183" s="148"/>
      <c r="X183" s="148">
        <v>0</v>
      </c>
      <c r="Y183" s="150">
        <v>0</v>
      </c>
      <c r="Z183" s="148"/>
      <c r="AA183" s="148">
        <v>0</v>
      </c>
      <c r="AB183" s="150">
        <v>0</v>
      </c>
    </row>
    <row r="184" spans="1:28" ht="41.25" customHeight="1">
      <c r="A184" s="32" t="e">
        <v>#REF!</v>
      </c>
      <c r="B184" s="132" t="s">
        <v>664</v>
      </c>
      <c r="C184" s="133" t="s">
        <v>167</v>
      </c>
      <c r="D184" s="133" t="s">
        <v>190</v>
      </c>
      <c r="E184" s="133" t="s">
        <v>172</v>
      </c>
      <c r="F184" s="133">
        <v>19</v>
      </c>
      <c r="G184" s="133"/>
      <c r="H184" s="133"/>
      <c r="I184" s="133"/>
      <c r="J184" s="133"/>
      <c r="K184" s="134"/>
      <c r="L184" s="134" t="s">
        <v>270</v>
      </c>
      <c r="M184" s="135">
        <v>12800000000</v>
      </c>
      <c r="N184" s="135">
        <v>5269349000</v>
      </c>
      <c r="O184" s="135">
        <v>0</v>
      </c>
      <c r="P184" s="135">
        <v>0</v>
      </c>
      <c r="Q184" s="135">
        <v>0</v>
      </c>
      <c r="R184" s="135">
        <v>0</v>
      </c>
      <c r="S184" s="135">
        <v>18069349000</v>
      </c>
      <c r="T184" s="135">
        <v>12409981777.51</v>
      </c>
      <c r="U184" s="135">
        <v>5659367222.4899998</v>
      </c>
      <c r="V184" s="137">
        <v>0.68679739250761052</v>
      </c>
      <c r="W184" s="135">
        <v>4975870121.3900003</v>
      </c>
      <c r="X184" s="135">
        <v>7434111656.1199999</v>
      </c>
      <c r="Y184" s="137">
        <v>0.59904291476015503</v>
      </c>
      <c r="Z184" s="135">
        <v>4816328667.3900003</v>
      </c>
      <c r="AA184" s="135">
        <v>159541454</v>
      </c>
      <c r="AB184" s="723">
        <v>0.38810118771635876</v>
      </c>
    </row>
    <row r="185" spans="1:28" ht="32.25" customHeight="1">
      <c r="A185" s="32" t="e">
        <v>#REF!</v>
      </c>
      <c r="B185" s="138" t="s">
        <v>666</v>
      </c>
      <c r="C185" s="139" t="s">
        <v>167</v>
      </c>
      <c r="D185" s="139" t="s">
        <v>190</v>
      </c>
      <c r="E185" s="139" t="s">
        <v>172</v>
      </c>
      <c r="F185" s="139">
        <v>19</v>
      </c>
      <c r="G185" s="139" t="s">
        <v>175</v>
      </c>
      <c r="H185" s="139">
        <v>4103049</v>
      </c>
      <c r="I185" s="139"/>
      <c r="J185" s="139">
        <v>13</v>
      </c>
      <c r="K185" s="140" t="s">
        <v>29</v>
      </c>
      <c r="L185" s="140" t="s">
        <v>228</v>
      </c>
      <c r="M185" s="141">
        <v>321785352</v>
      </c>
      <c r="N185" s="142">
        <v>0</v>
      </c>
      <c r="O185" s="142">
        <v>0</v>
      </c>
      <c r="P185" s="142">
        <v>0</v>
      </c>
      <c r="Q185" s="142">
        <v>0</v>
      </c>
      <c r="R185" s="142">
        <v>0</v>
      </c>
      <c r="S185" s="141">
        <v>321785352</v>
      </c>
      <c r="T185" s="141">
        <v>291749332</v>
      </c>
      <c r="U185" s="141">
        <v>30036020</v>
      </c>
      <c r="V185" s="143">
        <v>0.90665821233528365</v>
      </c>
      <c r="W185" s="141">
        <v>243701846</v>
      </c>
      <c r="X185" s="141">
        <v>48047486</v>
      </c>
      <c r="Y185" s="143">
        <v>0.16468756130690987</v>
      </c>
      <c r="Z185" s="141">
        <v>243701846</v>
      </c>
      <c r="AA185" s="141">
        <v>0</v>
      </c>
      <c r="AB185" s="724">
        <v>0.83531243869309013</v>
      </c>
    </row>
    <row r="186" spans="1:28" ht="24.95" customHeight="1">
      <c r="A186" s="32" t="e">
        <v>#REF!</v>
      </c>
      <c r="B186" s="144" t="s">
        <v>668</v>
      </c>
      <c r="C186" s="145" t="s">
        <v>167</v>
      </c>
      <c r="D186" s="145" t="s">
        <v>190</v>
      </c>
      <c r="E186" s="145" t="s">
        <v>172</v>
      </c>
      <c r="F186" s="145">
        <v>19</v>
      </c>
      <c r="G186" s="145" t="s">
        <v>175</v>
      </c>
      <c r="H186" s="145">
        <v>4103049</v>
      </c>
      <c r="I186" s="145" t="s">
        <v>54</v>
      </c>
      <c r="J186" s="145">
        <v>13</v>
      </c>
      <c r="K186" s="146" t="s">
        <v>29</v>
      </c>
      <c r="L186" s="147" t="s">
        <v>178</v>
      </c>
      <c r="M186" s="148">
        <v>321785352</v>
      </c>
      <c r="N186" s="148"/>
      <c r="O186" s="148"/>
      <c r="P186" s="148"/>
      <c r="Q186" s="148">
        <v>0</v>
      </c>
      <c r="R186" s="148">
        <v>0</v>
      </c>
      <c r="S186" s="148">
        <v>321785352</v>
      </c>
      <c r="T186" s="148">
        <v>291749332</v>
      </c>
      <c r="U186" s="148">
        <v>30036020</v>
      </c>
      <c r="V186" s="150">
        <v>0.90665821233528365</v>
      </c>
      <c r="W186" s="148">
        <v>243701846</v>
      </c>
      <c r="X186" s="148">
        <v>48047486</v>
      </c>
      <c r="Y186" s="150">
        <v>0.16468756130690987</v>
      </c>
      <c r="Z186" s="148">
        <v>243701846</v>
      </c>
      <c r="AA186" s="148">
        <v>0</v>
      </c>
      <c r="AB186" s="150">
        <v>0.83531243869309013</v>
      </c>
    </row>
    <row r="187" spans="1:28" ht="32.25" customHeight="1">
      <c r="A187" s="32" t="e">
        <v>#REF!</v>
      </c>
      <c r="B187" s="138" t="s">
        <v>670</v>
      </c>
      <c r="C187" s="139" t="s">
        <v>167</v>
      </c>
      <c r="D187" s="139" t="s">
        <v>190</v>
      </c>
      <c r="E187" s="139" t="s">
        <v>172</v>
      </c>
      <c r="F187" s="139">
        <v>19</v>
      </c>
      <c r="G187" s="139" t="s">
        <v>175</v>
      </c>
      <c r="H187" s="139">
        <v>4103052</v>
      </c>
      <c r="I187" s="139"/>
      <c r="J187" s="139">
        <v>13</v>
      </c>
      <c r="K187" s="140" t="s">
        <v>29</v>
      </c>
      <c r="L187" s="140" t="s">
        <v>229</v>
      </c>
      <c r="M187" s="141">
        <v>12478214648</v>
      </c>
      <c r="N187" s="142">
        <v>0</v>
      </c>
      <c r="O187" s="142">
        <v>0</v>
      </c>
      <c r="P187" s="142">
        <v>0</v>
      </c>
      <c r="Q187" s="142">
        <v>0</v>
      </c>
      <c r="R187" s="142">
        <v>0</v>
      </c>
      <c r="S187" s="141">
        <v>12478214648</v>
      </c>
      <c r="T187" s="141">
        <v>12118232445.51</v>
      </c>
      <c r="U187" s="141">
        <v>359982202.48999977</v>
      </c>
      <c r="V187" s="143">
        <v>0.97115114520427825</v>
      </c>
      <c r="W187" s="141">
        <v>4732168275.3900003</v>
      </c>
      <c r="X187" s="141">
        <v>7386064170.1199999</v>
      </c>
      <c r="Y187" s="143">
        <v>0.60950012333330472</v>
      </c>
      <c r="Z187" s="141">
        <v>4572626821.3900003</v>
      </c>
      <c r="AA187" s="141">
        <v>159541454</v>
      </c>
      <c r="AB187" s="724">
        <v>0.37733447034878687</v>
      </c>
    </row>
    <row r="188" spans="1:28" ht="24.95" customHeight="1">
      <c r="A188" s="32" t="e">
        <v>#REF!</v>
      </c>
      <c r="B188" s="144" t="s">
        <v>672</v>
      </c>
      <c r="C188" s="145" t="s">
        <v>167</v>
      </c>
      <c r="D188" s="145" t="s">
        <v>190</v>
      </c>
      <c r="E188" s="145" t="s">
        <v>172</v>
      </c>
      <c r="F188" s="145">
        <v>19</v>
      </c>
      <c r="G188" s="145" t="s">
        <v>175</v>
      </c>
      <c r="H188" s="145">
        <v>4103052</v>
      </c>
      <c r="I188" s="145" t="s">
        <v>54</v>
      </c>
      <c r="J188" s="145">
        <v>13</v>
      </c>
      <c r="K188" s="146" t="s">
        <v>29</v>
      </c>
      <c r="L188" s="147" t="s">
        <v>178</v>
      </c>
      <c r="M188" s="148">
        <v>12478214648</v>
      </c>
      <c r="N188" s="148"/>
      <c r="O188" s="148"/>
      <c r="P188" s="148"/>
      <c r="Q188" s="148">
        <v>0</v>
      </c>
      <c r="R188" s="148">
        <v>0</v>
      </c>
      <c r="S188" s="148">
        <v>12478214648</v>
      </c>
      <c r="T188" s="148">
        <v>12118232445.51</v>
      </c>
      <c r="U188" s="148">
        <v>359982202.48999977</v>
      </c>
      <c r="V188" s="150">
        <v>0.97115114520427825</v>
      </c>
      <c r="W188" s="148">
        <v>4732168275.3900003</v>
      </c>
      <c r="X188" s="148">
        <v>7386064170.1199999</v>
      </c>
      <c r="Y188" s="150">
        <v>0.60950012333330472</v>
      </c>
      <c r="Z188" s="148">
        <v>4572626821.3900003</v>
      </c>
      <c r="AA188" s="148">
        <v>159541454</v>
      </c>
      <c r="AB188" s="150">
        <v>0.37733447034878687</v>
      </c>
    </row>
    <row r="189" spans="1:28" ht="32.25" customHeight="1">
      <c r="A189" s="32" t="e">
        <v>#REF!</v>
      </c>
      <c r="B189" s="138" t="s">
        <v>670</v>
      </c>
      <c r="C189" s="139" t="s">
        <v>167</v>
      </c>
      <c r="D189" s="139" t="s">
        <v>190</v>
      </c>
      <c r="E189" s="139" t="s">
        <v>172</v>
      </c>
      <c r="F189" s="139">
        <v>19</v>
      </c>
      <c r="G189" s="139" t="s">
        <v>175</v>
      </c>
      <c r="H189" s="139">
        <v>4103052</v>
      </c>
      <c r="I189" s="139"/>
      <c r="J189" s="139">
        <v>15</v>
      </c>
      <c r="K189" s="140" t="s">
        <v>29</v>
      </c>
      <c r="L189" s="140" t="s">
        <v>229</v>
      </c>
      <c r="M189" s="141">
        <v>0</v>
      </c>
      <c r="N189" s="141">
        <v>5269349000</v>
      </c>
      <c r="O189" s="142">
        <v>0</v>
      </c>
      <c r="P189" s="142">
        <v>0</v>
      </c>
      <c r="Q189" s="142">
        <v>0</v>
      </c>
      <c r="R189" s="142">
        <v>0</v>
      </c>
      <c r="S189" s="141">
        <v>5269349000</v>
      </c>
      <c r="T189" s="141">
        <v>0</v>
      </c>
      <c r="U189" s="141">
        <v>5269349000</v>
      </c>
      <c r="V189" s="143">
        <v>0</v>
      </c>
      <c r="W189" s="141">
        <v>0</v>
      </c>
      <c r="X189" s="141">
        <v>0</v>
      </c>
      <c r="Y189" s="143">
        <v>0</v>
      </c>
      <c r="Z189" s="141">
        <v>0</v>
      </c>
      <c r="AA189" s="141">
        <v>0</v>
      </c>
      <c r="AB189" s="724">
        <v>0</v>
      </c>
    </row>
    <row r="190" spans="1:28" ht="24.95" customHeight="1">
      <c r="A190" s="32" t="e">
        <v>#REF!</v>
      </c>
      <c r="B190" s="144" t="s">
        <v>672</v>
      </c>
      <c r="C190" s="145" t="s">
        <v>167</v>
      </c>
      <c r="D190" s="145" t="s">
        <v>190</v>
      </c>
      <c r="E190" s="145" t="s">
        <v>172</v>
      </c>
      <c r="F190" s="145">
        <v>19</v>
      </c>
      <c r="G190" s="145" t="s">
        <v>175</v>
      </c>
      <c r="H190" s="145">
        <v>4103052</v>
      </c>
      <c r="I190" s="145" t="s">
        <v>54</v>
      </c>
      <c r="J190" s="145">
        <v>15</v>
      </c>
      <c r="K190" s="146" t="s">
        <v>29</v>
      </c>
      <c r="L190" s="147" t="s">
        <v>178</v>
      </c>
      <c r="M190" s="148"/>
      <c r="N190" s="148">
        <v>5269349000</v>
      </c>
      <c r="O190" s="148"/>
      <c r="P190" s="148"/>
      <c r="Q190" s="148">
        <v>0</v>
      </c>
      <c r="R190" s="148">
        <v>0</v>
      </c>
      <c r="S190" s="148">
        <v>5269349000</v>
      </c>
      <c r="T190" s="148">
        <v>0</v>
      </c>
      <c r="U190" s="148">
        <v>5269349000</v>
      </c>
      <c r="V190" s="150">
        <v>0</v>
      </c>
      <c r="W190" s="148">
        <v>0</v>
      </c>
      <c r="X190" s="148">
        <v>0</v>
      </c>
      <c r="Y190" s="150">
        <v>0</v>
      </c>
      <c r="Z190" s="148">
        <v>0</v>
      </c>
      <c r="AA190" s="148">
        <v>0</v>
      </c>
      <c r="AB190" s="150">
        <v>0</v>
      </c>
    </row>
    <row r="191" spans="1:28" ht="49.5" customHeight="1">
      <c r="A191" s="32" t="e">
        <v>#REF!</v>
      </c>
      <c r="B191" s="132" t="s">
        <v>678</v>
      </c>
      <c r="C191" s="133" t="s">
        <v>167</v>
      </c>
      <c r="D191" s="133" t="s">
        <v>190</v>
      </c>
      <c r="E191" s="133" t="s">
        <v>172</v>
      </c>
      <c r="F191" s="133">
        <v>20</v>
      </c>
      <c r="G191" s="133"/>
      <c r="H191" s="133"/>
      <c r="I191" s="133"/>
      <c r="J191" s="133"/>
      <c r="K191" s="134"/>
      <c r="L191" s="134" t="s">
        <v>271</v>
      </c>
      <c r="M191" s="135">
        <v>839954000000</v>
      </c>
      <c r="N191" s="136">
        <v>0</v>
      </c>
      <c r="O191" s="136">
        <v>0</v>
      </c>
      <c r="P191" s="135">
        <v>185554780.13999999</v>
      </c>
      <c r="Q191" s="135">
        <v>185554780.13999999</v>
      </c>
      <c r="R191" s="136">
        <v>0</v>
      </c>
      <c r="S191" s="135">
        <v>839954000000</v>
      </c>
      <c r="T191" s="135">
        <v>666392417447.83997</v>
      </c>
      <c r="U191" s="135">
        <v>173561582552.15997</v>
      </c>
      <c r="V191" s="137">
        <v>0.79336775281484462</v>
      </c>
      <c r="W191" s="135">
        <v>631122557368.56006</v>
      </c>
      <c r="X191" s="135">
        <v>35269860079.279999</v>
      </c>
      <c r="Y191" s="137">
        <v>5.2926562721642388E-2</v>
      </c>
      <c r="Z191" s="135">
        <v>631084408717.56006</v>
      </c>
      <c r="AA191" s="135">
        <v>38148651</v>
      </c>
      <c r="AB191" s="723">
        <v>0.94701619075213506</v>
      </c>
    </row>
    <row r="192" spans="1:28" ht="32.25" customHeight="1">
      <c r="A192" s="32" t="e">
        <v>#REF!</v>
      </c>
      <c r="B192" s="138" t="s">
        <v>680</v>
      </c>
      <c r="C192" s="139" t="s">
        <v>167</v>
      </c>
      <c r="D192" s="139" t="s">
        <v>190</v>
      </c>
      <c r="E192" s="139" t="s">
        <v>172</v>
      </c>
      <c r="F192" s="139">
        <v>20</v>
      </c>
      <c r="G192" s="139" t="s">
        <v>175</v>
      </c>
      <c r="H192" s="139">
        <v>4103061</v>
      </c>
      <c r="I192" s="139"/>
      <c r="J192" s="139">
        <v>11</v>
      </c>
      <c r="K192" s="140" t="s">
        <v>29</v>
      </c>
      <c r="L192" s="140" t="s">
        <v>231</v>
      </c>
      <c r="M192" s="141">
        <v>839954000000</v>
      </c>
      <c r="N192" s="142">
        <v>0</v>
      </c>
      <c r="O192" s="142">
        <v>0</v>
      </c>
      <c r="P192" s="141">
        <v>185554780.13999999</v>
      </c>
      <c r="Q192" s="141">
        <v>185554780.13999999</v>
      </c>
      <c r="R192" s="142">
        <v>0</v>
      </c>
      <c r="S192" s="141">
        <v>839954000000</v>
      </c>
      <c r="T192" s="141">
        <v>666392417447.83997</v>
      </c>
      <c r="U192" s="141">
        <v>173561582552.15997</v>
      </c>
      <c r="V192" s="143">
        <v>0.79336775281484462</v>
      </c>
      <c r="W192" s="141">
        <v>631122557368.56006</v>
      </c>
      <c r="X192" s="141">
        <v>35269860079.279999</v>
      </c>
      <c r="Y192" s="143">
        <v>5.2926562721642388E-2</v>
      </c>
      <c r="Z192" s="141">
        <v>631084408717.56006</v>
      </c>
      <c r="AA192" s="141">
        <v>38148651</v>
      </c>
      <c r="AB192" s="724">
        <v>0.94701619075213506</v>
      </c>
    </row>
    <row r="193" spans="1:28" ht="24.95" customHeight="1">
      <c r="A193" s="32" t="e">
        <v>#REF!</v>
      </c>
      <c r="B193" s="144" t="s">
        <v>682</v>
      </c>
      <c r="C193" s="145" t="s">
        <v>167</v>
      </c>
      <c r="D193" s="145" t="s">
        <v>190</v>
      </c>
      <c r="E193" s="145" t="s">
        <v>172</v>
      </c>
      <c r="F193" s="145">
        <v>20</v>
      </c>
      <c r="G193" s="145" t="s">
        <v>175</v>
      </c>
      <c r="H193" s="145">
        <v>4103061</v>
      </c>
      <c r="I193" s="145" t="s">
        <v>54</v>
      </c>
      <c r="J193" s="145">
        <v>11</v>
      </c>
      <c r="K193" s="146" t="s">
        <v>29</v>
      </c>
      <c r="L193" s="147" t="s">
        <v>178</v>
      </c>
      <c r="M193" s="148">
        <v>34318600300</v>
      </c>
      <c r="N193" s="148"/>
      <c r="O193" s="148"/>
      <c r="P193" s="148">
        <v>185554780.13999999</v>
      </c>
      <c r="Q193" s="148">
        <v>0</v>
      </c>
      <c r="R193" s="148">
        <v>0</v>
      </c>
      <c r="S193" s="148">
        <v>34504155080.139999</v>
      </c>
      <c r="T193" s="148">
        <v>26455350891.84</v>
      </c>
      <c r="U193" s="148">
        <v>8048804188.2999992</v>
      </c>
      <c r="V193" s="150">
        <v>0.76672942230853947</v>
      </c>
      <c r="W193" s="148">
        <v>10100001368.559999</v>
      </c>
      <c r="X193" s="148">
        <v>16355349523.280001</v>
      </c>
      <c r="Y193" s="150">
        <v>0.61822463025144425</v>
      </c>
      <c r="Z193" s="148">
        <v>10061852717.559999</v>
      </c>
      <c r="AA193" s="148">
        <v>38148651</v>
      </c>
      <c r="AB193" s="150">
        <v>0.380333368425044</v>
      </c>
    </row>
    <row r="194" spans="1:28" ht="24.95" customHeight="1">
      <c r="A194" s="32" t="e">
        <v>#REF!</v>
      </c>
      <c r="B194" s="144" t="s">
        <v>684</v>
      </c>
      <c r="C194" s="145" t="s">
        <v>167</v>
      </c>
      <c r="D194" s="145" t="s">
        <v>190</v>
      </c>
      <c r="E194" s="145" t="s">
        <v>172</v>
      </c>
      <c r="F194" s="145">
        <v>20</v>
      </c>
      <c r="G194" s="145" t="s">
        <v>175</v>
      </c>
      <c r="H194" s="145">
        <v>4103061</v>
      </c>
      <c r="I194" s="145" t="s">
        <v>65</v>
      </c>
      <c r="J194" s="145">
        <v>11</v>
      </c>
      <c r="K194" s="146" t="s">
        <v>29</v>
      </c>
      <c r="L194" s="147" t="s">
        <v>127</v>
      </c>
      <c r="M194" s="148">
        <v>318915399700</v>
      </c>
      <c r="N194" s="148"/>
      <c r="O194" s="148"/>
      <c r="P194" s="148"/>
      <c r="Q194" s="148">
        <v>185554780.13999999</v>
      </c>
      <c r="R194" s="148">
        <v>0</v>
      </c>
      <c r="S194" s="148">
        <v>318729844919.85999</v>
      </c>
      <c r="T194" s="148">
        <v>159981066556</v>
      </c>
      <c r="U194" s="148">
        <v>158748778363.85999</v>
      </c>
      <c r="V194" s="150">
        <v>0.50193312332023665</v>
      </c>
      <c r="W194" s="148">
        <v>141066556000</v>
      </c>
      <c r="X194" s="148">
        <v>18914510556</v>
      </c>
      <c r="Y194" s="150">
        <v>0.11822968156909454</v>
      </c>
      <c r="Z194" s="148">
        <v>141066556000</v>
      </c>
      <c r="AA194" s="148">
        <v>0</v>
      </c>
      <c r="AB194" s="150">
        <v>0.88177031843090548</v>
      </c>
    </row>
    <row r="195" spans="1:28" ht="24.95" customHeight="1">
      <c r="A195" s="32" t="e">
        <v>#REF!</v>
      </c>
      <c r="B195" s="144" t="s">
        <v>684</v>
      </c>
      <c r="C195" s="145" t="s">
        <v>167</v>
      </c>
      <c r="D195" s="145" t="s">
        <v>190</v>
      </c>
      <c r="E195" s="145" t="s">
        <v>172</v>
      </c>
      <c r="F195" s="145">
        <v>20</v>
      </c>
      <c r="G195" s="145" t="s">
        <v>175</v>
      </c>
      <c r="H195" s="145">
        <v>4103061</v>
      </c>
      <c r="I195" s="145" t="s">
        <v>65</v>
      </c>
      <c r="J195" s="145">
        <v>13</v>
      </c>
      <c r="K195" s="146" t="s">
        <v>29</v>
      </c>
      <c r="L195" s="147" t="s">
        <v>127</v>
      </c>
      <c r="M195" s="148">
        <v>486720000000</v>
      </c>
      <c r="N195" s="148"/>
      <c r="O195" s="148"/>
      <c r="P195" s="148"/>
      <c r="Q195" s="148">
        <v>0</v>
      </c>
      <c r="R195" s="148">
        <v>0</v>
      </c>
      <c r="S195" s="148">
        <v>486720000000</v>
      </c>
      <c r="T195" s="148">
        <v>479956000000</v>
      </c>
      <c r="U195" s="148">
        <v>6764000000</v>
      </c>
      <c r="V195" s="150">
        <v>0.98610289283366204</v>
      </c>
      <c r="W195" s="148">
        <v>479956000000</v>
      </c>
      <c r="X195" s="148">
        <v>0</v>
      </c>
      <c r="Y195" s="150">
        <v>0</v>
      </c>
      <c r="Z195" s="148">
        <v>479956000000</v>
      </c>
      <c r="AA195" s="148">
        <v>0</v>
      </c>
      <c r="AB195" s="150">
        <v>1</v>
      </c>
    </row>
    <row r="196" spans="1:28" ht="42" customHeight="1">
      <c r="A196" s="32" t="e">
        <v>#REF!</v>
      </c>
      <c r="B196" s="132" t="s">
        <v>692</v>
      </c>
      <c r="C196" s="133" t="s">
        <v>167</v>
      </c>
      <c r="D196" s="133">
        <v>4103</v>
      </c>
      <c r="E196" s="133" t="s">
        <v>172</v>
      </c>
      <c r="F196" s="133">
        <v>21</v>
      </c>
      <c r="G196" s="133"/>
      <c r="H196" s="133"/>
      <c r="I196" s="133"/>
      <c r="J196" s="133"/>
      <c r="K196" s="134"/>
      <c r="L196" s="134" t="s">
        <v>272</v>
      </c>
      <c r="M196" s="135">
        <v>25750000000</v>
      </c>
      <c r="N196" s="136">
        <v>0</v>
      </c>
      <c r="O196" s="136">
        <v>0</v>
      </c>
      <c r="P196" s="135">
        <v>453102205</v>
      </c>
      <c r="Q196" s="135">
        <v>453102205</v>
      </c>
      <c r="R196" s="136">
        <v>0</v>
      </c>
      <c r="S196" s="135">
        <v>25750000000</v>
      </c>
      <c r="T196" s="135">
        <v>24455637604</v>
      </c>
      <c r="U196" s="135">
        <v>1294362396</v>
      </c>
      <c r="V196" s="137">
        <v>0.94973349918446603</v>
      </c>
      <c r="W196" s="135">
        <v>17060529187.9</v>
      </c>
      <c r="X196" s="135">
        <v>7395108416.1000004</v>
      </c>
      <c r="Y196" s="137">
        <v>0.30238869809268215</v>
      </c>
      <c r="Z196" s="135">
        <v>16987287029.9</v>
      </c>
      <c r="AA196" s="135">
        <v>73242158</v>
      </c>
      <c r="AB196" s="723">
        <v>0.6946164031773816</v>
      </c>
    </row>
    <row r="197" spans="1:28" ht="32.25" customHeight="1">
      <c r="A197" s="32" t="e">
        <v>#REF!</v>
      </c>
      <c r="B197" s="138" t="s">
        <v>693</v>
      </c>
      <c r="C197" s="139" t="s">
        <v>167</v>
      </c>
      <c r="D197" s="139">
        <v>4103</v>
      </c>
      <c r="E197" s="139" t="s">
        <v>172</v>
      </c>
      <c r="F197" s="139">
        <v>21</v>
      </c>
      <c r="G197" s="139" t="s">
        <v>175</v>
      </c>
      <c r="H197" s="139" t="s">
        <v>219</v>
      </c>
      <c r="I197" s="139"/>
      <c r="J197" s="139">
        <v>13</v>
      </c>
      <c r="K197" s="140" t="s">
        <v>29</v>
      </c>
      <c r="L197" s="140" t="s">
        <v>233</v>
      </c>
      <c r="M197" s="141">
        <v>1870782718</v>
      </c>
      <c r="N197" s="142">
        <v>0</v>
      </c>
      <c r="O197" s="142">
        <v>0</v>
      </c>
      <c r="P197" s="142">
        <v>0</v>
      </c>
      <c r="Q197" s="141">
        <v>91110397</v>
      </c>
      <c r="R197" s="142">
        <v>0</v>
      </c>
      <c r="S197" s="141">
        <v>1779672321</v>
      </c>
      <c r="T197" s="141">
        <v>1779672321</v>
      </c>
      <c r="U197" s="141">
        <v>0</v>
      </c>
      <c r="V197" s="143">
        <v>1</v>
      </c>
      <c r="W197" s="141">
        <v>1748337412</v>
      </c>
      <c r="X197" s="141">
        <v>31334909</v>
      </c>
      <c r="Y197" s="143">
        <v>1.7607122744030135E-2</v>
      </c>
      <c r="Z197" s="141">
        <v>1748337412</v>
      </c>
      <c r="AA197" s="141">
        <v>0</v>
      </c>
      <c r="AB197" s="724">
        <v>0.98239287725596991</v>
      </c>
    </row>
    <row r="198" spans="1:28" ht="24.95" customHeight="1">
      <c r="A198" s="32" t="e">
        <v>#REF!</v>
      </c>
      <c r="B198" s="144" t="s">
        <v>694</v>
      </c>
      <c r="C198" s="145" t="s">
        <v>167</v>
      </c>
      <c r="D198" s="145">
        <v>4103</v>
      </c>
      <c r="E198" s="145" t="s">
        <v>172</v>
      </c>
      <c r="F198" s="145">
        <v>21</v>
      </c>
      <c r="G198" s="145" t="s">
        <v>175</v>
      </c>
      <c r="H198" s="145" t="s">
        <v>219</v>
      </c>
      <c r="I198" s="145" t="s">
        <v>54</v>
      </c>
      <c r="J198" s="145">
        <v>13</v>
      </c>
      <c r="K198" s="146" t="s">
        <v>29</v>
      </c>
      <c r="L198" s="147" t="s">
        <v>178</v>
      </c>
      <c r="M198" s="148">
        <v>1870782718</v>
      </c>
      <c r="N198" s="148"/>
      <c r="O198" s="148"/>
      <c r="P198" s="148"/>
      <c r="Q198" s="148">
        <v>91110397</v>
      </c>
      <c r="R198" s="148">
        <v>0</v>
      </c>
      <c r="S198" s="148">
        <v>1779672321</v>
      </c>
      <c r="T198" s="148">
        <v>1779672321</v>
      </c>
      <c r="U198" s="148">
        <v>0</v>
      </c>
      <c r="V198" s="150">
        <v>1</v>
      </c>
      <c r="W198" s="148">
        <v>1748337412</v>
      </c>
      <c r="X198" s="148">
        <v>31334909</v>
      </c>
      <c r="Y198" s="150">
        <v>1.7607122744030135E-2</v>
      </c>
      <c r="Z198" s="148">
        <v>1748337412</v>
      </c>
      <c r="AA198" s="148">
        <v>0</v>
      </c>
      <c r="AB198" s="150">
        <v>0.98239287725596991</v>
      </c>
    </row>
    <row r="199" spans="1:28" ht="32.25" customHeight="1">
      <c r="A199" s="32" t="e">
        <v>#REF!</v>
      </c>
      <c r="B199" s="138" t="s">
        <v>695</v>
      </c>
      <c r="C199" s="139" t="s">
        <v>167</v>
      </c>
      <c r="D199" s="139">
        <v>4103</v>
      </c>
      <c r="E199" s="139" t="s">
        <v>172</v>
      </c>
      <c r="F199" s="139">
        <v>21</v>
      </c>
      <c r="G199" s="139" t="s">
        <v>175</v>
      </c>
      <c r="H199" s="139" t="s">
        <v>234</v>
      </c>
      <c r="I199" s="139"/>
      <c r="J199" s="139">
        <v>13</v>
      </c>
      <c r="K199" s="140" t="s">
        <v>29</v>
      </c>
      <c r="L199" s="140" t="s">
        <v>235</v>
      </c>
      <c r="M199" s="141">
        <v>1237528721</v>
      </c>
      <c r="N199" s="142">
        <v>0</v>
      </c>
      <c r="O199" s="142">
        <v>0</v>
      </c>
      <c r="P199" s="142">
        <v>0</v>
      </c>
      <c r="Q199" s="141">
        <v>60269817</v>
      </c>
      <c r="R199" s="142">
        <v>0</v>
      </c>
      <c r="S199" s="141">
        <v>1177258904</v>
      </c>
      <c r="T199" s="141">
        <v>1177258904</v>
      </c>
      <c r="U199" s="141">
        <v>0</v>
      </c>
      <c r="V199" s="143">
        <v>1</v>
      </c>
      <c r="W199" s="141">
        <v>1156530762</v>
      </c>
      <c r="X199" s="142">
        <v>20728142</v>
      </c>
      <c r="Y199" s="143">
        <v>1.7607122723448096E-2</v>
      </c>
      <c r="Z199" s="141">
        <v>1156530762</v>
      </c>
      <c r="AA199" s="141">
        <v>0</v>
      </c>
      <c r="AB199" s="724">
        <v>0.98239287727655189</v>
      </c>
    </row>
    <row r="200" spans="1:28" ht="24.95" customHeight="1">
      <c r="A200" s="32" t="e">
        <v>#REF!</v>
      </c>
      <c r="B200" s="144" t="s">
        <v>696</v>
      </c>
      <c r="C200" s="145" t="s">
        <v>167</v>
      </c>
      <c r="D200" s="145">
        <v>4103</v>
      </c>
      <c r="E200" s="145" t="s">
        <v>172</v>
      </c>
      <c r="F200" s="145">
        <v>21</v>
      </c>
      <c r="G200" s="145" t="s">
        <v>175</v>
      </c>
      <c r="H200" s="145" t="s">
        <v>234</v>
      </c>
      <c r="I200" s="145" t="s">
        <v>54</v>
      </c>
      <c r="J200" s="145">
        <v>13</v>
      </c>
      <c r="K200" s="146" t="s">
        <v>29</v>
      </c>
      <c r="L200" s="147" t="s">
        <v>178</v>
      </c>
      <c r="M200" s="148">
        <v>1237528721</v>
      </c>
      <c r="N200" s="148"/>
      <c r="O200" s="148"/>
      <c r="P200" s="148"/>
      <c r="Q200" s="148">
        <v>60269817</v>
      </c>
      <c r="R200" s="148">
        <v>0</v>
      </c>
      <c r="S200" s="148">
        <v>1177258904</v>
      </c>
      <c r="T200" s="148">
        <v>1177258904</v>
      </c>
      <c r="U200" s="148">
        <v>0</v>
      </c>
      <c r="V200" s="150">
        <v>1</v>
      </c>
      <c r="W200" s="148">
        <v>1156530762</v>
      </c>
      <c r="X200" s="148">
        <v>20728142</v>
      </c>
      <c r="Y200" s="150">
        <v>1.7607122723448096E-2</v>
      </c>
      <c r="Z200" s="148">
        <v>1156530762</v>
      </c>
      <c r="AA200" s="148">
        <v>0</v>
      </c>
      <c r="AB200" s="150">
        <v>0.98239287727655189</v>
      </c>
    </row>
    <row r="201" spans="1:28" ht="32.25" customHeight="1">
      <c r="A201" s="32" t="e">
        <v>#REF!</v>
      </c>
      <c r="B201" s="138" t="s">
        <v>697</v>
      </c>
      <c r="C201" s="139" t="s">
        <v>167</v>
      </c>
      <c r="D201" s="139">
        <v>4103</v>
      </c>
      <c r="E201" s="139" t="s">
        <v>172</v>
      </c>
      <c r="F201" s="139">
        <v>21</v>
      </c>
      <c r="G201" s="139" t="s">
        <v>175</v>
      </c>
      <c r="H201" s="139" t="s">
        <v>197</v>
      </c>
      <c r="I201" s="139"/>
      <c r="J201" s="139">
        <v>13</v>
      </c>
      <c r="K201" s="140" t="s">
        <v>29</v>
      </c>
      <c r="L201" s="140" t="s">
        <v>236</v>
      </c>
      <c r="M201" s="141">
        <v>1178285948</v>
      </c>
      <c r="N201" s="142">
        <v>0</v>
      </c>
      <c r="O201" s="142">
        <v>0</v>
      </c>
      <c r="P201" s="142">
        <v>0</v>
      </c>
      <c r="Q201" s="141">
        <v>57384593</v>
      </c>
      <c r="R201" s="142">
        <v>0</v>
      </c>
      <c r="S201" s="141">
        <v>1120901355</v>
      </c>
      <c r="T201" s="141">
        <v>1120901355</v>
      </c>
      <c r="U201" s="141">
        <v>0</v>
      </c>
      <c r="V201" s="143">
        <v>1</v>
      </c>
      <c r="W201" s="141">
        <v>1101165508</v>
      </c>
      <c r="X201" s="141">
        <v>19735847</v>
      </c>
      <c r="Y201" s="143">
        <v>1.7607122082567202E-2</v>
      </c>
      <c r="Z201" s="141">
        <v>1101165508</v>
      </c>
      <c r="AA201" s="141">
        <v>0</v>
      </c>
      <c r="AB201" s="724">
        <v>0.98239287791743279</v>
      </c>
    </row>
    <row r="202" spans="1:28" ht="24.95" customHeight="1">
      <c r="A202" s="32" t="e">
        <v>#REF!</v>
      </c>
      <c r="B202" s="144" t="s">
        <v>698</v>
      </c>
      <c r="C202" s="145" t="s">
        <v>167</v>
      </c>
      <c r="D202" s="145">
        <v>4103</v>
      </c>
      <c r="E202" s="145" t="s">
        <v>172</v>
      </c>
      <c r="F202" s="145">
        <v>21</v>
      </c>
      <c r="G202" s="145" t="s">
        <v>175</v>
      </c>
      <c r="H202" s="145" t="s">
        <v>197</v>
      </c>
      <c r="I202" s="145" t="s">
        <v>54</v>
      </c>
      <c r="J202" s="145">
        <v>13</v>
      </c>
      <c r="K202" s="146" t="s">
        <v>29</v>
      </c>
      <c r="L202" s="147" t="s">
        <v>178</v>
      </c>
      <c r="M202" s="148">
        <v>1178285948</v>
      </c>
      <c r="N202" s="148"/>
      <c r="O202" s="148"/>
      <c r="P202" s="148"/>
      <c r="Q202" s="148">
        <v>57384593</v>
      </c>
      <c r="R202" s="148">
        <v>0</v>
      </c>
      <c r="S202" s="148">
        <v>1120901355</v>
      </c>
      <c r="T202" s="148">
        <v>1120901355</v>
      </c>
      <c r="U202" s="148">
        <v>0</v>
      </c>
      <c r="V202" s="150">
        <v>1</v>
      </c>
      <c r="W202" s="148">
        <v>1101165508</v>
      </c>
      <c r="X202" s="148">
        <v>19735847</v>
      </c>
      <c r="Y202" s="150">
        <v>1.7607122082567202E-2</v>
      </c>
      <c r="Z202" s="148">
        <v>1101165508</v>
      </c>
      <c r="AA202" s="148">
        <v>0</v>
      </c>
      <c r="AB202" s="150">
        <v>0.98239287791743279</v>
      </c>
    </row>
    <row r="203" spans="1:28" ht="32.25" customHeight="1">
      <c r="A203" s="32" t="e">
        <v>#REF!</v>
      </c>
      <c r="B203" s="138" t="s">
        <v>699</v>
      </c>
      <c r="C203" s="139" t="s">
        <v>167</v>
      </c>
      <c r="D203" s="139">
        <v>4103</v>
      </c>
      <c r="E203" s="139" t="s">
        <v>172</v>
      </c>
      <c r="F203" s="139">
        <v>21</v>
      </c>
      <c r="G203" s="139" t="s">
        <v>175</v>
      </c>
      <c r="H203" s="139" t="s">
        <v>203</v>
      </c>
      <c r="I203" s="139"/>
      <c r="J203" s="139">
        <v>13</v>
      </c>
      <c r="K203" s="140" t="s">
        <v>29</v>
      </c>
      <c r="L203" s="140" t="s">
        <v>237</v>
      </c>
      <c r="M203" s="141">
        <v>5017014439</v>
      </c>
      <c r="N203" s="142">
        <v>0</v>
      </c>
      <c r="O203" s="142">
        <v>0</v>
      </c>
      <c r="P203" s="142">
        <v>0</v>
      </c>
      <c r="Q203" s="141">
        <v>244337398</v>
      </c>
      <c r="R203" s="142">
        <v>0</v>
      </c>
      <c r="S203" s="141">
        <v>4772677041</v>
      </c>
      <c r="T203" s="141">
        <v>4772677041</v>
      </c>
      <c r="U203" s="141">
        <v>0</v>
      </c>
      <c r="V203" s="143">
        <v>1</v>
      </c>
      <c r="W203" s="141">
        <v>4767711459</v>
      </c>
      <c r="X203" s="141">
        <v>4965582</v>
      </c>
      <c r="Y203" s="143">
        <v>1.0404186072811626E-3</v>
      </c>
      <c r="Z203" s="141">
        <v>4767711459</v>
      </c>
      <c r="AA203" s="141">
        <v>0</v>
      </c>
      <c r="AB203" s="724">
        <v>0.99895958139271879</v>
      </c>
    </row>
    <row r="204" spans="1:28" ht="24.95" customHeight="1">
      <c r="A204" s="32" t="e">
        <v>#REF!</v>
      </c>
      <c r="B204" s="144" t="s">
        <v>700</v>
      </c>
      <c r="C204" s="145" t="s">
        <v>167</v>
      </c>
      <c r="D204" s="145">
        <v>4103</v>
      </c>
      <c r="E204" s="145" t="s">
        <v>172</v>
      </c>
      <c r="F204" s="145">
        <v>21</v>
      </c>
      <c r="G204" s="145" t="s">
        <v>175</v>
      </c>
      <c r="H204" s="145" t="s">
        <v>203</v>
      </c>
      <c r="I204" s="145" t="s">
        <v>54</v>
      </c>
      <c r="J204" s="145">
        <v>13</v>
      </c>
      <c r="K204" s="146" t="s">
        <v>29</v>
      </c>
      <c r="L204" s="147" t="s">
        <v>178</v>
      </c>
      <c r="M204" s="148">
        <v>5017014439</v>
      </c>
      <c r="N204" s="148"/>
      <c r="O204" s="148"/>
      <c r="P204" s="148"/>
      <c r="Q204" s="148">
        <v>244337398</v>
      </c>
      <c r="R204" s="148">
        <v>0</v>
      </c>
      <c r="S204" s="148">
        <v>4772677041</v>
      </c>
      <c r="T204" s="148">
        <v>4772677041</v>
      </c>
      <c r="U204" s="148">
        <v>0</v>
      </c>
      <c r="V204" s="150">
        <v>1</v>
      </c>
      <c r="W204" s="148">
        <v>4767711459</v>
      </c>
      <c r="X204" s="148">
        <v>4965582</v>
      </c>
      <c r="Y204" s="150">
        <v>1.0404186072811626E-3</v>
      </c>
      <c r="Z204" s="148">
        <v>4767711459</v>
      </c>
      <c r="AA204" s="148">
        <v>0</v>
      </c>
      <c r="AB204" s="150">
        <v>0.99895958139271879</v>
      </c>
    </row>
    <row r="205" spans="1:28" ht="32.25" customHeight="1">
      <c r="A205" s="32" t="e">
        <v>#REF!</v>
      </c>
      <c r="B205" s="138" t="s">
        <v>701</v>
      </c>
      <c r="C205" s="139" t="s">
        <v>167</v>
      </c>
      <c r="D205" s="139">
        <v>4103</v>
      </c>
      <c r="E205" s="139" t="s">
        <v>172</v>
      </c>
      <c r="F205" s="139">
        <v>21</v>
      </c>
      <c r="G205" s="139" t="s">
        <v>175</v>
      </c>
      <c r="H205" s="139" t="s">
        <v>223</v>
      </c>
      <c r="I205" s="139"/>
      <c r="J205" s="139">
        <v>13</v>
      </c>
      <c r="K205" s="140" t="s">
        <v>29</v>
      </c>
      <c r="L205" s="140" t="s">
        <v>238</v>
      </c>
      <c r="M205" s="141">
        <v>16446388174</v>
      </c>
      <c r="N205" s="142">
        <v>0</v>
      </c>
      <c r="O205" s="142">
        <v>0</v>
      </c>
      <c r="P205" s="141">
        <v>453102205</v>
      </c>
      <c r="Q205" s="142">
        <v>0</v>
      </c>
      <c r="R205" s="142">
        <v>0</v>
      </c>
      <c r="S205" s="141">
        <v>16899490379</v>
      </c>
      <c r="T205" s="141">
        <v>15605127983</v>
      </c>
      <c r="U205" s="141">
        <v>1294362396</v>
      </c>
      <c r="V205" s="143">
        <v>0.92340819947988328</v>
      </c>
      <c r="W205" s="141">
        <v>8286784046.8999996</v>
      </c>
      <c r="X205" s="141">
        <v>7318343936.1000004</v>
      </c>
      <c r="Y205" s="143">
        <v>0.46897045279426725</v>
      </c>
      <c r="Z205" s="141">
        <v>8213541888.8999996</v>
      </c>
      <c r="AA205" s="141">
        <v>73242158</v>
      </c>
      <c r="AB205" s="724">
        <v>0.52633607989935827</v>
      </c>
    </row>
    <row r="206" spans="1:28" ht="24.95" customHeight="1">
      <c r="A206" s="32" t="e">
        <v>#REF!</v>
      </c>
      <c r="B206" s="144" t="s">
        <v>702</v>
      </c>
      <c r="C206" s="145" t="s">
        <v>167</v>
      </c>
      <c r="D206" s="145">
        <v>4103</v>
      </c>
      <c r="E206" s="145" t="s">
        <v>172</v>
      </c>
      <c r="F206" s="145">
        <v>21</v>
      </c>
      <c r="G206" s="145" t="s">
        <v>175</v>
      </c>
      <c r="H206" s="145" t="s">
        <v>223</v>
      </c>
      <c r="I206" s="145" t="s">
        <v>54</v>
      </c>
      <c r="J206" s="145">
        <v>13</v>
      </c>
      <c r="K206" s="146" t="s">
        <v>29</v>
      </c>
      <c r="L206" s="147" t="s">
        <v>178</v>
      </c>
      <c r="M206" s="148">
        <v>16446388174</v>
      </c>
      <c r="N206" s="148"/>
      <c r="O206" s="148"/>
      <c r="P206" s="148">
        <v>453102205</v>
      </c>
      <c r="Q206" s="148">
        <v>0</v>
      </c>
      <c r="R206" s="148">
        <v>0</v>
      </c>
      <c r="S206" s="148">
        <v>16899490379</v>
      </c>
      <c r="T206" s="148">
        <v>15605127983</v>
      </c>
      <c r="U206" s="148">
        <v>1294362396</v>
      </c>
      <c r="V206" s="150">
        <v>0.92340819947988328</v>
      </c>
      <c r="W206" s="148">
        <v>8286784046.8999996</v>
      </c>
      <c r="X206" s="148">
        <v>7318343936.1000004</v>
      </c>
      <c r="Y206" s="150">
        <v>0.46897045279426725</v>
      </c>
      <c r="Z206" s="148">
        <v>8213541888.8999996</v>
      </c>
      <c r="AA206" s="148">
        <v>73242158</v>
      </c>
      <c r="AB206" s="150">
        <v>0.52633607989935827</v>
      </c>
    </row>
    <row r="207" spans="1:28" ht="49.5" customHeight="1">
      <c r="A207" s="32" t="e">
        <v>#REF!</v>
      </c>
      <c r="B207" s="132" t="s">
        <v>704</v>
      </c>
      <c r="C207" s="133" t="s">
        <v>167</v>
      </c>
      <c r="D207" s="133">
        <v>4103</v>
      </c>
      <c r="E207" s="133" t="s">
        <v>172</v>
      </c>
      <c r="F207" s="133">
        <v>22</v>
      </c>
      <c r="G207" s="133"/>
      <c r="H207" s="133"/>
      <c r="I207" s="133"/>
      <c r="J207" s="133"/>
      <c r="K207" s="134"/>
      <c r="L207" s="134" t="s">
        <v>239</v>
      </c>
      <c r="M207" s="135">
        <v>167533000000</v>
      </c>
      <c r="N207" s="136">
        <v>0</v>
      </c>
      <c r="O207" s="136">
        <v>0</v>
      </c>
      <c r="P207" s="135">
        <v>7157479331</v>
      </c>
      <c r="Q207" s="135">
        <v>7157479331</v>
      </c>
      <c r="R207" s="136">
        <v>0</v>
      </c>
      <c r="S207" s="135">
        <v>167533000000</v>
      </c>
      <c r="T207" s="135">
        <v>135079577735</v>
      </c>
      <c r="U207" s="135">
        <v>32453422265</v>
      </c>
      <c r="V207" s="137">
        <v>0.80628638975604805</v>
      </c>
      <c r="W207" s="135">
        <v>124890765874.70999</v>
      </c>
      <c r="X207" s="135">
        <v>10188811860.290001</v>
      </c>
      <c r="Y207" s="137">
        <v>7.5428218174315581E-2</v>
      </c>
      <c r="Z207" s="135">
        <v>124533342533.70999</v>
      </c>
      <c r="AA207" s="135">
        <v>357423341</v>
      </c>
      <c r="AB207" s="723">
        <v>0.92192576125771075</v>
      </c>
    </row>
    <row r="208" spans="1:28" ht="32.25" customHeight="1">
      <c r="A208" s="32" t="e">
        <v>#REF!</v>
      </c>
      <c r="B208" s="138" t="s">
        <v>705</v>
      </c>
      <c r="C208" s="139" t="s">
        <v>167</v>
      </c>
      <c r="D208" s="139">
        <v>4103</v>
      </c>
      <c r="E208" s="139" t="s">
        <v>172</v>
      </c>
      <c r="F208" s="139">
        <v>22</v>
      </c>
      <c r="G208" s="139" t="s">
        <v>175</v>
      </c>
      <c r="H208" s="139" t="s">
        <v>219</v>
      </c>
      <c r="I208" s="139"/>
      <c r="J208" s="139">
        <v>13</v>
      </c>
      <c r="K208" s="140" t="s">
        <v>29</v>
      </c>
      <c r="L208" s="140" t="s">
        <v>240</v>
      </c>
      <c r="M208" s="141">
        <v>5834100502</v>
      </c>
      <c r="N208" s="142">
        <v>0</v>
      </c>
      <c r="O208" s="142">
        <v>0</v>
      </c>
      <c r="P208" s="141">
        <v>602123589</v>
      </c>
      <c r="Q208" s="142">
        <v>0</v>
      </c>
      <c r="R208" s="142">
        <v>0</v>
      </c>
      <c r="S208" s="141">
        <v>6436224091</v>
      </c>
      <c r="T208" s="141">
        <v>3919643191</v>
      </c>
      <c r="U208" s="141">
        <v>2516580900</v>
      </c>
      <c r="V208" s="143">
        <v>0.60899731513092836</v>
      </c>
      <c r="W208" s="141">
        <v>2873911460</v>
      </c>
      <c r="X208" s="141">
        <v>1045731731</v>
      </c>
      <c r="Y208" s="143">
        <v>0.2667925829068149</v>
      </c>
      <c r="Z208" s="141">
        <v>2873911460</v>
      </c>
      <c r="AA208" s="141">
        <v>0</v>
      </c>
      <c r="AB208" s="724">
        <v>0.73320741709318515</v>
      </c>
    </row>
    <row r="209" spans="1:28" ht="24.95" customHeight="1">
      <c r="A209" s="32" t="e">
        <v>#REF!</v>
      </c>
      <c r="B209" s="144" t="s">
        <v>706</v>
      </c>
      <c r="C209" s="145" t="s">
        <v>167</v>
      </c>
      <c r="D209" s="145">
        <v>4103</v>
      </c>
      <c r="E209" s="145" t="s">
        <v>172</v>
      </c>
      <c r="F209" s="145">
        <v>22</v>
      </c>
      <c r="G209" s="145" t="s">
        <v>175</v>
      </c>
      <c r="H209" s="145" t="s">
        <v>219</v>
      </c>
      <c r="I209" s="145" t="s">
        <v>54</v>
      </c>
      <c r="J209" s="145">
        <v>13</v>
      </c>
      <c r="K209" s="146" t="s">
        <v>29</v>
      </c>
      <c r="L209" s="147" t="s">
        <v>178</v>
      </c>
      <c r="M209" s="148">
        <v>5834100502</v>
      </c>
      <c r="N209" s="148"/>
      <c r="O209" s="148"/>
      <c r="P209" s="148">
        <v>602123589</v>
      </c>
      <c r="Q209" s="148">
        <v>0</v>
      </c>
      <c r="R209" s="148">
        <v>0</v>
      </c>
      <c r="S209" s="148">
        <v>6436224091</v>
      </c>
      <c r="T209" s="148">
        <v>3919643191</v>
      </c>
      <c r="U209" s="148">
        <v>2516580900</v>
      </c>
      <c r="V209" s="150">
        <v>0.60899731513092836</v>
      </c>
      <c r="W209" s="148">
        <v>2873911460</v>
      </c>
      <c r="X209" s="148">
        <v>1045731731</v>
      </c>
      <c r="Y209" s="150">
        <v>0.2667925829068149</v>
      </c>
      <c r="Z209" s="148">
        <v>2873911460</v>
      </c>
      <c r="AA209" s="148">
        <v>0</v>
      </c>
      <c r="AB209" s="150">
        <v>0.73320741709318515</v>
      </c>
    </row>
    <row r="210" spans="1:28" ht="32.25" customHeight="1">
      <c r="A210" s="32" t="e">
        <v>#REF!</v>
      </c>
      <c r="B210" s="138" t="s">
        <v>707</v>
      </c>
      <c r="C210" s="139" t="s">
        <v>167</v>
      </c>
      <c r="D210" s="139">
        <v>4103</v>
      </c>
      <c r="E210" s="139" t="s">
        <v>172</v>
      </c>
      <c r="F210" s="139">
        <v>22</v>
      </c>
      <c r="G210" s="139" t="s">
        <v>175</v>
      </c>
      <c r="H210" s="139" t="s">
        <v>234</v>
      </c>
      <c r="I210" s="139"/>
      <c r="J210" s="139">
        <v>13</v>
      </c>
      <c r="K210" s="140" t="s">
        <v>29</v>
      </c>
      <c r="L210" s="140" t="s">
        <v>241</v>
      </c>
      <c r="M210" s="141">
        <v>21263252053</v>
      </c>
      <c r="N210" s="142">
        <v>0</v>
      </c>
      <c r="O210" s="142">
        <v>0</v>
      </c>
      <c r="P210" s="141">
        <v>96431225</v>
      </c>
      <c r="Q210" s="142">
        <v>0</v>
      </c>
      <c r="R210" s="142">
        <v>0</v>
      </c>
      <c r="S210" s="141">
        <v>21359683278</v>
      </c>
      <c r="T210" s="141">
        <v>18219558020</v>
      </c>
      <c r="U210" s="141">
        <v>3140125258</v>
      </c>
      <c r="V210" s="143">
        <v>0.85298821068034003</v>
      </c>
      <c r="W210" s="141">
        <v>13321884528.709999</v>
      </c>
      <c r="X210" s="141">
        <v>4897673491.2900009</v>
      </c>
      <c r="Y210" s="143">
        <v>0.26881406705441041</v>
      </c>
      <c r="Z210" s="141">
        <v>13321884528.709999</v>
      </c>
      <c r="AA210" s="141">
        <v>0</v>
      </c>
      <c r="AB210" s="724">
        <v>0.73118593294558965</v>
      </c>
    </row>
    <row r="211" spans="1:28" ht="24.95" customHeight="1">
      <c r="A211" s="32" t="e">
        <v>#REF!</v>
      </c>
      <c r="B211" s="144" t="s">
        <v>708</v>
      </c>
      <c r="C211" s="145" t="s">
        <v>167</v>
      </c>
      <c r="D211" s="145">
        <v>4103</v>
      </c>
      <c r="E211" s="145" t="s">
        <v>172</v>
      </c>
      <c r="F211" s="145">
        <v>22</v>
      </c>
      <c r="G211" s="145" t="s">
        <v>175</v>
      </c>
      <c r="H211" s="145" t="s">
        <v>234</v>
      </c>
      <c r="I211" s="145" t="s">
        <v>54</v>
      </c>
      <c r="J211" s="145">
        <v>13</v>
      </c>
      <c r="K211" s="146" t="s">
        <v>29</v>
      </c>
      <c r="L211" s="147" t="s">
        <v>178</v>
      </c>
      <c r="M211" s="148">
        <v>21263252053</v>
      </c>
      <c r="N211" s="148"/>
      <c r="O211" s="148"/>
      <c r="P211" s="148">
        <v>96431225</v>
      </c>
      <c r="Q211" s="148">
        <v>0</v>
      </c>
      <c r="R211" s="148">
        <v>0</v>
      </c>
      <c r="S211" s="148">
        <v>21359683278</v>
      </c>
      <c r="T211" s="148">
        <v>18219558020</v>
      </c>
      <c r="U211" s="148">
        <v>3140125258</v>
      </c>
      <c r="V211" s="150">
        <v>0.85298821068034003</v>
      </c>
      <c r="W211" s="148">
        <v>13321884528.709999</v>
      </c>
      <c r="X211" s="148">
        <v>4897673491.2900009</v>
      </c>
      <c r="Y211" s="150">
        <v>0.26881406705441041</v>
      </c>
      <c r="Z211" s="148">
        <v>13321884528.709999</v>
      </c>
      <c r="AA211" s="148">
        <v>0</v>
      </c>
      <c r="AB211" s="150">
        <v>0.73118593294558965</v>
      </c>
    </row>
    <row r="212" spans="1:28" ht="32.25" customHeight="1">
      <c r="A212" s="32" t="e">
        <v>#REF!</v>
      </c>
      <c r="B212" s="138" t="s">
        <v>710</v>
      </c>
      <c r="C212" s="139" t="s">
        <v>167</v>
      </c>
      <c r="D212" s="139">
        <v>4103</v>
      </c>
      <c r="E212" s="139" t="s">
        <v>172</v>
      </c>
      <c r="F212" s="139">
        <v>22</v>
      </c>
      <c r="G212" s="139" t="s">
        <v>175</v>
      </c>
      <c r="H212" s="139">
        <v>4103051</v>
      </c>
      <c r="I212" s="139"/>
      <c r="J212" s="139">
        <v>13</v>
      </c>
      <c r="K212" s="140" t="s">
        <v>29</v>
      </c>
      <c r="L212" s="140" t="s">
        <v>242</v>
      </c>
      <c r="M212" s="141">
        <v>5191519285</v>
      </c>
      <c r="N212" s="142">
        <v>0</v>
      </c>
      <c r="O212" s="142">
        <v>0</v>
      </c>
      <c r="P212" s="141">
        <v>2580334552</v>
      </c>
      <c r="Q212" s="142">
        <v>0</v>
      </c>
      <c r="R212" s="142">
        <v>0</v>
      </c>
      <c r="S212" s="141">
        <v>7771853837</v>
      </c>
      <c r="T212" s="141">
        <v>3945310447</v>
      </c>
      <c r="U212" s="141">
        <v>3826543390</v>
      </c>
      <c r="V212" s="143">
        <v>0.50764084473865023</v>
      </c>
      <c r="W212" s="141">
        <v>3016976475</v>
      </c>
      <c r="X212" s="141">
        <v>928333972</v>
      </c>
      <c r="Y212" s="143">
        <v>0.23530061435492405</v>
      </c>
      <c r="Z212" s="141">
        <v>3016976475</v>
      </c>
      <c r="AA212" s="141">
        <v>0</v>
      </c>
      <c r="AB212" s="724">
        <v>0.764699385645076</v>
      </c>
    </row>
    <row r="213" spans="1:28" ht="24.95" customHeight="1">
      <c r="A213" s="32" t="e">
        <v>#REF!</v>
      </c>
      <c r="B213" s="144" t="s">
        <v>711</v>
      </c>
      <c r="C213" s="145" t="s">
        <v>167</v>
      </c>
      <c r="D213" s="145">
        <v>4103</v>
      </c>
      <c r="E213" s="145" t="s">
        <v>172</v>
      </c>
      <c r="F213" s="145">
        <v>22</v>
      </c>
      <c r="G213" s="145" t="s">
        <v>175</v>
      </c>
      <c r="H213" s="145">
        <v>4103051</v>
      </c>
      <c r="I213" s="145" t="s">
        <v>54</v>
      </c>
      <c r="J213" s="145">
        <v>13</v>
      </c>
      <c r="K213" s="146" t="s">
        <v>29</v>
      </c>
      <c r="L213" s="147" t="s">
        <v>178</v>
      </c>
      <c r="M213" s="148">
        <v>5191519285</v>
      </c>
      <c r="N213" s="148"/>
      <c r="O213" s="148"/>
      <c r="P213" s="148">
        <v>2580334552</v>
      </c>
      <c r="Q213" s="148">
        <v>0</v>
      </c>
      <c r="R213" s="148">
        <v>0</v>
      </c>
      <c r="S213" s="148">
        <v>7771853837</v>
      </c>
      <c r="T213" s="148">
        <v>3945310447</v>
      </c>
      <c r="U213" s="148">
        <v>3826543390</v>
      </c>
      <c r="V213" s="150">
        <v>0.50764084473865023</v>
      </c>
      <c r="W213" s="148">
        <v>3016976475</v>
      </c>
      <c r="X213" s="148">
        <v>928333972</v>
      </c>
      <c r="Y213" s="150">
        <v>0.23530061435492405</v>
      </c>
      <c r="Z213" s="148">
        <v>3016976475</v>
      </c>
      <c r="AA213" s="148">
        <v>0</v>
      </c>
      <c r="AB213" s="150">
        <v>0.764699385645076</v>
      </c>
    </row>
    <row r="214" spans="1:28" ht="32.25" customHeight="1">
      <c r="A214" s="32" t="e">
        <v>#REF!</v>
      </c>
      <c r="B214" s="138" t="s">
        <v>712</v>
      </c>
      <c r="C214" s="139" t="s">
        <v>167</v>
      </c>
      <c r="D214" s="139">
        <v>4103</v>
      </c>
      <c r="E214" s="139" t="s">
        <v>172</v>
      </c>
      <c r="F214" s="139">
        <v>22</v>
      </c>
      <c r="G214" s="139" t="s">
        <v>175</v>
      </c>
      <c r="H214" s="139">
        <v>4103055</v>
      </c>
      <c r="I214" s="139"/>
      <c r="J214" s="139">
        <v>13</v>
      </c>
      <c r="K214" s="140" t="s">
        <v>29</v>
      </c>
      <c r="L214" s="140" t="s">
        <v>243</v>
      </c>
      <c r="M214" s="141">
        <v>7874924941</v>
      </c>
      <c r="N214" s="142">
        <v>0</v>
      </c>
      <c r="O214" s="142">
        <v>0</v>
      </c>
      <c r="P214" s="142">
        <v>0</v>
      </c>
      <c r="Q214" s="141">
        <v>6943207485</v>
      </c>
      <c r="R214" s="142">
        <v>0</v>
      </c>
      <c r="S214" s="141">
        <v>931717456</v>
      </c>
      <c r="T214" s="141">
        <v>894550970</v>
      </c>
      <c r="U214" s="141">
        <v>37166486</v>
      </c>
      <c r="V214" s="143">
        <v>0.96010970304285037</v>
      </c>
      <c r="W214" s="141">
        <v>894550970</v>
      </c>
      <c r="X214" s="141">
        <v>0</v>
      </c>
      <c r="Y214" s="143">
        <v>0</v>
      </c>
      <c r="Z214" s="141">
        <v>894550970</v>
      </c>
      <c r="AA214" s="141">
        <v>0</v>
      </c>
      <c r="AB214" s="724">
        <v>1</v>
      </c>
    </row>
    <row r="215" spans="1:28" ht="24.95" customHeight="1">
      <c r="A215" s="32" t="e">
        <v>#REF!</v>
      </c>
      <c r="B215" s="144" t="s">
        <v>713</v>
      </c>
      <c r="C215" s="145" t="s">
        <v>167</v>
      </c>
      <c r="D215" s="145">
        <v>4103</v>
      </c>
      <c r="E215" s="145" t="s">
        <v>172</v>
      </c>
      <c r="F215" s="145">
        <v>22</v>
      </c>
      <c r="G215" s="145" t="s">
        <v>175</v>
      </c>
      <c r="H215" s="145" t="s">
        <v>203</v>
      </c>
      <c r="I215" s="145" t="s">
        <v>54</v>
      </c>
      <c r="J215" s="145">
        <v>13</v>
      </c>
      <c r="K215" s="146" t="s">
        <v>29</v>
      </c>
      <c r="L215" s="147" t="s">
        <v>178</v>
      </c>
      <c r="M215" s="148">
        <v>7874924941</v>
      </c>
      <c r="N215" s="148"/>
      <c r="O215" s="148"/>
      <c r="P215" s="148"/>
      <c r="Q215" s="148">
        <v>6943207485</v>
      </c>
      <c r="R215" s="148">
        <v>0</v>
      </c>
      <c r="S215" s="148">
        <v>931717456</v>
      </c>
      <c r="T215" s="148">
        <v>894550970</v>
      </c>
      <c r="U215" s="148">
        <v>37166486</v>
      </c>
      <c r="V215" s="150">
        <v>0.96010970304285037</v>
      </c>
      <c r="W215" s="148">
        <v>894550970</v>
      </c>
      <c r="X215" s="148">
        <v>0</v>
      </c>
      <c r="Y215" s="150">
        <v>0</v>
      </c>
      <c r="Z215" s="148">
        <v>894550970</v>
      </c>
      <c r="AA215" s="148">
        <v>0</v>
      </c>
      <c r="AB215" s="150">
        <v>1</v>
      </c>
    </row>
    <row r="216" spans="1:28" ht="32.25" customHeight="1">
      <c r="A216" s="32" t="e">
        <v>#REF!</v>
      </c>
      <c r="B216" s="138" t="s">
        <v>715</v>
      </c>
      <c r="C216" s="139" t="s">
        <v>167</v>
      </c>
      <c r="D216" s="139">
        <v>4103</v>
      </c>
      <c r="E216" s="139" t="s">
        <v>172</v>
      </c>
      <c r="F216" s="139">
        <v>22</v>
      </c>
      <c r="G216" s="139" t="s">
        <v>175</v>
      </c>
      <c r="H216" s="139">
        <v>4103057</v>
      </c>
      <c r="I216" s="139"/>
      <c r="J216" s="139">
        <v>13</v>
      </c>
      <c r="K216" s="140" t="s">
        <v>29</v>
      </c>
      <c r="L216" s="140" t="s">
        <v>244</v>
      </c>
      <c r="M216" s="141">
        <v>64906595848</v>
      </c>
      <c r="N216" s="142">
        <v>0</v>
      </c>
      <c r="O216" s="142">
        <v>0</v>
      </c>
      <c r="P216" s="142">
        <v>0</v>
      </c>
      <c r="Q216" s="141">
        <v>214271846</v>
      </c>
      <c r="R216" s="142">
        <v>0</v>
      </c>
      <c r="S216" s="141">
        <v>64692324002</v>
      </c>
      <c r="T216" s="141">
        <v>64020962700</v>
      </c>
      <c r="U216" s="141">
        <v>671361302</v>
      </c>
      <c r="V216" s="143">
        <v>0.98962224170553459</v>
      </c>
      <c r="W216" s="141">
        <v>62685839862</v>
      </c>
      <c r="X216" s="141">
        <v>1335122838</v>
      </c>
      <c r="Y216" s="143">
        <v>2.0854463627114437E-2</v>
      </c>
      <c r="Z216" s="141">
        <v>62510251521</v>
      </c>
      <c r="AA216" s="141">
        <v>175588341</v>
      </c>
      <c r="AB216" s="724">
        <v>0.97640286688472433</v>
      </c>
    </row>
    <row r="217" spans="1:28" ht="24.95" customHeight="1">
      <c r="A217" s="32" t="e">
        <v>#REF!</v>
      </c>
      <c r="B217" s="144" t="s">
        <v>716</v>
      </c>
      <c r="C217" s="145" t="s">
        <v>167</v>
      </c>
      <c r="D217" s="145">
        <v>4103</v>
      </c>
      <c r="E217" s="145" t="s">
        <v>172</v>
      </c>
      <c r="F217" s="145">
        <v>22</v>
      </c>
      <c r="G217" s="145" t="s">
        <v>175</v>
      </c>
      <c r="H217" s="145" t="s">
        <v>221</v>
      </c>
      <c r="I217" s="145" t="s">
        <v>54</v>
      </c>
      <c r="J217" s="145">
        <v>13</v>
      </c>
      <c r="K217" s="146" t="s">
        <v>29</v>
      </c>
      <c r="L217" s="147" t="s">
        <v>178</v>
      </c>
      <c r="M217" s="148">
        <v>4796601848</v>
      </c>
      <c r="N217" s="148"/>
      <c r="O217" s="148"/>
      <c r="P217" s="148"/>
      <c r="Q217" s="148">
        <v>214271846</v>
      </c>
      <c r="R217" s="148">
        <v>0</v>
      </c>
      <c r="S217" s="148">
        <v>4582330002</v>
      </c>
      <c r="T217" s="148">
        <v>3910968700</v>
      </c>
      <c r="U217" s="148">
        <v>671361302</v>
      </c>
      <c r="V217" s="150">
        <v>0.85348909796828731</v>
      </c>
      <c r="W217" s="148">
        <v>2760776862</v>
      </c>
      <c r="X217" s="148">
        <v>1150191838</v>
      </c>
      <c r="Y217" s="150">
        <v>0.29409384892290241</v>
      </c>
      <c r="Z217" s="148">
        <v>2585188521</v>
      </c>
      <c r="AA217" s="148">
        <v>175588341</v>
      </c>
      <c r="AB217" s="150">
        <v>0.66100977003472317</v>
      </c>
    </row>
    <row r="218" spans="1:28" ht="24.95" customHeight="1">
      <c r="A218" s="32" t="e">
        <v>#REF!</v>
      </c>
      <c r="B218" s="144" t="s">
        <v>717</v>
      </c>
      <c r="C218" s="145" t="s">
        <v>167</v>
      </c>
      <c r="D218" s="145">
        <v>4103</v>
      </c>
      <c r="E218" s="145" t="s">
        <v>172</v>
      </c>
      <c r="F218" s="145">
        <v>22</v>
      </c>
      <c r="G218" s="145" t="s">
        <v>175</v>
      </c>
      <c r="H218" s="145" t="s">
        <v>221</v>
      </c>
      <c r="I218" s="145" t="s">
        <v>65</v>
      </c>
      <c r="J218" s="145">
        <v>13</v>
      </c>
      <c r="K218" s="146" t="s">
        <v>29</v>
      </c>
      <c r="L218" s="147" t="s">
        <v>127</v>
      </c>
      <c r="M218" s="148">
        <v>60109994000</v>
      </c>
      <c r="N218" s="148"/>
      <c r="O218" s="148"/>
      <c r="P218" s="148"/>
      <c r="Q218" s="148">
        <v>0</v>
      </c>
      <c r="R218" s="148">
        <v>0</v>
      </c>
      <c r="S218" s="148">
        <v>60109994000</v>
      </c>
      <c r="T218" s="148">
        <v>60109994000</v>
      </c>
      <c r="U218" s="148">
        <v>0</v>
      </c>
      <c r="V218" s="150">
        <v>1</v>
      </c>
      <c r="W218" s="148">
        <v>59925063000</v>
      </c>
      <c r="X218" s="148">
        <v>184931000</v>
      </c>
      <c r="Y218" s="150">
        <v>3.0765433115830954E-3</v>
      </c>
      <c r="Z218" s="148">
        <v>59925063000</v>
      </c>
      <c r="AA218" s="148">
        <v>0</v>
      </c>
      <c r="AB218" s="150">
        <v>0.99692345668841686</v>
      </c>
    </row>
    <row r="219" spans="1:28" ht="32.25" customHeight="1">
      <c r="A219" s="32" t="e">
        <v>#REF!</v>
      </c>
      <c r="B219" s="138" t="s">
        <v>718</v>
      </c>
      <c r="C219" s="139" t="s">
        <v>167</v>
      </c>
      <c r="D219" s="139">
        <v>4103</v>
      </c>
      <c r="E219" s="139" t="s">
        <v>172</v>
      </c>
      <c r="F219" s="139">
        <v>22</v>
      </c>
      <c r="G219" s="139" t="s">
        <v>175</v>
      </c>
      <c r="H219" s="139">
        <v>4103062</v>
      </c>
      <c r="I219" s="139"/>
      <c r="J219" s="139">
        <v>13</v>
      </c>
      <c r="K219" s="140" t="s">
        <v>29</v>
      </c>
      <c r="L219" s="140" t="s">
        <v>245</v>
      </c>
      <c r="M219" s="141">
        <v>62462607371</v>
      </c>
      <c r="N219" s="142">
        <v>0</v>
      </c>
      <c r="O219" s="142">
        <v>0</v>
      </c>
      <c r="P219" s="141">
        <v>3878589965</v>
      </c>
      <c r="Q219" s="142">
        <v>0</v>
      </c>
      <c r="R219" s="142">
        <v>0</v>
      </c>
      <c r="S219" s="141">
        <v>66341197336</v>
      </c>
      <c r="T219" s="141">
        <v>44079552407</v>
      </c>
      <c r="U219" s="141">
        <v>22261644929</v>
      </c>
      <c r="V219" s="143">
        <v>0.66443709455150679</v>
      </c>
      <c r="W219" s="141">
        <v>42097602579</v>
      </c>
      <c r="X219" s="142">
        <v>1981949828</v>
      </c>
      <c r="Y219" s="143">
        <v>4.4963020715365946E-2</v>
      </c>
      <c r="Z219" s="141">
        <v>41915767579</v>
      </c>
      <c r="AA219" s="141">
        <v>181835000</v>
      </c>
      <c r="AB219" s="724">
        <v>0.95091182396724194</v>
      </c>
    </row>
    <row r="220" spans="1:28" ht="24.95" customHeight="1">
      <c r="A220" s="32" t="e">
        <v>#REF!</v>
      </c>
      <c r="B220" s="144" t="s">
        <v>719</v>
      </c>
      <c r="C220" s="145" t="s">
        <v>167</v>
      </c>
      <c r="D220" s="145">
        <v>4103</v>
      </c>
      <c r="E220" s="145" t="s">
        <v>172</v>
      </c>
      <c r="F220" s="145">
        <v>22</v>
      </c>
      <c r="G220" s="145" t="s">
        <v>175</v>
      </c>
      <c r="H220" s="145" t="s">
        <v>246</v>
      </c>
      <c r="I220" s="145" t="s">
        <v>54</v>
      </c>
      <c r="J220" s="145">
        <v>13</v>
      </c>
      <c r="K220" s="146" t="s">
        <v>29</v>
      </c>
      <c r="L220" s="147" t="s">
        <v>178</v>
      </c>
      <c r="M220" s="148">
        <v>6064335371</v>
      </c>
      <c r="N220" s="148"/>
      <c r="O220" s="148"/>
      <c r="P220" s="148">
        <v>981739965</v>
      </c>
      <c r="Q220" s="148">
        <v>0</v>
      </c>
      <c r="R220" s="148">
        <v>0</v>
      </c>
      <c r="S220" s="148">
        <v>7046075336</v>
      </c>
      <c r="T220" s="148">
        <v>4249430407</v>
      </c>
      <c r="U220" s="148">
        <v>2796644929</v>
      </c>
      <c r="V220" s="150">
        <v>0.60309182124248584</v>
      </c>
      <c r="W220" s="148">
        <v>2538516579</v>
      </c>
      <c r="X220" s="148">
        <v>1710913828</v>
      </c>
      <c r="Y220" s="150">
        <v>0.40262191967696342</v>
      </c>
      <c r="Z220" s="148">
        <v>2524271579</v>
      </c>
      <c r="AA220" s="148">
        <v>14245000</v>
      </c>
      <c r="AB220" s="150">
        <v>0.59402586634712717</v>
      </c>
    </row>
    <row r="221" spans="1:28" ht="24.95" customHeight="1">
      <c r="A221" s="32" t="e">
        <v>#REF!</v>
      </c>
      <c r="B221" s="144" t="s">
        <v>720</v>
      </c>
      <c r="C221" s="145" t="s">
        <v>167</v>
      </c>
      <c r="D221" s="145">
        <v>4103</v>
      </c>
      <c r="E221" s="145" t="s">
        <v>172</v>
      </c>
      <c r="F221" s="145">
        <v>22</v>
      </c>
      <c r="G221" s="145" t="s">
        <v>175</v>
      </c>
      <c r="H221" s="145" t="s">
        <v>246</v>
      </c>
      <c r="I221" s="145" t="s">
        <v>65</v>
      </c>
      <c r="J221" s="145">
        <v>13</v>
      </c>
      <c r="K221" s="146" t="s">
        <v>29</v>
      </c>
      <c r="L221" s="147" t="s">
        <v>127</v>
      </c>
      <c r="M221" s="148">
        <v>56398272000</v>
      </c>
      <c r="N221" s="148"/>
      <c r="O221" s="148"/>
      <c r="P221" s="148">
        <v>2896850000</v>
      </c>
      <c r="Q221" s="148">
        <v>0</v>
      </c>
      <c r="R221" s="148">
        <v>0</v>
      </c>
      <c r="S221" s="148">
        <v>59295122000</v>
      </c>
      <c r="T221" s="148">
        <v>39830122000</v>
      </c>
      <c r="U221" s="148">
        <v>19465000000</v>
      </c>
      <c r="V221" s="150">
        <v>0.67172679061188201</v>
      </c>
      <c r="W221" s="148">
        <v>39559086000</v>
      </c>
      <c r="X221" s="148">
        <v>271036000</v>
      </c>
      <c r="Y221" s="150">
        <v>6.8047996438474383E-3</v>
      </c>
      <c r="Z221" s="148">
        <v>39391496000</v>
      </c>
      <c r="AA221" s="148">
        <v>167590000</v>
      </c>
      <c r="AB221" s="150">
        <v>0.98898758080630533</v>
      </c>
    </row>
    <row r="222" spans="1:28" ht="39.75" customHeight="1">
      <c r="A222" s="32"/>
      <c r="B222" s="132" t="s">
        <v>685</v>
      </c>
      <c r="C222" s="133" t="s">
        <v>167</v>
      </c>
      <c r="D222" s="133" t="s">
        <v>190</v>
      </c>
      <c r="E222" s="133" t="s">
        <v>172</v>
      </c>
      <c r="F222" s="133">
        <v>23</v>
      </c>
      <c r="G222" s="133"/>
      <c r="H222" s="133"/>
      <c r="I222" s="133"/>
      <c r="J222" s="133"/>
      <c r="K222" s="134"/>
      <c r="L222" s="134" t="s">
        <v>273</v>
      </c>
      <c r="M222" s="135">
        <v>1612279801419</v>
      </c>
      <c r="N222" s="136">
        <v>0</v>
      </c>
      <c r="O222" s="136">
        <v>0</v>
      </c>
      <c r="P222" s="135">
        <v>67826035802.349998</v>
      </c>
      <c r="Q222" s="135">
        <v>67826035802.349998</v>
      </c>
      <c r="R222" s="136">
        <v>0</v>
      </c>
      <c r="S222" s="135">
        <v>1612279801419</v>
      </c>
      <c r="T222" s="135">
        <v>1154955661956.21</v>
      </c>
      <c r="U222" s="135">
        <v>457324139462.79004</v>
      </c>
      <c r="V222" s="137">
        <v>0.71634939601656622</v>
      </c>
      <c r="W222" s="135">
        <v>1121147827700.1499</v>
      </c>
      <c r="X222" s="135">
        <v>33807834256.059998</v>
      </c>
      <c r="Y222" s="137">
        <v>2.9271975859919908E-2</v>
      </c>
      <c r="Z222" s="135">
        <v>996024531389.15002</v>
      </c>
      <c r="AA222" s="135">
        <v>125123296311</v>
      </c>
      <c r="AB222" s="723">
        <v>0.86239200706815899</v>
      </c>
    </row>
    <row r="223" spans="1:28" ht="32.25" customHeight="1">
      <c r="A223" s="32"/>
      <c r="B223" s="138" t="s">
        <v>721</v>
      </c>
      <c r="C223" s="139" t="s">
        <v>167</v>
      </c>
      <c r="D223" s="139" t="s">
        <v>190</v>
      </c>
      <c r="E223" s="139" t="s">
        <v>172</v>
      </c>
      <c r="F223" s="139">
        <v>23</v>
      </c>
      <c r="G223" s="139" t="s">
        <v>175</v>
      </c>
      <c r="H223" s="139">
        <v>4103065</v>
      </c>
      <c r="I223" s="139"/>
      <c r="J223" s="139">
        <v>11</v>
      </c>
      <c r="K223" s="140" t="s">
        <v>29</v>
      </c>
      <c r="L223" s="140" t="s">
        <v>248</v>
      </c>
      <c r="M223" s="141">
        <v>1612279801419</v>
      </c>
      <c r="N223" s="142">
        <v>0</v>
      </c>
      <c r="O223" s="142">
        <v>0</v>
      </c>
      <c r="P223" s="141">
        <v>67826035802.349998</v>
      </c>
      <c r="Q223" s="141">
        <v>67826035802.349998</v>
      </c>
      <c r="R223" s="142">
        <v>0</v>
      </c>
      <c r="S223" s="141">
        <v>1612279801419</v>
      </c>
      <c r="T223" s="141">
        <v>1154955661956.21</v>
      </c>
      <c r="U223" s="141">
        <v>457324139462.79004</v>
      </c>
      <c r="V223" s="143">
        <v>0.71634939601656622</v>
      </c>
      <c r="W223" s="141">
        <v>1121147827700.1499</v>
      </c>
      <c r="X223" s="141">
        <v>33807834256.059998</v>
      </c>
      <c r="Y223" s="143">
        <v>2.9271975859919908E-2</v>
      </c>
      <c r="Z223" s="141">
        <v>996024531389.15002</v>
      </c>
      <c r="AA223" s="141">
        <v>125123296311</v>
      </c>
      <c r="AB223" s="724">
        <v>0.86239200706815899</v>
      </c>
    </row>
    <row r="224" spans="1:28" ht="24.95" customHeight="1">
      <c r="A224" s="32"/>
      <c r="B224" s="144" t="s">
        <v>722</v>
      </c>
      <c r="C224" s="145" t="s">
        <v>167</v>
      </c>
      <c r="D224" s="145" t="s">
        <v>190</v>
      </c>
      <c r="E224" s="145" t="s">
        <v>172</v>
      </c>
      <c r="F224" s="145">
        <v>23</v>
      </c>
      <c r="G224" s="145" t="s">
        <v>175</v>
      </c>
      <c r="H224" s="145">
        <v>4103065</v>
      </c>
      <c r="I224" s="145" t="s">
        <v>54</v>
      </c>
      <c r="J224" s="145">
        <v>11</v>
      </c>
      <c r="K224" s="146" t="s">
        <v>29</v>
      </c>
      <c r="L224" s="147" t="s">
        <v>178</v>
      </c>
      <c r="M224" s="148">
        <v>54257058902</v>
      </c>
      <c r="N224" s="148"/>
      <c r="O224" s="148"/>
      <c r="P224" s="148">
        <v>27826035802.349998</v>
      </c>
      <c r="Q224" s="148">
        <v>36000000000</v>
      </c>
      <c r="R224" s="148">
        <v>0</v>
      </c>
      <c r="S224" s="148">
        <v>46083094704.350006</v>
      </c>
      <c r="T224" s="148">
        <v>45721946956.209999</v>
      </c>
      <c r="U224" s="148">
        <v>361147748.14000702</v>
      </c>
      <c r="V224" s="150">
        <v>0.99216311859138406</v>
      </c>
      <c r="W224" s="148">
        <v>15914112700.15</v>
      </c>
      <c r="X224" s="148">
        <v>29807834256.059998</v>
      </c>
      <c r="Y224" s="150">
        <v>0.65193711642700436</v>
      </c>
      <c r="Z224" s="148">
        <v>15891172389.15</v>
      </c>
      <c r="AA224" s="148">
        <v>22940311</v>
      </c>
      <c r="AB224" s="150">
        <v>0.34756114835550861</v>
      </c>
    </row>
    <row r="225" spans="1:51" ht="24.95" customHeight="1">
      <c r="A225" s="32"/>
      <c r="B225" s="144" t="s">
        <v>723</v>
      </c>
      <c r="C225" s="145" t="s">
        <v>167</v>
      </c>
      <c r="D225" s="145" t="s">
        <v>190</v>
      </c>
      <c r="E225" s="145" t="s">
        <v>172</v>
      </c>
      <c r="F225" s="145">
        <v>23</v>
      </c>
      <c r="G225" s="145" t="s">
        <v>175</v>
      </c>
      <c r="H225" s="145">
        <v>4103065</v>
      </c>
      <c r="I225" s="145" t="s">
        <v>65</v>
      </c>
      <c r="J225" s="145">
        <v>11</v>
      </c>
      <c r="K225" s="146" t="s">
        <v>29</v>
      </c>
      <c r="L225" s="147" t="s">
        <v>127</v>
      </c>
      <c r="M225" s="148">
        <v>725205645648</v>
      </c>
      <c r="N225" s="148"/>
      <c r="O225" s="148"/>
      <c r="P225" s="148">
        <v>36000000000</v>
      </c>
      <c r="Q225" s="148">
        <v>27826035802.349998</v>
      </c>
      <c r="R225" s="148">
        <v>0</v>
      </c>
      <c r="S225" s="148">
        <v>733379609845.65002</v>
      </c>
      <c r="T225" s="148">
        <v>698258409814</v>
      </c>
      <c r="U225" s="148">
        <v>35121200031.650024</v>
      </c>
      <c r="V225" s="150">
        <v>0.95211047653882586</v>
      </c>
      <c r="W225" s="148">
        <v>698258409814</v>
      </c>
      <c r="X225" s="148">
        <v>0</v>
      </c>
      <c r="Y225" s="150">
        <v>0</v>
      </c>
      <c r="Z225" s="148">
        <v>698255689814</v>
      </c>
      <c r="AA225" s="148">
        <v>2720000</v>
      </c>
      <c r="AB225" s="150">
        <v>0.99999610459399879</v>
      </c>
    </row>
    <row r="226" spans="1:51" ht="24.95" customHeight="1">
      <c r="A226" s="32"/>
      <c r="B226" s="144" t="s">
        <v>722</v>
      </c>
      <c r="C226" s="145" t="s">
        <v>167</v>
      </c>
      <c r="D226" s="145" t="s">
        <v>190</v>
      </c>
      <c r="E226" s="145" t="s">
        <v>172</v>
      </c>
      <c r="F226" s="145">
        <v>23</v>
      </c>
      <c r="G226" s="145" t="s">
        <v>175</v>
      </c>
      <c r="H226" s="145">
        <v>4103065</v>
      </c>
      <c r="I226" s="145" t="s">
        <v>54</v>
      </c>
      <c r="J226" s="145">
        <v>13</v>
      </c>
      <c r="K226" s="146" t="s">
        <v>29</v>
      </c>
      <c r="L226" s="147" t="s">
        <v>178</v>
      </c>
      <c r="M226" s="148">
        <v>0</v>
      </c>
      <c r="N226" s="148"/>
      <c r="O226" s="148"/>
      <c r="P226" s="148">
        <v>4000000000</v>
      </c>
      <c r="Q226" s="148">
        <v>0</v>
      </c>
      <c r="R226" s="148">
        <v>0</v>
      </c>
      <c r="S226" s="148">
        <v>4000000000</v>
      </c>
      <c r="T226" s="148">
        <v>4000000000</v>
      </c>
      <c r="U226" s="148">
        <v>0</v>
      </c>
      <c r="V226" s="150">
        <v>1</v>
      </c>
      <c r="W226" s="148">
        <v>0</v>
      </c>
      <c r="X226" s="148">
        <v>4000000000</v>
      </c>
      <c r="Y226" s="150">
        <v>1</v>
      </c>
      <c r="Z226" s="148">
        <v>0</v>
      </c>
      <c r="AA226" s="148">
        <v>0</v>
      </c>
      <c r="AB226" s="150">
        <v>0</v>
      </c>
    </row>
    <row r="227" spans="1:51" ht="24.95" customHeight="1">
      <c r="A227" s="32"/>
      <c r="B227" s="144" t="s">
        <v>723</v>
      </c>
      <c r="C227" s="145" t="s">
        <v>167</v>
      </c>
      <c r="D227" s="145" t="s">
        <v>190</v>
      </c>
      <c r="E227" s="145" t="s">
        <v>172</v>
      </c>
      <c r="F227" s="145">
        <v>23</v>
      </c>
      <c r="G227" s="145" t="s">
        <v>175</v>
      </c>
      <c r="H227" s="145">
        <v>4103065</v>
      </c>
      <c r="I227" s="145" t="s">
        <v>65</v>
      </c>
      <c r="J227" s="145">
        <v>13</v>
      </c>
      <c r="K227" s="146" t="s">
        <v>29</v>
      </c>
      <c r="L227" s="147" t="s">
        <v>127</v>
      </c>
      <c r="M227" s="148">
        <v>48925749186</v>
      </c>
      <c r="N227" s="148"/>
      <c r="O227" s="148"/>
      <c r="P227" s="148"/>
      <c r="Q227" s="148">
        <v>4000000000</v>
      </c>
      <c r="R227" s="148">
        <v>0</v>
      </c>
      <c r="S227" s="148">
        <v>44925749186</v>
      </c>
      <c r="T227" s="148">
        <v>44717669186</v>
      </c>
      <c r="U227" s="148">
        <v>208080000</v>
      </c>
      <c r="V227" s="150">
        <v>0.99536835770643439</v>
      </c>
      <c r="W227" s="148">
        <v>44717669186</v>
      </c>
      <c r="X227" s="148">
        <v>0</v>
      </c>
      <c r="Y227" s="150">
        <v>0</v>
      </c>
      <c r="Z227" s="148">
        <v>44717669186</v>
      </c>
      <c r="AA227" s="148">
        <v>0</v>
      </c>
      <c r="AB227" s="150">
        <v>1</v>
      </c>
    </row>
    <row r="228" spans="1:51" ht="24.95" customHeight="1">
      <c r="A228" s="32"/>
      <c r="B228" s="144" t="s">
        <v>723</v>
      </c>
      <c r="C228" s="145" t="s">
        <v>167</v>
      </c>
      <c r="D228" s="145" t="s">
        <v>190</v>
      </c>
      <c r="E228" s="145" t="s">
        <v>172</v>
      </c>
      <c r="F228" s="145">
        <v>23</v>
      </c>
      <c r="G228" s="145" t="s">
        <v>175</v>
      </c>
      <c r="H228" s="145">
        <v>4103065</v>
      </c>
      <c r="I228" s="145" t="s">
        <v>65</v>
      </c>
      <c r="J228" s="145">
        <v>16</v>
      </c>
      <c r="K228" s="146" t="s">
        <v>156</v>
      </c>
      <c r="L228" s="147" t="s">
        <v>127</v>
      </c>
      <c r="M228" s="148">
        <v>783891347683</v>
      </c>
      <c r="N228" s="148"/>
      <c r="O228" s="148"/>
      <c r="P228" s="148"/>
      <c r="Q228" s="148">
        <v>0</v>
      </c>
      <c r="R228" s="148">
        <v>0</v>
      </c>
      <c r="S228" s="148">
        <v>783891347683</v>
      </c>
      <c r="T228" s="148">
        <v>362257636000</v>
      </c>
      <c r="U228" s="148">
        <v>421633711683</v>
      </c>
      <c r="V228" s="150">
        <v>0.462127356132644</v>
      </c>
      <c r="W228" s="148">
        <v>362257636000</v>
      </c>
      <c r="X228" s="148">
        <v>0</v>
      </c>
      <c r="Y228" s="150">
        <v>0</v>
      </c>
      <c r="Z228" s="148">
        <v>237160000000</v>
      </c>
      <c r="AA228" s="148">
        <v>125097636000</v>
      </c>
      <c r="AB228" s="150">
        <v>0.65467219026405832</v>
      </c>
    </row>
    <row r="229" spans="1:51" ht="49.5" customHeight="1">
      <c r="A229" s="32" t="e">
        <v>#REF!</v>
      </c>
      <c r="B229" s="132" t="s">
        <v>732</v>
      </c>
      <c r="C229" s="133" t="s">
        <v>167</v>
      </c>
      <c r="D229" s="133" t="s">
        <v>190</v>
      </c>
      <c r="E229" s="133" t="s">
        <v>172</v>
      </c>
      <c r="F229" s="133">
        <v>24</v>
      </c>
      <c r="G229" s="133"/>
      <c r="H229" s="133"/>
      <c r="I229" s="133"/>
      <c r="J229" s="133"/>
      <c r="K229" s="134"/>
      <c r="L229" s="134" t="s">
        <v>249</v>
      </c>
      <c r="M229" s="135">
        <v>7237101000000</v>
      </c>
      <c r="N229" s="136">
        <v>0</v>
      </c>
      <c r="O229" s="136">
        <v>0</v>
      </c>
      <c r="P229" s="135">
        <v>832906720.83000004</v>
      </c>
      <c r="Q229" s="135">
        <v>832906720.83000004</v>
      </c>
      <c r="R229" s="136">
        <v>0</v>
      </c>
      <c r="S229" s="135">
        <v>7237101000000</v>
      </c>
      <c r="T229" s="135">
        <v>4220302888313.3999</v>
      </c>
      <c r="U229" s="135">
        <v>3016798111686.6001</v>
      </c>
      <c r="V229" s="137">
        <v>0.58314826452102853</v>
      </c>
      <c r="W229" s="135">
        <v>4202879912178.04</v>
      </c>
      <c r="X229" s="135">
        <v>17422976135.360001</v>
      </c>
      <c r="Y229" s="137">
        <v>4.1283710189632646E-3</v>
      </c>
      <c r="Z229" s="135">
        <v>4201914856412.04</v>
      </c>
      <c r="AA229" s="135">
        <v>965055766</v>
      </c>
      <c r="AB229" s="723">
        <v>0.99564295919321832</v>
      </c>
    </row>
    <row r="230" spans="1:51" ht="32.25" customHeight="1">
      <c r="A230" s="32" t="e">
        <v>#REF!</v>
      </c>
      <c r="B230" s="138" t="s">
        <v>733</v>
      </c>
      <c r="C230" s="139" t="s">
        <v>167</v>
      </c>
      <c r="D230" s="139" t="s">
        <v>190</v>
      </c>
      <c r="E230" s="139" t="s">
        <v>172</v>
      </c>
      <c r="F230" s="139">
        <v>24</v>
      </c>
      <c r="G230" s="139" t="s">
        <v>175</v>
      </c>
      <c r="H230" s="139">
        <v>4103061</v>
      </c>
      <c r="I230" s="139"/>
      <c r="J230" s="139">
        <v>13</v>
      </c>
      <c r="K230" s="140" t="s">
        <v>29</v>
      </c>
      <c r="L230" s="140" t="s">
        <v>231</v>
      </c>
      <c r="M230" s="141">
        <v>7237101000000</v>
      </c>
      <c r="N230" s="142">
        <v>0</v>
      </c>
      <c r="O230" s="142">
        <v>0</v>
      </c>
      <c r="P230" s="141">
        <v>832906720.83000004</v>
      </c>
      <c r="Q230" s="141">
        <v>832906720.83000004</v>
      </c>
      <c r="R230" s="142">
        <v>0</v>
      </c>
      <c r="S230" s="141">
        <v>7237101000000</v>
      </c>
      <c r="T230" s="141">
        <v>4220302888313.3999</v>
      </c>
      <c r="U230" s="141">
        <v>3016798111686.6001</v>
      </c>
      <c r="V230" s="143">
        <v>0.58314826452102853</v>
      </c>
      <c r="W230" s="141">
        <v>4202879912178.04</v>
      </c>
      <c r="X230" s="141">
        <v>17422976135.360001</v>
      </c>
      <c r="Y230" s="143">
        <v>4.1283710189632646E-3</v>
      </c>
      <c r="Z230" s="141">
        <v>4201914856412.04</v>
      </c>
      <c r="AA230" s="141">
        <v>965055766</v>
      </c>
      <c r="AB230" s="724">
        <v>0.99564295919321832</v>
      </c>
    </row>
    <row r="231" spans="1:51" ht="24.95" customHeight="1">
      <c r="A231" s="32" t="e">
        <v>#REF!</v>
      </c>
      <c r="B231" s="144" t="s">
        <v>734</v>
      </c>
      <c r="C231" s="145" t="s">
        <v>167</v>
      </c>
      <c r="D231" s="145" t="s">
        <v>190</v>
      </c>
      <c r="E231" s="145" t="s">
        <v>172</v>
      </c>
      <c r="F231" s="145">
        <v>24</v>
      </c>
      <c r="G231" s="145" t="s">
        <v>175</v>
      </c>
      <c r="H231" s="145">
        <v>4103061</v>
      </c>
      <c r="I231" s="145" t="s">
        <v>54</v>
      </c>
      <c r="J231" s="145">
        <v>13</v>
      </c>
      <c r="K231" s="146" t="s">
        <v>29</v>
      </c>
      <c r="L231" s="147" t="s">
        <v>178</v>
      </c>
      <c r="M231" s="148">
        <v>99347732574</v>
      </c>
      <c r="N231" s="148"/>
      <c r="O231" s="148"/>
      <c r="P231" s="148">
        <v>832906720.83000004</v>
      </c>
      <c r="Q231" s="148">
        <v>0</v>
      </c>
      <c r="R231" s="148">
        <v>0</v>
      </c>
      <c r="S231" s="148">
        <v>100180639294.83</v>
      </c>
      <c r="T231" s="148">
        <v>34452175313.400002</v>
      </c>
      <c r="U231" s="148">
        <v>65728463981.43</v>
      </c>
      <c r="V231" s="150">
        <v>0.34390053363512491</v>
      </c>
      <c r="W231" s="148">
        <v>17029199178.040001</v>
      </c>
      <c r="X231" s="148">
        <v>17422976135.360001</v>
      </c>
      <c r="Y231" s="150">
        <v>0.50571483445875243</v>
      </c>
      <c r="Z231" s="148">
        <v>16064143412.040001</v>
      </c>
      <c r="AA231" s="148">
        <v>965055766</v>
      </c>
      <c r="AB231" s="150">
        <v>0.46627370451676337</v>
      </c>
    </row>
    <row r="232" spans="1:51" ht="24.95" customHeight="1">
      <c r="A232" s="32" t="e">
        <v>#REF!</v>
      </c>
      <c r="B232" s="144" t="s">
        <v>735</v>
      </c>
      <c r="C232" s="145" t="s">
        <v>167</v>
      </c>
      <c r="D232" s="145" t="s">
        <v>190</v>
      </c>
      <c r="E232" s="145" t="s">
        <v>172</v>
      </c>
      <c r="F232" s="145">
        <v>24</v>
      </c>
      <c r="G232" s="145" t="s">
        <v>175</v>
      </c>
      <c r="H232" s="145">
        <v>4103061</v>
      </c>
      <c r="I232" s="145" t="s">
        <v>65</v>
      </c>
      <c r="J232" s="145">
        <v>13</v>
      </c>
      <c r="K232" s="146" t="s">
        <v>29</v>
      </c>
      <c r="L232" s="147" t="s">
        <v>127</v>
      </c>
      <c r="M232" s="148">
        <v>7137753267426</v>
      </c>
      <c r="N232" s="148"/>
      <c r="O232" s="148"/>
      <c r="P232" s="148"/>
      <c r="Q232" s="148">
        <v>832906720.83000004</v>
      </c>
      <c r="R232" s="148">
        <v>0</v>
      </c>
      <c r="S232" s="148">
        <v>7136920360705.1699</v>
      </c>
      <c r="T232" s="148">
        <v>4185850713000</v>
      </c>
      <c r="U232" s="148">
        <v>2951069647705.1699</v>
      </c>
      <c r="V232" s="150">
        <v>0.58650657446686338</v>
      </c>
      <c r="W232" s="148">
        <v>4185850713000</v>
      </c>
      <c r="X232" s="148">
        <v>0</v>
      </c>
      <c r="Y232" s="150">
        <v>0</v>
      </c>
      <c r="Z232" s="148">
        <v>4185850713000</v>
      </c>
      <c r="AA232" s="148">
        <v>0</v>
      </c>
      <c r="AB232" s="150">
        <v>1</v>
      </c>
    </row>
    <row r="233" spans="1:51" ht="36.75" customHeight="1">
      <c r="A233" s="32" t="e">
        <v>#REF!</v>
      </c>
      <c r="B233" s="124" t="s">
        <v>544</v>
      </c>
      <c r="C233" s="123" t="s">
        <v>167</v>
      </c>
      <c r="D233" s="123">
        <v>4199</v>
      </c>
      <c r="E233" s="123"/>
      <c r="F233" s="123"/>
      <c r="G233" s="123"/>
      <c r="H233" s="123"/>
      <c r="I233" s="123"/>
      <c r="J233" s="124"/>
      <c r="K233" s="124"/>
      <c r="L233" s="124" t="s">
        <v>250</v>
      </c>
      <c r="M233" s="125">
        <v>5000000000</v>
      </c>
      <c r="N233" s="719">
        <v>0</v>
      </c>
      <c r="O233" s="719">
        <v>0</v>
      </c>
      <c r="P233" s="719">
        <v>0</v>
      </c>
      <c r="Q233" s="719">
        <v>0</v>
      </c>
      <c r="R233" s="719">
        <v>0</v>
      </c>
      <c r="S233" s="125">
        <v>5000000000</v>
      </c>
      <c r="T233" s="125">
        <v>2541440887.5999999</v>
      </c>
      <c r="U233" s="125">
        <v>2458559112.4000001</v>
      </c>
      <c r="V233" s="126">
        <v>0.50828817752</v>
      </c>
      <c r="W233" s="125">
        <v>2541440887.5999999</v>
      </c>
      <c r="X233" s="125">
        <v>0</v>
      </c>
      <c r="Y233" s="126">
        <v>0</v>
      </c>
      <c r="Z233" s="125">
        <v>2541440887.5999999</v>
      </c>
      <c r="AA233" s="125">
        <v>0</v>
      </c>
      <c r="AB233" s="720">
        <v>1</v>
      </c>
    </row>
    <row r="234" spans="1:51" ht="24" customHeight="1">
      <c r="A234" s="32" t="e">
        <v>#REF!</v>
      </c>
      <c r="B234" s="129" t="s">
        <v>300</v>
      </c>
      <c r="C234" s="128" t="s">
        <v>167</v>
      </c>
      <c r="D234" s="128">
        <v>4199</v>
      </c>
      <c r="E234" s="128">
        <v>1500</v>
      </c>
      <c r="F234" s="128"/>
      <c r="G234" s="128"/>
      <c r="H234" s="128"/>
      <c r="I234" s="128"/>
      <c r="J234" s="129"/>
      <c r="K234" s="129"/>
      <c r="L234" s="129" t="s">
        <v>170</v>
      </c>
      <c r="M234" s="130">
        <v>5000000000</v>
      </c>
      <c r="N234" s="721">
        <v>0</v>
      </c>
      <c r="O234" s="721">
        <v>0</v>
      </c>
      <c r="P234" s="721">
        <v>0</v>
      </c>
      <c r="Q234" s="721">
        <v>0</v>
      </c>
      <c r="R234" s="721">
        <v>0</v>
      </c>
      <c r="S234" s="130">
        <v>5000000000</v>
      </c>
      <c r="T234" s="130">
        <v>2541440887.5999999</v>
      </c>
      <c r="U234" s="130">
        <v>2458559112.4000001</v>
      </c>
      <c r="V234" s="131">
        <v>0.50828817752</v>
      </c>
      <c r="W234" s="130">
        <v>2541440887.5999999</v>
      </c>
      <c r="X234" s="130">
        <v>0</v>
      </c>
      <c r="Y234" s="131">
        <v>0</v>
      </c>
      <c r="Z234" s="130">
        <v>2541440887.5999999</v>
      </c>
      <c r="AA234" s="130">
        <v>0</v>
      </c>
      <c r="AB234" s="722">
        <v>1</v>
      </c>
    </row>
    <row r="235" spans="1:51" ht="37.5" customHeight="1">
      <c r="A235" s="32" t="e">
        <v>#REF!</v>
      </c>
      <c r="B235" s="132" t="s">
        <v>547</v>
      </c>
      <c r="C235" s="133" t="s">
        <v>167</v>
      </c>
      <c r="D235" s="133" t="s">
        <v>251</v>
      </c>
      <c r="E235" s="133" t="s">
        <v>172</v>
      </c>
      <c r="F235" s="133" t="s">
        <v>252</v>
      </c>
      <c r="G235" s="133"/>
      <c r="H235" s="133"/>
      <c r="I235" s="133"/>
      <c r="J235" s="133"/>
      <c r="K235" s="134"/>
      <c r="L235" s="134" t="s">
        <v>274</v>
      </c>
      <c r="M235" s="135">
        <v>5000000000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5">
        <v>5000000000</v>
      </c>
      <c r="T235" s="135">
        <v>2541440887.5999999</v>
      </c>
      <c r="U235" s="135">
        <v>2458559112.4000001</v>
      </c>
      <c r="V235" s="137">
        <v>0.50828817752</v>
      </c>
      <c r="W235" s="135">
        <v>2541440887.5999999</v>
      </c>
      <c r="X235" s="135">
        <v>0</v>
      </c>
      <c r="Y235" s="137">
        <v>0</v>
      </c>
      <c r="Z235" s="135">
        <v>2541440887.5999999</v>
      </c>
      <c r="AA235" s="135">
        <v>0</v>
      </c>
      <c r="AB235" s="723">
        <v>1</v>
      </c>
    </row>
    <row r="236" spans="1:51" ht="32.25" customHeight="1">
      <c r="A236" s="32" t="e">
        <v>#REF!</v>
      </c>
      <c r="B236" s="138" t="s">
        <v>548</v>
      </c>
      <c r="C236" s="139" t="s">
        <v>167</v>
      </c>
      <c r="D236" s="139" t="s">
        <v>251</v>
      </c>
      <c r="E236" s="139" t="s">
        <v>172</v>
      </c>
      <c r="F236" s="139" t="s">
        <v>252</v>
      </c>
      <c r="G236" s="139" t="s">
        <v>175</v>
      </c>
      <c r="H236" s="139" t="s">
        <v>254</v>
      </c>
      <c r="I236" s="139"/>
      <c r="J236" s="139">
        <v>13</v>
      </c>
      <c r="K236" s="140" t="s">
        <v>29</v>
      </c>
      <c r="L236" s="140" t="s">
        <v>255</v>
      </c>
      <c r="M236" s="141">
        <v>5000000000</v>
      </c>
      <c r="N236" s="142">
        <v>0</v>
      </c>
      <c r="O236" s="142">
        <v>0</v>
      </c>
      <c r="P236" s="142">
        <v>0</v>
      </c>
      <c r="Q236" s="142">
        <v>0</v>
      </c>
      <c r="R236" s="142">
        <v>0</v>
      </c>
      <c r="S236" s="141">
        <v>5000000000</v>
      </c>
      <c r="T236" s="141">
        <v>2541440887.5999999</v>
      </c>
      <c r="U236" s="141">
        <v>2458559112.4000001</v>
      </c>
      <c r="V236" s="143">
        <v>0.50828817752</v>
      </c>
      <c r="W236" s="141">
        <v>2541440887.5999999</v>
      </c>
      <c r="X236" s="141">
        <v>0</v>
      </c>
      <c r="Y236" s="143">
        <v>0</v>
      </c>
      <c r="Z236" s="141">
        <v>2541440887.5999999</v>
      </c>
      <c r="AA236" s="141">
        <v>0</v>
      </c>
      <c r="AB236" s="724">
        <v>1</v>
      </c>
    </row>
    <row r="237" spans="1:51" ht="24.95" customHeight="1">
      <c r="A237" s="32" t="e">
        <v>#REF!</v>
      </c>
      <c r="B237" s="144" t="s">
        <v>549</v>
      </c>
      <c r="C237" s="145" t="s">
        <v>167</v>
      </c>
      <c r="D237" s="145" t="s">
        <v>251</v>
      </c>
      <c r="E237" s="145" t="s">
        <v>172</v>
      </c>
      <c r="F237" s="145" t="s">
        <v>252</v>
      </c>
      <c r="G237" s="145" t="s">
        <v>175</v>
      </c>
      <c r="H237" s="145" t="s">
        <v>254</v>
      </c>
      <c r="I237" s="145" t="s">
        <v>54</v>
      </c>
      <c r="J237" s="145">
        <v>13</v>
      </c>
      <c r="K237" s="146" t="s">
        <v>29</v>
      </c>
      <c r="L237" s="147" t="s">
        <v>178</v>
      </c>
      <c r="M237" s="148">
        <v>5000000000</v>
      </c>
      <c r="N237" s="148">
        <v>0</v>
      </c>
      <c r="O237" s="148">
        <v>0</v>
      </c>
      <c r="P237" s="148">
        <v>0</v>
      </c>
      <c r="Q237" s="148">
        <v>0</v>
      </c>
      <c r="R237" s="148">
        <v>0</v>
      </c>
      <c r="S237" s="148">
        <v>5000000000</v>
      </c>
      <c r="T237" s="148">
        <v>2541440887.5999999</v>
      </c>
      <c r="U237" s="148">
        <v>2458559112.4000001</v>
      </c>
      <c r="V237" s="150">
        <v>0.50828817752</v>
      </c>
      <c r="W237" s="148">
        <v>2541440887.5999999</v>
      </c>
      <c r="X237" s="148">
        <v>0</v>
      </c>
      <c r="Y237" s="150">
        <v>0</v>
      </c>
      <c r="Z237" s="148">
        <v>2541440887.5999999</v>
      </c>
      <c r="AA237" s="148">
        <v>0</v>
      </c>
      <c r="AB237" s="150">
        <v>1</v>
      </c>
    </row>
    <row r="238" spans="1:51" ht="35.1" customHeight="1">
      <c r="A238" s="32"/>
      <c r="B238" s="118"/>
      <c r="C238" s="118"/>
      <c r="D238" s="119"/>
      <c r="E238" s="119"/>
      <c r="F238" s="119"/>
      <c r="G238" s="119"/>
      <c r="H238" s="119"/>
      <c r="I238" s="119"/>
      <c r="J238" s="119"/>
      <c r="K238" s="119"/>
      <c r="L238" s="119" t="s">
        <v>256</v>
      </c>
      <c r="M238" s="120">
        <v>13107834876291</v>
      </c>
      <c r="N238" s="120">
        <v>5269349000</v>
      </c>
      <c r="O238" s="120">
        <v>0</v>
      </c>
      <c r="P238" s="120">
        <v>133036079946.82001</v>
      </c>
      <c r="Q238" s="120">
        <v>133036079946.82001</v>
      </c>
      <c r="R238" s="120">
        <v>10390000000</v>
      </c>
      <c r="S238" s="120">
        <v>13102714225291</v>
      </c>
      <c r="T238" s="120">
        <v>8854294227019.5293</v>
      </c>
      <c r="U238" s="120">
        <v>4248419998271.4697</v>
      </c>
      <c r="V238" s="121">
        <v>0.67576031002255055</v>
      </c>
      <c r="W238" s="120">
        <v>7437736310322.2598</v>
      </c>
      <c r="X238" s="120">
        <v>1416557916697.2705</v>
      </c>
      <c r="Y238" s="121">
        <v>0.15998541277005907</v>
      </c>
      <c r="Z238" s="120">
        <v>7307054535042.9199</v>
      </c>
      <c r="AA238" s="120">
        <v>130681775279.34</v>
      </c>
      <c r="AB238" s="718">
        <v>0.82525544641885817</v>
      </c>
    </row>
    <row r="239" spans="1:51" s="90" customFormat="1" ht="16.5">
      <c r="A239" s="32"/>
      <c r="B239" s="32"/>
      <c r="C239" s="82"/>
      <c r="D239" s="82"/>
      <c r="E239" s="82"/>
      <c r="F239" s="82"/>
      <c r="G239" s="82"/>
      <c r="H239" s="83"/>
      <c r="I239" s="84"/>
      <c r="J239" s="84"/>
      <c r="K239" s="85"/>
      <c r="L239" s="84"/>
      <c r="M239" s="86"/>
      <c r="N239" s="86"/>
      <c r="O239" s="86"/>
      <c r="P239" s="86"/>
      <c r="Q239" s="86"/>
      <c r="R239" s="86"/>
      <c r="S239" s="86"/>
      <c r="T239" s="86"/>
      <c r="U239" s="86"/>
      <c r="V239" s="87"/>
      <c r="W239" s="88"/>
      <c r="X239" s="86"/>
      <c r="Y239" s="87"/>
      <c r="Z239" s="86"/>
      <c r="AA239" s="86"/>
      <c r="AB239" s="89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</row>
    <row r="240" spans="1:51" s="90" customFormat="1" ht="16.5">
      <c r="A240" s="338" t="e">
        <v>#REF!</v>
      </c>
      <c r="B240" s="338"/>
      <c r="C240" s="82"/>
      <c r="D240" s="82"/>
      <c r="E240" s="82"/>
      <c r="F240" s="82"/>
      <c r="G240" s="82"/>
      <c r="H240" s="83"/>
      <c r="I240" s="84"/>
      <c r="J240" s="84"/>
      <c r="K240" s="85"/>
      <c r="L240" s="84"/>
      <c r="M240" s="95">
        <v>13107834876291</v>
      </c>
      <c r="N240" s="95">
        <v>5269349000</v>
      </c>
      <c r="O240" s="95">
        <v>0</v>
      </c>
      <c r="P240" s="95">
        <v>133036079946.82001</v>
      </c>
      <c r="Q240" s="95">
        <v>133036079946.82001</v>
      </c>
      <c r="R240" s="95">
        <v>10390000000</v>
      </c>
      <c r="S240" s="95">
        <v>13102714225291</v>
      </c>
      <c r="T240" s="95">
        <v>8854294227019.5293</v>
      </c>
      <c r="U240" s="95">
        <v>4248419998271.4707</v>
      </c>
      <c r="V240" s="95">
        <v>0.67576031002255055</v>
      </c>
      <c r="W240" s="95">
        <v>7437736310322.2598</v>
      </c>
      <c r="X240" s="95">
        <v>1416557916697.2695</v>
      </c>
      <c r="Y240" s="95">
        <v>0.15998541277005907</v>
      </c>
      <c r="Z240" s="95">
        <v>7307054535042.9199</v>
      </c>
      <c r="AA240" s="95">
        <v>130681775279.33984</v>
      </c>
      <c r="AB240" s="95">
        <v>0.82525544641885817</v>
      </c>
    </row>
    <row r="241" spans="1:51" s="8" customFormat="1" ht="16.5">
      <c r="A241" s="32"/>
      <c r="B241" s="32"/>
      <c r="C241" s="94"/>
      <c r="D241" s="93"/>
      <c r="E241" s="93"/>
      <c r="F241" s="93"/>
      <c r="G241" s="93"/>
      <c r="H241" s="93"/>
      <c r="I241" s="93"/>
      <c r="J241" s="93"/>
      <c r="K241" s="94"/>
      <c r="L241" s="97"/>
      <c r="M241" s="98">
        <v>0</v>
      </c>
      <c r="N241" s="98">
        <v>0</v>
      </c>
      <c r="O241" s="98">
        <v>0</v>
      </c>
      <c r="P241" s="98">
        <v>0</v>
      </c>
      <c r="Q241" s="98">
        <v>0</v>
      </c>
      <c r="R241" s="98">
        <v>0</v>
      </c>
      <c r="S241" s="98">
        <v>0</v>
      </c>
      <c r="T241" s="98">
        <v>0</v>
      </c>
      <c r="U241" s="98">
        <v>0</v>
      </c>
      <c r="V241" s="98"/>
      <c r="W241" s="98">
        <v>0</v>
      </c>
      <c r="X241" s="98">
        <v>0</v>
      </c>
      <c r="Y241" s="98"/>
      <c r="Z241" s="98">
        <v>0</v>
      </c>
      <c r="AA241" s="98">
        <v>1.52587890625E-4</v>
      </c>
      <c r="AB241" s="98"/>
    </row>
    <row r="242" spans="1:51" s="374" customFormat="1" ht="16.5">
      <c r="A242" s="369"/>
      <c r="B242" s="375"/>
      <c r="C242" s="370"/>
      <c r="D242" s="371"/>
      <c r="E242" s="371"/>
      <c r="F242" s="371"/>
      <c r="G242" s="371"/>
      <c r="H242" s="371"/>
      <c r="I242" s="371"/>
      <c r="J242" s="371"/>
      <c r="K242" s="370"/>
      <c r="L242" s="86"/>
      <c r="M242" s="359"/>
      <c r="N242" s="359"/>
      <c r="O242" s="359"/>
      <c r="P242" s="359"/>
      <c r="Q242" s="359"/>
      <c r="R242" s="359"/>
      <c r="S242" s="359"/>
      <c r="T242" s="359"/>
      <c r="U242" s="359"/>
      <c r="V242" s="372"/>
      <c r="W242" s="359"/>
      <c r="X242" s="359"/>
      <c r="Y242" s="372"/>
      <c r="Z242" s="359"/>
      <c r="AA242" s="359"/>
      <c r="AB242" s="37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</row>
    <row r="243" spans="1:51" ht="18">
      <c r="A243" s="30"/>
      <c r="B243" s="31"/>
      <c r="C243" s="312"/>
      <c r="D243" s="317"/>
      <c r="E243" s="312"/>
      <c r="F243" s="312"/>
      <c r="G243" s="312"/>
      <c r="H243" s="312"/>
      <c r="I243" s="312"/>
      <c r="J243" s="312"/>
      <c r="K243" s="317"/>
      <c r="L243" s="312"/>
      <c r="M243" s="335"/>
      <c r="N243" s="364"/>
      <c r="O243" s="332"/>
      <c r="P243" s="332"/>
      <c r="Q243" s="633"/>
      <c r="R243" s="633"/>
      <c r="S243" s="359"/>
      <c r="T243" s="332"/>
      <c r="U243" s="332"/>
      <c r="V243" s="333"/>
      <c r="W243" s="332"/>
      <c r="X243" s="332"/>
      <c r="Y243" s="333"/>
      <c r="Z243" s="332"/>
      <c r="AA243" s="332"/>
      <c r="AB243" s="333"/>
    </row>
    <row r="244" spans="1:51" ht="18">
      <c r="A244" s="30"/>
      <c r="B244" s="31"/>
      <c r="C244" s="312"/>
      <c r="D244" s="317"/>
      <c r="E244" s="312"/>
      <c r="F244" s="312"/>
      <c r="G244" s="312"/>
      <c r="H244" s="312"/>
      <c r="I244" s="312"/>
      <c r="J244" s="312"/>
      <c r="K244" s="317"/>
      <c r="L244" s="312"/>
      <c r="M244" s="332"/>
      <c r="N244" s="632"/>
      <c r="O244" s="332"/>
      <c r="P244" s="359"/>
      <c r="Q244" s="633"/>
      <c r="R244" s="633"/>
      <c r="S244" s="332"/>
      <c r="T244" s="332"/>
      <c r="U244" s="332"/>
      <c r="V244" s="333"/>
      <c r="W244" s="332"/>
      <c r="X244" s="332"/>
      <c r="Y244" s="333"/>
      <c r="Z244" s="332"/>
      <c r="AA244" s="332"/>
      <c r="AB244" s="333"/>
    </row>
    <row r="245" spans="1:51" ht="18">
      <c r="A245" s="1"/>
      <c r="B245" s="2"/>
      <c r="C245" s="312"/>
      <c r="D245" s="312"/>
      <c r="E245" s="312"/>
      <c r="F245" s="312"/>
      <c r="G245" s="312"/>
      <c r="H245" s="312"/>
      <c r="I245" s="312"/>
      <c r="J245" s="312"/>
      <c r="K245" s="317"/>
      <c r="L245" s="312"/>
      <c r="M245" s="332"/>
      <c r="N245" s="632"/>
      <c r="O245" s="332"/>
      <c r="P245" s="332"/>
      <c r="Q245" s="332"/>
      <c r="R245" s="332"/>
      <c r="S245" s="332"/>
      <c r="T245" s="332"/>
      <c r="U245" s="332"/>
      <c r="V245" s="333"/>
      <c r="W245" s="332"/>
      <c r="X245" s="631"/>
      <c r="Y245" s="333"/>
      <c r="Z245" s="332"/>
      <c r="AA245" s="332"/>
      <c r="AB245" s="333"/>
      <c r="AC245" s="315"/>
    </row>
    <row r="246" spans="1:51" ht="30">
      <c r="A246" s="1"/>
      <c r="B246" s="2"/>
      <c r="C246" s="318"/>
      <c r="D246" s="318"/>
      <c r="E246" s="318"/>
      <c r="F246" s="318"/>
      <c r="G246" s="318"/>
      <c r="H246" s="318"/>
      <c r="I246" s="312"/>
      <c r="J246" s="312"/>
      <c r="K246" s="317"/>
      <c r="L246" s="336" t="s">
        <v>738</v>
      </c>
      <c r="M246" s="628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20"/>
      <c r="Z246" s="376"/>
      <c r="AA246" s="319"/>
      <c r="AB246" s="319"/>
    </row>
    <row r="247" spans="1:51" ht="30">
      <c r="A247" s="1"/>
      <c r="B247" s="2"/>
      <c r="C247" s="321"/>
      <c r="D247" s="322"/>
      <c r="E247" s="322"/>
      <c r="F247" s="322"/>
      <c r="G247" s="322"/>
      <c r="H247" s="322"/>
      <c r="I247" s="322"/>
      <c r="J247" s="322"/>
      <c r="K247" s="321"/>
      <c r="L247" s="337" t="s">
        <v>739</v>
      </c>
      <c r="M247" s="628"/>
      <c r="O247" s="323"/>
      <c r="P247" s="323"/>
      <c r="Q247" s="323"/>
      <c r="R247" s="323"/>
      <c r="S247" s="360"/>
      <c r="T247" s="323"/>
      <c r="U247" s="323"/>
      <c r="V247" s="323"/>
      <c r="W247" s="323"/>
      <c r="X247" s="323"/>
      <c r="Y247" s="324"/>
      <c r="Z247" s="323"/>
      <c r="AA247" s="323"/>
      <c r="AB247" s="323"/>
    </row>
    <row r="248" spans="1:51" ht="30">
      <c r="A248" s="325"/>
      <c r="B248" s="313"/>
      <c r="C248" s="308"/>
      <c r="D248" s="308"/>
      <c r="E248" s="308"/>
      <c r="F248" s="308"/>
      <c r="G248" s="308"/>
      <c r="H248" s="308"/>
      <c r="I248" s="308"/>
      <c r="J248" s="308"/>
      <c r="K248" s="336"/>
      <c r="L248" s="308"/>
      <c r="M248" s="628"/>
      <c r="O248" s="309"/>
      <c r="P248" s="309"/>
      <c r="Q248" s="630"/>
      <c r="R248" s="630"/>
      <c r="S248" s="334"/>
      <c r="T248" s="334"/>
      <c r="U248" s="629"/>
      <c r="V248" s="329"/>
      <c r="W248" s="329"/>
      <c r="X248" s="329"/>
      <c r="Y248" s="329"/>
    </row>
    <row r="249" spans="1:51" ht="16.5">
      <c r="M249" s="628"/>
      <c r="N249" s="628"/>
    </row>
    <row r="250" spans="1:51" ht="16.5">
      <c r="M250" s="628"/>
      <c r="N250" s="628"/>
    </row>
    <row r="251" spans="1:51" ht="16.5">
      <c r="M251" s="628"/>
    </row>
    <row r="252" spans="1:51" ht="16.5">
      <c r="M252" s="628"/>
    </row>
    <row r="253" spans="1:51" ht="16.5">
      <c r="M253" s="628"/>
    </row>
  </sheetData>
  <sheetProtection selectLockedCells="1" selectUnlockedCells="1"/>
  <autoFilter ref="A6:AB241" xr:uid="{00000000-0009-0000-0000-000002000000}"/>
  <mergeCells count="15">
    <mergeCell ref="M2:AB2"/>
    <mergeCell ref="M3:AB3"/>
    <mergeCell ref="B5:B6"/>
    <mergeCell ref="C5:I5"/>
    <mergeCell ref="J5:J6"/>
    <mergeCell ref="K5:K6"/>
    <mergeCell ref="L5:L6"/>
    <mergeCell ref="M5:M6"/>
    <mergeCell ref="N5:O5"/>
    <mergeCell ref="P5:Q5"/>
    <mergeCell ref="R5:R6"/>
    <mergeCell ref="S5:S6"/>
    <mergeCell ref="T5:V5"/>
    <mergeCell ref="W5:Y5"/>
    <mergeCell ref="Z5:AB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25157-33EA-4D25-B505-21436371FE59}">
  <sheetPr>
    <tabColor rgb="FF00B0F0"/>
    <pageSetUpPr fitToPage="1"/>
  </sheetPr>
  <dimension ref="A1:AS24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0.85546875" style="9" hidden="1" customWidth="1" outlineLevel="1"/>
    <col min="9" max="9" width="5.28515625" style="9" customWidth="1" outlineLevel="1"/>
    <col min="10" max="10" width="5.140625" style="9" customWidth="1"/>
    <col min="11" max="11" width="7.42578125" style="111" customWidth="1"/>
    <col min="12" max="12" width="49.5703125" style="9" customWidth="1"/>
    <col min="13" max="13" width="23.7109375" style="13" customWidth="1"/>
    <col min="14" max="14" width="22" style="13" customWidth="1"/>
    <col min="15" max="15" width="12.85546875" style="13" customWidth="1"/>
    <col min="16" max="16" width="23.7109375" style="13" bestFit="1" customWidth="1"/>
    <col min="17" max="17" width="12.5703125" style="13" customWidth="1"/>
    <col min="18" max="18" width="20.7109375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7"/>
      <c r="R1" s="5">
        <v>16</v>
      </c>
      <c r="S1" s="7"/>
    </row>
    <row r="2" spans="1:19" ht="25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307" t="s">
        <v>0</v>
      </c>
      <c r="O2" s="307"/>
      <c r="P2" s="307"/>
      <c r="Q2" s="307"/>
      <c r="R2" s="307"/>
      <c r="S2" s="307"/>
    </row>
    <row r="3" spans="1:19" ht="22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306" t="s">
        <v>819</v>
      </c>
      <c r="O3" s="306"/>
      <c r="P3" s="306"/>
      <c r="Q3" s="306"/>
      <c r="R3" s="306"/>
      <c r="S3" s="306"/>
    </row>
    <row r="4" spans="1:19" ht="9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1"/>
      <c r="R4" s="20"/>
      <c r="S4" s="21"/>
    </row>
    <row r="5" spans="1:19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29" t="s">
        <v>6</v>
      </c>
      <c r="N5" s="831" t="s">
        <v>7</v>
      </c>
      <c r="O5" s="832"/>
      <c r="P5" s="833" t="s">
        <v>8</v>
      </c>
      <c r="Q5" s="834"/>
      <c r="R5" s="831" t="s">
        <v>9</v>
      </c>
      <c r="S5" s="832"/>
    </row>
    <row r="6" spans="1:19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0" t="s">
        <v>6</v>
      </c>
      <c r="N6" s="23" t="s">
        <v>18</v>
      </c>
      <c r="O6" s="28" t="s">
        <v>19</v>
      </c>
      <c r="P6" s="23" t="s">
        <v>18</v>
      </c>
      <c r="Q6" s="29" t="s">
        <v>813</v>
      </c>
      <c r="R6" s="27" t="s">
        <v>18</v>
      </c>
      <c r="S6" s="29" t="s">
        <v>20</v>
      </c>
    </row>
    <row r="7" spans="1:19" ht="35.1" customHeight="1">
      <c r="A7" s="32" t="e">
        <v>#REF!</v>
      </c>
      <c r="B7" s="33" t="s">
        <v>23</v>
      </c>
      <c r="C7" s="34" t="s">
        <v>23</v>
      </c>
      <c r="D7" s="35"/>
      <c r="E7" s="35"/>
      <c r="F7" s="35"/>
      <c r="G7" s="35"/>
      <c r="H7" s="35"/>
      <c r="I7" s="35"/>
      <c r="J7" s="35"/>
      <c r="K7" s="35"/>
      <c r="L7" s="33" t="s">
        <v>24</v>
      </c>
      <c r="M7" s="36">
        <v>180813900000</v>
      </c>
      <c r="N7" s="36">
        <v>113496354411.15999</v>
      </c>
      <c r="O7" s="37">
        <f>+N7/$M7</f>
        <v>0.62769706538689773</v>
      </c>
      <c r="P7" s="36">
        <v>103308859595.08</v>
      </c>
      <c r="Q7" s="37">
        <f>+P7/$M7</f>
        <v>0.57135463365969097</v>
      </c>
      <c r="R7" s="36">
        <v>102795128859.08</v>
      </c>
      <c r="S7" s="37">
        <f>+R7/$M7</f>
        <v>0.56851342103167957</v>
      </c>
    </row>
    <row r="8" spans="1:19" ht="24" customHeight="1">
      <c r="A8" s="32" t="e">
        <v>#REF!</v>
      </c>
      <c r="B8" s="38" t="s">
        <v>303</v>
      </c>
      <c r="C8" s="39" t="s">
        <v>23</v>
      </c>
      <c r="D8" s="39" t="s">
        <v>25</v>
      </c>
      <c r="E8" s="39"/>
      <c r="F8" s="39"/>
      <c r="G8" s="39"/>
      <c r="H8" s="39"/>
      <c r="I8" s="39"/>
      <c r="J8" s="40"/>
      <c r="K8" s="40"/>
      <c r="L8" s="38" t="s">
        <v>26</v>
      </c>
      <c r="M8" s="41">
        <v>118340000000</v>
      </c>
      <c r="N8" s="41">
        <v>76758750535</v>
      </c>
      <c r="O8" s="42">
        <f t="shared" ref="O8:Q71" si="0">+N8/$M8</f>
        <v>0.64862895500253503</v>
      </c>
      <c r="P8" s="41">
        <v>76106380036</v>
      </c>
      <c r="Q8" s="42">
        <f t="shared" si="0"/>
        <v>0.64311627544363703</v>
      </c>
      <c r="R8" s="41">
        <v>75647802764</v>
      </c>
      <c r="S8" s="42">
        <f t="shared" ref="S8" si="1">+R8/$M8</f>
        <v>0.6392411928680074</v>
      </c>
    </row>
    <row r="9" spans="1:19" ht="24" customHeight="1">
      <c r="A9" s="32" t="e">
        <v>#REF!</v>
      </c>
      <c r="B9" s="43" t="s">
        <v>305</v>
      </c>
      <c r="C9" s="44" t="s">
        <v>23</v>
      </c>
      <c r="D9" s="44" t="s">
        <v>25</v>
      </c>
      <c r="E9" s="44" t="s">
        <v>25</v>
      </c>
      <c r="F9" s="44"/>
      <c r="G9" s="44"/>
      <c r="H9" s="44"/>
      <c r="I9" s="44"/>
      <c r="J9" s="45"/>
      <c r="K9" s="45"/>
      <c r="L9" s="43" t="s">
        <v>27</v>
      </c>
      <c r="M9" s="46">
        <v>118340000000</v>
      </c>
      <c r="N9" s="46">
        <v>76758750535</v>
      </c>
      <c r="O9" s="47">
        <f t="shared" si="0"/>
        <v>0.64862895500253503</v>
      </c>
      <c r="P9" s="46">
        <v>76106380036</v>
      </c>
      <c r="Q9" s="47">
        <f t="shared" si="0"/>
        <v>0.64311627544363703</v>
      </c>
      <c r="R9" s="46">
        <v>75647802764</v>
      </c>
      <c r="S9" s="47">
        <f t="shared" ref="S9" si="2">+R9/$M9</f>
        <v>0.6392411928680074</v>
      </c>
    </row>
    <row r="10" spans="1:19" ht="24" customHeight="1">
      <c r="A10" s="32" t="e">
        <v>#REF!</v>
      </c>
      <c r="B10" s="48" t="s">
        <v>307</v>
      </c>
      <c r="C10" s="48" t="s">
        <v>23</v>
      </c>
      <c r="D10" s="48" t="s">
        <v>25</v>
      </c>
      <c r="E10" s="48" t="s">
        <v>25</v>
      </c>
      <c r="F10" s="48" t="s">
        <v>25</v>
      </c>
      <c r="G10" s="48"/>
      <c r="H10" s="48"/>
      <c r="I10" s="48"/>
      <c r="J10" s="48" t="s">
        <v>28</v>
      </c>
      <c r="K10" s="48" t="s">
        <v>29</v>
      </c>
      <c r="L10" s="48" t="s">
        <v>30</v>
      </c>
      <c r="M10" s="50">
        <v>81484000000</v>
      </c>
      <c r="N10" s="50">
        <v>50106995072</v>
      </c>
      <c r="O10" s="51">
        <f t="shared" si="0"/>
        <v>0.61493047803249723</v>
      </c>
      <c r="P10" s="50">
        <v>50061662656</v>
      </c>
      <c r="Q10" s="51">
        <f t="shared" si="0"/>
        <v>0.61437414285013003</v>
      </c>
      <c r="R10" s="50">
        <v>50061662656</v>
      </c>
      <c r="S10" s="51">
        <f t="shared" ref="S10" si="3">+R10/$M10</f>
        <v>0.61437414285013003</v>
      </c>
    </row>
    <row r="11" spans="1:19" ht="24" customHeight="1">
      <c r="A11" s="32" t="e">
        <v>#REF!</v>
      </c>
      <c r="B11" s="52" t="s">
        <v>309</v>
      </c>
      <c r="C11" s="52" t="s">
        <v>23</v>
      </c>
      <c r="D11" s="52" t="s">
        <v>25</v>
      </c>
      <c r="E11" s="52" t="s">
        <v>25</v>
      </c>
      <c r="F11" s="52" t="s">
        <v>25</v>
      </c>
      <c r="G11" s="52" t="s">
        <v>31</v>
      </c>
      <c r="H11" s="52"/>
      <c r="I11" s="52"/>
      <c r="J11" s="52" t="s">
        <v>28</v>
      </c>
      <c r="K11" s="52" t="s">
        <v>29</v>
      </c>
      <c r="L11" s="52" t="s">
        <v>32</v>
      </c>
      <c r="M11" s="54">
        <v>81484000000</v>
      </c>
      <c r="N11" s="54">
        <v>50106995072</v>
      </c>
      <c r="O11" s="55">
        <f t="shared" si="0"/>
        <v>0.61493047803249723</v>
      </c>
      <c r="P11" s="54">
        <v>50061662656</v>
      </c>
      <c r="Q11" s="55">
        <f t="shared" si="0"/>
        <v>0.61437414285013003</v>
      </c>
      <c r="R11" s="54">
        <v>50061662656</v>
      </c>
      <c r="S11" s="55">
        <f t="shared" ref="S11" si="4">+R11/$M11</f>
        <v>0.61437414285013003</v>
      </c>
    </row>
    <row r="12" spans="1:19" ht="24.95" customHeight="1">
      <c r="A12" s="32" t="e">
        <v>#REF!</v>
      </c>
      <c r="B12" s="56" t="s">
        <v>311</v>
      </c>
      <c r="C12" s="57" t="s">
        <v>23</v>
      </c>
      <c r="D12" s="57" t="s">
        <v>25</v>
      </c>
      <c r="E12" s="57" t="s">
        <v>25</v>
      </c>
      <c r="F12" s="57" t="s">
        <v>25</v>
      </c>
      <c r="G12" s="57" t="s">
        <v>31</v>
      </c>
      <c r="H12" s="57" t="s">
        <v>31</v>
      </c>
      <c r="I12" s="57"/>
      <c r="J12" s="57" t="s">
        <v>28</v>
      </c>
      <c r="K12" s="58" t="s">
        <v>29</v>
      </c>
      <c r="L12" s="59" t="s">
        <v>33</v>
      </c>
      <c r="M12" s="60">
        <v>65335000000</v>
      </c>
      <c r="N12" s="60">
        <v>42964371689</v>
      </c>
      <c r="O12" s="62">
        <f t="shared" si="0"/>
        <v>0.65760115847554912</v>
      </c>
      <c r="P12" s="60">
        <v>42937935570</v>
      </c>
      <c r="Q12" s="62">
        <f t="shared" si="0"/>
        <v>0.65719653432310399</v>
      </c>
      <c r="R12" s="60">
        <v>42937935570</v>
      </c>
      <c r="S12" s="62">
        <f t="shared" ref="S12" si="5">+R12/$M12</f>
        <v>0.65719653432310399</v>
      </c>
    </row>
    <row r="13" spans="1:19" ht="24.95" customHeight="1">
      <c r="A13" s="32" t="e">
        <v>#REF!</v>
      </c>
      <c r="B13" s="56" t="s">
        <v>313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34</v>
      </c>
      <c r="I13" s="57"/>
      <c r="J13" s="57" t="s">
        <v>28</v>
      </c>
      <c r="K13" s="58" t="s">
        <v>29</v>
      </c>
      <c r="L13" s="59" t="s">
        <v>35</v>
      </c>
      <c r="M13" s="60">
        <v>298000000</v>
      </c>
      <c r="N13" s="60">
        <v>184177405</v>
      </c>
      <c r="O13" s="62">
        <f t="shared" si="0"/>
        <v>0.6180449832214765</v>
      </c>
      <c r="P13" s="60">
        <v>182520308</v>
      </c>
      <c r="Q13" s="62">
        <f t="shared" si="0"/>
        <v>0.61248425503355708</v>
      </c>
      <c r="R13" s="60">
        <v>182520308</v>
      </c>
      <c r="S13" s="62">
        <f t="shared" ref="S13" si="6">+R13/$M13</f>
        <v>0.61248425503355708</v>
      </c>
    </row>
    <row r="14" spans="1:19" ht="24.95" customHeight="1">
      <c r="A14" s="32" t="e">
        <v>#REF!</v>
      </c>
      <c r="B14" s="56" t="s">
        <v>315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36</v>
      </c>
      <c r="I14" s="57"/>
      <c r="J14" s="57" t="s">
        <v>28</v>
      </c>
      <c r="K14" s="58" t="s">
        <v>29</v>
      </c>
      <c r="L14" s="59" t="s">
        <v>37</v>
      </c>
      <c r="M14" s="60">
        <v>540000000</v>
      </c>
      <c r="N14" s="60">
        <v>275741505</v>
      </c>
      <c r="O14" s="62">
        <f t="shared" si="0"/>
        <v>0.5106324166666667</v>
      </c>
      <c r="P14" s="60">
        <v>273714696</v>
      </c>
      <c r="Q14" s="62">
        <f t="shared" si="0"/>
        <v>0.50687906666666671</v>
      </c>
      <c r="R14" s="60">
        <v>273714696</v>
      </c>
      <c r="S14" s="62">
        <f t="shared" ref="S14" si="7">+R14/$M14</f>
        <v>0.50687906666666671</v>
      </c>
    </row>
    <row r="15" spans="1:19" ht="24.95" customHeight="1">
      <c r="A15" s="32" t="e">
        <v>#REF!</v>
      </c>
      <c r="B15" s="56" t="s">
        <v>317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38</v>
      </c>
      <c r="I15" s="57"/>
      <c r="J15" s="57" t="s">
        <v>28</v>
      </c>
      <c r="K15" s="58" t="s">
        <v>29</v>
      </c>
      <c r="L15" s="59" t="s">
        <v>39</v>
      </c>
      <c r="M15" s="60">
        <v>96000000</v>
      </c>
      <c r="N15" s="60">
        <v>66749703</v>
      </c>
      <c r="O15" s="62">
        <f t="shared" si="0"/>
        <v>0.69530940625000004</v>
      </c>
      <c r="P15" s="60">
        <v>66749703</v>
      </c>
      <c r="Q15" s="62">
        <f t="shared" si="0"/>
        <v>0.69530940625000004</v>
      </c>
      <c r="R15" s="60">
        <v>66749703</v>
      </c>
      <c r="S15" s="62">
        <f t="shared" ref="S15" si="8">+R15/$M15</f>
        <v>0.69530940625000004</v>
      </c>
    </row>
    <row r="16" spans="1:19" ht="24.95" customHeight="1">
      <c r="A16" s="32" t="e">
        <v>#REF!</v>
      </c>
      <c r="B16" s="56" t="s">
        <v>319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40</v>
      </c>
      <c r="I16" s="57"/>
      <c r="J16" s="57" t="s">
        <v>28</v>
      </c>
      <c r="K16" s="58" t="s">
        <v>29</v>
      </c>
      <c r="L16" s="59" t="s">
        <v>41</v>
      </c>
      <c r="M16" s="60">
        <v>150000000</v>
      </c>
      <c r="N16" s="60">
        <v>99096275</v>
      </c>
      <c r="O16" s="62">
        <f t="shared" si="0"/>
        <v>0.66064183333333337</v>
      </c>
      <c r="P16" s="60">
        <v>91390262</v>
      </c>
      <c r="Q16" s="62">
        <f t="shared" si="0"/>
        <v>0.60926841333333337</v>
      </c>
      <c r="R16" s="60">
        <v>91390262</v>
      </c>
      <c r="S16" s="62">
        <f t="shared" ref="S16" si="9">+R16/$M16</f>
        <v>0.60926841333333337</v>
      </c>
    </row>
    <row r="17" spans="1:45" ht="24.95" customHeight="1">
      <c r="A17" s="32" t="e">
        <v>#REF!</v>
      </c>
      <c r="B17" s="56" t="s">
        <v>321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42</v>
      </c>
      <c r="I17" s="57"/>
      <c r="J17" s="57" t="s">
        <v>28</v>
      </c>
      <c r="K17" s="58" t="s">
        <v>29</v>
      </c>
      <c r="L17" s="59" t="s">
        <v>43</v>
      </c>
      <c r="M17" s="60">
        <v>3050000000</v>
      </c>
      <c r="N17" s="60">
        <v>2737916889</v>
      </c>
      <c r="O17" s="62">
        <f t="shared" si="0"/>
        <v>0.89767766852459019</v>
      </c>
      <c r="P17" s="60">
        <v>2734492004</v>
      </c>
      <c r="Q17" s="62">
        <f t="shared" si="0"/>
        <v>0.89655475540983609</v>
      </c>
      <c r="R17" s="60">
        <v>2734492004</v>
      </c>
      <c r="S17" s="62">
        <f t="shared" ref="S17" si="10">+R17/$M17</f>
        <v>0.89655475540983609</v>
      </c>
    </row>
    <row r="18" spans="1:45" ht="24.95" customHeight="1">
      <c r="A18" s="32" t="e">
        <v>#REF!</v>
      </c>
      <c r="B18" s="56" t="s">
        <v>323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44</v>
      </c>
      <c r="I18" s="57"/>
      <c r="J18" s="57" t="s">
        <v>28</v>
      </c>
      <c r="K18" s="58" t="s">
        <v>29</v>
      </c>
      <c r="L18" s="59" t="s">
        <v>45</v>
      </c>
      <c r="M18" s="60">
        <v>1930000000</v>
      </c>
      <c r="N18" s="60">
        <v>1443012654</v>
      </c>
      <c r="O18" s="62">
        <f t="shared" si="0"/>
        <v>0.74767495025906738</v>
      </c>
      <c r="P18" s="60">
        <v>1443012654</v>
      </c>
      <c r="Q18" s="62">
        <f t="shared" si="0"/>
        <v>0.74767495025906738</v>
      </c>
      <c r="R18" s="60">
        <v>1443012654</v>
      </c>
      <c r="S18" s="62">
        <f t="shared" ref="S18" si="11">+R18/$M18</f>
        <v>0.74767495025906738</v>
      </c>
    </row>
    <row r="19" spans="1:45" ht="24.95" customHeight="1">
      <c r="A19" s="32" t="e">
        <v>#REF!</v>
      </c>
      <c r="B19" s="56" t="s">
        <v>325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46</v>
      </c>
      <c r="I19" s="57"/>
      <c r="J19" s="57" t="s">
        <v>28</v>
      </c>
      <c r="K19" s="58" t="s">
        <v>29</v>
      </c>
      <c r="L19" s="59" t="s">
        <v>47</v>
      </c>
      <c r="M19" s="60">
        <v>150000000</v>
      </c>
      <c r="N19" s="60">
        <v>95582194</v>
      </c>
      <c r="O19" s="62">
        <f t="shared" si="0"/>
        <v>0.63721462666666662</v>
      </c>
      <c r="P19" s="60">
        <v>95582194</v>
      </c>
      <c r="Q19" s="62">
        <f t="shared" si="0"/>
        <v>0.63721462666666662</v>
      </c>
      <c r="R19" s="60">
        <v>95582194</v>
      </c>
      <c r="S19" s="62">
        <f t="shared" ref="S19" si="12">+R19/$M19</f>
        <v>0.63721462666666662</v>
      </c>
    </row>
    <row r="20" spans="1:45" ht="24.95" customHeight="1">
      <c r="A20" s="32" t="e">
        <v>#REF!</v>
      </c>
      <c r="B20" s="56" t="s">
        <v>327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48</v>
      </c>
      <c r="I20" s="57"/>
      <c r="J20" s="57" t="s">
        <v>28</v>
      </c>
      <c r="K20" s="58" t="s">
        <v>29</v>
      </c>
      <c r="L20" s="59" t="s">
        <v>49</v>
      </c>
      <c r="M20" s="60">
        <v>6600000000</v>
      </c>
      <c r="N20" s="60">
        <v>164679608</v>
      </c>
      <c r="O20" s="62">
        <f t="shared" si="0"/>
        <v>2.4951455757575756E-2</v>
      </c>
      <c r="P20" s="60">
        <v>164679608</v>
      </c>
      <c r="Q20" s="62">
        <f t="shared" si="0"/>
        <v>2.4951455757575756E-2</v>
      </c>
      <c r="R20" s="60">
        <v>164679608</v>
      </c>
      <c r="S20" s="62">
        <f t="shared" ref="S20" si="13">+R20/$M20</f>
        <v>2.4951455757575756E-2</v>
      </c>
    </row>
    <row r="21" spans="1:45" ht="24.95" customHeight="1">
      <c r="A21" s="32" t="e">
        <v>#REF!</v>
      </c>
      <c r="B21" s="56" t="s">
        <v>329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50</v>
      </c>
      <c r="I21" s="57"/>
      <c r="J21" s="57" t="s">
        <v>28</v>
      </c>
      <c r="K21" s="58" t="s">
        <v>29</v>
      </c>
      <c r="L21" s="59" t="s">
        <v>51</v>
      </c>
      <c r="M21" s="60">
        <v>3300000000</v>
      </c>
      <c r="N21" s="60">
        <v>2064582678</v>
      </c>
      <c r="O21" s="62">
        <f t="shared" si="0"/>
        <v>0.6256311145454545</v>
      </c>
      <c r="P21" s="60">
        <v>2064582678</v>
      </c>
      <c r="Q21" s="62">
        <f t="shared" si="0"/>
        <v>0.6256311145454545</v>
      </c>
      <c r="R21" s="60">
        <v>2064582678</v>
      </c>
      <c r="S21" s="62">
        <f t="shared" ref="S21" si="14">+R21/$M21</f>
        <v>0.6256311145454545</v>
      </c>
    </row>
    <row r="22" spans="1:45" s="64" customFormat="1" ht="24.95" customHeight="1">
      <c r="A22" s="32" t="e">
        <v>#REF!</v>
      </c>
      <c r="B22" s="56" t="s">
        <v>553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63" t="s">
        <v>52</v>
      </c>
      <c r="I22" s="57"/>
      <c r="J22" s="57" t="s">
        <v>28</v>
      </c>
      <c r="K22" s="58" t="s">
        <v>29</v>
      </c>
      <c r="L22" s="59" t="s">
        <v>53</v>
      </c>
      <c r="M22" s="60">
        <v>35000000</v>
      </c>
      <c r="N22" s="60">
        <v>11084472</v>
      </c>
      <c r="O22" s="62">
        <f t="shared" si="0"/>
        <v>0.31669920000000001</v>
      </c>
      <c r="P22" s="60">
        <v>7002979</v>
      </c>
      <c r="Q22" s="62">
        <f t="shared" si="0"/>
        <v>0.20008511428571429</v>
      </c>
      <c r="R22" s="60">
        <v>7002979</v>
      </c>
      <c r="S22" s="62">
        <f t="shared" ref="S22" si="15">+R22/$M22</f>
        <v>0.20008511428571429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ht="24" customHeight="1">
      <c r="A23" s="32" t="e">
        <v>#REF!</v>
      </c>
      <c r="B23" s="48" t="s">
        <v>331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8" t="s">
        <v>28</v>
      </c>
      <c r="K23" s="48" t="s">
        <v>29</v>
      </c>
      <c r="L23" s="48" t="s">
        <v>55</v>
      </c>
      <c r="M23" s="50">
        <v>29242000000</v>
      </c>
      <c r="N23" s="50">
        <v>20121148300</v>
      </c>
      <c r="O23" s="51">
        <f t="shared" si="0"/>
        <v>0.68809070173038778</v>
      </c>
      <c r="P23" s="50">
        <v>19525408296</v>
      </c>
      <c r="Q23" s="51">
        <f t="shared" si="0"/>
        <v>0.66771795007181456</v>
      </c>
      <c r="R23" s="50">
        <v>19066831024</v>
      </c>
      <c r="S23" s="51">
        <f t="shared" ref="S23" si="16">+R23/$M23</f>
        <v>0.65203580548526097</v>
      </c>
    </row>
    <row r="24" spans="1:45" ht="24.95" customHeight="1">
      <c r="A24" s="32" t="e">
        <v>#REF!</v>
      </c>
      <c r="B24" s="56" t="s">
        <v>333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8897400000</v>
      </c>
      <c r="N24" s="60">
        <v>5788694500</v>
      </c>
      <c r="O24" s="62">
        <f t="shared" si="0"/>
        <v>0.6506051767932205</v>
      </c>
      <c r="P24" s="60">
        <v>5788694500</v>
      </c>
      <c r="Q24" s="62">
        <f t="shared" si="0"/>
        <v>0.6506051767932205</v>
      </c>
      <c r="R24" s="60">
        <v>5788694500</v>
      </c>
      <c r="S24" s="62">
        <f t="shared" ref="S24" si="17">+R24/$M24</f>
        <v>0.6506051767932205</v>
      </c>
    </row>
    <row r="25" spans="1:45" ht="24.95" customHeight="1">
      <c r="A25" s="32" t="e">
        <v>#REF!</v>
      </c>
      <c r="B25" s="56" t="s">
        <v>335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6302400000</v>
      </c>
      <c r="N25" s="60">
        <v>4119934200</v>
      </c>
      <c r="O25" s="62">
        <f t="shared" si="0"/>
        <v>0.65370877760853008</v>
      </c>
      <c r="P25" s="60">
        <v>4119934200</v>
      </c>
      <c r="Q25" s="62">
        <f t="shared" si="0"/>
        <v>0.65370877760853008</v>
      </c>
      <c r="R25" s="60">
        <v>4119934200</v>
      </c>
      <c r="S25" s="62">
        <f t="shared" ref="S25" si="18">+R25/$M25</f>
        <v>0.65370877760853008</v>
      </c>
    </row>
    <row r="26" spans="1:45" ht="24.95" customHeight="1">
      <c r="A26" s="32" t="e">
        <v>#REF!</v>
      </c>
      <c r="B26" s="56" t="s">
        <v>337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6109700000</v>
      </c>
      <c r="N26" s="60">
        <v>5000000000</v>
      </c>
      <c r="O26" s="62">
        <f t="shared" si="0"/>
        <v>0.8183707874363717</v>
      </c>
      <c r="P26" s="60">
        <v>4404259996</v>
      </c>
      <c r="Q26" s="62">
        <f t="shared" si="0"/>
        <v>0.72086354420020626</v>
      </c>
      <c r="R26" s="60">
        <v>3945682724</v>
      </c>
      <c r="S26" s="62">
        <f t="shared" ref="S26" si="19">+R26/$M26</f>
        <v>0.64580629556279356</v>
      </c>
    </row>
    <row r="27" spans="1:45" ht="24.95" customHeight="1">
      <c r="A27" s="32" t="e">
        <v>#REF!</v>
      </c>
      <c r="B27" s="56" t="s">
        <v>339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3187700000</v>
      </c>
      <c r="N27" s="60">
        <v>2114698300</v>
      </c>
      <c r="O27" s="62">
        <f t="shared" si="0"/>
        <v>0.6633931361169495</v>
      </c>
      <c r="P27" s="60">
        <v>2114698300</v>
      </c>
      <c r="Q27" s="62">
        <f t="shared" si="0"/>
        <v>0.6633931361169495</v>
      </c>
      <c r="R27" s="60">
        <v>2114698300</v>
      </c>
      <c r="S27" s="62">
        <f t="shared" ref="S27" si="20">+R27/$M27</f>
        <v>0.6633931361169495</v>
      </c>
    </row>
    <row r="28" spans="1:45" ht="24.95" customHeight="1">
      <c r="A28" s="32" t="e">
        <v>#REF!</v>
      </c>
      <c r="B28" s="56" t="s">
        <v>341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720000000</v>
      </c>
      <c r="N28" s="60">
        <v>453265400</v>
      </c>
      <c r="O28" s="62">
        <f t="shared" si="0"/>
        <v>0.62953527777777774</v>
      </c>
      <c r="P28" s="60">
        <v>453265400</v>
      </c>
      <c r="Q28" s="62">
        <f t="shared" si="0"/>
        <v>0.62953527777777774</v>
      </c>
      <c r="R28" s="60">
        <v>453265400</v>
      </c>
      <c r="S28" s="62">
        <f t="shared" ref="S28" si="21">+R28/$M28</f>
        <v>0.62953527777777774</v>
      </c>
    </row>
    <row r="29" spans="1:45" ht="24.95" customHeight="1">
      <c r="A29" s="32" t="e">
        <v>#REF!</v>
      </c>
      <c r="B29" s="56" t="s">
        <v>343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2414800000</v>
      </c>
      <c r="N29" s="60">
        <v>1586094700</v>
      </c>
      <c r="O29" s="62">
        <f t="shared" si="0"/>
        <v>0.65682238694715922</v>
      </c>
      <c r="P29" s="60">
        <v>1586094700</v>
      </c>
      <c r="Q29" s="62">
        <f t="shared" si="0"/>
        <v>0.65682238694715922</v>
      </c>
      <c r="R29" s="60">
        <v>1586094700</v>
      </c>
      <c r="S29" s="62">
        <f t="shared" ref="S29" si="22">+R29/$M29</f>
        <v>0.65682238694715922</v>
      </c>
    </row>
    <row r="30" spans="1:45" ht="24.95" customHeight="1">
      <c r="A30" s="32" t="e">
        <v>#REF!</v>
      </c>
      <c r="B30" s="56" t="s">
        <v>345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402500000</v>
      </c>
      <c r="N30" s="60">
        <v>264713300</v>
      </c>
      <c r="O30" s="62">
        <f t="shared" si="0"/>
        <v>0.65767279503105591</v>
      </c>
      <c r="P30" s="60">
        <v>264713300</v>
      </c>
      <c r="Q30" s="62">
        <f t="shared" si="0"/>
        <v>0.65767279503105591</v>
      </c>
      <c r="R30" s="60">
        <v>264713300</v>
      </c>
      <c r="S30" s="62">
        <f t="shared" ref="S30" si="23">+R30/$M30</f>
        <v>0.65767279503105591</v>
      </c>
    </row>
    <row r="31" spans="1:45" ht="24.95" customHeight="1">
      <c r="A31" s="32" t="e">
        <v>#REF!</v>
      </c>
      <c r="B31" s="56" t="s">
        <v>347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402500000</v>
      </c>
      <c r="N31" s="60">
        <v>264713300</v>
      </c>
      <c r="O31" s="62">
        <f t="shared" si="0"/>
        <v>0.65767279503105591</v>
      </c>
      <c r="P31" s="60">
        <v>264713300</v>
      </c>
      <c r="Q31" s="62">
        <f t="shared" si="0"/>
        <v>0.65767279503105591</v>
      </c>
      <c r="R31" s="60">
        <v>264713300</v>
      </c>
      <c r="S31" s="62">
        <f t="shared" ref="S31" si="24">+R31/$M31</f>
        <v>0.65767279503105591</v>
      </c>
    </row>
    <row r="32" spans="1:45" ht="24.95" customHeight="1">
      <c r="A32" s="32" t="e">
        <v>#REF!</v>
      </c>
      <c r="B32" s="56" t="s">
        <v>349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805000000</v>
      </c>
      <c r="N32" s="60">
        <v>529034600</v>
      </c>
      <c r="O32" s="62">
        <f t="shared" si="0"/>
        <v>0.65718583850931678</v>
      </c>
      <c r="P32" s="60">
        <v>529034600</v>
      </c>
      <c r="Q32" s="62">
        <f t="shared" si="0"/>
        <v>0.65718583850931678</v>
      </c>
      <c r="R32" s="60">
        <v>529034600</v>
      </c>
      <c r="S32" s="62">
        <f t="shared" ref="S32" si="25">+R32/$M32</f>
        <v>0.65718583850931678</v>
      </c>
    </row>
    <row r="33" spans="1:19" ht="24" customHeight="1">
      <c r="A33" s="32" t="e">
        <v>#REF!</v>
      </c>
      <c r="B33" s="48" t="s">
        <v>351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8" t="s">
        <v>28</v>
      </c>
      <c r="K33" s="48" t="s">
        <v>29</v>
      </c>
      <c r="L33" s="48" t="s">
        <v>66</v>
      </c>
      <c r="M33" s="50">
        <v>7614000000</v>
      </c>
      <c r="N33" s="50">
        <v>6530607163</v>
      </c>
      <c r="O33" s="51">
        <f t="shared" si="0"/>
        <v>0.85771042329918568</v>
      </c>
      <c r="P33" s="50">
        <v>6519309084</v>
      </c>
      <c r="Q33" s="51">
        <f t="shared" si="0"/>
        <v>0.85622656737588654</v>
      </c>
      <c r="R33" s="50">
        <v>6519309084</v>
      </c>
      <c r="S33" s="51">
        <f t="shared" ref="S33" si="26">+R33/$M33</f>
        <v>0.85622656737588654</v>
      </c>
    </row>
    <row r="34" spans="1:19" ht="24" customHeight="1">
      <c r="A34" s="32" t="e">
        <v>#REF!</v>
      </c>
      <c r="B34" s="52" t="s">
        <v>353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2" t="s">
        <v>28</v>
      </c>
      <c r="K34" s="52" t="s">
        <v>29</v>
      </c>
      <c r="L34" s="52" t="s">
        <v>67</v>
      </c>
      <c r="M34" s="54">
        <v>3637000000</v>
      </c>
      <c r="N34" s="54">
        <v>3342262725</v>
      </c>
      <c r="O34" s="55">
        <f t="shared" si="0"/>
        <v>0.9189614311245532</v>
      </c>
      <c r="P34" s="54">
        <v>3342262725</v>
      </c>
      <c r="Q34" s="55">
        <f t="shared" si="0"/>
        <v>0.9189614311245532</v>
      </c>
      <c r="R34" s="54">
        <v>3342262725</v>
      </c>
      <c r="S34" s="55">
        <f t="shared" ref="S34" si="27">+R34/$M34</f>
        <v>0.9189614311245532</v>
      </c>
    </row>
    <row r="35" spans="1:19" ht="24.95" customHeight="1">
      <c r="A35" s="32" t="e">
        <v>#REF!</v>
      </c>
      <c r="B35" s="56" t="s">
        <v>355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2737000000</v>
      </c>
      <c r="N35" s="60">
        <v>2603646696</v>
      </c>
      <c r="O35" s="62">
        <f t="shared" si="0"/>
        <v>0.95127756521739126</v>
      </c>
      <c r="P35" s="60">
        <v>2603646696</v>
      </c>
      <c r="Q35" s="62">
        <f t="shared" si="0"/>
        <v>0.95127756521739126</v>
      </c>
      <c r="R35" s="60">
        <v>2603646696</v>
      </c>
      <c r="S35" s="62">
        <f t="shared" ref="S35" si="28">+R35/$M35</f>
        <v>0.95127756521739126</v>
      </c>
    </row>
    <row r="36" spans="1:19" ht="24.95" customHeight="1">
      <c r="A36" s="32" t="e">
        <v>#REF!</v>
      </c>
      <c r="B36" s="56" t="s">
        <v>357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550000000</v>
      </c>
      <c r="N36" s="60">
        <v>487476100</v>
      </c>
      <c r="O36" s="62">
        <f t="shared" si="0"/>
        <v>0.88632018181818184</v>
      </c>
      <c r="P36" s="60">
        <v>487476100</v>
      </c>
      <c r="Q36" s="62">
        <f t="shared" si="0"/>
        <v>0.88632018181818184</v>
      </c>
      <c r="R36" s="60">
        <v>487476100</v>
      </c>
      <c r="S36" s="62">
        <f t="shared" ref="S36" si="29">+R36/$M36</f>
        <v>0.88632018181818184</v>
      </c>
    </row>
    <row r="37" spans="1:19" ht="24.95" customHeight="1">
      <c r="A37" s="32" t="e">
        <v>#REF!</v>
      </c>
      <c r="B37" s="56" t="s">
        <v>359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350000000</v>
      </c>
      <c r="N37" s="60">
        <v>251139929</v>
      </c>
      <c r="O37" s="62">
        <f t="shared" si="0"/>
        <v>0.71754265428571429</v>
      </c>
      <c r="P37" s="60">
        <v>251139929</v>
      </c>
      <c r="Q37" s="62">
        <f t="shared" si="0"/>
        <v>0.71754265428571429</v>
      </c>
      <c r="R37" s="60">
        <v>251139929</v>
      </c>
      <c r="S37" s="62">
        <f t="shared" ref="S37" si="30">+R37/$M37</f>
        <v>0.71754265428571429</v>
      </c>
    </row>
    <row r="38" spans="1:19" ht="24.95" customHeight="1">
      <c r="A38" s="32" t="e">
        <v>#REF!</v>
      </c>
      <c r="B38" s="56" t="s">
        <v>361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2500000000</v>
      </c>
      <c r="N38" s="60">
        <v>2198047567</v>
      </c>
      <c r="O38" s="62">
        <f t="shared" si="0"/>
        <v>0.87921902679999997</v>
      </c>
      <c r="P38" s="60">
        <v>2186749488</v>
      </c>
      <c r="Q38" s="62">
        <f t="shared" si="0"/>
        <v>0.87469979519999996</v>
      </c>
      <c r="R38" s="60">
        <v>2186749488</v>
      </c>
      <c r="S38" s="62">
        <f t="shared" ref="S38" si="31">+R38/$M38</f>
        <v>0.87469979519999996</v>
      </c>
    </row>
    <row r="39" spans="1:19" ht="24.95" customHeight="1">
      <c r="A39" s="32" t="e">
        <v>#REF!</v>
      </c>
      <c r="B39" s="56" t="s">
        <v>363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12000000</v>
      </c>
      <c r="N39" s="60">
        <v>3350536</v>
      </c>
      <c r="O39" s="62">
        <f t="shared" si="0"/>
        <v>0.27921133333333331</v>
      </c>
      <c r="P39" s="60">
        <v>3350536</v>
      </c>
      <c r="Q39" s="62">
        <f t="shared" si="0"/>
        <v>0.27921133333333331</v>
      </c>
      <c r="R39" s="60">
        <v>3350536</v>
      </c>
      <c r="S39" s="62">
        <f t="shared" ref="S39" si="32">+R39/$M39</f>
        <v>0.27921133333333331</v>
      </c>
    </row>
    <row r="40" spans="1:19" ht="24.95" customHeight="1">
      <c r="A40" s="32" t="e">
        <v>#REF!</v>
      </c>
      <c r="B40" s="56" t="s">
        <v>364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5000000</v>
      </c>
      <c r="N40" s="60">
        <v>1015058</v>
      </c>
      <c r="O40" s="62">
        <f t="shared" si="0"/>
        <v>0.20301159999999999</v>
      </c>
      <c r="P40" s="60">
        <v>1015058</v>
      </c>
      <c r="Q40" s="62">
        <f t="shared" si="0"/>
        <v>0.20301159999999999</v>
      </c>
      <c r="R40" s="60">
        <v>1015058</v>
      </c>
      <c r="S40" s="62">
        <f t="shared" ref="S40" si="33">+R40/$M40</f>
        <v>0.20301159999999999</v>
      </c>
    </row>
    <row r="41" spans="1:19" ht="24.95" customHeight="1">
      <c r="A41" s="32" t="e">
        <v>#REF!</v>
      </c>
      <c r="B41" s="56" t="s">
        <v>366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30000000</v>
      </c>
      <c r="N41" s="60">
        <v>0</v>
      </c>
      <c r="O41" s="62">
        <f t="shared" si="0"/>
        <v>0</v>
      </c>
      <c r="P41" s="60">
        <v>0</v>
      </c>
      <c r="Q41" s="62">
        <f t="shared" si="0"/>
        <v>0</v>
      </c>
      <c r="R41" s="60">
        <v>0</v>
      </c>
      <c r="S41" s="62">
        <f t="shared" ref="S41" si="34">+R41/$M41</f>
        <v>0</v>
      </c>
    </row>
    <row r="42" spans="1:19" ht="24.95" customHeight="1">
      <c r="A42" s="32" t="e">
        <v>#REF!</v>
      </c>
      <c r="B42" s="56" t="s">
        <v>368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840000000</v>
      </c>
      <c r="N42" s="60">
        <v>694335832</v>
      </c>
      <c r="O42" s="62">
        <f t="shared" si="0"/>
        <v>0.8265902761904762</v>
      </c>
      <c r="P42" s="60">
        <v>694335832</v>
      </c>
      <c r="Q42" s="62">
        <f t="shared" si="0"/>
        <v>0.8265902761904762</v>
      </c>
      <c r="R42" s="60">
        <v>694335832</v>
      </c>
      <c r="S42" s="62">
        <f t="shared" ref="S42" si="35">+R42/$M42</f>
        <v>0.8265902761904762</v>
      </c>
    </row>
    <row r="43" spans="1:19" ht="24.95" customHeight="1">
      <c r="A43" s="32" t="e">
        <v>#REF!</v>
      </c>
      <c r="B43" s="56" t="s">
        <v>370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590000000</v>
      </c>
      <c r="N43" s="60">
        <v>291595445</v>
      </c>
      <c r="O43" s="62">
        <f t="shared" si="0"/>
        <v>0.49422956779661015</v>
      </c>
      <c r="P43" s="60">
        <v>291595445</v>
      </c>
      <c r="Q43" s="62">
        <f t="shared" si="0"/>
        <v>0.49422956779661015</v>
      </c>
      <c r="R43" s="60">
        <v>291595445</v>
      </c>
      <c r="S43" s="62">
        <f t="shared" ref="S43" si="36">+R43/$M43</f>
        <v>0.49422956779661015</v>
      </c>
    </row>
    <row r="44" spans="1:19" ht="24" customHeight="1">
      <c r="A44" s="32" t="e">
        <v>#REF!</v>
      </c>
      <c r="B44" s="38" t="s">
        <v>372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40"/>
      <c r="K44" s="40"/>
      <c r="L44" s="38" t="s">
        <v>80</v>
      </c>
      <c r="M44" s="41">
        <v>42290000000</v>
      </c>
      <c r="N44" s="41">
        <v>33981205396.650002</v>
      </c>
      <c r="O44" s="42">
        <f t="shared" si="0"/>
        <v>0.80352814841924813</v>
      </c>
      <c r="P44" s="41">
        <v>24801426033.57</v>
      </c>
      <c r="Q44" s="42">
        <f t="shared" si="0"/>
        <v>0.58646077166162214</v>
      </c>
      <c r="R44" s="41">
        <v>24746897376.57</v>
      </c>
      <c r="S44" s="42">
        <f t="shared" ref="S44" si="37">+R44/$M44</f>
        <v>0.58517137329321356</v>
      </c>
    </row>
    <row r="45" spans="1:19" ht="24" customHeight="1">
      <c r="A45" s="32" t="e">
        <v>#REF!</v>
      </c>
      <c r="B45" s="43" t="s">
        <v>373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5"/>
      <c r="K45" s="45"/>
      <c r="L45" s="43" t="s">
        <v>81</v>
      </c>
      <c r="M45" s="46">
        <v>100000000</v>
      </c>
      <c r="N45" s="46">
        <v>0</v>
      </c>
      <c r="O45" s="47">
        <f t="shared" si="0"/>
        <v>0</v>
      </c>
      <c r="P45" s="46">
        <v>0</v>
      </c>
      <c r="Q45" s="47">
        <f t="shared" si="0"/>
        <v>0</v>
      </c>
      <c r="R45" s="46">
        <v>0</v>
      </c>
      <c r="S45" s="47">
        <f t="shared" ref="S45" si="38">+R45/$M45</f>
        <v>0</v>
      </c>
    </row>
    <row r="46" spans="1:19" ht="24" customHeight="1">
      <c r="A46" s="32" t="e">
        <v>#REF!</v>
      </c>
      <c r="B46" s="48" t="s">
        <v>374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8" t="s">
        <v>28</v>
      </c>
      <c r="K46" s="48" t="s">
        <v>29</v>
      </c>
      <c r="L46" s="48" t="s">
        <v>82</v>
      </c>
      <c r="M46" s="50">
        <v>100000000</v>
      </c>
      <c r="N46" s="50">
        <v>0</v>
      </c>
      <c r="O46" s="51">
        <f t="shared" si="0"/>
        <v>0</v>
      </c>
      <c r="P46" s="50">
        <v>0</v>
      </c>
      <c r="Q46" s="51">
        <f t="shared" si="0"/>
        <v>0</v>
      </c>
      <c r="R46" s="50">
        <v>0</v>
      </c>
      <c r="S46" s="51">
        <f t="shared" ref="S46" si="39">+R46/$M46</f>
        <v>0</v>
      </c>
    </row>
    <row r="47" spans="1:19" ht="24" customHeight="1">
      <c r="A47" s="32" t="e">
        <v>#REF!</v>
      </c>
      <c r="B47" s="52" t="s">
        <v>375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2" t="s">
        <v>28</v>
      </c>
      <c r="K47" s="52" t="s">
        <v>29</v>
      </c>
      <c r="L47" s="52" t="s">
        <v>83</v>
      </c>
      <c r="M47" s="54">
        <v>100000000</v>
      </c>
      <c r="N47" s="54">
        <v>0</v>
      </c>
      <c r="O47" s="55">
        <f t="shared" si="0"/>
        <v>0</v>
      </c>
      <c r="P47" s="54">
        <v>0</v>
      </c>
      <c r="Q47" s="55">
        <f t="shared" si="0"/>
        <v>0</v>
      </c>
      <c r="R47" s="54">
        <v>0</v>
      </c>
      <c r="S47" s="55">
        <f t="shared" ref="S47" si="40">+R47/$M47</f>
        <v>0</v>
      </c>
    </row>
    <row r="48" spans="1:19" ht="24.95" customHeight="1">
      <c r="A48" s="32" t="e">
        <v>#REF!</v>
      </c>
      <c r="B48" s="56" t="s">
        <v>724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57" t="s">
        <v>42</v>
      </c>
      <c r="I48" s="57"/>
      <c r="J48" s="57">
        <v>10</v>
      </c>
      <c r="K48" s="58" t="s">
        <v>29</v>
      </c>
      <c r="L48" s="59" t="s">
        <v>84</v>
      </c>
      <c r="M48" s="60">
        <v>100000000</v>
      </c>
      <c r="N48" s="60">
        <v>0</v>
      </c>
      <c r="O48" s="62">
        <f t="shared" si="0"/>
        <v>0</v>
      </c>
      <c r="P48" s="60">
        <v>0</v>
      </c>
      <c r="Q48" s="62">
        <f t="shared" si="0"/>
        <v>0</v>
      </c>
      <c r="R48" s="60">
        <v>0</v>
      </c>
      <c r="S48" s="62">
        <f t="shared" ref="S48" si="41">+R48/$M48</f>
        <v>0</v>
      </c>
    </row>
    <row r="49" spans="1:19" ht="24" customHeight="1">
      <c r="A49" s="32" t="e">
        <v>#REF!</v>
      </c>
      <c r="B49" s="43" t="s">
        <v>377</v>
      </c>
      <c r="C49" s="44" t="s">
        <v>23</v>
      </c>
      <c r="D49" s="44" t="s">
        <v>54</v>
      </c>
      <c r="E49" s="44" t="s">
        <v>54</v>
      </c>
      <c r="F49" s="44"/>
      <c r="G49" s="44"/>
      <c r="H49" s="44"/>
      <c r="I49" s="44"/>
      <c r="J49" s="45"/>
      <c r="K49" s="45"/>
      <c r="L49" s="43" t="s">
        <v>86</v>
      </c>
      <c r="M49" s="46">
        <v>42190000000</v>
      </c>
      <c r="N49" s="46">
        <v>33981205396.650002</v>
      </c>
      <c r="O49" s="47">
        <f t="shared" si="0"/>
        <v>0.80543269487200764</v>
      </c>
      <c r="P49" s="46">
        <v>24801426033.57</v>
      </c>
      <c r="Q49" s="47">
        <f t="shared" si="0"/>
        <v>0.58785081852500587</v>
      </c>
      <c r="R49" s="46">
        <v>24746897376.57</v>
      </c>
      <c r="S49" s="47">
        <f t="shared" ref="S49" si="42">+R49/$M49</f>
        <v>0.58655836398601569</v>
      </c>
    </row>
    <row r="50" spans="1:19" ht="24" customHeight="1">
      <c r="A50" s="32" t="e">
        <v>#REF!</v>
      </c>
      <c r="B50" s="48" t="s">
        <v>379</v>
      </c>
      <c r="C50" s="48" t="s">
        <v>23</v>
      </c>
      <c r="D50" s="48" t="s">
        <v>54</v>
      </c>
      <c r="E50" s="48" t="s">
        <v>54</v>
      </c>
      <c r="F50" s="48" t="s">
        <v>25</v>
      </c>
      <c r="G50" s="48"/>
      <c r="H50" s="48"/>
      <c r="I50" s="48"/>
      <c r="J50" s="48" t="s">
        <v>28</v>
      </c>
      <c r="K50" s="48" t="s">
        <v>29</v>
      </c>
      <c r="L50" s="48" t="s">
        <v>87</v>
      </c>
      <c r="M50" s="50">
        <v>868052415.38999999</v>
      </c>
      <c r="N50" s="50">
        <v>557076415.29999995</v>
      </c>
      <c r="O50" s="51">
        <f t="shared" si="0"/>
        <v>0.64175435195317754</v>
      </c>
      <c r="P50" s="50">
        <v>237744366.37</v>
      </c>
      <c r="Q50" s="51">
        <f t="shared" si="0"/>
        <v>0.27388250082016746</v>
      </c>
      <c r="R50" s="50">
        <v>237744366.37</v>
      </c>
      <c r="S50" s="51">
        <f t="shared" ref="S50" si="43">+R50/$M50</f>
        <v>0.27388250082016746</v>
      </c>
    </row>
    <row r="51" spans="1:19" ht="24" customHeight="1">
      <c r="A51" s="32" t="e">
        <v>#REF!</v>
      </c>
      <c r="B51" s="52" t="s">
        <v>381</v>
      </c>
      <c r="C51" s="52" t="s">
        <v>23</v>
      </c>
      <c r="D51" s="52" t="s">
        <v>54</v>
      </c>
      <c r="E51" s="52" t="s">
        <v>54</v>
      </c>
      <c r="F51" s="52" t="s">
        <v>25</v>
      </c>
      <c r="G51" s="52" t="s">
        <v>31</v>
      </c>
      <c r="H51" s="52"/>
      <c r="I51" s="52"/>
      <c r="J51" s="52" t="s">
        <v>28</v>
      </c>
      <c r="K51" s="52" t="s">
        <v>29</v>
      </c>
      <c r="L51" s="52" t="s">
        <v>88</v>
      </c>
      <c r="M51" s="54">
        <v>26000000</v>
      </c>
      <c r="N51" s="54">
        <v>26000000</v>
      </c>
      <c r="O51" s="55">
        <f t="shared" si="0"/>
        <v>1</v>
      </c>
      <c r="P51" s="54">
        <v>1851873</v>
      </c>
      <c r="Q51" s="55">
        <f t="shared" si="0"/>
        <v>7.1225884615384621E-2</v>
      </c>
      <c r="R51" s="54">
        <v>1851873</v>
      </c>
      <c r="S51" s="55">
        <f t="shared" ref="S51" si="44">+R51/$M51</f>
        <v>7.1225884615384621E-2</v>
      </c>
    </row>
    <row r="52" spans="1:19" ht="24.95" customHeight="1">
      <c r="A52" s="32" t="e">
        <v>#REF!</v>
      </c>
      <c r="B52" s="56" t="s">
        <v>555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40</v>
      </c>
      <c r="I52" s="57"/>
      <c r="J52" s="57">
        <v>10</v>
      </c>
      <c r="K52" s="58" t="s">
        <v>29</v>
      </c>
      <c r="L52" s="59" t="s">
        <v>89</v>
      </c>
      <c r="M52" s="60">
        <v>13000000</v>
      </c>
      <c r="N52" s="60">
        <v>13000000</v>
      </c>
      <c r="O52" s="62">
        <f t="shared" si="0"/>
        <v>1</v>
      </c>
      <c r="P52" s="60">
        <v>1851873</v>
      </c>
      <c r="Q52" s="62">
        <f t="shared" si="0"/>
        <v>0.14245176923076924</v>
      </c>
      <c r="R52" s="60">
        <v>1851873</v>
      </c>
      <c r="S52" s="62">
        <f t="shared" ref="S52" si="45">+R52/$M52</f>
        <v>0.14245176923076924</v>
      </c>
    </row>
    <row r="53" spans="1:19" ht="24.95" customHeight="1">
      <c r="A53" s="32" t="e">
        <v>#REF!</v>
      </c>
      <c r="B53" s="56" t="s">
        <v>557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44</v>
      </c>
      <c r="I53" s="57"/>
      <c r="J53" s="57">
        <v>10</v>
      </c>
      <c r="K53" s="58" t="s">
        <v>29</v>
      </c>
      <c r="L53" s="59" t="s">
        <v>90</v>
      </c>
      <c r="M53" s="60">
        <v>13000000</v>
      </c>
      <c r="N53" s="60">
        <v>13000000</v>
      </c>
      <c r="O53" s="62">
        <f t="shared" si="0"/>
        <v>1</v>
      </c>
      <c r="P53" s="60">
        <v>0</v>
      </c>
      <c r="Q53" s="62">
        <f t="shared" si="0"/>
        <v>0</v>
      </c>
      <c r="R53" s="60">
        <v>0</v>
      </c>
      <c r="S53" s="62">
        <f t="shared" ref="S53" si="46">+R53/$M53</f>
        <v>0</v>
      </c>
    </row>
    <row r="54" spans="1:19" ht="24" customHeight="1">
      <c r="A54" s="32" t="e">
        <v>#REF!</v>
      </c>
      <c r="B54" s="52" t="s">
        <v>383</v>
      </c>
      <c r="C54" s="52" t="s">
        <v>23</v>
      </c>
      <c r="D54" s="52" t="s">
        <v>54</v>
      </c>
      <c r="E54" s="52" t="s">
        <v>54</v>
      </c>
      <c r="F54" s="52" t="s">
        <v>25</v>
      </c>
      <c r="G54" s="52" t="s">
        <v>34</v>
      </c>
      <c r="H54" s="52"/>
      <c r="I54" s="52"/>
      <c r="J54" s="52" t="s">
        <v>28</v>
      </c>
      <c r="K54" s="52" t="s">
        <v>29</v>
      </c>
      <c r="L54" s="52" t="s">
        <v>91</v>
      </c>
      <c r="M54" s="54">
        <v>130000000</v>
      </c>
      <c r="N54" s="54">
        <v>0</v>
      </c>
      <c r="O54" s="55">
        <f t="shared" si="0"/>
        <v>0</v>
      </c>
      <c r="P54" s="54">
        <v>0</v>
      </c>
      <c r="Q54" s="55">
        <f t="shared" si="0"/>
        <v>0</v>
      </c>
      <c r="R54" s="54">
        <v>0</v>
      </c>
      <c r="S54" s="55">
        <f t="shared" ref="S54" si="47">+R54/$M54</f>
        <v>0</v>
      </c>
    </row>
    <row r="55" spans="1:19" ht="24.95" customHeight="1">
      <c r="A55" s="32" t="e">
        <v>#REF!</v>
      </c>
      <c r="B55" s="56" t="s">
        <v>559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57" t="s">
        <v>46</v>
      </c>
      <c r="I55" s="57"/>
      <c r="J55" s="57">
        <v>10</v>
      </c>
      <c r="K55" s="58" t="s">
        <v>29</v>
      </c>
      <c r="L55" s="59" t="s">
        <v>92</v>
      </c>
      <c r="M55" s="60">
        <v>130000000</v>
      </c>
      <c r="N55" s="60">
        <v>0</v>
      </c>
      <c r="O55" s="62">
        <f t="shared" si="0"/>
        <v>0</v>
      </c>
      <c r="P55" s="60">
        <v>0</v>
      </c>
      <c r="Q55" s="62">
        <f t="shared" si="0"/>
        <v>0</v>
      </c>
      <c r="R55" s="60">
        <v>0</v>
      </c>
      <c r="S55" s="62">
        <f t="shared" ref="S55" si="48">+R55/$M55</f>
        <v>0</v>
      </c>
    </row>
    <row r="56" spans="1:19" ht="24" customHeight="1">
      <c r="A56" s="32" t="e">
        <v>#REF!</v>
      </c>
      <c r="B56" s="52" t="s">
        <v>385</v>
      </c>
      <c r="C56" s="52" t="s">
        <v>23</v>
      </c>
      <c r="D56" s="52" t="s">
        <v>54</v>
      </c>
      <c r="E56" s="52" t="s">
        <v>54</v>
      </c>
      <c r="F56" s="52" t="s">
        <v>25</v>
      </c>
      <c r="G56" s="52" t="s">
        <v>36</v>
      </c>
      <c r="H56" s="52"/>
      <c r="I56" s="52"/>
      <c r="J56" s="52" t="s">
        <v>28</v>
      </c>
      <c r="K56" s="52" t="s">
        <v>29</v>
      </c>
      <c r="L56" s="52" t="s">
        <v>93</v>
      </c>
      <c r="M56" s="54">
        <v>496545390</v>
      </c>
      <c r="N56" s="54">
        <v>444629185.30000001</v>
      </c>
      <c r="O56" s="55">
        <f t="shared" si="0"/>
        <v>0.8954451984742019</v>
      </c>
      <c r="P56" s="54">
        <v>202496992.37</v>
      </c>
      <c r="Q56" s="55">
        <f t="shared" si="0"/>
        <v>0.40781164511465912</v>
      </c>
      <c r="R56" s="54">
        <v>202496992.37</v>
      </c>
      <c r="S56" s="55">
        <f t="shared" ref="S56" si="49">+R56/$M56</f>
        <v>0.40781164511465912</v>
      </c>
    </row>
    <row r="57" spans="1:19" ht="24.95" customHeight="1">
      <c r="A57" s="32" t="e">
        <v>#REF!</v>
      </c>
      <c r="B57" s="56" t="s">
        <v>561</v>
      </c>
      <c r="C57" s="57" t="s">
        <v>23</v>
      </c>
      <c r="D57" s="57" t="s">
        <v>54</v>
      </c>
      <c r="E57" s="57" t="s">
        <v>54</v>
      </c>
      <c r="F57" s="57" t="s">
        <v>25</v>
      </c>
      <c r="G57" s="57" t="s">
        <v>36</v>
      </c>
      <c r="H57" s="57" t="s">
        <v>34</v>
      </c>
      <c r="I57" s="57"/>
      <c r="J57" s="57">
        <v>10</v>
      </c>
      <c r="K57" s="58" t="s">
        <v>29</v>
      </c>
      <c r="L57" s="59" t="s">
        <v>94</v>
      </c>
      <c r="M57" s="60">
        <v>305100000</v>
      </c>
      <c r="N57" s="60">
        <v>283213627.30000001</v>
      </c>
      <c r="O57" s="62">
        <f t="shared" si="0"/>
        <v>0.92826492068174371</v>
      </c>
      <c r="P57" s="60">
        <v>118610209</v>
      </c>
      <c r="Q57" s="62">
        <f t="shared" si="0"/>
        <v>0.38875846935431008</v>
      </c>
      <c r="R57" s="60">
        <v>118610209</v>
      </c>
      <c r="S57" s="62">
        <f t="shared" ref="S57" si="50">+R57/$M57</f>
        <v>0.38875846935431008</v>
      </c>
    </row>
    <row r="58" spans="1:19" ht="24.95" customHeight="1">
      <c r="A58" s="32" t="e">
        <v>#REF!</v>
      </c>
      <c r="B58" s="56" t="s">
        <v>563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36</v>
      </c>
      <c r="I58" s="57"/>
      <c r="J58" s="57">
        <v>10</v>
      </c>
      <c r="K58" s="58" t="s">
        <v>29</v>
      </c>
      <c r="L58" s="59" t="s">
        <v>95</v>
      </c>
      <c r="M58" s="60">
        <v>82250108</v>
      </c>
      <c r="N58" s="60">
        <v>76250108</v>
      </c>
      <c r="O58" s="62">
        <f t="shared" si="0"/>
        <v>0.92705176751865181</v>
      </c>
      <c r="P58" s="60">
        <v>45300327.369999997</v>
      </c>
      <c r="Q58" s="62">
        <f t="shared" si="0"/>
        <v>0.55076313541132371</v>
      </c>
      <c r="R58" s="60">
        <v>45300327.369999997</v>
      </c>
      <c r="S58" s="62">
        <f t="shared" ref="S58" si="51">+R58/$M58</f>
        <v>0.55076313541132371</v>
      </c>
    </row>
    <row r="59" spans="1:19" ht="24.95" customHeight="1">
      <c r="A59" s="32" t="e">
        <v>#REF!</v>
      </c>
      <c r="B59" s="56" t="s">
        <v>565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40</v>
      </c>
      <c r="I59" s="57"/>
      <c r="J59" s="57">
        <v>10</v>
      </c>
      <c r="K59" s="58" t="s">
        <v>29</v>
      </c>
      <c r="L59" s="59" t="s">
        <v>96</v>
      </c>
      <c r="M59" s="60">
        <v>7000000</v>
      </c>
      <c r="N59" s="60">
        <v>7000000</v>
      </c>
      <c r="O59" s="62">
        <f t="shared" si="0"/>
        <v>1</v>
      </c>
      <c r="P59" s="60">
        <v>4892560</v>
      </c>
      <c r="Q59" s="62">
        <f t="shared" si="0"/>
        <v>0.69893714285714281</v>
      </c>
      <c r="R59" s="60">
        <v>4892560</v>
      </c>
      <c r="S59" s="62">
        <f t="shared" ref="S59" si="52">+R59/$M59</f>
        <v>0.69893714285714281</v>
      </c>
    </row>
    <row r="60" spans="1:19" ht="24.95" customHeight="1">
      <c r="A60" s="32" t="e">
        <v>#REF!</v>
      </c>
      <c r="B60" s="56" t="s">
        <v>567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42</v>
      </c>
      <c r="I60" s="57"/>
      <c r="J60" s="57">
        <v>10</v>
      </c>
      <c r="K60" s="58" t="s">
        <v>29</v>
      </c>
      <c r="L60" s="59" t="s">
        <v>97</v>
      </c>
      <c r="M60" s="60">
        <v>23000000</v>
      </c>
      <c r="N60" s="60">
        <v>23000000</v>
      </c>
      <c r="O60" s="62">
        <f t="shared" si="0"/>
        <v>1</v>
      </c>
      <c r="P60" s="60">
        <v>15350499</v>
      </c>
      <c r="Q60" s="62">
        <f t="shared" si="0"/>
        <v>0.66741300000000003</v>
      </c>
      <c r="R60" s="60">
        <v>15350499</v>
      </c>
      <c r="S60" s="62">
        <f t="shared" ref="S60" si="53">+R60/$M60</f>
        <v>0.66741300000000003</v>
      </c>
    </row>
    <row r="61" spans="1:19" ht="24.95" customHeight="1">
      <c r="A61" s="32" t="e">
        <v>#REF!</v>
      </c>
      <c r="B61" s="56" t="s">
        <v>571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46</v>
      </c>
      <c r="I61" s="57"/>
      <c r="J61" s="57">
        <v>10</v>
      </c>
      <c r="K61" s="58" t="s">
        <v>29</v>
      </c>
      <c r="L61" s="59" t="s">
        <v>99</v>
      </c>
      <c r="M61" s="60">
        <v>79195282</v>
      </c>
      <c r="N61" s="60">
        <v>55165450</v>
      </c>
      <c r="O61" s="62">
        <f t="shared" si="0"/>
        <v>0.69657495505856015</v>
      </c>
      <c r="P61" s="60">
        <v>18343397</v>
      </c>
      <c r="Q61" s="62">
        <f t="shared" si="0"/>
        <v>0.23162234588671582</v>
      </c>
      <c r="R61" s="60">
        <v>18343397</v>
      </c>
      <c r="S61" s="62">
        <f t="shared" ref="S61" si="54">+R61/$M61</f>
        <v>0.23162234588671582</v>
      </c>
    </row>
    <row r="62" spans="1:19" ht="24" customHeight="1">
      <c r="A62" s="32" t="e">
        <v>#REF!</v>
      </c>
      <c r="B62" s="52" t="s">
        <v>387</v>
      </c>
      <c r="C62" s="52" t="s">
        <v>23</v>
      </c>
      <c r="D62" s="52" t="s">
        <v>54</v>
      </c>
      <c r="E62" s="52" t="s">
        <v>54</v>
      </c>
      <c r="F62" s="52" t="s">
        <v>25</v>
      </c>
      <c r="G62" s="52" t="s">
        <v>38</v>
      </c>
      <c r="H62" s="52"/>
      <c r="I62" s="52"/>
      <c r="J62" s="52" t="s">
        <v>28</v>
      </c>
      <c r="K62" s="52" t="s">
        <v>29</v>
      </c>
      <c r="L62" s="52" t="s">
        <v>100</v>
      </c>
      <c r="M62" s="54">
        <v>215507025.38999999</v>
      </c>
      <c r="N62" s="54">
        <v>86447230</v>
      </c>
      <c r="O62" s="55">
        <f t="shared" si="0"/>
        <v>0.40113416183791539</v>
      </c>
      <c r="P62" s="54">
        <v>33395501</v>
      </c>
      <c r="Q62" s="55">
        <f t="shared" si="0"/>
        <v>0.15496247020051732</v>
      </c>
      <c r="R62" s="54">
        <v>33395501</v>
      </c>
      <c r="S62" s="55">
        <f t="shared" ref="S62" si="55">+R62/$M62</f>
        <v>0.15496247020051732</v>
      </c>
    </row>
    <row r="63" spans="1:19" ht="24.95" customHeight="1">
      <c r="A63" s="32" t="e">
        <v>#REF!</v>
      </c>
      <c r="B63" s="56" t="s">
        <v>573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38</v>
      </c>
      <c r="H63" s="57" t="s">
        <v>34</v>
      </c>
      <c r="I63" s="57"/>
      <c r="J63" s="57">
        <v>10</v>
      </c>
      <c r="K63" s="58" t="s">
        <v>29</v>
      </c>
      <c r="L63" s="59" t="s">
        <v>101</v>
      </c>
      <c r="M63" s="60">
        <v>28000000</v>
      </c>
      <c r="N63" s="60">
        <v>28000000</v>
      </c>
      <c r="O63" s="62">
        <f t="shared" si="0"/>
        <v>1</v>
      </c>
      <c r="P63" s="60">
        <v>9824421</v>
      </c>
      <c r="Q63" s="62">
        <f t="shared" si="0"/>
        <v>0.35087217857142855</v>
      </c>
      <c r="R63" s="60">
        <v>9824421</v>
      </c>
      <c r="S63" s="62">
        <f t="shared" ref="S63" si="56">+R63/$M63</f>
        <v>0.35087217857142855</v>
      </c>
    </row>
    <row r="64" spans="1:19" ht="24.95" customHeight="1">
      <c r="A64" s="32" t="e">
        <v>#REF!</v>
      </c>
      <c r="B64" s="56" t="s">
        <v>575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40</v>
      </c>
      <c r="I64" s="57"/>
      <c r="J64" s="57">
        <v>10</v>
      </c>
      <c r="K64" s="58" t="s">
        <v>29</v>
      </c>
      <c r="L64" s="59" t="s">
        <v>102</v>
      </c>
      <c r="M64" s="60">
        <v>90000000</v>
      </c>
      <c r="N64" s="60">
        <v>0</v>
      </c>
      <c r="O64" s="62">
        <f t="shared" si="0"/>
        <v>0</v>
      </c>
      <c r="P64" s="60">
        <v>0</v>
      </c>
      <c r="Q64" s="62">
        <f t="shared" si="0"/>
        <v>0</v>
      </c>
      <c r="R64" s="60">
        <v>0</v>
      </c>
      <c r="S64" s="62">
        <f t="shared" ref="S64" si="57">+R64/$M64</f>
        <v>0</v>
      </c>
    </row>
    <row r="65" spans="1:19" ht="24.95" customHeight="1">
      <c r="A65" s="32" t="e">
        <v>#REF!</v>
      </c>
      <c r="B65" s="56" t="s">
        <v>577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42</v>
      </c>
      <c r="I65" s="57"/>
      <c r="J65" s="57">
        <v>10</v>
      </c>
      <c r="K65" s="58" t="s">
        <v>29</v>
      </c>
      <c r="L65" s="59" t="s">
        <v>84</v>
      </c>
      <c r="M65" s="60">
        <v>44119958</v>
      </c>
      <c r="N65" s="60">
        <v>31571080</v>
      </c>
      <c r="O65" s="62">
        <f t="shared" si="0"/>
        <v>0.71557366396404998</v>
      </c>
      <c r="P65" s="60">
        <v>23571080</v>
      </c>
      <c r="Q65" s="62">
        <f t="shared" si="0"/>
        <v>0.53424982861497738</v>
      </c>
      <c r="R65" s="60">
        <v>23571080</v>
      </c>
      <c r="S65" s="62">
        <f t="shared" ref="S65" si="58">+R65/$M65</f>
        <v>0.53424982861497738</v>
      </c>
    </row>
    <row r="66" spans="1:19" ht="24.95" customHeight="1">
      <c r="A66" s="32" t="e">
        <v>#REF!</v>
      </c>
      <c r="B66" s="56" t="s">
        <v>579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44</v>
      </c>
      <c r="I66" s="57"/>
      <c r="J66" s="57">
        <v>10</v>
      </c>
      <c r="K66" s="58" t="s">
        <v>29</v>
      </c>
      <c r="L66" s="59" t="s">
        <v>85</v>
      </c>
      <c r="M66" s="60">
        <v>53387067.390000001</v>
      </c>
      <c r="N66" s="60">
        <v>26876150</v>
      </c>
      <c r="O66" s="62">
        <f t="shared" si="0"/>
        <v>0.50342060940837907</v>
      </c>
      <c r="P66" s="60">
        <v>0</v>
      </c>
      <c r="Q66" s="62">
        <f t="shared" si="0"/>
        <v>0</v>
      </c>
      <c r="R66" s="60">
        <v>0</v>
      </c>
      <c r="S66" s="62">
        <f t="shared" ref="S66" si="59">+R66/$M66</f>
        <v>0</v>
      </c>
    </row>
    <row r="67" spans="1:19" ht="24" customHeight="1">
      <c r="A67" s="32" t="e">
        <v>#REF!</v>
      </c>
      <c r="B67" s="48" t="s">
        <v>389</v>
      </c>
      <c r="C67" s="48" t="s">
        <v>23</v>
      </c>
      <c r="D67" s="48" t="s">
        <v>54</v>
      </c>
      <c r="E67" s="48" t="s">
        <v>54</v>
      </c>
      <c r="F67" s="48" t="s">
        <v>54</v>
      </c>
      <c r="G67" s="48"/>
      <c r="H67" s="48"/>
      <c r="I67" s="48"/>
      <c r="J67" s="48" t="s">
        <v>28</v>
      </c>
      <c r="K67" s="48" t="s">
        <v>29</v>
      </c>
      <c r="L67" s="48" t="s">
        <v>103</v>
      </c>
      <c r="M67" s="50">
        <v>41321947584.610001</v>
      </c>
      <c r="N67" s="50">
        <v>33424128981.350002</v>
      </c>
      <c r="O67" s="51">
        <f t="shared" si="0"/>
        <v>0.80887109478350261</v>
      </c>
      <c r="P67" s="50">
        <v>24563681667.200001</v>
      </c>
      <c r="Q67" s="51">
        <f t="shared" si="0"/>
        <v>0.59444636816558305</v>
      </c>
      <c r="R67" s="50">
        <v>24509153010.200001</v>
      </c>
      <c r="S67" s="51">
        <f t="shared" ref="S67" si="60">+R67/$M67</f>
        <v>0.593126762963327</v>
      </c>
    </row>
    <row r="68" spans="1:19" ht="24.75" customHeight="1">
      <c r="A68" s="32" t="e">
        <v>#REF!</v>
      </c>
      <c r="B68" s="52" t="s">
        <v>391</v>
      </c>
      <c r="C68" s="52" t="s">
        <v>23</v>
      </c>
      <c r="D68" s="52" t="s">
        <v>54</v>
      </c>
      <c r="E68" s="52" t="s">
        <v>54</v>
      </c>
      <c r="F68" s="52" t="s">
        <v>54</v>
      </c>
      <c r="G68" s="52" t="s">
        <v>42</v>
      </c>
      <c r="H68" s="52"/>
      <c r="I68" s="52"/>
      <c r="J68" s="52" t="s">
        <v>28</v>
      </c>
      <c r="K68" s="52" t="s">
        <v>29</v>
      </c>
      <c r="L68" s="52" t="s">
        <v>104</v>
      </c>
      <c r="M68" s="54">
        <v>7270453772</v>
      </c>
      <c r="N68" s="54">
        <v>6590385573.6999998</v>
      </c>
      <c r="O68" s="55">
        <f t="shared" si="0"/>
        <v>0.90646138196778292</v>
      </c>
      <c r="P68" s="54">
        <v>5079248911.6999998</v>
      </c>
      <c r="Q68" s="55">
        <f t="shared" si="0"/>
        <v>0.69861511688049283</v>
      </c>
      <c r="R68" s="54">
        <v>5074480105.6999998</v>
      </c>
      <c r="S68" s="55">
        <f t="shared" ref="S68" si="61">+R68/$M68</f>
        <v>0.69795920101202724</v>
      </c>
    </row>
    <row r="69" spans="1:19" ht="24.95" customHeight="1">
      <c r="A69" s="32" t="e">
        <v>#REF!</v>
      </c>
      <c r="B69" s="56" t="s">
        <v>583</v>
      </c>
      <c r="C69" s="57" t="s">
        <v>23</v>
      </c>
      <c r="D69" s="57" t="s">
        <v>54</v>
      </c>
      <c r="E69" s="57" t="s">
        <v>54</v>
      </c>
      <c r="F69" s="57" t="s">
        <v>54</v>
      </c>
      <c r="G69" s="57" t="s">
        <v>42</v>
      </c>
      <c r="H69" s="57" t="s">
        <v>36</v>
      </c>
      <c r="I69" s="57"/>
      <c r="J69" s="57">
        <v>10</v>
      </c>
      <c r="K69" s="58" t="s">
        <v>29</v>
      </c>
      <c r="L69" s="59" t="s">
        <v>105</v>
      </c>
      <c r="M69" s="60">
        <v>158730980</v>
      </c>
      <c r="N69" s="60">
        <v>138954279</v>
      </c>
      <c r="O69" s="62">
        <f t="shared" si="0"/>
        <v>0.87540742834196572</v>
      </c>
      <c r="P69" s="60">
        <v>94514820</v>
      </c>
      <c r="Q69" s="62">
        <f t="shared" si="0"/>
        <v>0.59544028519196446</v>
      </c>
      <c r="R69" s="60">
        <v>94514820</v>
      </c>
      <c r="S69" s="62">
        <f t="shared" ref="S69" si="62">+R69/$M69</f>
        <v>0.59544028519196446</v>
      </c>
    </row>
    <row r="70" spans="1:19" ht="24.95" customHeight="1">
      <c r="A70" s="32" t="e">
        <v>#REF!</v>
      </c>
      <c r="B70" s="56" t="s">
        <v>585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38</v>
      </c>
      <c r="I70" s="57"/>
      <c r="J70" s="57">
        <v>10</v>
      </c>
      <c r="K70" s="58" t="s">
        <v>29</v>
      </c>
      <c r="L70" s="59" t="s">
        <v>106</v>
      </c>
      <c r="M70" s="60">
        <v>3483222792</v>
      </c>
      <c r="N70" s="60">
        <v>3261475411</v>
      </c>
      <c r="O70" s="62">
        <f t="shared" si="0"/>
        <v>0.93633844452634718</v>
      </c>
      <c r="P70" s="60">
        <v>1981757161</v>
      </c>
      <c r="Q70" s="62">
        <f t="shared" si="0"/>
        <v>0.56894355582179479</v>
      </c>
      <c r="R70" s="60">
        <v>1981757161</v>
      </c>
      <c r="S70" s="62">
        <f t="shared" ref="S70" si="63">+R70/$M70</f>
        <v>0.56894355582179479</v>
      </c>
    </row>
    <row r="71" spans="1:19" ht="24.95" customHeight="1">
      <c r="A71" s="32" t="e">
        <v>#REF!</v>
      </c>
      <c r="B71" s="56" t="s">
        <v>587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40</v>
      </c>
      <c r="I71" s="57"/>
      <c r="J71" s="57">
        <v>10</v>
      </c>
      <c r="K71" s="58" t="s">
        <v>29</v>
      </c>
      <c r="L71" s="59" t="s">
        <v>107</v>
      </c>
      <c r="M71" s="60">
        <v>114000000</v>
      </c>
      <c r="N71" s="60">
        <v>109800000</v>
      </c>
      <c r="O71" s="62">
        <f t="shared" si="0"/>
        <v>0.9631578947368421</v>
      </c>
      <c r="P71" s="60">
        <v>32559973</v>
      </c>
      <c r="Q71" s="62">
        <f t="shared" si="0"/>
        <v>0.28561379824561406</v>
      </c>
      <c r="R71" s="60">
        <v>32559973</v>
      </c>
      <c r="S71" s="62">
        <f t="shared" ref="S71" si="64">+R71/$M71</f>
        <v>0.28561379824561406</v>
      </c>
    </row>
    <row r="72" spans="1:19" ht="24.95" customHeight="1">
      <c r="A72" s="32" t="e">
        <v>#REF!</v>
      </c>
      <c r="B72" s="56" t="s">
        <v>591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46</v>
      </c>
      <c r="I72" s="57"/>
      <c r="J72" s="57">
        <v>10</v>
      </c>
      <c r="K72" s="58" t="s">
        <v>29</v>
      </c>
      <c r="L72" s="59" t="s">
        <v>108</v>
      </c>
      <c r="M72" s="60">
        <v>2384500000</v>
      </c>
      <c r="N72" s="60">
        <v>2213618000</v>
      </c>
      <c r="O72" s="62">
        <f t="shared" ref="O72:Q135" si="65">+N72/$M72</f>
        <v>0.92833633885510591</v>
      </c>
      <c r="P72" s="60">
        <v>2163612480</v>
      </c>
      <c r="Q72" s="62">
        <f t="shared" si="65"/>
        <v>0.90736526735164602</v>
      </c>
      <c r="R72" s="60">
        <v>2163612480</v>
      </c>
      <c r="S72" s="62">
        <f t="shared" ref="S72" si="66">+R72/$M72</f>
        <v>0.90736526735164602</v>
      </c>
    </row>
    <row r="73" spans="1:19" ht="24.95" customHeight="1">
      <c r="A73" s="32" t="e">
        <v>#REF!</v>
      </c>
      <c r="B73" s="56" t="s">
        <v>593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48</v>
      </c>
      <c r="I73" s="57"/>
      <c r="J73" s="57">
        <v>10</v>
      </c>
      <c r="K73" s="58" t="s">
        <v>29</v>
      </c>
      <c r="L73" s="59" t="s">
        <v>109</v>
      </c>
      <c r="M73" s="60">
        <v>1130000000</v>
      </c>
      <c r="N73" s="60">
        <v>866537883.70000005</v>
      </c>
      <c r="O73" s="62">
        <f t="shared" si="65"/>
        <v>0.76684768469026554</v>
      </c>
      <c r="P73" s="60">
        <v>806804477.70000005</v>
      </c>
      <c r="Q73" s="62">
        <f t="shared" si="65"/>
        <v>0.71398626345132743</v>
      </c>
      <c r="R73" s="60">
        <v>802035671.70000005</v>
      </c>
      <c r="S73" s="62">
        <f t="shared" ref="S73" si="67">+R73/$M73</f>
        <v>0.70976608115044248</v>
      </c>
    </row>
    <row r="74" spans="1:19" ht="28.5" customHeight="1">
      <c r="A74" s="32" t="e">
        <v>#REF!</v>
      </c>
      <c r="B74" s="52" t="s">
        <v>393</v>
      </c>
      <c r="C74" s="52" t="s">
        <v>23</v>
      </c>
      <c r="D74" s="52" t="s">
        <v>54</v>
      </c>
      <c r="E74" s="52" t="s">
        <v>54</v>
      </c>
      <c r="F74" s="52" t="s">
        <v>54</v>
      </c>
      <c r="G74" s="52" t="s">
        <v>44</v>
      </c>
      <c r="H74" s="52"/>
      <c r="I74" s="52"/>
      <c r="J74" s="52" t="s">
        <v>28</v>
      </c>
      <c r="K74" s="52" t="s">
        <v>29</v>
      </c>
      <c r="L74" s="52" t="s">
        <v>110</v>
      </c>
      <c r="M74" s="54">
        <v>15089126613</v>
      </c>
      <c r="N74" s="54">
        <v>13606126620</v>
      </c>
      <c r="O74" s="55">
        <f t="shared" si="65"/>
        <v>0.90171730736739097</v>
      </c>
      <c r="P74" s="54">
        <v>11038716015</v>
      </c>
      <c r="Q74" s="55">
        <f t="shared" si="65"/>
        <v>0.73156759155891904</v>
      </c>
      <c r="R74" s="54">
        <v>11038716015</v>
      </c>
      <c r="S74" s="55">
        <f t="shared" ref="S74" si="68">+R74/$M74</f>
        <v>0.73156759155891904</v>
      </c>
    </row>
    <row r="75" spans="1:19" ht="24.95" customHeight="1">
      <c r="A75" s="32" t="e">
        <v>#REF!</v>
      </c>
      <c r="B75" s="56" t="s">
        <v>595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44</v>
      </c>
      <c r="H75" s="57" t="s">
        <v>31</v>
      </c>
      <c r="I75" s="57"/>
      <c r="J75" s="57">
        <v>10</v>
      </c>
      <c r="K75" s="58" t="s">
        <v>29</v>
      </c>
      <c r="L75" s="59" t="s">
        <v>111</v>
      </c>
      <c r="M75" s="60">
        <v>73856000</v>
      </c>
      <c r="N75" s="60">
        <v>59453757</v>
      </c>
      <c r="O75" s="62">
        <f t="shared" si="65"/>
        <v>0.80499562662478341</v>
      </c>
      <c r="P75" s="60">
        <v>57992842</v>
      </c>
      <c r="Q75" s="62">
        <f t="shared" si="65"/>
        <v>0.78521504007798959</v>
      </c>
      <c r="R75" s="60">
        <v>57992842</v>
      </c>
      <c r="S75" s="62">
        <f t="shared" ref="S75" si="69">+R75/$M75</f>
        <v>0.78521504007798959</v>
      </c>
    </row>
    <row r="76" spans="1:19" ht="24.95" customHeight="1">
      <c r="A76" s="32" t="e">
        <v>#REF!</v>
      </c>
      <c r="B76" s="56" t="s">
        <v>597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34</v>
      </c>
      <c r="I76" s="57"/>
      <c r="J76" s="57">
        <v>10</v>
      </c>
      <c r="K76" s="58" t="s">
        <v>29</v>
      </c>
      <c r="L76" s="59" t="s">
        <v>112</v>
      </c>
      <c r="M76" s="60">
        <v>15015270613</v>
      </c>
      <c r="N76" s="60">
        <v>13546672863</v>
      </c>
      <c r="O76" s="62">
        <f t="shared" si="65"/>
        <v>0.9021930548005902</v>
      </c>
      <c r="P76" s="60">
        <v>10980723173</v>
      </c>
      <c r="Q76" s="62">
        <f t="shared" si="65"/>
        <v>0.73130371446606179</v>
      </c>
      <c r="R76" s="60">
        <v>10980723173</v>
      </c>
      <c r="S76" s="62">
        <f t="shared" ref="S76" si="70">+R76/$M76</f>
        <v>0.73130371446606179</v>
      </c>
    </row>
    <row r="77" spans="1:19" ht="27.75" customHeight="1">
      <c r="A77" s="32" t="e">
        <v>#REF!</v>
      </c>
      <c r="B77" s="52" t="s">
        <v>395</v>
      </c>
      <c r="C77" s="52" t="s">
        <v>23</v>
      </c>
      <c r="D77" s="52" t="s">
        <v>54</v>
      </c>
      <c r="E77" s="52" t="s">
        <v>54</v>
      </c>
      <c r="F77" s="52" t="s">
        <v>54</v>
      </c>
      <c r="G77" s="52" t="s">
        <v>46</v>
      </c>
      <c r="H77" s="52"/>
      <c r="I77" s="52"/>
      <c r="J77" s="52" t="s">
        <v>28</v>
      </c>
      <c r="K77" s="52" t="s">
        <v>29</v>
      </c>
      <c r="L77" s="52" t="s">
        <v>113</v>
      </c>
      <c r="M77" s="54">
        <v>15516433829.610001</v>
      </c>
      <c r="N77" s="54">
        <v>11661638736.400002</v>
      </c>
      <c r="O77" s="55">
        <f t="shared" si="65"/>
        <v>0.75156694279494196</v>
      </c>
      <c r="P77" s="54">
        <v>7623175321.25</v>
      </c>
      <c r="Q77" s="55">
        <f t="shared" si="65"/>
        <v>0.49129686659718802</v>
      </c>
      <c r="R77" s="54">
        <v>7573674337.25</v>
      </c>
      <c r="S77" s="55">
        <f t="shared" ref="S77" si="71">+R77/$M77</f>
        <v>0.48810663715764135</v>
      </c>
    </row>
    <row r="78" spans="1:19" ht="24.95" customHeight="1">
      <c r="A78" s="32" t="e">
        <v>#REF!</v>
      </c>
      <c r="B78" s="56" t="s">
        <v>599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46</v>
      </c>
      <c r="H78" s="57" t="s">
        <v>34</v>
      </c>
      <c r="I78" s="57"/>
      <c r="J78" s="57">
        <v>10</v>
      </c>
      <c r="K78" s="58" t="s">
        <v>29</v>
      </c>
      <c r="L78" s="59" t="s">
        <v>114</v>
      </c>
      <c r="M78" s="60">
        <v>41742800</v>
      </c>
      <c r="N78" s="60">
        <v>39142800</v>
      </c>
      <c r="O78" s="62">
        <f t="shared" si="65"/>
        <v>0.93771380932759663</v>
      </c>
      <c r="P78" s="60">
        <v>15662576</v>
      </c>
      <c r="Q78" s="62">
        <f t="shared" si="65"/>
        <v>0.37521622890654199</v>
      </c>
      <c r="R78" s="60">
        <v>15662576</v>
      </c>
      <c r="S78" s="62">
        <f t="shared" ref="S78" si="72">+R78/$M78</f>
        <v>0.37521622890654199</v>
      </c>
    </row>
    <row r="79" spans="1:19" ht="24.95" customHeight="1">
      <c r="A79" s="32" t="e">
        <v>#REF!</v>
      </c>
      <c r="B79" s="56" t="s">
        <v>601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36</v>
      </c>
      <c r="I79" s="57"/>
      <c r="J79" s="57">
        <v>10</v>
      </c>
      <c r="K79" s="58" t="s">
        <v>29</v>
      </c>
      <c r="L79" s="59" t="s">
        <v>115</v>
      </c>
      <c r="M79" s="60">
        <v>5424506406</v>
      </c>
      <c r="N79" s="60">
        <v>3145009779</v>
      </c>
      <c r="O79" s="62">
        <f t="shared" si="65"/>
        <v>0.57977805603129751</v>
      </c>
      <c r="P79" s="60">
        <v>1604088240.8</v>
      </c>
      <c r="Q79" s="62">
        <f t="shared" si="65"/>
        <v>0.29571137367000466</v>
      </c>
      <c r="R79" s="60">
        <v>1554587256.8</v>
      </c>
      <c r="S79" s="62">
        <f t="shared" ref="S79" si="73">+R79/$M79</f>
        <v>0.28658593804599147</v>
      </c>
    </row>
    <row r="80" spans="1:19" ht="24.95" customHeight="1">
      <c r="A80" s="32" t="e">
        <v>#REF!</v>
      </c>
      <c r="B80" s="56" t="s">
        <v>603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38</v>
      </c>
      <c r="I80" s="57"/>
      <c r="J80" s="57">
        <v>10</v>
      </c>
      <c r="K80" s="58" t="s">
        <v>29</v>
      </c>
      <c r="L80" s="59" t="s">
        <v>116</v>
      </c>
      <c r="M80" s="60">
        <v>2319583585.75</v>
      </c>
      <c r="N80" s="60">
        <v>1832819101.6600001</v>
      </c>
      <c r="O80" s="62">
        <f t="shared" si="65"/>
        <v>0.79015005663932025</v>
      </c>
      <c r="P80" s="60">
        <v>1678521342.3299999</v>
      </c>
      <c r="Q80" s="62">
        <f t="shared" si="65"/>
        <v>0.7236304622268126</v>
      </c>
      <c r="R80" s="60">
        <v>1678521342.3299999</v>
      </c>
      <c r="S80" s="62">
        <f t="shared" ref="S80" si="74">+R80/$M80</f>
        <v>0.7236304622268126</v>
      </c>
    </row>
    <row r="81" spans="1:19" ht="24.95" customHeight="1">
      <c r="A81" s="32" t="e">
        <v>#REF!</v>
      </c>
      <c r="B81" s="56" t="s">
        <v>605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40</v>
      </c>
      <c r="I81" s="57"/>
      <c r="J81" s="57">
        <v>10</v>
      </c>
      <c r="K81" s="58" t="s">
        <v>29</v>
      </c>
      <c r="L81" s="59" t="s">
        <v>117</v>
      </c>
      <c r="M81" s="60">
        <v>6515097961.25</v>
      </c>
      <c r="N81" s="60">
        <v>6006234387.8100004</v>
      </c>
      <c r="O81" s="62">
        <f t="shared" si="65"/>
        <v>0.92189471647754506</v>
      </c>
      <c r="P81" s="60">
        <v>3986076270.5900002</v>
      </c>
      <c r="Q81" s="62">
        <f t="shared" si="65"/>
        <v>0.61182138692281818</v>
      </c>
      <c r="R81" s="60">
        <v>3986076270.5900002</v>
      </c>
      <c r="S81" s="62">
        <f t="shared" ref="S81" si="75">+R81/$M81</f>
        <v>0.61182138692281818</v>
      </c>
    </row>
    <row r="82" spans="1:19" ht="24.95" customHeight="1">
      <c r="A82" s="32" t="e">
        <v>#REF!</v>
      </c>
      <c r="B82" s="56" t="s">
        <v>607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44</v>
      </c>
      <c r="I82" s="57"/>
      <c r="J82" s="57">
        <v>10</v>
      </c>
      <c r="K82" s="58" t="s">
        <v>29</v>
      </c>
      <c r="L82" s="59" t="s">
        <v>118</v>
      </c>
      <c r="M82" s="60">
        <v>897503076.61000001</v>
      </c>
      <c r="N82" s="60">
        <v>495350667.93000001</v>
      </c>
      <c r="O82" s="62">
        <f t="shared" si="65"/>
        <v>0.55192085781032829</v>
      </c>
      <c r="P82" s="60">
        <v>280310791.52999997</v>
      </c>
      <c r="Q82" s="62">
        <f t="shared" si="65"/>
        <v>0.31232293106868747</v>
      </c>
      <c r="R82" s="60">
        <v>280310791.52999997</v>
      </c>
      <c r="S82" s="62">
        <f t="shared" ref="S82" si="76">+R82/$M82</f>
        <v>0.31232293106868747</v>
      </c>
    </row>
    <row r="83" spans="1:19" ht="24.95" customHeight="1">
      <c r="A83" s="32" t="e">
        <v>#REF!</v>
      </c>
      <c r="B83" s="56" t="s">
        <v>609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48</v>
      </c>
      <c r="I83" s="57"/>
      <c r="J83" s="57">
        <v>10</v>
      </c>
      <c r="K83" s="58" t="s">
        <v>29</v>
      </c>
      <c r="L83" s="59" t="s">
        <v>119</v>
      </c>
      <c r="M83" s="60">
        <v>318000000</v>
      </c>
      <c r="N83" s="60">
        <v>143082000</v>
      </c>
      <c r="O83" s="62">
        <f t="shared" si="65"/>
        <v>0.4499433962264151</v>
      </c>
      <c r="P83" s="60">
        <v>58516100</v>
      </c>
      <c r="Q83" s="62">
        <f t="shared" si="65"/>
        <v>0.184012893081761</v>
      </c>
      <c r="R83" s="60">
        <v>58516100</v>
      </c>
      <c r="S83" s="62">
        <f t="shared" ref="S83" si="77">+R83/$M83</f>
        <v>0.184012893081761</v>
      </c>
    </row>
    <row r="84" spans="1:19" ht="24" customHeight="1">
      <c r="A84" s="32" t="e">
        <v>#REF!</v>
      </c>
      <c r="B84" s="52" t="s">
        <v>397</v>
      </c>
      <c r="C84" s="52" t="s">
        <v>23</v>
      </c>
      <c r="D84" s="52" t="s">
        <v>54</v>
      </c>
      <c r="E84" s="52" t="s">
        <v>54</v>
      </c>
      <c r="F84" s="52" t="s">
        <v>54</v>
      </c>
      <c r="G84" s="52" t="s">
        <v>48</v>
      </c>
      <c r="H84" s="52"/>
      <c r="I84" s="52"/>
      <c r="J84" s="52" t="s">
        <v>28</v>
      </c>
      <c r="K84" s="52" t="s">
        <v>29</v>
      </c>
      <c r="L84" s="52" t="s">
        <v>120</v>
      </c>
      <c r="M84" s="54">
        <v>2523933370</v>
      </c>
      <c r="N84" s="54">
        <v>834588365.25</v>
      </c>
      <c r="O84" s="55">
        <f t="shared" si="65"/>
        <v>0.33066972970447311</v>
      </c>
      <c r="P84" s="54">
        <v>162016030.25</v>
      </c>
      <c r="Q84" s="55">
        <f t="shared" si="65"/>
        <v>6.4191880885508479E-2</v>
      </c>
      <c r="R84" s="54">
        <v>161757163.25</v>
      </c>
      <c r="S84" s="55">
        <f t="shared" ref="S84" si="78">+R84/$M84</f>
        <v>6.4089315975088518E-2</v>
      </c>
    </row>
    <row r="85" spans="1:19" ht="24.95" customHeight="1">
      <c r="A85" s="32" t="e">
        <v>#REF!</v>
      </c>
      <c r="B85" s="56" t="s">
        <v>611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48</v>
      </c>
      <c r="H85" s="57" t="s">
        <v>34</v>
      </c>
      <c r="I85" s="57"/>
      <c r="J85" s="57">
        <v>10</v>
      </c>
      <c r="K85" s="58" t="s">
        <v>29</v>
      </c>
      <c r="L85" s="59" t="s">
        <v>121</v>
      </c>
      <c r="M85" s="60">
        <v>820000000</v>
      </c>
      <c r="N85" s="60">
        <v>500000000</v>
      </c>
      <c r="O85" s="62">
        <f t="shared" si="65"/>
        <v>0.6097560975609756</v>
      </c>
      <c r="P85" s="60">
        <v>0</v>
      </c>
      <c r="Q85" s="62">
        <f t="shared" si="65"/>
        <v>0</v>
      </c>
      <c r="R85" s="60">
        <v>0</v>
      </c>
      <c r="S85" s="62">
        <f t="shared" ref="S85" si="79">+R85/$M85</f>
        <v>0</v>
      </c>
    </row>
    <row r="86" spans="1:19" ht="24.95" customHeight="1">
      <c r="A86" s="32" t="e">
        <v>#REF!</v>
      </c>
      <c r="B86" s="56" t="s">
        <v>613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36</v>
      </c>
      <c r="I86" s="57"/>
      <c r="J86" s="57">
        <v>10</v>
      </c>
      <c r="K86" s="58" t="s">
        <v>29</v>
      </c>
      <c r="L86" s="59" t="s">
        <v>122</v>
      </c>
      <c r="M86" s="60">
        <v>345000000</v>
      </c>
      <c r="N86" s="60">
        <v>199217250</v>
      </c>
      <c r="O86" s="62">
        <f t="shared" si="65"/>
        <v>0.57744130434782603</v>
      </c>
      <c r="P86" s="60">
        <v>98718917</v>
      </c>
      <c r="Q86" s="62">
        <f t="shared" si="65"/>
        <v>0.28614178840579713</v>
      </c>
      <c r="R86" s="60">
        <v>98718917</v>
      </c>
      <c r="S86" s="62">
        <f t="shared" ref="S86" si="80">+R86/$M86</f>
        <v>0.28614178840579713</v>
      </c>
    </row>
    <row r="87" spans="1:19" ht="24.95" customHeight="1">
      <c r="A87" s="32" t="e">
        <v>#REF!</v>
      </c>
      <c r="B87" s="56" t="s">
        <v>615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38</v>
      </c>
      <c r="I87" s="57"/>
      <c r="J87" s="57">
        <v>10</v>
      </c>
      <c r="K87" s="58" t="s">
        <v>29</v>
      </c>
      <c r="L87" s="59" t="s">
        <v>123</v>
      </c>
      <c r="M87" s="60">
        <v>87500000</v>
      </c>
      <c r="N87" s="60">
        <v>45371115.25</v>
      </c>
      <c r="O87" s="62">
        <f t="shared" si="65"/>
        <v>0.51852703142857148</v>
      </c>
      <c r="P87" s="60">
        <v>45371115.25</v>
      </c>
      <c r="Q87" s="62">
        <f t="shared" si="65"/>
        <v>0.51852703142857148</v>
      </c>
      <c r="R87" s="60">
        <v>45112248.25</v>
      </c>
      <c r="S87" s="62">
        <f t="shared" ref="S87" si="81">+R87/$M87</f>
        <v>0.51556855142857139</v>
      </c>
    </row>
    <row r="88" spans="1:19" ht="24.95" customHeight="1">
      <c r="A88" s="32" t="e">
        <v>#REF!</v>
      </c>
      <c r="B88" s="56" t="s">
        <v>617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42</v>
      </c>
      <c r="I88" s="57"/>
      <c r="J88" s="57">
        <v>10</v>
      </c>
      <c r="K88" s="58" t="s">
        <v>29</v>
      </c>
      <c r="L88" s="59" t="s">
        <v>124</v>
      </c>
      <c r="M88" s="60">
        <v>1250000000</v>
      </c>
      <c r="N88" s="60">
        <v>90000000</v>
      </c>
      <c r="O88" s="62">
        <f t="shared" si="65"/>
        <v>7.1999999999999995E-2</v>
      </c>
      <c r="P88" s="60">
        <v>17925998</v>
      </c>
      <c r="Q88" s="62">
        <f t="shared" si="65"/>
        <v>1.43407984E-2</v>
      </c>
      <c r="R88" s="60">
        <v>17925998</v>
      </c>
      <c r="S88" s="62">
        <f t="shared" ref="S88" si="82">+R88/$M88</f>
        <v>1.43407984E-2</v>
      </c>
    </row>
    <row r="89" spans="1:19" ht="24.95" customHeight="1">
      <c r="A89" s="32" t="e">
        <v>#REF!</v>
      </c>
      <c r="B89" s="56" t="s">
        <v>619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44</v>
      </c>
      <c r="I89" s="57"/>
      <c r="J89" s="57">
        <v>10</v>
      </c>
      <c r="K89" s="58" t="s">
        <v>29</v>
      </c>
      <c r="L89" s="59" t="s">
        <v>125</v>
      </c>
      <c r="M89" s="60">
        <v>21433370</v>
      </c>
      <c r="N89" s="60">
        <v>0</v>
      </c>
      <c r="O89" s="62">
        <f t="shared" si="65"/>
        <v>0</v>
      </c>
      <c r="P89" s="60">
        <v>0</v>
      </c>
      <c r="Q89" s="62">
        <f t="shared" si="65"/>
        <v>0</v>
      </c>
      <c r="R89" s="60">
        <v>0</v>
      </c>
      <c r="S89" s="62">
        <f t="shared" ref="S89" si="83">+R89/$M89</f>
        <v>0</v>
      </c>
    </row>
    <row r="90" spans="1:19" ht="24.95" customHeight="1">
      <c r="A90" s="32" t="e">
        <v>#REF!</v>
      </c>
      <c r="B90" s="56" t="s">
        <v>399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50</v>
      </c>
      <c r="H90" s="57"/>
      <c r="I90" s="57"/>
      <c r="J90" s="57" t="s">
        <v>28</v>
      </c>
      <c r="K90" s="58" t="s">
        <v>29</v>
      </c>
      <c r="L90" s="65" t="s">
        <v>126</v>
      </c>
      <c r="M90" s="66">
        <v>922000000</v>
      </c>
      <c r="N90" s="66">
        <v>731389686</v>
      </c>
      <c r="O90" s="67">
        <f t="shared" si="65"/>
        <v>0.79326430151843819</v>
      </c>
      <c r="P90" s="66">
        <v>660525389</v>
      </c>
      <c r="Q90" s="67">
        <f t="shared" si="65"/>
        <v>0.71640497722342733</v>
      </c>
      <c r="R90" s="66">
        <v>660525389</v>
      </c>
      <c r="S90" s="67">
        <f t="shared" ref="S90" si="84">+R90/$M90</f>
        <v>0.71640497722342733</v>
      </c>
    </row>
    <row r="91" spans="1:19" ht="24" customHeight="1">
      <c r="A91" s="32" t="e">
        <v>#REF!</v>
      </c>
      <c r="B91" s="38" t="s">
        <v>401</v>
      </c>
      <c r="C91" s="39" t="s">
        <v>23</v>
      </c>
      <c r="D91" s="39" t="s">
        <v>65</v>
      </c>
      <c r="E91" s="39"/>
      <c r="F91" s="39"/>
      <c r="G91" s="39"/>
      <c r="H91" s="39"/>
      <c r="I91" s="39"/>
      <c r="J91" s="40"/>
      <c r="K91" s="40"/>
      <c r="L91" s="38" t="s">
        <v>127</v>
      </c>
      <c r="M91" s="41">
        <v>3078000000</v>
      </c>
      <c r="N91" s="41">
        <v>2670043270.73</v>
      </c>
      <c r="O91" s="42">
        <f t="shared" si="65"/>
        <v>0.8674604518291098</v>
      </c>
      <c r="P91" s="41">
        <v>2314731379.73</v>
      </c>
      <c r="Q91" s="42">
        <f t="shared" si="65"/>
        <v>0.75202448984080572</v>
      </c>
      <c r="R91" s="41">
        <v>2314731379.73</v>
      </c>
      <c r="S91" s="42">
        <f t="shared" ref="S91" si="85">+R91/$M91</f>
        <v>0.75202448984080572</v>
      </c>
    </row>
    <row r="92" spans="1:19" ht="19.5" customHeight="1">
      <c r="A92" s="32" t="e">
        <v>#REF!</v>
      </c>
      <c r="B92" s="43" t="s">
        <v>621</v>
      </c>
      <c r="C92" s="44" t="s">
        <v>23</v>
      </c>
      <c r="D92" s="44" t="s">
        <v>65</v>
      </c>
      <c r="E92" s="44" t="s">
        <v>65</v>
      </c>
      <c r="F92" s="44"/>
      <c r="G92" s="44"/>
      <c r="H92" s="44"/>
      <c r="I92" s="44"/>
      <c r="J92" s="45"/>
      <c r="K92" s="45"/>
      <c r="L92" s="43" t="s">
        <v>128</v>
      </c>
      <c r="M92" s="46">
        <v>0</v>
      </c>
      <c r="N92" s="46">
        <v>0</v>
      </c>
      <c r="O92" s="47" t="e">
        <f t="shared" si="65"/>
        <v>#DIV/0!</v>
      </c>
      <c r="P92" s="46">
        <v>0</v>
      </c>
      <c r="Q92" s="47" t="e">
        <f t="shared" si="65"/>
        <v>#DIV/0!</v>
      </c>
      <c r="R92" s="46">
        <v>0</v>
      </c>
      <c r="S92" s="47" t="e">
        <f t="shared" ref="S92" si="86">+R92/$M92</f>
        <v>#DIV/0!</v>
      </c>
    </row>
    <row r="93" spans="1:19" ht="20.25" customHeight="1">
      <c r="A93" s="32" t="e">
        <v>#REF!</v>
      </c>
      <c r="B93" s="48" t="s">
        <v>623</v>
      </c>
      <c r="C93" s="48" t="s">
        <v>23</v>
      </c>
      <c r="D93" s="48" t="s">
        <v>65</v>
      </c>
      <c r="E93" s="48" t="s">
        <v>65</v>
      </c>
      <c r="F93" s="48" t="s">
        <v>25</v>
      </c>
      <c r="G93" s="48"/>
      <c r="H93" s="48"/>
      <c r="I93" s="48"/>
      <c r="J93" s="48"/>
      <c r="K93" s="48"/>
      <c r="L93" s="48" t="s">
        <v>129</v>
      </c>
      <c r="M93" s="50">
        <v>0</v>
      </c>
      <c r="N93" s="50">
        <v>0</v>
      </c>
      <c r="O93" s="51" t="e">
        <f t="shared" si="65"/>
        <v>#DIV/0!</v>
      </c>
      <c r="P93" s="50">
        <v>0</v>
      </c>
      <c r="Q93" s="51" t="e">
        <f t="shared" si="65"/>
        <v>#DIV/0!</v>
      </c>
      <c r="R93" s="50">
        <v>0</v>
      </c>
      <c r="S93" s="51" t="e">
        <f t="shared" ref="S93" si="87">+R93/$M93</f>
        <v>#DIV/0!</v>
      </c>
    </row>
    <row r="94" spans="1:19" ht="24.95" customHeight="1">
      <c r="A94" s="32" t="e">
        <v>#REF!</v>
      </c>
      <c r="B94" s="56" t="s">
        <v>625</v>
      </c>
      <c r="C94" s="57" t="s">
        <v>23</v>
      </c>
      <c r="D94" s="57" t="s">
        <v>65</v>
      </c>
      <c r="E94" s="57" t="s">
        <v>65</v>
      </c>
      <c r="F94" s="57" t="s">
        <v>25</v>
      </c>
      <c r="G94" s="57" t="s">
        <v>130</v>
      </c>
      <c r="H94" s="57"/>
      <c r="I94" s="57"/>
      <c r="J94" s="57">
        <v>54</v>
      </c>
      <c r="K94" s="58" t="s">
        <v>29</v>
      </c>
      <c r="L94" s="59" t="s">
        <v>131</v>
      </c>
      <c r="M94" s="60">
        <v>0</v>
      </c>
      <c r="N94" s="60"/>
      <c r="O94" s="62" t="e">
        <f t="shared" si="65"/>
        <v>#DIV/0!</v>
      </c>
      <c r="P94" s="60"/>
      <c r="Q94" s="62" t="e">
        <f t="shared" si="65"/>
        <v>#DIV/0!</v>
      </c>
      <c r="R94" s="60"/>
      <c r="S94" s="62" t="e">
        <f t="shared" ref="S94" si="88">+R94/$M94</f>
        <v>#DIV/0!</v>
      </c>
    </row>
    <row r="95" spans="1:19" ht="24.95" customHeight="1">
      <c r="A95" s="32" t="e">
        <v>#REF!</v>
      </c>
      <c r="B95" s="56" t="s">
        <v>625</v>
      </c>
      <c r="C95" s="57" t="s">
        <v>23</v>
      </c>
      <c r="D95" s="57" t="s">
        <v>65</v>
      </c>
      <c r="E95" s="57" t="s">
        <v>65</v>
      </c>
      <c r="F95" s="57" t="s">
        <v>25</v>
      </c>
      <c r="G95" s="57" t="s">
        <v>130</v>
      </c>
      <c r="H95" s="57"/>
      <c r="I95" s="57"/>
      <c r="J95" s="57">
        <v>54</v>
      </c>
      <c r="K95" s="58" t="s">
        <v>29</v>
      </c>
      <c r="L95" s="59" t="s">
        <v>132</v>
      </c>
      <c r="M95" s="60">
        <v>0</v>
      </c>
      <c r="N95" s="60"/>
      <c r="O95" s="62" t="e">
        <f t="shared" si="65"/>
        <v>#DIV/0!</v>
      </c>
      <c r="P95" s="60"/>
      <c r="Q95" s="62" t="e">
        <f t="shared" si="65"/>
        <v>#DIV/0!</v>
      </c>
      <c r="R95" s="60"/>
      <c r="S95" s="62" t="e">
        <f t="shared" ref="S95" si="89">+R95/$M95</f>
        <v>#DIV/0!</v>
      </c>
    </row>
    <row r="96" spans="1:19" ht="24.95" customHeight="1">
      <c r="A96" s="32" t="e">
        <v>#REF!</v>
      </c>
      <c r="B96" s="56" t="s">
        <v>625</v>
      </c>
      <c r="C96" s="57" t="s">
        <v>23</v>
      </c>
      <c r="D96" s="57" t="s">
        <v>65</v>
      </c>
      <c r="E96" s="57" t="s">
        <v>65</v>
      </c>
      <c r="F96" s="57" t="s">
        <v>25</v>
      </c>
      <c r="G96" s="57" t="s">
        <v>130</v>
      </c>
      <c r="H96" s="57"/>
      <c r="I96" s="57"/>
      <c r="J96" s="57">
        <v>54</v>
      </c>
      <c r="K96" s="58" t="s">
        <v>29</v>
      </c>
      <c r="L96" s="59" t="s">
        <v>133</v>
      </c>
      <c r="M96" s="60">
        <v>0</v>
      </c>
      <c r="N96" s="60"/>
      <c r="O96" s="62" t="e">
        <f t="shared" si="65"/>
        <v>#DIV/0!</v>
      </c>
      <c r="P96" s="60"/>
      <c r="Q96" s="62" t="e">
        <f t="shared" si="65"/>
        <v>#DIV/0!</v>
      </c>
      <c r="R96" s="60"/>
      <c r="S96" s="62" t="e">
        <f t="shared" ref="S96" si="90">+R96/$M96</f>
        <v>#DIV/0!</v>
      </c>
    </row>
    <row r="97" spans="1:21" ht="24.95" customHeight="1">
      <c r="A97" s="32" t="e">
        <v>#REF!</v>
      </c>
      <c r="B97" s="56" t="s">
        <v>627</v>
      </c>
      <c r="C97" s="57" t="s">
        <v>23</v>
      </c>
      <c r="D97" s="57" t="s">
        <v>65</v>
      </c>
      <c r="E97" s="57" t="s">
        <v>65</v>
      </c>
      <c r="F97" s="57" t="s">
        <v>25</v>
      </c>
      <c r="G97" s="57" t="s">
        <v>134</v>
      </c>
      <c r="H97" s="57"/>
      <c r="I97" s="57"/>
      <c r="J97" s="57" t="s">
        <v>28</v>
      </c>
      <c r="K97" s="58" t="s">
        <v>29</v>
      </c>
      <c r="L97" s="59" t="s">
        <v>135</v>
      </c>
      <c r="M97" s="60">
        <v>0</v>
      </c>
      <c r="N97" s="60">
        <v>0</v>
      </c>
      <c r="O97" s="62" t="e">
        <f t="shared" si="65"/>
        <v>#DIV/0!</v>
      </c>
      <c r="P97" s="60">
        <v>0</v>
      </c>
      <c r="Q97" s="62" t="e">
        <f t="shared" si="65"/>
        <v>#DIV/0!</v>
      </c>
      <c r="R97" s="60">
        <v>0</v>
      </c>
      <c r="S97" s="62" t="e">
        <f t="shared" ref="S97" si="91">+R97/$M97</f>
        <v>#DIV/0!</v>
      </c>
    </row>
    <row r="98" spans="1:21" ht="24.95" customHeight="1">
      <c r="A98" s="32" t="e">
        <v>#REF!</v>
      </c>
      <c r="B98" s="56" t="s">
        <v>627</v>
      </c>
      <c r="C98" s="57" t="s">
        <v>23</v>
      </c>
      <c r="D98" s="57" t="s">
        <v>65</v>
      </c>
      <c r="E98" s="57" t="s">
        <v>65</v>
      </c>
      <c r="F98" s="57" t="s">
        <v>25</v>
      </c>
      <c r="G98" s="57" t="s">
        <v>134</v>
      </c>
      <c r="H98" s="57"/>
      <c r="I98" s="57"/>
      <c r="J98" s="57">
        <v>11</v>
      </c>
      <c r="K98" s="58" t="s">
        <v>29</v>
      </c>
      <c r="L98" s="59" t="s">
        <v>135</v>
      </c>
      <c r="M98" s="60">
        <v>0</v>
      </c>
      <c r="N98" s="60"/>
      <c r="O98" s="62" t="e">
        <f t="shared" si="65"/>
        <v>#DIV/0!</v>
      </c>
      <c r="P98" s="60"/>
      <c r="Q98" s="62" t="e">
        <f t="shared" si="65"/>
        <v>#DIV/0!</v>
      </c>
      <c r="R98" s="60"/>
      <c r="S98" s="62" t="e">
        <f t="shared" ref="S98" si="92">+R98/$M98</f>
        <v>#DIV/0!</v>
      </c>
    </row>
    <row r="99" spans="1:21" ht="24" customHeight="1">
      <c r="A99" s="32" t="e">
        <v>#REF!</v>
      </c>
      <c r="B99" s="43" t="s">
        <v>403</v>
      </c>
      <c r="C99" s="44" t="s">
        <v>23</v>
      </c>
      <c r="D99" s="44" t="s">
        <v>65</v>
      </c>
      <c r="E99" s="44" t="s">
        <v>136</v>
      </c>
      <c r="F99" s="44"/>
      <c r="G99" s="44"/>
      <c r="H99" s="44"/>
      <c r="I99" s="44"/>
      <c r="J99" s="45"/>
      <c r="K99" s="45"/>
      <c r="L99" s="43" t="s">
        <v>137</v>
      </c>
      <c r="M99" s="46">
        <v>719000000</v>
      </c>
      <c r="N99" s="46">
        <v>573911887</v>
      </c>
      <c r="O99" s="47">
        <f t="shared" si="65"/>
        <v>0.79820846592489569</v>
      </c>
      <c r="P99" s="46">
        <v>218599996</v>
      </c>
      <c r="Q99" s="47">
        <f t="shared" si="65"/>
        <v>0.30403337413073711</v>
      </c>
      <c r="R99" s="46">
        <v>218599996</v>
      </c>
      <c r="S99" s="47">
        <f t="shared" ref="S99" si="93">+R99/$M99</f>
        <v>0.30403337413073711</v>
      </c>
    </row>
    <row r="100" spans="1:21" ht="21" customHeight="1">
      <c r="A100" s="32" t="e">
        <v>#REF!</v>
      </c>
      <c r="B100" s="48" t="s">
        <v>405</v>
      </c>
      <c r="C100" s="48" t="s">
        <v>23</v>
      </c>
      <c r="D100" s="48" t="s">
        <v>65</v>
      </c>
      <c r="E100" s="48" t="s">
        <v>136</v>
      </c>
      <c r="F100" s="48" t="s">
        <v>54</v>
      </c>
      <c r="G100" s="48"/>
      <c r="H100" s="48"/>
      <c r="I100" s="48"/>
      <c r="J100" s="48" t="s">
        <v>28</v>
      </c>
      <c r="K100" s="48" t="s">
        <v>29</v>
      </c>
      <c r="L100" s="48" t="s">
        <v>138</v>
      </c>
      <c r="M100" s="50">
        <v>719000000</v>
      </c>
      <c r="N100" s="50">
        <v>573911887</v>
      </c>
      <c r="O100" s="51">
        <f t="shared" si="65"/>
        <v>0.79820846592489569</v>
      </c>
      <c r="P100" s="50">
        <v>218599996</v>
      </c>
      <c r="Q100" s="51">
        <f t="shared" si="65"/>
        <v>0.30403337413073711</v>
      </c>
      <c r="R100" s="50">
        <v>218599996</v>
      </c>
      <c r="S100" s="51">
        <f t="shared" ref="S100" si="94">+R100/$M100</f>
        <v>0.30403337413073711</v>
      </c>
    </row>
    <row r="101" spans="1:21" ht="21" customHeight="1">
      <c r="A101" s="32" t="e">
        <v>#REF!</v>
      </c>
      <c r="B101" s="52" t="s">
        <v>407</v>
      </c>
      <c r="C101" s="52" t="s">
        <v>23</v>
      </c>
      <c r="D101" s="52" t="s">
        <v>65</v>
      </c>
      <c r="E101" s="52" t="s">
        <v>136</v>
      </c>
      <c r="F101" s="52" t="s">
        <v>54</v>
      </c>
      <c r="G101" s="52" t="s">
        <v>52</v>
      </c>
      <c r="H101" s="52"/>
      <c r="I101" s="52"/>
      <c r="J101" s="52" t="s">
        <v>28</v>
      </c>
      <c r="K101" s="52" t="s">
        <v>29</v>
      </c>
      <c r="L101" s="52" t="s">
        <v>139</v>
      </c>
      <c r="M101" s="54">
        <v>719000000</v>
      </c>
      <c r="N101" s="54">
        <v>573911887</v>
      </c>
      <c r="O101" s="55">
        <f t="shared" si="65"/>
        <v>0.79820846592489569</v>
      </c>
      <c r="P101" s="54">
        <v>218599996</v>
      </c>
      <c r="Q101" s="55">
        <f t="shared" si="65"/>
        <v>0.30403337413073711</v>
      </c>
      <c r="R101" s="54">
        <v>218599996</v>
      </c>
      <c r="S101" s="55">
        <f t="shared" ref="S101" si="95">+R101/$M101</f>
        <v>0.30403337413073711</v>
      </c>
    </row>
    <row r="102" spans="1:21" ht="24.95" customHeight="1">
      <c r="A102" s="32" t="e">
        <v>#REF!</v>
      </c>
      <c r="B102" s="56" t="s">
        <v>409</v>
      </c>
      <c r="C102" s="57" t="s">
        <v>23</v>
      </c>
      <c r="D102" s="57" t="s">
        <v>65</v>
      </c>
      <c r="E102" s="57" t="s">
        <v>136</v>
      </c>
      <c r="F102" s="57" t="s">
        <v>54</v>
      </c>
      <c r="G102" s="57" t="s">
        <v>52</v>
      </c>
      <c r="H102" s="57" t="s">
        <v>31</v>
      </c>
      <c r="I102" s="57"/>
      <c r="J102" s="57" t="s">
        <v>28</v>
      </c>
      <c r="K102" s="58" t="s">
        <v>29</v>
      </c>
      <c r="L102" s="59" t="s">
        <v>140</v>
      </c>
      <c r="M102" s="60">
        <v>434500000</v>
      </c>
      <c r="N102" s="60">
        <v>365863035</v>
      </c>
      <c r="O102" s="62">
        <f t="shared" si="65"/>
        <v>0.84203230149597241</v>
      </c>
      <c r="P102" s="60">
        <v>190538571</v>
      </c>
      <c r="Q102" s="62">
        <f t="shared" si="65"/>
        <v>0.43852375373993097</v>
      </c>
      <c r="R102" s="60">
        <v>190538571</v>
      </c>
      <c r="S102" s="62">
        <f t="shared" ref="S102" si="96">+R102/$M102</f>
        <v>0.43852375373993097</v>
      </c>
    </row>
    <row r="103" spans="1:21" ht="24.95" customHeight="1">
      <c r="A103" s="32" t="e">
        <v>#REF!</v>
      </c>
      <c r="B103" s="56" t="s">
        <v>411</v>
      </c>
      <c r="C103" s="57" t="s">
        <v>23</v>
      </c>
      <c r="D103" s="57" t="s">
        <v>65</v>
      </c>
      <c r="E103" s="57" t="s">
        <v>136</v>
      </c>
      <c r="F103" s="57" t="s">
        <v>54</v>
      </c>
      <c r="G103" s="57" t="s">
        <v>52</v>
      </c>
      <c r="H103" s="57" t="s">
        <v>34</v>
      </c>
      <c r="I103" s="57"/>
      <c r="J103" s="57" t="s">
        <v>28</v>
      </c>
      <c r="K103" s="58" t="s">
        <v>29</v>
      </c>
      <c r="L103" s="59" t="s">
        <v>141</v>
      </c>
      <c r="M103" s="60">
        <v>284500000</v>
      </c>
      <c r="N103" s="60">
        <v>208048852</v>
      </c>
      <c r="O103" s="62">
        <f t="shared" si="65"/>
        <v>0.73127891739894557</v>
      </c>
      <c r="P103" s="60">
        <v>28061425</v>
      </c>
      <c r="Q103" s="62">
        <f t="shared" si="65"/>
        <v>9.8634182776801402E-2</v>
      </c>
      <c r="R103" s="60">
        <v>28061425</v>
      </c>
      <c r="S103" s="62">
        <f t="shared" ref="S103" si="97">+R103/$M103</f>
        <v>9.8634182776801402E-2</v>
      </c>
    </row>
    <row r="104" spans="1:21" ht="24.95" hidden="1" customHeight="1">
      <c r="A104" s="32" t="e">
        <v>#REF!</v>
      </c>
      <c r="B104" s="56"/>
      <c r="C104" s="57" t="s">
        <v>23</v>
      </c>
      <c r="D104" s="57" t="s">
        <v>65</v>
      </c>
      <c r="E104" s="57" t="s">
        <v>136</v>
      </c>
      <c r="F104" s="57" t="s">
        <v>54</v>
      </c>
      <c r="G104" s="57" t="s">
        <v>142</v>
      </c>
      <c r="H104" s="57"/>
      <c r="I104" s="57"/>
      <c r="J104" s="57" t="s">
        <v>28</v>
      </c>
      <c r="K104" s="58" t="s">
        <v>29</v>
      </c>
      <c r="L104" s="59"/>
      <c r="M104" s="60">
        <v>0</v>
      </c>
      <c r="N104" s="60">
        <v>0</v>
      </c>
      <c r="O104" s="62" t="e">
        <f t="shared" si="65"/>
        <v>#DIV/0!</v>
      </c>
      <c r="P104" s="60">
        <v>0</v>
      </c>
      <c r="Q104" s="62" t="e">
        <f t="shared" si="65"/>
        <v>#DIV/0!</v>
      </c>
      <c r="R104" s="60">
        <v>0</v>
      </c>
      <c r="S104" s="62" t="e">
        <f t="shared" ref="S104" si="98">+R104/$M104</f>
        <v>#DIV/0!</v>
      </c>
    </row>
    <row r="105" spans="1:21" ht="24" customHeight="1">
      <c r="A105" s="32" t="e">
        <v>#REF!</v>
      </c>
      <c r="B105" s="43" t="s">
        <v>415</v>
      </c>
      <c r="C105" s="44" t="s">
        <v>23</v>
      </c>
      <c r="D105" s="44" t="s">
        <v>65</v>
      </c>
      <c r="E105" s="44" t="s">
        <v>28</v>
      </c>
      <c r="F105" s="44"/>
      <c r="G105" s="44"/>
      <c r="H105" s="44"/>
      <c r="I105" s="44"/>
      <c r="J105" s="45"/>
      <c r="K105" s="45"/>
      <c r="L105" s="43" t="s">
        <v>143</v>
      </c>
      <c r="M105" s="46">
        <v>2359000000</v>
      </c>
      <c r="N105" s="46">
        <v>2096131383.73</v>
      </c>
      <c r="O105" s="47">
        <f t="shared" si="65"/>
        <v>0.88856777606189064</v>
      </c>
      <c r="P105" s="46">
        <v>2096131383.73</v>
      </c>
      <c r="Q105" s="47">
        <f t="shared" si="65"/>
        <v>0.88856777606189064</v>
      </c>
      <c r="R105" s="46">
        <v>2096131383.73</v>
      </c>
      <c r="S105" s="47">
        <f t="shared" ref="S105" si="99">+R105/$M105</f>
        <v>0.88856777606189064</v>
      </c>
    </row>
    <row r="106" spans="1:21" ht="21.75" customHeight="1">
      <c r="A106" s="32" t="e">
        <v>#REF!</v>
      </c>
      <c r="B106" s="48" t="s">
        <v>417</v>
      </c>
      <c r="C106" s="48" t="s">
        <v>23</v>
      </c>
      <c r="D106" s="48" t="s">
        <v>65</v>
      </c>
      <c r="E106" s="48" t="s">
        <v>28</v>
      </c>
      <c r="F106" s="48" t="s">
        <v>25</v>
      </c>
      <c r="G106" s="48"/>
      <c r="H106" s="48"/>
      <c r="I106" s="48"/>
      <c r="J106" s="48" t="s">
        <v>144</v>
      </c>
      <c r="K106" s="48" t="s">
        <v>29</v>
      </c>
      <c r="L106" s="48" t="s">
        <v>145</v>
      </c>
      <c r="M106" s="50">
        <v>2359000000</v>
      </c>
      <c r="N106" s="50">
        <v>2096131383.73</v>
      </c>
      <c r="O106" s="51">
        <f t="shared" si="65"/>
        <v>0.88856777606189064</v>
      </c>
      <c r="P106" s="50">
        <v>2096131383.73</v>
      </c>
      <c r="Q106" s="51">
        <f t="shared" si="65"/>
        <v>0.88856777606189064</v>
      </c>
      <c r="R106" s="50">
        <v>2096131383.73</v>
      </c>
      <c r="S106" s="51">
        <f t="shared" ref="S106" si="100">+R106/$M106</f>
        <v>0.88856777606189064</v>
      </c>
    </row>
    <row r="107" spans="1:21" ht="24.95" customHeight="1">
      <c r="A107" s="32" t="e">
        <v>#REF!</v>
      </c>
      <c r="B107" s="56" t="s">
        <v>418</v>
      </c>
      <c r="C107" s="57" t="s">
        <v>23</v>
      </c>
      <c r="D107" s="57" t="s">
        <v>65</v>
      </c>
      <c r="E107" s="57" t="s">
        <v>28</v>
      </c>
      <c r="F107" s="57" t="s">
        <v>25</v>
      </c>
      <c r="G107" s="57" t="s">
        <v>31</v>
      </c>
      <c r="H107" s="57"/>
      <c r="I107" s="57"/>
      <c r="J107" s="57">
        <v>10</v>
      </c>
      <c r="K107" s="58" t="s">
        <v>29</v>
      </c>
      <c r="L107" s="59" t="s">
        <v>146</v>
      </c>
      <c r="M107" s="60">
        <v>2311820000</v>
      </c>
      <c r="N107" s="60">
        <v>2076718790.73</v>
      </c>
      <c r="O107" s="62">
        <f t="shared" si="65"/>
        <v>0.89830470829476339</v>
      </c>
      <c r="P107" s="60">
        <v>2076718790.73</v>
      </c>
      <c r="Q107" s="62">
        <f t="shared" si="65"/>
        <v>0.89830470829476339</v>
      </c>
      <c r="R107" s="60">
        <v>2076718790.73</v>
      </c>
      <c r="S107" s="62">
        <f t="shared" ref="S107" si="101">+R107/$M107</f>
        <v>0.89830470829476339</v>
      </c>
    </row>
    <row r="108" spans="1:21" ht="24.95" customHeight="1">
      <c r="A108" s="32" t="e">
        <v>#REF!</v>
      </c>
      <c r="B108" s="56" t="s">
        <v>419</v>
      </c>
      <c r="C108" s="57" t="s">
        <v>23</v>
      </c>
      <c r="D108" s="57" t="s">
        <v>65</v>
      </c>
      <c r="E108" s="57" t="s">
        <v>28</v>
      </c>
      <c r="F108" s="57" t="s">
        <v>25</v>
      </c>
      <c r="G108" s="57" t="s">
        <v>34</v>
      </c>
      <c r="H108" s="57"/>
      <c r="I108" s="57"/>
      <c r="J108" s="57">
        <v>10</v>
      </c>
      <c r="K108" s="58" t="s">
        <v>29</v>
      </c>
      <c r="L108" s="59" t="s">
        <v>147</v>
      </c>
      <c r="M108" s="60">
        <v>47180000</v>
      </c>
      <c r="N108" s="60">
        <v>19412593</v>
      </c>
      <c r="O108" s="62">
        <f t="shared" si="65"/>
        <v>0.41145809665112337</v>
      </c>
      <c r="P108" s="60">
        <v>19412593</v>
      </c>
      <c r="Q108" s="62">
        <f t="shared" si="65"/>
        <v>0.41145809665112337</v>
      </c>
      <c r="R108" s="60">
        <v>19412593</v>
      </c>
      <c r="S108" s="62">
        <f t="shared" ref="S108" si="102">+R108/$M108</f>
        <v>0.41145809665112337</v>
      </c>
    </row>
    <row r="109" spans="1:21" ht="24" customHeight="1">
      <c r="A109" s="32" t="e">
        <v>#REF!</v>
      </c>
      <c r="B109" s="38" t="s">
        <v>421</v>
      </c>
      <c r="C109" s="39" t="s">
        <v>23</v>
      </c>
      <c r="D109" s="39" t="s">
        <v>148</v>
      </c>
      <c r="E109" s="39"/>
      <c r="F109" s="39"/>
      <c r="G109" s="39"/>
      <c r="H109" s="39"/>
      <c r="I109" s="39"/>
      <c r="J109" s="40"/>
      <c r="K109" s="40"/>
      <c r="L109" s="38" t="s">
        <v>149</v>
      </c>
      <c r="M109" s="41">
        <v>17105900000</v>
      </c>
      <c r="N109" s="41">
        <v>86355208.780000001</v>
      </c>
      <c r="O109" s="42">
        <f t="shared" si="65"/>
        <v>5.0482704084555624E-3</v>
      </c>
      <c r="P109" s="41">
        <v>86322145.780000001</v>
      </c>
      <c r="Q109" s="42">
        <f t="shared" si="65"/>
        <v>5.0463375665705983E-3</v>
      </c>
      <c r="R109" s="41">
        <v>85697338.780000001</v>
      </c>
      <c r="S109" s="42">
        <f t="shared" ref="S109" si="103">+R109/$M109</f>
        <v>5.0098117479933828E-3</v>
      </c>
    </row>
    <row r="110" spans="1:21" ht="24" customHeight="1">
      <c r="A110" s="32" t="e">
        <v>#REF!</v>
      </c>
      <c r="B110" s="43" t="s">
        <v>423</v>
      </c>
      <c r="C110" s="44" t="s">
        <v>23</v>
      </c>
      <c r="D110" s="44" t="s">
        <v>148</v>
      </c>
      <c r="E110" s="44" t="s">
        <v>25</v>
      </c>
      <c r="F110" s="44"/>
      <c r="G110" s="44"/>
      <c r="H110" s="44"/>
      <c r="I110" s="44"/>
      <c r="J110" s="45"/>
      <c r="K110" s="45"/>
      <c r="L110" s="43" t="s">
        <v>150</v>
      </c>
      <c r="M110" s="46">
        <v>137900000</v>
      </c>
      <c r="N110" s="46">
        <v>86355208.780000001</v>
      </c>
      <c r="O110" s="47">
        <f t="shared" si="65"/>
        <v>0.62621616229151555</v>
      </c>
      <c r="P110" s="46">
        <v>86322145.780000001</v>
      </c>
      <c r="Q110" s="47">
        <f t="shared" si="65"/>
        <v>0.62597640159535894</v>
      </c>
      <c r="R110" s="46">
        <v>85697338.780000001</v>
      </c>
      <c r="S110" s="47">
        <f t="shared" ref="S110" si="104">+R110/$M110</f>
        <v>0.62144553139956493</v>
      </c>
    </row>
    <row r="111" spans="1:21" ht="24" customHeight="1">
      <c r="A111" s="32" t="e">
        <v>#REF!</v>
      </c>
      <c r="B111" s="48" t="s">
        <v>425</v>
      </c>
      <c r="C111" s="48" t="s">
        <v>23</v>
      </c>
      <c r="D111" s="48" t="s">
        <v>148</v>
      </c>
      <c r="E111" s="48" t="s">
        <v>25</v>
      </c>
      <c r="F111" s="48" t="s">
        <v>54</v>
      </c>
      <c r="G111" s="48"/>
      <c r="H111" s="48"/>
      <c r="I111" s="48"/>
      <c r="J111" s="48" t="s">
        <v>28</v>
      </c>
      <c r="K111" s="48" t="s">
        <v>29</v>
      </c>
      <c r="L111" s="48" t="s">
        <v>151</v>
      </c>
      <c r="M111" s="50">
        <v>137900000</v>
      </c>
      <c r="N111" s="50">
        <v>86355208.780000001</v>
      </c>
      <c r="O111" s="51">
        <f t="shared" si="65"/>
        <v>0.62621616229151555</v>
      </c>
      <c r="P111" s="50">
        <v>86322145.780000001</v>
      </c>
      <c r="Q111" s="51">
        <f t="shared" si="65"/>
        <v>0.62597640159535894</v>
      </c>
      <c r="R111" s="50">
        <v>85697338.780000001</v>
      </c>
      <c r="S111" s="51">
        <f t="shared" ref="S111" si="105">+R111/$M111</f>
        <v>0.62144553139956493</v>
      </c>
    </row>
    <row r="112" spans="1:21" ht="24.95" customHeight="1">
      <c r="A112" s="32" t="e">
        <v>#REF!</v>
      </c>
      <c r="B112" s="56" t="s">
        <v>427</v>
      </c>
      <c r="C112" s="57" t="s">
        <v>23</v>
      </c>
      <c r="D112" s="57" t="s">
        <v>148</v>
      </c>
      <c r="E112" s="57" t="s">
        <v>25</v>
      </c>
      <c r="F112" s="57" t="s">
        <v>54</v>
      </c>
      <c r="G112" s="57" t="s">
        <v>31</v>
      </c>
      <c r="H112" s="57"/>
      <c r="I112" s="57"/>
      <c r="J112" s="57" t="s">
        <v>28</v>
      </c>
      <c r="K112" s="58" t="s">
        <v>29</v>
      </c>
      <c r="L112" s="59" t="s">
        <v>152</v>
      </c>
      <c r="M112" s="60">
        <v>61800000</v>
      </c>
      <c r="N112" s="60">
        <v>46149614</v>
      </c>
      <c r="O112" s="62">
        <f t="shared" si="65"/>
        <v>0.74675750809061492</v>
      </c>
      <c r="P112" s="60">
        <v>46149614</v>
      </c>
      <c r="Q112" s="62">
        <f t="shared" si="65"/>
        <v>0.74675750809061492</v>
      </c>
      <c r="R112" s="60">
        <v>46149614</v>
      </c>
      <c r="S112" s="62">
        <f t="shared" ref="S112" si="106">+R112/$M112</f>
        <v>0.74675750809061492</v>
      </c>
    </row>
    <row r="113" spans="1:19" ht="24.95" customHeight="1">
      <c r="A113" s="32" t="e">
        <v>#REF!</v>
      </c>
      <c r="B113" s="56" t="s">
        <v>429</v>
      </c>
      <c r="C113" s="57" t="s">
        <v>23</v>
      </c>
      <c r="D113" s="57" t="s">
        <v>148</v>
      </c>
      <c r="E113" s="57" t="s">
        <v>25</v>
      </c>
      <c r="F113" s="57" t="s">
        <v>54</v>
      </c>
      <c r="G113" s="57" t="s">
        <v>38</v>
      </c>
      <c r="H113" s="57"/>
      <c r="I113" s="57"/>
      <c r="J113" s="57" t="s">
        <v>28</v>
      </c>
      <c r="K113" s="58" t="s">
        <v>29</v>
      </c>
      <c r="L113" s="59" t="s">
        <v>153</v>
      </c>
      <c r="M113" s="60">
        <v>50000000</v>
      </c>
      <c r="N113" s="60">
        <v>33108444.780000001</v>
      </c>
      <c r="O113" s="62">
        <f t="shared" si="65"/>
        <v>0.66216889560000003</v>
      </c>
      <c r="P113" s="60">
        <v>33075381.780000001</v>
      </c>
      <c r="Q113" s="62">
        <f t="shared" si="65"/>
        <v>0.66150763560000003</v>
      </c>
      <c r="R113" s="60">
        <v>32450574.780000001</v>
      </c>
      <c r="S113" s="62">
        <f t="shared" ref="S113" si="107">+R113/$M113</f>
        <v>0.64901149560000004</v>
      </c>
    </row>
    <row r="114" spans="1:19" ht="24.95" customHeight="1">
      <c r="A114" s="32" t="e">
        <v>#REF!</v>
      </c>
      <c r="B114" s="56" t="s">
        <v>431</v>
      </c>
      <c r="C114" s="57" t="s">
        <v>23</v>
      </c>
      <c r="D114" s="57" t="s">
        <v>148</v>
      </c>
      <c r="E114" s="57" t="s">
        <v>25</v>
      </c>
      <c r="F114" s="57" t="s">
        <v>54</v>
      </c>
      <c r="G114" s="57" t="s">
        <v>42</v>
      </c>
      <c r="H114" s="57"/>
      <c r="I114" s="57"/>
      <c r="J114" s="57" t="s">
        <v>28</v>
      </c>
      <c r="K114" s="58" t="s">
        <v>29</v>
      </c>
      <c r="L114" s="59" t="s">
        <v>154</v>
      </c>
      <c r="M114" s="60">
        <v>26100000</v>
      </c>
      <c r="N114" s="60">
        <v>7097150</v>
      </c>
      <c r="O114" s="62">
        <f t="shared" si="65"/>
        <v>0.27192145593869732</v>
      </c>
      <c r="P114" s="60">
        <v>7097150</v>
      </c>
      <c r="Q114" s="62">
        <f t="shared" si="65"/>
        <v>0.27192145593869732</v>
      </c>
      <c r="R114" s="60">
        <v>7097150</v>
      </c>
      <c r="S114" s="62">
        <f t="shared" ref="S114" si="108">+R114/$M114</f>
        <v>0.27192145593869732</v>
      </c>
    </row>
    <row r="115" spans="1:19" ht="24" customHeight="1">
      <c r="A115" s="32" t="e">
        <v>#REF!</v>
      </c>
      <c r="B115" s="43" t="s">
        <v>432</v>
      </c>
      <c r="C115" s="44" t="s">
        <v>23</v>
      </c>
      <c r="D115" s="44" t="s">
        <v>148</v>
      </c>
      <c r="E115" s="44" t="s">
        <v>136</v>
      </c>
      <c r="F115" s="44"/>
      <c r="G115" s="44"/>
      <c r="H115" s="44"/>
      <c r="I115" s="44"/>
      <c r="J115" s="45"/>
      <c r="K115" s="45"/>
      <c r="L115" s="43" t="s">
        <v>155</v>
      </c>
      <c r="M115" s="46">
        <v>16968000000</v>
      </c>
      <c r="N115" s="46">
        <v>0</v>
      </c>
      <c r="O115" s="47">
        <f t="shared" si="65"/>
        <v>0</v>
      </c>
      <c r="P115" s="46">
        <v>0</v>
      </c>
      <c r="Q115" s="47">
        <f t="shared" si="65"/>
        <v>0</v>
      </c>
      <c r="R115" s="46">
        <v>0</v>
      </c>
      <c r="S115" s="47">
        <f t="shared" ref="S115" si="109">+R115/$M115</f>
        <v>0</v>
      </c>
    </row>
    <row r="116" spans="1:19" ht="24.95" hidden="1" customHeight="1">
      <c r="A116" s="32"/>
      <c r="B116" s="56"/>
      <c r="C116" s="57" t="s">
        <v>23</v>
      </c>
      <c r="D116" s="57" t="s">
        <v>148</v>
      </c>
      <c r="E116" s="57" t="s">
        <v>136</v>
      </c>
      <c r="F116" s="57" t="s">
        <v>25</v>
      </c>
      <c r="G116" s="57"/>
      <c r="H116" s="57"/>
      <c r="I116" s="57"/>
      <c r="J116" s="57">
        <v>10</v>
      </c>
      <c r="K116" s="58" t="s">
        <v>156</v>
      </c>
      <c r="L116" s="59" t="s">
        <v>157</v>
      </c>
      <c r="M116" s="60">
        <v>0</v>
      </c>
      <c r="N116" s="60">
        <v>0</v>
      </c>
      <c r="O116" s="62" t="e">
        <f t="shared" si="65"/>
        <v>#DIV/0!</v>
      </c>
      <c r="P116" s="60">
        <v>0</v>
      </c>
      <c r="Q116" s="62" t="e">
        <f t="shared" si="65"/>
        <v>#DIV/0!</v>
      </c>
      <c r="R116" s="60">
        <v>0</v>
      </c>
      <c r="S116" s="62" t="e">
        <f t="shared" ref="S116" si="110">+R116/$M116</f>
        <v>#DIV/0!</v>
      </c>
    </row>
    <row r="117" spans="1:19" ht="24.95" customHeight="1">
      <c r="A117" s="32" t="e">
        <v>#REF!</v>
      </c>
      <c r="B117" s="56" t="s">
        <v>434</v>
      </c>
      <c r="C117" s="57" t="s">
        <v>23</v>
      </c>
      <c r="D117" s="57" t="s">
        <v>148</v>
      </c>
      <c r="E117" s="57" t="s">
        <v>136</v>
      </c>
      <c r="F117" s="57" t="s">
        <v>25</v>
      </c>
      <c r="G117" s="57"/>
      <c r="H117" s="57"/>
      <c r="I117" s="57"/>
      <c r="J117" s="57" t="s">
        <v>144</v>
      </c>
      <c r="K117" s="58" t="s">
        <v>156</v>
      </c>
      <c r="L117" s="59" t="s">
        <v>157</v>
      </c>
      <c r="M117" s="60">
        <v>16968000000</v>
      </c>
      <c r="N117" s="60">
        <v>0</v>
      </c>
      <c r="O117" s="62">
        <f t="shared" si="65"/>
        <v>0</v>
      </c>
      <c r="P117" s="60">
        <v>0</v>
      </c>
      <c r="Q117" s="62">
        <f t="shared" si="65"/>
        <v>0</v>
      </c>
      <c r="R117" s="60">
        <v>0</v>
      </c>
      <c r="S117" s="62">
        <f t="shared" ref="S117" si="111">+R117/$M117</f>
        <v>0</v>
      </c>
    </row>
    <row r="118" spans="1:19" ht="35.1" customHeight="1">
      <c r="A118" s="32" t="e">
        <v>#REF!</v>
      </c>
      <c r="B118" s="33" t="s">
        <v>162</v>
      </c>
      <c r="C118" s="34" t="s">
        <v>162</v>
      </c>
      <c r="D118" s="35"/>
      <c r="E118" s="35"/>
      <c r="F118" s="35"/>
      <c r="G118" s="35"/>
      <c r="H118" s="35"/>
      <c r="I118" s="35"/>
      <c r="J118" s="35"/>
      <c r="K118" s="35"/>
      <c r="L118" s="33" t="s">
        <v>163</v>
      </c>
      <c r="M118" s="36">
        <v>381865302</v>
      </c>
      <c r="N118" s="36">
        <v>0</v>
      </c>
      <c r="O118" s="37">
        <f t="shared" si="65"/>
        <v>0</v>
      </c>
      <c r="P118" s="36">
        <v>0</v>
      </c>
      <c r="Q118" s="37">
        <f t="shared" si="65"/>
        <v>0</v>
      </c>
      <c r="R118" s="36">
        <v>0</v>
      </c>
      <c r="S118" s="37">
        <f t="shared" ref="S118" si="112">+R118/$M118</f>
        <v>0</v>
      </c>
    </row>
    <row r="119" spans="1:19" ht="24" customHeight="1">
      <c r="A119" s="32" t="e">
        <v>#REF!</v>
      </c>
      <c r="B119" s="38" t="s">
        <v>729</v>
      </c>
      <c r="C119" s="39" t="s">
        <v>162</v>
      </c>
      <c r="D119" s="39">
        <v>10</v>
      </c>
      <c r="E119" s="39"/>
      <c r="F119" s="39"/>
      <c r="G119" s="39"/>
      <c r="H119" s="39"/>
      <c r="I119" s="39"/>
      <c r="J119" s="40"/>
      <c r="K119" s="40"/>
      <c r="L119" s="38" t="s">
        <v>164</v>
      </c>
      <c r="M119" s="41">
        <v>381865302</v>
      </c>
      <c r="N119" s="41">
        <v>0</v>
      </c>
      <c r="O119" s="42">
        <f t="shared" si="65"/>
        <v>0</v>
      </c>
      <c r="P119" s="41">
        <v>0</v>
      </c>
      <c r="Q119" s="42">
        <f t="shared" si="65"/>
        <v>0</v>
      </c>
      <c r="R119" s="41">
        <v>0</v>
      </c>
      <c r="S119" s="42">
        <f t="shared" ref="S119" si="113">+R119/$M119</f>
        <v>0</v>
      </c>
    </row>
    <row r="120" spans="1:19" ht="24" customHeight="1">
      <c r="A120" s="32" t="e">
        <v>#REF!</v>
      </c>
      <c r="B120" s="43" t="s">
        <v>730</v>
      </c>
      <c r="C120" s="44" t="s">
        <v>162</v>
      </c>
      <c r="D120" s="44">
        <v>10</v>
      </c>
      <c r="E120" s="44" t="s">
        <v>136</v>
      </c>
      <c r="F120" s="44"/>
      <c r="G120" s="44"/>
      <c r="H120" s="44"/>
      <c r="I120" s="44"/>
      <c r="J120" s="45"/>
      <c r="K120" s="45"/>
      <c r="L120" s="43" t="s">
        <v>165</v>
      </c>
      <c r="M120" s="46">
        <v>381865302</v>
      </c>
      <c r="N120" s="46">
        <v>0</v>
      </c>
      <c r="O120" s="47">
        <f t="shared" si="65"/>
        <v>0</v>
      </c>
      <c r="P120" s="46">
        <v>0</v>
      </c>
      <c r="Q120" s="47">
        <f t="shared" si="65"/>
        <v>0</v>
      </c>
      <c r="R120" s="46">
        <v>0</v>
      </c>
      <c r="S120" s="47">
        <f t="shared" ref="S120" si="114">+R120/$M120</f>
        <v>0</v>
      </c>
    </row>
    <row r="121" spans="1:19" ht="24.95" customHeight="1">
      <c r="A121" s="32" t="e">
        <v>#REF!</v>
      </c>
      <c r="B121" s="56" t="s">
        <v>731</v>
      </c>
      <c r="C121" s="57" t="s">
        <v>162</v>
      </c>
      <c r="D121" s="57">
        <v>10</v>
      </c>
      <c r="E121" s="57" t="s">
        <v>136</v>
      </c>
      <c r="F121" s="57" t="s">
        <v>25</v>
      </c>
      <c r="G121" s="57"/>
      <c r="H121" s="57"/>
      <c r="I121" s="57"/>
      <c r="J121" s="57" t="s">
        <v>144</v>
      </c>
      <c r="K121" s="58" t="s">
        <v>29</v>
      </c>
      <c r="L121" s="59" t="s">
        <v>166</v>
      </c>
      <c r="M121" s="60">
        <v>381865302</v>
      </c>
      <c r="N121" s="60">
        <v>0</v>
      </c>
      <c r="O121" s="62">
        <f t="shared" si="65"/>
        <v>0</v>
      </c>
      <c r="P121" s="60">
        <v>0</v>
      </c>
      <c r="Q121" s="62">
        <f t="shared" si="65"/>
        <v>0</v>
      </c>
      <c r="R121" s="60">
        <v>0</v>
      </c>
      <c r="S121" s="62">
        <f t="shared" ref="S121" si="115">+R121/$M121</f>
        <v>0</v>
      </c>
    </row>
    <row r="122" spans="1:19" ht="35.1" customHeight="1">
      <c r="A122" s="32" t="e">
        <v>#REF!</v>
      </c>
      <c r="B122" s="33" t="s">
        <v>167</v>
      </c>
      <c r="C122" s="34" t="s">
        <v>167</v>
      </c>
      <c r="D122" s="35"/>
      <c r="E122" s="35"/>
      <c r="F122" s="35"/>
      <c r="G122" s="35"/>
      <c r="H122" s="35"/>
      <c r="I122" s="35"/>
      <c r="J122" s="35"/>
      <c r="K122" s="35"/>
      <c r="L122" s="33" t="s">
        <v>168</v>
      </c>
      <c r="M122" s="36">
        <v>12921518459989</v>
      </c>
      <c r="N122" s="36">
        <v>10506990495934.709</v>
      </c>
      <c r="O122" s="37">
        <f t="shared" si="65"/>
        <v>0.81313899202088469</v>
      </c>
      <c r="P122" s="36">
        <v>9224381419602.1504</v>
      </c>
      <c r="Q122" s="37">
        <f t="shared" si="65"/>
        <v>0.7138775096878206</v>
      </c>
      <c r="R122" s="36">
        <v>9221731544475.209</v>
      </c>
      <c r="S122" s="37">
        <f t="shared" ref="S122" si="116">+R122/$M122</f>
        <v>0.7136724350957635</v>
      </c>
    </row>
    <row r="123" spans="1:19" ht="24" hidden="1" customHeight="1">
      <c r="A123" s="32" t="e">
        <v>#REF!</v>
      </c>
      <c r="B123" s="69" t="s">
        <v>437</v>
      </c>
      <c r="C123" s="70" t="s">
        <v>167</v>
      </c>
      <c r="D123" s="70">
        <v>4101</v>
      </c>
      <c r="E123" s="70"/>
      <c r="F123" s="70"/>
      <c r="G123" s="70"/>
      <c r="H123" s="70"/>
      <c r="I123" s="70"/>
      <c r="J123" s="71"/>
      <c r="K123" s="71"/>
      <c r="L123" s="69" t="s">
        <v>169</v>
      </c>
      <c r="M123" s="41">
        <v>0</v>
      </c>
      <c r="N123" s="41">
        <v>0</v>
      </c>
      <c r="O123" s="42" t="e">
        <f t="shared" si="65"/>
        <v>#DIV/0!</v>
      </c>
      <c r="P123" s="41">
        <v>0</v>
      </c>
      <c r="Q123" s="42" t="e">
        <f t="shared" si="65"/>
        <v>#DIV/0!</v>
      </c>
      <c r="R123" s="41">
        <v>0</v>
      </c>
      <c r="S123" s="42" t="e">
        <f t="shared" ref="S123" si="117">+R123/$M123</f>
        <v>#DIV/0!</v>
      </c>
    </row>
    <row r="124" spans="1:19" ht="24" hidden="1" customHeight="1">
      <c r="A124" s="32" t="e">
        <v>#REF!</v>
      </c>
      <c r="B124" s="72" t="s">
        <v>295</v>
      </c>
      <c r="C124" s="73" t="s">
        <v>167</v>
      </c>
      <c r="D124" s="73">
        <v>4101</v>
      </c>
      <c r="E124" s="73">
        <v>1500</v>
      </c>
      <c r="F124" s="73"/>
      <c r="G124" s="73"/>
      <c r="H124" s="73"/>
      <c r="I124" s="73"/>
      <c r="J124" s="74"/>
      <c r="K124" s="74"/>
      <c r="L124" s="72" t="s">
        <v>170</v>
      </c>
      <c r="M124" s="46"/>
      <c r="N124" s="46"/>
      <c r="O124" s="47" t="e">
        <f t="shared" si="65"/>
        <v>#DIV/0!</v>
      </c>
      <c r="P124" s="46"/>
      <c r="Q124" s="47" t="e">
        <f t="shared" si="65"/>
        <v>#DIV/0!</v>
      </c>
      <c r="R124" s="46"/>
      <c r="S124" s="47" t="e">
        <f t="shared" ref="S124" si="118">+R124/$M124</f>
        <v>#DIV/0!</v>
      </c>
    </row>
    <row r="125" spans="1:19" ht="60" hidden="1" customHeight="1">
      <c r="A125" s="32" t="e">
        <v>#REF!</v>
      </c>
      <c r="B125" s="75" t="s">
        <v>454</v>
      </c>
      <c r="C125" s="75" t="s">
        <v>167</v>
      </c>
      <c r="D125" s="75" t="s">
        <v>171</v>
      </c>
      <c r="E125" s="75" t="s">
        <v>172</v>
      </c>
      <c r="F125" s="75" t="s">
        <v>173</v>
      </c>
      <c r="G125" s="75"/>
      <c r="H125" s="75"/>
      <c r="I125" s="75"/>
      <c r="J125" s="75"/>
      <c r="K125" s="75"/>
      <c r="L125" s="75" t="s">
        <v>174</v>
      </c>
      <c r="M125" s="50">
        <v>0</v>
      </c>
      <c r="N125" s="50">
        <v>0</v>
      </c>
      <c r="O125" s="51" t="e">
        <f t="shared" si="65"/>
        <v>#DIV/0!</v>
      </c>
      <c r="P125" s="50">
        <v>0</v>
      </c>
      <c r="Q125" s="51" t="e">
        <f t="shared" si="65"/>
        <v>#DIV/0!</v>
      </c>
      <c r="R125" s="50">
        <v>0</v>
      </c>
      <c r="S125" s="51" t="e">
        <f t="shared" ref="S125" si="119">+R125/$M125</f>
        <v>#DIV/0!</v>
      </c>
    </row>
    <row r="126" spans="1:19" ht="24" hidden="1" customHeight="1">
      <c r="A126" s="32" t="e">
        <v>#REF!</v>
      </c>
      <c r="B126" s="77" t="s">
        <v>456</v>
      </c>
      <c r="C126" s="52" t="s">
        <v>167</v>
      </c>
      <c r="D126" s="52" t="s">
        <v>171</v>
      </c>
      <c r="E126" s="52" t="s">
        <v>172</v>
      </c>
      <c r="F126" s="52" t="s">
        <v>173</v>
      </c>
      <c r="G126" s="52" t="s">
        <v>175</v>
      </c>
      <c r="H126" s="52" t="s">
        <v>176</v>
      </c>
      <c r="I126" s="52"/>
      <c r="J126" s="52" t="s">
        <v>144</v>
      </c>
      <c r="K126" s="52" t="s">
        <v>29</v>
      </c>
      <c r="L126" s="77" t="s">
        <v>177</v>
      </c>
      <c r="M126" s="54">
        <v>0</v>
      </c>
      <c r="N126" s="54">
        <v>0</v>
      </c>
      <c r="O126" s="55" t="e">
        <f t="shared" si="65"/>
        <v>#DIV/0!</v>
      </c>
      <c r="P126" s="54">
        <v>0</v>
      </c>
      <c r="Q126" s="55" t="e">
        <f t="shared" si="65"/>
        <v>#DIV/0!</v>
      </c>
      <c r="R126" s="54">
        <v>0</v>
      </c>
      <c r="S126" s="55" t="e">
        <f t="shared" ref="S126" si="120">+R126/$M126</f>
        <v>#DIV/0!</v>
      </c>
    </row>
    <row r="127" spans="1:19" ht="24.95" hidden="1" customHeight="1">
      <c r="A127" s="32" t="e">
        <v>#REF!</v>
      </c>
      <c r="B127" s="78" t="s">
        <v>458</v>
      </c>
      <c r="C127" s="79" t="s">
        <v>167</v>
      </c>
      <c r="D127" s="79" t="s">
        <v>171</v>
      </c>
      <c r="E127" s="79" t="s">
        <v>172</v>
      </c>
      <c r="F127" s="79" t="s">
        <v>173</v>
      </c>
      <c r="G127" s="79" t="s">
        <v>175</v>
      </c>
      <c r="H127" s="79" t="s">
        <v>176</v>
      </c>
      <c r="I127" s="79" t="s">
        <v>54</v>
      </c>
      <c r="J127" s="79" t="s">
        <v>144</v>
      </c>
      <c r="K127" s="80" t="s">
        <v>29</v>
      </c>
      <c r="L127" s="59" t="s">
        <v>178</v>
      </c>
      <c r="M127" s="60">
        <v>0</v>
      </c>
      <c r="N127" s="60"/>
      <c r="O127" s="62" t="e">
        <f t="shared" si="65"/>
        <v>#DIV/0!</v>
      </c>
      <c r="P127" s="60"/>
      <c r="Q127" s="62" t="e">
        <f t="shared" si="65"/>
        <v>#DIV/0!</v>
      </c>
      <c r="R127" s="60"/>
      <c r="S127" s="62" t="e">
        <f t="shared" ref="S127" si="121">+R127/$M127</f>
        <v>#DIV/0!</v>
      </c>
    </row>
    <row r="128" spans="1:19" ht="33" hidden="1" customHeight="1">
      <c r="A128" s="32" t="e">
        <v>#REF!</v>
      </c>
      <c r="B128" s="77" t="s">
        <v>460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179</v>
      </c>
      <c r="I128" s="52"/>
      <c r="J128" s="52" t="s">
        <v>144</v>
      </c>
      <c r="K128" s="52" t="s">
        <v>29</v>
      </c>
      <c r="L128" s="77" t="s">
        <v>180</v>
      </c>
      <c r="M128" s="54">
        <v>0</v>
      </c>
      <c r="N128" s="54">
        <v>0</v>
      </c>
      <c r="O128" s="55" t="e">
        <f t="shared" si="65"/>
        <v>#DIV/0!</v>
      </c>
      <c r="P128" s="54">
        <v>0</v>
      </c>
      <c r="Q128" s="55" t="e">
        <f t="shared" si="65"/>
        <v>#DIV/0!</v>
      </c>
      <c r="R128" s="54">
        <v>0</v>
      </c>
      <c r="S128" s="55" t="e">
        <f t="shared" ref="S128" si="122">+R128/$M128</f>
        <v>#DIV/0!</v>
      </c>
    </row>
    <row r="129" spans="1:19" ht="24.95" hidden="1" customHeight="1">
      <c r="A129" s="32" t="e">
        <v>#REF!</v>
      </c>
      <c r="B129" s="78" t="s">
        <v>462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179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>
        <v>0</v>
      </c>
      <c r="N129" s="60"/>
      <c r="O129" s="62" t="e">
        <f t="shared" si="65"/>
        <v>#DIV/0!</v>
      </c>
      <c r="P129" s="60"/>
      <c r="Q129" s="62" t="e">
        <f t="shared" si="65"/>
        <v>#DIV/0!</v>
      </c>
      <c r="R129" s="60"/>
      <c r="S129" s="62" t="e">
        <f t="shared" ref="S129" si="123">+R129/$M129</f>
        <v>#DIV/0!</v>
      </c>
    </row>
    <row r="130" spans="1:19" ht="43.5" hidden="1" customHeight="1">
      <c r="A130" s="32" t="e">
        <v>#REF!</v>
      </c>
      <c r="B130" s="77" t="s">
        <v>690</v>
      </c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181</v>
      </c>
      <c r="I130" s="52"/>
      <c r="J130" s="52" t="s">
        <v>144</v>
      </c>
      <c r="K130" s="52" t="s">
        <v>29</v>
      </c>
      <c r="L130" s="77" t="s">
        <v>182</v>
      </c>
      <c r="M130" s="54">
        <v>0</v>
      </c>
      <c r="N130" s="54">
        <v>0</v>
      </c>
      <c r="O130" s="55" t="e">
        <f t="shared" si="65"/>
        <v>#DIV/0!</v>
      </c>
      <c r="P130" s="54">
        <v>0</v>
      </c>
      <c r="Q130" s="55" t="e">
        <f t="shared" si="65"/>
        <v>#DIV/0!</v>
      </c>
      <c r="R130" s="54">
        <v>0</v>
      </c>
      <c r="S130" s="55" t="e">
        <f t="shared" ref="S130" si="124">+R130/$M130</f>
        <v>#DIV/0!</v>
      </c>
    </row>
    <row r="131" spans="1:19" ht="24.95" hidden="1" customHeight="1">
      <c r="A131" s="32" t="e">
        <v>#REF!</v>
      </c>
      <c r="B131" s="78" t="s">
        <v>466</v>
      </c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181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>
        <v>0</v>
      </c>
      <c r="N131" s="60"/>
      <c r="O131" s="62" t="e">
        <f t="shared" si="65"/>
        <v>#DIV/0!</v>
      </c>
      <c r="P131" s="60"/>
      <c r="Q131" s="62" t="e">
        <f t="shared" si="65"/>
        <v>#DIV/0!</v>
      </c>
      <c r="R131" s="60"/>
      <c r="S131" s="62" t="e">
        <f t="shared" ref="S131" si="125">+R131/$M131</f>
        <v>#DIV/0!</v>
      </c>
    </row>
    <row r="132" spans="1:19" ht="45" hidden="1" customHeight="1">
      <c r="A132" s="32" t="e">
        <v>#REF!</v>
      </c>
      <c r="B132" s="77" t="s">
        <v>691</v>
      </c>
      <c r="C132" s="52" t="s">
        <v>167</v>
      </c>
      <c r="D132" s="52" t="s">
        <v>171</v>
      </c>
      <c r="E132" s="52" t="s">
        <v>172</v>
      </c>
      <c r="F132" s="52" t="s">
        <v>173</v>
      </c>
      <c r="G132" s="52" t="s">
        <v>175</v>
      </c>
      <c r="H132" s="52" t="s">
        <v>183</v>
      </c>
      <c r="I132" s="52"/>
      <c r="J132" s="52" t="s">
        <v>144</v>
      </c>
      <c r="K132" s="52" t="s">
        <v>29</v>
      </c>
      <c r="L132" s="77" t="s">
        <v>184</v>
      </c>
      <c r="M132" s="54">
        <v>0</v>
      </c>
      <c r="N132" s="54">
        <v>0</v>
      </c>
      <c r="O132" s="55" t="e">
        <f t="shared" si="65"/>
        <v>#DIV/0!</v>
      </c>
      <c r="P132" s="54">
        <v>0</v>
      </c>
      <c r="Q132" s="55" t="e">
        <f t="shared" si="65"/>
        <v>#DIV/0!</v>
      </c>
      <c r="R132" s="54">
        <v>0</v>
      </c>
      <c r="S132" s="55" t="e">
        <f t="shared" ref="S132" si="126">+R132/$M132</f>
        <v>#DIV/0!</v>
      </c>
    </row>
    <row r="133" spans="1:19" ht="24.95" hidden="1" customHeight="1">
      <c r="A133" s="32" t="e">
        <v>#REF!</v>
      </c>
      <c r="B133" s="78" t="s">
        <v>470</v>
      </c>
      <c r="C133" s="79" t="s">
        <v>167</v>
      </c>
      <c r="D133" s="79" t="s">
        <v>171</v>
      </c>
      <c r="E133" s="79" t="s">
        <v>172</v>
      </c>
      <c r="F133" s="79" t="s">
        <v>173</v>
      </c>
      <c r="G133" s="79" t="s">
        <v>175</v>
      </c>
      <c r="H133" s="79" t="s">
        <v>183</v>
      </c>
      <c r="I133" s="79" t="s">
        <v>54</v>
      </c>
      <c r="J133" s="79" t="s">
        <v>144</v>
      </c>
      <c r="K133" s="80" t="s">
        <v>29</v>
      </c>
      <c r="L133" s="59" t="s">
        <v>178</v>
      </c>
      <c r="M133" s="60">
        <v>0</v>
      </c>
      <c r="N133" s="60">
        <v>0</v>
      </c>
      <c r="O133" s="62" t="e">
        <f t="shared" si="65"/>
        <v>#DIV/0!</v>
      </c>
      <c r="P133" s="60">
        <v>0</v>
      </c>
      <c r="Q133" s="62" t="e">
        <f t="shared" si="65"/>
        <v>#DIV/0!</v>
      </c>
      <c r="R133" s="60">
        <v>0</v>
      </c>
      <c r="S133" s="62" t="e">
        <f t="shared" ref="S133" si="127">+R133/$M133</f>
        <v>#DIV/0!</v>
      </c>
    </row>
    <row r="134" spans="1:19" ht="33.75" hidden="1" customHeight="1">
      <c r="A134" s="32" t="e">
        <v>#REF!</v>
      </c>
      <c r="B134" s="77" t="s">
        <v>472</v>
      </c>
      <c r="C134" s="52" t="s">
        <v>167</v>
      </c>
      <c r="D134" s="52" t="s">
        <v>171</v>
      </c>
      <c r="E134" s="52" t="s">
        <v>172</v>
      </c>
      <c r="F134" s="52" t="s">
        <v>173</v>
      </c>
      <c r="G134" s="52" t="s">
        <v>175</v>
      </c>
      <c r="H134" s="52" t="s">
        <v>185</v>
      </c>
      <c r="I134" s="52"/>
      <c r="J134" s="52" t="s">
        <v>144</v>
      </c>
      <c r="K134" s="52" t="s">
        <v>29</v>
      </c>
      <c r="L134" s="77" t="s">
        <v>186</v>
      </c>
      <c r="M134" s="54">
        <v>0</v>
      </c>
      <c r="N134" s="54">
        <v>0</v>
      </c>
      <c r="O134" s="55" t="e">
        <f t="shared" si="65"/>
        <v>#DIV/0!</v>
      </c>
      <c r="P134" s="54">
        <v>0</v>
      </c>
      <c r="Q134" s="55" t="e">
        <f t="shared" si="65"/>
        <v>#DIV/0!</v>
      </c>
      <c r="R134" s="54">
        <v>0</v>
      </c>
      <c r="S134" s="55" t="e">
        <f t="shared" ref="S134" si="128">+R134/$M134</f>
        <v>#DIV/0!</v>
      </c>
    </row>
    <row r="135" spans="1:19" ht="24.95" hidden="1" customHeight="1">
      <c r="A135" s="32" t="e">
        <v>#REF!</v>
      </c>
      <c r="B135" s="78" t="s">
        <v>474</v>
      </c>
      <c r="C135" s="79" t="s">
        <v>167</v>
      </c>
      <c r="D135" s="79" t="s">
        <v>171</v>
      </c>
      <c r="E135" s="79" t="s">
        <v>172</v>
      </c>
      <c r="F135" s="79" t="s">
        <v>173</v>
      </c>
      <c r="G135" s="79" t="s">
        <v>175</v>
      </c>
      <c r="H135" s="79" t="s">
        <v>185</v>
      </c>
      <c r="I135" s="79" t="s">
        <v>54</v>
      </c>
      <c r="J135" s="79" t="s">
        <v>144</v>
      </c>
      <c r="K135" s="80" t="s">
        <v>29</v>
      </c>
      <c r="L135" s="59" t="s">
        <v>178</v>
      </c>
      <c r="M135" s="60">
        <v>0</v>
      </c>
      <c r="N135" s="60"/>
      <c r="O135" s="62" t="e">
        <f t="shared" si="65"/>
        <v>#DIV/0!</v>
      </c>
      <c r="P135" s="60"/>
      <c r="Q135" s="62" t="e">
        <f t="shared" si="65"/>
        <v>#DIV/0!</v>
      </c>
      <c r="R135" s="60"/>
      <c r="S135" s="62" t="e">
        <f t="shared" ref="S135" si="129">+R135/$M135</f>
        <v>#DIV/0!</v>
      </c>
    </row>
    <row r="136" spans="1:19" ht="24" hidden="1" customHeight="1">
      <c r="A136" s="32" t="e">
        <v>#REF!</v>
      </c>
      <c r="B136" s="77"/>
      <c r="C136" s="52" t="s">
        <v>167</v>
      </c>
      <c r="D136" s="52" t="s">
        <v>171</v>
      </c>
      <c r="E136" s="52" t="s">
        <v>172</v>
      </c>
      <c r="F136" s="52" t="s">
        <v>173</v>
      </c>
      <c r="G136" s="52" t="s">
        <v>175</v>
      </c>
      <c r="H136" s="52" t="s">
        <v>187</v>
      </c>
      <c r="I136" s="52"/>
      <c r="J136" s="52" t="s">
        <v>144</v>
      </c>
      <c r="K136" s="52" t="s">
        <v>29</v>
      </c>
      <c r="L136" s="77" t="s">
        <v>188</v>
      </c>
      <c r="M136" s="54">
        <v>0</v>
      </c>
      <c r="N136" s="54">
        <v>0</v>
      </c>
      <c r="O136" s="55" t="e">
        <f t="shared" ref="O136:Q199" si="130">+N136/$M136</f>
        <v>#DIV/0!</v>
      </c>
      <c r="P136" s="54">
        <v>0</v>
      </c>
      <c r="Q136" s="55" t="e">
        <f t="shared" si="130"/>
        <v>#DIV/0!</v>
      </c>
      <c r="R136" s="54">
        <v>0</v>
      </c>
      <c r="S136" s="55" t="e">
        <f t="shared" ref="S136" si="131">+R136/$M136</f>
        <v>#DIV/0!</v>
      </c>
    </row>
    <row r="137" spans="1:19" ht="24.95" hidden="1" customHeight="1">
      <c r="A137" s="32" t="e">
        <v>#REF!</v>
      </c>
      <c r="B137" s="78"/>
      <c r="C137" s="79" t="s">
        <v>167</v>
      </c>
      <c r="D137" s="79" t="s">
        <v>171</v>
      </c>
      <c r="E137" s="79" t="s">
        <v>172</v>
      </c>
      <c r="F137" s="79" t="s">
        <v>173</v>
      </c>
      <c r="G137" s="79" t="s">
        <v>175</v>
      </c>
      <c r="H137" s="79" t="s">
        <v>187</v>
      </c>
      <c r="I137" s="79" t="s">
        <v>54</v>
      </c>
      <c r="J137" s="79" t="s">
        <v>144</v>
      </c>
      <c r="K137" s="80" t="s">
        <v>29</v>
      </c>
      <c r="L137" s="59" t="s">
        <v>178</v>
      </c>
      <c r="M137" s="60">
        <v>0</v>
      </c>
      <c r="N137" s="60">
        <v>0</v>
      </c>
      <c r="O137" s="62" t="e">
        <f t="shared" si="130"/>
        <v>#DIV/0!</v>
      </c>
      <c r="P137" s="60">
        <v>0</v>
      </c>
      <c r="Q137" s="62" t="e">
        <f t="shared" si="130"/>
        <v>#DIV/0!</v>
      </c>
      <c r="R137" s="60">
        <v>0</v>
      </c>
      <c r="S137" s="62" t="e">
        <f t="shared" ref="S137" si="132">+R137/$M137</f>
        <v>#DIV/0!</v>
      </c>
    </row>
    <row r="138" spans="1:19" ht="24.95" hidden="1" customHeight="1">
      <c r="A138" s="32" t="e">
        <v>#REF!</v>
      </c>
      <c r="B138" s="78"/>
      <c r="C138" s="79" t="s">
        <v>167</v>
      </c>
      <c r="D138" s="79" t="s">
        <v>171</v>
      </c>
      <c r="E138" s="79" t="s">
        <v>172</v>
      </c>
      <c r="F138" s="79" t="s">
        <v>173</v>
      </c>
      <c r="G138" s="79" t="s">
        <v>175</v>
      </c>
      <c r="H138" s="79" t="s">
        <v>187</v>
      </c>
      <c r="I138" s="79" t="s">
        <v>65</v>
      </c>
      <c r="J138" s="79" t="s">
        <v>144</v>
      </c>
      <c r="K138" s="80" t="s">
        <v>29</v>
      </c>
      <c r="L138" s="59" t="s">
        <v>127</v>
      </c>
      <c r="M138" s="60">
        <v>0</v>
      </c>
      <c r="N138" s="60">
        <v>0</v>
      </c>
      <c r="O138" s="62" t="e">
        <f t="shared" si="130"/>
        <v>#DIV/0!</v>
      </c>
      <c r="P138" s="60">
        <v>0</v>
      </c>
      <c r="Q138" s="62" t="e">
        <f t="shared" si="130"/>
        <v>#DIV/0!</v>
      </c>
      <c r="R138" s="60">
        <v>0</v>
      </c>
      <c r="S138" s="62" t="e">
        <f t="shared" ref="S138" si="133">+R138/$M138</f>
        <v>#DIV/0!</v>
      </c>
    </row>
    <row r="139" spans="1:19" ht="31.5" customHeight="1">
      <c r="A139" s="32" t="e">
        <v>#REF!</v>
      </c>
      <c r="B139" s="38" t="s">
        <v>482</v>
      </c>
      <c r="C139" s="39" t="s">
        <v>167</v>
      </c>
      <c r="D139" s="39">
        <v>4103</v>
      </c>
      <c r="E139" s="39"/>
      <c r="F139" s="39"/>
      <c r="G139" s="39"/>
      <c r="H139" s="39"/>
      <c r="I139" s="39"/>
      <c r="J139" s="40"/>
      <c r="K139" s="40"/>
      <c r="L139" s="38" t="s">
        <v>189</v>
      </c>
      <c r="M139" s="41">
        <v>12916518459989</v>
      </c>
      <c r="N139" s="41">
        <v>10504449055047.109</v>
      </c>
      <c r="O139" s="42">
        <f t="shared" si="130"/>
        <v>0.81325700014182112</v>
      </c>
      <c r="P139" s="41">
        <v>9221839978714.5508</v>
      </c>
      <c r="Q139" s="42">
        <f t="shared" si="130"/>
        <v>0.71395709356826209</v>
      </c>
      <c r="R139" s="41">
        <v>9219190103587.6094</v>
      </c>
      <c r="S139" s="42">
        <f t="shared" ref="S139" si="134">+R139/$M139</f>
        <v>0.71375193959158101</v>
      </c>
    </row>
    <row r="140" spans="1:19" ht="24" customHeight="1">
      <c r="A140" s="32" t="e">
        <v>#REF!</v>
      </c>
      <c r="B140" s="43" t="s">
        <v>296</v>
      </c>
      <c r="C140" s="44" t="s">
        <v>167</v>
      </c>
      <c r="D140" s="44">
        <v>4103</v>
      </c>
      <c r="E140" s="44">
        <v>1500</v>
      </c>
      <c r="F140" s="44"/>
      <c r="G140" s="44"/>
      <c r="H140" s="44"/>
      <c r="I140" s="44"/>
      <c r="J140" s="45"/>
      <c r="K140" s="45"/>
      <c r="L140" s="43" t="s">
        <v>170</v>
      </c>
      <c r="M140" s="46">
        <v>12916518459989</v>
      </c>
      <c r="N140" s="46">
        <v>10504449055047.109</v>
      </c>
      <c r="O140" s="47">
        <f t="shared" si="130"/>
        <v>0.81325700014182112</v>
      </c>
      <c r="P140" s="46">
        <v>9221839978714.5508</v>
      </c>
      <c r="Q140" s="47">
        <f t="shared" si="130"/>
        <v>0.71395709356826209</v>
      </c>
      <c r="R140" s="46">
        <v>9219190103587.6094</v>
      </c>
      <c r="S140" s="47">
        <f t="shared" ref="S140" si="135">+R140/$M140</f>
        <v>0.71375193959158101</v>
      </c>
    </row>
    <row r="141" spans="1:19" ht="37.5" customHeight="1">
      <c r="A141" s="32" t="e">
        <v>#REF!</v>
      </c>
      <c r="B141" s="48" t="s">
        <v>297</v>
      </c>
      <c r="C141" s="48" t="s">
        <v>167</v>
      </c>
      <c r="D141" s="48" t="s">
        <v>190</v>
      </c>
      <c r="E141" s="48" t="s">
        <v>172</v>
      </c>
      <c r="F141" s="48" t="s">
        <v>191</v>
      </c>
      <c r="G141" s="48"/>
      <c r="H141" s="48"/>
      <c r="I141" s="48"/>
      <c r="J141" s="48"/>
      <c r="K141" s="48"/>
      <c r="L141" s="48" t="s">
        <v>192</v>
      </c>
      <c r="M141" s="50">
        <v>2205025363612</v>
      </c>
      <c r="N141" s="50">
        <v>1803268663386.1099</v>
      </c>
      <c r="O141" s="51">
        <f t="shared" si="130"/>
        <v>0.81779951067420742</v>
      </c>
      <c r="P141" s="50">
        <v>1480957671915.9199</v>
      </c>
      <c r="Q141" s="51">
        <f t="shared" si="130"/>
        <v>0.67162840679981939</v>
      </c>
      <c r="R141" s="50">
        <v>1480703891604.9199</v>
      </c>
      <c r="S141" s="51">
        <f t="shared" ref="S141" si="136">+R141/$M141</f>
        <v>0.6715133150121293</v>
      </c>
    </row>
    <row r="142" spans="1:19" ht="27.75" customHeight="1">
      <c r="A142" s="32" t="e">
        <v>#REF!</v>
      </c>
      <c r="B142" s="52" t="s">
        <v>486</v>
      </c>
      <c r="C142" s="52" t="s">
        <v>167</v>
      </c>
      <c r="D142" s="52" t="s">
        <v>190</v>
      </c>
      <c r="E142" s="52" t="s">
        <v>172</v>
      </c>
      <c r="F142" s="52" t="s">
        <v>191</v>
      </c>
      <c r="G142" s="52" t="s">
        <v>175</v>
      </c>
      <c r="H142" s="52" t="s">
        <v>193</v>
      </c>
      <c r="I142" s="52"/>
      <c r="J142" s="52"/>
      <c r="K142" s="52"/>
      <c r="L142" s="52" t="s">
        <v>194</v>
      </c>
      <c r="M142" s="54">
        <v>2198861329758</v>
      </c>
      <c r="N142" s="54">
        <v>1797230726866.1099</v>
      </c>
      <c r="O142" s="55">
        <f t="shared" si="130"/>
        <v>0.81734609752035048</v>
      </c>
      <c r="P142" s="54">
        <v>1479146290959.9199</v>
      </c>
      <c r="Q142" s="55">
        <f t="shared" si="130"/>
        <v>0.67268739094279772</v>
      </c>
      <c r="R142" s="54">
        <v>1478892510648.9199</v>
      </c>
      <c r="S142" s="55">
        <f t="shared" ref="S142" si="137">+R142/$M142</f>
        <v>0.67257197652008471</v>
      </c>
    </row>
    <row r="143" spans="1:19" ht="24.95" customHeight="1">
      <c r="A143" s="32" t="e">
        <v>#REF!</v>
      </c>
      <c r="B143" s="56" t="s">
        <v>488</v>
      </c>
      <c r="C143" s="57" t="s">
        <v>167</v>
      </c>
      <c r="D143" s="57" t="s">
        <v>190</v>
      </c>
      <c r="E143" s="57" t="s">
        <v>172</v>
      </c>
      <c r="F143" s="57" t="s">
        <v>191</v>
      </c>
      <c r="G143" s="57" t="s">
        <v>175</v>
      </c>
      <c r="H143" s="57" t="s">
        <v>193</v>
      </c>
      <c r="I143" s="57" t="s">
        <v>54</v>
      </c>
      <c r="J143" s="57">
        <v>11</v>
      </c>
      <c r="K143" s="58" t="s">
        <v>29</v>
      </c>
      <c r="L143" s="59" t="s">
        <v>178</v>
      </c>
      <c r="M143" s="60">
        <v>63412220369</v>
      </c>
      <c r="N143" s="60">
        <v>60607308518.110001</v>
      </c>
      <c r="O143" s="62">
        <f t="shared" si="130"/>
        <v>0.95576701407760167</v>
      </c>
      <c r="P143" s="60">
        <v>31464060357.919998</v>
      </c>
      <c r="Q143" s="62">
        <f t="shared" si="130"/>
        <v>0.49618291513573415</v>
      </c>
      <c r="R143" s="60">
        <v>31210280046.919998</v>
      </c>
      <c r="S143" s="62">
        <f t="shared" ref="S143" si="138">+R143/$M143</f>
        <v>0.49218084251434924</v>
      </c>
    </row>
    <row r="144" spans="1:19" ht="24.95" customHeight="1">
      <c r="A144" s="32" t="e">
        <v>#REF!</v>
      </c>
      <c r="B144" s="56" t="s">
        <v>488</v>
      </c>
      <c r="C144" s="57" t="s">
        <v>167</v>
      </c>
      <c r="D144" s="57" t="s">
        <v>190</v>
      </c>
      <c r="E144" s="57" t="s">
        <v>172</v>
      </c>
      <c r="F144" s="57" t="s">
        <v>191</v>
      </c>
      <c r="G144" s="57" t="s">
        <v>175</v>
      </c>
      <c r="H144" s="57" t="s">
        <v>193</v>
      </c>
      <c r="I144" s="57" t="s">
        <v>54</v>
      </c>
      <c r="J144" s="57">
        <v>13</v>
      </c>
      <c r="K144" s="58" t="s">
        <v>29</v>
      </c>
      <c r="L144" s="59" t="s">
        <v>178</v>
      </c>
      <c r="M144" s="60">
        <v>148552450</v>
      </c>
      <c r="N144" s="60">
        <v>90475000</v>
      </c>
      <c r="O144" s="62">
        <f t="shared" si="130"/>
        <v>0.60904414568726395</v>
      </c>
      <c r="P144" s="60">
        <v>63815000</v>
      </c>
      <c r="Q144" s="62">
        <f t="shared" si="130"/>
        <v>0.42957891303711249</v>
      </c>
      <c r="R144" s="60">
        <v>63815000</v>
      </c>
      <c r="S144" s="62">
        <f t="shared" ref="S144" si="139">+R144/$M144</f>
        <v>0.42957891303711249</v>
      </c>
    </row>
    <row r="145" spans="1:19" ht="24.95" customHeight="1">
      <c r="A145" s="32" t="e">
        <v>#REF!</v>
      </c>
      <c r="B145" s="56" t="s">
        <v>491</v>
      </c>
      <c r="C145" s="57" t="s">
        <v>167</v>
      </c>
      <c r="D145" s="57" t="s">
        <v>190</v>
      </c>
      <c r="E145" s="57" t="s">
        <v>172</v>
      </c>
      <c r="F145" s="57" t="s">
        <v>191</v>
      </c>
      <c r="G145" s="57" t="s">
        <v>175</v>
      </c>
      <c r="H145" s="57" t="s">
        <v>193</v>
      </c>
      <c r="I145" s="57" t="s">
        <v>65</v>
      </c>
      <c r="J145" s="57" t="s">
        <v>144</v>
      </c>
      <c r="K145" s="58" t="s">
        <v>29</v>
      </c>
      <c r="L145" s="59" t="s">
        <v>127</v>
      </c>
      <c r="M145" s="60">
        <v>269202960201</v>
      </c>
      <c r="N145" s="60">
        <v>229442064296</v>
      </c>
      <c r="O145" s="62">
        <f t="shared" si="130"/>
        <v>0.85230141646543345</v>
      </c>
      <c r="P145" s="60">
        <v>228993802516</v>
      </c>
      <c r="Q145" s="62">
        <f t="shared" si="130"/>
        <v>0.85063627214582671</v>
      </c>
      <c r="R145" s="60">
        <v>228993802516</v>
      </c>
      <c r="S145" s="62">
        <f t="shared" ref="S145" si="140">+R145/$M145</f>
        <v>0.85063627214582671</v>
      </c>
    </row>
    <row r="146" spans="1:19" ht="24.95" customHeight="1">
      <c r="A146" s="32" t="e">
        <v>#REF!</v>
      </c>
      <c r="B146" s="56" t="s">
        <v>491</v>
      </c>
      <c r="C146" s="57" t="s">
        <v>167</v>
      </c>
      <c r="D146" s="57" t="s">
        <v>190</v>
      </c>
      <c r="E146" s="57" t="s">
        <v>172</v>
      </c>
      <c r="F146" s="57" t="s">
        <v>191</v>
      </c>
      <c r="G146" s="57" t="s">
        <v>175</v>
      </c>
      <c r="H146" s="57" t="s">
        <v>193</v>
      </c>
      <c r="I146" s="57" t="s">
        <v>65</v>
      </c>
      <c r="J146" s="57">
        <v>13</v>
      </c>
      <c r="K146" s="58" t="s">
        <v>29</v>
      </c>
      <c r="L146" s="59" t="s">
        <v>127</v>
      </c>
      <c r="M146" s="60">
        <v>1866097596738</v>
      </c>
      <c r="N146" s="60">
        <v>1507090879052</v>
      </c>
      <c r="O146" s="62">
        <f t="shared" si="130"/>
        <v>0.80761632279385842</v>
      </c>
      <c r="P146" s="60">
        <v>1218624613086</v>
      </c>
      <c r="Q146" s="62">
        <f t="shared" si="130"/>
        <v>0.65303369728153338</v>
      </c>
      <c r="R146" s="60">
        <v>1218624613086</v>
      </c>
      <c r="S146" s="62">
        <f t="shared" ref="S146" si="141">+R146/$M146</f>
        <v>0.65303369728153338</v>
      </c>
    </row>
    <row r="147" spans="1:19" ht="28.5" customHeight="1">
      <c r="A147" s="32" t="e">
        <v>#REF!</v>
      </c>
      <c r="B147" s="52" t="s">
        <v>494</v>
      </c>
      <c r="C147" s="52" t="s">
        <v>167</v>
      </c>
      <c r="D147" s="52" t="s">
        <v>190</v>
      </c>
      <c r="E147" s="52" t="s">
        <v>172</v>
      </c>
      <c r="F147" s="52" t="s">
        <v>191</v>
      </c>
      <c r="G147" s="52" t="s">
        <v>175</v>
      </c>
      <c r="H147" s="52">
        <v>4103009</v>
      </c>
      <c r="I147" s="52"/>
      <c r="J147" s="52"/>
      <c r="K147" s="52" t="s">
        <v>29</v>
      </c>
      <c r="L147" s="52" t="s">
        <v>195</v>
      </c>
      <c r="M147" s="54">
        <v>6164033854</v>
      </c>
      <c r="N147" s="54">
        <v>6037936520</v>
      </c>
      <c r="O147" s="55">
        <f t="shared" si="130"/>
        <v>0.97954304973225093</v>
      </c>
      <c r="P147" s="54">
        <v>1811380956</v>
      </c>
      <c r="Q147" s="55">
        <f t="shared" si="130"/>
        <v>0.29386291491967526</v>
      </c>
      <c r="R147" s="54">
        <v>1811380956</v>
      </c>
      <c r="S147" s="55">
        <f t="shared" ref="S147" si="142">+R147/$M147</f>
        <v>0.29386291491967526</v>
      </c>
    </row>
    <row r="148" spans="1:19" ht="24.95" customHeight="1">
      <c r="A148" s="32" t="e">
        <v>#REF!</v>
      </c>
      <c r="B148" s="56" t="s">
        <v>496</v>
      </c>
      <c r="C148" s="57" t="s">
        <v>167</v>
      </c>
      <c r="D148" s="57" t="s">
        <v>190</v>
      </c>
      <c r="E148" s="57" t="s">
        <v>172</v>
      </c>
      <c r="F148" s="57" t="s">
        <v>191</v>
      </c>
      <c r="G148" s="57" t="s">
        <v>175</v>
      </c>
      <c r="H148" s="57">
        <v>4103009</v>
      </c>
      <c r="I148" s="57" t="s">
        <v>54</v>
      </c>
      <c r="J148" s="57">
        <v>11</v>
      </c>
      <c r="K148" s="58" t="s">
        <v>29</v>
      </c>
      <c r="L148" s="59" t="s">
        <v>178</v>
      </c>
      <c r="M148" s="60">
        <v>6164033854</v>
      </c>
      <c r="N148" s="60">
        <v>6037936520</v>
      </c>
      <c r="O148" s="62">
        <f t="shared" si="130"/>
        <v>0.97954304973225093</v>
      </c>
      <c r="P148" s="60">
        <v>1811380956</v>
      </c>
      <c r="Q148" s="62">
        <f t="shared" si="130"/>
        <v>0.29386291491967526</v>
      </c>
      <c r="R148" s="60">
        <v>1811380956</v>
      </c>
      <c r="S148" s="62">
        <f t="shared" ref="S148" si="143">+R148/$M148</f>
        <v>0.29386291491967526</v>
      </c>
    </row>
    <row r="149" spans="1:19" ht="27.75" customHeight="1">
      <c r="A149" s="32" t="e">
        <v>#REF!</v>
      </c>
      <c r="B149" s="52" t="s">
        <v>497</v>
      </c>
      <c r="C149" s="52" t="s">
        <v>167</v>
      </c>
      <c r="D149" s="52" t="s">
        <v>190</v>
      </c>
      <c r="E149" s="52" t="s">
        <v>172</v>
      </c>
      <c r="F149" s="52" t="s">
        <v>191</v>
      </c>
      <c r="G149" s="52" t="s">
        <v>175</v>
      </c>
      <c r="H149" s="52">
        <v>4103047</v>
      </c>
      <c r="I149" s="52"/>
      <c r="J149" s="52">
        <v>11</v>
      </c>
      <c r="K149" s="52" t="s">
        <v>29</v>
      </c>
      <c r="L149" s="52" t="s">
        <v>195</v>
      </c>
      <c r="M149" s="54">
        <v>0</v>
      </c>
      <c r="N149" s="54">
        <v>0</v>
      </c>
      <c r="O149" s="55" t="e">
        <f t="shared" si="130"/>
        <v>#DIV/0!</v>
      </c>
      <c r="P149" s="54">
        <v>0</v>
      </c>
      <c r="Q149" s="55" t="e">
        <f t="shared" si="130"/>
        <v>#DIV/0!</v>
      </c>
      <c r="R149" s="54">
        <v>0</v>
      </c>
      <c r="S149" s="55" t="e">
        <f t="shared" ref="S149" si="144">+R149/$M149</f>
        <v>#DIV/0!</v>
      </c>
    </row>
    <row r="150" spans="1:19" ht="24.95" customHeight="1">
      <c r="A150" s="32" t="e">
        <v>#REF!</v>
      </c>
      <c r="B150" s="56" t="s">
        <v>498</v>
      </c>
      <c r="C150" s="57" t="s">
        <v>167</v>
      </c>
      <c r="D150" s="57" t="s">
        <v>190</v>
      </c>
      <c r="E150" s="57" t="s">
        <v>172</v>
      </c>
      <c r="F150" s="57" t="s">
        <v>191</v>
      </c>
      <c r="G150" s="57" t="s">
        <v>175</v>
      </c>
      <c r="H150" s="57">
        <v>4103047</v>
      </c>
      <c r="I150" s="57" t="s">
        <v>54</v>
      </c>
      <c r="J150" s="57">
        <v>11</v>
      </c>
      <c r="K150" s="58" t="s">
        <v>29</v>
      </c>
      <c r="L150" s="59" t="s">
        <v>178</v>
      </c>
      <c r="M150" s="60">
        <v>0</v>
      </c>
      <c r="N150" s="60">
        <v>0</v>
      </c>
      <c r="O150" s="62" t="e">
        <f t="shared" si="130"/>
        <v>#DIV/0!</v>
      </c>
      <c r="P150" s="60">
        <v>0</v>
      </c>
      <c r="Q150" s="62" t="e">
        <f t="shared" si="130"/>
        <v>#DIV/0!</v>
      </c>
      <c r="R150" s="60">
        <v>0</v>
      </c>
      <c r="S150" s="62" t="e">
        <f t="shared" ref="S150" si="145">+R150/$M150</f>
        <v>#DIV/0!</v>
      </c>
    </row>
    <row r="151" spans="1:19" ht="34.5" customHeight="1">
      <c r="A151" s="32" t="e">
        <v>#REF!</v>
      </c>
      <c r="B151" s="48" t="s">
        <v>298</v>
      </c>
      <c r="C151" s="48" t="s">
        <v>167</v>
      </c>
      <c r="D151" s="48" t="s">
        <v>190</v>
      </c>
      <c r="E151" s="48" t="s">
        <v>172</v>
      </c>
      <c r="F151" s="48" t="s">
        <v>22</v>
      </c>
      <c r="G151" s="48"/>
      <c r="H151" s="48"/>
      <c r="I151" s="48"/>
      <c r="J151" s="48"/>
      <c r="K151" s="48"/>
      <c r="L151" s="48" t="s">
        <v>196</v>
      </c>
      <c r="M151" s="50">
        <v>126000000000</v>
      </c>
      <c r="N151" s="50">
        <v>117650514399</v>
      </c>
      <c r="O151" s="51">
        <f t="shared" si="130"/>
        <v>0.93373424126190474</v>
      </c>
      <c r="P151" s="50">
        <v>82850153939.619995</v>
      </c>
      <c r="Q151" s="51">
        <f t="shared" si="130"/>
        <v>0.6575409042826984</v>
      </c>
      <c r="R151" s="50">
        <v>82839312159.619995</v>
      </c>
      <c r="S151" s="51">
        <f t="shared" ref="S151" si="146">+R151/$M151</f>
        <v>0.65745485840968254</v>
      </c>
    </row>
    <row r="152" spans="1:19" ht="27.75" customHeight="1">
      <c r="A152" s="32" t="e">
        <v>#REF!</v>
      </c>
      <c r="B152" s="52" t="s">
        <v>500</v>
      </c>
      <c r="C152" s="52" t="s">
        <v>167</v>
      </c>
      <c r="D152" s="52" t="s">
        <v>190</v>
      </c>
      <c r="E152" s="52" t="s">
        <v>172</v>
      </c>
      <c r="F152" s="52" t="s">
        <v>22</v>
      </c>
      <c r="G152" s="52" t="s">
        <v>175</v>
      </c>
      <c r="H152" s="52" t="s">
        <v>197</v>
      </c>
      <c r="I152" s="52"/>
      <c r="J152" s="52">
        <v>13</v>
      </c>
      <c r="K152" s="52" t="s">
        <v>29</v>
      </c>
      <c r="L152" s="52" t="s">
        <v>198</v>
      </c>
      <c r="M152" s="54">
        <v>12543853246</v>
      </c>
      <c r="N152" s="54">
        <v>12497150539</v>
      </c>
      <c r="O152" s="55">
        <f t="shared" si="130"/>
        <v>0.99627684523374882</v>
      </c>
      <c r="P152" s="54">
        <v>7946462194</v>
      </c>
      <c r="Q152" s="55">
        <f t="shared" si="130"/>
        <v>0.63349451226511899</v>
      </c>
      <c r="R152" s="54">
        <v>7946462194</v>
      </c>
      <c r="S152" s="55">
        <f t="shared" ref="S152" si="147">+R152/$M152</f>
        <v>0.63349451226511899</v>
      </c>
    </row>
    <row r="153" spans="1:19" ht="24.95" customHeight="1">
      <c r="A153" s="32" t="e">
        <v>#REF!</v>
      </c>
      <c r="B153" s="56" t="s">
        <v>501</v>
      </c>
      <c r="C153" s="57" t="s">
        <v>167</v>
      </c>
      <c r="D153" s="57" t="s">
        <v>190</v>
      </c>
      <c r="E153" s="57" t="s">
        <v>172</v>
      </c>
      <c r="F153" s="57" t="s">
        <v>22</v>
      </c>
      <c r="G153" s="57" t="s">
        <v>175</v>
      </c>
      <c r="H153" s="57" t="s">
        <v>197</v>
      </c>
      <c r="I153" s="57" t="s">
        <v>54</v>
      </c>
      <c r="J153" s="57">
        <v>13</v>
      </c>
      <c r="K153" s="58" t="s">
        <v>29</v>
      </c>
      <c r="L153" s="59" t="s">
        <v>178</v>
      </c>
      <c r="M153" s="60">
        <v>12543853246</v>
      </c>
      <c r="N153" s="60">
        <v>12497150539</v>
      </c>
      <c r="O153" s="62">
        <f t="shared" si="130"/>
        <v>0.99627684523374882</v>
      </c>
      <c r="P153" s="60">
        <v>7946462194</v>
      </c>
      <c r="Q153" s="62">
        <f t="shared" si="130"/>
        <v>0.63349451226511899</v>
      </c>
      <c r="R153" s="60">
        <v>7946462194</v>
      </c>
      <c r="S153" s="62">
        <f t="shared" ref="S153" si="148">+R153/$M153</f>
        <v>0.63349451226511899</v>
      </c>
    </row>
    <row r="154" spans="1:19" ht="27.75" customHeight="1">
      <c r="A154" s="32" t="e">
        <v>#REF!</v>
      </c>
      <c r="B154" s="52" t="s">
        <v>502</v>
      </c>
      <c r="C154" s="52" t="s">
        <v>167</v>
      </c>
      <c r="D154" s="52" t="s">
        <v>190</v>
      </c>
      <c r="E154" s="52" t="s">
        <v>172</v>
      </c>
      <c r="F154" s="52" t="s">
        <v>22</v>
      </c>
      <c r="G154" s="52" t="s">
        <v>175</v>
      </c>
      <c r="H154" s="52" t="s">
        <v>199</v>
      </c>
      <c r="I154" s="52"/>
      <c r="J154" s="52">
        <v>13</v>
      </c>
      <c r="K154" s="52" t="s">
        <v>29</v>
      </c>
      <c r="L154" s="52" t="s">
        <v>200</v>
      </c>
      <c r="M154" s="54">
        <v>6747471657</v>
      </c>
      <c r="N154" s="54">
        <v>5632124153</v>
      </c>
      <c r="O154" s="55">
        <f t="shared" si="130"/>
        <v>0.83470141696069078</v>
      </c>
      <c r="P154" s="54">
        <v>3152773137</v>
      </c>
      <c r="Q154" s="55">
        <f t="shared" si="130"/>
        <v>0.46725252024278346</v>
      </c>
      <c r="R154" s="54">
        <v>3152773137</v>
      </c>
      <c r="S154" s="55">
        <f t="shared" ref="S154" si="149">+R154/$M154</f>
        <v>0.46725252024278346</v>
      </c>
    </row>
    <row r="155" spans="1:19" ht="24.95" customHeight="1">
      <c r="A155" s="32" t="e">
        <v>#REF!</v>
      </c>
      <c r="B155" s="56" t="s">
        <v>503</v>
      </c>
      <c r="C155" s="57" t="s">
        <v>167</v>
      </c>
      <c r="D155" s="57" t="s">
        <v>190</v>
      </c>
      <c r="E155" s="57" t="s">
        <v>172</v>
      </c>
      <c r="F155" s="57" t="s">
        <v>22</v>
      </c>
      <c r="G155" s="57" t="s">
        <v>175</v>
      </c>
      <c r="H155" s="57" t="s">
        <v>199</v>
      </c>
      <c r="I155" s="57" t="s">
        <v>54</v>
      </c>
      <c r="J155" s="57">
        <v>13</v>
      </c>
      <c r="K155" s="58" t="s">
        <v>29</v>
      </c>
      <c r="L155" s="59" t="s">
        <v>178</v>
      </c>
      <c r="M155" s="60">
        <v>6747471657</v>
      </c>
      <c r="N155" s="60">
        <v>5632124153</v>
      </c>
      <c r="O155" s="62">
        <f t="shared" si="130"/>
        <v>0.83470141696069078</v>
      </c>
      <c r="P155" s="60">
        <v>3152773137</v>
      </c>
      <c r="Q155" s="62">
        <f t="shared" si="130"/>
        <v>0.46725252024278346</v>
      </c>
      <c r="R155" s="60">
        <v>3152773137</v>
      </c>
      <c r="S155" s="62">
        <f t="shared" ref="S155" si="150">+R155/$M155</f>
        <v>0.46725252024278346</v>
      </c>
    </row>
    <row r="156" spans="1:19" ht="43.5" customHeight="1">
      <c r="A156" s="32" t="e">
        <v>#REF!</v>
      </c>
      <c r="B156" s="52" t="s">
        <v>504</v>
      </c>
      <c r="C156" s="52" t="s">
        <v>167</v>
      </c>
      <c r="D156" s="52" t="s">
        <v>190</v>
      </c>
      <c r="E156" s="52" t="s">
        <v>172</v>
      </c>
      <c r="F156" s="52" t="s">
        <v>22</v>
      </c>
      <c r="G156" s="52" t="s">
        <v>175</v>
      </c>
      <c r="H156" s="52" t="s">
        <v>201</v>
      </c>
      <c r="I156" s="52"/>
      <c r="J156" s="52">
        <v>13</v>
      </c>
      <c r="K156" s="52" t="s">
        <v>29</v>
      </c>
      <c r="L156" s="52" t="s">
        <v>202</v>
      </c>
      <c r="M156" s="54">
        <v>10231519737</v>
      </c>
      <c r="N156" s="54">
        <v>8808958851</v>
      </c>
      <c r="O156" s="55">
        <f t="shared" si="130"/>
        <v>0.8609628948028486</v>
      </c>
      <c r="P156" s="54">
        <v>5268442277.6199999</v>
      </c>
      <c r="Q156" s="55">
        <f t="shared" si="130"/>
        <v>0.51492274980107389</v>
      </c>
      <c r="R156" s="54">
        <v>5257600497.6199999</v>
      </c>
      <c r="S156" s="55">
        <f t="shared" ref="S156" si="151">+R156/$M156</f>
        <v>0.51386310467711505</v>
      </c>
    </row>
    <row r="157" spans="1:19" ht="24.95" customHeight="1">
      <c r="A157" s="32" t="e">
        <v>#REF!</v>
      </c>
      <c r="B157" s="56" t="s">
        <v>505</v>
      </c>
      <c r="C157" s="57" t="s">
        <v>167</v>
      </c>
      <c r="D157" s="57" t="s">
        <v>190</v>
      </c>
      <c r="E157" s="57" t="s">
        <v>172</v>
      </c>
      <c r="F157" s="57" t="s">
        <v>22</v>
      </c>
      <c r="G157" s="57" t="s">
        <v>175</v>
      </c>
      <c r="H157" s="57" t="s">
        <v>201</v>
      </c>
      <c r="I157" s="57" t="s">
        <v>54</v>
      </c>
      <c r="J157" s="57">
        <v>13</v>
      </c>
      <c r="K157" s="58" t="s">
        <v>29</v>
      </c>
      <c r="L157" s="59" t="s">
        <v>178</v>
      </c>
      <c r="M157" s="60">
        <v>10231519737</v>
      </c>
      <c r="N157" s="60">
        <v>8808958851</v>
      </c>
      <c r="O157" s="62">
        <f t="shared" si="130"/>
        <v>0.8609628948028486</v>
      </c>
      <c r="P157" s="60">
        <v>5268442277.6199999</v>
      </c>
      <c r="Q157" s="62">
        <f t="shared" si="130"/>
        <v>0.51492274980107389</v>
      </c>
      <c r="R157" s="60">
        <v>5257600497.6199999</v>
      </c>
      <c r="S157" s="62">
        <f t="shared" ref="S157" si="152">+R157/$M157</f>
        <v>0.51386310467711505</v>
      </c>
    </row>
    <row r="158" spans="1:19" ht="44.25" customHeight="1">
      <c r="A158" s="32" t="e">
        <v>#REF!</v>
      </c>
      <c r="B158" s="52" t="s">
        <v>506</v>
      </c>
      <c r="C158" s="52" t="s">
        <v>167</v>
      </c>
      <c r="D158" s="52" t="s">
        <v>190</v>
      </c>
      <c r="E158" s="52" t="s">
        <v>172</v>
      </c>
      <c r="F158" s="52" t="s">
        <v>22</v>
      </c>
      <c r="G158" s="52" t="s">
        <v>175</v>
      </c>
      <c r="H158" s="52" t="s">
        <v>203</v>
      </c>
      <c r="I158" s="52"/>
      <c r="J158" s="52">
        <v>13</v>
      </c>
      <c r="K158" s="52" t="s">
        <v>29</v>
      </c>
      <c r="L158" s="52" t="s">
        <v>204</v>
      </c>
      <c r="M158" s="54">
        <v>96477155360</v>
      </c>
      <c r="N158" s="54">
        <v>90712280856</v>
      </c>
      <c r="O158" s="55">
        <f t="shared" si="130"/>
        <v>0.94024622220163268</v>
      </c>
      <c r="P158" s="54">
        <v>66482476331</v>
      </c>
      <c r="Q158" s="55">
        <f t="shared" si="130"/>
        <v>0.6891007107633278</v>
      </c>
      <c r="R158" s="54">
        <v>66482476331</v>
      </c>
      <c r="S158" s="55">
        <f t="shared" ref="S158" si="153">+R158/$M158</f>
        <v>0.6891007107633278</v>
      </c>
    </row>
    <row r="159" spans="1:19" ht="24.95" customHeight="1">
      <c r="A159" s="32" t="e">
        <v>#REF!</v>
      </c>
      <c r="B159" s="56" t="s">
        <v>507</v>
      </c>
      <c r="C159" s="57" t="s">
        <v>167</v>
      </c>
      <c r="D159" s="57" t="s">
        <v>190</v>
      </c>
      <c r="E159" s="57" t="s">
        <v>172</v>
      </c>
      <c r="F159" s="57" t="s">
        <v>22</v>
      </c>
      <c r="G159" s="57" t="s">
        <v>175</v>
      </c>
      <c r="H159" s="57" t="s">
        <v>203</v>
      </c>
      <c r="I159" s="57" t="s">
        <v>54</v>
      </c>
      <c r="J159" s="57">
        <v>13</v>
      </c>
      <c r="K159" s="58" t="s">
        <v>29</v>
      </c>
      <c r="L159" s="59" t="s">
        <v>178</v>
      </c>
      <c r="M159" s="60">
        <v>96477155360</v>
      </c>
      <c r="N159" s="60">
        <v>90712280856</v>
      </c>
      <c r="O159" s="62">
        <f t="shared" si="130"/>
        <v>0.94024622220163268</v>
      </c>
      <c r="P159" s="60">
        <v>66482476331</v>
      </c>
      <c r="Q159" s="62">
        <f t="shared" si="130"/>
        <v>0.6891007107633278</v>
      </c>
      <c r="R159" s="60">
        <v>66482476331</v>
      </c>
      <c r="S159" s="62">
        <f t="shared" ref="S159" si="154">+R159/$M159</f>
        <v>0.6891007107633278</v>
      </c>
    </row>
    <row r="160" spans="1:19" ht="45.75" customHeight="1">
      <c r="A160" s="32" t="e">
        <v>#REF!</v>
      </c>
      <c r="B160" s="48" t="s">
        <v>299</v>
      </c>
      <c r="C160" s="48" t="s">
        <v>167</v>
      </c>
      <c r="D160" s="48" t="s">
        <v>190</v>
      </c>
      <c r="E160" s="48" t="s">
        <v>172</v>
      </c>
      <c r="F160" s="48" t="s">
        <v>205</v>
      </c>
      <c r="G160" s="48"/>
      <c r="H160" s="48"/>
      <c r="I160" s="48"/>
      <c r="J160" s="48"/>
      <c r="K160" s="48"/>
      <c r="L160" s="48" t="s">
        <v>206</v>
      </c>
      <c r="M160" s="50">
        <v>662805945958.00012</v>
      </c>
      <c r="N160" s="50">
        <v>609509599585.03992</v>
      </c>
      <c r="O160" s="51">
        <f t="shared" si="130"/>
        <v>0.91958981856155919</v>
      </c>
      <c r="P160" s="50">
        <v>56204966499.25</v>
      </c>
      <c r="Q160" s="51">
        <f t="shared" si="130"/>
        <v>8.4798524880480675E-2</v>
      </c>
      <c r="R160" s="50">
        <v>54704248372.309998</v>
      </c>
      <c r="S160" s="51">
        <f t="shared" ref="S160" si="155">+R160/$M160</f>
        <v>8.2534335586326238E-2</v>
      </c>
    </row>
    <row r="161" spans="1:19" ht="24" hidden="1" customHeight="1">
      <c r="A161" s="3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4">
        <v>0</v>
      </c>
      <c r="N161" s="54"/>
      <c r="O161" s="55" t="e">
        <f t="shared" si="130"/>
        <v>#DIV/0!</v>
      </c>
      <c r="P161" s="54"/>
      <c r="Q161" s="55" t="e">
        <f t="shared" si="130"/>
        <v>#DIV/0!</v>
      </c>
      <c r="R161" s="54"/>
      <c r="S161" s="55" t="e">
        <f t="shared" ref="S161" si="156">+R161/$M161</f>
        <v>#DIV/0!</v>
      </c>
    </row>
    <row r="162" spans="1:19" ht="30.75" customHeight="1">
      <c r="A162" s="32" t="e">
        <v>#REF!</v>
      </c>
      <c r="B162" s="52" t="s">
        <v>510</v>
      </c>
      <c r="C162" s="52" t="s">
        <v>167</v>
      </c>
      <c r="D162" s="52" t="s">
        <v>190</v>
      </c>
      <c r="E162" s="52" t="s">
        <v>172</v>
      </c>
      <c r="F162" s="52" t="s">
        <v>205</v>
      </c>
      <c r="G162" s="52" t="s">
        <v>175</v>
      </c>
      <c r="H162" s="52" t="s">
        <v>207</v>
      </c>
      <c r="I162" s="52"/>
      <c r="J162" s="52"/>
      <c r="K162" s="52"/>
      <c r="L162" s="52" t="s">
        <v>208</v>
      </c>
      <c r="M162" s="54">
        <v>635771374794.00012</v>
      </c>
      <c r="N162" s="54">
        <v>584418370513.95996</v>
      </c>
      <c r="O162" s="55">
        <f t="shared" si="130"/>
        <v>0.91922724690667401</v>
      </c>
      <c r="P162" s="54">
        <v>39805442987.659996</v>
      </c>
      <c r="Q162" s="55">
        <f t="shared" si="130"/>
        <v>6.2609681035981815E-2</v>
      </c>
      <c r="R162" s="54">
        <v>39745706245.720001</v>
      </c>
      <c r="S162" s="55">
        <f t="shared" ref="S162" si="157">+R162/$M162</f>
        <v>6.2515721565158916E-2</v>
      </c>
    </row>
    <row r="163" spans="1:19" ht="24.95" customHeight="1">
      <c r="A163" s="32" t="e">
        <v>#REF!</v>
      </c>
      <c r="B163" s="56" t="s">
        <v>511</v>
      </c>
      <c r="C163" s="57" t="s">
        <v>167</v>
      </c>
      <c r="D163" s="57" t="s">
        <v>190</v>
      </c>
      <c r="E163" s="57" t="s">
        <v>172</v>
      </c>
      <c r="F163" s="57" t="s">
        <v>205</v>
      </c>
      <c r="G163" s="57" t="s">
        <v>175</v>
      </c>
      <c r="H163" s="57" t="s">
        <v>207</v>
      </c>
      <c r="I163" s="57" t="s">
        <v>54</v>
      </c>
      <c r="J163" s="57">
        <v>13</v>
      </c>
      <c r="K163" s="58" t="s">
        <v>29</v>
      </c>
      <c r="L163" s="59" t="s">
        <v>178</v>
      </c>
      <c r="M163" s="60">
        <v>74247053942.909988</v>
      </c>
      <c r="N163" s="60">
        <v>62518312972.150002</v>
      </c>
      <c r="O163" s="62">
        <f t="shared" si="130"/>
        <v>0.84203089081785731</v>
      </c>
      <c r="P163" s="60">
        <v>982419229.38</v>
      </c>
      <c r="Q163" s="62">
        <f t="shared" si="130"/>
        <v>1.3231760416182996E-2</v>
      </c>
      <c r="R163" s="60">
        <v>922682487.44000006</v>
      </c>
      <c r="S163" s="62">
        <f t="shared" ref="S163" si="158">+R163/$M163</f>
        <v>1.2427193247956594E-2</v>
      </c>
    </row>
    <row r="164" spans="1:19" ht="24.95" customHeight="1">
      <c r="A164" s="32" t="e">
        <v>#REF!</v>
      </c>
      <c r="B164" s="56" t="s">
        <v>514</v>
      </c>
      <c r="C164" s="57" t="s">
        <v>167</v>
      </c>
      <c r="D164" s="57" t="s">
        <v>190</v>
      </c>
      <c r="E164" s="57" t="s">
        <v>172</v>
      </c>
      <c r="F164" s="57" t="s">
        <v>205</v>
      </c>
      <c r="G164" s="57" t="s">
        <v>175</v>
      </c>
      <c r="H164" s="57" t="s">
        <v>207</v>
      </c>
      <c r="I164" s="57" t="s">
        <v>65</v>
      </c>
      <c r="J164" s="57">
        <v>13</v>
      </c>
      <c r="K164" s="58" t="s">
        <v>29</v>
      </c>
      <c r="L164" s="59" t="s">
        <v>127</v>
      </c>
      <c r="M164" s="60">
        <v>561524320851.09009</v>
      </c>
      <c r="N164" s="60">
        <v>521900057541.81</v>
      </c>
      <c r="O164" s="62">
        <f t="shared" si="130"/>
        <v>0.92943446643731753</v>
      </c>
      <c r="P164" s="60">
        <v>38823023758.279999</v>
      </c>
      <c r="Q164" s="62">
        <f t="shared" si="130"/>
        <v>6.913863267656295E-2</v>
      </c>
      <c r="R164" s="60">
        <v>38823023758.279999</v>
      </c>
      <c r="S164" s="62">
        <f t="shared" ref="S164" si="159">+R164/$M164</f>
        <v>6.913863267656295E-2</v>
      </c>
    </row>
    <row r="165" spans="1:19" ht="27.75" customHeight="1">
      <c r="A165" s="32" t="e">
        <v>#REF!</v>
      </c>
      <c r="B165" s="52" t="s">
        <v>516</v>
      </c>
      <c r="C165" s="52" t="s">
        <v>167</v>
      </c>
      <c r="D165" s="52" t="s">
        <v>190</v>
      </c>
      <c r="E165" s="52" t="s">
        <v>172</v>
      </c>
      <c r="F165" s="52" t="s">
        <v>205</v>
      </c>
      <c r="G165" s="52" t="s">
        <v>175</v>
      </c>
      <c r="H165" s="52" t="s">
        <v>209</v>
      </c>
      <c r="I165" s="52"/>
      <c r="J165" s="52">
        <v>11</v>
      </c>
      <c r="K165" s="52" t="s">
        <v>29</v>
      </c>
      <c r="L165" s="52" t="s">
        <v>210</v>
      </c>
      <c r="M165" s="54">
        <v>27034571164</v>
      </c>
      <c r="N165" s="54">
        <v>25091229071.080002</v>
      </c>
      <c r="O165" s="55">
        <f t="shared" si="130"/>
        <v>0.92811640764963166</v>
      </c>
      <c r="P165" s="54">
        <v>16399523511.59</v>
      </c>
      <c r="Q165" s="55">
        <f t="shared" si="130"/>
        <v>0.60661304416872242</v>
      </c>
      <c r="R165" s="54">
        <v>14958542126.59</v>
      </c>
      <c r="S165" s="55">
        <f t="shared" ref="S165" si="160">+R165/$M165</f>
        <v>0.55331161111625915</v>
      </c>
    </row>
    <row r="166" spans="1:19" ht="24.95" customHeight="1">
      <c r="A166" s="32" t="e">
        <v>#REF!</v>
      </c>
      <c r="B166" s="56" t="s">
        <v>517</v>
      </c>
      <c r="C166" s="57" t="s">
        <v>167</v>
      </c>
      <c r="D166" s="57" t="s">
        <v>190</v>
      </c>
      <c r="E166" s="57" t="s">
        <v>172</v>
      </c>
      <c r="F166" s="57" t="s">
        <v>205</v>
      </c>
      <c r="G166" s="57" t="s">
        <v>175</v>
      </c>
      <c r="H166" s="57" t="s">
        <v>209</v>
      </c>
      <c r="I166" s="57" t="s">
        <v>54</v>
      </c>
      <c r="J166" s="57">
        <v>11</v>
      </c>
      <c r="K166" s="58" t="s">
        <v>29</v>
      </c>
      <c r="L166" s="59" t="s">
        <v>178</v>
      </c>
      <c r="M166" s="60">
        <v>17101987014</v>
      </c>
      <c r="N166" s="60">
        <v>17100849100</v>
      </c>
      <c r="O166" s="62">
        <f t="shared" si="130"/>
        <v>0.99993346305320729</v>
      </c>
      <c r="P166" s="60">
        <v>12047784024</v>
      </c>
      <c r="Q166" s="62">
        <f t="shared" si="130"/>
        <v>0.70446691452504695</v>
      </c>
      <c r="R166" s="60">
        <v>10884252155</v>
      </c>
      <c r="S166" s="62">
        <f t="shared" ref="S166" si="161">+R166/$M166</f>
        <v>0.63643202079910077</v>
      </c>
    </row>
    <row r="167" spans="1:19" ht="24.95" customHeight="1">
      <c r="A167" s="32" t="e">
        <v>#REF!</v>
      </c>
      <c r="B167" s="56" t="s">
        <v>517</v>
      </c>
      <c r="C167" s="57" t="s">
        <v>167</v>
      </c>
      <c r="D167" s="57" t="s">
        <v>190</v>
      </c>
      <c r="E167" s="57" t="s">
        <v>172</v>
      </c>
      <c r="F167" s="57" t="s">
        <v>205</v>
      </c>
      <c r="G167" s="57" t="s">
        <v>175</v>
      </c>
      <c r="H167" s="57" t="s">
        <v>209</v>
      </c>
      <c r="I167" s="57" t="s">
        <v>54</v>
      </c>
      <c r="J167" s="57">
        <v>13</v>
      </c>
      <c r="K167" s="58" t="s">
        <v>29</v>
      </c>
      <c r="L167" s="59" t="s">
        <v>178</v>
      </c>
      <c r="M167" s="60">
        <v>9932584150</v>
      </c>
      <c r="N167" s="60">
        <v>7990379971.0799999</v>
      </c>
      <c r="O167" s="62">
        <f t="shared" si="130"/>
        <v>0.80446134162175709</v>
      </c>
      <c r="P167" s="60">
        <v>4351739487.5900002</v>
      </c>
      <c r="Q167" s="62">
        <f t="shared" si="130"/>
        <v>0.43812762337281586</v>
      </c>
      <c r="R167" s="60">
        <v>4074289971.5900002</v>
      </c>
      <c r="S167" s="62">
        <f t="shared" ref="S167" si="162">+R167/$M167</f>
        <v>0.4101943572851583</v>
      </c>
    </row>
    <row r="168" spans="1:19" ht="36" customHeight="1">
      <c r="A168" s="32" t="e">
        <v>#REF!</v>
      </c>
      <c r="B168" s="48" t="s">
        <v>520</v>
      </c>
      <c r="C168" s="48" t="s">
        <v>167</v>
      </c>
      <c r="D168" s="48" t="s">
        <v>190</v>
      </c>
      <c r="E168" s="48" t="s">
        <v>172</v>
      </c>
      <c r="F168" s="48" t="s">
        <v>211</v>
      </c>
      <c r="G168" s="48"/>
      <c r="H168" s="48"/>
      <c r="I168" s="48"/>
      <c r="J168" s="48"/>
      <c r="K168" s="48"/>
      <c r="L168" s="48" t="s">
        <v>212</v>
      </c>
      <c r="M168" s="50">
        <v>2000000000</v>
      </c>
      <c r="N168" s="50">
        <v>0</v>
      </c>
      <c r="O168" s="51">
        <f t="shared" si="130"/>
        <v>0</v>
      </c>
      <c r="P168" s="50">
        <v>0</v>
      </c>
      <c r="Q168" s="51">
        <f t="shared" si="130"/>
        <v>0</v>
      </c>
      <c r="R168" s="50">
        <v>0</v>
      </c>
      <c r="S168" s="51">
        <f t="shared" ref="S168" si="163">+R168/$M168</f>
        <v>0</v>
      </c>
    </row>
    <row r="169" spans="1:19" ht="28.5" customHeight="1">
      <c r="A169" s="32" t="e">
        <v>#REF!</v>
      </c>
      <c r="B169" s="52" t="s">
        <v>522</v>
      </c>
      <c r="C169" s="52" t="s">
        <v>167</v>
      </c>
      <c r="D169" s="52" t="s">
        <v>190</v>
      </c>
      <c r="E169" s="52" t="s">
        <v>172</v>
      </c>
      <c r="F169" s="52" t="s">
        <v>211</v>
      </c>
      <c r="G169" s="52" t="s">
        <v>175</v>
      </c>
      <c r="H169" s="52" t="s">
        <v>213</v>
      </c>
      <c r="I169" s="52"/>
      <c r="J169" s="52" t="s">
        <v>144</v>
      </c>
      <c r="K169" s="52" t="s">
        <v>29</v>
      </c>
      <c r="L169" s="52" t="s">
        <v>214</v>
      </c>
      <c r="M169" s="54">
        <v>820000000</v>
      </c>
      <c r="N169" s="54">
        <v>0</v>
      </c>
      <c r="O169" s="55">
        <f t="shared" si="130"/>
        <v>0</v>
      </c>
      <c r="P169" s="54">
        <v>0</v>
      </c>
      <c r="Q169" s="55">
        <f t="shared" si="130"/>
        <v>0</v>
      </c>
      <c r="R169" s="54">
        <v>0</v>
      </c>
      <c r="S169" s="55">
        <f t="shared" ref="S169" si="164">+R169/$M169</f>
        <v>0</v>
      </c>
    </row>
    <row r="170" spans="1:19" ht="24.95" customHeight="1">
      <c r="A170" s="32" t="e">
        <v>#REF!</v>
      </c>
      <c r="B170" s="56" t="s">
        <v>524</v>
      </c>
      <c r="C170" s="57" t="s">
        <v>167</v>
      </c>
      <c r="D170" s="57" t="s">
        <v>190</v>
      </c>
      <c r="E170" s="57" t="s">
        <v>172</v>
      </c>
      <c r="F170" s="57" t="s">
        <v>211</v>
      </c>
      <c r="G170" s="57" t="s">
        <v>175</v>
      </c>
      <c r="H170" s="57" t="s">
        <v>213</v>
      </c>
      <c r="I170" s="57" t="s">
        <v>54</v>
      </c>
      <c r="J170" s="57">
        <v>13</v>
      </c>
      <c r="K170" s="58" t="s">
        <v>29</v>
      </c>
      <c r="L170" s="59" t="s">
        <v>178</v>
      </c>
      <c r="M170" s="60">
        <v>820000000</v>
      </c>
      <c r="N170" s="60">
        <v>0</v>
      </c>
      <c r="O170" s="62">
        <f t="shared" si="130"/>
        <v>0</v>
      </c>
      <c r="P170" s="60">
        <v>0</v>
      </c>
      <c r="Q170" s="62">
        <f t="shared" si="130"/>
        <v>0</v>
      </c>
      <c r="R170" s="60">
        <v>0</v>
      </c>
      <c r="S170" s="62">
        <f t="shared" ref="S170" si="165">+R170/$M170</f>
        <v>0</v>
      </c>
    </row>
    <row r="171" spans="1:19" ht="24" customHeight="1">
      <c r="A171" s="32" t="e">
        <v>#REF!</v>
      </c>
      <c r="B171" s="52" t="s">
        <v>526</v>
      </c>
      <c r="C171" s="52" t="s">
        <v>167</v>
      </c>
      <c r="D171" s="52" t="s">
        <v>190</v>
      </c>
      <c r="E171" s="52" t="s">
        <v>172</v>
      </c>
      <c r="F171" s="52" t="s">
        <v>211</v>
      </c>
      <c r="G171" s="52" t="s">
        <v>175</v>
      </c>
      <c r="H171" s="52" t="s">
        <v>215</v>
      </c>
      <c r="I171" s="52"/>
      <c r="J171" s="52" t="s">
        <v>144</v>
      </c>
      <c r="K171" s="52" t="s">
        <v>29</v>
      </c>
      <c r="L171" s="52" t="s">
        <v>216</v>
      </c>
      <c r="M171" s="54">
        <v>1180000000</v>
      </c>
      <c r="N171" s="54">
        <v>0</v>
      </c>
      <c r="O171" s="55">
        <f t="shared" si="130"/>
        <v>0</v>
      </c>
      <c r="P171" s="54">
        <v>0</v>
      </c>
      <c r="Q171" s="55">
        <f t="shared" si="130"/>
        <v>0</v>
      </c>
      <c r="R171" s="54">
        <v>0</v>
      </c>
      <c r="S171" s="55">
        <f t="shared" ref="S171" si="166">+R171/$M171</f>
        <v>0</v>
      </c>
    </row>
    <row r="172" spans="1:19" ht="24.95" customHeight="1">
      <c r="A172" s="32" t="e">
        <v>#REF!</v>
      </c>
      <c r="B172" s="56" t="s">
        <v>528</v>
      </c>
      <c r="C172" s="57" t="s">
        <v>167</v>
      </c>
      <c r="D172" s="57" t="s">
        <v>190</v>
      </c>
      <c r="E172" s="57" t="s">
        <v>172</v>
      </c>
      <c r="F172" s="57" t="s">
        <v>211</v>
      </c>
      <c r="G172" s="57" t="s">
        <v>175</v>
      </c>
      <c r="H172" s="57" t="s">
        <v>215</v>
      </c>
      <c r="I172" s="57" t="s">
        <v>54</v>
      </c>
      <c r="J172" s="57">
        <v>13</v>
      </c>
      <c r="K172" s="58" t="s">
        <v>29</v>
      </c>
      <c r="L172" s="59" t="s">
        <v>178</v>
      </c>
      <c r="M172" s="60">
        <v>1180000000</v>
      </c>
      <c r="N172" s="60">
        <v>0</v>
      </c>
      <c r="O172" s="62">
        <f t="shared" si="130"/>
        <v>0</v>
      </c>
      <c r="P172" s="60">
        <v>0</v>
      </c>
      <c r="Q172" s="62">
        <f t="shared" si="130"/>
        <v>0</v>
      </c>
      <c r="R172" s="60">
        <v>0</v>
      </c>
      <c r="S172" s="62">
        <f t="shared" ref="S172" si="167">+R172/$M172</f>
        <v>0</v>
      </c>
    </row>
    <row r="173" spans="1:19" ht="50.25" customHeight="1">
      <c r="A173" s="32" t="e">
        <v>#REF!</v>
      </c>
      <c r="B173" s="48" t="s">
        <v>530</v>
      </c>
      <c r="C173" s="48" t="s">
        <v>167</v>
      </c>
      <c r="D173" s="48" t="s">
        <v>190</v>
      </c>
      <c r="E173" s="48" t="s">
        <v>172</v>
      </c>
      <c r="F173" s="48" t="s">
        <v>217</v>
      </c>
      <c r="G173" s="48"/>
      <c r="H173" s="48"/>
      <c r="I173" s="48"/>
      <c r="J173" s="48"/>
      <c r="K173" s="48"/>
      <c r="L173" s="48" t="s">
        <v>218</v>
      </c>
      <c r="M173" s="50">
        <v>20000000000</v>
      </c>
      <c r="N173" s="50">
        <v>16887181729</v>
      </c>
      <c r="O173" s="51">
        <f t="shared" si="130"/>
        <v>0.84435908645000002</v>
      </c>
      <c r="P173" s="50">
        <v>1860996692</v>
      </c>
      <c r="Q173" s="51">
        <f t="shared" si="130"/>
        <v>9.3049834600000006E-2</v>
      </c>
      <c r="R173" s="50">
        <v>1814215171</v>
      </c>
      <c r="S173" s="51">
        <f t="shared" ref="S173" si="168">+R173/$M173</f>
        <v>9.0710758550000006E-2</v>
      </c>
    </row>
    <row r="174" spans="1:19" ht="24" customHeight="1">
      <c r="A174" s="32" t="e">
        <v>#REF!</v>
      </c>
      <c r="B174" s="52" t="s">
        <v>531</v>
      </c>
      <c r="C174" s="52" t="s">
        <v>167</v>
      </c>
      <c r="D174" s="52" t="s">
        <v>190</v>
      </c>
      <c r="E174" s="52" t="s">
        <v>172</v>
      </c>
      <c r="F174" s="52" t="s">
        <v>217</v>
      </c>
      <c r="G174" s="52" t="s">
        <v>175</v>
      </c>
      <c r="H174" s="52" t="s">
        <v>219</v>
      </c>
      <c r="I174" s="52"/>
      <c r="J174" s="52">
        <v>11</v>
      </c>
      <c r="K174" s="52" t="s">
        <v>29</v>
      </c>
      <c r="L174" s="52" t="s">
        <v>220</v>
      </c>
      <c r="M174" s="54">
        <v>4242894515</v>
      </c>
      <c r="N174" s="54">
        <v>2614076244</v>
      </c>
      <c r="O174" s="55">
        <f t="shared" si="130"/>
        <v>0.61610681923823407</v>
      </c>
      <c r="P174" s="54">
        <v>660996692</v>
      </c>
      <c r="Q174" s="55">
        <f t="shared" si="130"/>
        <v>0.15578909389879092</v>
      </c>
      <c r="R174" s="54">
        <v>614215171</v>
      </c>
      <c r="S174" s="55">
        <f t="shared" ref="S174" si="169">+R174/$M174</f>
        <v>0.14476324330679241</v>
      </c>
    </row>
    <row r="175" spans="1:19" ht="24.95" customHeight="1">
      <c r="A175" s="32" t="e">
        <v>#REF!</v>
      </c>
      <c r="B175" s="56" t="s">
        <v>532</v>
      </c>
      <c r="C175" s="57" t="s">
        <v>167</v>
      </c>
      <c r="D175" s="57" t="s">
        <v>190</v>
      </c>
      <c r="E175" s="57" t="s">
        <v>172</v>
      </c>
      <c r="F175" s="57" t="s">
        <v>217</v>
      </c>
      <c r="G175" s="57" t="s">
        <v>175</v>
      </c>
      <c r="H175" s="57" t="s">
        <v>219</v>
      </c>
      <c r="I175" s="57" t="s">
        <v>54</v>
      </c>
      <c r="J175" s="57">
        <v>13</v>
      </c>
      <c r="K175" s="58" t="s">
        <v>29</v>
      </c>
      <c r="L175" s="59" t="s">
        <v>178</v>
      </c>
      <c r="M175" s="60">
        <v>4242894515</v>
      </c>
      <c r="N175" s="60">
        <v>2614076244</v>
      </c>
      <c r="O175" s="62">
        <f t="shared" si="130"/>
        <v>0.61610681923823407</v>
      </c>
      <c r="P175" s="60">
        <v>660996692</v>
      </c>
      <c r="Q175" s="62">
        <f t="shared" si="130"/>
        <v>0.15578909389879092</v>
      </c>
      <c r="R175" s="60">
        <v>614215171</v>
      </c>
      <c r="S175" s="62">
        <f t="shared" ref="S175" si="170">+R175/$M175</f>
        <v>0.14476324330679241</v>
      </c>
    </row>
    <row r="176" spans="1:19" ht="28.5" customHeight="1">
      <c r="A176" s="32" t="e">
        <v>#REF!</v>
      </c>
      <c r="B176" s="52" t="s">
        <v>533</v>
      </c>
      <c r="C176" s="52" t="s">
        <v>167</v>
      </c>
      <c r="D176" s="52" t="s">
        <v>190</v>
      </c>
      <c r="E176" s="52" t="s">
        <v>172</v>
      </c>
      <c r="F176" s="52" t="s">
        <v>217</v>
      </c>
      <c r="G176" s="52" t="s">
        <v>175</v>
      </c>
      <c r="H176" s="52" t="s">
        <v>221</v>
      </c>
      <c r="I176" s="52"/>
      <c r="J176" s="52">
        <v>11</v>
      </c>
      <c r="K176" s="52" t="s">
        <v>29</v>
      </c>
      <c r="L176" s="52" t="s">
        <v>222</v>
      </c>
      <c r="M176" s="54">
        <v>15757105485</v>
      </c>
      <c r="N176" s="54">
        <v>14273105485</v>
      </c>
      <c r="O176" s="55">
        <f t="shared" si="130"/>
        <v>0.90582026620227329</v>
      </c>
      <c r="P176" s="54">
        <v>1200000000</v>
      </c>
      <c r="Q176" s="55">
        <f t="shared" si="130"/>
        <v>7.6156118973903036E-2</v>
      </c>
      <c r="R176" s="54">
        <v>1200000000</v>
      </c>
      <c r="S176" s="55">
        <f t="shared" ref="S176" si="171">+R176/$M176</f>
        <v>7.6156118973903036E-2</v>
      </c>
    </row>
    <row r="177" spans="1:19" ht="24.95" customHeight="1">
      <c r="A177" s="32" t="e">
        <v>#REF!</v>
      </c>
      <c r="B177" s="56" t="s">
        <v>534</v>
      </c>
      <c r="C177" s="57" t="s">
        <v>167</v>
      </c>
      <c r="D177" s="57" t="s">
        <v>190</v>
      </c>
      <c r="E177" s="57" t="s">
        <v>172</v>
      </c>
      <c r="F177" s="57" t="s">
        <v>217</v>
      </c>
      <c r="G177" s="57" t="s">
        <v>175</v>
      </c>
      <c r="H177" s="57" t="s">
        <v>221</v>
      </c>
      <c r="I177" s="57" t="s">
        <v>54</v>
      </c>
      <c r="J177" s="57">
        <v>13</v>
      </c>
      <c r="K177" s="58" t="s">
        <v>29</v>
      </c>
      <c r="L177" s="59" t="s">
        <v>178</v>
      </c>
      <c r="M177" s="60">
        <v>15757105485</v>
      </c>
      <c r="N177" s="60">
        <v>14273105485</v>
      </c>
      <c r="O177" s="62">
        <f t="shared" si="130"/>
        <v>0.90582026620227329</v>
      </c>
      <c r="P177" s="60">
        <v>1200000000</v>
      </c>
      <c r="Q177" s="62">
        <f t="shared" si="130"/>
        <v>7.6156118973903036E-2</v>
      </c>
      <c r="R177" s="60">
        <v>1200000000</v>
      </c>
      <c r="S177" s="62">
        <f t="shared" ref="S177" si="172">+R177/$M177</f>
        <v>7.6156118973903036E-2</v>
      </c>
    </row>
    <row r="178" spans="1:19" ht="30" customHeight="1">
      <c r="A178" s="32" t="e">
        <v>#REF!</v>
      </c>
      <c r="B178" s="52" t="s">
        <v>536</v>
      </c>
      <c r="C178" s="52" t="s">
        <v>167</v>
      </c>
      <c r="D178" s="52" t="s">
        <v>190</v>
      </c>
      <c r="E178" s="52" t="s">
        <v>172</v>
      </c>
      <c r="F178" s="52" t="s">
        <v>217</v>
      </c>
      <c r="G178" s="52" t="s">
        <v>175</v>
      </c>
      <c r="H178" s="52" t="s">
        <v>223</v>
      </c>
      <c r="I178" s="52"/>
      <c r="J178" s="52">
        <v>11</v>
      </c>
      <c r="K178" s="52" t="s">
        <v>29</v>
      </c>
      <c r="L178" s="52" t="s">
        <v>224</v>
      </c>
      <c r="M178" s="54">
        <v>0</v>
      </c>
      <c r="N178" s="54">
        <v>0</v>
      </c>
      <c r="O178" s="55" t="e">
        <f t="shared" si="130"/>
        <v>#DIV/0!</v>
      </c>
      <c r="P178" s="54">
        <v>0</v>
      </c>
      <c r="Q178" s="55" t="e">
        <f t="shared" si="130"/>
        <v>#DIV/0!</v>
      </c>
      <c r="R178" s="54">
        <v>0</v>
      </c>
      <c r="S178" s="55" t="e">
        <f t="shared" ref="S178" si="173">+R178/$M178</f>
        <v>#DIV/0!</v>
      </c>
    </row>
    <row r="179" spans="1:19" ht="24.95" customHeight="1">
      <c r="A179" s="32" t="e">
        <v>#REF!</v>
      </c>
      <c r="B179" s="56" t="s">
        <v>537</v>
      </c>
      <c r="C179" s="57" t="s">
        <v>167</v>
      </c>
      <c r="D179" s="57" t="s">
        <v>190</v>
      </c>
      <c r="E179" s="57" t="s">
        <v>172</v>
      </c>
      <c r="F179" s="57" t="s">
        <v>217</v>
      </c>
      <c r="G179" s="57" t="s">
        <v>175</v>
      </c>
      <c r="H179" s="57" t="s">
        <v>223</v>
      </c>
      <c r="I179" s="57" t="s">
        <v>54</v>
      </c>
      <c r="J179" s="57">
        <v>11</v>
      </c>
      <c r="K179" s="58" t="s">
        <v>29</v>
      </c>
      <c r="L179" s="59" t="s">
        <v>178</v>
      </c>
      <c r="M179" s="60">
        <v>0</v>
      </c>
      <c r="N179" s="60"/>
      <c r="O179" s="62" t="e">
        <f t="shared" si="130"/>
        <v>#DIV/0!</v>
      </c>
      <c r="P179" s="60"/>
      <c r="Q179" s="62" t="e">
        <f t="shared" si="130"/>
        <v>#DIV/0!</v>
      </c>
      <c r="R179" s="60"/>
      <c r="S179" s="62" t="e">
        <f t="shared" ref="S179" si="174">+R179/$M179</f>
        <v>#DIV/0!</v>
      </c>
    </row>
    <row r="180" spans="1:19" ht="24.95" customHeight="1">
      <c r="A180" s="32" t="e">
        <v>#REF!</v>
      </c>
      <c r="B180" s="56" t="s">
        <v>539</v>
      </c>
      <c r="C180" s="57" t="s">
        <v>167</v>
      </c>
      <c r="D180" s="57" t="s">
        <v>190</v>
      </c>
      <c r="E180" s="57" t="s">
        <v>172</v>
      </c>
      <c r="F180" s="57" t="s">
        <v>217</v>
      </c>
      <c r="G180" s="57" t="s">
        <v>175</v>
      </c>
      <c r="H180" s="57" t="s">
        <v>223</v>
      </c>
      <c r="I180" s="57" t="s">
        <v>65</v>
      </c>
      <c r="J180" s="57">
        <v>11</v>
      </c>
      <c r="K180" s="58" t="s">
        <v>29</v>
      </c>
      <c r="L180" s="59" t="s">
        <v>127</v>
      </c>
      <c r="M180" s="60">
        <v>0</v>
      </c>
      <c r="N180" s="60"/>
      <c r="O180" s="62" t="e">
        <f t="shared" si="130"/>
        <v>#DIV/0!</v>
      </c>
      <c r="P180" s="60"/>
      <c r="Q180" s="62" t="e">
        <f t="shared" si="130"/>
        <v>#DIV/0!</v>
      </c>
      <c r="R180" s="60"/>
      <c r="S180" s="62" t="e">
        <f t="shared" ref="S180" si="175">+R180/$M180</f>
        <v>#DIV/0!</v>
      </c>
    </row>
    <row r="181" spans="1:19" ht="30" customHeight="1">
      <c r="A181" s="32" t="e">
        <v>#REF!</v>
      </c>
      <c r="B181" s="52" t="s">
        <v>540</v>
      </c>
      <c r="C181" s="52" t="s">
        <v>167</v>
      </c>
      <c r="D181" s="52" t="s">
        <v>190</v>
      </c>
      <c r="E181" s="52" t="s">
        <v>172</v>
      </c>
      <c r="F181" s="52" t="s">
        <v>217</v>
      </c>
      <c r="G181" s="52" t="s">
        <v>175</v>
      </c>
      <c r="H181" s="52" t="s">
        <v>225</v>
      </c>
      <c r="I181" s="52"/>
      <c r="J181" s="52">
        <v>11</v>
      </c>
      <c r="K181" s="52" t="s">
        <v>29</v>
      </c>
      <c r="L181" s="52" t="s">
        <v>226</v>
      </c>
      <c r="M181" s="54">
        <v>0</v>
      </c>
      <c r="N181" s="54">
        <v>0</v>
      </c>
      <c r="O181" s="55" t="e">
        <f t="shared" si="130"/>
        <v>#DIV/0!</v>
      </c>
      <c r="P181" s="54">
        <v>0</v>
      </c>
      <c r="Q181" s="55" t="e">
        <f t="shared" si="130"/>
        <v>#DIV/0!</v>
      </c>
      <c r="R181" s="54">
        <v>0</v>
      </c>
      <c r="S181" s="55" t="e">
        <f t="shared" ref="S181" si="176">+R181/$M181</f>
        <v>#DIV/0!</v>
      </c>
    </row>
    <row r="182" spans="1:19" ht="24.95" customHeight="1">
      <c r="A182" s="32" t="e">
        <v>#REF!</v>
      </c>
      <c r="B182" s="56" t="s">
        <v>541</v>
      </c>
      <c r="C182" s="57" t="s">
        <v>167</v>
      </c>
      <c r="D182" s="57" t="s">
        <v>190</v>
      </c>
      <c r="E182" s="57" t="s">
        <v>172</v>
      </c>
      <c r="F182" s="57" t="s">
        <v>217</v>
      </c>
      <c r="G182" s="57" t="s">
        <v>175</v>
      </c>
      <c r="H182" s="57" t="s">
        <v>225</v>
      </c>
      <c r="I182" s="57" t="s">
        <v>54</v>
      </c>
      <c r="J182" s="57">
        <v>11</v>
      </c>
      <c r="K182" s="58" t="s">
        <v>29</v>
      </c>
      <c r="L182" s="59" t="s">
        <v>178</v>
      </c>
      <c r="M182" s="60">
        <v>0</v>
      </c>
      <c r="N182" s="60"/>
      <c r="O182" s="62" t="e">
        <f t="shared" si="130"/>
        <v>#DIV/0!</v>
      </c>
      <c r="P182" s="60"/>
      <c r="Q182" s="62" t="e">
        <f t="shared" si="130"/>
        <v>#DIV/0!</v>
      </c>
      <c r="R182" s="60"/>
      <c r="S182" s="62" t="e">
        <f t="shared" ref="S182" si="177">+R182/$M182</f>
        <v>#DIV/0!</v>
      </c>
    </row>
    <row r="183" spans="1:19" ht="33" customHeight="1">
      <c r="A183" s="32" t="e">
        <v>#REF!</v>
      </c>
      <c r="B183" s="48" t="s">
        <v>664</v>
      </c>
      <c r="C183" s="48" t="s">
        <v>167</v>
      </c>
      <c r="D183" s="48" t="s">
        <v>190</v>
      </c>
      <c r="E183" s="48" t="s">
        <v>172</v>
      </c>
      <c r="F183" s="48">
        <v>19</v>
      </c>
      <c r="G183" s="48"/>
      <c r="H183" s="48"/>
      <c r="I183" s="48"/>
      <c r="J183" s="48"/>
      <c r="K183" s="48"/>
      <c r="L183" s="48" t="s">
        <v>227</v>
      </c>
      <c r="M183" s="50">
        <v>18069349000</v>
      </c>
      <c r="N183" s="50">
        <v>12395967430.51</v>
      </c>
      <c r="O183" s="51">
        <f t="shared" si="130"/>
        <v>0.68602180579444227</v>
      </c>
      <c r="P183" s="50">
        <v>5671919506.9799995</v>
      </c>
      <c r="Q183" s="51">
        <f t="shared" si="130"/>
        <v>0.31389728024955404</v>
      </c>
      <c r="R183" s="50">
        <v>5481850422.9799995</v>
      </c>
      <c r="S183" s="51">
        <f t="shared" ref="S183" si="178">+R183/$M183</f>
        <v>0.30337841296772783</v>
      </c>
    </row>
    <row r="184" spans="1:19" ht="30" customHeight="1">
      <c r="A184" s="32" t="e">
        <v>#REF!</v>
      </c>
      <c r="B184" s="52" t="s">
        <v>666</v>
      </c>
      <c r="C184" s="52" t="s">
        <v>167</v>
      </c>
      <c r="D184" s="52" t="s">
        <v>190</v>
      </c>
      <c r="E184" s="52" t="s">
        <v>172</v>
      </c>
      <c r="F184" s="52">
        <v>19</v>
      </c>
      <c r="G184" s="52" t="s">
        <v>175</v>
      </c>
      <c r="H184" s="52">
        <v>4103049</v>
      </c>
      <c r="I184" s="52"/>
      <c r="J184" s="52">
        <v>13</v>
      </c>
      <c r="K184" s="52" t="s">
        <v>29</v>
      </c>
      <c r="L184" s="52" t="s">
        <v>228</v>
      </c>
      <c r="M184" s="54">
        <v>321785352</v>
      </c>
      <c r="N184" s="54">
        <v>291749332</v>
      </c>
      <c r="O184" s="55">
        <f t="shared" si="130"/>
        <v>0.90665821233528365</v>
      </c>
      <c r="P184" s="54">
        <v>256512566</v>
      </c>
      <c r="Q184" s="55">
        <f t="shared" si="130"/>
        <v>0.79715426574171722</v>
      </c>
      <c r="R184" s="54">
        <v>250107206</v>
      </c>
      <c r="S184" s="55">
        <f t="shared" ref="S184" si="179">+R184/$M184</f>
        <v>0.77724857407431025</v>
      </c>
    </row>
    <row r="185" spans="1:19" ht="24.95" customHeight="1">
      <c r="A185" s="32" t="e">
        <v>#REF!</v>
      </c>
      <c r="B185" s="56" t="s">
        <v>668</v>
      </c>
      <c r="C185" s="57" t="s">
        <v>167</v>
      </c>
      <c r="D185" s="57" t="s">
        <v>190</v>
      </c>
      <c r="E185" s="57" t="s">
        <v>172</v>
      </c>
      <c r="F185" s="57">
        <v>19</v>
      </c>
      <c r="G185" s="57" t="s">
        <v>175</v>
      </c>
      <c r="H185" s="57">
        <v>4103049</v>
      </c>
      <c r="I185" s="57" t="s">
        <v>54</v>
      </c>
      <c r="J185" s="57">
        <v>13</v>
      </c>
      <c r="K185" s="58" t="s">
        <v>29</v>
      </c>
      <c r="L185" s="59" t="s">
        <v>178</v>
      </c>
      <c r="M185" s="60">
        <v>321785352</v>
      </c>
      <c r="N185" s="60">
        <v>291749332</v>
      </c>
      <c r="O185" s="62">
        <f t="shared" si="130"/>
        <v>0.90665821233528365</v>
      </c>
      <c r="P185" s="60">
        <v>256512566</v>
      </c>
      <c r="Q185" s="62">
        <f t="shared" si="130"/>
        <v>0.79715426574171722</v>
      </c>
      <c r="R185" s="60">
        <v>250107206</v>
      </c>
      <c r="S185" s="62">
        <f t="shared" ref="S185" si="180">+R185/$M185</f>
        <v>0.77724857407431025</v>
      </c>
    </row>
    <row r="186" spans="1:19" ht="30" customHeight="1">
      <c r="A186" s="32" t="e">
        <v>#REF!</v>
      </c>
      <c r="B186" s="52" t="s">
        <v>670</v>
      </c>
      <c r="C186" s="52" t="s">
        <v>167</v>
      </c>
      <c r="D186" s="52" t="s">
        <v>190</v>
      </c>
      <c r="E186" s="52" t="s">
        <v>172</v>
      </c>
      <c r="F186" s="52">
        <v>19</v>
      </c>
      <c r="G186" s="52" t="s">
        <v>175</v>
      </c>
      <c r="H186" s="52">
        <v>4103052</v>
      </c>
      <c r="I186" s="52"/>
      <c r="J186" s="52">
        <v>13</v>
      </c>
      <c r="K186" s="52" t="s">
        <v>29</v>
      </c>
      <c r="L186" s="52" t="s">
        <v>229</v>
      </c>
      <c r="M186" s="54">
        <v>12478214648</v>
      </c>
      <c r="N186" s="54">
        <v>12104218098.51</v>
      </c>
      <c r="O186" s="55">
        <f t="shared" si="130"/>
        <v>0.97002804006501497</v>
      </c>
      <c r="P186" s="54">
        <v>5415406940.9799995</v>
      </c>
      <c r="Q186" s="55">
        <f t="shared" si="130"/>
        <v>0.43398892339522122</v>
      </c>
      <c r="R186" s="54">
        <v>5231743216.9799995</v>
      </c>
      <c r="S186" s="55">
        <f t="shared" ref="S186" si="181">+R186/$M186</f>
        <v>0.41927017322294097</v>
      </c>
    </row>
    <row r="187" spans="1:19" ht="24.95" customHeight="1">
      <c r="A187" s="32" t="e">
        <v>#REF!</v>
      </c>
      <c r="B187" s="56" t="s">
        <v>672</v>
      </c>
      <c r="C187" s="57" t="s">
        <v>167</v>
      </c>
      <c r="D187" s="57" t="s">
        <v>190</v>
      </c>
      <c r="E187" s="57" t="s">
        <v>172</v>
      </c>
      <c r="F187" s="57">
        <v>19</v>
      </c>
      <c r="G187" s="57" t="s">
        <v>175</v>
      </c>
      <c r="H187" s="57">
        <v>4103052</v>
      </c>
      <c r="I187" s="57" t="s">
        <v>54</v>
      </c>
      <c r="J187" s="57">
        <v>13</v>
      </c>
      <c r="K187" s="58" t="s">
        <v>29</v>
      </c>
      <c r="L187" s="59" t="s">
        <v>178</v>
      </c>
      <c r="M187" s="60">
        <v>12478214648</v>
      </c>
      <c r="N187" s="60">
        <v>12104218098.51</v>
      </c>
      <c r="O187" s="62">
        <f t="shared" si="130"/>
        <v>0.97002804006501497</v>
      </c>
      <c r="P187" s="60">
        <v>5415406940.9799995</v>
      </c>
      <c r="Q187" s="62">
        <f t="shared" si="130"/>
        <v>0.43398892339522122</v>
      </c>
      <c r="R187" s="60">
        <v>5231743216.9799995</v>
      </c>
      <c r="S187" s="62">
        <f t="shared" ref="S187" si="182">+R187/$M187</f>
        <v>0.41927017322294097</v>
      </c>
    </row>
    <row r="188" spans="1:19" ht="27.75" customHeight="1">
      <c r="A188" s="32" t="e">
        <v>#REF!</v>
      </c>
      <c r="B188" s="52" t="s">
        <v>670</v>
      </c>
      <c r="C188" s="52" t="s">
        <v>167</v>
      </c>
      <c r="D188" s="52" t="s">
        <v>190</v>
      </c>
      <c r="E188" s="52" t="s">
        <v>172</v>
      </c>
      <c r="F188" s="52">
        <v>19</v>
      </c>
      <c r="G188" s="52" t="s">
        <v>175</v>
      </c>
      <c r="H188" s="52">
        <v>4103052</v>
      </c>
      <c r="I188" s="52"/>
      <c r="J188" s="52">
        <v>15</v>
      </c>
      <c r="K188" s="52" t="s">
        <v>29</v>
      </c>
      <c r="L188" s="52" t="s">
        <v>229</v>
      </c>
      <c r="M188" s="54">
        <v>5269349000</v>
      </c>
      <c r="N188" s="54">
        <v>0</v>
      </c>
      <c r="O188" s="55">
        <f t="shared" si="130"/>
        <v>0</v>
      </c>
      <c r="P188" s="54">
        <v>0</v>
      </c>
      <c r="Q188" s="55">
        <f t="shared" si="130"/>
        <v>0</v>
      </c>
      <c r="R188" s="54">
        <v>0</v>
      </c>
      <c r="S188" s="55">
        <f t="shared" ref="S188" si="183">+R188/$M188</f>
        <v>0</v>
      </c>
    </row>
    <row r="189" spans="1:19" ht="24.95" customHeight="1">
      <c r="A189" s="32" t="e">
        <v>#REF!</v>
      </c>
      <c r="B189" s="56" t="s">
        <v>672</v>
      </c>
      <c r="C189" s="57" t="s">
        <v>167</v>
      </c>
      <c r="D189" s="57" t="s">
        <v>190</v>
      </c>
      <c r="E189" s="57" t="s">
        <v>172</v>
      </c>
      <c r="F189" s="57">
        <v>19</v>
      </c>
      <c r="G189" s="57" t="s">
        <v>175</v>
      </c>
      <c r="H189" s="57">
        <v>4103052</v>
      </c>
      <c r="I189" s="57" t="s">
        <v>54</v>
      </c>
      <c r="J189" s="57">
        <v>15</v>
      </c>
      <c r="K189" s="58" t="s">
        <v>29</v>
      </c>
      <c r="L189" s="59" t="s">
        <v>178</v>
      </c>
      <c r="M189" s="60">
        <v>5269349000</v>
      </c>
      <c r="N189" s="60">
        <v>0</v>
      </c>
      <c r="O189" s="62">
        <f t="shared" si="130"/>
        <v>0</v>
      </c>
      <c r="P189" s="60">
        <v>0</v>
      </c>
      <c r="Q189" s="62">
        <f t="shared" si="130"/>
        <v>0</v>
      </c>
      <c r="R189" s="60">
        <v>0</v>
      </c>
      <c r="S189" s="62">
        <f t="shared" ref="S189" si="184">+R189/$M189</f>
        <v>0</v>
      </c>
    </row>
    <row r="190" spans="1:19" ht="39.75" customHeight="1">
      <c r="A190" s="32" t="e">
        <v>#REF!</v>
      </c>
      <c r="B190" s="48" t="s">
        <v>678</v>
      </c>
      <c r="C190" s="48" t="s">
        <v>167</v>
      </c>
      <c r="D190" s="48" t="s">
        <v>190</v>
      </c>
      <c r="E190" s="48" t="s">
        <v>172</v>
      </c>
      <c r="F190" s="48">
        <v>20</v>
      </c>
      <c r="G190" s="48"/>
      <c r="H190" s="48"/>
      <c r="I190" s="48"/>
      <c r="J190" s="48"/>
      <c r="K190" s="48"/>
      <c r="L190" s="48" t="s">
        <v>230</v>
      </c>
      <c r="M190" s="50">
        <v>839954000000</v>
      </c>
      <c r="N190" s="50">
        <v>666436938921.83997</v>
      </c>
      <c r="O190" s="51">
        <f t="shared" si="130"/>
        <v>0.7934207574722425</v>
      </c>
      <c r="P190" s="50">
        <v>611615015603.56006</v>
      </c>
      <c r="Q190" s="51">
        <f t="shared" si="130"/>
        <v>0.72815298885838997</v>
      </c>
      <c r="R190" s="50">
        <v>611578829449.56006</v>
      </c>
      <c r="S190" s="51">
        <f t="shared" ref="S190" si="185">+R190/$M190</f>
        <v>0.72810990774442419</v>
      </c>
    </row>
    <row r="191" spans="1:19" ht="30.75" customHeight="1">
      <c r="A191" s="32" t="e">
        <v>#REF!</v>
      </c>
      <c r="B191" s="52" t="s">
        <v>680</v>
      </c>
      <c r="C191" s="52" t="s">
        <v>167</v>
      </c>
      <c r="D191" s="52" t="s">
        <v>190</v>
      </c>
      <c r="E191" s="52" t="s">
        <v>172</v>
      </c>
      <c r="F191" s="52">
        <v>20</v>
      </c>
      <c r="G191" s="52" t="s">
        <v>175</v>
      </c>
      <c r="H191" s="52">
        <v>4103061</v>
      </c>
      <c r="I191" s="52"/>
      <c r="J191" s="52">
        <v>11</v>
      </c>
      <c r="K191" s="52" t="s">
        <v>29</v>
      </c>
      <c r="L191" s="52" t="s">
        <v>231</v>
      </c>
      <c r="M191" s="54">
        <v>839954000000</v>
      </c>
      <c r="N191" s="54">
        <v>666436938921.83997</v>
      </c>
      <c r="O191" s="55">
        <f t="shared" si="130"/>
        <v>0.7934207574722425</v>
      </c>
      <c r="P191" s="54">
        <v>611615015603.56006</v>
      </c>
      <c r="Q191" s="55">
        <f t="shared" si="130"/>
        <v>0.72815298885838997</v>
      </c>
      <c r="R191" s="54">
        <v>611578829449.56006</v>
      </c>
      <c r="S191" s="55">
        <f t="shared" ref="S191" si="186">+R191/$M191</f>
        <v>0.72810990774442419</v>
      </c>
    </row>
    <row r="192" spans="1:19" ht="24.95" customHeight="1">
      <c r="A192" s="32" t="e">
        <v>#REF!</v>
      </c>
      <c r="B192" s="56" t="s">
        <v>682</v>
      </c>
      <c r="C192" s="57" t="s">
        <v>167</v>
      </c>
      <c r="D192" s="57" t="s">
        <v>190</v>
      </c>
      <c r="E192" s="57" t="s">
        <v>172</v>
      </c>
      <c r="F192" s="57">
        <v>20</v>
      </c>
      <c r="G192" s="57" t="s">
        <v>175</v>
      </c>
      <c r="H192" s="57">
        <v>4103061</v>
      </c>
      <c r="I192" s="57" t="s">
        <v>54</v>
      </c>
      <c r="J192" s="57">
        <v>11</v>
      </c>
      <c r="K192" s="58" t="s">
        <v>29</v>
      </c>
      <c r="L192" s="59" t="s">
        <v>178</v>
      </c>
      <c r="M192" s="60">
        <v>28190175834.139999</v>
      </c>
      <c r="N192" s="60">
        <v>26458192365.84</v>
      </c>
      <c r="O192" s="62">
        <f t="shared" si="130"/>
        <v>0.93856074263281242</v>
      </c>
      <c r="P192" s="60">
        <v>10255819603.559999</v>
      </c>
      <c r="Q192" s="62">
        <f t="shared" si="130"/>
        <v>0.363808287819886</v>
      </c>
      <c r="R192" s="60">
        <v>10219633449.559999</v>
      </c>
      <c r="S192" s="62">
        <f t="shared" ref="S192" si="187">+R192/$M192</f>
        <v>0.36252464368042031</v>
      </c>
    </row>
    <row r="193" spans="1:19" ht="24.95" customHeight="1">
      <c r="A193" s="32" t="e">
        <v>#REF!</v>
      </c>
      <c r="B193" s="56" t="s">
        <v>684</v>
      </c>
      <c r="C193" s="57" t="s">
        <v>167</v>
      </c>
      <c r="D193" s="57" t="s">
        <v>190</v>
      </c>
      <c r="E193" s="57" t="s">
        <v>172</v>
      </c>
      <c r="F193" s="57">
        <v>20</v>
      </c>
      <c r="G193" s="57" t="s">
        <v>175</v>
      </c>
      <c r="H193" s="57">
        <v>4103061</v>
      </c>
      <c r="I193" s="57" t="s">
        <v>65</v>
      </c>
      <c r="J193" s="57">
        <v>11</v>
      </c>
      <c r="K193" s="58" t="s">
        <v>29</v>
      </c>
      <c r="L193" s="59" t="s">
        <v>127</v>
      </c>
      <c r="M193" s="60">
        <v>325043824165.85999</v>
      </c>
      <c r="N193" s="60">
        <v>159981066556</v>
      </c>
      <c r="O193" s="62">
        <f t="shared" si="130"/>
        <v>0.49218306782646798</v>
      </c>
      <c r="P193" s="60">
        <v>141066556000</v>
      </c>
      <c r="Q193" s="62">
        <f t="shared" si="130"/>
        <v>0.43399242044364461</v>
      </c>
      <c r="R193" s="60">
        <v>141066556000</v>
      </c>
      <c r="S193" s="62">
        <f t="shared" ref="S193" si="188">+R193/$M193</f>
        <v>0.43399242044364461</v>
      </c>
    </row>
    <row r="194" spans="1:19" ht="24.95" customHeight="1">
      <c r="A194" s="32" t="e">
        <v>#REF!</v>
      </c>
      <c r="B194" s="56" t="s">
        <v>684</v>
      </c>
      <c r="C194" s="57" t="s">
        <v>167</v>
      </c>
      <c r="D194" s="57" t="s">
        <v>190</v>
      </c>
      <c r="E194" s="57" t="s">
        <v>172</v>
      </c>
      <c r="F194" s="57">
        <v>20</v>
      </c>
      <c r="G194" s="57" t="s">
        <v>175</v>
      </c>
      <c r="H194" s="57">
        <v>4103061</v>
      </c>
      <c r="I194" s="57" t="s">
        <v>65</v>
      </c>
      <c r="J194" s="57">
        <v>13</v>
      </c>
      <c r="K194" s="58" t="s">
        <v>29</v>
      </c>
      <c r="L194" s="59" t="s">
        <v>127</v>
      </c>
      <c r="M194" s="60">
        <v>486720000000</v>
      </c>
      <c r="N194" s="60">
        <v>479997680000</v>
      </c>
      <c r="O194" s="62">
        <f t="shared" si="130"/>
        <v>0.98618852728468109</v>
      </c>
      <c r="P194" s="60">
        <v>460292640000</v>
      </c>
      <c r="Q194" s="62">
        <f t="shared" si="130"/>
        <v>0.94570315581854048</v>
      </c>
      <c r="R194" s="60">
        <v>460292640000</v>
      </c>
      <c r="S194" s="62">
        <f t="shared" ref="S194" si="189">+R194/$M194</f>
        <v>0.94570315581854048</v>
      </c>
    </row>
    <row r="195" spans="1:19" ht="36" customHeight="1">
      <c r="A195" s="32" t="e">
        <v>#REF!</v>
      </c>
      <c r="B195" s="48" t="s">
        <v>692</v>
      </c>
      <c r="C195" s="48" t="s">
        <v>167</v>
      </c>
      <c r="D195" s="48">
        <v>4103</v>
      </c>
      <c r="E195" s="48" t="s">
        <v>172</v>
      </c>
      <c r="F195" s="48">
        <v>21</v>
      </c>
      <c r="G195" s="48"/>
      <c r="H195" s="48"/>
      <c r="I195" s="48"/>
      <c r="J195" s="48"/>
      <c r="K195" s="48"/>
      <c r="L195" s="48" t="s">
        <v>232</v>
      </c>
      <c r="M195" s="50">
        <v>25750000000</v>
      </c>
      <c r="N195" s="50">
        <v>24455747981</v>
      </c>
      <c r="O195" s="51">
        <f t="shared" si="130"/>
        <v>0.94973778566990297</v>
      </c>
      <c r="P195" s="50">
        <v>19034982270.900002</v>
      </c>
      <c r="Q195" s="51">
        <f t="shared" si="130"/>
        <v>0.73922261246213594</v>
      </c>
      <c r="R195" s="50">
        <v>19015916653.900002</v>
      </c>
      <c r="S195" s="51">
        <f t="shared" ref="S195" si="190">+R195/$M195</f>
        <v>0.73848220015145638</v>
      </c>
    </row>
    <row r="196" spans="1:19" ht="30" customHeight="1">
      <c r="A196" s="32" t="e">
        <v>#REF!</v>
      </c>
      <c r="B196" s="52" t="s">
        <v>693</v>
      </c>
      <c r="C196" s="52" t="s">
        <v>167</v>
      </c>
      <c r="D196" s="52">
        <v>4103</v>
      </c>
      <c r="E196" s="52" t="s">
        <v>172</v>
      </c>
      <c r="F196" s="52">
        <v>21</v>
      </c>
      <c r="G196" s="52" t="s">
        <v>175</v>
      </c>
      <c r="H196" s="52" t="s">
        <v>219</v>
      </c>
      <c r="I196" s="52"/>
      <c r="J196" s="52">
        <v>13</v>
      </c>
      <c r="K196" s="52" t="s">
        <v>29</v>
      </c>
      <c r="L196" s="52" t="s">
        <v>233</v>
      </c>
      <c r="M196" s="54">
        <v>1779672321</v>
      </c>
      <c r="N196" s="54">
        <v>1779672321</v>
      </c>
      <c r="O196" s="55">
        <f t="shared" si="130"/>
        <v>1</v>
      </c>
      <c r="P196" s="54">
        <v>1779672321</v>
      </c>
      <c r="Q196" s="55">
        <f t="shared" si="130"/>
        <v>1</v>
      </c>
      <c r="R196" s="54">
        <v>1779672321</v>
      </c>
      <c r="S196" s="55">
        <f t="shared" ref="S196" si="191">+R196/$M196</f>
        <v>1</v>
      </c>
    </row>
    <row r="197" spans="1:19" ht="24.95" customHeight="1">
      <c r="A197" s="32" t="e">
        <v>#REF!</v>
      </c>
      <c r="B197" s="56" t="s">
        <v>694</v>
      </c>
      <c r="C197" s="57" t="s">
        <v>167</v>
      </c>
      <c r="D197" s="57">
        <v>4103</v>
      </c>
      <c r="E197" s="57" t="s">
        <v>172</v>
      </c>
      <c r="F197" s="57">
        <v>21</v>
      </c>
      <c r="G197" s="57" t="s">
        <v>175</v>
      </c>
      <c r="H197" s="57" t="s">
        <v>219</v>
      </c>
      <c r="I197" s="57" t="s">
        <v>54</v>
      </c>
      <c r="J197" s="57">
        <v>13</v>
      </c>
      <c r="K197" s="58" t="s">
        <v>29</v>
      </c>
      <c r="L197" s="59" t="s">
        <v>178</v>
      </c>
      <c r="M197" s="60">
        <v>1779672321</v>
      </c>
      <c r="N197" s="60">
        <v>1779672321</v>
      </c>
      <c r="O197" s="62">
        <f t="shared" si="130"/>
        <v>1</v>
      </c>
      <c r="P197" s="60">
        <v>1779672321</v>
      </c>
      <c r="Q197" s="62">
        <f t="shared" si="130"/>
        <v>1</v>
      </c>
      <c r="R197" s="60">
        <v>1779672321</v>
      </c>
      <c r="S197" s="62">
        <f t="shared" ref="S197" si="192">+R197/$M197</f>
        <v>1</v>
      </c>
    </row>
    <row r="198" spans="1:19" ht="30" customHeight="1">
      <c r="A198" s="32" t="e">
        <v>#REF!</v>
      </c>
      <c r="B198" s="52" t="s">
        <v>695</v>
      </c>
      <c r="C198" s="52" t="s">
        <v>167</v>
      </c>
      <c r="D198" s="52">
        <v>4103</v>
      </c>
      <c r="E198" s="52" t="s">
        <v>172</v>
      </c>
      <c r="F198" s="52">
        <v>21</v>
      </c>
      <c r="G198" s="52" t="s">
        <v>175</v>
      </c>
      <c r="H198" s="52" t="s">
        <v>234</v>
      </c>
      <c r="I198" s="52"/>
      <c r="J198" s="52">
        <v>13</v>
      </c>
      <c r="K198" s="52" t="s">
        <v>29</v>
      </c>
      <c r="L198" s="52" t="s">
        <v>235</v>
      </c>
      <c r="M198" s="54">
        <v>1177258904</v>
      </c>
      <c r="N198" s="54">
        <v>1177258904</v>
      </c>
      <c r="O198" s="55">
        <f t="shared" si="130"/>
        <v>1</v>
      </c>
      <c r="P198" s="54">
        <v>1177258904</v>
      </c>
      <c r="Q198" s="55">
        <f t="shared" si="130"/>
        <v>1</v>
      </c>
      <c r="R198" s="54">
        <v>1177258904</v>
      </c>
      <c r="S198" s="55">
        <f t="shared" ref="S198" si="193">+R198/$M198</f>
        <v>1</v>
      </c>
    </row>
    <row r="199" spans="1:19" ht="24.95" customHeight="1">
      <c r="A199" s="32" t="e">
        <v>#REF!</v>
      </c>
      <c r="B199" s="56" t="s">
        <v>696</v>
      </c>
      <c r="C199" s="57" t="s">
        <v>167</v>
      </c>
      <c r="D199" s="57">
        <v>4103</v>
      </c>
      <c r="E199" s="57" t="s">
        <v>172</v>
      </c>
      <c r="F199" s="57">
        <v>21</v>
      </c>
      <c r="G199" s="57" t="s">
        <v>175</v>
      </c>
      <c r="H199" s="57" t="s">
        <v>234</v>
      </c>
      <c r="I199" s="57" t="s">
        <v>54</v>
      </c>
      <c r="J199" s="57">
        <v>13</v>
      </c>
      <c r="K199" s="58" t="s">
        <v>29</v>
      </c>
      <c r="L199" s="59" t="s">
        <v>178</v>
      </c>
      <c r="M199" s="60">
        <v>1177258904</v>
      </c>
      <c r="N199" s="60">
        <v>1177258904</v>
      </c>
      <c r="O199" s="62">
        <f t="shared" si="130"/>
        <v>1</v>
      </c>
      <c r="P199" s="60">
        <v>1177258904</v>
      </c>
      <c r="Q199" s="62">
        <f t="shared" si="130"/>
        <v>1</v>
      </c>
      <c r="R199" s="60">
        <v>1177258904</v>
      </c>
      <c r="S199" s="62">
        <f t="shared" ref="S199" si="194">+R199/$M199</f>
        <v>1</v>
      </c>
    </row>
    <row r="200" spans="1:19" ht="30" customHeight="1">
      <c r="A200" s="32" t="e">
        <v>#REF!</v>
      </c>
      <c r="B200" s="52" t="s">
        <v>697</v>
      </c>
      <c r="C200" s="52" t="s">
        <v>167</v>
      </c>
      <c r="D200" s="52">
        <v>4103</v>
      </c>
      <c r="E200" s="52" t="s">
        <v>172</v>
      </c>
      <c r="F200" s="52">
        <v>21</v>
      </c>
      <c r="G200" s="52" t="s">
        <v>175</v>
      </c>
      <c r="H200" s="52" t="s">
        <v>197</v>
      </c>
      <c r="I200" s="52"/>
      <c r="J200" s="52">
        <v>13</v>
      </c>
      <c r="K200" s="52" t="s">
        <v>29</v>
      </c>
      <c r="L200" s="52" t="s">
        <v>236</v>
      </c>
      <c r="M200" s="54">
        <v>1800489955</v>
      </c>
      <c r="N200" s="54">
        <v>1120901355</v>
      </c>
      <c r="O200" s="55">
        <f t="shared" ref="O200:Q237" si="195">+N200/$M200</f>
        <v>0.62255351766180778</v>
      </c>
      <c r="P200" s="54">
        <v>1120901355</v>
      </c>
      <c r="Q200" s="55">
        <f t="shared" si="195"/>
        <v>0.62255351766180778</v>
      </c>
      <c r="R200" s="54">
        <v>1120901355</v>
      </c>
      <c r="S200" s="55">
        <f t="shared" ref="S200" si="196">+R200/$M200</f>
        <v>0.62255351766180778</v>
      </c>
    </row>
    <row r="201" spans="1:19" ht="24.95" customHeight="1">
      <c r="A201" s="32" t="e">
        <v>#REF!</v>
      </c>
      <c r="B201" s="56" t="s">
        <v>698</v>
      </c>
      <c r="C201" s="57" t="s">
        <v>167</v>
      </c>
      <c r="D201" s="57">
        <v>4103</v>
      </c>
      <c r="E201" s="57" t="s">
        <v>172</v>
      </c>
      <c r="F201" s="57">
        <v>21</v>
      </c>
      <c r="G201" s="57" t="s">
        <v>175</v>
      </c>
      <c r="H201" s="57" t="s">
        <v>197</v>
      </c>
      <c r="I201" s="57" t="s">
        <v>54</v>
      </c>
      <c r="J201" s="57">
        <v>13</v>
      </c>
      <c r="K201" s="58" t="s">
        <v>29</v>
      </c>
      <c r="L201" s="59" t="s">
        <v>178</v>
      </c>
      <c r="M201" s="60">
        <v>1800489955</v>
      </c>
      <c r="N201" s="60">
        <v>1120901355</v>
      </c>
      <c r="O201" s="62">
        <f t="shared" si="195"/>
        <v>0.62255351766180778</v>
      </c>
      <c r="P201" s="60">
        <v>1120901355</v>
      </c>
      <c r="Q201" s="62">
        <f t="shared" si="195"/>
        <v>0.62255351766180778</v>
      </c>
      <c r="R201" s="60">
        <v>1120901355</v>
      </c>
      <c r="S201" s="62">
        <f t="shared" ref="S201" si="197">+R201/$M201</f>
        <v>0.62255351766180778</v>
      </c>
    </row>
    <row r="202" spans="1:19" ht="30" customHeight="1">
      <c r="A202" s="32" t="e">
        <v>#REF!</v>
      </c>
      <c r="B202" s="52" t="s">
        <v>699</v>
      </c>
      <c r="C202" s="52" t="s">
        <v>167</v>
      </c>
      <c r="D202" s="52">
        <v>4103</v>
      </c>
      <c r="E202" s="52" t="s">
        <v>172</v>
      </c>
      <c r="F202" s="52">
        <v>21</v>
      </c>
      <c r="G202" s="52" t="s">
        <v>175</v>
      </c>
      <c r="H202" s="52" t="s">
        <v>203</v>
      </c>
      <c r="I202" s="52"/>
      <c r="J202" s="52">
        <v>13</v>
      </c>
      <c r="K202" s="52" t="s">
        <v>29</v>
      </c>
      <c r="L202" s="52" t="s">
        <v>237</v>
      </c>
      <c r="M202" s="54">
        <v>4772677041</v>
      </c>
      <c r="N202" s="54">
        <v>4772677041</v>
      </c>
      <c r="O202" s="55">
        <f t="shared" si="195"/>
        <v>1</v>
      </c>
      <c r="P202" s="54">
        <v>4772677041</v>
      </c>
      <c r="Q202" s="55">
        <f t="shared" si="195"/>
        <v>1</v>
      </c>
      <c r="R202" s="54">
        <v>4772677041</v>
      </c>
      <c r="S202" s="55">
        <f t="shared" ref="S202" si="198">+R202/$M202</f>
        <v>1</v>
      </c>
    </row>
    <row r="203" spans="1:19" ht="24.95" customHeight="1">
      <c r="A203" s="32" t="e">
        <v>#REF!</v>
      </c>
      <c r="B203" s="56" t="s">
        <v>700</v>
      </c>
      <c r="C203" s="57" t="s">
        <v>167</v>
      </c>
      <c r="D203" s="57">
        <v>4103</v>
      </c>
      <c r="E203" s="57" t="s">
        <v>172</v>
      </c>
      <c r="F203" s="57">
        <v>21</v>
      </c>
      <c r="G203" s="57" t="s">
        <v>175</v>
      </c>
      <c r="H203" s="57" t="s">
        <v>203</v>
      </c>
      <c r="I203" s="57" t="s">
        <v>54</v>
      </c>
      <c r="J203" s="57">
        <v>13</v>
      </c>
      <c r="K203" s="58" t="s">
        <v>29</v>
      </c>
      <c r="L203" s="59" t="s">
        <v>178</v>
      </c>
      <c r="M203" s="60">
        <v>4772677041</v>
      </c>
      <c r="N203" s="60">
        <v>4772677041</v>
      </c>
      <c r="O203" s="62">
        <f t="shared" si="195"/>
        <v>1</v>
      </c>
      <c r="P203" s="60">
        <v>4772677041</v>
      </c>
      <c r="Q203" s="62">
        <f t="shared" si="195"/>
        <v>1</v>
      </c>
      <c r="R203" s="60">
        <v>4772677041</v>
      </c>
      <c r="S203" s="62">
        <f t="shared" ref="S203" si="199">+R203/$M203</f>
        <v>1</v>
      </c>
    </row>
    <row r="204" spans="1:19" ht="30" customHeight="1">
      <c r="A204" s="32" t="e">
        <v>#REF!</v>
      </c>
      <c r="B204" s="52" t="s">
        <v>701</v>
      </c>
      <c r="C204" s="52" t="s">
        <v>167</v>
      </c>
      <c r="D204" s="52">
        <v>4103</v>
      </c>
      <c r="E204" s="52" t="s">
        <v>172</v>
      </c>
      <c r="F204" s="52">
        <v>21</v>
      </c>
      <c r="G204" s="52" t="s">
        <v>175</v>
      </c>
      <c r="H204" s="52" t="s">
        <v>223</v>
      </c>
      <c r="I204" s="52"/>
      <c r="J204" s="52">
        <v>13</v>
      </c>
      <c r="K204" s="52" t="s">
        <v>29</v>
      </c>
      <c r="L204" s="52" t="s">
        <v>238</v>
      </c>
      <c r="M204" s="54">
        <v>16219901779</v>
      </c>
      <c r="N204" s="54">
        <v>15605238360</v>
      </c>
      <c r="O204" s="55">
        <f t="shared" si="195"/>
        <v>0.96210436860993764</v>
      </c>
      <c r="P204" s="54">
        <v>10184472649.9</v>
      </c>
      <c r="Q204" s="55">
        <f t="shared" si="195"/>
        <v>0.62789977329492186</v>
      </c>
      <c r="R204" s="54">
        <v>10165407032.9</v>
      </c>
      <c r="S204" s="55">
        <f t="shared" ref="S204" si="200">+R204/$M204</f>
        <v>0.62672432739766715</v>
      </c>
    </row>
    <row r="205" spans="1:19" ht="24.95" customHeight="1">
      <c r="A205" s="32" t="e">
        <v>#REF!</v>
      </c>
      <c r="B205" s="56" t="s">
        <v>702</v>
      </c>
      <c r="C205" s="57" t="s">
        <v>167</v>
      </c>
      <c r="D205" s="57">
        <v>4103</v>
      </c>
      <c r="E205" s="57" t="s">
        <v>172</v>
      </c>
      <c r="F205" s="57">
        <v>21</v>
      </c>
      <c r="G205" s="57" t="s">
        <v>175</v>
      </c>
      <c r="H205" s="57" t="s">
        <v>223</v>
      </c>
      <c r="I205" s="57" t="s">
        <v>54</v>
      </c>
      <c r="J205" s="57">
        <v>13</v>
      </c>
      <c r="K205" s="58" t="s">
        <v>29</v>
      </c>
      <c r="L205" s="59" t="s">
        <v>178</v>
      </c>
      <c r="M205" s="60">
        <v>16219901779</v>
      </c>
      <c r="N205" s="60">
        <v>15605238360</v>
      </c>
      <c r="O205" s="62">
        <f t="shared" si="195"/>
        <v>0.96210436860993764</v>
      </c>
      <c r="P205" s="60">
        <v>10184472649.9</v>
      </c>
      <c r="Q205" s="62">
        <f t="shared" si="195"/>
        <v>0.62789977329492186</v>
      </c>
      <c r="R205" s="60">
        <v>10165407032.9</v>
      </c>
      <c r="S205" s="62">
        <f t="shared" ref="S205" si="201">+R205/$M205</f>
        <v>0.62672432739766715</v>
      </c>
    </row>
    <row r="206" spans="1:19" ht="45.75" customHeight="1">
      <c r="A206" s="32" t="e">
        <v>#REF!</v>
      </c>
      <c r="B206" s="48" t="s">
        <v>704</v>
      </c>
      <c r="C206" s="48" t="s">
        <v>167</v>
      </c>
      <c r="D206" s="48">
        <v>4103</v>
      </c>
      <c r="E206" s="48" t="s">
        <v>172</v>
      </c>
      <c r="F206" s="48">
        <v>22</v>
      </c>
      <c r="G206" s="48"/>
      <c r="H206" s="48"/>
      <c r="I206" s="48"/>
      <c r="J206" s="48"/>
      <c r="K206" s="48"/>
      <c r="L206" s="48" t="s">
        <v>239</v>
      </c>
      <c r="M206" s="50">
        <v>167533000000</v>
      </c>
      <c r="N206" s="50">
        <v>135077858732</v>
      </c>
      <c r="O206" s="51">
        <f t="shared" si="195"/>
        <v>0.80627612907307811</v>
      </c>
      <c r="P206" s="50">
        <v>132458135650.81</v>
      </c>
      <c r="Q206" s="51">
        <f t="shared" si="195"/>
        <v>0.79063907200855954</v>
      </c>
      <c r="R206" s="50">
        <v>132300335178.81</v>
      </c>
      <c r="S206" s="51">
        <f t="shared" ref="S206" si="202">+R206/$M206</f>
        <v>0.78969716520810829</v>
      </c>
    </row>
    <row r="207" spans="1:19" ht="30" customHeight="1">
      <c r="A207" s="32" t="e">
        <v>#REF!</v>
      </c>
      <c r="B207" s="52" t="s">
        <v>705</v>
      </c>
      <c r="C207" s="52" t="s">
        <v>167</v>
      </c>
      <c r="D207" s="52">
        <v>4103</v>
      </c>
      <c r="E207" s="52" t="s">
        <v>172</v>
      </c>
      <c r="F207" s="52">
        <v>22</v>
      </c>
      <c r="G207" s="52" t="s">
        <v>175</v>
      </c>
      <c r="H207" s="52" t="s">
        <v>219</v>
      </c>
      <c r="I207" s="52"/>
      <c r="J207" s="52">
        <v>13</v>
      </c>
      <c r="K207" s="52" t="s">
        <v>29</v>
      </c>
      <c r="L207" s="52" t="s">
        <v>240</v>
      </c>
      <c r="M207" s="54">
        <v>6436224091</v>
      </c>
      <c r="N207" s="54">
        <v>3919643191</v>
      </c>
      <c r="O207" s="55">
        <f t="shared" si="195"/>
        <v>0.60899731513092836</v>
      </c>
      <c r="P207" s="54">
        <v>3046658802</v>
      </c>
      <c r="Q207" s="55">
        <f t="shared" si="195"/>
        <v>0.47336120665224363</v>
      </c>
      <c r="R207" s="54">
        <v>3046658802</v>
      </c>
      <c r="S207" s="55">
        <f t="shared" ref="S207" si="203">+R207/$M207</f>
        <v>0.47336120665224363</v>
      </c>
    </row>
    <row r="208" spans="1:19" ht="24.95" customHeight="1">
      <c r="A208" s="32" t="e">
        <v>#REF!</v>
      </c>
      <c r="B208" s="56" t="s">
        <v>706</v>
      </c>
      <c r="C208" s="57" t="s">
        <v>167</v>
      </c>
      <c r="D208" s="57">
        <v>4103</v>
      </c>
      <c r="E208" s="57" t="s">
        <v>172</v>
      </c>
      <c r="F208" s="57">
        <v>22</v>
      </c>
      <c r="G208" s="57" t="s">
        <v>175</v>
      </c>
      <c r="H208" s="57" t="s">
        <v>219</v>
      </c>
      <c r="I208" s="57" t="s">
        <v>54</v>
      </c>
      <c r="J208" s="57">
        <v>13</v>
      </c>
      <c r="K208" s="58" t="s">
        <v>29</v>
      </c>
      <c r="L208" s="59" t="s">
        <v>178</v>
      </c>
      <c r="M208" s="60">
        <v>6436224091</v>
      </c>
      <c r="N208" s="60">
        <v>3919643191</v>
      </c>
      <c r="O208" s="62">
        <f t="shared" si="195"/>
        <v>0.60899731513092836</v>
      </c>
      <c r="P208" s="60">
        <v>3046658802</v>
      </c>
      <c r="Q208" s="62">
        <f t="shared" si="195"/>
        <v>0.47336120665224363</v>
      </c>
      <c r="R208" s="60">
        <v>3046658802</v>
      </c>
      <c r="S208" s="62">
        <f t="shared" ref="S208" si="204">+R208/$M208</f>
        <v>0.47336120665224363</v>
      </c>
    </row>
    <row r="209" spans="1:19" ht="26.25" customHeight="1">
      <c r="A209" s="32" t="e">
        <v>#REF!</v>
      </c>
      <c r="B209" s="52" t="s">
        <v>707</v>
      </c>
      <c r="C209" s="52" t="s">
        <v>167</v>
      </c>
      <c r="D209" s="52">
        <v>4103</v>
      </c>
      <c r="E209" s="52" t="s">
        <v>172</v>
      </c>
      <c r="F209" s="52">
        <v>22</v>
      </c>
      <c r="G209" s="52" t="s">
        <v>175</v>
      </c>
      <c r="H209" s="52" t="s">
        <v>234</v>
      </c>
      <c r="I209" s="52"/>
      <c r="J209" s="52">
        <v>13</v>
      </c>
      <c r="K209" s="52" t="s">
        <v>29</v>
      </c>
      <c r="L209" s="52" t="s">
        <v>241</v>
      </c>
      <c r="M209" s="54">
        <v>21359683278</v>
      </c>
      <c r="N209" s="54">
        <v>18219558020</v>
      </c>
      <c r="O209" s="55">
        <f t="shared" si="195"/>
        <v>0.85298821068034003</v>
      </c>
      <c r="P209" s="54">
        <v>17914613275.810001</v>
      </c>
      <c r="Q209" s="55">
        <f t="shared" si="195"/>
        <v>0.8387115596541479</v>
      </c>
      <c r="R209" s="54">
        <v>17914613275.810001</v>
      </c>
      <c r="S209" s="55">
        <f t="shared" ref="S209" si="205">+R209/$M209</f>
        <v>0.8387115596541479</v>
      </c>
    </row>
    <row r="210" spans="1:19" ht="24.95" customHeight="1">
      <c r="A210" s="32" t="e">
        <v>#REF!</v>
      </c>
      <c r="B210" s="56" t="s">
        <v>708</v>
      </c>
      <c r="C210" s="57" t="s">
        <v>167</v>
      </c>
      <c r="D210" s="57">
        <v>4103</v>
      </c>
      <c r="E210" s="57" t="s">
        <v>172</v>
      </c>
      <c r="F210" s="57">
        <v>22</v>
      </c>
      <c r="G210" s="57" t="s">
        <v>175</v>
      </c>
      <c r="H210" s="57" t="s">
        <v>234</v>
      </c>
      <c r="I210" s="57" t="s">
        <v>54</v>
      </c>
      <c r="J210" s="57">
        <v>13</v>
      </c>
      <c r="K210" s="58" t="s">
        <v>29</v>
      </c>
      <c r="L210" s="59" t="s">
        <v>178</v>
      </c>
      <c r="M210" s="60">
        <v>21359683278</v>
      </c>
      <c r="N210" s="60">
        <v>18219558020</v>
      </c>
      <c r="O210" s="62">
        <f t="shared" si="195"/>
        <v>0.85298821068034003</v>
      </c>
      <c r="P210" s="60">
        <v>17914613275.810001</v>
      </c>
      <c r="Q210" s="62">
        <f t="shared" si="195"/>
        <v>0.8387115596541479</v>
      </c>
      <c r="R210" s="60">
        <v>17914613275.810001</v>
      </c>
      <c r="S210" s="62">
        <f t="shared" ref="S210" si="206">+R210/$M210</f>
        <v>0.8387115596541479</v>
      </c>
    </row>
    <row r="211" spans="1:19" ht="24.75" customHeight="1">
      <c r="A211" s="32" t="e">
        <v>#REF!</v>
      </c>
      <c r="B211" s="52" t="s">
        <v>710</v>
      </c>
      <c r="C211" s="52" t="s">
        <v>167</v>
      </c>
      <c r="D211" s="52">
        <v>4103</v>
      </c>
      <c r="E211" s="52" t="s">
        <v>172</v>
      </c>
      <c r="F211" s="52">
        <v>22</v>
      </c>
      <c r="G211" s="52" t="s">
        <v>175</v>
      </c>
      <c r="H211" s="52">
        <v>4103051</v>
      </c>
      <c r="I211" s="52"/>
      <c r="J211" s="52">
        <v>13</v>
      </c>
      <c r="K211" s="52" t="s">
        <v>29</v>
      </c>
      <c r="L211" s="52" t="s">
        <v>242</v>
      </c>
      <c r="M211" s="54">
        <v>7771853837</v>
      </c>
      <c r="N211" s="54">
        <v>3945310447</v>
      </c>
      <c r="O211" s="55">
        <f t="shared" si="195"/>
        <v>0.50764084473865023</v>
      </c>
      <c r="P211" s="54">
        <v>3945310447</v>
      </c>
      <c r="Q211" s="55">
        <f t="shared" si="195"/>
        <v>0.50764084473865023</v>
      </c>
      <c r="R211" s="54">
        <v>3945310447</v>
      </c>
      <c r="S211" s="55">
        <f t="shared" ref="S211" si="207">+R211/$M211</f>
        <v>0.50764084473865023</v>
      </c>
    </row>
    <row r="212" spans="1:19" ht="24.95" customHeight="1">
      <c r="A212" s="32" t="e">
        <v>#REF!</v>
      </c>
      <c r="B212" s="56" t="s">
        <v>711</v>
      </c>
      <c r="C212" s="57" t="s">
        <v>167</v>
      </c>
      <c r="D212" s="57">
        <v>4103</v>
      </c>
      <c r="E212" s="57" t="s">
        <v>172</v>
      </c>
      <c r="F212" s="57">
        <v>22</v>
      </c>
      <c r="G212" s="57" t="s">
        <v>175</v>
      </c>
      <c r="H212" s="57">
        <v>4103051</v>
      </c>
      <c r="I212" s="57" t="s">
        <v>54</v>
      </c>
      <c r="J212" s="57">
        <v>13</v>
      </c>
      <c r="K212" s="58" t="s">
        <v>29</v>
      </c>
      <c r="L212" s="59" t="s">
        <v>178</v>
      </c>
      <c r="M212" s="60">
        <v>7771853837</v>
      </c>
      <c r="N212" s="60">
        <v>3945310447</v>
      </c>
      <c r="O212" s="62">
        <f t="shared" si="195"/>
        <v>0.50764084473865023</v>
      </c>
      <c r="P212" s="60">
        <v>3945310447</v>
      </c>
      <c r="Q212" s="62">
        <f t="shared" si="195"/>
        <v>0.50764084473865023</v>
      </c>
      <c r="R212" s="60">
        <v>3945310447</v>
      </c>
      <c r="S212" s="62">
        <f t="shared" ref="S212" si="208">+R212/$M212</f>
        <v>0.50764084473865023</v>
      </c>
    </row>
    <row r="213" spans="1:19" ht="26.25" customHeight="1">
      <c r="A213" s="32" t="e">
        <v>#REF!</v>
      </c>
      <c r="B213" s="52" t="s">
        <v>712</v>
      </c>
      <c r="C213" s="52" t="s">
        <v>167</v>
      </c>
      <c r="D213" s="52">
        <v>4103</v>
      </c>
      <c r="E213" s="52" t="s">
        <v>172</v>
      </c>
      <c r="F213" s="52">
        <v>22</v>
      </c>
      <c r="G213" s="52" t="s">
        <v>175</v>
      </c>
      <c r="H213" s="52">
        <v>4103055</v>
      </c>
      <c r="I213" s="52"/>
      <c r="J213" s="52">
        <v>13</v>
      </c>
      <c r="K213" s="52" t="s">
        <v>29</v>
      </c>
      <c r="L213" s="52" t="s">
        <v>243</v>
      </c>
      <c r="M213" s="54">
        <v>931717456</v>
      </c>
      <c r="N213" s="54">
        <v>894550970</v>
      </c>
      <c r="O213" s="55">
        <f t="shared" si="195"/>
        <v>0.96010970304285037</v>
      </c>
      <c r="P213" s="54">
        <v>894550970</v>
      </c>
      <c r="Q213" s="55">
        <f t="shared" si="195"/>
        <v>0.96010970304285037</v>
      </c>
      <c r="R213" s="54">
        <v>894550970</v>
      </c>
      <c r="S213" s="55">
        <f t="shared" ref="S213" si="209">+R213/$M213</f>
        <v>0.96010970304285037</v>
      </c>
    </row>
    <row r="214" spans="1:19" ht="24.95" customHeight="1">
      <c r="A214" s="32" t="e">
        <v>#REF!</v>
      </c>
      <c r="B214" s="56" t="s">
        <v>713</v>
      </c>
      <c r="C214" s="57" t="s">
        <v>167</v>
      </c>
      <c r="D214" s="57">
        <v>4103</v>
      </c>
      <c r="E214" s="57" t="s">
        <v>172</v>
      </c>
      <c r="F214" s="57">
        <v>22</v>
      </c>
      <c r="G214" s="57" t="s">
        <v>175</v>
      </c>
      <c r="H214" s="57" t="s">
        <v>203</v>
      </c>
      <c r="I214" s="57" t="s">
        <v>54</v>
      </c>
      <c r="J214" s="57">
        <v>13</v>
      </c>
      <c r="K214" s="58" t="s">
        <v>29</v>
      </c>
      <c r="L214" s="59" t="s">
        <v>178</v>
      </c>
      <c r="M214" s="60">
        <v>931717456</v>
      </c>
      <c r="N214" s="60">
        <v>894550970</v>
      </c>
      <c r="O214" s="62">
        <f t="shared" si="195"/>
        <v>0.96010970304285037</v>
      </c>
      <c r="P214" s="60">
        <v>894550970</v>
      </c>
      <c r="Q214" s="62">
        <f t="shared" si="195"/>
        <v>0.96010970304285037</v>
      </c>
      <c r="R214" s="60">
        <v>894550970</v>
      </c>
      <c r="S214" s="62">
        <f t="shared" ref="S214" si="210">+R214/$M214</f>
        <v>0.96010970304285037</v>
      </c>
    </row>
    <row r="215" spans="1:19" ht="27.75" customHeight="1">
      <c r="A215" s="32" t="e">
        <v>#REF!</v>
      </c>
      <c r="B215" s="52" t="s">
        <v>715</v>
      </c>
      <c r="C215" s="52" t="s">
        <v>167</v>
      </c>
      <c r="D215" s="52">
        <v>4103</v>
      </c>
      <c r="E215" s="52" t="s">
        <v>172</v>
      </c>
      <c r="F215" s="52">
        <v>22</v>
      </c>
      <c r="G215" s="52" t="s">
        <v>175</v>
      </c>
      <c r="H215" s="52">
        <v>4103057</v>
      </c>
      <c r="I215" s="52"/>
      <c r="J215" s="52">
        <v>13</v>
      </c>
      <c r="K215" s="52" t="s">
        <v>29</v>
      </c>
      <c r="L215" s="52" t="s">
        <v>244</v>
      </c>
      <c r="M215" s="54">
        <v>64692324002</v>
      </c>
      <c r="N215" s="54">
        <v>64019243697</v>
      </c>
      <c r="O215" s="55">
        <f t="shared" si="195"/>
        <v>0.98959566972769153</v>
      </c>
      <c r="P215" s="54">
        <v>62919466440</v>
      </c>
      <c r="Q215" s="55">
        <f t="shared" si="195"/>
        <v>0.97259554994584529</v>
      </c>
      <c r="R215" s="54">
        <v>62761665968</v>
      </c>
      <c r="S215" s="55">
        <f t="shared" ref="S215" si="211">+R215/$M215</f>
        <v>0.97015630426354271</v>
      </c>
    </row>
    <row r="216" spans="1:19" ht="24.95" customHeight="1">
      <c r="A216" s="32" t="e">
        <v>#REF!</v>
      </c>
      <c r="B216" s="56" t="s">
        <v>716</v>
      </c>
      <c r="C216" s="57" t="s">
        <v>167</v>
      </c>
      <c r="D216" s="57">
        <v>4103</v>
      </c>
      <c r="E216" s="57" t="s">
        <v>172</v>
      </c>
      <c r="F216" s="57">
        <v>22</v>
      </c>
      <c r="G216" s="57" t="s">
        <v>175</v>
      </c>
      <c r="H216" s="57" t="s">
        <v>221</v>
      </c>
      <c r="I216" s="57" t="s">
        <v>54</v>
      </c>
      <c r="J216" s="57">
        <v>13</v>
      </c>
      <c r="K216" s="58" t="s">
        <v>29</v>
      </c>
      <c r="L216" s="59" t="s">
        <v>178</v>
      </c>
      <c r="M216" s="60">
        <v>4582330002</v>
      </c>
      <c r="N216" s="60">
        <v>3909249697</v>
      </c>
      <c r="O216" s="62">
        <f t="shared" si="195"/>
        <v>0.85311396064748113</v>
      </c>
      <c r="P216" s="60">
        <v>2994403440</v>
      </c>
      <c r="Q216" s="62">
        <f t="shared" si="195"/>
        <v>0.65346743658642326</v>
      </c>
      <c r="R216" s="60">
        <v>2836602968</v>
      </c>
      <c r="S216" s="62">
        <f t="shared" ref="S216" si="212">+R216/$M216</f>
        <v>0.61903070419675987</v>
      </c>
    </row>
    <row r="217" spans="1:19" ht="24.95" customHeight="1">
      <c r="A217" s="32" t="e">
        <v>#REF!</v>
      </c>
      <c r="B217" s="56" t="s">
        <v>717</v>
      </c>
      <c r="C217" s="57" t="s">
        <v>167</v>
      </c>
      <c r="D217" s="57">
        <v>4103</v>
      </c>
      <c r="E217" s="57" t="s">
        <v>172</v>
      </c>
      <c r="F217" s="57">
        <v>22</v>
      </c>
      <c r="G217" s="57" t="s">
        <v>175</v>
      </c>
      <c r="H217" s="57" t="s">
        <v>221</v>
      </c>
      <c r="I217" s="57" t="s">
        <v>65</v>
      </c>
      <c r="J217" s="57">
        <v>13</v>
      </c>
      <c r="K217" s="58" t="s">
        <v>29</v>
      </c>
      <c r="L217" s="59" t="s">
        <v>127</v>
      </c>
      <c r="M217" s="60">
        <v>60109994000</v>
      </c>
      <c r="N217" s="60">
        <v>60109994000</v>
      </c>
      <c r="O217" s="62">
        <f t="shared" si="195"/>
        <v>1</v>
      </c>
      <c r="P217" s="60">
        <v>59925063000</v>
      </c>
      <c r="Q217" s="62">
        <f t="shared" si="195"/>
        <v>0.99692345668841686</v>
      </c>
      <c r="R217" s="60">
        <v>59925063000</v>
      </c>
      <c r="S217" s="62">
        <f t="shared" ref="S217" si="213">+R217/$M217</f>
        <v>0.99692345668841686</v>
      </c>
    </row>
    <row r="218" spans="1:19" ht="23.25" customHeight="1">
      <c r="A218" s="32" t="e">
        <v>#REF!</v>
      </c>
      <c r="B218" s="52" t="s">
        <v>718</v>
      </c>
      <c r="C218" s="52" t="s">
        <v>167</v>
      </c>
      <c r="D218" s="52">
        <v>4103</v>
      </c>
      <c r="E218" s="52" t="s">
        <v>172</v>
      </c>
      <c r="F218" s="52">
        <v>22</v>
      </c>
      <c r="G218" s="52" t="s">
        <v>175</v>
      </c>
      <c r="H218" s="52">
        <v>4103062</v>
      </c>
      <c r="I218" s="52"/>
      <c r="J218" s="52">
        <v>13</v>
      </c>
      <c r="K218" s="52" t="s">
        <v>29</v>
      </c>
      <c r="L218" s="52" t="s">
        <v>245</v>
      </c>
      <c r="M218" s="54">
        <v>66341197336</v>
      </c>
      <c r="N218" s="54">
        <v>44079552407</v>
      </c>
      <c r="O218" s="55">
        <f t="shared" si="195"/>
        <v>0.66443709455150679</v>
      </c>
      <c r="P218" s="54">
        <v>43737535716</v>
      </c>
      <c r="Q218" s="55">
        <f t="shared" si="195"/>
        <v>0.65928167522333603</v>
      </c>
      <c r="R218" s="54">
        <v>43737535716</v>
      </c>
      <c r="S218" s="55">
        <f t="shared" ref="S218" si="214">+R218/$M218</f>
        <v>0.65928167522333603</v>
      </c>
    </row>
    <row r="219" spans="1:19" ht="24.95" customHeight="1">
      <c r="A219" s="32" t="e">
        <v>#REF!</v>
      </c>
      <c r="B219" s="56" t="s">
        <v>719</v>
      </c>
      <c r="C219" s="57" t="s">
        <v>167</v>
      </c>
      <c r="D219" s="57">
        <v>4103</v>
      </c>
      <c r="E219" s="57" t="s">
        <v>172</v>
      </c>
      <c r="F219" s="57">
        <v>22</v>
      </c>
      <c r="G219" s="57" t="s">
        <v>175</v>
      </c>
      <c r="H219" s="57" t="s">
        <v>246</v>
      </c>
      <c r="I219" s="57" t="s">
        <v>54</v>
      </c>
      <c r="J219" s="57">
        <v>13</v>
      </c>
      <c r="K219" s="58" t="s">
        <v>29</v>
      </c>
      <c r="L219" s="59" t="s">
        <v>178</v>
      </c>
      <c r="M219" s="60">
        <v>7046075336</v>
      </c>
      <c r="N219" s="60">
        <v>4249430407</v>
      </c>
      <c r="O219" s="62">
        <f t="shared" si="195"/>
        <v>0.60309182124248584</v>
      </c>
      <c r="P219" s="60">
        <v>4216686716</v>
      </c>
      <c r="Q219" s="62">
        <f t="shared" si="195"/>
        <v>0.5984447390813421</v>
      </c>
      <c r="R219" s="60">
        <v>4216686716</v>
      </c>
      <c r="S219" s="62">
        <f t="shared" ref="S219" si="215">+R219/$M219</f>
        <v>0.5984447390813421</v>
      </c>
    </row>
    <row r="220" spans="1:19" ht="24.95" customHeight="1">
      <c r="A220" s="32" t="e">
        <v>#REF!</v>
      </c>
      <c r="B220" s="56" t="s">
        <v>720</v>
      </c>
      <c r="C220" s="57" t="s">
        <v>167</v>
      </c>
      <c r="D220" s="57">
        <v>4103</v>
      </c>
      <c r="E220" s="57" t="s">
        <v>172</v>
      </c>
      <c r="F220" s="57">
        <v>22</v>
      </c>
      <c r="G220" s="57" t="s">
        <v>175</v>
      </c>
      <c r="H220" s="57" t="s">
        <v>246</v>
      </c>
      <c r="I220" s="57" t="s">
        <v>65</v>
      </c>
      <c r="J220" s="57">
        <v>13</v>
      </c>
      <c r="K220" s="58" t="s">
        <v>29</v>
      </c>
      <c r="L220" s="59" t="s">
        <v>127</v>
      </c>
      <c r="M220" s="60">
        <v>59295122000</v>
      </c>
      <c r="N220" s="60">
        <v>39830122000</v>
      </c>
      <c r="O220" s="62">
        <f t="shared" si="195"/>
        <v>0.67172679061188201</v>
      </c>
      <c r="P220" s="60">
        <v>39520849000</v>
      </c>
      <c r="Q220" s="62">
        <f t="shared" si="195"/>
        <v>0.66651096526962206</v>
      </c>
      <c r="R220" s="60">
        <v>39520849000</v>
      </c>
      <c r="S220" s="62">
        <f t="shared" ref="S220" si="216">+R220/$M220</f>
        <v>0.66651096526962206</v>
      </c>
    </row>
    <row r="221" spans="1:19" ht="36" customHeight="1">
      <c r="A221" s="32"/>
      <c r="B221" s="48" t="s">
        <v>685</v>
      </c>
      <c r="C221" s="48" t="s">
        <v>167</v>
      </c>
      <c r="D221" s="48" t="s">
        <v>190</v>
      </c>
      <c r="E221" s="48" t="s">
        <v>172</v>
      </c>
      <c r="F221" s="48">
        <v>23</v>
      </c>
      <c r="G221" s="48"/>
      <c r="H221" s="48"/>
      <c r="I221" s="48"/>
      <c r="J221" s="48"/>
      <c r="K221" s="48"/>
      <c r="L221" s="48" t="s">
        <v>247</v>
      </c>
      <c r="M221" s="50">
        <v>1612279801419</v>
      </c>
      <c r="N221" s="50">
        <v>1263985358221.21</v>
      </c>
      <c r="O221" s="51">
        <f t="shared" si="195"/>
        <v>0.78397394615298843</v>
      </c>
      <c r="P221" s="50">
        <v>1241313930590.1499</v>
      </c>
      <c r="Q221" s="51">
        <f t="shared" si="195"/>
        <v>0.76991222584172081</v>
      </c>
      <c r="R221" s="50">
        <v>1241313930590.1499</v>
      </c>
      <c r="S221" s="51">
        <f t="shared" ref="S221" si="217">+R221/$M221</f>
        <v>0.76991222584172081</v>
      </c>
    </row>
    <row r="222" spans="1:19" ht="33.75" customHeight="1">
      <c r="A222" s="32"/>
      <c r="B222" s="52" t="s">
        <v>721</v>
      </c>
      <c r="C222" s="52" t="s">
        <v>167</v>
      </c>
      <c r="D222" s="52" t="s">
        <v>190</v>
      </c>
      <c r="E222" s="52" t="s">
        <v>172</v>
      </c>
      <c r="F222" s="52">
        <v>23</v>
      </c>
      <c r="G222" s="52" t="s">
        <v>175</v>
      </c>
      <c r="H222" s="52">
        <v>4103065</v>
      </c>
      <c r="I222" s="52"/>
      <c r="J222" s="52">
        <v>11</v>
      </c>
      <c r="K222" s="52" t="s">
        <v>29</v>
      </c>
      <c r="L222" s="52" t="s">
        <v>248</v>
      </c>
      <c r="M222" s="54">
        <v>1612279801419</v>
      </c>
      <c r="N222" s="54">
        <v>1263985358221.21</v>
      </c>
      <c r="O222" s="55">
        <f t="shared" si="195"/>
        <v>0.78397394615298843</v>
      </c>
      <c r="P222" s="54">
        <v>1241313930590.1499</v>
      </c>
      <c r="Q222" s="55">
        <f t="shared" si="195"/>
        <v>0.76991222584172081</v>
      </c>
      <c r="R222" s="54">
        <v>1241313930590.1499</v>
      </c>
      <c r="S222" s="55">
        <f t="shared" ref="S222" si="218">+R222/$M222</f>
        <v>0.76991222584172081</v>
      </c>
    </row>
    <row r="223" spans="1:19" ht="24.95" customHeight="1">
      <c r="A223" s="32"/>
      <c r="B223" s="56" t="s">
        <v>722</v>
      </c>
      <c r="C223" s="57" t="s">
        <v>167</v>
      </c>
      <c r="D223" s="57" t="s">
        <v>190</v>
      </c>
      <c r="E223" s="57" t="s">
        <v>172</v>
      </c>
      <c r="F223" s="57">
        <v>23</v>
      </c>
      <c r="G223" s="57" t="s">
        <v>175</v>
      </c>
      <c r="H223" s="57">
        <v>4103065</v>
      </c>
      <c r="I223" s="57" t="s">
        <v>54</v>
      </c>
      <c r="J223" s="57">
        <v>11</v>
      </c>
      <c r="K223" s="58" t="s">
        <v>29</v>
      </c>
      <c r="L223" s="59" t="s">
        <v>178</v>
      </c>
      <c r="M223" s="60">
        <v>46083094704.350006</v>
      </c>
      <c r="N223" s="60">
        <v>45711833221.209999</v>
      </c>
      <c r="O223" s="62">
        <f t="shared" si="195"/>
        <v>0.99194365123432215</v>
      </c>
      <c r="P223" s="60">
        <v>27050405590.150002</v>
      </c>
      <c r="Q223" s="62">
        <f t="shared" si="195"/>
        <v>0.58699194929711573</v>
      </c>
      <c r="R223" s="60">
        <v>27050405590.150002</v>
      </c>
      <c r="S223" s="62">
        <f t="shared" ref="S223" si="219">+R223/$M223</f>
        <v>0.58699194929711573</v>
      </c>
    </row>
    <row r="224" spans="1:19" ht="24.95" customHeight="1">
      <c r="A224" s="32"/>
      <c r="B224" s="56" t="s">
        <v>723</v>
      </c>
      <c r="C224" s="57" t="s">
        <v>167</v>
      </c>
      <c r="D224" s="57" t="s">
        <v>190</v>
      </c>
      <c r="E224" s="57" t="s">
        <v>172</v>
      </c>
      <c r="F224" s="57">
        <v>23</v>
      </c>
      <c r="G224" s="57" t="s">
        <v>175</v>
      </c>
      <c r="H224" s="57">
        <v>4103065</v>
      </c>
      <c r="I224" s="57" t="s">
        <v>65</v>
      </c>
      <c r="J224" s="57">
        <v>11</v>
      </c>
      <c r="K224" s="58" t="s">
        <v>29</v>
      </c>
      <c r="L224" s="59" t="s">
        <v>127</v>
      </c>
      <c r="M224" s="60">
        <v>733379609845.65002</v>
      </c>
      <c r="N224" s="60">
        <v>699178649814</v>
      </c>
      <c r="O224" s="62">
        <f t="shared" si="195"/>
        <v>0.95336527008318639</v>
      </c>
      <c r="P224" s="60">
        <v>699178649814</v>
      </c>
      <c r="Q224" s="62">
        <f t="shared" si="195"/>
        <v>0.95336527008318639</v>
      </c>
      <c r="R224" s="60">
        <v>699178649814</v>
      </c>
      <c r="S224" s="62">
        <f t="shared" ref="S224" si="220">+R224/$M224</f>
        <v>0.95336527008318639</v>
      </c>
    </row>
    <row r="225" spans="1:42" ht="24.95" customHeight="1">
      <c r="A225" s="32"/>
      <c r="B225" s="56" t="s">
        <v>722</v>
      </c>
      <c r="C225" s="57" t="s">
        <v>167</v>
      </c>
      <c r="D225" s="57" t="s">
        <v>190</v>
      </c>
      <c r="E225" s="57" t="s">
        <v>172</v>
      </c>
      <c r="F225" s="57">
        <v>23</v>
      </c>
      <c r="G225" s="57" t="s">
        <v>175</v>
      </c>
      <c r="H225" s="57">
        <v>4103065</v>
      </c>
      <c r="I225" s="57" t="s">
        <v>54</v>
      </c>
      <c r="J225" s="57">
        <v>13</v>
      </c>
      <c r="K225" s="58" t="s">
        <v>29</v>
      </c>
      <c r="L225" s="59" t="s">
        <v>178</v>
      </c>
      <c r="M225" s="60">
        <v>4000000000</v>
      </c>
      <c r="N225" s="60">
        <v>4000000000</v>
      </c>
      <c r="O225" s="62">
        <f t="shared" si="195"/>
        <v>1</v>
      </c>
      <c r="P225" s="60">
        <v>0</v>
      </c>
      <c r="Q225" s="62">
        <f t="shared" si="195"/>
        <v>0</v>
      </c>
      <c r="R225" s="60">
        <v>0</v>
      </c>
      <c r="S225" s="62">
        <f t="shared" ref="S225" si="221">+R225/$M225</f>
        <v>0</v>
      </c>
    </row>
    <row r="226" spans="1:42" ht="24.95" customHeight="1">
      <c r="A226" s="32"/>
      <c r="B226" s="56" t="s">
        <v>723</v>
      </c>
      <c r="C226" s="57" t="s">
        <v>167</v>
      </c>
      <c r="D226" s="57" t="s">
        <v>190</v>
      </c>
      <c r="E226" s="57" t="s">
        <v>172</v>
      </c>
      <c r="F226" s="57">
        <v>23</v>
      </c>
      <c r="G226" s="57" t="s">
        <v>175</v>
      </c>
      <c r="H226" s="57">
        <v>4103065</v>
      </c>
      <c r="I226" s="57" t="s">
        <v>65</v>
      </c>
      <c r="J226" s="57">
        <v>13</v>
      </c>
      <c r="K226" s="58" t="s">
        <v>29</v>
      </c>
      <c r="L226" s="59" t="s">
        <v>127</v>
      </c>
      <c r="M226" s="60">
        <v>44925749186</v>
      </c>
      <c r="N226" s="60">
        <v>44717669186</v>
      </c>
      <c r="O226" s="62">
        <f t="shared" si="195"/>
        <v>0.99536835770643439</v>
      </c>
      <c r="P226" s="60">
        <v>44717669186</v>
      </c>
      <c r="Q226" s="62">
        <f t="shared" si="195"/>
        <v>0.99536835770643439</v>
      </c>
      <c r="R226" s="60">
        <v>44717669186</v>
      </c>
      <c r="S226" s="62">
        <f t="shared" ref="S226" si="222">+R226/$M226</f>
        <v>0.99536835770643439</v>
      </c>
    </row>
    <row r="227" spans="1:42" ht="24.95" customHeight="1">
      <c r="A227" s="32"/>
      <c r="B227" s="56" t="s">
        <v>723</v>
      </c>
      <c r="C227" s="57" t="s">
        <v>167</v>
      </c>
      <c r="D227" s="57" t="s">
        <v>190</v>
      </c>
      <c r="E227" s="57" t="s">
        <v>172</v>
      </c>
      <c r="F227" s="57">
        <v>23</v>
      </c>
      <c r="G227" s="57" t="s">
        <v>175</v>
      </c>
      <c r="H227" s="57">
        <v>4103065</v>
      </c>
      <c r="I227" s="57" t="s">
        <v>65</v>
      </c>
      <c r="J227" s="57">
        <v>16</v>
      </c>
      <c r="K227" s="58" t="s">
        <v>156</v>
      </c>
      <c r="L227" s="59" t="s">
        <v>127</v>
      </c>
      <c r="M227" s="60">
        <v>783891347683</v>
      </c>
      <c r="N227" s="60">
        <v>470377206000</v>
      </c>
      <c r="O227" s="62">
        <f t="shared" si="195"/>
        <v>0.60005408579942277</v>
      </c>
      <c r="P227" s="60">
        <v>470367206000</v>
      </c>
      <c r="Q227" s="62">
        <f t="shared" si="195"/>
        <v>0.60004132892944384</v>
      </c>
      <c r="R227" s="60">
        <v>470367206000</v>
      </c>
      <c r="S227" s="62">
        <f t="shared" ref="S227" si="223">+R227/$M227</f>
        <v>0.60004132892944384</v>
      </c>
    </row>
    <row r="228" spans="1:42" ht="36" customHeight="1">
      <c r="A228" s="32" t="e">
        <v>#REF!</v>
      </c>
      <c r="B228" s="48" t="s">
        <v>732</v>
      </c>
      <c r="C228" s="48" t="s">
        <v>167</v>
      </c>
      <c r="D228" s="48" t="s">
        <v>190</v>
      </c>
      <c r="E228" s="48" t="s">
        <v>172</v>
      </c>
      <c r="F228" s="48">
        <v>24</v>
      </c>
      <c r="G228" s="48"/>
      <c r="H228" s="48"/>
      <c r="I228" s="48"/>
      <c r="J228" s="48"/>
      <c r="K228" s="48"/>
      <c r="L228" s="48" t="s">
        <v>249</v>
      </c>
      <c r="M228" s="50">
        <v>7237101000000</v>
      </c>
      <c r="N228" s="50">
        <v>5854781224661.4004</v>
      </c>
      <c r="O228" s="51">
        <f t="shared" si="195"/>
        <v>0.80899537323873194</v>
      </c>
      <c r="P228" s="50">
        <v>5589872206045.3604</v>
      </c>
      <c r="Q228" s="51">
        <f t="shared" si="195"/>
        <v>0.77239107289581288</v>
      </c>
      <c r="R228" s="50">
        <v>5589437573984.3604</v>
      </c>
      <c r="S228" s="51">
        <f t="shared" ref="S228" si="224">+R228/$M228</f>
        <v>0.77233101679586347</v>
      </c>
    </row>
    <row r="229" spans="1:42" ht="33.75" customHeight="1">
      <c r="A229" s="32" t="e">
        <v>#REF!</v>
      </c>
      <c r="B229" s="52" t="s">
        <v>733</v>
      </c>
      <c r="C229" s="52" t="s">
        <v>167</v>
      </c>
      <c r="D229" s="52" t="s">
        <v>190</v>
      </c>
      <c r="E229" s="52" t="s">
        <v>172</v>
      </c>
      <c r="F229" s="52">
        <v>24</v>
      </c>
      <c r="G229" s="52" t="s">
        <v>175</v>
      </c>
      <c r="H229" s="52">
        <v>4103061</v>
      </c>
      <c r="I229" s="52"/>
      <c r="J229" s="52">
        <v>13</v>
      </c>
      <c r="K229" s="52" t="s">
        <v>29</v>
      </c>
      <c r="L229" s="52" t="s">
        <v>231</v>
      </c>
      <c r="M229" s="54">
        <v>7237101000000</v>
      </c>
      <c r="N229" s="54">
        <v>5854781224661.4004</v>
      </c>
      <c r="O229" s="55">
        <f t="shared" si="195"/>
        <v>0.80899537323873194</v>
      </c>
      <c r="P229" s="54">
        <v>5589872206045.3604</v>
      </c>
      <c r="Q229" s="55">
        <f t="shared" si="195"/>
        <v>0.77239107289581288</v>
      </c>
      <c r="R229" s="54">
        <v>5589437573984.3604</v>
      </c>
      <c r="S229" s="55">
        <f t="shared" ref="S229" si="225">+R229/$M229</f>
        <v>0.77233101679586347</v>
      </c>
    </row>
    <row r="230" spans="1:42" ht="24.95" customHeight="1">
      <c r="A230" s="32" t="e">
        <v>#REF!</v>
      </c>
      <c r="B230" s="56" t="s">
        <v>734</v>
      </c>
      <c r="C230" s="57" t="s">
        <v>167</v>
      </c>
      <c r="D230" s="57" t="s">
        <v>190</v>
      </c>
      <c r="E230" s="57" t="s">
        <v>172</v>
      </c>
      <c r="F230" s="57">
        <v>24</v>
      </c>
      <c r="G230" s="57" t="s">
        <v>175</v>
      </c>
      <c r="H230" s="57">
        <v>4103061</v>
      </c>
      <c r="I230" s="57" t="s">
        <v>54</v>
      </c>
      <c r="J230" s="57">
        <v>13</v>
      </c>
      <c r="K230" s="58" t="s">
        <v>29</v>
      </c>
      <c r="L230" s="59" t="s">
        <v>178</v>
      </c>
      <c r="M230" s="60">
        <v>100180639294.83</v>
      </c>
      <c r="N230" s="60">
        <v>39688406661.400002</v>
      </c>
      <c r="O230" s="62">
        <f t="shared" si="195"/>
        <v>0.39616843075434627</v>
      </c>
      <c r="P230" s="60">
        <v>21748658045.360001</v>
      </c>
      <c r="Q230" s="62">
        <f t="shared" si="195"/>
        <v>0.21709442261946493</v>
      </c>
      <c r="R230" s="60">
        <v>21314025984.360001</v>
      </c>
      <c r="S230" s="62">
        <f t="shared" ref="S230" si="226">+R230/$M230</f>
        <v>0.21275593901565318</v>
      </c>
    </row>
    <row r="231" spans="1:42" ht="24.95" customHeight="1">
      <c r="A231" s="32" t="e">
        <v>#REF!</v>
      </c>
      <c r="B231" s="56" t="s">
        <v>735</v>
      </c>
      <c r="C231" s="57" t="s">
        <v>167</v>
      </c>
      <c r="D231" s="57" t="s">
        <v>190</v>
      </c>
      <c r="E231" s="57" t="s">
        <v>172</v>
      </c>
      <c r="F231" s="57">
        <v>24</v>
      </c>
      <c r="G231" s="57" t="s">
        <v>175</v>
      </c>
      <c r="H231" s="57">
        <v>4103061</v>
      </c>
      <c r="I231" s="57" t="s">
        <v>65</v>
      </c>
      <c r="J231" s="57">
        <v>13</v>
      </c>
      <c r="K231" s="58" t="s">
        <v>29</v>
      </c>
      <c r="L231" s="59" t="s">
        <v>127</v>
      </c>
      <c r="M231" s="60">
        <v>7136920360705.1699</v>
      </c>
      <c r="N231" s="60">
        <v>5815092818000</v>
      </c>
      <c r="O231" s="62">
        <f t="shared" si="195"/>
        <v>0.81479020699418792</v>
      </c>
      <c r="P231" s="60">
        <v>5568123548000</v>
      </c>
      <c r="Q231" s="62">
        <f t="shared" si="195"/>
        <v>0.78018574771511617</v>
      </c>
      <c r="R231" s="60">
        <v>5568123548000</v>
      </c>
      <c r="S231" s="62">
        <f t="shared" ref="S231" si="227">+R231/$M231</f>
        <v>0.78018574771511617</v>
      </c>
    </row>
    <row r="232" spans="1:42" ht="24" customHeight="1">
      <c r="A232" s="32" t="e">
        <v>#REF!</v>
      </c>
      <c r="B232" s="38" t="s">
        <v>544</v>
      </c>
      <c r="C232" s="39" t="s">
        <v>167</v>
      </c>
      <c r="D232" s="39">
        <v>4199</v>
      </c>
      <c r="E232" s="39"/>
      <c r="F232" s="39"/>
      <c r="G232" s="39"/>
      <c r="H232" s="39"/>
      <c r="I232" s="39"/>
      <c r="J232" s="40"/>
      <c r="K232" s="40"/>
      <c r="L232" s="38" t="s">
        <v>250</v>
      </c>
      <c r="M232" s="41">
        <v>5000000000</v>
      </c>
      <c r="N232" s="41">
        <v>2541440887.5999999</v>
      </c>
      <c r="O232" s="42">
        <f t="shared" si="195"/>
        <v>0.50828817752</v>
      </c>
      <c r="P232" s="41">
        <v>2541440887.5999999</v>
      </c>
      <c r="Q232" s="42">
        <f t="shared" si="195"/>
        <v>0.50828817752</v>
      </c>
      <c r="R232" s="41">
        <v>2541440887.5999999</v>
      </c>
      <c r="S232" s="42">
        <f t="shared" ref="S232" si="228">+R232/$M232</f>
        <v>0.50828817752</v>
      </c>
    </row>
    <row r="233" spans="1:42" ht="24" customHeight="1">
      <c r="A233" s="32" t="e">
        <v>#REF!</v>
      </c>
      <c r="B233" s="43" t="s">
        <v>300</v>
      </c>
      <c r="C233" s="44" t="s">
        <v>167</v>
      </c>
      <c r="D233" s="44">
        <v>4199</v>
      </c>
      <c r="E233" s="44">
        <v>1500</v>
      </c>
      <c r="F233" s="44"/>
      <c r="G233" s="44"/>
      <c r="H233" s="44"/>
      <c r="I233" s="44"/>
      <c r="J233" s="45"/>
      <c r="K233" s="45"/>
      <c r="L233" s="43" t="s">
        <v>170</v>
      </c>
      <c r="M233" s="46">
        <v>5000000000</v>
      </c>
      <c r="N233" s="46">
        <v>2541440887.5999999</v>
      </c>
      <c r="O233" s="47">
        <f t="shared" si="195"/>
        <v>0.50828817752</v>
      </c>
      <c r="P233" s="46">
        <v>2541440887.5999999</v>
      </c>
      <c r="Q233" s="47">
        <f t="shared" si="195"/>
        <v>0.50828817752</v>
      </c>
      <c r="R233" s="46">
        <v>2541440887.5999999</v>
      </c>
      <c r="S233" s="47">
        <f t="shared" ref="S233" si="229">+R233/$M233</f>
        <v>0.50828817752</v>
      </c>
    </row>
    <row r="234" spans="1:42" ht="39" customHeight="1">
      <c r="A234" s="32" t="e">
        <v>#REF!</v>
      </c>
      <c r="B234" s="48" t="s">
        <v>547</v>
      </c>
      <c r="C234" s="48" t="s">
        <v>167</v>
      </c>
      <c r="D234" s="48" t="s">
        <v>251</v>
      </c>
      <c r="E234" s="48" t="s">
        <v>172</v>
      </c>
      <c r="F234" s="48" t="s">
        <v>252</v>
      </c>
      <c r="G234" s="48"/>
      <c r="H234" s="48"/>
      <c r="I234" s="48"/>
      <c r="J234" s="48"/>
      <c r="K234" s="48"/>
      <c r="L234" s="48" t="s">
        <v>253</v>
      </c>
      <c r="M234" s="50">
        <v>5000000000</v>
      </c>
      <c r="N234" s="50">
        <v>2541440887.5999999</v>
      </c>
      <c r="O234" s="51">
        <f t="shared" si="195"/>
        <v>0.50828817752</v>
      </c>
      <c r="P234" s="50">
        <v>2541440887.5999999</v>
      </c>
      <c r="Q234" s="51">
        <f t="shared" si="195"/>
        <v>0.50828817752</v>
      </c>
      <c r="R234" s="50">
        <v>2541440887.5999999</v>
      </c>
      <c r="S234" s="51">
        <f t="shared" ref="S234" si="230">+R234/$M234</f>
        <v>0.50828817752</v>
      </c>
    </row>
    <row r="235" spans="1:42" ht="24" customHeight="1">
      <c r="A235" s="32" t="e">
        <v>#REF!</v>
      </c>
      <c r="B235" s="52" t="s">
        <v>548</v>
      </c>
      <c r="C235" s="52" t="s">
        <v>167</v>
      </c>
      <c r="D235" s="52" t="s">
        <v>251</v>
      </c>
      <c r="E235" s="52" t="s">
        <v>172</v>
      </c>
      <c r="F235" s="52" t="s">
        <v>252</v>
      </c>
      <c r="G235" s="52" t="s">
        <v>175</v>
      </c>
      <c r="H235" s="52" t="s">
        <v>254</v>
      </c>
      <c r="I235" s="52"/>
      <c r="J235" s="52">
        <v>13</v>
      </c>
      <c r="K235" s="52" t="s">
        <v>29</v>
      </c>
      <c r="L235" s="52" t="s">
        <v>255</v>
      </c>
      <c r="M235" s="54">
        <v>5000000000</v>
      </c>
      <c r="N235" s="54">
        <v>2541440887.5999999</v>
      </c>
      <c r="O235" s="55">
        <f t="shared" si="195"/>
        <v>0.50828817752</v>
      </c>
      <c r="P235" s="54">
        <v>2541440887.5999999</v>
      </c>
      <c r="Q235" s="55">
        <f t="shared" si="195"/>
        <v>0.50828817752</v>
      </c>
      <c r="R235" s="54">
        <v>2541440887.5999999</v>
      </c>
      <c r="S235" s="55">
        <f t="shared" ref="S235" si="231">+R235/$M235</f>
        <v>0.50828817752</v>
      </c>
    </row>
    <row r="236" spans="1:42" ht="24.95" customHeight="1">
      <c r="A236" s="32" t="e">
        <v>#REF!</v>
      </c>
      <c r="B236" s="56" t="s">
        <v>549</v>
      </c>
      <c r="C236" s="57" t="s">
        <v>167</v>
      </c>
      <c r="D236" s="57" t="s">
        <v>251</v>
      </c>
      <c r="E236" s="57" t="s">
        <v>172</v>
      </c>
      <c r="F236" s="57" t="s">
        <v>252</v>
      </c>
      <c r="G236" s="57" t="s">
        <v>175</v>
      </c>
      <c r="H236" s="57" t="s">
        <v>254</v>
      </c>
      <c r="I236" s="57" t="s">
        <v>54</v>
      </c>
      <c r="J236" s="57">
        <v>13</v>
      </c>
      <c r="K236" s="58" t="s">
        <v>29</v>
      </c>
      <c r="L236" s="59" t="s">
        <v>178</v>
      </c>
      <c r="M236" s="60">
        <v>5000000000</v>
      </c>
      <c r="N236" s="60">
        <v>2541440887.5999999</v>
      </c>
      <c r="O236" s="62">
        <f t="shared" si="195"/>
        <v>0.50828817752</v>
      </c>
      <c r="P236" s="60">
        <v>2541440887.5999999</v>
      </c>
      <c r="Q236" s="62">
        <f t="shared" si="195"/>
        <v>0.50828817752</v>
      </c>
      <c r="R236" s="60">
        <v>2541440887.5999999</v>
      </c>
      <c r="S236" s="62">
        <f t="shared" ref="S236" si="232">+R236/$M236</f>
        <v>0.50828817752</v>
      </c>
    </row>
    <row r="237" spans="1:42" ht="35.1" customHeight="1">
      <c r="A237" s="32"/>
      <c r="B237" s="33"/>
      <c r="C237" s="34"/>
      <c r="D237" s="35"/>
      <c r="E237" s="35"/>
      <c r="F237" s="35"/>
      <c r="G237" s="35"/>
      <c r="H237" s="35"/>
      <c r="I237" s="35"/>
      <c r="J237" s="35"/>
      <c r="K237" s="35"/>
      <c r="L237" s="33" t="s">
        <v>256</v>
      </c>
      <c r="M237" s="36">
        <v>13102714225291</v>
      </c>
      <c r="N237" s="36">
        <v>10620486850345.869</v>
      </c>
      <c r="O237" s="37">
        <f t="shared" si="195"/>
        <v>0.8105562456552774</v>
      </c>
      <c r="P237" s="36">
        <v>9327690279197.2305</v>
      </c>
      <c r="Q237" s="37">
        <f t="shared" si="195"/>
        <v>0.71188992744669821</v>
      </c>
      <c r="R237" s="36">
        <v>9324526673334.2891</v>
      </c>
      <c r="S237" s="37">
        <f t="shared" ref="S237" si="233">+R237/$M237</f>
        <v>0.71164848084193022</v>
      </c>
    </row>
    <row r="238" spans="1:42" s="90" customFormat="1" ht="16.5">
      <c r="A238" s="32"/>
      <c r="B238" s="32"/>
      <c r="C238" s="82"/>
      <c r="D238" s="82"/>
      <c r="E238" s="82"/>
      <c r="F238" s="82"/>
      <c r="G238" s="82"/>
      <c r="H238" s="83"/>
      <c r="I238" s="84"/>
      <c r="J238" s="84"/>
      <c r="K238" s="85"/>
      <c r="L238" s="84"/>
      <c r="M238" s="86"/>
      <c r="N238" s="86"/>
      <c r="O238" s="87"/>
      <c r="P238" s="88"/>
      <c r="Q238" s="87"/>
      <c r="R238" s="86"/>
      <c r="S238" s="89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</row>
    <row r="239" spans="1:42" s="90" customFormat="1" ht="16.5">
      <c r="A239" s="338" t="e">
        <v>#REF!</v>
      </c>
      <c r="B239" s="338"/>
      <c r="C239" s="82"/>
      <c r="D239" s="82"/>
      <c r="E239" s="82"/>
      <c r="F239" s="82"/>
      <c r="G239" s="82"/>
      <c r="H239" s="83"/>
      <c r="I239" s="84"/>
      <c r="J239" s="84"/>
      <c r="K239" s="85"/>
      <c r="L239" s="84"/>
      <c r="M239" s="95">
        <v>13102714225291</v>
      </c>
      <c r="N239" s="95">
        <v>10620486850345.871</v>
      </c>
      <c r="O239" s="95">
        <v>0.8105562456552774</v>
      </c>
      <c r="P239" s="95">
        <v>9327690279197.2305</v>
      </c>
      <c r="Q239" s="95">
        <v>0.12172667688078147</v>
      </c>
      <c r="R239" s="95">
        <v>9324526673334.2891</v>
      </c>
      <c r="S239" s="95">
        <v>0.87797544545056561</v>
      </c>
    </row>
    <row r="240" spans="1:42" s="8" customFormat="1" ht="16.5">
      <c r="A240" s="32"/>
      <c r="B240" s="32"/>
      <c r="C240" s="94"/>
      <c r="D240" s="93"/>
      <c r="E240" s="93"/>
      <c r="F240" s="93"/>
      <c r="G240" s="93"/>
      <c r="H240" s="93"/>
      <c r="I240" s="93"/>
      <c r="J240" s="93"/>
      <c r="K240" s="94"/>
      <c r="L240" s="97"/>
      <c r="M240" s="98">
        <v>0</v>
      </c>
      <c r="N240" s="98">
        <v>0</v>
      </c>
      <c r="O240" s="98"/>
      <c r="P240" s="98" t="s">
        <v>820</v>
      </c>
      <c r="Q240" s="98"/>
      <c r="R240" s="98">
        <v>0</v>
      </c>
      <c r="S240" s="98"/>
    </row>
    <row r="241" spans="1:42" s="374" customFormat="1" ht="16.5">
      <c r="A241" s="369"/>
      <c r="B241" s="375"/>
      <c r="C241" s="370"/>
      <c r="D241" s="371"/>
      <c r="E241" s="371"/>
      <c r="F241" s="371"/>
      <c r="G241" s="371"/>
      <c r="H241" s="371"/>
      <c r="I241" s="371"/>
      <c r="J241" s="371"/>
      <c r="K241" s="370"/>
      <c r="L241" s="86"/>
      <c r="M241" s="359"/>
      <c r="N241" s="359"/>
      <c r="O241" s="372"/>
      <c r="P241" s="359"/>
      <c r="Q241" s="372"/>
      <c r="R241" s="359"/>
      <c r="S241" s="37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</row>
    <row r="242" spans="1:42" ht="18">
      <c r="A242" s="30"/>
      <c r="B242" s="31"/>
      <c r="C242" s="312"/>
      <c r="D242" s="317"/>
      <c r="E242" s="312"/>
      <c r="F242" s="312"/>
      <c r="G242" s="312"/>
      <c r="H242" s="312"/>
      <c r="I242" s="312"/>
      <c r="J242" s="312"/>
      <c r="K242" s="317"/>
      <c r="L242" s="312"/>
      <c r="M242" s="359"/>
      <c r="N242" s="332"/>
      <c r="O242" s="333"/>
      <c r="P242" s="332"/>
      <c r="Q242" s="333"/>
      <c r="R242" s="332"/>
      <c r="S242" s="333"/>
    </row>
    <row r="243" spans="1:42" ht="18">
      <c r="A243" s="30"/>
      <c r="B243" s="31"/>
      <c r="C243" s="312"/>
      <c r="D243" s="317"/>
      <c r="E243" s="312"/>
      <c r="F243" s="312"/>
      <c r="G243" s="312"/>
      <c r="H243" s="312"/>
      <c r="I243" s="312"/>
      <c r="J243" s="312"/>
      <c r="K243" s="317"/>
      <c r="L243" s="312"/>
      <c r="M243" s="332"/>
      <c r="N243" s="332"/>
      <c r="O243" s="333"/>
      <c r="P243" s="332"/>
      <c r="Q243" s="333"/>
      <c r="R243" s="332"/>
      <c r="S243" s="333"/>
    </row>
    <row r="244" spans="1:42" ht="18">
      <c r="A244" s="1"/>
      <c r="B244" s="2"/>
      <c r="C244" s="312"/>
      <c r="D244" s="312"/>
      <c r="E244" s="312"/>
      <c r="F244" s="312"/>
      <c r="G244" s="312"/>
      <c r="H244" s="312"/>
      <c r="I244" s="312"/>
      <c r="J244" s="312"/>
      <c r="K244" s="317"/>
      <c r="L244" s="312"/>
      <c r="M244" s="332"/>
      <c r="N244" s="332"/>
      <c r="O244" s="333"/>
      <c r="P244" s="332"/>
      <c r="Q244" s="333"/>
      <c r="R244" s="332"/>
      <c r="S244" s="333"/>
      <c r="T244" s="315"/>
    </row>
    <row r="245" spans="1:42" ht="30">
      <c r="A245" s="1"/>
      <c r="B245" s="2"/>
      <c r="C245" s="318"/>
      <c r="D245" s="318"/>
      <c r="E245" s="318"/>
      <c r="F245" s="318"/>
      <c r="G245" s="318"/>
      <c r="H245" s="318"/>
      <c r="I245" s="312"/>
      <c r="J245" s="312"/>
      <c r="K245" s="317"/>
      <c r="L245" s="336" t="s">
        <v>738</v>
      </c>
      <c r="M245" s="319"/>
      <c r="N245" s="319"/>
      <c r="O245" s="319"/>
      <c r="P245" s="319"/>
      <c r="Q245" s="320"/>
      <c r="R245" s="376"/>
      <c r="S245" s="319"/>
    </row>
    <row r="246" spans="1:42" ht="30">
      <c r="A246" s="1"/>
      <c r="B246" s="2"/>
      <c r="C246" s="321"/>
      <c r="D246" s="322"/>
      <c r="E246" s="322"/>
      <c r="F246" s="322"/>
      <c r="G246" s="322"/>
      <c r="H246" s="322"/>
      <c r="I246" s="322"/>
      <c r="J246" s="322"/>
      <c r="K246" s="321"/>
      <c r="L246" s="337" t="s">
        <v>739</v>
      </c>
      <c r="M246" s="360"/>
      <c r="N246" s="323"/>
      <c r="O246" s="323"/>
      <c r="P246" s="323"/>
      <c r="Q246" s="324"/>
      <c r="R246" s="323"/>
      <c r="S246" s="323"/>
    </row>
    <row r="247" spans="1:42" ht="30">
      <c r="A247" s="325"/>
      <c r="B247" s="313"/>
      <c r="C247" s="308"/>
      <c r="D247" s="308"/>
      <c r="E247" s="308"/>
      <c r="F247" s="308"/>
      <c r="G247" s="308"/>
      <c r="H247" s="308"/>
      <c r="I247" s="308"/>
      <c r="J247" s="308"/>
      <c r="K247" s="336"/>
      <c r="L247" s="308"/>
      <c r="M247" s="334"/>
      <c r="N247" s="334"/>
      <c r="O247" s="329"/>
      <c r="P247" s="329"/>
      <c r="Q247" s="329"/>
    </row>
  </sheetData>
  <sheetProtection selectLockedCells="1" selectUnlockedCells="1"/>
  <autoFilter ref="A6:S240" xr:uid="{00000000-0009-0000-0000-000002000000}"/>
  <mergeCells count="8">
    <mergeCell ref="M5:M6"/>
    <mergeCell ref="N5:O5"/>
    <mergeCell ref="P5:Q5"/>
    <mergeCell ref="R5:S5"/>
    <mergeCell ref="B5:B6"/>
    <mergeCell ref="C5:I5"/>
    <mergeCell ref="J5:J6"/>
    <mergeCell ref="L5:L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FA919-0981-4C5B-91C9-58669FB289C8}">
  <sheetPr>
    <tabColor rgb="FF00B0F0"/>
  </sheetPr>
  <dimension ref="A3:E18"/>
  <sheetViews>
    <sheetView zoomScale="85" zoomScaleNormal="85" workbookViewId="0">
      <selection activeCell="A5" sqref="A5:C17"/>
    </sheetView>
  </sheetViews>
  <sheetFormatPr baseColWidth="10" defaultRowHeight="15"/>
  <cols>
    <col min="1" max="1" width="27.85546875" customWidth="1"/>
    <col min="2" max="2" width="108.5703125" customWidth="1"/>
    <col min="3" max="3" width="21.85546875" bestFit="1" customWidth="1"/>
    <col min="4" max="4" width="21.28515625" bestFit="1" customWidth="1"/>
    <col min="5" max="5" width="16.28515625" bestFit="1" customWidth="1"/>
  </cols>
  <sheetData>
    <row r="3" spans="1:5">
      <c r="C3" s="565" t="s">
        <v>862</v>
      </c>
    </row>
    <row r="4" spans="1:5">
      <c r="A4" s="568" t="s">
        <v>2</v>
      </c>
      <c r="B4" s="568" t="s">
        <v>5</v>
      </c>
      <c r="C4" s="569" t="s">
        <v>863</v>
      </c>
      <c r="D4" s="569" t="s">
        <v>861</v>
      </c>
      <c r="E4" s="569" t="s">
        <v>864</v>
      </c>
    </row>
    <row r="5" spans="1:5">
      <c r="A5" s="569" t="s">
        <v>454</v>
      </c>
      <c r="B5" s="569" t="s">
        <v>860</v>
      </c>
      <c r="C5" s="570">
        <v>0</v>
      </c>
      <c r="D5" s="570">
        <v>0</v>
      </c>
      <c r="E5" s="572" t="e">
        <v>#DIV/0!</v>
      </c>
    </row>
    <row r="6" spans="1:5">
      <c r="A6" s="569" t="s">
        <v>297</v>
      </c>
      <c r="B6" s="569" t="s">
        <v>764</v>
      </c>
      <c r="C6" s="570">
        <v>2481480404075</v>
      </c>
      <c r="D6" s="570">
        <v>2476627282904.1899</v>
      </c>
      <c r="E6" s="572">
        <v>0.99804426375366884</v>
      </c>
    </row>
    <row r="7" spans="1:5">
      <c r="A7" s="569" t="s">
        <v>298</v>
      </c>
      <c r="B7" s="569" t="s">
        <v>856</v>
      </c>
      <c r="C7" s="570">
        <v>126000000000</v>
      </c>
      <c r="D7" s="570">
        <v>121948749817.62</v>
      </c>
      <c r="E7" s="572">
        <v>0.96784722077476182</v>
      </c>
    </row>
    <row r="8" spans="1:5">
      <c r="A8" s="569" t="s">
        <v>299</v>
      </c>
      <c r="B8" s="569" t="s">
        <v>766</v>
      </c>
      <c r="C8" s="570">
        <v>294404046265</v>
      </c>
      <c r="D8" s="570">
        <v>211439247365.41</v>
      </c>
      <c r="E8" s="572">
        <v>0.71819409429953474</v>
      </c>
    </row>
    <row r="9" spans="1:5">
      <c r="A9" s="569" t="s">
        <v>520</v>
      </c>
      <c r="B9" s="569" t="s">
        <v>867</v>
      </c>
      <c r="C9" s="570">
        <v>0</v>
      </c>
      <c r="D9" s="570">
        <v>0</v>
      </c>
      <c r="E9" s="572" t="e">
        <v>#DIV/0!</v>
      </c>
    </row>
    <row r="10" spans="1:5">
      <c r="A10" s="569" t="s">
        <v>530</v>
      </c>
      <c r="B10" s="569" t="s">
        <v>768</v>
      </c>
      <c r="C10" s="570">
        <v>18552530935</v>
      </c>
      <c r="D10" s="570">
        <v>17503823604.5</v>
      </c>
      <c r="E10" s="572">
        <v>0.94347362447882643</v>
      </c>
    </row>
    <row r="11" spans="1:5">
      <c r="A11" s="569" t="s">
        <v>664</v>
      </c>
      <c r="B11" s="569" t="s">
        <v>857</v>
      </c>
      <c r="C11" s="570">
        <v>18069349000</v>
      </c>
      <c r="D11" s="570">
        <v>17524470177.950001</v>
      </c>
      <c r="E11" s="572">
        <v>0.96984513265807204</v>
      </c>
    </row>
    <row r="12" spans="1:5">
      <c r="A12" s="569" t="s">
        <v>678</v>
      </c>
      <c r="B12" s="569" t="s">
        <v>286</v>
      </c>
      <c r="C12" s="570">
        <v>971454000000</v>
      </c>
      <c r="D12" s="570">
        <v>971167931012.59998</v>
      </c>
      <c r="E12" s="572">
        <v>0.99970552492717102</v>
      </c>
    </row>
    <row r="13" spans="1:5">
      <c r="A13" s="569" t="s">
        <v>692</v>
      </c>
      <c r="B13" s="569" t="s">
        <v>858</v>
      </c>
      <c r="C13" s="570">
        <v>24570411400</v>
      </c>
      <c r="D13" s="570">
        <v>24563511961.900002</v>
      </c>
      <c r="E13" s="572">
        <v>0.99971919729028236</v>
      </c>
    </row>
    <row r="14" spans="1:5">
      <c r="A14" s="569" t="s">
        <v>704</v>
      </c>
      <c r="B14" s="569" t="s">
        <v>239</v>
      </c>
      <c r="C14" s="570">
        <v>168712588600</v>
      </c>
      <c r="D14" s="570">
        <v>168614858424.52002</v>
      </c>
      <c r="E14" s="572">
        <v>0.99942072979680441</v>
      </c>
    </row>
    <row r="15" spans="1:5">
      <c r="A15" s="569" t="s">
        <v>685</v>
      </c>
      <c r="B15" s="569" t="s">
        <v>248</v>
      </c>
      <c r="C15" s="570">
        <v>1679579801419</v>
      </c>
      <c r="D15" s="570">
        <v>1679070299731.8799</v>
      </c>
      <c r="E15" s="572">
        <v>0.9996966493127093</v>
      </c>
    </row>
    <row r="16" spans="1:5">
      <c r="A16" s="569" t="s">
        <v>732</v>
      </c>
      <c r="B16" s="569" t="s">
        <v>249</v>
      </c>
      <c r="C16" s="570">
        <v>7265434972295</v>
      </c>
      <c r="D16" s="570">
        <v>7258069639756.8604</v>
      </c>
      <c r="E16" s="572">
        <v>0.9989862502979896</v>
      </c>
    </row>
    <row r="17" spans="1:5">
      <c r="A17" s="569" t="s">
        <v>547</v>
      </c>
      <c r="B17" s="569" t="s">
        <v>775</v>
      </c>
      <c r="C17" s="570">
        <v>5000000000</v>
      </c>
      <c r="D17" s="570">
        <v>4924704158.6999998</v>
      </c>
      <c r="E17" s="572">
        <v>0.98494083173999991</v>
      </c>
    </row>
    <row r="18" spans="1:5">
      <c r="A18" s="569" t="s">
        <v>859</v>
      </c>
      <c r="B18" s="569"/>
      <c r="C18" s="570">
        <v>13053258103989</v>
      </c>
      <c r="D18" s="570">
        <v>12951454518916.129</v>
      </c>
      <c r="E18" s="572">
        <v>0.99220090614451573</v>
      </c>
    </row>
  </sheetData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2BC0-A418-4D7C-BA0F-DC6EF8F79633}">
  <sheetPr>
    <tabColor rgb="FF00B0F0"/>
    <pageSetUpPr fitToPage="1"/>
  </sheetPr>
  <dimension ref="A1:BB253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0.85546875" style="9" hidden="1" customWidth="1" outlineLevel="1"/>
    <col min="9" max="9" width="5.28515625" style="9" customWidth="1" outlineLevel="1"/>
    <col min="10" max="10" width="5.140625" style="9" customWidth="1"/>
    <col min="11" max="11" width="7.42578125" style="111" customWidth="1"/>
    <col min="12" max="12" width="62.285156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0.7109375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0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2.5" customHeight="1">
      <c r="A3" s="1"/>
      <c r="B3" s="2"/>
      <c r="D3" s="14"/>
      <c r="E3" s="14"/>
      <c r="F3" s="14"/>
      <c r="G3" s="14"/>
      <c r="H3" s="14"/>
      <c r="I3" s="14"/>
      <c r="J3" s="14"/>
      <c r="K3" s="16"/>
      <c r="L3" s="14"/>
      <c r="M3" s="845" t="s">
        <v>936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9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926</v>
      </c>
      <c r="Y6" s="29" t="s">
        <v>879</v>
      </c>
      <c r="Z6" s="27" t="s">
        <v>18</v>
      </c>
      <c r="AA6" s="27" t="s">
        <v>927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11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f>+CONCATENATE(#REF!,"=",J8)</f>
        <v>#REF!</v>
      </c>
      <c r="B8" s="33" t="str">
        <f>CONCATENATE(C9)</f>
        <v>A</v>
      </c>
      <c r="C8" s="34" t="s">
        <v>23</v>
      </c>
      <c r="D8" s="35"/>
      <c r="E8" s="35"/>
      <c r="F8" s="35"/>
      <c r="G8" s="35"/>
      <c r="H8" s="35"/>
      <c r="I8" s="35"/>
      <c r="J8" s="35"/>
      <c r="K8" s="35"/>
      <c r="L8" s="33" t="s">
        <v>24</v>
      </c>
      <c r="M8" s="36">
        <f t="shared" ref="M8:U8" si="0">+M9+M45+M92+M110</f>
        <v>191203900000</v>
      </c>
      <c r="N8" s="739">
        <f t="shared" si="0"/>
        <v>0</v>
      </c>
      <c r="O8" s="739">
        <f t="shared" si="0"/>
        <v>0</v>
      </c>
      <c r="P8" s="36">
        <f t="shared" si="0"/>
        <v>6278391026.3600006</v>
      </c>
      <c r="Q8" s="36">
        <f t="shared" si="0"/>
        <v>6278391026.3600006</v>
      </c>
      <c r="R8" s="36">
        <f t="shared" si="0"/>
        <v>10390000000</v>
      </c>
      <c r="S8" s="36">
        <f t="shared" si="0"/>
        <v>180813900000</v>
      </c>
      <c r="T8" s="36">
        <f t="shared" si="0"/>
        <v>138668175789.89999</v>
      </c>
      <c r="U8" s="36">
        <f t="shared" si="0"/>
        <v>42145724210.099998</v>
      </c>
      <c r="V8" s="37">
        <f t="shared" ref="V8:V13" si="1">+IF(S8&gt;0,T8/S8,0)</f>
        <v>0.76691103831010776</v>
      </c>
      <c r="W8" s="36">
        <f>+W9+W45+W92+W110</f>
        <v>131750164036.14</v>
      </c>
      <c r="X8" s="36">
        <f>+X9+X45+X92+X110</f>
        <v>6918011753.7600012</v>
      </c>
      <c r="Y8" s="37">
        <f t="shared" ref="Y8:Y24" si="2">+IF(T8&gt;0,X8/T8,0)</f>
        <v>4.9888964893009577E-2</v>
      </c>
      <c r="Z8" s="36">
        <f>+Z9+Z45+Z92+Z110</f>
        <v>131669689970.14</v>
      </c>
      <c r="AA8" s="36">
        <f>+AA9+AA45+AA92+AA110</f>
        <v>80474066</v>
      </c>
      <c r="AB8" s="37">
        <f>+IF(T8&gt;0,(Z8/T8),0)</f>
        <v>0.94953069960072456</v>
      </c>
    </row>
    <row r="9" spans="1:28" ht="24" customHeight="1">
      <c r="A9" s="32" t="e">
        <f>+CONCATENATE(#REF!,"=",J9)</f>
        <v>#REF!</v>
      </c>
      <c r="B9" s="38" t="str">
        <f>CONCATENATE(C9,"-",D9)</f>
        <v>A-01</v>
      </c>
      <c r="C9" s="39" t="s">
        <v>23</v>
      </c>
      <c r="D9" s="39" t="s">
        <v>25</v>
      </c>
      <c r="E9" s="39"/>
      <c r="F9" s="39"/>
      <c r="G9" s="39"/>
      <c r="H9" s="39"/>
      <c r="I9" s="39"/>
      <c r="J9" s="40"/>
      <c r="K9" s="40"/>
      <c r="L9" s="38" t="s">
        <v>26</v>
      </c>
      <c r="M9" s="41">
        <f>+M10</f>
        <v>118340000000</v>
      </c>
      <c r="N9" s="740">
        <f t="shared" ref="N9:AA9" si="3">+N10</f>
        <v>0</v>
      </c>
      <c r="O9" s="740">
        <f t="shared" si="3"/>
        <v>0</v>
      </c>
      <c r="P9" s="41">
        <f>+P10</f>
        <v>2440000000</v>
      </c>
      <c r="Q9" s="41">
        <f t="shared" si="3"/>
        <v>2440000000</v>
      </c>
      <c r="R9" s="740">
        <f t="shared" si="3"/>
        <v>0</v>
      </c>
      <c r="S9" s="41">
        <f t="shared" si="3"/>
        <v>118340000000</v>
      </c>
      <c r="T9" s="41">
        <f t="shared" si="3"/>
        <v>84453284080</v>
      </c>
      <c r="U9" s="41">
        <f t="shared" si="3"/>
        <v>33886715920</v>
      </c>
      <c r="V9" s="42">
        <f t="shared" si="1"/>
        <v>0.71364951901301332</v>
      </c>
      <c r="W9" s="41">
        <f t="shared" si="3"/>
        <v>84248522178</v>
      </c>
      <c r="X9" s="41">
        <f t="shared" si="3"/>
        <v>204761902</v>
      </c>
      <c r="Y9" s="42">
        <f t="shared" si="2"/>
        <v>2.4245581948717987E-3</v>
      </c>
      <c r="Z9" s="41">
        <f t="shared" si="3"/>
        <v>84233056976</v>
      </c>
      <c r="AA9" s="41">
        <f t="shared" si="3"/>
        <v>15465202</v>
      </c>
      <c r="AB9" s="42">
        <f t="shared" ref="AB9:AB78" si="4">+IF(T9&gt;0,(Z9/T9),0)</f>
        <v>0.99739232042425507</v>
      </c>
    </row>
    <row r="10" spans="1:28" ht="24" customHeight="1">
      <c r="A10" s="32" t="e">
        <f>+CONCATENATE(#REF!,"=",J10)</f>
        <v>#REF!</v>
      </c>
      <c r="B10" s="43" t="str">
        <f>CONCATENATE(C10,"-",D10,"-",E10)</f>
        <v>A-01-01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5"/>
      <c r="K10" s="45"/>
      <c r="L10" s="43" t="s">
        <v>27</v>
      </c>
      <c r="M10" s="46">
        <f>+M11+M24+M34</f>
        <v>118340000000</v>
      </c>
      <c r="N10" s="741">
        <f t="shared" ref="N10:T10" si="5">+N11+N24+N34</f>
        <v>0</v>
      </c>
      <c r="O10" s="741">
        <f t="shared" si="5"/>
        <v>0</v>
      </c>
      <c r="P10" s="46">
        <f t="shared" si="5"/>
        <v>2440000000</v>
      </c>
      <c r="Q10" s="46">
        <f t="shared" si="5"/>
        <v>2440000000</v>
      </c>
      <c r="R10" s="741">
        <f t="shared" si="5"/>
        <v>0</v>
      </c>
      <c r="S10" s="46">
        <f t="shared" si="5"/>
        <v>118340000000</v>
      </c>
      <c r="T10" s="46">
        <f t="shared" si="5"/>
        <v>84453284080</v>
      </c>
      <c r="U10" s="46">
        <f>+U11+U24+U34</f>
        <v>33886715920</v>
      </c>
      <c r="V10" s="47">
        <f t="shared" si="1"/>
        <v>0.71364951901301332</v>
      </c>
      <c r="W10" s="46">
        <f>+W11+W24+W34</f>
        <v>84248522178</v>
      </c>
      <c r="X10" s="46">
        <f>+X11+X24+X34</f>
        <v>204761902</v>
      </c>
      <c r="Y10" s="47">
        <f t="shared" si="2"/>
        <v>2.4245581948717987E-3</v>
      </c>
      <c r="Z10" s="46">
        <f>+Z11+Z24+Z34</f>
        <v>84233056976</v>
      </c>
      <c r="AA10" s="46">
        <f>+AA11+AA24+AA34</f>
        <v>15465202</v>
      </c>
      <c r="AB10" s="47">
        <f t="shared" si="4"/>
        <v>0.99739232042425507</v>
      </c>
    </row>
    <row r="11" spans="1:28" ht="24" customHeight="1">
      <c r="A11" s="32" t="e">
        <f>+CONCATENATE(#REF!,"=",J11)</f>
        <v>#REF!</v>
      </c>
      <c r="B11" s="48" t="str">
        <f>CONCATENATE(C11,"-",D11,"-",E11,"-",F11)</f>
        <v>A-01-01-01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8" t="s">
        <v>28</v>
      </c>
      <c r="K11" s="48" t="s">
        <v>29</v>
      </c>
      <c r="L11" s="48" t="s">
        <v>30</v>
      </c>
      <c r="M11" s="50">
        <f>SUM(M12)</f>
        <v>81484000000</v>
      </c>
      <c r="N11" s="742">
        <f t="shared" ref="N11:AA11" si="6">SUM(N12)</f>
        <v>0</v>
      </c>
      <c r="O11" s="742">
        <f t="shared" si="6"/>
        <v>0</v>
      </c>
      <c r="P11" s="50">
        <f t="shared" si="6"/>
        <v>2140000000</v>
      </c>
      <c r="Q11" s="50">
        <f t="shared" si="6"/>
        <v>2140000000</v>
      </c>
      <c r="R11" s="742">
        <f t="shared" si="6"/>
        <v>0</v>
      </c>
      <c r="S11" s="50">
        <f t="shared" si="6"/>
        <v>81484000000</v>
      </c>
      <c r="T11" s="50">
        <f t="shared" si="6"/>
        <v>55514091665</v>
      </c>
      <c r="U11" s="50">
        <f t="shared" si="6"/>
        <v>25969908335</v>
      </c>
      <c r="V11" s="51">
        <f t="shared" si="1"/>
        <v>0.68128824879730987</v>
      </c>
      <c r="W11" s="50">
        <f t="shared" si="6"/>
        <v>55468190677</v>
      </c>
      <c r="X11" s="50">
        <f t="shared" si="6"/>
        <v>45900988</v>
      </c>
      <c r="Y11" s="51">
        <f t="shared" si="2"/>
        <v>8.2683489224663327E-4</v>
      </c>
      <c r="Z11" s="50">
        <f t="shared" si="6"/>
        <v>55452725475</v>
      </c>
      <c r="AA11" s="50">
        <f t="shared" si="6"/>
        <v>15465202</v>
      </c>
      <c r="AB11" s="51">
        <f t="shared" si="4"/>
        <v>0.99889458355240113</v>
      </c>
    </row>
    <row r="12" spans="1:28" ht="24" customHeight="1">
      <c r="A12" s="32" t="e">
        <f>+CONCATENATE(#REF!,"=",J12)</f>
        <v>#REF!</v>
      </c>
      <c r="B12" s="52" t="str">
        <f>CONCATENATE(C12,"-",D12,"-",E12,"-",F12,"-",G12)</f>
        <v>A-01-01-01-001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2" t="s">
        <v>28</v>
      </c>
      <c r="K12" s="52" t="s">
        <v>29</v>
      </c>
      <c r="L12" s="52" t="s">
        <v>32</v>
      </c>
      <c r="M12" s="54">
        <f>SUM(M13:M23)</f>
        <v>81484000000</v>
      </c>
      <c r="N12" s="743">
        <f t="shared" ref="N12:AA12" si="7">SUM(N13:N23)</f>
        <v>0</v>
      </c>
      <c r="O12" s="743">
        <f t="shared" si="7"/>
        <v>0</v>
      </c>
      <c r="P12" s="54">
        <f t="shared" si="7"/>
        <v>2140000000</v>
      </c>
      <c r="Q12" s="54">
        <f t="shared" si="7"/>
        <v>2140000000</v>
      </c>
      <c r="R12" s="743">
        <f t="shared" si="7"/>
        <v>0</v>
      </c>
      <c r="S12" s="54">
        <f t="shared" si="7"/>
        <v>81484000000</v>
      </c>
      <c r="T12" s="54">
        <f t="shared" si="7"/>
        <v>55514091665</v>
      </c>
      <c r="U12" s="54">
        <f t="shared" si="7"/>
        <v>25969908335</v>
      </c>
      <c r="V12" s="55">
        <f t="shared" si="1"/>
        <v>0.68128824879730987</v>
      </c>
      <c r="W12" s="54">
        <f>SUM(W13:W23)</f>
        <v>55468190677</v>
      </c>
      <c r="X12" s="54">
        <f t="shared" si="7"/>
        <v>45900988</v>
      </c>
      <c r="Y12" s="55">
        <f t="shared" si="2"/>
        <v>8.2683489224663327E-4</v>
      </c>
      <c r="Z12" s="54">
        <f t="shared" si="7"/>
        <v>55452725475</v>
      </c>
      <c r="AA12" s="54">
        <f t="shared" si="7"/>
        <v>15465202</v>
      </c>
      <c r="AB12" s="55">
        <f t="shared" si="4"/>
        <v>0.99889458355240113</v>
      </c>
    </row>
    <row r="13" spans="1:28" ht="24.95" customHeight="1">
      <c r="A13" s="32" t="e">
        <f>+CONCATENATE(#REF!,"=",J13)</f>
        <v>#REF!</v>
      </c>
      <c r="B13" s="56" t="str">
        <f>CONCATENATE(C13,"-",D13,"-",E13,"-",F13,"-",G13,"-",H13)</f>
        <v>A-01-01-01-001-001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67075000000</v>
      </c>
      <c r="N13" s="60"/>
      <c r="O13" s="60"/>
      <c r="P13" s="60"/>
      <c r="Q13" s="60">
        <f>1740000000</f>
        <v>1740000000</v>
      </c>
      <c r="R13" s="61"/>
      <c r="S13" s="60">
        <f t="shared" ref="S13:S22" si="8">+M13-R13+N13-O13+P13-Q13</f>
        <v>65335000000</v>
      </c>
      <c r="T13" s="60">
        <v>47709386901</v>
      </c>
      <c r="U13" s="60">
        <f t="shared" ref="U13:U118" si="9">+S13-T13</f>
        <v>17625613099</v>
      </c>
      <c r="V13" s="62">
        <f t="shared" si="1"/>
        <v>0.73022708963036653</v>
      </c>
      <c r="W13" s="60">
        <v>47682382210</v>
      </c>
      <c r="X13" s="60">
        <f>+T13-W13</f>
        <v>27004691</v>
      </c>
      <c r="Y13" s="62">
        <f t="shared" si="2"/>
        <v>5.6602469145194522E-4</v>
      </c>
      <c r="Z13" s="60">
        <v>47666917008</v>
      </c>
      <c r="AA13" s="60">
        <f t="shared" ref="AA13:AA118" si="10">+W13-Z13</f>
        <v>15465202</v>
      </c>
      <c r="AB13" s="62">
        <f t="shared" si="4"/>
        <v>0.99910982102771251</v>
      </c>
    </row>
    <row r="14" spans="1:28" ht="24.95" customHeight="1">
      <c r="A14" s="32" t="e">
        <f>+CONCATENATE(#REF!,"=",J14)</f>
        <v>#REF!</v>
      </c>
      <c r="B14" s="56" t="str">
        <f t="shared" ref="B14:B23" si="11">CONCATENATE(C14,"-",D14,"-",E14,"-",F14,"-",G14,"-",H14)</f>
        <v>A-01-01-01-001-002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298000000</v>
      </c>
      <c r="N14" s="60"/>
      <c r="O14" s="60"/>
      <c r="P14" s="60"/>
      <c r="Q14" s="60"/>
      <c r="R14" s="60"/>
      <c r="S14" s="60">
        <f t="shared" si="8"/>
        <v>298000000</v>
      </c>
      <c r="T14" s="60">
        <v>209721140</v>
      </c>
      <c r="U14" s="60">
        <f t="shared" si="9"/>
        <v>88278860</v>
      </c>
      <c r="V14" s="62">
        <f>+IF(S14&gt;0,T14/S14,0)</f>
        <v>0.7037622147651007</v>
      </c>
      <c r="W14" s="60">
        <v>208064043</v>
      </c>
      <c r="X14" s="60">
        <f t="shared" ref="X14:X118" si="12">+T14-W14</f>
        <v>1657097</v>
      </c>
      <c r="Y14" s="62">
        <f t="shared" si="2"/>
        <v>7.9014304423483481E-3</v>
      </c>
      <c r="Z14" s="60">
        <v>208064043</v>
      </c>
      <c r="AA14" s="60">
        <f t="shared" si="10"/>
        <v>0</v>
      </c>
      <c r="AB14" s="62">
        <f t="shared" si="4"/>
        <v>0.99209856955765163</v>
      </c>
    </row>
    <row r="15" spans="1:28" ht="24.95" customHeight="1">
      <c r="A15" s="32" t="e">
        <f>+CONCATENATE(#REF!,"=",J15)</f>
        <v>#REF!</v>
      </c>
      <c r="B15" s="56" t="str">
        <f t="shared" si="11"/>
        <v>A-01-01-01-001-003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540000000</v>
      </c>
      <c r="N15" s="60"/>
      <c r="O15" s="60"/>
      <c r="P15" s="60"/>
      <c r="Q15" s="60"/>
      <c r="R15" s="60"/>
      <c r="S15" s="60">
        <f t="shared" si="8"/>
        <v>540000000</v>
      </c>
      <c r="T15" s="60">
        <v>323343483</v>
      </c>
      <c r="U15" s="60">
        <f t="shared" si="9"/>
        <v>216656517</v>
      </c>
      <c r="V15" s="62">
        <f t="shared" ref="V15:V84" si="13">+IF(S15&gt;0,T15/S15,0)</f>
        <v>0.59878422777777773</v>
      </c>
      <c r="W15" s="60">
        <v>321316674</v>
      </c>
      <c r="X15" s="60">
        <f t="shared" si="12"/>
        <v>2026809</v>
      </c>
      <c r="Y15" s="62">
        <f t="shared" si="2"/>
        <v>6.2682846773194434E-3</v>
      </c>
      <c r="Z15" s="60">
        <v>321316674</v>
      </c>
      <c r="AA15" s="60">
        <f t="shared" si="10"/>
        <v>0</v>
      </c>
      <c r="AB15" s="62">
        <f t="shared" si="4"/>
        <v>0.99373171532268056</v>
      </c>
    </row>
    <row r="16" spans="1:28" ht="24.95" customHeight="1">
      <c r="A16" s="32" t="e">
        <f>+CONCATENATE(#REF!,"=",J16)</f>
        <v>#REF!</v>
      </c>
      <c r="B16" s="56" t="str">
        <f t="shared" si="11"/>
        <v>A-01-01-01-001-004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96000000</v>
      </c>
      <c r="N16" s="60"/>
      <c r="O16" s="60"/>
      <c r="P16" s="60"/>
      <c r="Q16" s="60"/>
      <c r="R16" s="60"/>
      <c r="S16" s="60">
        <f t="shared" si="8"/>
        <v>96000000</v>
      </c>
      <c r="T16" s="60">
        <v>74089074</v>
      </c>
      <c r="U16" s="60">
        <f t="shared" si="9"/>
        <v>21910926</v>
      </c>
      <c r="V16" s="62">
        <f t="shared" si="13"/>
        <v>0.7717611875</v>
      </c>
      <c r="W16" s="60">
        <v>74089074</v>
      </c>
      <c r="X16" s="60">
        <f t="shared" si="12"/>
        <v>0</v>
      </c>
      <c r="Y16" s="62">
        <f t="shared" si="2"/>
        <v>0</v>
      </c>
      <c r="Z16" s="60">
        <v>74089074</v>
      </c>
      <c r="AA16" s="60">
        <f t="shared" si="10"/>
        <v>0</v>
      </c>
      <c r="AB16" s="62">
        <f t="shared" si="4"/>
        <v>1</v>
      </c>
    </row>
    <row r="17" spans="1:54" ht="24.95" customHeight="1">
      <c r="A17" s="32" t="e">
        <f>+CONCATENATE(#REF!,"=",J17)</f>
        <v>#REF!</v>
      </c>
      <c r="B17" s="56" t="str">
        <f t="shared" si="11"/>
        <v>A-01-01-01-001-005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100000000</v>
      </c>
      <c r="N17" s="60"/>
      <c r="O17" s="60"/>
      <c r="P17" s="60">
        <f>50000000</f>
        <v>50000000</v>
      </c>
      <c r="Q17" s="60"/>
      <c r="R17" s="60"/>
      <c r="S17" s="60">
        <f t="shared" si="8"/>
        <v>150000000</v>
      </c>
      <c r="T17" s="60">
        <v>109426939</v>
      </c>
      <c r="U17" s="60">
        <f t="shared" si="9"/>
        <v>40573061</v>
      </c>
      <c r="V17" s="62">
        <f t="shared" si="13"/>
        <v>0.72951292666666667</v>
      </c>
      <c r="W17" s="60">
        <v>101720926</v>
      </c>
      <c r="X17" s="60">
        <f t="shared" si="12"/>
        <v>7706013</v>
      </c>
      <c r="Y17" s="62">
        <f t="shared" si="2"/>
        <v>7.0421534865377167E-2</v>
      </c>
      <c r="Z17" s="60">
        <v>101720926</v>
      </c>
      <c r="AA17" s="60">
        <f t="shared" si="10"/>
        <v>0</v>
      </c>
      <c r="AB17" s="62">
        <f t="shared" si="4"/>
        <v>0.92957846513462283</v>
      </c>
    </row>
    <row r="18" spans="1:54" ht="24.95" customHeight="1">
      <c r="A18" s="32" t="e">
        <f>+CONCATENATE(#REF!,"=",J18)</f>
        <v>#REF!</v>
      </c>
      <c r="B18" s="56" t="str">
        <f t="shared" si="11"/>
        <v>A-01-01-01-001-006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2650000000</v>
      </c>
      <c r="N18" s="60"/>
      <c r="O18" s="60"/>
      <c r="P18" s="60">
        <f>400000000</f>
        <v>400000000</v>
      </c>
      <c r="Q18" s="60"/>
      <c r="R18" s="60"/>
      <c r="S18" s="60">
        <f t="shared" si="8"/>
        <v>3050000000</v>
      </c>
      <c r="T18" s="60">
        <v>2765957804</v>
      </c>
      <c r="U18" s="60">
        <f t="shared" si="9"/>
        <v>284042196</v>
      </c>
      <c r="V18" s="62">
        <f t="shared" si="13"/>
        <v>0.906871411147541</v>
      </c>
      <c r="W18" s="60">
        <v>2762532919</v>
      </c>
      <c r="X18" s="60">
        <f t="shared" si="12"/>
        <v>3424885</v>
      </c>
      <c r="Y18" s="62">
        <f t="shared" si="2"/>
        <v>1.2382274939433603E-3</v>
      </c>
      <c r="Z18" s="60">
        <v>2762532919</v>
      </c>
      <c r="AA18" s="60">
        <f t="shared" si="10"/>
        <v>0</v>
      </c>
      <c r="AB18" s="62">
        <f t="shared" si="4"/>
        <v>0.99876177250605669</v>
      </c>
    </row>
    <row r="19" spans="1:54" ht="24.95" customHeight="1">
      <c r="A19" s="32" t="e">
        <f>+CONCATENATE(#REF!,"=",J19)</f>
        <v>#REF!</v>
      </c>
      <c r="B19" s="56" t="str">
        <f t="shared" si="11"/>
        <v>A-01-01-01-001-007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1850000000</v>
      </c>
      <c r="N19" s="60"/>
      <c r="O19" s="60"/>
      <c r="P19" s="60">
        <f>80000000</f>
        <v>80000000</v>
      </c>
      <c r="Q19" s="60"/>
      <c r="R19" s="60"/>
      <c r="S19" s="60">
        <f t="shared" si="8"/>
        <v>1930000000</v>
      </c>
      <c r="T19" s="60">
        <v>1589640384</v>
      </c>
      <c r="U19" s="60">
        <f t="shared" si="9"/>
        <v>340359616</v>
      </c>
      <c r="V19" s="62">
        <f t="shared" si="13"/>
        <v>0.82364786735751294</v>
      </c>
      <c r="W19" s="60">
        <v>1589640384</v>
      </c>
      <c r="X19" s="60">
        <f t="shared" si="12"/>
        <v>0</v>
      </c>
      <c r="Y19" s="62">
        <f t="shared" si="2"/>
        <v>0</v>
      </c>
      <c r="Z19" s="60">
        <v>1589640384</v>
      </c>
      <c r="AA19" s="60">
        <f t="shared" si="10"/>
        <v>0</v>
      </c>
      <c r="AB19" s="62">
        <f t="shared" si="4"/>
        <v>1</v>
      </c>
    </row>
    <row r="20" spans="1:54" ht="24.95" customHeight="1">
      <c r="A20" s="32" t="e">
        <f>+CONCATENATE(#REF!,"=",J20)</f>
        <v>#REF!</v>
      </c>
      <c r="B20" s="56" t="str">
        <f t="shared" si="11"/>
        <v>A-01-01-01-001-008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140000000</v>
      </c>
      <c r="N20" s="60"/>
      <c r="O20" s="60"/>
      <c r="P20" s="60">
        <f>10000000</f>
        <v>10000000</v>
      </c>
      <c r="Q20" s="60"/>
      <c r="R20" s="60"/>
      <c r="S20" s="60">
        <f t="shared" si="8"/>
        <v>150000000</v>
      </c>
      <c r="T20" s="60">
        <v>106754335</v>
      </c>
      <c r="U20" s="60">
        <f t="shared" si="9"/>
        <v>43245665</v>
      </c>
      <c r="V20" s="62">
        <f t="shared" si="13"/>
        <v>0.71169556666666667</v>
      </c>
      <c r="W20" s="60">
        <v>106754335</v>
      </c>
      <c r="X20" s="60">
        <f t="shared" si="12"/>
        <v>0</v>
      </c>
      <c r="Y20" s="62">
        <f t="shared" si="2"/>
        <v>0</v>
      </c>
      <c r="Z20" s="60">
        <v>106754335</v>
      </c>
      <c r="AA20" s="60">
        <f t="shared" si="10"/>
        <v>0</v>
      </c>
      <c r="AB20" s="62">
        <f t="shared" si="4"/>
        <v>1</v>
      </c>
    </row>
    <row r="21" spans="1:54" ht="24.95" customHeight="1">
      <c r="A21" s="32" t="e">
        <f>+CONCATENATE(#REF!,"=",J21)</f>
        <v>#REF!</v>
      </c>
      <c r="B21" s="56" t="str">
        <f t="shared" si="11"/>
        <v>A-01-01-01-001-009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0">
        <f>1100000000</f>
        <v>1100000000</v>
      </c>
      <c r="Q21" s="60">
        <f>400000000</f>
        <v>400000000</v>
      </c>
      <c r="R21" s="60"/>
      <c r="S21" s="60">
        <f t="shared" si="8"/>
        <v>6600000000</v>
      </c>
      <c r="T21" s="60">
        <v>331961556</v>
      </c>
      <c r="U21" s="60">
        <f t="shared" si="9"/>
        <v>6268038444</v>
      </c>
      <c r="V21" s="62">
        <f t="shared" si="13"/>
        <v>5.0297205454545454E-2</v>
      </c>
      <c r="W21" s="60">
        <v>331961556</v>
      </c>
      <c r="X21" s="60">
        <f t="shared" si="12"/>
        <v>0</v>
      </c>
      <c r="Y21" s="62">
        <f t="shared" si="2"/>
        <v>0</v>
      </c>
      <c r="Z21" s="60">
        <v>331961556</v>
      </c>
      <c r="AA21" s="60">
        <f t="shared" si="10"/>
        <v>0</v>
      </c>
      <c r="AB21" s="62">
        <f t="shared" si="4"/>
        <v>1</v>
      </c>
    </row>
    <row r="22" spans="1:54" ht="24.95" customHeight="1">
      <c r="A22" s="32" t="e">
        <f>+CONCATENATE(#REF!,"=",J22)</f>
        <v>#REF!</v>
      </c>
      <c r="B22" s="56" t="str">
        <f t="shared" si="11"/>
        <v>A-01-01-01-001-010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2800000000</v>
      </c>
      <c r="N22" s="60"/>
      <c r="O22" s="60"/>
      <c r="P22" s="60">
        <f>500000000</f>
        <v>500000000</v>
      </c>
      <c r="Q22" s="60"/>
      <c r="R22" s="60"/>
      <c r="S22" s="60">
        <f t="shared" si="8"/>
        <v>3300000000</v>
      </c>
      <c r="T22" s="60">
        <v>2282725577</v>
      </c>
      <c r="U22" s="60">
        <f t="shared" si="9"/>
        <v>1017274423</v>
      </c>
      <c r="V22" s="62">
        <f t="shared" si="13"/>
        <v>0.69173502333333337</v>
      </c>
      <c r="W22" s="60">
        <v>2282725577</v>
      </c>
      <c r="X22" s="60">
        <f t="shared" si="12"/>
        <v>0</v>
      </c>
      <c r="Y22" s="62">
        <f t="shared" si="2"/>
        <v>0</v>
      </c>
      <c r="Z22" s="60">
        <v>2282725577</v>
      </c>
      <c r="AA22" s="60">
        <f t="shared" si="10"/>
        <v>0</v>
      </c>
      <c r="AB22" s="62">
        <f t="shared" si="4"/>
        <v>1</v>
      </c>
    </row>
    <row r="23" spans="1:54" s="64" customFormat="1" ht="24.95" customHeight="1">
      <c r="A23" s="32" t="e">
        <f>+CONCATENATE(#REF!,"=",J23)</f>
        <v>#REF!</v>
      </c>
      <c r="B23" s="56" t="str">
        <f t="shared" si="11"/>
        <v>A-01-01-01-001-012</v>
      </c>
      <c r="C23" s="57" t="s">
        <v>23</v>
      </c>
      <c r="D23" s="57" t="s">
        <v>25</v>
      </c>
      <c r="E23" s="57" t="s">
        <v>25</v>
      </c>
      <c r="F23" s="57" t="s">
        <v>25</v>
      </c>
      <c r="G23" s="57" t="s">
        <v>31</v>
      </c>
      <c r="H23" s="63" t="s">
        <v>52</v>
      </c>
      <c r="I23" s="57"/>
      <c r="J23" s="57" t="s">
        <v>28</v>
      </c>
      <c r="K23" s="58" t="s">
        <v>29</v>
      </c>
      <c r="L23" s="59" t="s">
        <v>53</v>
      </c>
      <c r="M23" s="60">
        <v>35000000</v>
      </c>
      <c r="N23" s="60"/>
      <c r="O23" s="60"/>
      <c r="P23" s="60"/>
      <c r="Q23" s="60"/>
      <c r="R23" s="60"/>
      <c r="S23" s="60">
        <f t="shared" ref="S23" si="14">+M23+N23-O23+P23-Q23-R23</f>
        <v>35000000</v>
      </c>
      <c r="T23" s="60">
        <v>11084472</v>
      </c>
      <c r="U23" s="60">
        <f t="shared" si="9"/>
        <v>23915528</v>
      </c>
      <c r="V23" s="62">
        <f t="shared" si="13"/>
        <v>0.31669920000000001</v>
      </c>
      <c r="W23" s="60">
        <v>7002979</v>
      </c>
      <c r="X23" s="60">
        <f t="shared" si="12"/>
        <v>4081493</v>
      </c>
      <c r="Y23" s="62">
        <f t="shared" si="2"/>
        <v>0.36821717804871534</v>
      </c>
      <c r="Z23" s="60">
        <v>7002979</v>
      </c>
      <c r="AA23" s="60">
        <f t="shared" si="10"/>
        <v>0</v>
      </c>
      <c r="AB23" s="62">
        <f t="shared" si="4"/>
        <v>0.63178282195128466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" customHeight="1">
      <c r="A24" s="32" t="e">
        <f>+CONCATENATE(#REF!,"=",J24)</f>
        <v>#REF!</v>
      </c>
      <c r="B24" s="48" t="str">
        <f>CONCATENATE(C24,"-",D24,"-",E24,"-",F24)</f>
        <v>A-01-01-02</v>
      </c>
      <c r="C24" s="48" t="s">
        <v>23</v>
      </c>
      <c r="D24" s="48" t="s">
        <v>25</v>
      </c>
      <c r="E24" s="48" t="s">
        <v>25</v>
      </c>
      <c r="F24" s="48" t="s">
        <v>54</v>
      </c>
      <c r="G24" s="48"/>
      <c r="H24" s="48"/>
      <c r="I24" s="48"/>
      <c r="J24" s="48" t="s">
        <v>28</v>
      </c>
      <c r="K24" s="48" t="s">
        <v>29</v>
      </c>
      <c r="L24" s="48" t="s">
        <v>55</v>
      </c>
      <c r="M24" s="50">
        <f>SUM(M25:M33)</f>
        <v>29242000000</v>
      </c>
      <c r="N24" s="742">
        <f t="shared" ref="N24:R24" si="15">SUM(N25:N33)</f>
        <v>0</v>
      </c>
      <c r="O24" s="742">
        <f t="shared" si="15"/>
        <v>0</v>
      </c>
      <c r="P24" s="742">
        <f t="shared" si="15"/>
        <v>0</v>
      </c>
      <c r="Q24" s="742">
        <f t="shared" si="15"/>
        <v>0</v>
      </c>
      <c r="R24" s="742">
        <f t="shared" si="15"/>
        <v>0</v>
      </c>
      <c r="S24" s="50">
        <f>SUM(S25:S33)</f>
        <v>29242000000</v>
      </c>
      <c r="T24" s="50">
        <f t="shared" ref="T24:U24" si="16">SUM(T25:T33)</f>
        <v>21782433900</v>
      </c>
      <c r="U24" s="50">
        <f t="shared" si="16"/>
        <v>7459566100</v>
      </c>
      <c r="V24" s="51">
        <f t="shared" si="13"/>
        <v>0.74490232884207641</v>
      </c>
      <c r="W24" s="50">
        <f t="shared" ref="W24:AA24" si="17">SUM(W25:W33)</f>
        <v>21636990862</v>
      </c>
      <c r="X24" s="50">
        <f t="shared" si="17"/>
        <v>145443038</v>
      </c>
      <c r="Y24" s="51">
        <f t="shared" si="2"/>
        <v>6.6770792771692978E-3</v>
      </c>
      <c r="Z24" s="50">
        <f t="shared" si="17"/>
        <v>21636990862</v>
      </c>
      <c r="AA24" s="50">
        <f t="shared" si="17"/>
        <v>0</v>
      </c>
      <c r="AB24" s="51">
        <f t="shared" si="4"/>
        <v>0.99332292072283068</v>
      </c>
    </row>
    <row r="25" spans="1:54" ht="24.95" customHeight="1">
      <c r="A25" s="32" t="e">
        <f>+CONCATENATE(#REF!,"=",J25)</f>
        <v>#REF!</v>
      </c>
      <c r="B25" s="56" t="str">
        <f>CONCATENATE(C25,"-",D25,"-",E25,"-",F25,"-",G25)</f>
        <v>A-01-01-02-001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31</v>
      </c>
      <c r="H25" s="57"/>
      <c r="I25" s="57"/>
      <c r="J25" s="57" t="s">
        <v>28</v>
      </c>
      <c r="K25" s="58" t="s">
        <v>29</v>
      </c>
      <c r="L25" s="59" t="s">
        <v>56</v>
      </c>
      <c r="M25" s="60">
        <v>8897400000</v>
      </c>
      <c r="N25" s="60"/>
      <c r="O25" s="60"/>
      <c r="P25" s="60"/>
      <c r="Q25" s="60"/>
      <c r="R25" s="61"/>
      <c r="S25" s="60">
        <f t="shared" ref="S25:S33" si="18">+M25-R25+N25-O25+P25-Q25</f>
        <v>8897400000</v>
      </c>
      <c r="T25" s="60">
        <v>6428448700</v>
      </c>
      <c r="U25" s="60">
        <f t="shared" si="9"/>
        <v>2468951300</v>
      </c>
      <c r="V25" s="62">
        <f t="shared" si="13"/>
        <v>0.72250867669206731</v>
      </c>
      <c r="W25" s="60">
        <v>6428448700</v>
      </c>
      <c r="X25" s="60">
        <f t="shared" si="12"/>
        <v>0</v>
      </c>
      <c r="Y25" s="62">
        <f>+IF(T25&gt;0,X25/T25,0)</f>
        <v>0</v>
      </c>
      <c r="Z25" s="60">
        <v>6428448700</v>
      </c>
      <c r="AA25" s="60">
        <f t="shared" si="10"/>
        <v>0</v>
      </c>
      <c r="AB25" s="62">
        <f t="shared" si="4"/>
        <v>1</v>
      </c>
    </row>
    <row r="26" spans="1:54" ht="24.95" customHeight="1">
      <c r="A26" s="32" t="e">
        <f>+CONCATENATE(#REF!,"=",J26)</f>
        <v>#REF!</v>
      </c>
      <c r="B26" s="56" t="str">
        <f t="shared" ref="B26:B33" si="19">CONCATENATE(C26,"-",D26,"-",E26,"-",F26,"-",G26)</f>
        <v>A-01-01-02-002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34</v>
      </c>
      <c r="H26" s="57"/>
      <c r="I26" s="57"/>
      <c r="J26" s="57" t="s">
        <v>28</v>
      </c>
      <c r="K26" s="58" t="s">
        <v>29</v>
      </c>
      <c r="L26" s="59" t="s">
        <v>57</v>
      </c>
      <c r="M26" s="60">
        <v>6302400000</v>
      </c>
      <c r="N26" s="60"/>
      <c r="O26" s="60"/>
      <c r="P26" s="60"/>
      <c r="Q26" s="60"/>
      <c r="R26" s="61"/>
      <c r="S26" s="60">
        <f t="shared" si="18"/>
        <v>6302400000</v>
      </c>
      <c r="T26" s="60">
        <v>4575050200</v>
      </c>
      <c r="U26" s="60">
        <f t="shared" si="9"/>
        <v>1727349800</v>
      </c>
      <c r="V26" s="62">
        <f t="shared" si="13"/>
        <v>0.72592190276719981</v>
      </c>
      <c r="W26" s="60">
        <v>4575050200</v>
      </c>
      <c r="X26" s="60">
        <f t="shared" si="12"/>
        <v>0</v>
      </c>
      <c r="Y26" s="62">
        <f t="shared" ref="Y26:Y94" si="20">+IF(T26&gt;0,X26/T26,0)</f>
        <v>0</v>
      </c>
      <c r="Z26" s="60">
        <v>4575050200</v>
      </c>
      <c r="AA26" s="60">
        <f t="shared" si="10"/>
        <v>0</v>
      </c>
      <c r="AB26" s="62">
        <f t="shared" si="4"/>
        <v>1</v>
      </c>
    </row>
    <row r="27" spans="1:54" ht="24.95" customHeight="1">
      <c r="A27" s="32" t="e">
        <f>+CONCATENATE(#REF!,"=",J27)</f>
        <v>#REF!</v>
      </c>
      <c r="B27" s="56" t="str">
        <f t="shared" si="19"/>
        <v>A-01-01-02-003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36</v>
      </c>
      <c r="H27" s="57"/>
      <c r="I27" s="57"/>
      <c r="J27" s="57" t="s">
        <v>28</v>
      </c>
      <c r="K27" s="58" t="s">
        <v>29</v>
      </c>
      <c r="L27" s="59" t="s">
        <v>58</v>
      </c>
      <c r="M27" s="60">
        <v>6109700000</v>
      </c>
      <c r="N27" s="60"/>
      <c r="O27" s="60"/>
      <c r="P27" s="60"/>
      <c r="Q27" s="60"/>
      <c r="R27" s="61"/>
      <c r="S27" s="60">
        <f t="shared" si="18"/>
        <v>6109700000</v>
      </c>
      <c r="T27" s="60">
        <v>5000000000</v>
      </c>
      <c r="U27" s="60">
        <f t="shared" si="9"/>
        <v>1109700000</v>
      </c>
      <c r="V27" s="62">
        <f t="shared" si="13"/>
        <v>0.8183707874363717</v>
      </c>
      <c r="W27" s="60">
        <v>4854556962</v>
      </c>
      <c r="X27" s="60">
        <f t="shared" si="12"/>
        <v>145443038</v>
      </c>
      <c r="Y27" s="62">
        <f t="shared" si="20"/>
        <v>2.90886076E-2</v>
      </c>
      <c r="Z27" s="60">
        <v>4854556962</v>
      </c>
      <c r="AA27" s="60">
        <f t="shared" si="10"/>
        <v>0</v>
      </c>
      <c r="AB27" s="62">
        <f t="shared" si="4"/>
        <v>0.97091139240000002</v>
      </c>
    </row>
    <row r="28" spans="1:54" ht="24.95" customHeight="1">
      <c r="A28" s="32" t="e">
        <f>+CONCATENATE(#REF!,"=",J28)</f>
        <v>#REF!</v>
      </c>
      <c r="B28" s="56" t="str">
        <f t="shared" si="19"/>
        <v>A-01-01-02-004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38</v>
      </c>
      <c r="H28" s="57"/>
      <c r="I28" s="57"/>
      <c r="J28" s="57" t="s">
        <v>28</v>
      </c>
      <c r="K28" s="58" t="s">
        <v>29</v>
      </c>
      <c r="L28" s="59" t="s">
        <v>59</v>
      </c>
      <c r="M28" s="60">
        <v>3187700000</v>
      </c>
      <c r="N28" s="60"/>
      <c r="O28" s="60"/>
      <c r="P28" s="60"/>
      <c r="Q28" s="60"/>
      <c r="R28" s="61"/>
      <c r="S28" s="60">
        <f t="shared" si="18"/>
        <v>3187700000</v>
      </c>
      <c r="T28" s="60">
        <v>2343727600</v>
      </c>
      <c r="U28" s="60">
        <f t="shared" si="9"/>
        <v>843972400</v>
      </c>
      <c r="V28" s="62">
        <f t="shared" si="13"/>
        <v>0.73524095743012208</v>
      </c>
      <c r="W28" s="60">
        <v>2343727600</v>
      </c>
      <c r="X28" s="60">
        <f t="shared" si="12"/>
        <v>0</v>
      </c>
      <c r="Y28" s="62">
        <f t="shared" si="20"/>
        <v>0</v>
      </c>
      <c r="Z28" s="60">
        <v>2343727600</v>
      </c>
      <c r="AA28" s="60">
        <f t="shared" si="10"/>
        <v>0</v>
      </c>
      <c r="AB28" s="62">
        <f t="shared" si="4"/>
        <v>1</v>
      </c>
    </row>
    <row r="29" spans="1:54" ht="24.95" customHeight="1">
      <c r="A29" s="32" t="e">
        <f>+CONCATENATE(#REF!,"=",J29)</f>
        <v>#REF!</v>
      </c>
      <c r="B29" s="56" t="str">
        <f t="shared" si="19"/>
        <v>A-01-01-02-005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40</v>
      </c>
      <c r="H29" s="57"/>
      <c r="I29" s="57"/>
      <c r="J29" s="57" t="s">
        <v>28</v>
      </c>
      <c r="K29" s="58" t="s">
        <v>29</v>
      </c>
      <c r="L29" s="59" t="s">
        <v>60</v>
      </c>
      <c r="M29" s="60">
        <v>720000000</v>
      </c>
      <c r="N29" s="60"/>
      <c r="O29" s="60"/>
      <c r="P29" s="60"/>
      <c r="Q29" s="60"/>
      <c r="R29" s="61"/>
      <c r="S29" s="60">
        <f t="shared" si="18"/>
        <v>720000000</v>
      </c>
      <c r="T29" s="60">
        <v>504234900</v>
      </c>
      <c r="U29" s="60">
        <f t="shared" si="9"/>
        <v>215765100</v>
      </c>
      <c r="V29" s="62">
        <f t="shared" si="13"/>
        <v>0.70032625000000004</v>
      </c>
      <c r="W29" s="60">
        <v>504234900</v>
      </c>
      <c r="X29" s="60">
        <f t="shared" si="12"/>
        <v>0</v>
      </c>
      <c r="Y29" s="62">
        <f t="shared" si="20"/>
        <v>0</v>
      </c>
      <c r="Z29" s="60">
        <v>504234900</v>
      </c>
      <c r="AA29" s="60">
        <f t="shared" si="10"/>
        <v>0</v>
      </c>
      <c r="AB29" s="62">
        <f t="shared" si="4"/>
        <v>1</v>
      </c>
    </row>
    <row r="30" spans="1:54" ht="24.95" customHeight="1">
      <c r="A30" s="32" t="e">
        <f>+CONCATENATE(#REF!,"=",J30)</f>
        <v>#REF!</v>
      </c>
      <c r="B30" s="56" t="str">
        <f t="shared" si="19"/>
        <v>A-01-01-02-006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42</v>
      </c>
      <c r="H30" s="57"/>
      <c r="I30" s="57"/>
      <c r="J30" s="57" t="s">
        <v>28</v>
      </c>
      <c r="K30" s="58" t="s">
        <v>29</v>
      </c>
      <c r="L30" s="59" t="s">
        <v>61</v>
      </c>
      <c r="M30" s="60">
        <v>2414800000</v>
      </c>
      <c r="N30" s="60"/>
      <c r="O30" s="60"/>
      <c r="P30" s="60"/>
      <c r="Q30" s="60"/>
      <c r="R30" s="61"/>
      <c r="S30" s="60">
        <f t="shared" si="18"/>
        <v>2414800000</v>
      </c>
      <c r="T30" s="60">
        <v>1757873900</v>
      </c>
      <c r="U30" s="60">
        <f t="shared" si="9"/>
        <v>656926100</v>
      </c>
      <c r="V30" s="62">
        <f t="shared" si="13"/>
        <v>0.72795838164651316</v>
      </c>
      <c r="W30" s="60">
        <v>1757873900</v>
      </c>
      <c r="X30" s="60">
        <f t="shared" si="12"/>
        <v>0</v>
      </c>
      <c r="Y30" s="62">
        <f t="shared" si="20"/>
        <v>0</v>
      </c>
      <c r="Z30" s="60">
        <v>1757873900</v>
      </c>
      <c r="AA30" s="60">
        <f t="shared" si="10"/>
        <v>0</v>
      </c>
      <c r="AB30" s="62">
        <f t="shared" si="4"/>
        <v>1</v>
      </c>
    </row>
    <row r="31" spans="1:54" ht="24.95" customHeight="1">
      <c r="A31" s="32" t="e">
        <f>+CONCATENATE(#REF!,"=",J31)</f>
        <v>#REF!</v>
      </c>
      <c r="B31" s="56" t="str">
        <f t="shared" si="19"/>
        <v>A-01-01-02-007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44</v>
      </c>
      <c r="H31" s="57"/>
      <c r="I31" s="57"/>
      <c r="J31" s="57" t="s">
        <v>28</v>
      </c>
      <c r="K31" s="58" t="s">
        <v>29</v>
      </c>
      <c r="L31" s="59" t="s">
        <v>62</v>
      </c>
      <c r="M31" s="60">
        <v>402500000</v>
      </c>
      <c r="N31" s="60"/>
      <c r="O31" s="60"/>
      <c r="P31" s="60"/>
      <c r="Q31" s="60"/>
      <c r="R31" s="61"/>
      <c r="S31" s="60">
        <f t="shared" si="18"/>
        <v>402500000</v>
      </c>
      <c r="T31" s="60">
        <v>293383800</v>
      </c>
      <c r="U31" s="60">
        <f t="shared" si="9"/>
        <v>109116200</v>
      </c>
      <c r="V31" s="62">
        <f t="shared" si="13"/>
        <v>0.72890385093167698</v>
      </c>
      <c r="W31" s="60">
        <v>293383800</v>
      </c>
      <c r="X31" s="60">
        <f t="shared" si="12"/>
        <v>0</v>
      </c>
      <c r="Y31" s="62">
        <f t="shared" si="20"/>
        <v>0</v>
      </c>
      <c r="Z31" s="60">
        <v>293383800</v>
      </c>
      <c r="AA31" s="60">
        <f t="shared" si="10"/>
        <v>0</v>
      </c>
      <c r="AB31" s="62">
        <f t="shared" si="4"/>
        <v>1</v>
      </c>
    </row>
    <row r="32" spans="1:54" ht="24.95" customHeight="1">
      <c r="A32" s="32" t="e">
        <f>+CONCATENATE(#REF!,"=",J32)</f>
        <v>#REF!</v>
      </c>
      <c r="B32" s="56" t="str">
        <f t="shared" si="19"/>
        <v>A-01-01-02-008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46</v>
      </c>
      <c r="H32" s="57"/>
      <c r="I32" s="57"/>
      <c r="J32" s="57" t="s">
        <v>28</v>
      </c>
      <c r="K32" s="58" t="s">
        <v>29</v>
      </c>
      <c r="L32" s="59" t="s">
        <v>63</v>
      </c>
      <c r="M32" s="60">
        <v>402500000</v>
      </c>
      <c r="N32" s="60"/>
      <c r="O32" s="60"/>
      <c r="P32" s="60"/>
      <c r="Q32" s="60"/>
      <c r="R32" s="61"/>
      <c r="S32" s="60">
        <f t="shared" si="18"/>
        <v>402500000</v>
      </c>
      <c r="T32" s="60">
        <v>293383800</v>
      </c>
      <c r="U32" s="60">
        <f t="shared" si="9"/>
        <v>109116200</v>
      </c>
      <c r="V32" s="62">
        <f t="shared" si="13"/>
        <v>0.72890385093167698</v>
      </c>
      <c r="W32" s="60">
        <v>293383800</v>
      </c>
      <c r="X32" s="60">
        <f t="shared" si="12"/>
        <v>0</v>
      </c>
      <c r="Y32" s="62">
        <f t="shared" si="20"/>
        <v>0</v>
      </c>
      <c r="Z32" s="60">
        <v>293383800</v>
      </c>
      <c r="AA32" s="60">
        <f t="shared" si="10"/>
        <v>0</v>
      </c>
      <c r="AB32" s="62">
        <f t="shared" si="4"/>
        <v>1</v>
      </c>
    </row>
    <row r="33" spans="1:28" ht="24.95" customHeight="1">
      <c r="A33" s="32" t="e">
        <f>+CONCATENATE(#REF!,"=",J33)</f>
        <v>#REF!</v>
      </c>
      <c r="B33" s="56" t="str">
        <f t="shared" si="19"/>
        <v>A-01-01-02-009</v>
      </c>
      <c r="C33" s="57" t="s">
        <v>23</v>
      </c>
      <c r="D33" s="57" t="s">
        <v>25</v>
      </c>
      <c r="E33" s="57" t="s">
        <v>25</v>
      </c>
      <c r="F33" s="57" t="s">
        <v>54</v>
      </c>
      <c r="G33" s="57" t="s">
        <v>48</v>
      </c>
      <c r="H33" s="57"/>
      <c r="I33" s="57"/>
      <c r="J33" s="57" t="s">
        <v>28</v>
      </c>
      <c r="K33" s="58" t="s">
        <v>29</v>
      </c>
      <c r="L33" s="59" t="s">
        <v>64</v>
      </c>
      <c r="M33" s="60">
        <v>805000000</v>
      </c>
      <c r="N33" s="60"/>
      <c r="O33" s="60"/>
      <c r="P33" s="60"/>
      <c r="Q33" s="60"/>
      <c r="R33" s="61"/>
      <c r="S33" s="60">
        <f t="shared" si="18"/>
        <v>805000000</v>
      </c>
      <c r="T33" s="60">
        <v>586331000</v>
      </c>
      <c r="U33" s="60">
        <f t="shared" si="9"/>
        <v>218669000</v>
      </c>
      <c r="V33" s="62">
        <f t="shared" si="13"/>
        <v>0.72836149068322986</v>
      </c>
      <c r="W33" s="60">
        <v>586331000</v>
      </c>
      <c r="X33" s="60">
        <f t="shared" si="12"/>
        <v>0</v>
      </c>
      <c r="Y33" s="62">
        <f t="shared" si="20"/>
        <v>0</v>
      </c>
      <c r="Z33" s="60">
        <v>586331000</v>
      </c>
      <c r="AA33" s="60">
        <f t="shared" si="10"/>
        <v>0</v>
      </c>
      <c r="AB33" s="62">
        <f t="shared" si="4"/>
        <v>1</v>
      </c>
    </row>
    <row r="34" spans="1:28" ht="24" customHeight="1">
      <c r="A34" s="32" t="e">
        <f>+CONCATENATE(#REF!,"=",J34)</f>
        <v>#REF!</v>
      </c>
      <c r="B34" s="48" t="str">
        <f>CONCATENATE(C34,"-",D34,"-",E34,"-",F34)</f>
        <v>A-01-01-03</v>
      </c>
      <c r="C34" s="48" t="s">
        <v>23</v>
      </c>
      <c r="D34" s="48" t="s">
        <v>25</v>
      </c>
      <c r="E34" s="48" t="s">
        <v>25</v>
      </c>
      <c r="F34" s="48" t="s">
        <v>65</v>
      </c>
      <c r="G34" s="48"/>
      <c r="H34" s="48"/>
      <c r="I34" s="48"/>
      <c r="J34" s="48" t="s">
        <v>28</v>
      </c>
      <c r="K34" s="48" t="s">
        <v>29</v>
      </c>
      <c r="L34" s="48" t="s">
        <v>66</v>
      </c>
      <c r="M34" s="50">
        <f>+M35+M39+M40+M42+M43+M44+M41</f>
        <v>7614000000</v>
      </c>
      <c r="N34" s="742">
        <f>+N35+N39+N40+N42+N43+N44+N41</f>
        <v>0</v>
      </c>
      <c r="O34" s="742">
        <f t="shared" ref="O34:U34" si="21">+O35+O39+O40+O42+O43+O44+O41</f>
        <v>0</v>
      </c>
      <c r="P34" s="50">
        <f t="shared" si="21"/>
        <v>300000000</v>
      </c>
      <c r="Q34" s="50">
        <f t="shared" si="21"/>
        <v>300000000</v>
      </c>
      <c r="R34" s="742">
        <f t="shared" si="21"/>
        <v>0</v>
      </c>
      <c r="S34" s="50">
        <f t="shared" si="21"/>
        <v>7614000000</v>
      </c>
      <c r="T34" s="50">
        <f t="shared" si="21"/>
        <v>7156758515</v>
      </c>
      <c r="U34" s="50">
        <f t="shared" si="21"/>
        <v>457241485</v>
      </c>
      <c r="V34" s="51">
        <f t="shared" si="13"/>
        <v>0.93994727016023116</v>
      </c>
      <c r="W34" s="50">
        <f t="shared" ref="W34" si="22">+W35+W39+W40+W42+W43+W44+W41</f>
        <v>7143340639</v>
      </c>
      <c r="X34" s="50">
        <f t="shared" ref="X34:AA34" si="23">+X35+X39+X40+X42+X43+X44</f>
        <v>13417876</v>
      </c>
      <c r="Y34" s="51">
        <f t="shared" si="20"/>
        <v>1.8748538143179196E-3</v>
      </c>
      <c r="Z34" s="50">
        <f t="shared" ref="Z34" si="24">+Z35+Z39+Z40+Z42+Z43+Z44+Z41</f>
        <v>7143340639</v>
      </c>
      <c r="AA34" s="50">
        <f t="shared" si="23"/>
        <v>0</v>
      </c>
      <c r="AB34" s="51">
        <f t="shared" si="4"/>
        <v>0.99812514618568204</v>
      </c>
    </row>
    <row r="35" spans="1:28" ht="24" customHeight="1">
      <c r="A35" s="32" t="e">
        <f>+CONCATENATE(#REF!,"=",J35)</f>
        <v>#REF!</v>
      </c>
      <c r="B35" s="52" t="str">
        <f>CONCATENATE(C35,"-",D35,"-",E35,"-",F35,"-",G35)</f>
        <v>A-01-01-03-001</v>
      </c>
      <c r="C35" s="52" t="s">
        <v>23</v>
      </c>
      <c r="D35" s="52" t="s">
        <v>25</v>
      </c>
      <c r="E35" s="52" t="s">
        <v>25</v>
      </c>
      <c r="F35" s="52" t="s">
        <v>65</v>
      </c>
      <c r="G35" s="52" t="s">
        <v>31</v>
      </c>
      <c r="H35" s="52"/>
      <c r="I35" s="52"/>
      <c r="J35" s="52" t="s">
        <v>28</v>
      </c>
      <c r="K35" s="52" t="s">
        <v>29</v>
      </c>
      <c r="L35" s="52" t="s">
        <v>67</v>
      </c>
      <c r="M35" s="54">
        <f>SUM(M36:M38)</f>
        <v>3537000000</v>
      </c>
      <c r="N35" s="743">
        <f t="shared" ref="N35:R35" si="25">SUM(N36:N38)</f>
        <v>0</v>
      </c>
      <c r="O35" s="743">
        <f t="shared" si="25"/>
        <v>0</v>
      </c>
      <c r="P35" s="54">
        <f>SUM(P36:P38)</f>
        <v>300000000</v>
      </c>
      <c r="Q35" s="743">
        <f t="shared" si="25"/>
        <v>0</v>
      </c>
      <c r="R35" s="743">
        <f t="shared" si="25"/>
        <v>0</v>
      </c>
      <c r="S35" s="54">
        <f>SUM(S36:S38)</f>
        <v>3837000000</v>
      </c>
      <c r="T35" s="54">
        <f t="shared" ref="T35:AA35" si="26">SUM(T36:T38)</f>
        <v>3700266757</v>
      </c>
      <c r="U35" s="54">
        <f t="shared" si="26"/>
        <v>136733243</v>
      </c>
      <c r="V35" s="55">
        <f t="shared" si="13"/>
        <v>0.96436454443575714</v>
      </c>
      <c r="W35" s="54">
        <f t="shared" si="26"/>
        <v>3698146960</v>
      </c>
      <c r="X35" s="54">
        <f t="shared" si="26"/>
        <v>2119797</v>
      </c>
      <c r="Y35" s="55">
        <f t="shared" si="20"/>
        <v>5.7287680570322728E-4</v>
      </c>
      <c r="Z35" s="54">
        <f t="shared" si="26"/>
        <v>3698146960</v>
      </c>
      <c r="AA35" s="54">
        <f t="shared" si="26"/>
        <v>0</v>
      </c>
      <c r="AB35" s="55">
        <f t="shared" si="4"/>
        <v>0.99942712319429672</v>
      </c>
    </row>
    <row r="36" spans="1:28" ht="24.95" customHeight="1">
      <c r="A36" s="32" t="e">
        <f>+CONCATENATE(#REF!,"=",J36)</f>
        <v>#REF!</v>
      </c>
      <c r="B36" s="56" t="str">
        <f t="shared" ref="B36:B38" si="27">CONCATENATE(C36,"-",D36,"-",E36,"-",F36,"-",G36,"-",H36)</f>
        <v>A-01-01-03-001-001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31</v>
      </c>
      <c r="I36" s="57"/>
      <c r="J36" s="57" t="s">
        <v>28</v>
      </c>
      <c r="K36" s="58" t="s">
        <v>29</v>
      </c>
      <c r="L36" s="59" t="s">
        <v>68</v>
      </c>
      <c r="M36" s="60">
        <v>2737000000</v>
      </c>
      <c r="N36" s="60"/>
      <c r="O36" s="60"/>
      <c r="P36" s="60"/>
      <c r="Q36" s="60"/>
      <c r="R36" s="61"/>
      <c r="S36" s="60">
        <f t="shared" ref="S36:S44" si="28">+M36-R36+N36-O36+P36-Q36</f>
        <v>2737000000</v>
      </c>
      <c r="T36" s="60">
        <v>2722483637</v>
      </c>
      <c r="U36" s="60">
        <f t="shared" si="9"/>
        <v>14516363</v>
      </c>
      <c r="V36" s="62">
        <f t="shared" si="13"/>
        <v>0.99469625027402264</v>
      </c>
      <c r="W36" s="60">
        <v>2722483637</v>
      </c>
      <c r="X36" s="60">
        <f t="shared" si="12"/>
        <v>0</v>
      </c>
      <c r="Y36" s="62">
        <f t="shared" si="20"/>
        <v>0</v>
      </c>
      <c r="Z36" s="60">
        <v>2722483637</v>
      </c>
      <c r="AA36" s="60">
        <f t="shared" si="10"/>
        <v>0</v>
      </c>
      <c r="AB36" s="62">
        <f t="shared" si="4"/>
        <v>1</v>
      </c>
    </row>
    <row r="37" spans="1:28" ht="24.95" customHeight="1">
      <c r="A37" s="32" t="e">
        <f>+CONCATENATE(#REF!,"=",J37)</f>
        <v>#REF!</v>
      </c>
      <c r="B37" s="56" t="str">
        <f t="shared" si="27"/>
        <v>A-01-01-03-001-002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34</v>
      </c>
      <c r="I37" s="57"/>
      <c r="J37" s="57" t="s">
        <v>28</v>
      </c>
      <c r="K37" s="58" t="s">
        <v>29</v>
      </c>
      <c r="L37" s="59" t="s">
        <v>69</v>
      </c>
      <c r="M37" s="60">
        <v>450000000</v>
      </c>
      <c r="N37" s="60"/>
      <c r="O37" s="60"/>
      <c r="P37" s="60">
        <f>100000000+200000000</f>
        <v>300000000</v>
      </c>
      <c r="Q37" s="60"/>
      <c r="R37" s="61"/>
      <c r="S37" s="60">
        <f t="shared" si="28"/>
        <v>750000000</v>
      </c>
      <c r="T37" s="60">
        <v>699768878</v>
      </c>
      <c r="U37" s="60">
        <f t="shared" si="9"/>
        <v>50231122</v>
      </c>
      <c r="V37" s="62">
        <f t="shared" si="13"/>
        <v>0.93302517066666668</v>
      </c>
      <c r="W37" s="60">
        <v>697649081</v>
      </c>
      <c r="X37" s="60">
        <f t="shared" si="12"/>
        <v>2119797</v>
      </c>
      <c r="Y37" s="62">
        <f t="shared" si="20"/>
        <v>3.0292816194663632E-3</v>
      </c>
      <c r="Z37" s="60">
        <v>697649081</v>
      </c>
      <c r="AA37" s="60">
        <f t="shared" si="10"/>
        <v>0</v>
      </c>
      <c r="AB37" s="62">
        <f t="shared" si="4"/>
        <v>0.99697071838053364</v>
      </c>
    </row>
    <row r="38" spans="1:28" ht="24.95" customHeight="1">
      <c r="A38" s="32" t="e">
        <f>+CONCATENATE(#REF!,"=",J38)</f>
        <v>#REF!</v>
      </c>
      <c r="B38" s="56" t="str">
        <f t="shared" si="27"/>
        <v>A-01-01-03-001-003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31</v>
      </c>
      <c r="H38" s="57" t="s">
        <v>36</v>
      </c>
      <c r="I38" s="57"/>
      <c r="J38" s="57" t="s">
        <v>28</v>
      </c>
      <c r="K38" s="58" t="s">
        <v>29</v>
      </c>
      <c r="L38" s="59" t="s">
        <v>70</v>
      </c>
      <c r="M38" s="60">
        <v>350000000</v>
      </c>
      <c r="N38" s="60"/>
      <c r="O38" s="60"/>
      <c r="P38" s="60"/>
      <c r="Q38" s="60"/>
      <c r="R38" s="61"/>
      <c r="S38" s="60">
        <f t="shared" si="28"/>
        <v>350000000</v>
      </c>
      <c r="T38" s="60">
        <v>278014242</v>
      </c>
      <c r="U38" s="60">
        <f t="shared" si="9"/>
        <v>71985758</v>
      </c>
      <c r="V38" s="62">
        <f t="shared" si="13"/>
        <v>0.7943264057142857</v>
      </c>
      <c r="W38" s="60">
        <v>278014242</v>
      </c>
      <c r="X38" s="60">
        <f t="shared" si="12"/>
        <v>0</v>
      </c>
      <c r="Y38" s="62">
        <f t="shared" si="20"/>
        <v>0</v>
      </c>
      <c r="Z38" s="60">
        <v>278014242</v>
      </c>
      <c r="AA38" s="60">
        <f t="shared" si="10"/>
        <v>0</v>
      </c>
      <c r="AB38" s="62">
        <f t="shared" si="4"/>
        <v>1</v>
      </c>
    </row>
    <row r="39" spans="1:28" ht="24.95" customHeight="1">
      <c r="A39" s="32" t="e">
        <f>+CONCATENATE(#REF!,"=",J39)</f>
        <v>#REF!</v>
      </c>
      <c r="B39" s="56" t="str">
        <f>CONCATENATE(C39,"-",D39,"-",E39,"-",F39,"-",G39)</f>
        <v>A-01-01-03-002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34</v>
      </c>
      <c r="H39" s="57"/>
      <c r="I39" s="57"/>
      <c r="J39" s="57" t="s">
        <v>28</v>
      </c>
      <c r="K39" s="58" t="s">
        <v>29</v>
      </c>
      <c r="L39" s="59" t="s">
        <v>71</v>
      </c>
      <c r="M39" s="60">
        <v>2600000000</v>
      </c>
      <c r="N39" s="60"/>
      <c r="O39" s="60"/>
      <c r="P39" s="60"/>
      <c r="Q39" s="60">
        <f>100000000</f>
        <v>100000000</v>
      </c>
      <c r="R39" s="61"/>
      <c r="S39" s="60">
        <f t="shared" si="28"/>
        <v>2500000000</v>
      </c>
      <c r="T39" s="60">
        <v>2388495846</v>
      </c>
      <c r="U39" s="60">
        <f t="shared" si="9"/>
        <v>111504154</v>
      </c>
      <c r="V39" s="62">
        <f t="shared" si="13"/>
        <v>0.95539833839999999</v>
      </c>
      <c r="W39" s="60">
        <v>2377197767</v>
      </c>
      <c r="X39" s="60">
        <f t="shared" si="12"/>
        <v>11298079</v>
      </c>
      <c r="Y39" s="62">
        <f t="shared" si="20"/>
        <v>4.7302066775292183E-3</v>
      </c>
      <c r="Z39" s="60">
        <v>2377197767</v>
      </c>
      <c r="AA39" s="60">
        <f t="shared" si="10"/>
        <v>0</v>
      </c>
      <c r="AB39" s="62">
        <f t="shared" si="4"/>
        <v>0.99526979332247079</v>
      </c>
    </row>
    <row r="40" spans="1:28" ht="24.95" customHeight="1">
      <c r="A40" s="32" t="e">
        <f>+CONCATENATE(#REF!,"=",J40)</f>
        <v>#REF!</v>
      </c>
      <c r="B40" s="56" t="str">
        <f t="shared" ref="B40:B44" si="29">CONCATENATE(C40,"-",D40,"-",E40,"-",F40,"-",G40)</f>
        <v>A-01-01-03-005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40</v>
      </c>
      <c r="H40" s="57"/>
      <c r="I40" s="57"/>
      <c r="J40" s="57" t="s">
        <v>28</v>
      </c>
      <c r="K40" s="58" t="s">
        <v>29</v>
      </c>
      <c r="L40" s="59" t="s">
        <v>72</v>
      </c>
      <c r="M40" s="60">
        <v>12000000</v>
      </c>
      <c r="N40" s="60"/>
      <c r="O40" s="60"/>
      <c r="P40" s="60"/>
      <c r="Q40" s="60"/>
      <c r="R40" s="61"/>
      <c r="S40" s="60">
        <f t="shared" si="28"/>
        <v>12000000</v>
      </c>
      <c r="T40" s="60">
        <v>3683544</v>
      </c>
      <c r="U40" s="60">
        <f t="shared" si="9"/>
        <v>8316456</v>
      </c>
      <c r="V40" s="62">
        <f t="shared" si="13"/>
        <v>0.30696200000000001</v>
      </c>
      <c r="W40" s="60">
        <v>3683544</v>
      </c>
      <c r="X40" s="60">
        <f t="shared" si="12"/>
        <v>0</v>
      </c>
      <c r="Y40" s="62">
        <f t="shared" si="20"/>
        <v>0</v>
      </c>
      <c r="Z40" s="60">
        <v>3683544</v>
      </c>
      <c r="AA40" s="60">
        <f t="shared" si="10"/>
        <v>0</v>
      </c>
      <c r="AB40" s="62">
        <f t="shared" si="4"/>
        <v>1</v>
      </c>
    </row>
    <row r="41" spans="1:28" ht="24.95" customHeight="1">
      <c r="A41" s="32" t="e">
        <f>+CONCATENATE(#REF!,"=",J41)</f>
        <v>#REF!</v>
      </c>
      <c r="B41" s="56" t="str">
        <f t="shared" si="29"/>
        <v>A-01-01-03-007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44</v>
      </c>
      <c r="H41" s="57"/>
      <c r="I41" s="57"/>
      <c r="J41" s="57" t="s">
        <v>28</v>
      </c>
      <c r="K41" s="58" t="s">
        <v>29</v>
      </c>
      <c r="L41" s="59" t="s">
        <v>73</v>
      </c>
      <c r="M41" s="60">
        <v>5000000</v>
      </c>
      <c r="N41" s="60"/>
      <c r="O41" s="60"/>
      <c r="P41" s="60"/>
      <c r="Q41" s="60"/>
      <c r="R41" s="61"/>
      <c r="S41" s="60">
        <f t="shared" si="28"/>
        <v>5000000</v>
      </c>
      <c r="T41" s="60">
        <v>1015058</v>
      </c>
      <c r="U41" s="60">
        <f t="shared" si="9"/>
        <v>3984942</v>
      </c>
      <c r="V41" s="62">
        <f t="shared" si="13"/>
        <v>0.20301159999999999</v>
      </c>
      <c r="W41" s="60">
        <v>1015058</v>
      </c>
      <c r="X41" s="60">
        <f t="shared" si="12"/>
        <v>0</v>
      </c>
      <c r="Y41" s="62">
        <f t="shared" si="20"/>
        <v>0</v>
      </c>
      <c r="Z41" s="60">
        <v>1015058</v>
      </c>
      <c r="AA41" s="60">
        <f t="shared" si="10"/>
        <v>0</v>
      </c>
      <c r="AB41" s="62">
        <f t="shared" si="4"/>
        <v>1</v>
      </c>
    </row>
    <row r="42" spans="1:28" ht="24.95" customHeight="1">
      <c r="A42" s="32" t="e">
        <f>+CONCATENATE(#REF!,"=",J42)</f>
        <v>#REF!</v>
      </c>
      <c r="B42" s="56" t="str">
        <f t="shared" si="29"/>
        <v>A-01-01-03-013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74</v>
      </c>
      <c r="H42" s="57"/>
      <c r="I42" s="57"/>
      <c r="J42" s="57" t="s">
        <v>28</v>
      </c>
      <c r="K42" s="58" t="s">
        <v>29</v>
      </c>
      <c r="L42" s="59" t="s">
        <v>75</v>
      </c>
      <c r="M42" s="60">
        <v>30000000</v>
      </c>
      <c r="N42" s="60"/>
      <c r="O42" s="60"/>
      <c r="P42" s="60"/>
      <c r="Q42" s="60"/>
      <c r="R42" s="61"/>
      <c r="S42" s="60">
        <f t="shared" si="28"/>
        <v>30000000</v>
      </c>
      <c r="T42" s="60">
        <v>0</v>
      </c>
      <c r="U42" s="60">
        <f t="shared" si="9"/>
        <v>30000000</v>
      </c>
      <c r="V42" s="62">
        <f t="shared" si="13"/>
        <v>0</v>
      </c>
      <c r="W42" s="60">
        <v>0</v>
      </c>
      <c r="X42" s="60">
        <f t="shared" si="12"/>
        <v>0</v>
      </c>
      <c r="Y42" s="62">
        <f t="shared" si="20"/>
        <v>0</v>
      </c>
      <c r="Z42" s="60">
        <v>0</v>
      </c>
      <c r="AA42" s="60">
        <f t="shared" si="10"/>
        <v>0</v>
      </c>
      <c r="AB42" s="62">
        <f t="shared" si="4"/>
        <v>0</v>
      </c>
    </row>
    <row r="43" spans="1:28" ht="24.95" customHeight="1">
      <c r="A43" s="32" t="e">
        <f>+CONCATENATE(#REF!,"=",J43)</f>
        <v>#REF!</v>
      </c>
      <c r="B43" s="56" t="str">
        <f t="shared" si="29"/>
        <v>A-01-01-03-016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76</v>
      </c>
      <c r="H43" s="57"/>
      <c r="I43" s="57"/>
      <c r="J43" s="57" t="s">
        <v>28</v>
      </c>
      <c r="K43" s="58" t="s">
        <v>29</v>
      </c>
      <c r="L43" s="59" t="s">
        <v>77</v>
      </c>
      <c r="M43" s="60">
        <v>840000000</v>
      </c>
      <c r="N43" s="60"/>
      <c r="O43" s="60"/>
      <c r="P43" s="60"/>
      <c r="Q43" s="60"/>
      <c r="R43" s="61"/>
      <c r="S43" s="60">
        <f t="shared" si="28"/>
        <v>840000000</v>
      </c>
      <c r="T43" s="60">
        <v>771701865</v>
      </c>
      <c r="U43" s="60">
        <f t="shared" si="9"/>
        <v>68298135</v>
      </c>
      <c r="V43" s="62">
        <f t="shared" si="13"/>
        <v>0.91869269642857143</v>
      </c>
      <c r="W43" s="60">
        <v>771701865</v>
      </c>
      <c r="X43" s="60">
        <f t="shared" si="12"/>
        <v>0</v>
      </c>
      <c r="Y43" s="62">
        <f t="shared" si="20"/>
        <v>0</v>
      </c>
      <c r="Z43" s="60">
        <v>771701865</v>
      </c>
      <c r="AA43" s="60">
        <f t="shared" si="10"/>
        <v>0</v>
      </c>
      <c r="AB43" s="62">
        <f t="shared" si="4"/>
        <v>1</v>
      </c>
    </row>
    <row r="44" spans="1:28" ht="24.95" customHeight="1">
      <c r="A44" s="32" t="e">
        <f>+CONCATENATE(#REF!,"=",J44)</f>
        <v>#REF!</v>
      </c>
      <c r="B44" s="56" t="str">
        <f t="shared" si="29"/>
        <v>A-01-01-03-030</v>
      </c>
      <c r="C44" s="57" t="s">
        <v>23</v>
      </c>
      <c r="D44" s="57" t="s">
        <v>25</v>
      </c>
      <c r="E44" s="57" t="s">
        <v>25</v>
      </c>
      <c r="F44" s="57" t="s">
        <v>65</v>
      </c>
      <c r="G44" s="57" t="s">
        <v>78</v>
      </c>
      <c r="H44" s="57"/>
      <c r="I44" s="57"/>
      <c r="J44" s="57" t="s">
        <v>28</v>
      </c>
      <c r="K44" s="58" t="s">
        <v>29</v>
      </c>
      <c r="L44" s="59" t="s">
        <v>79</v>
      </c>
      <c r="M44" s="60">
        <v>590000000</v>
      </c>
      <c r="N44" s="60"/>
      <c r="O44" s="60"/>
      <c r="P44" s="60"/>
      <c r="Q44" s="60">
        <f>200000000</f>
        <v>200000000</v>
      </c>
      <c r="R44" s="61"/>
      <c r="S44" s="60">
        <f t="shared" si="28"/>
        <v>390000000</v>
      </c>
      <c r="T44" s="60">
        <v>291595445</v>
      </c>
      <c r="U44" s="60">
        <f t="shared" si="9"/>
        <v>98404555</v>
      </c>
      <c r="V44" s="62">
        <f t="shared" si="13"/>
        <v>0.74768062820512815</v>
      </c>
      <c r="W44" s="60">
        <v>291595445</v>
      </c>
      <c r="X44" s="60">
        <f t="shared" si="12"/>
        <v>0</v>
      </c>
      <c r="Y44" s="62">
        <f t="shared" si="20"/>
        <v>0</v>
      </c>
      <c r="Z44" s="60">
        <v>291595445</v>
      </c>
      <c r="AA44" s="60">
        <f t="shared" si="10"/>
        <v>0</v>
      </c>
      <c r="AB44" s="62">
        <f t="shared" si="4"/>
        <v>1</v>
      </c>
    </row>
    <row r="45" spans="1:28" ht="24" customHeight="1">
      <c r="A45" s="32" t="e">
        <f>+CONCATENATE(#REF!,"=",J45)</f>
        <v>#REF!</v>
      </c>
      <c r="B45" s="38" t="str">
        <f>CONCATENATE(C45,"-",D45)</f>
        <v>A-02</v>
      </c>
      <c r="C45" s="39" t="s">
        <v>23</v>
      </c>
      <c r="D45" s="39" t="s">
        <v>54</v>
      </c>
      <c r="E45" s="39"/>
      <c r="F45" s="39"/>
      <c r="G45" s="39"/>
      <c r="H45" s="39"/>
      <c r="I45" s="39"/>
      <c r="J45" s="40"/>
      <c r="K45" s="40"/>
      <c r="L45" s="38" t="s">
        <v>80</v>
      </c>
      <c r="M45" s="41">
        <f>+M50+M46</f>
        <v>42290000000</v>
      </c>
      <c r="N45" s="740">
        <f t="shared" ref="N45:U45" si="30">+N50+N46</f>
        <v>0</v>
      </c>
      <c r="O45" s="740">
        <f t="shared" si="30"/>
        <v>0</v>
      </c>
      <c r="P45" s="41">
        <f t="shared" si="30"/>
        <v>3763391026.3600001</v>
      </c>
      <c r="Q45" s="41">
        <f t="shared" si="30"/>
        <v>3763391026.3600001</v>
      </c>
      <c r="R45" s="740">
        <f t="shared" si="30"/>
        <v>0</v>
      </c>
      <c r="S45" s="41">
        <f t="shared" si="30"/>
        <v>42290000000</v>
      </c>
      <c r="T45" s="41">
        <f t="shared" si="30"/>
        <v>34408238295.389999</v>
      </c>
      <c r="U45" s="41">
        <f t="shared" si="30"/>
        <v>7881761704.6100006</v>
      </c>
      <c r="V45" s="42">
        <f t="shared" si="13"/>
        <v>0.81362587598462988</v>
      </c>
      <c r="W45" s="41">
        <f t="shared" ref="W45:X45" si="31">+W50+W46</f>
        <v>28079090295.630001</v>
      </c>
      <c r="X45" s="41">
        <f t="shared" si="31"/>
        <v>6329147999.7600012</v>
      </c>
      <c r="Y45" s="42">
        <f t="shared" si="20"/>
        <v>0.18394280885365694</v>
      </c>
      <c r="Z45" s="41">
        <f t="shared" ref="Z45:AA45" si="32">+Z50+Z46</f>
        <v>28014081431.630001</v>
      </c>
      <c r="AA45" s="41">
        <f t="shared" si="32"/>
        <v>65008864</v>
      </c>
      <c r="AB45" s="42">
        <f t="shared" si="4"/>
        <v>0.81416785105744038</v>
      </c>
    </row>
    <row r="46" spans="1:28" ht="24" customHeight="1">
      <c r="A46" s="32" t="e">
        <f>+CONCATENATE(#REF!,"=",J46)</f>
        <v>#REF!</v>
      </c>
      <c r="B46" s="43" t="str">
        <f>CONCATENATE(C46,"-",D46,"-",E46)</f>
        <v>A-02-01</v>
      </c>
      <c r="C46" s="44" t="s">
        <v>23</v>
      </c>
      <c r="D46" s="44" t="s">
        <v>54</v>
      </c>
      <c r="E46" s="44" t="s">
        <v>25</v>
      </c>
      <c r="F46" s="44"/>
      <c r="G46" s="44"/>
      <c r="H46" s="44"/>
      <c r="I46" s="44"/>
      <c r="J46" s="45"/>
      <c r="K46" s="45"/>
      <c r="L46" s="43" t="s">
        <v>81</v>
      </c>
      <c r="M46" s="741">
        <f>+M47</f>
        <v>0</v>
      </c>
      <c r="N46" s="741">
        <f t="shared" ref="N46:AA47" si="33">+N47</f>
        <v>0</v>
      </c>
      <c r="O46" s="741">
        <f t="shared" si="33"/>
        <v>0</v>
      </c>
      <c r="P46" s="46">
        <f t="shared" si="33"/>
        <v>100000000</v>
      </c>
      <c r="Q46" s="741">
        <f t="shared" si="33"/>
        <v>0</v>
      </c>
      <c r="R46" s="741">
        <f t="shared" si="33"/>
        <v>0</v>
      </c>
      <c r="S46" s="46">
        <f t="shared" si="33"/>
        <v>100000000</v>
      </c>
      <c r="T46" s="46">
        <f t="shared" si="33"/>
        <v>0</v>
      </c>
      <c r="U46" s="46">
        <f t="shared" si="33"/>
        <v>100000000</v>
      </c>
      <c r="V46" s="47">
        <f t="shared" si="13"/>
        <v>0</v>
      </c>
      <c r="W46" s="46">
        <f t="shared" si="33"/>
        <v>0</v>
      </c>
      <c r="X46" s="46">
        <f t="shared" si="33"/>
        <v>0</v>
      </c>
      <c r="Y46" s="47">
        <f t="shared" si="20"/>
        <v>0</v>
      </c>
      <c r="Z46" s="46">
        <f t="shared" si="33"/>
        <v>0</v>
      </c>
      <c r="AA46" s="46">
        <f t="shared" si="33"/>
        <v>0</v>
      </c>
      <c r="AB46" s="47">
        <f t="shared" si="4"/>
        <v>0</v>
      </c>
    </row>
    <row r="47" spans="1:28" ht="24" customHeight="1">
      <c r="A47" s="32" t="e">
        <f>+CONCATENATE(#REF!,"=",J47)</f>
        <v>#REF!</v>
      </c>
      <c r="B47" s="48" t="str">
        <f>CONCATENATE(C47,"-",D47,"-",E47,"-",F47)</f>
        <v>A-02-01-01</v>
      </c>
      <c r="C47" s="48" t="s">
        <v>23</v>
      </c>
      <c r="D47" s="48" t="s">
        <v>54</v>
      </c>
      <c r="E47" s="48" t="s">
        <v>25</v>
      </c>
      <c r="F47" s="48" t="s">
        <v>25</v>
      </c>
      <c r="G47" s="48"/>
      <c r="H47" s="48"/>
      <c r="I47" s="48"/>
      <c r="J47" s="48" t="s">
        <v>28</v>
      </c>
      <c r="K47" s="48" t="s">
        <v>29</v>
      </c>
      <c r="L47" s="48" t="s">
        <v>82</v>
      </c>
      <c r="M47" s="742">
        <f>+M48</f>
        <v>0</v>
      </c>
      <c r="N47" s="742">
        <f t="shared" si="33"/>
        <v>0</v>
      </c>
      <c r="O47" s="742">
        <f t="shared" si="33"/>
        <v>0</v>
      </c>
      <c r="P47" s="50">
        <f t="shared" si="33"/>
        <v>100000000</v>
      </c>
      <c r="Q47" s="742">
        <f t="shared" si="33"/>
        <v>0</v>
      </c>
      <c r="R47" s="742">
        <f t="shared" si="33"/>
        <v>0</v>
      </c>
      <c r="S47" s="50">
        <f t="shared" si="33"/>
        <v>100000000</v>
      </c>
      <c r="T47" s="50">
        <f t="shared" si="33"/>
        <v>0</v>
      </c>
      <c r="U47" s="50">
        <f t="shared" si="33"/>
        <v>100000000</v>
      </c>
      <c r="V47" s="51">
        <f t="shared" si="13"/>
        <v>0</v>
      </c>
      <c r="W47" s="50">
        <f t="shared" si="33"/>
        <v>0</v>
      </c>
      <c r="X47" s="50">
        <f t="shared" si="33"/>
        <v>0</v>
      </c>
      <c r="Y47" s="51">
        <f t="shared" si="20"/>
        <v>0</v>
      </c>
      <c r="Z47" s="50">
        <f t="shared" si="33"/>
        <v>0</v>
      </c>
      <c r="AA47" s="50">
        <f t="shared" si="33"/>
        <v>0</v>
      </c>
      <c r="AB47" s="51">
        <f t="shared" si="4"/>
        <v>0</v>
      </c>
    </row>
    <row r="48" spans="1:28" ht="24" customHeight="1">
      <c r="A48" s="32" t="e">
        <f>+CONCATENATE(#REF!,"=",J48)</f>
        <v>#REF!</v>
      </c>
      <c r="B48" s="52" t="str">
        <f>CONCATENATE(C48,"-",D48,"-",E48,"-",F48,"-",G48)</f>
        <v>A-02-01-01-004</v>
      </c>
      <c r="C48" s="52" t="s">
        <v>23</v>
      </c>
      <c r="D48" s="52" t="s">
        <v>54</v>
      </c>
      <c r="E48" s="52" t="s">
        <v>25</v>
      </c>
      <c r="F48" s="52" t="s">
        <v>25</v>
      </c>
      <c r="G48" s="52" t="s">
        <v>38</v>
      </c>
      <c r="H48" s="52"/>
      <c r="I48" s="52"/>
      <c r="J48" s="52" t="s">
        <v>28</v>
      </c>
      <c r="K48" s="52" t="s">
        <v>29</v>
      </c>
      <c r="L48" s="52" t="s">
        <v>83</v>
      </c>
      <c r="M48" s="743">
        <f>SUM(M49:M49)</f>
        <v>0</v>
      </c>
      <c r="N48" s="743">
        <f t="shared" ref="N48:AA48" si="34">SUM(N49:N49)</f>
        <v>0</v>
      </c>
      <c r="O48" s="743">
        <f t="shared" si="34"/>
        <v>0</v>
      </c>
      <c r="P48" s="54">
        <f t="shared" si="34"/>
        <v>100000000</v>
      </c>
      <c r="Q48" s="743">
        <f t="shared" si="34"/>
        <v>0</v>
      </c>
      <c r="R48" s="743">
        <f t="shared" si="34"/>
        <v>0</v>
      </c>
      <c r="S48" s="54">
        <f t="shared" si="34"/>
        <v>100000000</v>
      </c>
      <c r="T48" s="54">
        <f t="shared" si="34"/>
        <v>0</v>
      </c>
      <c r="U48" s="54">
        <f t="shared" si="34"/>
        <v>100000000</v>
      </c>
      <c r="V48" s="55">
        <f t="shared" si="13"/>
        <v>0</v>
      </c>
      <c r="W48" s="54">
        <f t="shared" si="34"/>
        <v>0</v>
      </c>
      <c r="X48" s="54">
        <f t="shared" si="34"/>
        <v>0</v>
      </c>
      <c r="Y48" s="55">
        <f t="shared" si="20"/>
        <v>0</v>
      </c>
      <c r="Z48" s="54">
        <f t="shared" si="34"/>
        <v>0</v>
      </c>
      <c r="AA48" s="54">
        <f t="shared" si="34"/>
        <v>0</v>
      </c>
      <c r="AB48" s="55">
        <f t="shared" si="4"/>
        <v>0</v>
      </c>
    </row>
    <row r="49" spans="1:28" ht="24.95" customHeight="1">
      <c r="A49" s="32" t="e">
        <f>+CONCATENATE(#REF!,"=",J49)</f>
        <v>#REF!</v>
      </c>
      <c r="B49" s="56" t="str">
        <f t="shared" ref="B49" si="35">CONCATENATE(C49,"-",D49,"-",E49,"-",F49,"-",G49,"-",H49)</f>
        <v>A-02-01-01-004-006</v>
      </c>
      <c r="C49" s="57" t="s">
        <v>23</v>
      </c>
      <c r="D49" s="57" t="s">
        <v>54</v>
      </c>
      <c r="E49" s="57" t="s">
        <v>25</v>
      </c>
      <c r="F49" s="57" t="s">
        <v>25</v>
      </c>
      <c r="G49" s="57" t="s">
        <v>38</v>
      </c>
      <c r="H49" s="57" t="s">
        <v>42</v>
      </c>
      <c r="I49" s="57"/>
      <c r="J49" s="57">
        <v>10</v>
      </c>
      <c r="K49" s="58" t="s">
        <v>29</v>
      </c>
      <c r="L49" s="59" t="s">
        <v>84</v>
      </c>
      <c r="M49" s="60">
        <v>0</v>
      </c>
      <c r="N49" s="60"/>
      <c r="O49" s="60"/>
      <c r="P49" s="60">
        <f>70000000+30000000</f>
        <v>100000000</v>
      </c>
      <c r="Q49" s="60"/>
      <c r="R49" s="61"/>
      <c r="S49" s="60">
        <f>+M49-R49+N49-O49+P49-Q49</f>
        <v>100000000</v>
      </c>
      <c r="T49" s="60">
        <v>0</v>
      </c>
      <c r="U49" s="60">
        <f t="shared" ref="U49" si="36">+S49-T49</f>
        <v>100000000</v>
      </c>
      <c r="V49" s="62">
        <f t="shared" si="13"/>
        <v>0</v>
      </c>
      <c r="W49" s="60">
        <v>0</v>
      </c>
      <c r="X49" s="60">
        <f t="shared" ref="X49" si="37">+T49-W49</f>
        <v>0</v>
      </c>
      <c r="Y49" s="62">
        <f t="shared" si="20"/>
        <v>0</v>
      </c>
      <c r="Z49" s="60">
        <v>0</v>
      </c>
      <c r="AA49" s="60">
        <f t="shared" ref="AA49" si="38">+W49-Z49</f>
        <v>0</v>
      </c>
      <c r="AB49" s="62">
        <f t="shared" si="4"/>
        <v>0</v>
      </c>
    </row>
    <row r="50" spans="1:28" ht="24" customHeight="1">
      <c r="A50" s="32" t="e">
        <f>+CONCATENATE(#REF!,"=",J50)</f>
        <v>#REF!</v>
      </c>
      <c r="B50" s="43" t="str">
        <f>CONCATENATE(C50,"-",D50,"-",E50)</f>
        <v>A-02-02</v>
      </c>
      <c r="C50" s="44" t="s">
        <v>23</v>
      </c>
      <c r="D50" s="44" t="s">
        <v>54</v>
      </c>
      <c r="E50" s="44" t="s">
        <v>54</v>
      </c>
      <c r="F50" s="44"/>
      <c r="G50" s="44"/>
      <c r="H50" s="44"/>
      <c r="I50" s="44"/>
      <c r="J50" s="45"/>
      <c r="K50" s="45"/>
      <c r="L50" s="43" t="s">
        <v>86</v>
      </c>
      <c r="M50" s="46">
        <f t="shared" ref="M50:U50" si="39">+M51+M68</f>
        <v>42290000000</v>
      </c>
      <c r="N50" s="741">
        <f t="shared" si="39"/>
        <v>0</v>
      </c>
      <c r="O50" s="741">
        <f t="shared" si="39"/>
        <v>0</v>
      </c>
      <c r="P50" s="46">
        <f t="shared" si="39"/>
        <v>3663391026.3600001</v>
      </c>
      <c r="Q50" s="46">
        <f t="shared" si="39"/>
        <v>3763391026.3600001</v>
      </c>
      <c r="R50" s="46">
        <f t="shared" si="39"/>
        <v>0</v>
      </c>
      <c r="S50" s="46">
        <f t="shared" si="39"/>
        <v>42190000000</v>
      </c>
      <c r="T50" s="46">
        <f t="shared" si="39"/>
        <v>34408238295.389999</v>
      </c>
      <c r="U50" s="46">
        <f t="shared" si="39"/>
        <v>7781761704.6100006</v>
      </c>
      <c r="V50" s="47">
        <f t="shared" si="13"/>
        <v>0.8155543563733112</v>
      </c>
      <c r="W50" s="46">
        <f>+W51+W68</f>
        <v>28079090295.630001</v>
      </c>
      <c r="X50" s="46">
        <f>+X51+X68</f>
        <v>6329147999.7600012</v>
      </c>
      <c r="Y50" s="47">
        <f t="shared" si="20"/>
        <v>0.18394280885365694</v>
      </c>
      <c r="Z50" s="46">
        <f>+Z51+Z68</f>
        <v>28014081431.630001</v>
      </c>
      <c r="AA50" s="46">
        <f>+AA51+AA68</f>
        <v>65008864</v>
      </c>
      <c r="AB50" s="47">
        <f t="shared" si="4"/>
        <v>0.81416785105744038</v>
      </c>
    </row>
    <row r="51" spans="1:28" ht="24" customHeight="1">
      <c r="A51" s="32" t="e">
        <f>+CONCATENATE(#REF!,"=",J51)</f>
        <v>#REF!</v>
      </c>
      <c r="B51" s="48" t="str">
        <f>CONCATENATE(C51,"-",D51,"-",E51,"-",F51)</f>
        <v>A-02-02-01</v>
      </c>
      <c r="C51" s="48" t="s">
        <v>23</v>
      </c>
      <c r="D51" s="48" t="s">
        <v>54</v>
      </c>
      <c r="E51" s="48" t="s">
        <v>54</v>
      </c>
      <c r="F51" s="48" t="s">
        <v>25</v>
      </c>
      <c r="G51" s="48"/>
      <c r="H51" s="48"/>
      <c r="I51" s="48"/>
      <c r="J51" s="48" t="s">
        <v>28</v>
      </c>
      <c r="K51" s="48" t="s">
        <v>29</v>
      </c>
      <c r="L51" s="48" t="s">
        <v>87</v>
      </c>
      <c r="M51" s="50">
        <f t="shared" ref="M51:U51" si="40">+M52+M55+M57+M63</f>
        <v>979241390</v>
      </c>
      <c r="N51" s="742">
        <f t="shared" si="40"/>
        <v>0</v>
      </c>
      <c r="O51" s="742">
        <f t="shared" si="40"/>
        <v>0</v>
      </c>
      <c r="P51" s="50">
        <f t="shared" si="40"/>
        <v>230399020</v>
      </c>
      <c r="Q51" s="50">
        <f t="shared" si="40"/>
        <v>353737784.61000001</v>
      </c>
      <c r="R51" s="742">
        <f t="shared" si="40"/>
        <v>0</v>
      </c>
      <c r="S51" s="50">
        <f t="shared" si="40"/>
        <v>855902625.38999999</v>
      </c>
      <c r="T51" s="50">
        <f t="shared" si="40"/>
        <v>557076415.29999995</v>
      </c>
      <c r="U51" s="50">
        <f t="shared" si="40"/>
        <v>298826210.08999997</v>
      </c>
      <c r="V51" s="51">
        <f t="shared" si="13"/>
        <v>0.65086424410272481</v>
      </c>
      <c r="W51" s="50">
        <f>+W52+W55+W57+W63</f>
        <v>415210489.43000001</v>
      </c>
      <c r="X51" s="50">
        <f>+X52+X55+X57+X63</f>
        <v>141865925.87</v>
      </c>
      <c r="Y51" s="51">
        <f t="shared" si="20"/>
        <v>0.25466151855235436</v>
      </c>
      <c r="Z51" s="50">
        <f>+Z52+Z55+Z57+Z63</f>
        <v>406763819.43000001</v>
      </c>
      <c r="AA51" s="50">
        <f>+AA52+AA55+AA57+AA63</f>
        <v>8446670</v>
      </c>
      <c r="AB51" s="51">
        <f t="shared" si="4"/>
        <v>0.73017598350658452</v>
      </c>
    </row>
    <row r="52" spans="1:28" ht="24" customHeight="1">
      <c r="A52" s="32" t="e">
        <f>+CONCATENATE(#REF!,"=",J52)</f>
        <v>#REF!</v>
      </c>
      <c r="B52" s="52" t="str">
        <f>CONCATENATE(C52,"-",D52,"-",E52,"-",F52,"-",G52)</f>
        <v>A-02-02-01-001</v>
      </c>
      <c r="C52" s="52" t="s">
        <v>23</v>
      </c>
      <c r="D52" s="52" t="s">
        <v>54</v>
      </c>
      <c r="E52" s="52" t="s">
        <v>54</v>
      </c>
      <c r="F52" s="52" t="s">
        <v>25</v>
      </c>
      <c r="G52" s="52" t="s">
        <v>31</v>
      </c>
      <c r="H52" s="52"/>
      <c r="I52" s="52"/>
      <c r="J52" s="52" t="s">
        <v>28</v>
      </c>
      <c r="K52" s="52" t="s">
        <v>29</v>
      </c>
      <c r="L52" s="52" t="s">
        <v>88</v>
      </c>
      <c r="M52" s="54">
        <f>SUM(M53:M54)</f>
        <v>23000000</v>
      </c>
      <c r="N52" s="743">
        <f t="shared" ref="N52:U52" si="41">SUM(N53:N54)</f>
        <v>0</v>
      </c>
      <c r="O52" s="743">
        <f t="shared" si="41"/>
        <v>0</v>
      </c>
      <c r="P52" s="54">
        <f t="shared" si="41"/>
        <v>3000000</v>
      </c>
      <c r="Q52" s="743">
        <f t="shared" si="41"/>
        <v>0</v>
      </c>
      <c r="R52" s="743">
        <f t="shared" si="41"/>
        <v>0</v>
      </c>
      <c r="S52" s="54">
        <f t="shared" si="41"/>
        <v>26000000</v>
      </c>
      <c r="T52" s="54">
        <f t="shared" si="41"/>
        <v>26000000</v>
      </c>
      <c r="U52" s="54">
        <f t="shared" si="41"/>
        <v>0</v>
      </c>
      <c r="V52" s="55">
        <f t="shared" si="13"/>
        <v>1</v>
      </c>
      <c r="W52" s="54">
        <f t="shared" ref="W52:X52" si="42">SUM(W53:W54)</f>
        <v>2130730</v>
      </c>
      <c r="X52" s="54">
        <f t="shared" si="42"/>
        <v>23869270</v>
      </c>
      <c r="Y52" s="55">
        <f t="shared" si="20"/>
        <v>0.91804884615384619</v>
      </c>
      <c r="Z52" s="54">
        <f t="shared" ref="Z52:AA52" si="43">SUM(Z53:Z54)</f>
        <v>1851873</v>
      </c>
      <c r="AA52" s="54">
        <f t="shared" si="43"/>
        <v>278857</v>
      </c>
      <c r="AB52" s="55">
        <f t="shared" si="4"/>
        <v>7.1225884615384621E-2</v>
      </c>
    </row>
    <row r="53" spans="1:28" ht="24.95" customHeight="1">
      <c r="A53" s="32" t="e">
        <f>+CONCATENATE(#REF!,"=",J53)</f>
        <v>#REF!</v>
      </c>
      <c r="B53" s="56" t="str">
        <f t="shared" ref="B53:B67" si="44">CONCATENATE(C53,"-",D53,"-",E53,"-",F53,"-",G53,"-",H53)</f>
        <v>A-02-02-01-001-005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40</v>
      </c>
      <c r="I53" s="57"/>
      <c r="J53" s="57">
        <v>10</v>
      </c>
      <c r="K53" s="58" t="s">
        <v>29</v>
      </c>
      <c r="L53" s="59" t="s">
        <v>89</v>
      </c>
      <c r="M53" s="60">
        <v>13000000</v>
      </c>
      <c r="N53" s="60"/>
      <c r="O53" s="60"/>
      <c r="P53" s="60"/>
      <c r="Q53" s="60"/>
      <c r="R53" s="61"/>
      <c r="S53" s="60">
        <f>+M53-R53+N53-O53+P53-Q53</f>
        <v>13000000</v>
      </c>
      <c r="T53" s="60">
        <v>13000000</v>
      </c>
      <c r="U53" s="60">
        <f t="shared" si="9"/>
        <v>0</v>
      </c>
      <c r="V53" s="62">
        <f t="shared" si="13"/>
        <v>1</v>
      </c>
      <c r="W53" s="60">
        <v>2130730</v>
      </c>
      <c r="X53" s="60">
        <f t="shared" ref="X53:X54" si="45">+T53-W53</f>
        <v>10869270</v>
      </c>
      <c r="Y53" s="62">
        <f t="shared" si="20"/>
        <v>0.83609769230769226</v>
      </c>
      <c r="Z53" s="60">
        <v>1851873</v>
      </c>
      <c r="AA53" s="60">
        <f t="shared" si="10"/>
        <v>278857</v>
      </c>
      <c r="AB53" s="62">
        <f t="shared" si="4"/>
        <v>0.14245176923076924</v>
      </c>
    </row>
    <row r="54" spans="1:28" ht="24.95" customHeight="1">
      <c r="A54" s="32" t="e">
        <f>+CONCATENATE(#REF!,"=",J54)</f>
        <v>#REF!</v>
      </c>
      <c r="B54" s="56" t="str">
        <f t="shared" si="44"/>
        <v>A-02-02-01-001-007</v>
      </c>
      <c r="C54" s="57" t="s">
        <v>23</v>
      </c>
      <c r="D54" s="57" t="s">
        <v>54</v>
      </c>
      <c r="E54" s="57" t="s">
        <v>54</v>
      </c>
      <c r="F54" s="57" t="s">
        <v>25</v>
      </c>
      <c r="G54" s="57" t="s">
        <v>31</v>
      </c>
      <c r="H54" s="57" t="s">
        <v>44</v>
      </c>
      <c r="I54" s="57"/>
      <c r="J54" s="57">
        <v>10</v>
      </c>
      <c r="K54" s="58" t="s">
        <v>29</v>
      </c>
      <c r="L54" s="59" t="s">
        <v>90</v>
      </c>
      <c r="M54" s="60">
        <v>10000000</v>
      </c>
      <c r="N54" s="60"/>
      <c r="O54" s="60"/>
      <c r="P54" s="60">
        <f>3000000</f>
        <v>3000000</v>
      </c>
      <c r="Q54" s="60"/>
      <c r="R54" s="61"/>
      <c r="S54" s="60">
        <f>+M54-R54+N54-O54+P54-Q54</f>
        <v>13000000</v>
      </c>
      <c r="T54" s="60">
        <v>13000000</v>
      </c>
      <c r="U54" s="60">
        <f t="shared" si="9"/>
        <v>0</v>
      </c>
      <c r="V54" s="62">
        <f t="shared" si="13"/>
        <v>1</v>
      </c>
      <c r="W54" s="60">
        <v>0</v>
      </c>
      <c r="X54" s="60">
        <f t="shared" si="45"/>
        <v>13000000</v>
      </c>
      <c r="Y54" s="62">
        <f t="shared" si="20"/>
        <v>1</v>
      </c>
      <c r="Z54" s="60">
        <v>0</v>
      </c>
      <c r="AA54" s="60">
        <f t="shared" si="10"/>
        <v>0</v>
      </c>
      <c r="AB54" s="62">
        <f t="shared" si="4"/>
        <v>0</v>
      </c>
    </row>
    <row r="55" spans="1:28" ht="24" customHeight="1">
      <c r="A55" s="32" t="e">
        <f>+CONCATENATE(#REF!,"=",J55)</f>
        <v>#REF!</v>
      </c>
      <c r="B55" s="52" t="str">
        <f>CONCATENATE(C55,"-",D55,"-",E55,"-",F55,"-",G55)</f>
        <v>A-02-02-01-002</v>
      </c>
      <c r="C55" s="52" t="s">
        <v>23</v>
      </c>
      <c r="D55" s="52" t="s">
        <v>54</v>
      </c>
      <c r="E55" s="52" t="s">
        <v>54</v>
      </c>
      <c r="F55" s="52" t="s">
        <v>25</v>
      </c>
      <c r="G55" s="52" t="s">
        <v>34</v>
      </c>
      <c r="H55" s="52"/>
      <c r="I55" s="52"/>
      <c r="J55" s="52" t="s">
        <v>28</v>
      </c>
      <c r="K55" s="52" t="s">
        <v>29</v>
      </c>
      <c r="L55" s="52" t="s">
        <v>91</v>
      </c>
      <c r="M55" s="54">
        <f>SUM(M56:M56)</f>
        <v>130000000</v>
      </c>
      <c r="N55" s="743">
        <f t="shared" ref="N55:AA55" si="46">SUM(N56:N56)</f>
        <v>0</v>
      </c>
      <c r="O55" s="743">
        <f t="shared" si="46"/>
        <v>0</v>
      </c>
      <c r="P55" s="743">
        <f t="shared" si="46"/>
        <v>0</v>
      </c>
      <c r="Q55" s="743">
        <f t="shared" si="46"/>
        <v>0</v>
      </c>
      <c r="R55" s="743">
        <f t="shared" si="46"/>
        <v>0</v>
      </c>
      <c r="S55" s="54">
        <f t="shared" si="46"/>
        <v>130000000</v>
      </c>
      <c r="T55" s="54">
        <f t="shared" si="46"/>
        <v>0</v>
      </c>
      <c r="U55" s="54">
        <f t="shared" si="46"/>
        <v>130000000</v>
      </c>
      <c r="V55" s="55">
        <f t="shared" si="13"/>
        <v>0</v>
      </c>
      <c r="W55" s="54">
        <f t="shared" si="46"/>
        <v>0</v>
      </c>
      <c r="X55" s="54">
        <f t="shared" si="46"/>
        <v>0</v>
      </c>
      <c r="Y55" s="55">
        <f t="shared" si="20"/>
        <v>0</v>
      </c>
      <c r="Z55" s="54">
        <f t="shared" si="46"/>
        <v>0</v>
      </c>
      <c r="AA55" s="54">
        <f t="shared" si="46"/>
        <v>0</v>
      </c>
      <c r="AB55" s="55">
        <f t="shared" si="4"/>
        <v>0</v>
      </c>
    </row>
    <row r="56" spans="1:28" ht="24.95" customHeight="1">
      <c r="A56" s="32" t="e">
        <f>+CONCATENATE(#REF!,"=",J56)</f>
        <v>#REF!</v>
      </c>
      <c r="B56" s="56" t="str">
        <f t="shared" si="44"/>
        <v>A-02-02-01-002-008</v>
      </c>
      <c r="C56" s="57" t="s">
        <v>23</v>
      </c>
      <c r="D56" s="57" t="s">
        <v>54</v>
      </c>
      <c r="E56" s="57" t="s">
        <v>54</v>
      </c>
      <c r="F56" s="57" t="s">
        <v>25</v>
      </c>
      <c r="G56" s="57" t="s">
        <v>34</v>
      </c>
      <c r="H56" s="57" t="s">
        <v>46</v>
      </c>
      <c r="I56" s="57"/>
      <c r="J56" s="57">
        <v>10</v>
      </c>
      <c r="K56" s="58" t="s">
        <v>29</v>
      </c>
      <c r="L56" s="59" t="s">
        <v>92</v>
      </c>
      <c r="M56" s="60">
        <v>130000000</v>
      </c>
      <c r="N56" s="60"/>
      <c r="O56" s="60"/>
      <c r="P56" s="60"/>
      <c r="Q56" s="60"/>
      <c r="R56" s="61"/>
      <c r="S56" s="60">
        <f>+M56-R56+N56-O56+P56-Q56</f>
        <v>130000000</v>
      </c>
      <c r="T56" s="60">
        <v>0</v>
      </c>
      <c r="U56" s="60">
        <f t="shared" si="9"/>
        <v>130000000</v>
      </c>
      <c r="V56" s="62">
        <f t="shared" si="13"/>
        <v>0</v>
      </c>
      <c r="W56" s="60">
        <v>0</v>
      </c>
      <c r="X56" s="60">
        <f t="shared" si="12"/>
        <v>0</v>
      </c>
      <c r="Y56" s="62">
        <f t="shared" si="20"/>
        <v>0</v>
      </c>
      <c r="Z56" s="60">
        <v>0</v>
      </c>
      <c r="AA56" s="60">
        <f t="shared" si="10"/>
        <v>0</v>
      </c>
      <c r="AB56" s="62">
        <f t="shared" si="4"/>
        <v>0</v>
      </c>
    </row>
    <row r="57" spans="1:28" ht="24" customHeight="1">
      <c r="A57" s="32" t="e">
        <f>+CONCATENATE(#REF!,"=",J57)</f>
        <v>#REF!</v>
      </c>
      <c r="B57" s="52" t="str">
        <f>CONCATENATE(C57,"-",D57,"-",E57,"-",F57,"-",G57)</f>
        <v>A-02-02-01-003</v>
      </c>
      <c r="C57" s="52" t="s">
        <v>23</v>
      </c>
      <c r="D57" s="52" t="s">
        <v>54</v>
      </c>
      <c r="E57" s="52" t="s">
        <v>54</v>
      </c>
      <c r="F57" s="52" t="s">
        <v>25</v>
      </c>
      <c r="G57" s="52" t="s">
        <v>36</v>
      </c>
      <c r="H57" s="52"/>
      <c r="I57" s="52"/>
      <c r="J57" s="52" t="s">
        <v>28</v>
      </c>
      <c r="K57" s="52" t="s">
        <v>29</v>
      </c>
      <c r="L57" s="52" t="s">
        <v>93</v>
      </c>
      <c r="M57" s="54">
        <f t="shared" ref="M57:U57" si="47">SUM(M58:M62)</f>
        <v>617241390</v>
      </c>
      <c r="N57" s="743">
        <f t="shared" si="47"/>
        <v>0</v>
      </c>
      <c r="O57" s="743">
        <f t="shared" si="47"/>
        <v>0</v>
      </c>
      <c r="P57" s="54">
        <f t="shared" si="47"/>
        <v>112304000</v>
      </c>
      <c r="Q57" s="54">
        <f t="shared" si="47"/>
        <v>249029832</v>
      </c>
      <c r="R57" s="743">
        <f t="shared" si="47"/>
        <v>0</v>
      </c>
      <c r="S57" s="54">
        <f t="shared" si="47"/>
        <v>480515558</v>
      </c>
      <c r="T57" s="54">
        <f t="shared" si="47"/>
        <v>444629185.30000001</v>
      </c>
      <c r="U57" s="54">
        <f t="shared" si="47"/>
        <v>35886372.699999988</v>
      </c>
      <c r="V57" s="55">
        <f t="shared" si="13"/>
        <v>0.92531693906152357</v>
      </c>
      <c r="W57" s="54">
        <f>SUM(W58:W62)</f>
        <v>375106869.43000001</v>
      </c>
      <c r="X57" s="54">
        <f>SUM(X58:X62)</f>
        <v>69522315.870000005</v>
      </c>
      <c r="Y57" s="55">
        <f t="shared" si="20"/>
        <v>0.1563602169369335</v>
      </c>
      <c r="Z57" s="54">
        <f>SUM(Z58:Z62)</f>
        <v>371516445.43000001</v>
      </c>
      <c r="AA57" s="54">
        <f>SUM(AA58:AA62)</f>
        <v>3590424</v>
      </c>
      <c r="AB57" s="55">
        <f t="shared" si="4"/>
        <v>0.83556468561399222</v>
      </c>
    </row>
    <row r="58" spans="1:28" ht="24.95" customHeight="1">
      <c r="A58" s="32" t="e">
        <f>+CONCATENATE(#REF!,"=",J58)</f>
        <v>#REF!</v>
      </c>
      <c r="B58" s="56" t="str">
        <f t="shared" si="44"/>
        <v>A-02-02-01-003-002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34</v>
      </c>
      <c r="I58" s="57"/>
      <c r="J58" s="57">
        <v>10</v>
      </c>
      <c r="K58" s="58" t="s">
        <v>29</v>
      </c>
      <c r="L58" s="59" t="s">
        <v>94</v>
      </c>
      <c r="M58" s="60">
        <v>245100000</v>
      </c>
      <c r="N58" s="60"/>
      <c r="O58" s="60"/>
      <c r="P58" s="60">
        <f>80000000</f>
        <v>80000000</v>
      </c>
      <c r="Q58" s="60">
        <f>20000000</f>
        <v>20000000</v>
      </c>
      <c r="R58" s="61"/>
      <c r="S58" s="60">
        <f t="shared" ref="S58:S62" si="48">+M58-R58+N58-O58+P58-Q58</f>
        <v>305100000</v>
      </c>
      <c r="T58" s="60">
        <v>283213627.30000001</v>
      </c>
      <c r="U58" s="60">
        <f t="shared" si="9"/>
        <v>21886372.699999988</v>
      </c>
      <c r="V58" s="62">
        <f t="shared" si="13"/>
        <v>0.92826492068174371</v>
      </c>
      <c r="W58" s="60">
        <v>280891148.30000001</v>
      </c>
      <c r="X58" s="60">
        <f t="shared" si="12"/>
        <v>2322479</v>
      </c>
      <c r="Y58" s="62">
        <f t="shared" si="20"/>
        <v>8.2004493291555677E-3</v>
      </c>
      <c r="Z58" s="60">
        <v>280757423.30000001</v>
      </c>
      <c r="AA58" s="60">
        <f t="shared" ref="AA58:AA62" si="49">+W58-Z58</f>
        <v>133725</v>
      </c>
      <c r="AB58" s="62">
        <f t="shared" si="4"/>
        <v>0.99132738059458481</v>
      </c>
    </row>
    <row r="59" spans="1:28" ht="24.95" customHeight="1">
      <c r="A59" s="32" t="e">
        <f>+CONCATENATE(#REF!,"=",J59)</f>
        <v>#REF!</v>
      </c>
      <c r="B59" s="56" t="str">
        <f t="shared" si="44"/>
        <v>A-02-02-01-003-003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36</v>
      </c>
      <c r="I59" s="57"/>
      <c r="J59" s="57">
        <v>10</v>
      </c>
      <c r="K59" s="58" t="s">
        <v>29</v>
      </c>
      <c r="L59" s="59" t="s">
        <v>95</v>
      </c>
      <c r="M59" s="60">
        <v>57946108</v>
      </c>
      <c r="N59" s="60"/>
      <c r="O59" s="60"/>
      <c r="P59" s="60">
        <f>23664000+640000</f>
        <v>24304000</v>
      </c>
      <c r="Q59" s="60"/>
      <c r="R59" s="61"/>
      <c r="S59" s="60">
        <f t="shared" si="48"/>
        <v>82250108</v>
      </c>
      <c r="T59" s="60">
        <v>76250108</v>
      </c>
      <c r="U59" s="60">
        <f t="shared" si="9"/>
        <v>6000000</v>
      </c>
      <c r="V59" s="62">
        <f t="shared" si="13"/>
        <v>0.92705176751865181</v>
      </c>
      <c r="W59" s="60">
        <v>52172566.130000003</v>
      </c>
      <c r="X59" s="60">
        <f t="shared" si="12"/>
        <v>24077541.869999997</v>
      </c>
      <c r="Y59" s="62">
        <f t="shared" si="20"/>
        <v>0.31577059366263449</v>
      </c>
      <c r="Z59" s="60">
        <v>52172566.130000003</v>
      </c>
      <c r="AA59" s="60">
        <f t="shared" si="49"/>
        <v>0</v>
      </c>
      <c r="AB59" s="62">
        <f t="shared" si="4"/>
        <v>0.68422940633736551</v>
      </c>
    </row>
    <row r="60" spans="1:28" ht="24.95" customHeight="1">
      <c r="A60" s="32" t="e">
        <f>+CONCATENATE(#REF!,"=",J60)</f>
        <v>#REF!</v>
      </c>
      <c r="B60" s="56" t="str">
        <f t="shared" si="44"/>
        <v>A-02-02-01-003-005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40</v>
      </c>
      <c r="I60" s="57"/>
      <c r="J60" s="57">
        <v>10</v>
      </c>
      <c r="K60" s="58" t="s">
        <v>29</v>
      </c>
      <c r="L60" s="59" t="s">
        <v>96</v>
      </c>
      <c r="M60" s="60">
        <v>47000000</v>
      </c>
      <c r="N60" s="60"/>
      <c r="O60" s="60"/>
      <c r="P60" s="60"/>
      <c r="Q60" s="60">
        <f>10000000+23664000+6336000</f>
        <v>40000000</v>
      </c>
      <c r="R60" s="61"/>
      <c r="S60" s="60">
        <f t="shared" si="48"/>
        <v>7000000</v>
      </c>
      <c r="T60" s="60">
        <v>7000000</v>
      </c>
      <c r="U60" s="60">
        <f t="shared" si="9"/>
        <v>0</v>
      </c>
      <c r="V60" s="62">
        <f t="shared" si="13"/>
        <v>1</v>
      </c>
      <c r="W60" s="60">
        <v>6384413</v>
      </c>
      <c r="X60" s="60">
        <f t="shared" si="12"/>
        <v>615587</v>
      </c>
      <c r="Y60" s="62">
        <f t="shared" si="20"/>
        <v>8.7941000000000005E-2</v>
      </c>
      <c r="Z60" s="60">
        <v>4892560</v>
      </c>
      <c r="AA60" s="60">
        <f t="shared" si="49"/>
        <v>1491853</v>
      </c>
      <c r="AB60" s="62">
        <f t="shared" si="4"/>
        <v>0.69893714285714281</v>
      </c>
    </row>
    <row r="61" spans="1:28" ht="24.95" customHeight="1">
      <c r="A61" s="32" t="e">
        <f>+CONCATENATE(#REF!,"=",J61)</f>
        <v>#REF!</v>
      </c>
      <c r="B61" s="56" t="str">
        <f t="shared" si="44"/>
        <v>A-02-02-01-003-006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42</v>
      </c>
      <c r="I61" s="57"/>
      <c r="J61" s="57">
        <v>10</v>
      </c>
      <c r="K61" s="58" t="s">
        <v>29</v>
      </c>
      <c r="L61" s="59" t="s">
        <v>97</v>
      </c>
      <c r="M61" s="60">
        <v>123000000</v>
      </c>
      <c r="N61" s="60"/>
      <c r="O61" s="60"/>
      <c r="P61" s="60"/>
      <c r="Q61" s="60">
        <f>50000000+50000000</f>
        <v>100000000</v>
      </c>
      <c r="R61" s="61"/>
      <c r="S61" s="60">
        <f t="shared" si="48"/>
        <v>23000000</v>
      </c>
      <c r="T61" s="60">
        <v>23000000</v>
      </c>
      <c r="U61" s="60">
        <f t="shared" si="9"/>
        <v>0</v>
      </c>
      <c r="V61" s="62">
        <f t="shared" si="13"/>
        <v>1</v>
      </c>
      <c r="W61" s="60">
        <v>16366442</v>
      </c>
      <c r="X61" s="60">
        <f t="shared" si="12"/>
        <v>6633558</v>
      </c>
      <c r="Y61" s="62">
        <f t="shared" si="20"/>
        <v>0.28841556521739131</v>
      </c>
      <c r="Z61" s="60">
        <v>15350499</v>
      </c>
      <c r="AA61" s="60">
        <f t="shared" si="49"/>
        <v>1015943</v>
      </c>
      <c r="AB61" s="62">
        <f t="shared" si="4"/>
        <v>0.66741300000000003</v>
      </c>
    </row>
    <row r="62" spans="1:28" ht="24.95" customHeight="1">
      <c r="A62" s="32" t="e">
        <f>+CONCATENATE(#REF!,"=",J62)</f>
        <v>#REF!</v>
      </c>
      <c r="B62" s="56" t="str">
        <f t="shared" si="44"/>
        <v>A-02-02-01-003-008</v>
      </c>
      <c r="C62" s="57" t="s">
        <v>23</v>
      </c>
      <c r="D62" s="57" t="s">
        <v>54</v>
      </c>
      <c r="E62" s="57" t="s">
        <v>54</v>
      </c>
      <c r="F62" s="57" t="s">
        <v>25</v>
      </c>
      <c r="G62" s="57" t="s">
        <v>36</v>
      </c>
      <c r="H62" s="57" t="s">
        <v>46</v>
      </c>
      <c r="I62" s="57"/>
      <c r="J62" s="57">
        <v>10</v>
      </c>
      <c r="K62" s="58" t="s">
        <v>29</v>
      </c>
      <c r="L62" s="59" t="s">
        <v>99</v>
      </c>
      <c r="M62" s="60">
        <v>144195282</v>
      </c>
      <c r="N62" s="60"/>
      <c r="O62" s="60"/>
      <c r="P62" s="60">
        <f>8000000</f>
        <v>8000000</v>
      </c>
      <c r="Q62" s="60">
        <f>14000000+6000000+45000000+24029832</f>
        <v>89029832</v>
      </c>
      <c r="R62" s="61"/>
      <c r="S62" s="60">
        <f t="shared" si="48"/>
        <v>63165450</v>
      </c>
      <c r="T62" s="60">
        <v>55165450</v>
      </c>
      <c r="U62" s="60">
        <f t="shared" si="9"/>
        <v>8000000</v>
      </c>
      <c r="V62" s="62">
        <f t="shared" si="13"/>
        <v>0.87334848402093235</v>
      </c>
      <c r="W62" s="60">
        <v>19292300</v>
      </c>
      <c r="X62" s="60">
        <f t="shared" si="12"/>
        <v>35873150</v>
      </c>
      <c r="Y62" s="62">
        <f t="shared" si="20"/>
        <v>0.65028292164751667</v>
      </c>
      <c r="Z62" s="60">
        <v>18343397</v>
      </c>
      <c r="AA62" s="60">
        <f t="shared" si="49"/>
        <v>948903</v>
      </c>
      <c r="AB62" s="62">
        <f t="shared" si="4"/>
        <v>0.3325160403839722</v>
      </c>
    </row>
    <row r="63" spans="1:28" ht="24" customHeight="1">
      <c r="A63" s="32" t="e">
        <f>+CONCATENATE(#REF!,"=",J63)</f>
        <v>#REF!</v>
      </c>
      <c r="B63" s="52" t="str">
        <f>CONCATENATE(C63,"-",D63,"-",E63,"-",F63,"-",G63)</f>
        <v>A-02-02-01-004</v>
      </c>
      <c r="C63" s="52" t="s">
        <v>23</v>
      </c>
      <c r="D63" s="52" t="s">
        <v>54</v>
      </c>
      <c r="E63" s="52" t="s">
        <v>54</v>
      </c>
      <c r="F63" s="52" t="s">
        <v>25</v>
      </c>
      <c r="G63" s="52" t="s">
        <v>38</v>
      </c>
      <c r="H63" s="52"/>
      <c r="I63" s="52"/>
      <c r="J63" s="52" t="s">
        <v>28</v>
      </c>
      <c r="K63" s="52" t="s">
        <v>29</v>
      </c>
      <c r="L63" s="52" t="s">
        <v>100</v>
      </c>
      <c r="M63" s="54">
        <f t="shared" ref="M63:U63" si="50">SUM(M64:M67)</f>
        <v>209000000</v>
      </c>
      <c r="N63" s="743">
        <f t="shared" si="50"/>
        <v>0</v>
      </c>
      <c r="O63" s="743">
        <f t="shared" si="50"/>
        <v>0</v>
      </c>
      <c r="P63" s="54">
        <f t="shared" si="50"/>
        <v>115095020</v>
      </c>
      <c r="Q63" s="54">
        <f t="shared" si="50"/>
        <v>104707952.61</v>
      </c>
      <c r="R63" s="743">
        <f t="shared" si="50"/>
        <v>0</v>
      </c>
      <c r="S63" s="54">
        <f t="shared" si="50"/>
        <v>219387067.38999999</v>
      </c>
      <c r="T63" s="54">
        <f t="shared" si="50"/>
        <v>86447230</v>
      </c>
      <c r="U63" s="54">
        <f t="shared" si="50"/>
        <v>132939837.39</v>
      </c>
      <c r="V63" s="55">
        <f t="shared" si="13"/>
        <v>0.39403977193571077</v>
      </c>
      <c r="W63" s="54">
        <f>SUM(W64:W67)</f>
        <v>37972890</v>
      </c>
      <c r="X63" s="54">
        <f>SUM(X64:X67)</f>
        <v>48474340</v>
      </c>
      <c r="Y63" s="55">
        <f t="shared" si="20"/>
        <v>0.56073907746957308</v>
      </c>
      <c r="Z63" s="54">
        <f>SUM(Z64:Z67)</f>
        <v>33395501</v>
      </c>
      <c r="AA63" s="54">
        <f>SUM(AA64:AA67)</f>
        <v>4577389</v>
      </c>
      <c r="AB63" s="55">
        <f t="shared" si="4"/>
        <v>0.38631082800455263</v>
      </c>
    </row>
    <row r="64" spans="1:28" ht="24.95" customHeight="1">
      <c r="A64" s="32" t="e">
        <f>+CONCATENATE(#REF!,"=",J64)</f>
        <v>#REF!</v>
      </c>
      <c r="B64" s="56" t="str">
        <f t="shared" si="44"/>
        <v>A-02-02-01-004-002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34</v>
      </c>
      <c r="I64" s="57"/>
      <c r="J64" s="57">
        <v>10</v>
      </c>
      <c r="K64" s="58" t="s">
        <v>29</v>
      </c>
      <c r="L64" s="59" t="s">
        <v>101</v>
      </c>
      <c r="M64" s="60">
        <v>28000000</v>
      </c>
      <c r="N64" s="60"/>
      <c r="O64" s="60"/>
      <c r="P64" s="60"/>
      <c r="Q64" s="60"/>
      <c r="R64" s="61"/>
      <c r="S64" s="60">
        <f>+M64-R64+N64-O64+P64-Q64</f>
        <v>28000000</v>
      </c>
      <c r="T64" s="60">
        <v>28000000</v>
      </c>
      <c r="U64" s="60">
        <f t="shared" si="9"/>
        <v>0</v>
      </c>
      <c r="V64" s="62">
        <f t="shared" si="13"/>
        <v>1</v>
      </c>
      <c r="W64" s="60">
        <v>14401810</v>
      </c>
      <c r="X64" s="60">
        <f t="shared" si="12"/>
        <v>13598190</v>
      </c>
      <c r="Y64" s="62">
        <f t="shared" si="20"/>
        <v>0.48564964285714285</v>
      </c>
      <c r="Z64" s="60">
        <v>9824421</v>
      </c>
      <c r="AA64" s="60">
        <f t="shared" ref="AA64:AA67" si="51">+W64-Z64</f>
        <v>4577389</v>
      </c>
      <c r="AB64" s="62">
        <f t="shared" si="4"/>
        <v>0.35087217857142855</v>
      </c>
    </row>
    <row r="65" spans="1:28" ht="24.95" customHeight="1">
      <c r="A65" s="32" t="e">
        <f>+CONCATENATE(#REF!,"=",J65)</f>
        <v>#REF!</v>
      </c>
      <c r="B65" s="56" t="str">
        <f t="shared" si="44"/>
        <v>A-02-02-01-004-005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40</v>
      </c>
      <c r="I65" s="57"/>
      <c r="J65" s="57">
        <v>10</v>
      </c>
      <c r="K65" s="58" t="s">
        <v>29</v>
      </c>
      <c r="L65" s="59" t="s">
        <v>102</v>
      </c>
      <c r="M65" s="60">
        <v>10000000</v>
      </c>
      <c r="N65" s="60"/>
      <c r="O65" s="60"/>
      <c r="P65" s="60">
        <f>80000000</f>
        <v>80000000</v>
      </c>
      <c r="Q65" s="60"/>
      <c r="R65" s="61"/>
      <c r="S65" s="60">
        <f t="shared" ref="S65:S67" si="52">+M65-R65+N65-O65+P65-Q65</f>
        <v>90000000</v>
      </c>
      <c r="T65" s="60">
        <v>0</v>
      </c>
      <c r="U65" s="60">
        <f t="shared" si="9"/>
        <v>90000000</v>
      </c>
      <c r="V65" s="62">
        <f t="shared" si="13"/>
        <v>0</v>
      </c>
      <c r="W65" s="60">
        <v>0</v>
      </c>
      <c r="X65" s="60">
        <f t="shared" si="12"/>
        <v>0</v>
      </c>
      <c r="Y65" s="62">
        <f t="shared" si="20"/>
        <v>0</v>
      </c>
      <c r="Z65" s="60">
        <v>0</v>
      </c>
      <c r="AA65" s="60">
        <f t="shared" si="51"/>
        <v>0</v>
      </c>
      <c r="AB65" s="62">
        <f t="shared" si="4"/>
        <v>0</v>
      </c>
    </row>
    <row r="66" spans="1:28" ht="24.95" customHeight="1">
      <c r="A66" s="32" t="e">
        <f>+CONCATENATE(#REF!,"=",J66)</f>
        <v>#REF!</v>
      </c>
      <c r="B66" s="56" t="str">
        <f t="shared" si="44"/>
        <v>A-02-02-01-004-006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42</v>
      </c>
      <c r="I66" s="57"/>
      <c r="J66" s="57">
        <v>10</v>
      </c>
      <c r="K66" s="58" t="s">
        <v>29</v>
      </c>
      <c r="L66" s="59" t="s">
        <v>84</v>
      </c>
      <c r="M66" s="60">
        <v>108000000</v>
      </c>
      <c r="N66" s="60"/>
      <c r="O66" s="60"/>
      <c r="P66" s="60">
        <f>6119958+3880042</f>
        <v>10000000</v>
      </c>
      <c r="Q66" s="60">
        <f>70000000</f>
        <v>70000000</v>
      </c>
      <c r="R66" s="61"/>
      <c r="S66" s="60">
        <f t="shared" si="52"/>
        <v>48000000</v>
      </c>
      <c r="T66" s="60">
        <v>31571080</v>
      </c>
      <c r="U66" s="60">
        <f t="shared" si="9"/>
        <v>16428920</v>
      </c>
      <c r="V66" s="62">
        <f t="shared" si="13"/>
        <v>0.65773083333333338</v>
      </c>
      <c r="W66" s="60">
        <v>23571080</v>
      </c>
      <c r="X66" s="60">
        <f t="shared" si="12"/>
        <v>8000000</v>
      </c>
      <c r="Y66" s="62">
        <f t="shared" si="20"/>
        <v>0.25339646283877526</v>
      </c>
      <c r="Z66" s="60">
        <v>23571080</v>
      </c>
      <c r="AA66" s="60">
        <f t="shared" si="51"/>
        <v>0</v>
      </c>
      <c r="AB66" s="62">
        <f t="shared" si="4"/>
        <v>0.74660353716122474</v>
      </c>
    </row>
    <row r="67" spans="1:28" ht="24.95" customHeight="1">
      <c r="A67" s="32" t="e">
        <f>+CONCATENATE(#REF!,"=",J67)</f>
        <v>#REF!</v>
      </c>
      <c r="B67" s="56" t="str">
        <f t="shared" si="44"/>
        <v>A-02-02-01-004-007</v>
      </c>
      <c r="C67" s="57" t="s">
        <v>23</v>
      </c>
      <c r="D67" s="57" t="s">
        <v>54</v>
      </c>
      <c r="E67" s="57" t="s">
        <v>54</v>
      </c>
      <c r="F67" s="57" t="s">
        <v>25</v>
      </c>
      <c r="G67" s="57" t="s">
        <v>38</v>
      </c>
      <c r="H67" s="57" t="s">
        <v>44</v>
      </c>
      <c r="I67" s="57"/>
      <c r="J67" s="57">
        <v>10</v>
      </c>
      <c r="K67" s="58" t="s">
        <v>29</v>
      </c>
      <c r="L67" s="59" t="s">
        <v>85</v>
      </c>
      <c r="M67" s="60">
        <v>63000000</v>
      </c>
      <c r="N67" s="60"/>
      <c r="O67" s="60"/>
      <c r="P67" s="60">
        <v>25095020</v>
      </c>
      <c r="Q67" s="60">
        <f>34707952.61</f>
        <v>34707952.609999999</v>
      </c>
      <c r="R67" s="61"/>
      <c r="S67" s="60">
        <f t="shared" si="52"/>
        <v>53387067.390000001</v>
      </c>
      <c r="T67" s="60">
        <v>26876150</v>
      </c>
      <c r="U67" s="60">
        <f t="shared" si="9"/>
        <v>26510917.390000001</v>
      </c>
      <c r="V67" s="62">
        <f t="shared" si="13"/>
        <v>0.50342060940837907</v>
      </c>
      <c r="W67" s="60">
        <v>0</v>
      </c>
      <c r="X67" s="60">
        <f t="shared" si="12"/>
        <v>26876150</v>
      </c>
      <c r="Y67" s="62">
        <f t="shared" si="20"/>
        <v>1</v>
      </c>
      <c r="Z67" s="60">
        <v>0</v>
      </c>
      <c r="AA67" s="60">
        <f t="shared" si="51"/>
        <v>0</v>
      </c>
      <c r="AB67" s="62">
        <f t="shared" si="4"/>
        <v>0</v>
      </c>
    </row>
    <row r="68" spans="1:28" ht="24" customHeight="1">
      <c r="A68" s="32" t="e">
        <f>+CONCATENATE(#REF!,"=",J68)</f>
        <v>#REF!</v>
      </c>
      <c r="B68" s="48" t="str">
        <f>CONCATENATE(C68,"-",D68,"-",E68,"-",F68)</f>
        <v>A-02-02-02</v>
      </c>
      <c r="C68" s="48" t="s">
        <v>23</v>
      </c>
      <c r="D68" s="48" t="s">
        <v>54</v>
      </c>
      <c r="E68" s="48" t="s">
        <v>54</v>
      </c>
      <c r="F68" s="48" t="s">
        <v>54</v>
      </c>
      <c r="G68" s="48"/>
      <c r="H68" s="48"/>
      <c r="I68" s="48"/>
      <c r="J68" s="48" t="s">
        <v>28</v>
      </c>
      <c r="K68" s="48" t="s">
        <v>29</v>
      </c>
      <c r="L68" s="48" t="s">
        <v>103</v>
      </c>
      <c r="M68" s="50">
        <f t="shared" ref="M68:U68" si="53">+M69+M75+M78+M85+M91</f>
        <v>41310758610</v>
      </c>
      <c r="N68" s="743">
        <f t="shared" si="53"/>
        <v>0</v>
      </c>
      <c r="O68" s="743">
        <f t="shared" si="53"/>
        <v>0</v>
      </c>
      <c r="P68" s="50">
        <f t="shared" si="53"/>
        <v>3432992006.3600001</v>
      </c>
      <c r="Q68" s="50">
        <f t="shared" si="53"/>
        <v>3409653241.75</v>
      </c>
      <c r="R68" s="743">
        <f t="shared" si="53"/>
        <v>0</v>
      </c>
      <c r="S68" s="50">
        <f t="shared" si="53"/>
        <v>41334097374.610001</v>
      </c>
      <c r="T68" s="50">
        <f t="shared" si="53"/>
        <v>33851161880.09</v>
      </c>
      <c r="U68" s="50">
        <f t="shared" si="53"/>
        <v>7482935494.5200005</v>
      </c>
      <c r="V68" s="51">
        <f t="shared" si="13"/>
        <v>0.81896458445185527</v>
      </c>
      <c r="W68" s="50">
        <f>+W69+W75+W78+W85+W91</f>
        <v>27663879806.200001</v>
      </c>
      <c r="X68" s="50">
        <f>+X69+X75+X78+X85+X91</f>
        <v>6187282073.8900013</v>
      </c>
      <c r="Y68" s="51">
        <f t="shared" si="20"/>
        <v>0.18277901644283387</v>
      </c>
      <c r="Z68" s="50">
        <f>+Z69+Z75+Z78+Z85+Z91</f>
        <v>27607317612.200001</v>
      </c>
      <c r="AA68" s="50">
        <f>+AA69+AA75+AA78+AA85+AA91</f>
        <v>56562194</v>
      </c>
      <c r="AB68" s="51">
        <f t="shared" si="4"/>
        <v>0.81555007506072053</v>
      </c>
    </row>
    <row r="69" spans="1:28" ht="24.75" customHeight="1">
      <c r="A69" s="32" t="e">
        <f>+CONCATENATE(#REF!,"=",J69)</f>
        <v>#REF!</v>
      </c>
      <c r="B69" s="52" t="str">
        <f>CONCATENATE(C69,"-",D69,"-",E69,"-",F69,"-",G69)</f>
        <v>A-02-02-02-006</v>
      </c>
      <c r="C69" s="52" t="s">
        <v>23</v>
      </c>
      <c r="D69" s="52" t="s">
        <v>54</v>
      </c>
      <c r="E69" s="52" t="s">
        <v>54</v>
      </c>
      <c r="F69" s="52" t="s">
        <v>54</v>
      </c>
      <c r="G69" s="52" t="s">
        <v>42</v>
      </c>
      <c r="H69" s="52"/>
      <c r="I69" s="52"/>
      <c r="J69" s="52" t="s">
        <v>28</v>
      </c>
      <c r="K69" s="52" t="s">
        <v>29</v>
      </c>
      <c r="L69" s="52" t="s">
        <v>104</v>
      </c>
      <c r="M69" s="54">
        <f t="shared" ref="M69:U69" si="54">SUM(M70:M74)</f>
        <v>6238453772</v>
      </c>
      <c r="N69" s="743">
        <f t="shared" si="54"/>
        <v>0</v>
      </c>
      <c r="O69" s="743">
        <f t="shared" si="54"/>
        <v>0</v>
      </c>
      <c r="P69" s="54">
        <f t="shared" si="54"/>
        <v>1183500000</v>
      </c>
      <c r="Q69" s="54">
        <f t="shared" si="54"/>
        <v>130000000</v>
      </c>
      <c r="R69" s="743">
        <f t="shared" si="54"/>
        <v>0</v>
      </c>
      <c r="S69" s="54">
        <f t="shared" si="54"/>
        <v>7291953772</v>
      </c>
      <c r="T69" s="54">
        <f t="shared" si="54"/>
        <v>6709712613.4099998</v>
      </c>
      <c r="U69" s="54">
        <f t="shared" si="54"/>
        <v>582241158.59000003</v>
      </c>
      <c r="V69" s="55">
        <f t="shared" si="13"/>
        <v>0.92015292789900582</v>
      </c>
      <c r="W69" s="54">
        <f>SUM(W70:W74)</f>
        <v>5367862891.4099998</v>
      </c>
      <c r="X69" s="54">
        <f>SUM(X70:X74)</f>
        <v>1341849722</v>
      </c>
      <c r="Y69" s="55">
        <f t="shared" si="20"/>
        <v>0.19998616920167125</v>
      </c>
      <c r="Z69" s="54">
        <f>SUM(Z70:Z74)</f>
        <v>5367381053.4099998</v>
      </c>
      <c r="AA69" s="54">
        <f>SUM(AA70:AA74)</f>
        <v>481838</v>
      </c>
      <c r="AB69" s="55">
        <f t="shared" si="4"/>
        <v>0.7999420187807712</v>
      </c>
    </row>
    <row r="70" spans="1:28" ht="24.95" customHeight="1">
      <c r="A70" s="32" t="e">
        <f>+CONCATENATE(#REF!,"=",J70)</f>
        <v>#REF!</v>
      </c>
      <c r="B70" s="56" t="str">
        <f t="shared" ref="B70:B74" si="55">CONCATENATE(C70,"-",D70,"-",E70,"-",F70,"-",G70,"-",H70)</f>
        <v>A-02-02-02-006-003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36</v>
      </c>
      <c r="I70" s="57"/>
      <c r="J70" s="57">
        <v>10</v>
      </c>
      <c r="K70" s="58" t="s">
        <v>29</v>
      </c>
      <c r="L70" s="59" t="s">
        <v>105</v>
      </c>
      <c r="M70" s="60">
        <v>120448180</v>
      </c>
      <c r="N70" s="60"/>
      <c r="O70" s="60"/>
      <c r="P70" s="60">
        <f>38282800</f>
        <v>38282800</v>
      </c>
      <c r="Q70" s="60"/>
      <c r="R70" s="61"/>
      <c r="S70" s="60">
        <f t="shared" ref="S70:S74" si="56">+M70-R70+N70-O70+P70-Q70</f>
        <v>158730980</v>
      </c>
      <c r="T70" s="60">
        <v>140192097</v>
      </c>
      <c r="U70" s="60">
        <f t="shared" si="9"/>
        <v>18538883</v>
      </c>
      <c r="V70" s="62">
        <f t="shared" si="13"/>
        <v>0.88320564139401148</v>
      </c>
      <c r="W70" s="60">
        <v>104717264</v>
      </c>
      <c r="X70" s="60">
        <f t="shared" si="12"/>
        <v>35474833</v>
      </c>
      <c r="Y70" s="62">
        <f t="shared" si="20"/>
        <v>0.25304445656448094</v>
      </c>
      <c r="Z70" s="60">
        <v>104487565</v>
      </c>
      <c r="AA70" s="60">
        <f t="shared" ref="AA70:AA74" si="57">+W70-Z70</f>
        <v>229699</v>
      </c>
      <c r="AB70" s="62">
        <f t="shared" si="4"/>
        <v>0.74531708445733569</v>
      </c>
    </row>
    <row r="71" spans="1:28" ht="24.95" customHeight="1">
      <c r="A71" s="32" t="e">
        <f>+CONCATENATE(#REF!,"=",J71)</f>
        <v>#REF!</v>
      </c>
      <c r="B71" s="56" t="str">
        <f t="shared" si="55"/>
        <v>A-02-02-02-006-004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38</v>
      </c>
      <c r="I71" s="57"/>
      <c r="J71" s="57">
        <v>10</v>
      </c>
      <c r="K71" s="58" t="s">
        <v>29</v>
      </c>
      <c r="L71" s="59" t="s">
        <v>106</v>
      </c>
      <c r="M71" s="60">
        <v>2721505592</v>
      </c>
      <c r="N71" s="60"/>
      <c r="O71" s="60"/>
      <c r="P71" s="60">
        <f>33000000+30000000+60000000+30000000+65000000+10000000+646000000+6000000+11717200</f>
        <v>891717200</v>
      </c>
      <c r="Q71" s="60">
        <f>130000000</f>
        <v>130000000</v>
      </c>
      <c r="R71" s="61"/>
      <c r="S71" s="60">
        <f t="shared" si="56"/>
        <v>3483222792</v>
      </c>
      <c r="T71" s="60">
        <v>3261845565</v>
      </c>
      <c r="U71" s="60">
        <f t="shared" si="9"/>
        <v>221377227</v>
      </c>
      <c r="V71" s="62">
        <f t="shared" si="13"/>
        <v>0.93644471220490333</v>
      </c>
      <c r="W71" s="60">
        <v>2084240737</v>
      </c>
      <c r="X71" s="60">
        <f t="shared" si="12"/>
        <v>1177604828</v>
      </c>
      <c r="Y71" s="62">
        <f t="shared" si="20"/>
        <v>0.36102409036032951</v>
      </c>
      <c r="Z71" s="60">
        <v>2084170434</v>
      </c>
      <c r="AA71" s="60">
        <f t="shared" si="57"/>
        <v>70303</v>
      </c>
      <c r="AB71" s="62">
        <f t="shared" si="4"/>
        <v>0.63895435650399957</v>
      </c>
    </row>
    <row r="72" spans="1:28" ht="24.95" customHeight="1">
      <c r="A72" s="32" t="e">
        <f>+CONCATENATE(#REF!,"=",J72)</f>
        <v>#REF!</v>
      </c>
      <c r="B72" s="56" t="str">
        <f t="shared" si="55"/>
        <v>A-02-02-02-006-005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40</v>
      </c>
      <c r="I72" s="57"/>
      <c r="J72" s="57">
        <v>10</v>
      </c>
      <c r="K72" s="58" t="s">
        <v>29</v>
      </c>
      <c r="L72" s="59" t="s">
        <v>107</v>
      </c>
      <c r="M72" s="60">
        <v>50000000</v>
      </c>
      <c r="N72" s="60"/>
      <c r="O72" s="60"/>
      <c r="P72" s="60">
        <f>50000000+14000000</f>
        <v>64000000</v>
      </c>
      <c r="Q72" s="60"/>
      <c r="R72" s="61"/>
      <c r="S72" s="60">
        <f t="shared" si="56"/>
        <v>114000000</v>
      </c>
      <c r="T72" s="60">
        <v>111350000</v>
      </c>
      <c r="U72" s="60">
        <f t="shared" si="9"/>
        <v>2650000</v>
      </c>
      <c r="V72" s="62">
        <f t="shared" si="13"/>
        <v>0.97675438596491226</v>
      </c>
      <c r="W72" s="60">
        <v>34109973</v>
      </c>
      <c r="X72" s="60">
        <f t="shared" si="12"/>
        <v>77240027</v>
      </c>
      <c r="Y72" s="62">
        <f t="shared" si="20"/>
        <v>0.69366885496183206</v>
      </c>
      <c r="Z72" s="60">
        <v>34109973</v>
      </c>
      <c r="AA72" s="60">
        <f t="shared" si="57"/>
        <v>0</v>
      </c>
      <c r="AB72" s="62">
        <f t="shared" si="4"/>
        <v>0.30633114503816794</v>
      </c>
    </row>
    <row r="73" spans="1:28" ht="24.95" customHeight="1">
      <c r="A73" s="32" t="e">
        <f>+CONCATENATE(#REF!,"=",J73)</f>
        <v>#REF!</v>
      </c>
      <c r="B73" s="56" t="str">
        <f t="shared" si="55"/>
        <v>A-02-02-02-006-008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46</v>
      </c>
      <c r="I73" s="57"/>
      <c r="J73" s="57">
        <v>10</v>
      </c>
      <c r="K73" s="58" t="s">
        <v>29</v>
      </c>
      <c r="L73" s="59" t="s">
        <v>108</v>
      </c>
      <c r="M73" s="60">
        <v>2216500000</v>
      </c>
      <c r="N73" s="60"/>
      <c r="O73" s="60"/>
      <c r="P73" s="60">
        <f>168000000</f>
        <v>168000000</v>
      </c>
      <c r="Q73" s="60"/>
      <c r="R73" s="61"/>
      <c r="S73" s="60">
        <f t="shared" si="56"/>
        <v>2384500000</v>
      </c>
      <c r="T73" s="60">
        <v>2213618000</v>
      </c>
      <c r="U73" s="60">
        <f t="shared" si="9"/>
        <v>170882000</v>
      </c>
      <c r="V73" s="62">
        <f t="shared" si="13"/>
        <v>0.92833633885510591</v>
      </c>
      <c r="W73" s="60">
        <v>2163612480</v>
      </c>
      <c r="X73" s="60">
        <f t="shared" si="12"/>
        <v>50005520</v>
      </c>
      <c r="Y73" s="62">
        <f t="shared" si="20"/>
        <v>2.2589950027511522E-2</v>
      </c>
      <c r="Z73" s="60">
        <v>2163612480</v>
      </c>
      <c r="AA73" s="60">
        <f t="shared" si="57"/>
        <v>0</v>
      </c>
      <c r="AB73" s="62">
        <f t="shared" si="4"/>
        <v>0.97741004997248848</v>
      </c>
    </row>
    <row r="74" spans="1:28" ht="24.95" customHeight="1">
      <c r="A74" s="32" t="e">
        <f>+CONCATENATE(#REF!,"=",J74)</f>
        <v>#REF!</v>
      </c>
      <c r="B74" s="56" t="str">
        <f t="shared" si="55"/>
        <v>A-02-02-02-006-009</v>
      </c>
      <c r="C74" s="57" t="s">
        <v>23</v>
      </c>
      <c r="D74" s="57" t="s">
        <v>54</v>
      </c>
      <c r="E74" s="57" t="s">
        <v>54</v>
      </c>
      <c r="F74" s="57" t="s">
        <v>54</v>
      </c>
      <c r="G74" s="57" t="s">
        <v>42</v>
      </c>
      <c r="H74" s="57" t="s">
        <v>48</v>
      </c>
      <c r="I74" s="57"/>
      <c r="J74" s="57">
        <v>10</v>
      </c>
      <c r="K74" s="58" t="s">
        <v>29</v>
      </c>
      <c r="L74" s="59" t="s">
        <v>109</v>
      </c>
      <c r="M74" s="60">
        <v>1130000000</v>
      </c>
      <c r="N74" s="60"/>
      <c r="O74" s="60"/>
      <c r="P74" s="60">
        <f>21500000</f>
        <v>21500000</v>
      </c>
      <c r="Q74" s="60"/>
      <c r="R74" s="61"/>
      <c r="S74" s="60">
        <f t="shared" si="56"/>
        <v>1151500000</v>
      </c>
      <c r="T74" s="60">
        <v>982706951.40999997</v>
      </c>
      <c r="U74" s="60">
        <f t="shared" si="9"/>
        <v>168793048.59000003</v>
      </c>
      <c r="V74" s="62">
        <f t="shared" si="13"/>
        <v>0.85341463431176723</v>
      </c>
      <c r="W74" s="60">
        <v>981182437.40999997</v>
      </c>
      <c r="X74" s="60">
        <f t="shared" si="12"/>
        <v>1524514</v>
      </c>
      <c r="Y74" s="62">
        <f t="shared" si="20"/>
        <v>1.5513414226007139E-3</v>
      </c>
      <c r="Z74" s="60">
        <v>981000601.40999997</v>
      </c>
      <c r="AA74" s="60">
        <f t="shared" si="57"/>
        <v>181836</v>
      </c>
      <c r="AB74" s="62">
        <f t="shared" si="4"/>
        <v>0.99826362274373692</v>
      </c>
    </row>
    <row r="75" spans="1:28" ht="28.5" customHeight="1">
      <c r="A75" s="32" t="e">
        <f>+CONCATENATE(#REF!,"=",J75)</f>
        <v>#REF!</v>
      </c>
      <c r="B75" s="52" t="str">
        <f>CONCATENATE(C75,"-",D75,"-",E75,"-",F75,"-",G75)</f>
        <v>A-02-02-02-007</v>
      </c>
      <c r="C75" s="52" t="s">
        <v>23</v>
      </c>
      <c r="D75" s="52" t="s">
        <v>54</v>
      </c>
      <c r="E75" s="52" t="s">
        <v>54</v>
      </c>
      <c r="F75" s="52" t="s">
        <v>54</v>
      </c>
      <c r="G75" s="52" t="s">
        <v>44</v>
      </c>
      <c r="H75" s="52"/>
      <c r="I75" s="52"/>
      <c r="J75" s="52" t="s">
        <v>28</v>
      </c>
      <c r="K75" s="52" t="s">
        <v>29</v>
      </c>
      <c r="L75" s="52" t="s">
        <v>110</v>
      </c>
      <c r="M75" s="54">
        <f>SUM(M76:M77)</f>
        <v>15484127230</v>
      </c>
      <c r="N75" s="743">
        <f t="shared" ref="N75:AA75" si="58">SUM(N76:N77)</f>
        <v>0</v>
      </c>
      <c r="O75" s="743">
        <f t="shared" si="58"/>
        <v>0</v>
      </c>
      <c r="P75" s="54">
        <f t="shared" si="58"/>
        <v>10200000</v>
      </c>
      <c r="Q75" s="54">
        <f t="shared" si="58"/>
        <v>398200617</v>
      </c>
      <c r="R75" s="743">
        <f t="shared" si="58"/>
        <v>0</v>
      </c>
      <c r="S75" s="54">
        <f t="shared" si="58"/>
        <v>15096126613</v>
      </c>
      <c r="T75" s="54">
        <f t="shared" si="58"/>
        <v>13617111298.370001</v>
      </c>
      <c r="U75" s="54">
        <f t="shared" si="58"/>
        <v>1479015314.6299992</v>
      </c>
      <c r="V75" s="55">
        <f t="shared" si="13"/>
        <v>0.90202683426380725</v>
      </c>
      <c r="W75" s="54">
        <f t="shared" si="58"/>
        <v>12148858017</v>
      </c>
      <c r="X75" s="54">
        <f t="shared" si="58"/>
        <v>1468253281.3700008</v>
      </c>
      <c r="Y75" s="55">
        <f t="shared" si="20"/>
        <v>0.1078241375280346</v>
      </c>
      <c r="Z75" s="54">
        <f t="shared" si="58"/>
        <v>12148635417</v>
      </c>
      <c r="AA75" s="54">
        <f t="shared" si="58"/>
        <v>222600</v>
      </c>
      <c r="AB75" s="55">
        <f t="shared" si="4"/>
        <v>0.89215951539253546</v>
      </c>
    </row>
    <row r="76" spans="1:28" ht="24.95" customHeight="1">
      <c r="A76" s="32" t="e">
        <f>+CONCATENATE(#REF!,"=",J76)</f>
        <v>#REF!</v>
      </c>
      <c r="B76" s="56" t="str">
        <f t="shared" ref="B76:B77" si="59">CONCATENATE(C76,"-",D76,"-",E76,"-",F76,"-",G76,"-",H76)</f>
        <v>A-02-02-02-007-001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31</v>
      </c>
      <c r="I76" s="57"/>
      <c r="J76" s="57">
        <v>10</v>
      </c>
      <c r="K76" s="58" t="s">
        <v>29</v>
      </c>
      <c r="L76" s="59" t="s">
        <v>111</v>
      </c>
      <c r="M76" s="60">
        <v>260000000</v>
      </c>
      <c r="N76" s="60"/>
      <c r="O76" s="60"/>
      <c r="P76" s="60">
        <f>3200000</f>
        <v>3200000</v>
      </c>
      <c r="Q76" s="60">
        <f>189344000</f>
        <v>189344000</v>
      </c>
      <c r="R76" s="61"/>
      <c r="S76" s="60">
        <f>+M76-R76+N76-O76+P76-Q76</f>
        <v>73856000</v>
      </c>
      <c r="T76" s="60">
        <v>59453757</v>
      </c>
      <c r="U76" s="60">
        <f t="shared" si="9"/>
        <v>14402243</v>
      </c>
      <c r="V76" s="62">
        <f t="shared" si="13"/>
        <v>0.80499562662478341</v>
      </c>
      <c r="W76" s="60">
        <v>58443342</v>
      </c>
      <c r="X76" s="60">
        <f t="shared" si="12"/>
        <v>1010415</v>
      </c>
      <c r="Y76" s="62">
        <f t="shared" si="20"/>
        <v>1.6994973084711869E-2</v>
      </c>
      <c r="Z76" s="60">
        <v>58220742</v>
      </c>
      <c r="AA76" s="60">
        <f t="shared" ref="AA76:AA77" si="60">+W76-Z76</f>
        <v>222600</v>
      </c>
      <c r="AB76" s="62">
        <f t="shared" si="4"/>
        <v>0.97926094056595947</v>
      </c>
    </row>
    <row r="77" spans="1:28" ht="24.95" customHeight="1">
      <c r="A77" s="32" t="e">
        <f>+CONCATENATE(#REF!,"=",J77)</f>
        <v>#REF!</v>
      </c>
      <c r="B77" s="56" t="str">
        <f t="shared" si="59"/>
        <v>A-02-02-02-007-002</v>
      </c>
      <c r="C77" s="57" t="s">
        <v>23</v>
      </c>
      <c r="D77" s="57" t="s">
        <v>54</v>
      </c>
      <c r="E77" s="57" t="s">
        <v>54</v>
      </c>
      <c r="F77" s="57" t="s">
        <v>54</v>
      </c>
      <c r="G77" s="57" t="s">
        <v>44</v>
      </c>
      <c r="H77" s="57" t="s">
        <v>34</v>
      </c>
      <c r="I77" s="57"/>
      <c r="J77" s="57">
        <v>10</v>
      </c>
      <c r="K77" s="58" t="s">
        <v>29</v>
      </c>
      <c r="L77" s="59" t="s">
        <v>112</v>
      </c>
      <c r="M77" s="60">
        <v>15224127230</v>
      </c>
      <c r="N77" s="60"/>
      <c r="O77" s="60"/>
      <c r="P77" s="60">
        <f>7000000</f>
        <v>7000000</v>
      </c>
      <c r="Q77" s="60">
        <f>74639289+134217328</f>
        <v>208856617</v>
      </c>
      <c r="R77" s="61"/>
      <c r="S77" s="60">
        <f>+M77-R77+N77-O77+P77-Q77</f>
        <v>15022270613</v>
      </c>
      <c r="T77" s="60">
        <v>13557657541.370001</v>
      </c>
      <c r="U77" s="60">
        <f t="shared" si="9"/>
        <v>1464613071.6299992</v>
      </c>
      <c r="V77" s="62">
        <f t="shared" si="13"/>
        <v>0.90250388177919327</v>
      </c>
      <c r="W77" s="60">
        <v>12090414675</v>
      </c>
      <c r="X77" s="60">
        <f t="shared" si="12"/>
        <v>1467242866.3700008</v>
      </c>
      <c r="Y77" s="62">
        <f t="shared" si="20"/>
        <v>0.10822244638447594</v>
      </c>
      <c r="Z77" s="60">
        <v>12090414675</v>
      </c>
      <c r="AA77" s="60">
        <f t="shared" si="60"/>
        <v>0</v>
      </c>
      <c r="AB77" s="62">
        <f t="shared" si="4"/>
        <v>0.89177755361552402</v>
      </c>
    </row>
    <row r="78" spans="1:28" ht="27.75" customHeight="1">
      <c r="A78" s="32" t="e">
        <f>+CONCATENATE(#REF!,"=",J78)</f>
        <v>#REF!</v>
      </c>
      <c r="B78" s="52" t="str">
        <f>CONCATENATE(C78,"-",D78,"-",E78,"-",F78,"-",G78)</f>
        <v>A-02-02-02-008</v>
      </c>
      <c r="C78" s="52" t="s">
        <v>23</v>
      </c>
      <c r="D78" s="52" t="s">
        <v>54</v>
      </c>
      <c r="E78" s="52" t="s">
        <v>54</v>
      </c>
      <c r="F78" s="52" t="s">
        <v>54</v>
      </c>
      <c r="G78" s="52" t="s">
        <v>46</v>
      </c>
      <c r="H78" s="52"/>
      <c r="I78" s="52"/>
      <c r="J78" s="52" t="s">
        <v>28</v>
      </c>
      <c r="K78" s="52" t="s">
        <v>29</v>
      </c>
      <c r="L78" s="52" t="s">
        <v>113</v>
      </c>
      <c r="M78" s="54">
        <f>SUM(M79:M84)</f>
        <v>15733677608</v>
      </c>
      <c r="N78" s="743">
        <f t="shared" ref="N78:U78" si="61">SUM(N79:N84)</f>
        <v>0</v>
      </c>
      <c r="O78" s="743">
        <f t="shared" si="61"/>
        <v>0</v>
      </c>
      <c r="P78" s="54">
        <f t="shared" si="61"/>
        <v>2194292006.3600001</v>
      </c>
      <c r="Q78" s="54">
        <f t="shared" si="61"/>
        <v>1556693675.75</v>
      </c>
      <c r="R78" s="743">
        <f t="shared" si="61"/>
        <v>0</v>
      </c>
      <c r="S78" s="54">
        <f t="shared" si="61"/>
        <v>16371275938.610001</v>
      </c>
      <c r="T78" s="54">
        <f t="shared" si="61"/>
        <v>11885928267.75</v>
      </c>
      <c r="U78" s="54">
        <f t="shared" si="61"/>
        <v>4485347670.8600006</v>
      </c>
      <c r="V78" s="55">
        <f t="shared" si="13"/>
        <v>0.72602332966108274</v>
      </c>
      <c r="W78" s="54">
        <f t="shared" ref="W78:AA78" si="62">SUM(W79:W84)</f>
        <v>8741165507.2299995</v>
      </c>
      <c r="X78" s="54">
        <f t="shared" si="62"/>
        <v>3144762760.5200005</v>
      </c>
      <c r="Y78" s="55">
        <f t="shared" si="20"/>
        <v>0.26457864204453108</v>
      </c>
      <c r="Z78" s="54">
        <f t="shared" si="62"/>
        <v>8685502793.2299995</v>
      </c>
      <c r="AA78" s="54">
        <f t="shared" si="62"/>
        <v>55662714</v>
      </c>
      <c r="AB78" s="55">
        <f t="shared" si="4"/>
        <v>0.73073828123263285</v>
      </c>
    </row>
    <row r="79" spans="1:28" ht="24.95" customHeight="1">
      <c r="A79" s="32" t="e">
        <f>+CONCATENATE(#REF!,"=",J79)</f>
        <v>#REF!</v>
      </c>
      <c r="B79" s="56" t="str">
        <f t="shared" ref="B79:B90" si="63">CONCATENATE(C79,"-",D79,"-",E79,"-",F79,"-",G79,"-",H79)</f>
        <v>A-02-02-02-008-002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34</v>
      </c>
      <c r="I79" s="57"/>
      <c r="J79" s="57">
        <v>10</v>
      </c>
      <c r="K79" s="58" t="s">
        <v>29</v>
      </c>
      <c r="L79" s="59" t="s">
        <v>114</v>
      </c>
      <c r="M79" s="60">
        <v>50358513</v>
      </c>
      <c r="N79" s="60"/>
      <c r="O79" s="60"/>
      <c r="P79" s="60">
        <f>5950000</f>
        <v>5950000</v>
      </c>
      <c r="Q79" s="60">
        <f>14565713</f>
        <v>14565713</v>
      </c>
      <c r="R79" s="61"/>
      <c r="S79" s="60">
        <f t="shared" ref="S79:S84" si="64">+M79-R79+N79-O79+P79-Q79</f>
        <v>41742800</v>
      </c>
      <c r="T79" s="60">
        <v>39142800</v>
      </c>
      <c r="U79" s="60">
        <f t="shared" si="9"/>
        <v>2600000</v>
      </c>
      <c r="V79" s="62">
        <f t="shared" si="13"/>
        <v>0.93771380932759663</v>
      </c>
      <c r="W79" s="60">
        <v>17500816</v>
      </c>
      <c r="X79" s="60">
        <f t="shared" si="12"/>
        <v>21641984</v>
      </c>
      <c r="Y79" s="62">
        <f t="shared" si="20"/>
        <v>0.55289820861052352</v>
      </c>
      <c r="Z79" s="60">
        <v>17500816</v>
      </c>
      <c r="AA79" s="60">
        <f t="shared" ref="AA79:AA84" si="65">+W79-Z79</f>
        <v>0</v>
      </c>
      <c r="AB79" s="62">
        <f t="shared" ref="AB79:AB142" si="66">+IF(T79&gt;0,(Z79/T79),0)</f>
        <v>0.44710179138947648</v>
      </c>
    </row>
    <row r="80" spans="1:28" ht="24.95" customHeight="1">
      <c r="A80" s="32" t="e">
        <f>+CONCATENATE(#REF!,"=",J80)</f>
        <v>#REF!</v>
      </c>
      <c r="B80" s="56" t="str">
        <f t="shared" si="63"/>
        <v>A-02-02-02-008-003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36</v>
      </c>
      <c r="I80" s="57"/>
      <c r="J80" s="57">
        <v>10</v>
      </c>
      <c r="K80" s="58" t="s">
        <v>29</v>
      </c>
      <c r="L80" s="59" t="s">
        <v>115</v>
      </c>
      <c r="M80" s="60">
        <v>6350236530</v>
      </c>
      <c r="N80" s="60"/>
      <c r="O80" s="60"/>
      <c r="P80" s="60">
        <f>14565713+478194975+250000000+180000000</f>
        <v>922760688</v>
      </c>
      <c r="Q80" s="60">
        <f>39453777+33000000+30000000+60000000+30000000+65000000+646000000+30892060+5950000+39900756+101056723</f>
        <v>1081253316</v>
      </c>
      <c r="R80" s="61"/>
      <c r="S80" s="60">
        <f t="shared" si="64"/>
        <v>6191743902</v>
      </c>
      <c r="T80" s="60">
        <v>3259535485</v>
      </c>
      <c r="U80" s="60">
        <f t="shared" si="9"/>
        <v>2932208417</v>
      </c>
      <c r="V80" s="62">
        <f t="shared" si="13"/>
        <v>0.52643254252604588</v>
      </c>
      <c r="W80" s="60">
        <v>1959734674.8</v>
      </c>
      <c r="X80" s="60">
        <f t="shared" si="12"/>
        <v>1299800810.2</v>
      </c>
      <c r="Y80" s="62">
        <f t="shared" si="20"/>
        <v>0.39876872523141133</v>
      </c>
      <c r="Z80" s="60">
        <v>1910983931.8</v>
      </c>
      <c r="AA80" s="60">
        <f t="shared" si="65"/>
        <v>48750743</v>
      </c>
      <c r="AB80" s="62">
        <f t="shared" si="66"/>
        <v>0.58627492800557746</v>
      </c>
    </row>
    <row r="81" spans="1:28" ht="24.95" customHeight="1">
      <c r="A81" s="32" t="e">
        <f>+CONCATENATE(#REF!,"=",J81)</f>
        <v>#REF!</v>
      </c>
      <c r="B81" s="56" t="str">
        <f t="shared" si="63"/>
        <v>A-02-02-02-008-004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38</v>
      </c>
      <c r="I81" s="57"/>
      <c r="J81" s="57">
        <v>10</v>
      </c>
      <c r="K81" s="58" t="s">
        <v>29</v>
      </c>
      <c r="L81" s="59" t="s">
        <v>116</v>
      </c>
      <c r="M81" s="60">
        <v>2503588821</v>
      </c>
      <c r="N81" s="60"/>
      <c r="O81" s="60"/>
      <c r="P81" s="60">
        <f>3628797.75</f>
        <v>3628797.75</v>
      </c>
      <c r="Q81" s="60">
        <f>187634033</f>
        <v>187634033</v>
      </c>
      <c r="R81" s="61"/>
      <c r="S81" s="60">
        <f t="shared" si="64"/>
        <v>2319583585.75</v>
      </c>
      <c r="T81" s="60">
        <v>2005180294.6600001</v>
      </c>
      <c r="U81" s="60">
        <f t="shared" si="9"/>
        <v>314403291.08999991</v>
      </c>
      <c r="V81" s="62">
        <f t="shared" si="13"/>
        <v>0.86445701158540378</v>
      </c>
      <c r="W81" s="60">
        <v>1891290687.8900001</v>
      </c>
      <c r="X81" s="60">
        <f t="shared" si="12"/>
        <v>113889606.76999998</v>
      </c>
      <c r="Y81" s="62">
        <f t="shared" si="20"/>
        <v>5.6797689002480042E-2</v>
      </c>
      <c r="Z81" s="60">
        <v>1891290687.8900001</v>
      </c>
      <c r="AA81" s="60">
        <f t="shared" si="65"/>
        <v>0</v>
      </c>
      <c r="AB81" s="62">
        <f t="shared" si="66"/>
        <v>0.94320231099751994</v>
      </c>
    </row>
    <row r="82" spans="1:28" ht="24.95" customHeight="1">
      <c r="A82" s="32" t="e">
        <f>+CONCATENATE(#REF!,"=",J82)</f>
        <v>#REF!</v>
      </c>
      <c r="B82" s="56" t="str">
        <f t="shared" si="63"/>
        <v>A-02-02-02-008-005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40</v>
      </c>
      <c r="I82" s="57"/>
      <c r="J82" s="57">
        <v>10</v>
      </c>
      <c r="K82" s="58" t="s">
        <v>29</v>
      </c>
      <c r="L82" s="59" t="s">
        <v>117</v>
      </c>
      <c r="M82" s="60">
        <v>5781495027</v>
      </c>
      <c r="N82" s="60"/>
      <c r="O82" s="60"/>
      <c r="P82" s="60">
        <f>380000000+3040355+305236060+73999289+101056723</f>
        <v>863332427</v>
      </c>
      <c r="Q82" s="60">
        <f>3200000+21843972+3628797.75+50000000+34472824</f>
        <v>113145593.75</v>
      </c>
      <c r="R82" s="61"/>
      <c r="S82" s="60">
        <f t="shared" si="64"/>
        <v>6531681860.25</v>
      </c>
      <c r="T82" s="60">
        <v>5943149120.1599998</v>
      </c>
      <c r="U82" s="60">
        <f t="shared" si="9"/>
        <v>588532740.09000015</v>
      </c>
      <c r="V82" s="62">
        <f t="shared" si="13"/>
        <v>0.90989568189601411</v>
      </c>
      <c r="W82" s="60">
        <v>4465021242.3299999</v>
      </c>
      <c r="X82" s="60">
        <f t="shared" si="12"/>
        <v>1478127877.8299999</v>
      </c>
      <c r="Y82" s="62">
        <f t="shared" si="20"/>
        <v>0.24871122160067996</v>
      </c>
      <c r="Z82" s="60">
        <v>4458109271.3299999</v>
      </c>
      <c r="AA82" s="60">
        <f t="shared" si="65"/>
        <v>6911971</v>
      </c>
      <c r="AB82" s="62">
        <f t="shared" si="66"/>
        <v>0.75012576349589899</v>
      </c>
    </row>
    <row r="83" spans="1:28" ht="24.75" customHeight="1">
      <c r="A83" s="32" t="e">
        <f>+CONCATENATE(#REF!,"=",J83)</f>
        <v>#REF!</v>
      </c>
      <c r="B83" s="56" t="str">
        <f t="shared" si="63"/>
        <v>A-02-02-02-008-007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44</v>
      </c>
      <c r="I83" s="57"/>
      <c r="J83" s="57">
        <v>10</v>
      </c>
      <c r="K83" s="58" t="s">
        <v>29</v>
      </c>
      <c r="L83" s="59" t="s">
        <v>118</v>
      </c>
      <c r="M83" s="60">
        <v>729998717</v>
      </c>
      <c r="N83" s="60"/>
      <c r="O83" s="60"/>
      <c r="P83" s="60">
        <f>248931782+43959645+34707952.61+21020714</f>
        <v>348620093.61000001</v>
      </c>
      <c r="Q83" s="60">
        <f>80000000+25095020+15000000+40000000</f>
        <v>160095020</v>
      </c>
      <c r="R83" s="61"/>
      <c r="S83" s="60">
        <f t="shared" si="64"/>
        <v>918523790.61000013</v>
      </c>
      <c r="T83" s="60">
        <v>495350667.93000001</v>
      </c>
      <c r="U83" s="60">
        <f t="shared" si="9"/>
        <v>423173122.68000013</v>
      </c>
      <c r="V83" s="62">
        <f t="shared" si="13"/>
        <v>0.53928997048735461</v>
      </c>
      <c r="W83" s="60">
        <v>319915186.20999998</v>
      </c>
      <c r="X83" s="60">
        <f t="shared" si="12"/>
        <v>175435481.72000003</v>
      </c>
      <c r="Y83" s="62">
        <f t="shared" si="20"/>
        <v>0.35416421754939781</v>
      </c>
      <c r="Z83" s="60">
        <v>319915186.20999998</v>
      </c>
      <c r="AA83" s="60">
        <f t="shared" si="65"/>
        <v>0</v>
      </c>
      <c r="AB83" s="62">
        <f t="shared" si="66"/>
        <v>0.64583578245060225</v>
      </c>
    </row>
    <row r="84" spans="1:28" ht="24.95" customHeight="1">
      <c r="A84" s="32" t="e">
        <f>+CONCATENATE(#REF!,"=",J84)</f>
        <v>#REF!</v>
      </c>
      <c r="B84" s="56" t="str">
        <f t="shared" si="63"/>
        <v>A-02-02-02-008-009</v>
      </c>
      <c r="C84" s="57" t="s">
        <v>23</v>
      </c>
      <c r="D84" s="57" t="s">
        <v>54</v>
      </c>
      <c r="E84" s="57" t="s">
        <v>54</v>
      </c>
      <c r="F84" s="57" t="s">
        <v>54</v>
      </c>
      <c r="G84" s="57" t="s">
        <v>46</v>
      </c>
      <c r="H84" s="57" t="s">
        <v>48</v>
      </c>
      <c r="I84" s="57"/>
      <c r="J84" s="57">
        <v>10</v>
      </c>
      <c r="K84" s="58" t="s">
        <v>29</v>
      </c>
      <c r="L84" s="59" t="s">
        <v>119</v>
      </c>
      <c r="M84" s="60">
        <v>318000000</v>
      </c>
      <c r="N84" s="60"/>
      <c r="O84" s="60"/>
      <c r="P84" s="60">
        <f>50000000</f>
        <v>50000000</v>
      </c>
      <c r="Q84" s="60"/>
      <c r="R84" s="61"/>
      <c r="S84" s="60">
        <f t="shared" si="64"/>
        <v>368000000</v>
      </c>
      <c r="T84" s="60">
        <v>143569900</v>
      </c>
      <c r="U84" s="60">
        <f t="shared" si="9"/>
        <v>224430100</v>
      </c>
      <c r="V84" s="62">
        <f t="shared" si="13"/>
        <v>0.39013559782608698</v>
      </c>
      <c r="W84" s="60">
        <v>87702900</v>
      </c>
      <c r="X84" s="60">
        <f t="shared" si="12"/>
        <v>55867000</v>
      </c>
      <c r="Y84" s="62">
        <f t="shared" si="20"/>
        <v>0.3891275260343568</v>
      </c>
      <c r="Z84" s="60">
        <v>87702900</v>
      </c>
      <c r="AA84" s="60">
        <f t="shared" si="65"/>
        <v>0</v>
      </c>
      <c r="AB84" s="62">
        <f t="shared" si="66"/>
        <v>0.61087247396564326</v>
      </c>
    </row>
    <row r="85" spans="1:28" ht="24" customHeight="1">
      <c r="A85" s="32" t="e">
        <f>+CONCATENATE(#REF!,"=",J85)</f>
        <v>#REF!</v>
      </c>
      <c r="B85" s="52" t="str">
        <f>CONCATENATE(C85,"-",D85,"-",E85,"-",F85,"-",G85)</f>
        <v>A-02-02-02-009</v>
      </c>
      <c r="C85" s="52" t="s">
        <v>23</v>
      </c>
      <c r="D85" s="52" t="s">
        <v>54</v>
      </c>
      <c r="E85" s="52" t="s">
        <v>54</v>
      </c>
      <c r="F85" s="52" t="s">
        <v>54</v>
      </c>
      <c r="G85" s="52" t="s">
        <v>48</v>
      </c>
      <c r="H85" s="52"/>
      <c r="I85" s="52"/>
      <c r="J85" s="52" t="s">
        <v>28</v>
      </c>
      <c r="K85" s="52" t="s">
        <v>29</v>
      </c>
      <c r="L85" s="52" t="s">
        <v>120</v>
      </c>
      <c r="M85" s="54">
        <f>SUM(M86:M90)</f>
        <v>2932500000</v>
      </c>
      <c r="N85" s="743">
        <f t="shared" ref="N85:AA85" si="67">SUM(N86:N90)</f>
        <v>0</v>
      </c>
      <c r="O85" s="743">
        <f t="shared" si="67"/>
        <v>0</v>
      </c>
      <c r="P85" s="54">
        <f t="shared" si="67"/>
        <v>45000000</v>
      </c>
      <c r="Q85" s="54">
        <f t="shared" si="67"/>
        <v>1324758949</v>
      </c>
      <c r="R85" s="743">
        <f t="shared" si="67"/>
        <v>0</v>
      </c>
      <c r="S85" s="54">
        <f t="shared" si="67"/>
        <v>1652741051</v>
      </c>
      <c r="T85" s="54">
        <f t="shared" si="67"/>
        <v>873928924.55999994</v>
      </c>
      <c r="U85" s="54">
        <f t="shared" si="67"/>
        <v>778812126.44000006</v>
      </c>
      <c r="V85" s="55">
        <f t="shared" ref="V85:V148" si="68">+IF(S85&gt;0,T85/S85,0)</f>
        <v>0.52877546911007289</v>
      </c>
      <c r="W85" s="54">
        <f t="shared" si="67"/>
        <v>696802376.55999994</v>
      </c>
      <c r="X85" s="54">
        <f t="shared" si="67"/>
        <v>177126548</v>
      </c>
      <c r="Y85" s="55">
        <f t="shared" si="20"/>
        <v>0.20267843645200154</v>
      </c>
      <c r="Z85" s="54">
        <f t="shared" si="67"/>
        <v>696607334.55999994</v>
      </c>
      <c r="AA85" s="54">
        <f t="shared" si="67"/>
        <v>195042</v>
      </c>
      <c r="AB85" s="55">
        <f t="shared" si="66"/>
        <v>0.79709838521562071</v>
      </c>
    </row>
    <row r="86" spans="1:28" ht="24.95" customHeight="1">
      <c r="A86" s="32" t="e">
        <f>+CONCATENATE(#REF!,"=",J86)</f>
        <v>#REF!</v>
      </c>
      <c r="B86" s="56" t="str">
        <f t="shared" si="63"/>
        <v>A-02-02-02-009-002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34</v>
      </c>
      <c r="I86" s="57"/>
      <c r="J86" s="57">
        <v>10</v>
      </c>
      <c r="K86" s="58" t="s">
        <v>29</v>
      </c>
      <c r="L86" s="59" t="s">
        <v>121</v>
      </c>
      <c r="M86" s="60">
        <v>1250000000</v>
      </c>
      <c r="N86" s="60"/>
      <c r="O86" s="60"/>
      <c r="P86" s="60"/>
      <c r="Q86" s="60">
        <f>380000000+50000000+250000000+70000000</f>
        <v>750000000</v>
      </c>
      <c r="R86" s="61"/>
      <c r="S86" s="60">
        <f>+M86-R86+N86-O86+P86-Q86</f>
        <v>500000000</v>
      </c>
      <c r="T86" s="60">
        <v>500000000</v>
      </c>
      <c r="U86" s="60">
        <f t="shared" si="9"/>
        <v>0</v>
      </c>
      <c r="V86" s="62">
        <f t="shared" si="68"/>
        <v>1</v>
      </c>
      <c r="W86" s="60">
        <v>500000000</v>
      </c>
      <c r="X86" s="60">
        <f t="shared" si="12"/>
        <v>0</v>
      </c>
      <c r="Y86" s="62">
        <f t="shared" si="20"/>
        <v>0</v>
      </c>
      <c r="Z86" s="60">
        <v>500000000</v>
      </c>
      <c r="AA86" s="60">
        <f t="shared" ref="AA86:AA91" si="69">+W86-Z86</f>
        <v>0</v>
      </c>
      <c r="AB86" s="62">
        <f t="shared" si="66"/>
        <v>1</v>
      </c>
    </row>
    <row r="87" spans="1:28" ht="24.95" customHeight="1">
      <c r="A87" s="32" t="e">
        <f>+CONCATENATE(#REF!,"=",J87)</f>
        <v>#REF!</v>
      </c>
      <c r="B87" s="56" t="str">
        <f t="shared" si="63"/>
        <v>A-02-02-02-009-003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36</v>
      </c>
      <c r="I87" s="57"/>
      <c r="J87" s="57">
        <v>10</v>
      </c>
      <c r="K87" s="58" t="s">
        <v>29</v>
      </c>
      <c r="L87" s="59" t="s">
        <v>122</v>
      </c>
      <c r="M87" s="60">
        <v>300000000</v>
      </c>
      <c r="N87" s="60"/>
      <c r="O87" s="60"/>
      <c r="P87" s="60">
        <v>45000000</v>
      </c>
      <c r="Q87" s="60">
        <f>12978634+110000000</f>
        <v>122978634</v>
      </c>
      <c r="R87" s="61"/>
      <c r="S87" s="60">
        <f>+M87-R87+N87-O87+P87-Q87</f>
        <v>222021366</v>
      </c>
      <c r="T87" s="60">
        <v>199217250</v>
      </c>
      <c r="U87" s="60">
        <f t="shared" si="9"/>
        <v>22804116</v>
      </c>
      <c r="V87" s="62">
        <f t="shared" si="68"/>
        <v>0.89728864203096559</v>
      </c>
      <c r="W87" s="60">
        <v>112099235</v>
      </c>
      <c r="X87" s="60">
        <f t="shared" si="12"/>
        <v>87118015</v>
      </c>
      <c r="Y87" s="62">
        <f t="shared" si="20"/>
        <v>0.43730156399608971</v>
      </c>
      <c r="Z87" s="60">
        <v>112099235</v>
      </c>
      <c r="AA87" s="60">
        <f t="shared" si="69"/>
        <v>0</v>
      </c>
      <c r="AB87" s="62">
        <f t="shared" si="66"/>
        <v>0.56269843600391034</v>
      </c>
    </row>
    <row r="88" spans="1:28" ht="24.95" customHeight="1">
      <c r="A88" s="32" t="e">
        <f>+CONCATENATE(#REF!,"=",J88)</f>
        <v>#REF!</v>
      </c>
      <c r="B88" s="56" t="str">
        <f t="shared" si="63"/>
        <v>A-02-02-02-009-004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38</v>
      </c>
      <c r="I88" s="57"/>
      <c r="J88" s="57">
        <v>10</v>
      </c>
      <c r="K88" s="58" t="s">
        <v>29</v>
      </c>
      <c r="L88" s="59" t="s">
        <v>123</v>
      </c>
      <c r="M88" s="60">
        <v>87500000</v>
      </c>
      <c r="N88" s="60"/>
      <c r="O88" s="60"/>
      <c r="P88" s="60"/>
      <c r="Q88" s="60">
        <f>21500000</f>
        <v>21500000</v>
      </c>
      <c r="R88" s="61"/>
      <c r="S88" s="60">
        <f>+M88-R88+N88-O88+P88-Q88</f>
        <v>66000000</v>
      </c>
      <c r="T88" s="60">
        <v>53182624.560000002</v>
      </c>
      <c r="U88" s="60">
        <f t="shared" si="9"/>
        <v>12817375.439999998</v>
      </c>
      <c r="V88" s="62">
        <f t="shared" si="68"/>
        <v>0.80579734181818186</v>
      </c>
      <c r="W88" s="60">
        <v>53098513.560000002</v>
      </c>
      <c r="X88" s="60">
        <f t="shared" si="12"/>
        <v>84111</v>
      </c>
      <c r="Y88" s="62">
        <f t="shared" si="20"/>
        <v>1.5815503784531539E-3</v>
      </c>
      <c r="Z88" s="60">
        <v>52903471.560000002</v>
      </c>
      <c r="AA88" s="60">
        <f t="shared" si="69"/>
        <v>195042</v>
      </c>
      <c r="AB88" s="62">
        <f t="shared" si="66"/>
        <v>0.99475104881886633</v>
      </c>
    </row>
    <row r="89" spans="1:28" ht="24.95" customHeight="1">
      <c r="A89" s="32" t="e">
        <f>+CONCATENATE(#REF!,"=",J89)</f>
        <v>#REF!</v>
      </c>
      <c r="B89" s="56" t="str">
        <f t="shared" si="63"/>
        <v>A-02-02-02-009-006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42</v>
      </c>
      <c r="I89" s="57"/>
      <c r="J89" s="57">
        <v>10</v>
      </c>
      <c r="K89" s="58" t="s">
        <v>29</v>
      </c>
      <c r="L89" s="59" t="s">
        <v>124</v>
      </c>
      <c r="M89" s="60">
        <v>1250000000</v>
      </c>
      <c r="N89" s="60"/>
      <c r="O89" s="60"/>
      <c r="P89" s="60"/>
      <c r="Q89" s="60">
        <f>406713685</f>
        <v>406713685</v>
      </c>
      <c r="R89" s="61"/>
      <c r="S89" s="60">
        <f>+M89-R89+N89-O89+P89-Q89</f>
        <v>843286315</v>
      </c>
      <c r="T89" s="60">
        <v>121529050</v>
      </c>
      <c r="U89" s="60">
        <f t="shared" si="9"/>
        <v>721757265</v>
      </c>
      <c r="V89" s="62">
        <f t="shared" si="68"/>
        <v>0.14411362764733116</v>
      </c>
      <c r="W89" s="60">
        <v>31604628</v>
      </c>
      <c r="X89" s="60">
        <f t="shared" si="12"/>
        <v>89924422</v>
      </c>
      <c r="Y89" s="62">
        <f t="shared" si="20"/>
        <v>0.73994178346658679</v>
      </c>
      <c r="Z89" s="60">
        <v>31604628</v>
      </c>
      <c r="AA89" s="60">
        <f t="shared" si="69"/>
        <v>0</v>
      </c>
      <c r="AB89" s="62">
        <f t="shared" si="66"/>
        <v>0.26005821653341321</v>
      </c>
    </row>
    <row r="90" spans="1:28" ht="24.95" customHeight="1">
      <c r="A90" s="32" t="e">
        <f>+CONCATENATE(#REF!,"=",J90)</f>
        <v>#REF!</v>
      </c>
      <c r="B90" s="56" t="str">
        <f t="shared" si="63"/>
        <v>A-02-02-02-009-007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48</v>
      </c>
      <c r="H90" s="57" t="s">
        <v>44</v>
      </c>
      <c r="I90" s="57"/>
      <c r="J90" s="57">
        <v>10</v>
      </c>
      <c r="K90" s="58" t="s">
        <v>29</v>
      </c>
      <c r="L90" s="59" t="s">
        <v>125</v>
      </c>
      <c r="M90" s="60">
        <v>45000000</v>
      </c>
      <c r="N90" s="60"/>
      <c r="O90" s="60"/>
      <c r="P90" s="60"/>
      <c r="Q90" s="60">
        <v>23566630</v>
      </c>
      <c r="R90" s="61"/>
      <c r="S90" s="60">
        <f>+M90-R90+N90-O90+P90-Q90</f>
        <v>21433370</v>
      </c>
      <c r="T90" s="60">
        <v>0</v>
      </c>
      <c r="U90" s="60">
        <f>+S90-T90</f>
        <v>21433370</v>
      </c>
      <c r="V90" s="62">
        <f t="shared" si="68"/>
        <v>0</v>
      </c>
      <c r="W90" s="60">
        <v>0</v>
      </c>
      <c r="X90" s="60">
        <f t="shared" si="12"/>
        <v>0</v>
      </c>
      <c r="Y90" s="62">
        <f t="shared" si="20"/>
        <v>0</v>
      </c>
      <c r="Z90" s="60">
        <v>0</v>
      </c>
      <c r="AA90" s="60">
        <f t="shared" si="69"/>
        <v>0</v>
      </c>
      <c r="AB90" s="62">
        <f t="shared" si="66"/>
        <v>0</v>
      </c>
    </row>
    <row r="91" spans="1:28" ht="24.95" customHeight="1">
      <c r="A91" s="32" t="e">
        <f>+CONCATENATE(#REF!,"=",J91)</f>
        <v>#REF!</v>
      </c>
      <c r="B91" s="56" t="str">
        <f>CONCATENATE(C91,"-",D91,"-",E91,"-",F91,"-",G91)</f>
        <v>A-02-02-02-010</v>
      </c>
      <c r="C91" s="57" t="s">
        <v>23</v>
      </c>
      <c r="D91" s="57" t="s">
        <v>54</v>
      </c>
      <c r="E91" s="57" t="s">
        <v>54</v>
      </c>
      <c r="F91" s="57" t="s">
        <v>54</v>
      </c>
      <c r="G91" s="57" t="s">
        <v>50</v>
      </c>
      <c r="H91" s="57"/>
      <c r="I91" s="57"/>
      <c r="J91" s="57" t="s">
        <v>28</v>
      </c>
      <c r="K91" s="58" t="s">
        <v>29</v>
      </c>
      <c r="L91" s="65" t="s">
        <v>126</v>
      </c>
      <c r="M91" s="66">
        <v>922000000</v>
      </c>
      <c r="N91" s="66"/>
      <c r="O91" s="66"/>
      <c r="P91" s="66"/>
      <c r="Q91" s="66"/>
      <c r="R91" s="744"/>
      <c r="S91" s="66">
        <f t="shared" ref="S91" si="70">+M91+N91-O91+P91-Q91-R91</f>
        <v>922000000</v>
      </c>
      <c r="T91" s="66">
        <v>764480776</v>
      </c>
      <c r="U91" s="66">
        <f t="shared" ref="U91" si="71">+S91-T91</f>
        <v>157519224</v>
      </c>
      <c r="V91" s="67">
        <f t="shared" si="68"/>
        <v>0.82915485466377437</v>
      </c>
      <c r="W91" s="66">
        <v>709191014</v>
      </c>
      <c r="X91" s="66">
        <f t="shared" si="12"/>
        <v>55289762</v>
      </c>
      <c r="Y91" s="67">
        <f t="shared" si="20"/>
        <v>7.232328625618703E-2</v>
      </c>
      <c r="Z91" s="66">
        <v>709191014</v>
      </c>
      <c r="AA91" s="66">
        <f t="shared" si="69"/>
        <v>0</v>
      </c>
      <c r="AB91" s="67">
        <f t="shared" si="66"/>
        <v>0.927676713743813</v>
      </c>
    </row>
    <row r="92" spans="1:28" ht="24" customHeight="1">
      <c r="A92" s="32" t="e">
        <f>+CONCATENATE(#REF!,"=",J92)</f>
        <v>#REF!</v>
      </c>
      <c r="B92" s="38" t="str">
        <f>CONCATENATE(C92,"-",D92)</f>
        <v>A-03</v>
      </c>
      <c r="C92" s="39" t="s">
        <v>23</v>
      </c>
      <c r="D92" s="39" t="s">
        <v>65</v>
      </c>
      <c r="E92" s="39"/>
      <c r="F92" s="39"/>
      <c r="G92" s="39"/>
      <c r="H92" s="39"/>
      <c r="I92" s="39"/>
      <c r="J92" s="40"/>
      <c r="K92" s="40"/>
      <c r="L92" s="38" t="s">
        <v>127</v>
      </c>
      <c r="M92" s="41">
        <f>+M93+M100+M106</f>
        <v>13468000000</v>
      </c>
      <c r="N92" s="740">
        <f t="shared" ref="N92:U92" si="72">+N93+N100+N106</f>
        <v>0</v>
      </c>
      <c r="O92" s="740">
        <f t="shared" si="72"/>
        <v>0</v>
      </c>
      <c r="P92" s="41">
        <f t="shared" si="72"/>
        <v>75000000</v>
      </c>
      <c r="Q92" s="41">
        <f t="shared" si="72"/>
        <v>75000000</v>
      </c>
      <c r="R92" s="41">
        <f t="shared" si="72"/>
        <v>10390000000</v>
      </c>
      <c r="S92" s="41">
        <f t="shared" si="72"/>
        <v>3078000000</v>
      </c>
      <c r="T92" s="41">
        <f t="shared" si="72"/>
        <v>2747683228.73</v>
      </c>
      <c r="U92" s="41">
        <f t="shared" si="72"/>
        <v>330316771.26999998</v>
      </c>
      <c r="V92" s="42">
        <f t="shared" si="68"/>
        <v>0.89268460972384667</v>
      </c>
      <c r="W92" s="41">
        <f t="shared" ref="W92:X92" si="73">+W93+W100+W106</f>
        <v>2363731241.73</v>
      </c>
      <c r="X92" s="41">
        <f t="shared" si="73"/>
        <v>383951987</v>
      </c>
      <c r="Y92" s="42">
        <f t="shared" si="20"/>
        <v>0.13973662720118779</v>
      </c>
      <c r="Z92" s="41">
        <f t="shared" ref="Z92:AA92" si="74">+Z93+Z100+Z106</f>
        <v>2363731241.73</v>
      </c>
      <c r="AA92" s="41">
        <f t="shared" si="74"/>
        <v>0</v>
      </c>
      <c r="AB92" s="42">
        <f t="shared" si="66"/>
        <v>0.86026337279881226</v>
      </c>
    </row>
    <row r="93" spans="1:28" ht="19.5" customHeight="1">
      <c r="A93" s="32" t="e">
        <f>+CONCATENATE(#REF!,"=",J93)</f>
        <v>#REF!</v>
      </c>
      <c r="B93" s="43" t="str">
        <f>CONCATENATE(C93,"-",D93,"-",E93)</f>
        <v>A-03-03</v>
      </c>
      <c r="C93" s="44" t="s">
        <v>23</v>
      </c>
      <c r="D93" s="44" t="s">
        <v>65</v>
      </c>
      <c r="E93" s="44" t="s">
        <v>65</v>
      </c>
      <c r="F93" s="44"/>
      <c r="G93" s="44"/>
      <c r="H93" s="44"/>
      <c r="I93" s="44"/>
      <c r="J93" s="45"/>
      <c r="K93" s="45"/>
      <c r="L93" s="43" t="s">
        <v>128</v>
      </c>
      <c r="M93" s="46">
        <f>+M94</f>
        <v>10390000000</v>
      </c>
      <c r="N93" s="741">
        <f t="shared" ref="N93:U93" si="75">+N94</f>
        <v>0</v>
      </c>
      <c r="O93" s="741">
        <f t="shared" si="75"/>
        <v>0</v>
      </c>
      <c r="P93" s="741">
        <f t="shared" si="75"/>
        <v>0</v>
      </c>
      <c r="Q93" s="741">
        <f t="shared" si="75"/>
        <v>0</v>
      </c>
      <c r="R93" s="46">
        <f t="shared" si="75"/>
        <v>10390000000</v>
      </c>
      <c r="S93" s="46">
        <f t="shared" si="75"/>
        <v>0</v>
      </c>
      <c r="T93" s="46">
        <f t="shared" si="75"/>
        <v>0</v>
      </c>
      <c r="U93" s="46">
        <f t="shared" si="75"/>
        <v>0</v>
      </c>
      <c r="V93" s="47">
        <f t="shared" si="68"/>
        <v>0</v>
      </c>
      <c r="W93" s="46">
        <f t="shared" ref="W93:X93" si="76">+W94</f>
        <v>0</v>
      </c>
      <c r="X93" s="46">
        <f t="shared" si="76"/>
        <v>0</v>
      </c>
      <c r="Y93" s="47">
        <f t="shared" si="20"/>
        <v>0</v>
      </c>
      <c r="Z93" s="46">
        <f t="shared" ref="Z93:AA93" si="77">+Z94</f>
        <v>0</v>
      </c>
      <c r="AA93" s="46">
        <f t="shared" si="77"/>
        <v>0</v>
      </c>
      <c r="AB93" s="47">
        <f t="shared" si="66"/>
        <v>0</v>
      </c>
    </row>
    <row r="94" spans="1:28" ht="20.25" customHeight="1">
      <c r="A94" s="32" t="e">
        <f>+CONCATENATE(#REF!,"=",J94)</f>
        <v>#REF!</v>
      </c>
      <c r="B94" s="48" t="str">
        <f>CONCATENATE(C94,"-",D94,"-",E94,"-",F94)</f>
        <v>A-03-03-01</v>
      </c>
      <c r="C94" s="48" t="s">
        <v>23</v>
      </c>
      <c r="D94" s="48" t="s">
        <v>65</v>
      </c>
      <c r="E94" s="48" t="s">
        <v>65</v>
      </c>
      <c r="F94" s="48" t="s">
        <v>25</v>
      </c>
      <c r="G94" s="48"/>
      <c r="H94" s="48"/>
      <c r="I94" s="48"/>
      <c r="J94" s="48"/>
      <c r="K94" s="48"/>
      <c r="L94" s="48" t="s">
        <v>129</v>
      </c>
      <c r="M94" s="50">
        <f>SUM(M95:M99)</f>
        <v>10390000000</v>
      </c>
      <c r="N94" s="742">
        <f t="shared" ref="N94:U94" si="78">SUM(N95:N99)</f>
        <v>0</v>
      </c>
      <c r="O94" s="742">
        <f t="shared" si="78"/>
        <v>0</v>
      </c>
      <c r="P94" s="742">
        <f t="shared" si="78"/>
        <v>0</v>
      </c>
      <c r="Q94" s="742">
        <f t="shared" si="78"/>
        <v>0</v>
      </c>
      <c r="R94" s="50">
        <f t="shared" si="78"/>
        <v>10390000000</v>
      </c>
      <c r="S94" s="50">
        <f t="shared" si="78"/>
        <v>0</v>
      </c>
      <c r="T94" s="50">
        <f t="shared" si="78"/>
        <v>0</v>
      </c>
      <c r="U94" s="50">
        <f t="shared" si="78"/>
        <v>0</v>
      </c>
      <c r="V94" s="51">
        <f t="shared" si="68"/>
        <v>0</v>
      </c>
      <c r="W94" s="50">
        <f t="shared" ref="W94:X94" si="79">SUM(W95:W99)</f>
        <v>0</v>
      </c>
      <c r="X94" s="50">
        <f t="shared" si="79"/>
        <v>0</v>
      </c>
      <c r="Y94" s="51">
        <f t="shared" si="20"/>
        <v>0</v>
      </c>
      <c r="Z94" s="50">
        <f t="shared" ref="Z94:AA94" si="80">SUM(Z95:Z99)</f>
        <v>0</v>
      </c>
      <c r="AA94" s="50">
        <f t="shared" si="80"/>
        <v>0</v>
      </c>
      <c r="AB94" s="51">
        <f t="shared" si="66"/>
        <v>0</v>
      </c>
    </row>
    <row r="95" spans="1:28" ht="24.95" customHeight="1">
      <c r="A95" s="32" t="e">
        <f>+CONCATENATE(#REF!,"=",J95)</f>
        <v>#REF!</v>
      </c>
      <c r="B95" s="56" t="str">
        <f t="shared" ref="B95:B99" si="81">CONCATENATE(C95,"-",D95,"-",E95,"-",F95,"-",G95)</f>
        <v>A-03-03-01-082</v>
      </c>
      <c r="C95" s="57" t="s">
        <v>23</v>
      </c>
      <c r="D95" s="57" t="s">
        <v>65</v>
      </c>
      <c r="E95" s="57" t="s">
        <v>65</v>
      </c>
      <c r="F95" s="57" t="s">
        <v>25</v>
      </c>
      <c r="G95" s="57" t="s">
        <v>130</v>
      </c>
      <c r="H95" s="57"/>
      <c r="I95" s="57"/>
      <c r="J95" s="57">
        <v>54</v>
      </c>
      <c r="K95" s="58" t="s">
        <v>29</v>
      </c>
      <c r="L95" s="59" t="s">
        <v>131</v>
      </c>
      <c r="M95" s="60"/>
      <c r="N95" s="60"/>
      <c r="O95" s="60"/>
      <c r="P95" s="60"/>
      <c r="Q95" s="60"/>
      <c r="R95" s="61"/>
      <c r="S95" s="60">
        <f>+M95+N95-O95+P95-Q95-R95</f>
        <v>0</v>
      </c>
      <c r="T95" s="60"/>
      <c r="U95" s="60">
        <f t="shared" ref="U95:U99" si="82">+S95-T95</f>
        <v>0</v>
      </c>
      <c r="V95" s="62">
        <f t="shared" si="68"/>
        <v>0</v>
      </c>
      <c r="W95" s="60"/>
      <c r="X95" s="60">
        <f t="shared" ref="X95:X99" si="83">+T95-W95</f>
        <v>0</v>
      </c>
      <c r="Y95" s="62">
        <f t="shared" ref="Y95:Y158" si="84">+IF(T95&gt;0,X95/T95,0)</f>
        <v>0</v>
      </c>
      <c r="Z95" s="60"/>
      <c r="AA95" s="60">
        <f t="shared" ref="AA95:AA99" si="85">+W95-Z95</f>
        <v>0</v>
      </c>
      <c r="AB95" s="62">
        <f t="shared" si="66"/>
        <v>0</v>
      </c>
    </row>
    <row r="96" spans="1:28" ht="24.95" customHeight="1">
      <c r="A96" s="32" t="e">
        <f>+CONCATENATE(#REF!,"=",J96)</f>
        <v>#REF!</v>
      </c>
      <c r="B96" s="56" t="str">
        <f t="shared" si="81"/>
        <v>A-03-03-01-082</v>
      </c>
      <c r="C96" s="57" t="s">
        <v>23</v>
      </c>
      <c r="D96" s="57" t="s">
        <v>65</v>
      </c>
      <c r="E96" s="57" t="s">
        <v>65</v>
      </c>
      <c r="F96" s="57" t="s">
        <v>25</v>
      </c>
      <c r="G96" s="57" t="s">
        <v>130</v>
      </c>
      <c r="H96" s="57"/>
      <c r="I96" s="57"/>
      <c r="J96" s="57">
        <v>54</v>
      </c>
      <c r="K96" s="58" t="s">
        <v>29</v>
      </c>
      <c r="L96" s="59" t="s">
        <v>132</v>
      </c>
      <c r="M96" s="60"/>
      <c r="N96" s="60"/>
      <c r="O96" s="60"/>
      <c r="P96" s="60"/>
      <c r="Q96" s="60"/>
      <c r="R96" s="61"/>
      <c r="S96" s="60">
        <f>+M96+N96-O96+P96-Q96-R96</f>
        <v>0</v>
      </c>
      <c r="T96" s="60"/>
      <c r="U96" s="60">
        <f t="shared" si="82"/>
        <v>0</v>
      </c>
      <c r="V96" s="62">
        <f t="shared" si="68"/>
        <v>0</v>
      </c>
      <c r="W96" s="60"/>
      <c r="X96" s="60">
        <f t="shared" si="83"/>
        <v>0</v>
      </c>
      <c r="Y96" s="62">
        <f t="shared" si="84"/>
        <v>0</v>
      </c>
      <c r="Z96" s="60"/>
      <c r="AA96" s="60">
        <f t="shared" si="85"/>
        <v>0</v>
      </c>
      <c r="AB96" s="62">
        <f t="shared" si="66"/>
        <v>0</v>
      </c>
    </row>
    <row r="97" spans="1:30" ht="24.95" customHeight="1">
      <c r="A97" s="32" t="e">
        <f>+CONCATENATE(#REF!,"=",J97)</f>
        <v>#REF!</v>
      </c>
      <c r="B97" s="56" t="str">
        <f t="shared" si="81"/>
        <v>A-03-03-01-082</v>
      </c>
      <c r="C97" s="57" t="s">
        <v>23</v>
      </c>
      <c r="D97" s="57" t="s">
        <v>65</v>
      </c>
      <c r="E97" s="57" t="s">
        <v>65</v>
      </c>
      <c r="F97" s="57" t="s">
        <v>25</v>
      </c>
      <c r="G97" s="57" t="s">
        <v>130</v>
      </c>
      <c r="H97" s="57"/>
      <c r="I97" s="57"/>
      <c r="J97" s="57">
        <v>54</v>
      </c>
      <c r="K97" s="58" t="s">
        <v>29</v>
      </c>
      <c r="L97" s="59" t="s">
        <v>133</v>
      </c>
      <c r="M97" s="60"/>
      <c r="N97" s="60"/>
      <c r="O97" s="60"/>
      <c r="P97" s="60"/>
      <c r="Q97" s="60"/>
      <c r="R97" s="61"/>
      <c r="S97" s="60">
        <f>+M97+N97-O97+P97-Q97-R97</f>
        <v>0</v>
      </c>
      <c r="T97" s="60"/>
      <c r="U97" s="60">
        <f t="shared" si="82"/>
        <v>0</v>
      </c>
      <c r="V97" s="62">
        <f t="shared" si="68"/>
        <v>0</v>
      </c>
      <c r="W97" s="60"/>
      <c r="X97" s="60">
        <f t="shared" si="83"/>
        <v>0</v>
      </c>
      <c r="Y97" s="62">
        <f t="shared" si="84"/>
        <v>0</v>
      </c>
      <c r="Z97" s="60"/>
      <c r="AA97" s="60">
        <f t="shared" si="85"/>
        <v>0</v>
      </c>
      <c r="AB97" s="62">
        <f t="shared" si="66"/>
        <v>0</v>
      </c>
    </row>
    <row r="98" spans="1:30" ht="24.95" customHeight="1">
      <c r="A98" s="32" t="e">
        <f>+CONCATENATE(#REF!,"=",J98)</f>
        <v>#REF!</v>
      </c>
      <c r="B98" s="56" t="str">
        <f t="shared" si="81"/>
        <v>A-03-03-01-999</v>
      </c>
      <c r="C98" s="57" t="s">
        <v>23</v>
      </c>
      <c r="D98" s="57" t="s">
        <v>65</v>
      </c>
      <c r="E98" s="57" t="s">
        <v>65</v>
      </c>
      <c r="F98" s="57" t="s">
        <v>25</v>
      </c>
      <c r="G98" s="57" t="s">
        <v>134</v>
      </c>
      <c r="H98" s="57"/>
      <c r="I98" s="57"/>
      <c r="J98" s="57" t="s">
        <v>28</v>
      </c>
      <c r="K98" s="58" t="s">
        <v>29</v>
      </c>
      <c r="L98" s="59" t="s">
        <v>135</v>
      </c>
      <c r="M98" s="60">
        <v>10390000000</v>
      </c>
      <c r="N98" s="60"/>
      <c r="O98" s="60"/>
      <c r="P98" s="60"/>
      <c r="Q98" s="60"/>
      <c r="R98" s="61">
        <v>10390000000</v>
      </c>
      <c r="S98" s="60">
        <f>+M98-R98+N98-O98+P98-Q98</f>
        <v>0</v>
      </c>
      <c r="T98" s="60">
        <v>0</v>
      </c>
      <c r="U98" s="60">
        <f t="shared" si="82"/>
        <v>0</v>
      </c>
      <c r="V98" s="62">
        <f t="shared" si="68"/>
        <v>0</v>
      </c>
      <c r="W98" s="60">
        <v>0</v>
      </c>
      <c r="X98" s="60">
        <f t="shared" si="83"/>
        <v>0</v>
      </c>
      <c r="Y98" s="62">
        <f t="shared" si="84"/>
        <v>0</v>
      </c>
      <c r="Z98" s="60">
        <v>0</v>
      </c>
      <c r="AA98" s="60">
        <f t="shared" si="85"/>
        <v>0</v>
      </c>
      <c r="AB98" s="62">
        <f t="shared" si="66"/>
        <v>0</v>
      </c>
    </row>
    <row r="99" spans="1:30" ht="24.95" customHeight="1">
      <c r="A99" s="32" t="e">
        <f>+CONCATENATE(#REF!,"=",J99)</f>
        <v>#REF!</v>
      </c>
      <c r="B99" s="56" t="str">
        <f t="shared" si="81"/>
        <v>A-03-03-01-999</v>
      </c>
      <c r="C99" s="57" t="s">
        <v>23</v>
      </c>
      <c r="D99" s="57" t="s">
        <v>65</v>
      </c>
      <c r="E99" s="57" t="s">
        <v>65</v>
      </c>
      <c r="F99" s="57" t="s">
        <v>25</v>
      </c>
      <c r="G99" s="57" t="s">
        <v>134</v>
      </c>
      <c r="H99" s="57"/>
      <c r="I99" s="57"/>
      <c r="J99" s="57">
        <v>11</v>
      </c>
      <c r="K99" s="58" t="s">
        <v>29</v>
      </c>
      <c r="L99" s="59" t="s">
        <v>135</v>
      </c>
      <c r="M99" s="60"/>
      <c r="N99" s="60"/>
      <c r="O99" s="60"/>
      <c r="P99" s="60"/>
      <c r="Q99" s="60"/>
      <c r="R99" s="61"/>
      <c r="S99" s="60">
        <f>+M99-R99+N99-O99+P99-Q99</f>
        <v>0</v>
      </c>
      <c r="T99" s="60"/>
      <c r="U99" s="60">
        <f t="shared" si="82"/>
        <v>0</v>
      </c>
      <c r="V99" s="62">
        <f t="shared" si="68"/>
        <v>0</v>
      </c>
      <c r="W99" s="60"/>
      <c r="X99" s="60">
        <f t="shared" si="83"/>
        <v>0</v>
      </c>
      <c r="Y99" s="62">
        <f t="shared" si="84"/>
        <v>0</v>
      </c>
      <c r="Z99" s="60"/>
      <c r="AA99" s="60">
        <f t="shared" si="85"/>
        <v>0</v>
      </c>
      <c r="AB99" s="62">
        <f t="shared" si="66"/>
        <v>0</v>
      </c>
    </row>
    <row r="100" spans="1:30" ht="24" customHeight="1">
      <c r="A100" s="32" t="e">
        <f>+CONCATENATE(#REF!,"=",J100)</f>
        <v>#REF!</v>
      </c>
      <c r="B100" s="43" t="str">
        <f>CONCATENATE(C100,"-",D100,"-",E100)</f>
        <v>A-03-04</v>
      </c>
      <c r="C100" s="44" t="s">
        <v>23</v>
      </c>
      <c r="D100" s="44" t="s">
        <v>65</v>
      </c>
      <c r="E100" s="44" t="s">
        <v>136</v>
      </c>
      <c r="F100" s="44"/>
      <c r="G100" s="44"/>
      <c r="H100" s="44"/>
      <c r="I100" s="44"/>
      <c r="J100" s="45"/>
      <c r="K100" s="45"/>
      <c r="L100" s="43" t="s">
        <v>137</v>
      </c>
      <c r="M100" s="46">
        <f>+M101</f>
        <v>719000000</v>
      </c>
      <c r="N100" s="741">
        <f t="shared" ref="N100:AA101" si="86">+N101</f>
        <v>0</v>
      </c>
      <c r="O100" s="741">
        <f t="shared" si="86"/>
        <v>0</v>
      </c>
      <c r="P100" s="46">
        <f t="shared" si="86"/>
        <v>75000000</v>
      </c>
      <c r="Q100" s="46">
        <f t="shared" si="86"/>
        <v>75000000</v>
      </c>
      <c r="R100" s="741">
        <f t="shared" si="86"/>
        <v>0</v>
      </c>
      <c r="S100" s="46">
        <f t="shared" si="86"/>
        <v>719000000</v>
      </c>
      <c r="T100" s="46">
        <f t="shared" si="86"/>
        <v>651551845</v>
      </c>
      <c r="U100" s="46">
        <f t="shared" si="86"/>
        <v>67448155</v>
      </c>
      <c r="V100" s="47">
        <f t="shared" si="68"/>
        <v>0.90619171766342144</v>
      </c>
      <c r="W100" s="46">
        <f t="shared" si="86"/>
        <v>267599858</v>
      </c>
      <c r="X100" s="46">
        <f t="shared" si="86"/>
        <v>383951987</v>
      </c>
      <c r="Y100" s="47">
        <f t="shared" si="84"/>
        <v>0.58928846560168979</v>
      </c>
      <c r="Z100" s="46">
        <f t="shared" si="86"/>
        <v>267599858</v>
      </c>
      <c r="AA100" s="46">
        <f t="shared" si="86"/>
        <v>0</v>
      </c>
      <c r="AB100" s="47">
        <f t="shared" si="66"/>
        <v>0.41071153439831026</v>
      </c>
    </row>
    <row r="101" spans="1:30" ht="21" customHeight="1">
      <c r="A101" s="32" t="e">
        <f>+CONCATENATE(#REF!,"=",J101)</f>
        <v>#REF!</v>
      </c>
      <c r="B101" s="48" t="str">
        <f>CONCATENATE(C101,"-",D101,"-",E101,"-",F101)</f>
        <v>A-03-04-02</v>
      </c>
      <c r="C101" s="48" t="s">
        <v>23</v>
      </c>
      <c r="D101" s="48" t="s">
        <v>65</v>
      </c>
      <c r="E101" s="48" t="s">
        <v>136</v>
      </c>
      <c r="F101" s="48" t="s">
        <v>54</v>
      </c>
      <c r="G101" s="48"/>
      <c r="H101" s="48"/>
      <c r="I101" s="48"/>
      <c r="J101" s="48" t="s">
        <v>28</v>
      </c>
      <c r="K101" s="48" t="s">
        <v>29</v>
      </c>
      <c r="L101" s="48" t="s">
        <v>138</v>
      </c>
      <c r="M101" s="50">
        <f>+M102</f>
        <v>719000000</v>
      </c>
      <c r="N101" s="742">
        <f t="shared" si="86"/>
        <v>0</v>
      </c>
      <c r="O101" s="742">
        <f t="shared" si="86"/>
        <v>0</v>
      </c>
      <c r="P101" s="50">
        <f t="shared" si="86"/>
        <v>75000000</v>
      </c>
      <c r="Q101" s="50">
        <f t="shared" si="86"/>
        <v>75000000</v>
      </c>
      <c r="R101" s="742">
        <f t="shared" si="86"/>
        <v>0</v>
      </c>
      <c r="S101" s="50">
        <f t="shared" si="86"/>
        <v>719000000</v>
      </c>
      <c r="T101" s="50">
        <f t="shared" si="86"/>
        <v>651551845</v>
      </c>
      <c r="U101" s="50">
        <f t="shared" si="86"/>
        <v>67448155</v>
      </c>
      <c r="V101" s="51">
        <f t="shared" si="68"/>
        <v>0.90619171766342144</v>
      </c>
      <c r="W101" s="50">
        <f t="shared" si="86"/>
        <v>267599858</v>
      </c>
      <c r="X101" s="50">
        <f t="shared" si="86"/>
        <v>383951987</v>
      </c>
      <c r="Y101" s="51">
        <f t="shared" si="84"/>
        <v>0.58928846560168979</v>
      </c>
      <c r="Z101" s="50">
        <f t="shared" si="86"/>
        <v>267599858</v>
      </c>
      <c r="AA101" s="50">
        <f t="shared" si="86"/>
        <v>0</v>
      </c>
      <c r="AB101" s="51">
        <f t="shared" si="66"/>
        <v>0.41071153439831026</v>
      </c>
    </row>
    <row r="102" spans="1:30" ht="21" customHeight="1">
      <c r="A102" s="32" t="e">
        <f>+CONCATENATE(#REF!,"=",J102)</f>
        <v>#REF!</v>
      </c>
      <c r="B102" s="52" t="str">
        <f>CONCATENATE(C102,"-",D102,"-",E102,"-",F102,"-",G102)</f>
        <v>A-03-04-02-012</v>
      </c>
      <c r="C102" s="52" t="s">
        <v>23</v>
      </c>
      <c r="D102" s="52" t="s">
        <v>65</v>
      </c>
      <c r="E102" s="52" t="s">
        <v>136</v>
      </c>
      <c r="F102" s="52" t="s">
        <v>54</v>
      </c>
      <c r="G102" s="52" t="s">
        <v>52</v>
      </c>
      <c r="H102" s="52"/>
      <c r="I102" s="52"/>
      <c r="J102" s="52" t="s">
        <v>28</v>
      </c>
      <c r="K102" s="52" t="s">
        <v>29</v>
      </c>
      <c r="L102" s="52" t="s">
        <v>139</v>
      </c>
      <c r="M102" s="54">
        <f>SUM(M103:M105)</f>
        <v>719000000</v>
      </c>
      <c r="N102" s="743">
        <f t="shared" ref="N102:U102" si="87">SUM(N103:N105)</f>
        <v>0</v>
      </c>
      <c r="O102" s="743">
        <f t="shared" si="87"/>
        <v>0</v>
      </c>
      <c r="P102" s="54">
        <f t="shared" si="87"/>
        <v>75000000</v>
      </c>
      <c r="Q102" s="54">
        <f t="shared" si="87"/>
        <v>75000000</v>
      </c>
      <c r="R102" s="743">
        <f t="shared" si="87"/>
        <v>0</v>
      </c>
      <c r="S102" s="54">
        <f t="shared" si="87"/>
        <v>719000000</v>
      </c>
      <c r="T102" s="54">
        <f t="shared" si="87"/>
        <v>651551845</v>
      </c>
      <c r="U102" s="54">
        <f t="shared" si="87"/>
        <v>67448155</v>
      </c>
      <c r="V102" s="55">
        <f t="shared" si="68"/>
        <v>0.90619171766342144</v>
      </c>
      <c r="W102" s="54">
        <f t="shared" ref="W102:X102" si="88">SUM(W103:W105)</f>
        <v>267599858</v>
      </c>
      <c r="X102" s="54">
        <f t="shared" si="88"/>
        <v>383951987</v>
      </c>
      <c r="Y102" s="55">
        <f t="shared" si="84"/>
        <v>0.58928846560168979</v>
      </c>
      <c r="Z102" s="54">
        <f>SUM(Z103:Z105)</f>
        <v>267599858</v>
      </c>
      <c r="AA102" s="54">
        <f>SUM(AA103:AA105)</f>
        <v>0</v>
      </c>
      <c r="AB102" s="55">
        <f t="shared" si="66"/>
        <v>0.41071153439831026</v>
      </c>
    </row>
    <row r="103" spans="1:30" ht="24.95" customHeight="1">
      <c r="A103" s="32" t="e">
        <f>+CONCATENATE(#REF!,"=",J103)</f>
        <v>#REF!</v>
      </c>
      <c r="B103" s="56" t="str">
        <f t="shared" ref="B103:B104" si="89">CONCATENATE(C103,"-",D103,"-",E103,"-",F103,"-",G103,"-",H103)</f>
        <v>A-03-04-02-012-001</v>
      </c>
      <c r="C103" s="57" t="s">
        <v>23</v>
      </c>
      <c r="D103" s="57" t="s">
        <v>65</v>
      </c>
      <c r="E103" s="57" t="s">
        <v>136</v>
      </c>
      <c r="F103" s="57" t="s">
        <v>54</v>
      </c>
      <c r="G103" s="57" t="s">
        <v>52</v>
      </c>
      <c r="H103" s="57" t="s">
        <v>31</v>
      </c>
      <c r="I103" s="57"/>
      <c r="J103" s="57" t="s">
        <v>28</v>
      </c>
      <c r="K103" s="58" t="s">
        <v>29</v>
      </c>
      <c r="L103" s="59" t="s">
        <v>140</v>
      </c>
      <c r="M103" s="60">
        <v>359500000</v>
      </c>
      <c r="N103" s="60"/>
      <c r="O103" s="60"/>
      <c r="P103" s="60">
        <f>75000000</f>
        <v>75000000</v>
      </c>
      <c r="Q103" s="60"/>
      <c r="R103" s="61"/>
      <c r="S103" s="60">
        <f>+M103-R103+N103-O103+P103-Q103</f>
        <v>434500000</v>
      </c>
      <c r="T103" s="60">
        <v>417208089</v>
      </c>
      <c r="U103" s="60">
        <f t="shared" si="9"/>
        <v>17291911</v>
      </c>
      <c r="V103" s="62">
        <f t="shared" si="68"/>
        <v>0.96020273647871113</v>
      </c>
      <c r="W103" s="60">
        <v>214131215</v>
      </c>
      <c r="X103" s="60">
        <f t="shared" si="12"/>
        <v>203076874</v>
      </c>
      <c r="Y103" s="62">
        <f t="shared" si="84"/>
        <v>0.48675200542432434</v>
      </c>
      <c r="Z103" s="60">
        <v>214131215</v>
      </c>
      <c r="AA103" s="60">
        <f t="shared" si="10"/>
        <v>0</v>
      </c>
      <c r="AB103" s="62">
        <f t="shared" si="66"/>
        <v>0.5132479945756756</v>
      </c>
    </row>
    <row r="104" spans="1:30" ht="24.95" customHeight="1">
      <c r="A104" s="32" t="e">
        <f>+CONCATENATE(#REF!,"=",J104)</f>
        <v>#REF!</v>
      </c>
      <c r="B104" s="56" t="str">
        <f t="shared" si="89"/>
        <v>A-03-04-02-012-002</v>
      </c>
      <c r="C104" s="57" t="s">
        <v>23</v>
      </c>
      <c r="D104" s="57" t="s">
        <v>65</v>
      </c>
      <c r="E104" s="57" t="s">
        <v>136</v>
      </c>
      <c r="F104" s="57" t="s">
        <v>54</v>
      </c>
      <c r="G104" s="57" t="s">
        <v>52</v>
      </c>
      <c r="H104" s="57" t="s">
        <v>34</v>
      </c>
      <c r="I104" s="57"/>
      <c r="J104" s="57" t="s">
        <v>28</v>
      </c>
      <c r="K104" s="58" t="s">
        <v>29</v>
      </c>
      <c r="L104" s="59" t="s">
        <v>141</v>
      </c>
      <c r="M104" s="60">
        <v>359500000</v>
      </c>
      <c r="N104" s="60"/>
      <c r="O104" s="60"/>
      <c r="P104" s="60"/>
      <c r="Q104" s="60">
        <f>75000000</f>
        <v>75000000</v>
      </c>
      <c r="R104" s="61"/>
      <c r="S104" s="60">
        <f>+M104-R104+N104-O104+P104-Q104</f>
        <v>284500000</v>
      </c>
      <c r="T104" s="60">
        <v>234343756</v>
      </c>
      <c r="U104" s="60">
        <f t="shared" si="9"/>
        <v>50156244</v>
      </c>
      <c r="V104" s="62">
        <f t="shared" si="68"/>
        <v>0.82370388752196833</v>
      </c>
      <c r="W104" s="60">
        <v>53468643</v>
      </c>
      <c r="X104" s="60">
        <f t="shared" si="12"/>
        <v>180875113</v>
      </c>
      <c r="Y104" s="62">
        <f t="shared" si="84"/>
        <v>0.77183670726861608</v>
      </c>
      <c r="Z104" s="60">
        <v>53468643</v>
      </c>
      <c r="AA104" s="60">
        <f t="shared" si="10"/>
        <v>0</v>
      </c>
      <c r="AB104" s="62">
        <f t="shared" si="66"/>
        <v>0.22816329273138389</v>
      </c>
    </row>
    <row r="105" spans="1:30" ht="24.95" hidden="1" customHeight="1">
      <c r="A105" s="32" t="e">
        <f>+CONCATENATE(#REF!,"=",J105)</f>
        <v>#REF!</v>
      </c>
      <c r="B105" s="56"/>
      <c r="C105" s="57" t="s">
        <v>23</v>
      </c>
      <c r="D105" s="57" t="s">
        <v>65</v>
      </c>
      <c r="E105" s="57" t="s">
        <v>136</v>
      </c>
      <c r="F105" s="57" t="s">
        <v>54</v>
      </c>
      <c r="G105" s="57" t="s">
        <v>142</v>
      </c>
      <c r="H105" s="57"/>
      <c r="I105" s="57"/>
      <c r="J105" s="57" t="s">
        <v>28</v>
      </c>
      <c r="K105" s="58" t="s">
        <v>29</v>
      </c>
      <c r="L105" s="59"/>
      <c r="M105" s="60">
        <v>0</v>
      </c>
      <c r="N105" s="60"/>
      <c r="O105" s="60"/>
      <c r="P105" s="60"/>
      <c r="Q105" s="60"/>
      <c r="R105" s="61"/>
      <c r="S105" s="60">
        <f t="shared" ref="S105" si="90">+M105+N105-O105+P105-Q105-R105</f>
        <v>0</v>
      </c>
      <c r="T105" s="60">
        <v>0</v>
      </c>
      <c r="U105" s="60">
        <f t="shared" si="9"/>
        <v>0</v>
      </c>
      <c r="V105" s="62">
        <f t="shared" si="68"/>
        <v>0</v>
      </c>
      <c r="W105" s="60">
        <v>0</v>
      </c>
      <c r="X105" s="60">
        <f t="shared" si="12"/>
        <v>0</v>
      </c>
      <c r="Y105" s="62">
        <f t="shared" si="84"/>
        <v>0</v>
      </c>
      <c r="Z105" s="60">
        <v>0</v>
      </c>
      <c r="AA105" s="60">
        <f t="shared" si="10"/>
        <v>0</v>
      </c>
      <c r="AB105" s="62">
        <f t="shared" si="66"/>
        <v>0</v>
      </c>
    </row>
    <row r="106" spans="1:30" ht="24" customHeight="1">
      <c r="A106" s="32" t="e">
        <f>+CONCATENATE(#REF!,"=",J106)</f>
        <v>#REF!</v>
      </c>
      <c r="B106" s="43" t="str">
        <f>CONCATENATE(C106,"-",D106,"-",E106)</f>
        <v>A-03-10</v>
      </c>
      <c r="C106" s="44" t="s">
        <v>23</v>
      </c>
      <c r="D106" s="44" t="s">
        <v>65</v>
      </c>
      <c r="E106" s="44" t="s">
        <v>28</v>
      </c>
      <c r="F106" s="44"/>
      <c r="G106" s="44"/>
      <c r="H106" s="44"/>
      <c r="I106" s="44"/>
      <c r="J106" s="45"/>
      <c r="K106" s="45"/>
      <c r="L106" s="43" t="s">
        <v>143</v>
      </c>
      <c r="M106" s="46">
        <f>+M107</f>
        <v>2359000000</v>
      </c>
      <c r="N106" s="741">
        <f t="shared" ref="N106:U106" si="91">+N107</f>
        <v>0</v>
      </c>
      <c r="O106" s="741">
        <f t="shared" si="91"/>
        <v>0</v>
      </c>
      <c r="P106" s="741">
        <f t="shared" si="91"/>
        <v>0</v>
      </c>
      <c r="Q106" s="741">
        <f t="shared" si="91"/>
        <v>0</v>
      </c>
      <c r="R106" s="741">
        <f t="shared" si="91"/>
        <v>0</v>
      </c>
      <c r="S106" s="46">
        <f t="shared" si="91"/>
        <v>2359000000</v>
      </c>
      <c r="T106" s="46">
        <f t="shared" si="91"/>
        <v>2096131383.73</v>
      </c>
      <c r="U106" s="46">
        <f t="shared" si="91"/>
        <v>262868616.26999998</v>
      </c>
      <c r="V106" s="47">
        <f t="shared" si="68"/>
        <v>0.88856777606189064</v>
      </c>
      <c r="W106" s="46">
        <f t="shared" ref="W106:AA106" si="92">+W107</f>
        <v>2096131383.73</v>
      </c>
      <c r="X106" s="46">
        <f t="shared" si="92"/>
        <v>0</v>
      </c>
      <c r="Y106" s="47">
        <f t="shared" si="84"/>
        <v>0</v>
      </c>
      <c r="Z106" s="46">
        <f t="shared" si="92"/>
        <v>2096131383.73</v>
      </c>
      <c r="AA106" s="46">
        <f t="shared" si="92"/>
        <v>0</v>
      </c>
      <c r="AB106" s="47">
        <f t="shared" si="66"/>
        <v>1</v>
      </c>
    </row>
    <row r="107" spans="1:30" ht="21.75" customHeight="1">
      <c r="A107" s="32" t="e">
        <f>+CONCATENATE(#REF!,"=",J107)</f>
        <v>#REF!</v>
      </c>
      <c r="B107" s="48" t="str">
        <f>CONCATENATE(C107,"-",D107,"-",E107,"-",F107)</f>
        <v>A-03-10-01</v>
      </c>
      <c r="C107" s="48" t="s">
        <v>23</v>
      </c>
      <c r="D107" s="48" t="s">
        <v>65</v>
      </c>
      <c r="E107" s="48" t="s">
        <v>28</v>
      </c>
      <c r="F107" s="48" t="s">
        <v>25</v>
      </c>
      <c r="G107" s="48"/>
      <c r="H107" s="48"/>
      <c r="I107" s="48"/>
      <c r="J107" s="48" t="s">
        <v>144</v>
      </c>
      <c r="K107" s="48" t="s">
        <v>29</v>
      </c>
      <c r="L107" s="48" t="s">
        <v>145</v>
      </c>
      <c r="M107" s="50">
        <f>SUM(M108:M109)</f>
        <v>2359000000</v>
      </c>
      <c r="N107" s="742">
        <f>SUM(N108:N109)</f>
        <v>0</v>
      </c>
      <c r="O107" s="742">
        <f t="shared" ref="O107:U107" si="93">SUM(O108:O109)</f>
        <v>0</v>
      </c>
      <c r="P107" s="742">
        <f t="shared" si="93"/>
        <v>0</v>
      </c>
      <c r="Q107" s="742">
        <f t="shared" si="93"/>
        <v>0</v>
      </c>
      <c r="R107" s="742">
        <f t="shared" si="93"/>
        <v>0</v>
      </c>
      <c r="S107" s="50">
        <f t="shared" si="93"/>
        <v>2359000000</v>
      </c>
      <c r="T107" s="50">
        <f t="shared" si="93"/>
        <v>2096131383.73</v>
      </c>
      <c r="U107" s="50">
        <f t="shared" si="93"/>
        <v>262868616.26999998</v>
      </c>
      <c r="V107" s="51">
        <f t="shared" si="68"/>
        <v>0.88856777606189064</v>
      </c>
      <c r="W107" s="50">
        <f t="shared" ref="W107:X107" si="94">SUM(W108:W109)</f>
        <v>2096131383.73</v>
      </c>
      <c r="X107" s="50">
        <f t="shared" si="94"/>
        <v>0</v>
      </c>
      <c r="Y107" s="51">
        <f t="shared" si="84"/>
        <v>0</v>
      </c>
      <c r="Z107" s="50">
        <f t="shared" ref="Z107:AA107" si="95">SUM(Z108:Z109)</f>
        <v>2096131383.73</v>
      </c>
      <c r="AA107" s="50">
        <f t="shared" si="95"/>
        <v>0</v>
      </c>
      <c r="AB107" s="51">
        <f t="shared" si="66"/>
        <v>1</v>
      </c>
    </row>
    <row r="108" spans="1:30" ht="24.95" customHeight="1">
      <c r="A108" s="32" t="e">
        <f>+CONCATENATE(#REF!,"=",J108)</f>
        <v>#REF!</v>
      </c>
      <c r="B108" s="56" t="str">
        <f t="shared" ref="B108:B109" si="96">CONCATENATE(C108,"-",D108,"-",E108,"-",F108,"-",G108)</f>
        <v>A-03-10-01-001</v>
      </c>
      <c r="C108" s="57" t="s">
        <v>23</v>
      </c>
      <c r="D108" s="57" t="s">
        <v>65</v>
      </c>
      <c r="E108" s="57" t="s">
        <v>28</v>
      </c>
      <c r="F108" s="57" t="s">
        <v>25</v>
      </c>
      <c r="G108" s="57" t="s">
        <v>31</v>
      </c>
      <c r="H108" s="57"/>
      <c r="I108" s="57"/>
      <c r="J108" s="57">
        <v>10</v>
      </c>
      <c r="K108" s="58" t="s">
        <v>29</v>
      </c>
      <c r="L108" s="59" t="s">
        <v>146</v>
      </c>
      <c r="M108" s="60">
        <v>2311820000</v>
      </c>
      <c r="N108" s="60"/>
      <c r="O108" s="60"/>
      <c r="P108" s="60"/>
      <c r="Q108" s="60"/>
      <c r="R108" s="61"/>
      <c r="S108" s="60">
        <f>+M108-R108+N108-O108+P108-Q108</f>
        <v>2311820000</v>
      </c>
      <c r="T108" s="60">
        <v>2076718790.73</v>
      </c>
      <c r="U108" s="60">
        <f t="shared" ref="U108" si="97">+S108-T108</f>
        <v>235101209.26999998</v>
      </c>
      <c r="V108" s="62">
        <f t="shared" si="68"/>
        <v>0.89830470829476339</v>
      </c>
      <c r="W108" s="60">
        <v>2076718790.73</v>
      </c>
      <c r="X108" s="60">
        <f t="shared" ref="X108" si="98">+T108-W108</f>
        <v>0</v>
      </c>
      <c r="Y108" s="62">
        <f t="shared" si="84"/>
        <v>0</v>
      </c>
      <c r="Z108" s="60">
        <v>2076718790.73</v>
      </c>
      <c r="AA108" s="60">
        <f t="shared" ref="AA108" si="99">+W108-Z108</f>
        <v>0</v>
      </c>
      <c r="AB108" s="62">
        <f t="shared" si="66"/>
        <v>1</v>
      </c>
    </row>
    <row r="109" spans="1:30" ht="24.95" customHeight="1">
      <c r="A109" s="32" t="e">
        <f>+CONCATENATE(#REF!,"=",J109)</f>
        <v>#REF!</v>
      </c>
      <c r="B109" s="56" t="str">
        <f t="shared" si="96"/>
        <v>A-03-10-01-002</v>
      </c>
      <c r="C109" s="57" t="s">
        <v>23</v>
      </c>
      <c r="D109" s="57" t="s">
        <v>65</v>
      </c>
      <c r="E109" s="57" t="s">
        <v>28</v>
      </c>
      <c r="F109" s="57" t="s">
        <v>25</v>
      </c>
      <c r="G109" s="57" t="s">
        <v>34</v>
      </c>
      <c r="H109" s="57"/>
      <c r="I109" s="57"/>
      <c r="J109" s="57">
        <v>10</v>
      </c>
      <c r="K109" s="58" t="s">
        <v>29</v>
      </c>
      <c r="L109" s="59" t="s">
        <v>147</v>
      </c>
      <c r="M109" s="60">
        <v>47180000</v>
      </c>
      <c r="N109" s="60"/>
      <c r="O109" s="60"/>
      <c r="P109" s="60"/>
      <c r="Q109" s="60"/>
      <c r="R109" s="61"/>
      <c r="S109" s="60">
        <f>+M109-R109+N109-O109+P109-Q109</f>
        <v>47180000</v>
      </c>
      <c r="T109" s="60">
        <v>19412593</v>
      </c>
      <c r="U109" s="60">
        <f t="shared" si="9"/>
        <v>27767407</v>
      </c>
      <c r="V109" s="62">
        <f t="shared" si="68"/>
        <v>0.41145809665112337</v>
      </c>
      <c r="W109" s="60">
        <v>19412593</v>
      </c>
      <c r="X109" s="60">
        <f t="shared" si="12"/>
        <v>0</v>
      </c>
      <c r="Y109" s="62">
        <f t="shared" si="84"/>
        <v>0</v>
      </c>
      <c r="Z109" s="60">
        <v>19412593</v>
      </c>
      <c r="AA109" s="60">
        <f t="shared" si="10"/>
        <v>0</v>
      </c>
      <c r="AB109" s="62">
        <f t="shared" si="66"/>
        <v>1</v>
      </c>
    </row>
    <row r="110" spans="1:30" ht="24" customHeight="1">
      <c r="A110" s="32" t="e">
        <f>+CONCATENATE(#REF!,"=",J110)</f>
        <v>#REF!</v>
      </c>
      <c r="B110" s="38" t="str">
        <f>CONCATENATE(C110,"-",D110)</f>
        <v>A-08</v>
      </c>
      <c r="C110" s="39" t="s">
        <v>23</v>
      </c>
      <c r="D110" s="39" t="s">
        <v>148</v>
      </c>
      <c r="E110" s="39"/>
      <c r="F110" s="39"/>
      <c r="G110" s="39"/>
      <c r="H110" s="39"/>
      <c r="I110" s="39"/>
      <c r="J110" s="40"/>
      <c r="K110" s="40"/>
      <c r="L110" s="38" t="s">
        <v>149</v>
      </c>
      <c r="M110" s="41">
        <f>+M111+M116</f>
        <v>17105900000</v>
      </c>
      <c r="N110" s="740">
        <f t="shared" ref="N110:U110" si="100">+N111+N116</f>
        <v>0</v>
      </c>
      <c r="O110" s="740">
        <f t="shared" si="100"/>
        <v>0</v>
      </c>
      <c r="P110" s="740">
        <f t="shared" si="100"/>
        <v>0</v>
      </c>
      <c r="Q110" s="740">
        <f t="shared" si="100"/>
        <v>0</v>
      </c>
      <c r="R110" s="740">
        <f t="shared" si="100"/>
        <v>0</v>
      </c>
      <c r="S110" s="41">
        <f t="shared" si="100"/>
        <v>17105900000</v>
      </c>
      <c r="T110" s="41">
        <f t="shared" si="100"/>
        <v>17058970185.780001</v>
      </c>
      <c r="U110" s="41">
        <f t="shared" si="100"/>
        <v>46929814.219999999</v>
      </c>
      <c r="V110" s="42">
        <f t="shared" si="68"/>
        <v>0.99725651300311591</v>
      </c>
      <c r="W110" s="41">
        <f t="shared" ref="W110:AA110" si="101">+W111+W116</f>
        <v>17058820320.780001</v>
      </c>
      <c r="X110" s="41">
        <f t="shared" si="101"/>
        <v>149865</v>
      </c>
      <c r="Y110" s="42">
        <f t="shared" si="84"/>
        <v>8.7851141286901544E-6</v>
      </c>
      <c r="Z110" s="41">
        <f t="shared" si="101"/>
        <v>17058820320.780001</v>
      </c>
      <c r="AA110" s="41">
        <f t="shared" si="101"/>
        <v>0</v>
      </c>
      <c r="AB110" s="42">
        <f t="shared" si="66"/>
        <v>0.99999121488587128</v>
      </c>
    </row>
    <row r="111" spans="1:30" ht="24" customHeight="1">
      <c r="A111" s="32" t="e">
        <f>+CONCATENATE(#REF!,"=",J111)</f>
        <v>#REF!</v>
      </c>
      <c r="B111" s="43" t="str">
        <f>CONCATENATE(C111,"-",D111,"-",E111)</f>
        <v>A-08-01</v>
      </c>
      <c r="C111" s="44" t="s">
        <v>23</v>
      </c>
      <c r="D111" s="44" t="s">
        <v>148</v>
      </c>
      <c r="E111" s="44" t="s">
        <v>25</v>
      </c>
      <c r="F111" s="44"/>
      <c r="G111" s="44"/>
      <c r="H111" s="44"/>
      <c r="I111" s="44"/>
      <c r="J111" s="45"/>
      <c r="K111" s="45"/>
      <c r="L111" s="43" t="s">
        <v>150</v>
      </c>
      <c r="M111" s="46">
        <f>+M112</f>
        <v>137900000</v>
      </c>
      <c r="N111" s="741">
        <f t="shared" ref="N111:AA111" si="102">+N112</f>
        <v>0</v>
      </c>
      <c r="O111" s="741">
        <f t="shared" si="102"/>
        <v>0</v>
      </c>
      <c r="P111" s="741">
        <f t="shared" si="102"/>
        <v>0</v>
      </c>
      <c r="Q111" s="741">
        <f t="shared" si="102"/>
        <v>0</v>
      </c>
      <c r="R111" s="741">
        <f t="shared" si="102"/>
        <v>0</v>
      </c>
      <c r="S111" s="46">
        <f t="shared" si="102"/>
        <v>137900000</v>
      </c>
      <c r="T111" s="46">
        <f t="shared" si="102"/>
        <v>90970185.780000001</v>
      </c>
      <c r="U111" s="46">
        <f t="shared" si="102"/>
        <v>46929814.219999999</v>
      </c>
      <c r="V111" s="47">
        <f t="shared" si="68"/>
        <v>0.65968227541696878</v>
      </c>
      <c r="W111" s="46">
        <f t="shared" si="102"/>
        <v>90820320.780000001</v>
      </c>
      <c r="X111" s="46">
        <f t="shared" si="102"/>
        <v>149865</v>
      </c>
      <c r="Y111" s="47">
        <f t="shared" si="84"/>
        <v>1.6474078701172463E-3</v>
      </c>
      <c r="Z111" s="46">
        <f t="shared" si="102"/>
        <v>90820320.780000001</v>
      </c>
      <c r="AA111" s="46">
        <f t="shared" si="102"/>
        <v>0</v>
      </c>
      <c r="AB111" s="47">
        <f t="shared" si="66"/>
        <v>0.9983525921298827</v>
      </c>
    </row>
    <row r="112" spans="1:30" ht="24" customHeight="1">
      <c r="A112" s="32" t="e">
        <f>+CONCATENATE(#REF!,"=",J112)</f>
        <v>#REF!</v>
      </c>
      <c r="B112" s="48" t="str">
        <f>CONCATENATE(C112,"-",D112,"-",E112,"-",F112)</f>
        <v>A-08-01-02</v>
      </c>
      <c r="C112" s="48" t="s">
        <v>23</v>
      </c>
      <c r="D112" s="48" t="s">
        <v>148</v>
      </c>
      <c r="E112" s="48" t="s">
        <v>25</v>
      </c>
      <c r="F112" s="48" t="s">
        <v>54</v>
      </c>
      <c r="G112" s="48"/>
      <c r="H112" s="48"/>
      <c r="I112" s="48"/>
      <c r="J112" s="48" t="s">
        <v>28</v>
      </c>
      <c r="K112" s="48" t="s">
        <v>29</v>
      </c>
      <c r="L112" s="48" t="s">
        <v>151</v>
      </c>
      <c r="M112" s="50">
        <f>SUM(M113:M115)</f>
        <v>137900000</v>
      </c>
      <c r="N112" s="742">
        <f t="shared" ref="N112:U112" si="103">SUM(N113:N115)</f>
        <v>0</v>
      </c>
      <c r="O112" s="742">
        <f t="shared" si="103"/>
        <v>0</v>
      </c>
      <c r="P112" s="742">
        <f t="shared" si="103"/>
        <v>0</v>
      </c>
      <c r="Q112" s="742">
        <f t="shared" si="103"/>
        <v>0</v>
      </c>
      <c r="R112" s="742">
        <f t="shared" si="103"/>
        <v>0</v>
      </c>
      <c r="S112" s="50">
        <f t="shared" si="103"/>
        <v>137900000</v>
      </c>
      <c r="T112" s="50">
        <f t="shared" si="103"/>
        <v>90970185.780000001</v>
      </c>
      <c r="U112" s="50">
        <f t="shared" si="103"/>
        <v>46929814.219999999</v>
      </c>
      <c r="V112" s="51">
        <f t="shared" si="68"/>
        <v>0.65968227541696878</v>
      </c>
      <c r="W112" s="50">
        <f t="shared" ref="W112:AA112" si="104">SUM(W113:W115)</f>
        <v>90820320.780000001</v>
      </c>
      <c r="X112" s="50">
        <f t="shared" si="104"/>
        <v>149865</v>
      </c>
      <c r="Y112" s="51">
        <f t="shared" si="84"/>
        <v>1.6474078701172463E-3</v>
      </c>
      <c r="Z112" s="50">
        <f t="shared" si="104"/>
        <v>90820320.780000001</v>
      </c>
      <c r="AA112" s="50">
        <f t="shared" si="104"/>
        <v>0</v>
      </c>
      <c r="AB112" s="51">
        <f t="shared" si="66"/>
        <v>0.9983525921298827</v>
      </c>
    </row>
    <row r="113" spans="1:28" ht="24.95" customHeight="1">
      <c r="A113" s="32" t="e">
        <f>+CONCATENATE(#REF!,"=",J113)</f>
        <v>#REF!</v>
      </c>
      <c r="B113" s="56" t="str">
        <f t="shared" ref="B113:B115" si="105">CONCATENATE(C113,"-",D113,"-",E113,"-",F113,"-",G113)</f>
        <v>A-08-01-02-001</v>
      </c>
      <c r="C113" s="57" t="s">
        <v>23</v>
      </c>
      <c r="D113" s="57" t="s">
        <v>148</v>
      </c>
      <c r="E113" s="57" t="s">
        <v>25</v>
      </c>
      <c r="F113" s="57" t="s">
        <v>54</v>
      </c>
      <c r="G113" s="57" t="s">
        <v>31</v>
      </c>
      <c r="H113" s="57"/>
      <c r="I113" s="57"/>
      <c r="J113" s="57" t="s">
        <v>28</v>
      </c>
      <c r="K113" s="58" t="s">
        <v>29</v>
      </c>
      <c r="L113" s="59" t="s">
        <v>152</v>
      </c>
      <c r="M113" s="60">
        <v>61800000</v>
      </c>
      <c r="N113" s="60">
        <v>0</v>
      </c>
      <c r="O113" s="60"/>
      <c r="P113" s="60"/>
      <c r="Q113" s="60"/>
      <c r="R113" s="61"/>
      <c r="S113" s="60">
        <f>+M113-R113+N113-O113+P113-Q113</f>
        <v>61800000</v>
      </c>
      <c r="T113" s="60">
        <v>46149614</v>
      </c>
      <c r="U113" s="60">
        <f t="shared" si="9"/>
        <v>15650386</v>
      </c>
      <c r="V113" s="62">
        <f t="shared" si="68"/>
        <v>0.74675750809061492</v>
      </c>
      <c r="W113" s="60">
        <v>46149614</v>
      </c>
      <c r="X113" s="60">
        <f t="shared" si="12"/>
        <v>0</v>
      </c>
      <c r="Y113" s="62">
        <f t="shared" si="84"/>
        <v>0</v>
      </c>
      <c r="Z113" s="60">
        <v>46149614</v>
      </c>
      <c r="AA113" s="60">
        <f t="shared" si="10"/>
        <v>0</v>
      </c>
      <c r="AB113" s="62">
        <f t="shared" si="66"/>
        <v>1</v>
      </c>
    </row>
    <row r="114" spans="1:28" ht="24.95" customHeight="1">
      <c r="A114" s="32" t="e">
        <f>+CONCATENATE(#REF!,"=",J114)</f>
        <v>#REF!</v>
      </c>
      <c r="B114" s="56" t="str">
        <f t="shared" si="105"/>
        <v>A-08-01-02-004</v>
      </c>
      <c r="C114" s="57" t="s">
        <v>23</v>
      </c>
      <c r="D114" s="57" t="s">
        <v>148</v>
      </c>
      <c r="E114" s="57" t="s">
        <v>25</v>
      </c>
      <c r="F114" s="57" t="s">
        <v>54</v>
      </c>
      <c r="G114" s="57" t="s">
        <v>38</v>
      </c>
      <c r="H114" s="57"/>
      <c r="I114" s="57"/>
      <c r="J114" s="57" t="s">
        <v>28</v>
      </c>
      <c r="K114" s="58" t="s">
        <v>29</v>
      </c>
      <c r="L114" s="59" t="s">
        <v>153</v>
      </c>
      <c r="M114" s="60">
        <v>50000000</v>
      </c>
      <c r="N114" s="60"/>
      <c r="O114" s="60"/>
      <c r="P114" s="60"/>
      <c r="Q114" s="60"/>
      <c r="R114" s="61"/>
      <c r="S114" s="60">
        <f>+M114-R114+N114-O114+P114-Q114</f>
        <v>50000000</v>
      </c>
      <c r="T114" s="60">
        <v>37723421.780000001</v>
      </c>
      <c r="U114" s="60">
        <f t="shared" si="9"/>
        <v>12276578.219999999</v>
      </c>
      <c r="V114" s="62">
        <f t="shared" si="68"/>
        <v>0.75446843559999999</v>
      </c>
      <c r="W114" s="60">
        <v>37573556.780000001</v>
      </c>
      <c r="X114" s="60">
        <f t="shared" si="12"/>
        <v>149865</v>
      </c>
      <c r="Y114" s="62">
        <f t="shared" si="84"/>
        <v>3.9727308109534917E-3</v>
      </c>
      <c r="Z114" s="60">
        <v>37573556.780000001</v>
      </c>
      <c r="AA114" s="60">
        <f t="shared" si="10"/>
        <v>0</v>
      </c>
      <c r="AB114" s="62">
        <f t="shared" si="66"/>
        <v>0.99602726918904649</v>
      </c>
    </row>
    <row r="115" spans="1:28" ht="24.95" customHeight="1">
      <c r="A115" s="32" t="e">
        <f>+CONCATENATE(#REF!,"=",J115)</f>
        <v>#REF!</v>
      </c>
      <c r="B115" s="56" t="str">
        <f t="shared" si="105"/>
        <v>A-08-01-02-006</v>
      </c>
      <c r="C115" s="57" t="s">
        <v>23</v>
      </c>
      <c r="D115" s="57" t="s">
        <v>148</v>
      </c>
      <c r="E115" s="57" t="s">
        <v>25</v>
      </c>
      <c r="F115" s="57" t="s">
        <v>54</v>
      </c>
      <c r="G115" s="57" t="s">
        <v>42</v>
      </c>
      <c r="H115" s="57"/>
      <c r="I115" s="57"/>
      <c r="J115" s="57" t="s">
        <v>28</v>
      </c>
      <c r="K115" s="58" t="s">
        <v>29</v>
      </c>
      <c r="L115" s="59" t="s">
        <v>154</v>
      </c>
      <c r="M115" s="60">
        <v>26100000</v>
      </c>
      <c r="N115" s="60">
        <v>0</v>
      </c>
      <c r="O115" s="60"/>
      <c r="P115" s="60"/>
      <c r="Q115" s="60"/>
      <c r="R115" s="61"/>
      <c r="S115" s="60">
        <f>+M115-R115+N115-O115+P115-Q115</f>
        <v>26100000</v>
      </c>
      <c r="T115" s="60">
        <v>7097150</v>
      </c>
      <c r="U115" s="60">
        <f t="shared" si="9"/>
        <v>19002850</v>
      </c>
      <c r="V115" s="62">
        <f t="shared" si="68"/>
        <v>0.27192145593869732</v>
      </c>
      <c r="W115" s="60">
        <v>7097150</v>
      </c>
      <c r="X115" s="60">
        <f t="shared" si="12"/>
        <v>0</v>
      </c>
      <c r="Y115" s="62">
        <f t="shared" si="84"/>
        <v>0</v>
      </c>
      <c r="Z115" s="60">
        <v>7097150</v>
      </c>
      <c r="AA115" s="60">
        <f t="shared" si="10"/>
        <v>0</v>
      </c>
      <c r="AB115" s="62">
        <f t="shared" si="66"/>
        <v>1</v>
      </c>
    </row>
    <row r="116" spans="1:28" ht="24" customHeight="1">
      <c r="A116" s="32" t="e">
        <f>+CONCATENATE(#REF!,"=",J116)</f>
        <v>#REF!</v>
      </c>
      <c r="B116" s="43" t="str">
        <f>CONCATENATE(C116,"-",D116,"-",E116)</f>
        <v>A-08-04</v>
      </c>
      <c r="C116" s="44" t="s">
        <v>23</v>
      </c>
      <c r="D116" s="44" t="s">
        <v>148</v>
      </c>
      <c r="E116" s="44" t="s">
        <v>136</v>
      </c>
      <c r="F116" s="44"/>
      <c r="G116" s="44"/>
      <c r="H116" s="44"/>
      <c r="I116" s="44"/>
      <c r="J116" s="45"/>
      <c r="K116" s="45"/>
      <c r="L116" s="43" t="s">
        <v>155</v>
      </c>
      <c r="M116" s="46">
        <f t="shared" ref="M116:U116" si="106">SUM(M117:M118)</f>
        <v>16968000000</v>
      </c>
      <c r="N116" s="741">
        <f t="shared" si="106"/>
        <v>0</v>
      </c>
      <c r="O116" s="741">
        <f t="shared" si="106"/>
        <v>0</v>
      </c>
      <c r="P116" s="741">
        <f t="shared" si="106"/>
        <v>0</v>
      </c>
      <c r="Q116" s="741">
        <f t="shared" si="106"/>
        <v>0</v>
      </c>
      <c r="R116" s="741">
        <f t="shared" si="106"/>
        <v>0</v>
      </c>
      <c r="S116" s="46">
        <f t="shared" si="106"/>
        <v>16968000000</v>
      </c>
      <c r="T116" s="46">
        <f t="shared" si="106"/>
        <v>16968000000</v>
      </c>
      <c r="U116" s="46">
        <f t="shared" si="106"/>
        <v>0</v>
      </c>
      <c r="V116" s="47">
        <f t="shared" si="68"/>
        <v>1</v>
      </c>
      <c r="W116" s="46">
        <f>SUM(W117:W118)</f>
        <v>16968000000</v>
      </c>
      <c r="X116" s="46">
        <f>SUM(X117:X118)</f>
        <v>0</v>
      </c>
      <c r="Y116" s="47">
        <f t="shared" si="84"/>
        <v>0</v>
      </c>
      <c r="Z116" s="46">
        <f>SUM(Z117:Z118)</f>
        <v>16968000000</v>
      </c>
      <c r="AA116" s="46">
        <f>SUM(AA117:AA118)</f>
        <v>0</v>
      </c>
      <c r="AB116" s="47">
        <f t="shared" si="66"/>
        <v>1</v>
      </c>
    </row>
    <row r="117" spans="1:28" ht="24.95" hidden="1" customHeight="1">
      <c r="A117" s="32"/>
      <c r="B117" s="56"/>
      <c r="C117" s="57" t="s">
        <v>23</v>
      </c>
      <c r="D117" s="57" t="s">
        <v>148</v>
      </c>
      <c r="E117" s="57" t="s">
        <v>136</v>
      </c>
      <c r="F117" s="57" t="s">
        <v>25</v>
      </c>
      <c r="G117" s="57"/>
      <c r="H117" s="57"/>
      <c r="I117" s="57"/>
      <c r="J117" s="57">
        <v>10</v>
      </c>
      <c r="K117" s="58" t="s">
        <v>156</v>
      </c>
      <c r="L117" s="59" t="s">
        <v>157</v>
      </c>
      <c r="M117" s="60">
        <v>0</v>
      </c>
      <c r="N117" s="60"/>
      <c r="O117" s="60"/>
      <c r="P117" s="60"/>
      <c r="Q117" s="60"/>
      <c r="R117" s="61"/>
      <c r="S117" s="60">
        <f>+M117-R117+N117-O117+P117-Q117</f>
        <v>0</v>
      </c>
      <c r="T117" s="60">
        <v>0</v>
      </c>
      <c r="U117" s="60">
        <f t="shared" si="9"/>
        <v>0</v>
      </c>
      <c r="V117" s="62">
        <f t="shared" si="68"/>
        <v>0</v>
      </c>
      <c r="W117" s="60">
        <v>0</v>
      </c>
      <c r="X117" s="60">
        <f t="shared" si="12"/>
        <v>0</v>
      </c>
      <c r="Y117" s="62">
        <f t="shared" si="84"/>
        <v>0</v>
      </c>
      <c r="Z117" s="60">
        <v>0</v>
      </c>
      <c r="AA117" s="60">
        <f t="shared" si="10"/>
        <v>0</v>
      </c>
      <c r="AB117" s="62">
        <f t="shared" si="66"/>
        <v>0</v>
      </c>
    </row>
    <row r="118" spans="1:28" ht="24.95" customHeight="1">
      <c r="A118" s="32" t="e">
        <f>+CONCATENATE(#REF!,"=",J118)</f>
        <v>#REF!</v>
      </c>
      <c r="B118" s="56" t="str">
        <f>CONCATENATE(C118,"-",D118,"-",E118,"-",F118)</f>
        <v>A-08-04-01</v>
      </c>
      <c r="C118" s="57" t="s">
        <v>23</v>
      </c>
      <c r="D118" s="57" t="s">
        <v>148</v>
      </c>
      <c r="E118" s="57" t="s">
        <v>136</v>
      </c>
      <c r="F118" s="57" t="s">
        <v>25</v>
      </c>
      <c r="G118" s="57"/>
      <c r="H118" s="57"/>
      <c r="I118" s="57"/>
      <c r="J118" s="57" t="s">
        <v>144</v>
      </c>
      <c r="K118" s="58" t="s">
        <v>156</v>
      </c>
      <c r="L118" s="59" t="s">
        <v>157</v>
      </c>
      <c r="M118" s="60">
        <v>16968000000</v>
      </c>
      <c r="N118" s="60"/>
      <c r="O118" s="60"/>
      <c r="P118" s="60"/>
      <c r="Q118" s="60"/>
      <c r="R118" s="61"/>
      <c r="S118" s="60">
        <f>+M118-R118+N118-O118+P118-Q118</f>
        <v>16968000000</v>
      </c>
      <c r="T118" s="60">
        <v>16968000000</v>
      </c>
      <c r="U118" s="60">
        <f t="shared" si="9"/>
        <v>0</v>
      </c>
      <c r="V118" s="62">
        <f t="shared" si="68"/>
        <v>1</v>
      </c>
      <c r="W118" s="60">
        <v>16968000000</v>
      </c>
      <c r="X118" s="60">
        <f t="shared" si="12"/>
        <v>0</v>
      </c>
      <c r="Y118" s="62">
        <f t="shared" si="84"/>
        <v>0</v>
      </c>
      <c r="Z118" s="60">
        <v>16968000000</v>
      </c>
      <c r="AA118" s="60">
        <f t="shared" si="10"/>
        <v>0</v>
      </c>
      <c r="AB118" s="62">
        <f t="shared" si="66"/>
        <v>1</v>
      </c>
    </row>
    <row r="119" spans="1:28" ht="35.1" customHeight="1">
      <c r="A119" s="32" t="e">
        <f>+CONCATENATE(#REF!,"=",J119)</f>
        <v>#REF!</v>
      </c>
      <c r="B119" s="33" t="str">
        <f>CONCATENATE(C122)</f>
        <v>B</v>
      </c>
      <c r="C119" s="34" t="s">
        <v>162</v>
      </c>
      <c r="D119" s="35"/>
      <c r="E119" s="35"/>
      <c r="F119" s="35"/>
      <c r="G119" s="35"/>
      <c r="H119" s="35"/>
      <c r="I119" s="35"/>
      <c r="J119" s="35"/>
      <c r="K119" s="35"/>
      <c r="L119" s="33" t="s">
        <v>163</v>
      </c>
      <c r="M119" s="36">
        <f>+M120</f>
        <v>381865302</v>
      </c>
      <c r="N119" s="739">
        <f t="shared" ref="N119:AA121" si="107">+N120</f>
        <v>0</v>
      </c>
      <c r="O119" s="739">
        <f t="shared" si="107"/>
        <v>0</v>
      </c>
      <c r="P119" s="739">
        <f t="shared" si="107"/>
        <v>0</v>
      </c>
      <c r="Q119" s="739">
        <f t="shared" si="107"/>
        <v>0</v>
      </c>
      <c r="R119" s="739">
        <f t="shared" si="107"/>
        <v>0</v>
      </c>
      <c r="S119" s="36">
        <f t="shared" si="107"/>
        <v>381865302</v>
      </c>
      <c r="T119" s="36">
        <f t="shared" si="107"/>
        <v>0</v>
      </c>
      <c r="U119" s="36">
        <f t="shared" si="107"/>
        <v>381865302</v>
      </c>
      <c r="V119" s="37">
        <f t="shared" si="68"/>
        <v>0</v>
      </c>
      <c r="W119" s="36">
        <f t="shared" si="107"/>
        <v>0</v>
      </c>
      <c r="X119" s="36">
        <f t="shared" si="107"/>
        <v>0</v>
      </c>
      <c r="Y119" s="37">
        <f t="shared" si="84"/>
        <v>0</v>
      </c>
      <c r="Z119" s="36">
        <f t="shared" si="107"/>
        <v>0</v>
      </c>
      <c r="AA119" s="36">
        <f t="shared" si="107"/>
        <v>0</v>
      </c>
      <c r="AB119" s="37">
        <f>+IF(T119&gt;0,(Z119/T119),0)</f>
        <v>0</v>
      </c>
    </row>
    <row r="120" spans="1:28" ht="24" customHeight="1">
      <c r="A120" s="32" t="e">
        <f>+CONCATENATE(#REF!,"=",J120)</f>
        <v>#REF!</v>
      </c>
      <c r="B120" s="38" t="str">
        <f>CONCATENATE(C120,"-",D120)</f>
        <v>B-10</v>
      </c>
      <c r="C120" s="39" t="s">
        <v>162</v>
      </c>
      <c r="D120" s="39">
        <v>10</v>
      </c>
      <c r="E120" s="39"/>
      <c r="F120" s="39"/>
      <c r="G120" s="39"/>
      <c r="H120" s="39"/>
      <c r="I120" s="39"/>
      <c r="J120" s="40"/>
      <c r="K120" s="40"/>
      <c r="L120" s="38" t="s">
        <v>164</v>
      </c>
      <c r="M120" s="41">
        <f>+M121</f>
        <v>381865302</v>
      </c>
      <c r="N120" s="740">
        <f t="shared" si="107"/>
        <v>0</v>
      </c>
      <c r="O120" s="740">
        <f t="shared" si="107"/>
        <v>0</v>
      </c>
      <c r="P120" s="740">
        <f>+P121</f>
        <v>0</v>
      </c>
      <c r="Q120" s="740">
        <f t="shared" si="107"/>
        <v>0</v>
      </c>
      <c r="R120" s="740">
        <f t="shared" si="107"/>
        <v>0</v>
      </c>
      <c r="S120" s="41">
        <f t="shared" si="107"/>
        <v>381865302</v>
      </c>
      <c r="T120" s="41">
        <f t="shared" si="107"/>
        <v>0</v>
      </c>
      <c r="U120" s="41">
        <f t="shared" si="107"/>
        <v>381865302</v>
      </c>
      <c r="V120" s="42">
        <f t="shared" si="68"/>
        <v>0</v>
      </c>
      <c r="W120" s="41">
        <f t="shared" si="107"/>
        <v>0</v>
      </c>
      <c r="X120" s="41">
        <f t="shared" si="107"/>
        <v>0</v>
      </c>
      <c r="Y120" s="42">
        <f t="shared" si="84"/>
        <v>0</v>
      </c>
      <c r="Z120" s="41">
        <f t="shared" si="107"/>
        <v>0</v>
      </c>
      <c r="AA120" s="41">
        <f t="shared" si="107"/>
        <v>0</v>
      </c>
      <c r="AB120" s="42">
        <f t="shared" ref="AB120:AB122" si="108">+IF(T120&gt;0,(Z120/T120),0)</f>
        <v>0</v>
      </c>
    </row>
    <row r="121" spans="1:28" ht="24" customHeight="1">
      <c r="A121" s="32" t="e">
        <f>+CONCATENATE(#REF!,"=",J121)</f>
        <v>#REF!</v>
      </c>
      <c r="B121" s="43" t="str">
        <f>CONCATENATE(C121,"-",D121,"-",E121)</f>
        <v>B-10-04</v>
      </c>
      <c r="C121" s="44" t="s">
        <v>162</v>
      </c>
      <c r="D121" s="44">
        <v>10</v>
      </c>
      <c r="E121" s="44" t="s">
        <v>136</v>
      </c>
      <c r="F121" s="44"/>
      <c r="G121" s="44"/>
      <c r="H121" s="44"/>
      <c r="I121" s="44"/>
      <c r="J121" s="45"/>
      <c r="K121" s="45"/>
      <c r="L121" s="43" t="s">
        <v>165</v>
      </c>
      <c r="M121" s="46">
        <f>+M122</f>
        <v>381865302</v>
      </c>
      <c r="N121" s="741">
        <f t="shared" si="107"/>
        <v>0</v>
      </c>
      <c r="O121" s="741">
        <f t="shared" si="107"/>
        <v>0</v>
      </c>
      <c r="P121" s="741">
        <f t="shared" si="107"/>
        <v>0</v>
      </c>
      <c r="Q121" s="741">
        <f t="shared" si="107"/>
        <v>0</v>
      </c>
      <c r="R121" s="741">
        <f t="shared" si="107"/>
        <v>0</v>
      </c>
      <c r="S121" s="46">
        <f t="shared" si="107"/>
        <v>381865302</v>
      </c>
      <c r="T121" s="46">
        <f t="shared" si="107"/>
        <v>0</v>
      </c>
      <c r="U121" s="46">
        <f t="shared" si="107"/>
        <v>381865302</v>
      </c>
      <c r="V121" s="47">
        <f t="shared" si="68"/>
        <v>0</v>
      </c>
      <c r="W121" s="46">
        <f t="shared" si="107"/>
        <v>0</v>
      </c>
      <c r="X121" s="46">
        <f t="shared" si="107"/>
        <v>0</v>
      </c>
      <c r="Y121" s="47">
        <f t="shared" si="84"/>
        <v>0</v>
      </c>
      <c r="Z121" s="46">
        <f t="shared" si="107"/>
        <v>0</v>
      </c>
      <c r="AA121" s="46">
        <f t="shared" si="107"/>
        <v>0</v>
      </c>
      <c r="AB121" s="47">
        <f t="shared" si="108"/>
        <v>0</v>
      </c>
    </row>
    <row r="122" spans="1:28" ht="24.95" customHeight="1">
      <c r="A122" s="32" t="e">
        <f>+CONCATENATE(#REF!,"=",J122)</f>
        <v>#REF!</v>
      </c>
      <c r="B122" s="56" t="str">
        <f>CONCATENATE(C122,"-",D122,"-",E122,"-",F122)</f>
        <v>B-10-04-01</v>
      </c>
      <c r="C122" s="57" t="s">
        <v>162</v>
      </c>
      <c r="D122" s="57">
        <v>10</v>
      </c>
      <c r="E122" s="57" t="s">
        <v>136</v>
      </c>
      <c r="F122" s="57" t="s">
        <v>25</v>
      </c>
      <c r="G122" s="57"/>
      <c r="H122" s="57"/>
      <c r="I122" s="57"/>
      <c r="J122" s="57" t="s">
        <v>144</v>
      </c>
      <c r="K122" s="58" t="s">
        <v>29</v>
      </c>
      <c r="L122" s="59" t="s">
        <v>166</v>
      </c>
      <c r="M122" s="60">
        <v>381865302</v>
      </c>
      <c r="N122" s="60"/>
      <c r="O122" s="60"/>
      <c r="P122" s="60"/>
      <c r="Q122" s="60"/>
      <c r="R122" s="61"/>
      <c r="S122" s="60">
        <f>+M122-R122+N122-O122+P122-Q122</f>
        <v>381865302</v>
      </c>
      <c r="T122" s="60">
        <v>0</v>
      </c>
      <c r="U122" s="60">
        <f t="shared" ref="U122" si="109">+S122-T122</f>
        <v>381865302</v>
      </c>
      <c r="V122" s="62">
        <f t="shared" si="68"/>
        <v>0</v>
      </c>
      <c r="W122" s="60">
        <v>0</v>
      </c>
      <c r="X122" s="60">
        <f t="shared" ref="X122" si="110">+T122-W122</f>
        <v>0</v>
      </c>
      <c r="Y122" s="62">
        <f t="shared" si="84"/>
        <v>0</v>
      </c>
      <c r="Z122" s="60">
        <v>0</v>
      </c>
      <c r="AA122" s="60">
        <f t="shared" ref="AA122" si="111">+W122-Z122</f>
        <v>0</v>
      </c>
      <c r="AB122" s="62">
        <f t="shared" si="108"/>
        <v>0</v>
      </c>
    </row>
    <row r="123" spans="1:28" ht="35.1" customHeight="1">
      <c r="A123" s="32" t="e">
        <f>+CONCATENATE(#REF!,"=",J123)</f>
        <v>#REF!</v>
      </c>
      <c r="B123" s="33" t="str">
        <f>CONCATENATE(C124)</f>
        <v>C</v>
      </c>
      <c r="C123" s="34" t="s">
        <v>167</v>
      </c>
      <c r="D123" s="35"/>
      <c r="E123" s="35"/>
      <c r="F123" s="35"/>
      <c r="G123" s="35"/>
      <c r="H123" s="35"/>
      <c r="I123" s="35"/>
      <c r="J123" s="35"/>
      <c r="K123" s="35"/>
      <c r="L123" s="33" t="s">
        <v>168</v>
      </c>
      <c r="M123" s="36">
        <f t="shared" ref="M123:U123" si="112">+M124+M140+M233</f>
        <v>12916249110989</v>
      </c>
      <c r="N123" s="36">
        <f t="shared" si="112"/>
        <v>5269349000</v>
      </c>
      <c r="O123" s="739">
        <f t="shared" si="112"/>
        <v>0</v>
      </c>
      <c r="P123" s="36">
        <f t="shared" si="112"/>
        <v>207173534819.21002</v>
      </c>
      <c r="Q123" s="36">
        <f t="shared" si="112"/>
        <v>207173534819.21002</v>
      </c>
      <c r="R123" s="739">
        <f t="shared" si="112"/>
        <v>0</v>
      </c>
      <c r="S123" s="36">
        <f t="shared" si="112"/>
        <v>12921518459989</v>
      </c>
      <c r="T123" s="36">
        <f t="shared" si="112"/>
        <v>10803230837462.311</v>
      </c>
      <c r="U123" s="36">
        <f t="shared" si="112"/>
        <v>2118287622526.6897</v>
      </c>
      <c r="V123" s="37">
        <f t="shared" si="68"/>
        <v>0.83606511656614602</v>
      </c>
      <c r="W123" s="36">
        <f>+W124+W140+W233</f>
        <v>9812109642759.7285</v>
      </c>
      <c r="X123" s="36">
        <f>+X124+X140+X233</f>
        <v>991121194702.57996</v>
      </c>
      <c r="Y123" s="37">
        <f t="shared" si="84"/>
        <v>9.1743035913448581E-2</v>
      </c>
      <c r="Z123" s="36">
        <f>+Z124+Z140+Z233</f>
        <v>9800769251543.3594</v>
      </c>
      <c r="AA123" s="36">
        <f>+AA124+AA140+AA233</f>
        <v>11340391216.369999</v>
      </c>
      <c r="AB123" s="37">
        <f t="shared" si="66"/>
        <v>0.907207241888906</v>
      </c>
    </row>
    <row r="124" spans="1:28" ht="24" hidden="1" customHeight="1">
      <c r="A124" s="32" t="e">
        <f>+CONCATENATE(#REF!,"=",J124)</f>
        <v>#REF!</v>
      </c>
      <c r="B124" s="69" t="str">
        <f>CONCATENATE(C124,"-",D124)</f>
        <v>C-4101</v>
      </c>
      <c r="C124" s="70" t="s">
        <v>167</v>
      </c>
      <c r="D124" s="70">
        <v>4101</v>
      </c>
      <c r="E124" s="70"/>
      <c r="F124" s="70"/>
      <c r="G124" s="70"/>
      <c r="H124" s="70"/>
      <c r="I124" s="70"/>
      <c r="J124" s="71"/>
      <c r="K124" s="71"/>
      <c r="L124" s="69" t="s">
        <v>169</v>
      </c>
      <c r="M124" s="41">
        <f>+M125</f>
        <v>0</v>
      </c>
      <c r="N124" s="41">
        <f t="shared" ref="N124:R124" si="113">+N125</f>
        <v>0</v>
      </c>
      <c r="O124" s="740">
        <f t="shared" si="113"/>
        <v>0</v>
      </c>
      <c r="P124" s="41">
        <f t="shared" si="113"/>
        <v>0</v>
      </c>
      <c r="Q124" s="41">
        <f t="shared" si="113"/>
        <v>0</v>
      </c>
      <c r="R124" s="740">
        <f t="shared" si="113"/>
        <v>0</v>
      </c>
      <c r="S124" s="41">
        <f>+S125</f>
        <v>0</v>
      </c>
      <c r="T124" s="41">
        <f t="shared" ref="T124:AA124" si="114">+T125</f>
        <v>0</v>
      </c>
      <c r="U124" s="41">
        <f t="shared" si="114"/>
        <v>0</v>
      </c>
      <c r="V124" s="42">
        <f t="shared" si="68"/>
        <v>0</v>
      </c>
      <c r="W124" s="41">
        <f t="shared" si="114"/>
        <v>0</v>
      </c>
      <c r="X124" s="41">
        <f t="shared" si="114"/>
        <v>0</v>
      </c>
      <c r="Y124" s="42">
        <f t="shared" si="84"/>
        <v>0</v>
      </c>
      <c r="Z124" s="41">
        <f t="shared" si="114"/>
        <v>0</v>
      </c>
      <c r="AA124" s="41">
        <f t="shared" si="114"/>
        <v>0</v>
      </c>
      <c r="AB124" s="42">
        <f t="shared" si="66"/>
        <v>0</v>
      </c>
    </row>
    <row r="125" spans="1:28" ht="24" hidden="1" customHeight="1">
      <c r="A125" s="32" t="e">
        <f>+CONCATENATE(#REF!,"=",J125)</f>
        <v>#REF!</v>
      </c>
      <c r="B125" s="72" t="str">
        <f>CONCATENATE(C125,"-",D125,"-",E125)</f>
        <v>C-4101-1500</v>
      </c>
      <c r="C125" s="73" t="s">
        <v>167</v>
      </c>
      <c r="D125" s="73">
        <v>4101</v>
      </c>
      <c r="E125" s="73">
        <v>1500</v>
      </c>
      <c r="F125" s="73"/>
      <c r="G125" s="73"/>
      <c r="H125" s="73"/>
      <c r="I125" s="73"/>
      <c r="J125" s="74"/>
      <c r="K125" s="74"/>
      <c r="L125" s="72" t="s">
        <v>170</v>
      </c>
      <c r="M125" s="46"/>
      <c r="N125" s="46"/>
      <c r="O125" s="741"/>
      <c r="P125" s="46"/>
      <c r="Q125" s="46"/>
      <c r="R125" s="741"/>
      <c r="S125" s="46"/>
      <c r="T125" s="46"/>
      <c r="U125" s="46"/>
      <c r="V125" s="47">
        <f t="shared" si="68"/>
        <v>0</v>
      </c>
      <c r="W125" s="46"/>
      <c r="X125" s="46"/>
      <c r="Y125" s="47">
        <f t="shared" si="84"/>
        <v>0</v>
      </c>
      <c r="Z125" s="46"/>
      <c r="AA125" s="46"/>
      <c r="AB125" s="47">
        <f t="shared" si="66"/>
        <v>0</v>
      </c>
    </row>
    <row r="126" spans="1:28" ht="60" hidden="1" customHeight="1">
      <c r="A126" s="32" t="e">
        <f>+CONCATENATE(#REF!,"=",J126)</f>
        <v>#REF!</v>
      </c>
      <c r="B126" s="75" t="str">
        <f>CONCATENATE(C126,"-",D126,"-",E126,"-",F126)</f>
        <v>C-4101-1500-6</v>
      </c>
      <c r="C126" s="75" t="s">
        <v>167</v>
      </c>
      <c r="D126" s="75" t="s">
        <v>171</v>
      </c>
      <c r="E126" s="75" t="s">
        <v>172</v>
      </c>
      <c r="F126" s="75" t="s">
        <v>173</v>
      </c>
      <c r="G126" s="75"/>
      <c r="H126" s="75"/>
      <c r="I126" s="75"/>
      <c r="J126" s="75"/>
      <c r="K126" s="75"/>
      <c r="L126" s="75" t="s">
        <v>174</v>
      </c>
      <c r="M126" s="50">
        <f>+M131+M133+M135+M137+M127+M129</f>
        <v>0</v>
      </c>
      <c r="N126" s="50">
        <f t="shared" ref="N126:U126" si="115">+N131+N133+N135+N137+N127+N129</f>
        <v>0</v>
      </c>
      <c r="O126" s="742">
        <f t="shared" si="115"/>
        <v>0</v>
      </c>
      <c r="P126" s="50">
        <f t="shared" si="115"/>
        <v>0</v>
      </c>
      <c r="Q126" s="50">
        <f t="shared" si="115"/>
        <v>0</v>
      </c>
      <c r="R126" s="742">
        <f t="shared" si="115"/>
        <v>0</v>
      </c>
      <c r="S126" s="50">
        <f t="shared" si="115"/>
        <v>0</v>
      </c>
      <c r="T126" s="50">
        <f t="shared" si="115"/>
        <v>0</v>
      </c>
      <c r="U126" s="50">
        <f t="shared" si="115"/>
        <v>0</v>
      </c>
      <c r="V126" s="51">
        <f t="shared" si="68"/>
        <v>0</v>
      </c>
      <c r="W126" s="50">
        <f t="shared" ref="W126:AA126" si="116">+W131+W133+W135+W137+W127+W129</f>
        <v>0</v>
      </c>
      <c r="X126" s="50">
        <f t="shared" si="116"/>
        <v>0</v>
      </c>
      <c r="Y126" s="51">
        <f t="shared" si="84"/>
        <v>0</v>
      </c>
      <c r="Z126" s="50">
        <f t="shared" si="116"/>
        <v>0</v>
      </c>
      <c r="AA126" s="50">
        <f t="shared" si="116"/>
        <v>0</v>
      </c>
      <c r="AB126" s="51">
        <f t="shared" si="66"/>
        <v>0</v>
      </c>
    </row>
    <row r="127" spans="1:28" ht="24" hidden="1" customHeight="1">
      <c r="A127" s="32" t="e">
        <f>+CONCATENATE(#REF!,"=",J127)</f>
        <v>#REF!</v>
      </c>
      <c r="B127" s="77" t="str">
        <f>CONCATENATE(C127,"-",D127,"-",E127,"-",F127,"-",G127,"-",H127)</f>
        <v>C-4101-1500-6-0-4101073</v>
      </c>
      <c r="C127" s="52" t="s">
        <v>167</v>
      </c>
      <c r="D127" s="52" t="s">
        <v>171</v>
      </c>
      <c r="E127" s="52" t="s">
        <v>172</v>
      </c>
      <c r="F127" s="52" t="s">
        <v>173</v>
      </c>
      <c r="G127" s="52" t="s">
        <v>175</v>
      </c>
      <c r="H127" s="52" t="s">
        <v>176</v>
      </c>
      <c r="I127" s="52"/>
      <c r="J127" s="52" t="s">
        <v>144</v>
      </c>
      <c r="K127" s="52" t="s">
        <v>29</v>
      </c>
      <c r="L127" s="77" t="s">
        <v>177</v>
      </c>
      <c r="M127" s="54">
        <f t="shared" ref="M127:U127" si="117">SUM(M128:M128)</f>
        <v>0</v>
      </c>
      <c r="N127" s="54">
        <f t="shared" si="117"/>
        <v>0</v>
      </c>
      <c r="O127" s="743">
        <f t="shared" si="117"/>
        <v>0</v>
      </c>
      <c r="P127" s="54">
        <f t="shared" si="117"/>
        <v>0</v>
      </c>
      <c r="Q127" s="54">
        <f t="shared" si="117"/>
        <v>0</v>
      </c>
      <c r="R127" s="743">
        <f t="shared" si="117"/>
        <v>0</v>
      </c>
      <c r="S127" s="54">
        <f t="shared" si="117"/>
        <v>0</v>
      </c>
      <c r="T127" s="54">
        <f t="shared" si="117"/>
        <v>0</v>
      </c>
      <c r="U127" s="54">
        <f t="shared" si="117"/>
        <v>0</v>
      </c>
      <c r="V127" s="55">
        <f t="shared" si="68"/>
        <v>0</v>
      </c>
      <c r="W127" s="54">
        <f t="shared" ref="W127:X127" si="118">SUM(W128:W128)</f>
        <v>0</v>
      </c>
      <c r="X127" s="54">
        <f t="shared" si="118"/>
        <v>0</v>
      </c>
      <c r="Y127" s="55">
        <f t="shared" si="84"/>
        <v>0</v>
      </c>
      <c r="Z127" s="54">
        <f t="shared" ref="Z127:AA127" si="119">SUM(Z128:Z128)</f>
        <v>0</v>
      </c>
      <c r="AA127" s="54">
        <f t="shared" si="119"/>
        <v>0</v>
      </c>
      <c r="AB127" s="55">
        <f t="shared" si="66"/>
        <v>0</v>
      </c>
    </row>
    <row r="128" spans="1:28" ht="24.95" hidden="1" customHeight="1">
      <c r="A128" s="32" t="e">
        <f>+CONCATENATE(#REF!,"=",J128)</f>
        <v>#REF!</v>
      </c>
      <c r="B128" s="78" t="str">
        <f>CONCATENATE(C128,"-",D128,"-",E128,"-",F128,"-",G128,"-",H128,"-",I128)</f>
        <v>C-4101-1500-6-0-4101073-02</v>
      </c>
      <c r="C128" s="79" t="s">
        <v>167</v>
      </c>
      <c r="D128" s="79" t="s">
        <v>171</v>
      </c>
      <c r="E128" s="79" t="s">
        <v>172</v>
      </c>
      <c r="F128" s="79" t="s">
        <v>173</v>
      </c>
      <c r="G128" s="79" t="s">
        <v>175</v>
      </c>
      <c r="H128" s="79" t="s">
        <v>176</v>
      </c>
      <c r="I128" s="79" t="s">
        <v>54</v>
      </c>
      <c r="J128" s="79" t="s">
        <v>144</v>
      </c>
      <c r="K128" s="80" t="s">
        <v>29</v>
      </c>
      <c r="L128" s="59" t="s">
        <v>178</v>
      </c>
      <c r="M128" s="60"/>
      <c r="N128" s="60"/>
      <c r="O128" s="745"/>
      <c r="P128" s="60"/>
      <c r="Q128" s="60"/>
      <c r="R128" s="745"/>
      <c r="S128" s="60">
        <f>+M128-R128+N128-O128+P128-Q128</f>
        <v>0</v>
      </c>
      <c r="T128" s="60"/>
      <c r="U128" s="60">
        <f t="shared" ref="U128:U183" si="120">+S128-T128</f>
        <v>0</v>
      </c>
      <c r="V128" s="62">
        <f t="shared" si="68"/>
        <v>0</v>
      </c>
      <c r="W128" s="60"/>
      <c r="X128" s="60">
        <f t="shared" ref="X128:X183" si="121">+T128-W128</f>
        <v>0</v>
      </c>
      <c r="Y128" s="62">
        <f t="shared" si="84"/>
        <v>0</v>
      </c>
      <c r="Z128" s="60"/>
      <c r="AA128" s="60">
        <f t="shared" ref="AA128:AA183" si="122">+W128-Z128</f>
        <v>0</v>
      </c>
      <c r="AB128" s="62">
        <f t="shared" si="66"/>
        <v>0</v>
      </c>
    </row>
    <row r="129" spans="1:28" ht="33" hidden="1" customHeight="1">
      <c r="A129" s="32" t="e">
        <f>+CONCATENATE(#REF!,"=",J129)</f>
        <v>#REF!</v>
      </c>
      <c r="B129" s="77" t="str">
        <f>CONCATENATE(C129,"-",D129,"-",E129,"-",F129,"-",G129,"-",H129)</f>
        <v>C-4101-1500-6-0-4101074</v>
      </c>
      <c r="C129" s="52" t="s">
        <v>167</v>
      </c>
      <c r="D129" s="52" t="s">
        <v>171</v>
      </c>
      <c r="E129" s="52" t="s">
        <v>172</v>
      </c>
      <c r="F129" s="52" t="s">
        <v>173</v>
      </c>
      <c r="G129" s="52" t="s">
        <v>175</v>
      </c>
      <c r="H129" s="52" t="s">
        <v>179</v>
      </c>
      <c r="I129" s="52"/>
      <c r="J129" s="52" t="s">
        <v>144</v>
      </c>
      <c r="K129" s="52" t="s">
        <v>29</v>
      </c>
      <c r="L129" s="77" t="s">
        <v>180</v>
      </c>
      <c r="M129" s="54">
        <f>+M130</f>
        <v>0</v>
      </c>
      <c r="N129" s="54">
        <f t="shared" ref="N129:AA129" si="123">+N130</f>
        <v>0</v>
      </c>
      <c r="O129" s="743">
        <f t="shared" si="123"/>
        <v>0</v>
      </c>
      <c r="P129" s="54">
        <f t="shared" si="123"/>
        <v>0</v>
      </c>
      <c r="Q129" s="54">
        <f t="shared" si="123"/>
        <v>0</v>
      </c>
      <c r="R129" s="743">
        <f t="shared" si="123"/>
        <v>0</v>
      </c>
      <c r="S129" s="54">
        <f t="shared" si="123"/>
        <v>0</v>
      </c>
      <c r="T129" s="54">
        <f t="shared" si="123"/>
        <v>0</v>
      </c>
      <c r="U129" s="54">
        <f t="shared" si="123"/>
        <v>0</v>
      </c>
      <c r="V129" s="55">
        <f t="shared" si="68"/>
        <v>0</v>
      </c>
      <c r="W129" s="54">
        <f t="shared" si="123"/>
        <v>0</v>
      </c>
      <c r="X129" s="54">
        <f t="shared" si="123"/>
        <v>0</v>
      </c>
      <c r="Y129" s="55">
        <f t="shared" si="84"/>
        <v>0</v>
      </c>
      <c r="Z129" s="54">
        <f t="shared" si="123"/>
        <v>0</v>
      </c>
      <c r="AA129" s="54">
        <f t="shared" si="123"/>
        <v>0</v>
      </c>
      <c r="AB129" s="55">
        <f t="shared" si="66"/>
        <v>0</v>
      </c>
    </row>
    <row r="130" spans="1:28" ht="24.95" hidden="1" customHeight="1">
      <c r="A130" s="32" t="e">
        <f>+CONCATENATE(#REF!,"=",J130)</f>
        <v>#REF!</v>
      </c>
      <c r="B130" s="78" t="str">
        <f t="shared" ref="B130:B136" si="124">CONCATENATE(C130,"-",D130,"-",E130,"-",F130,"-",G130,"-",H130,"-",I130)</f>
        <v>C-4101-1500-6-0-4101074-02</v>
      </c>
      <c r="C130" s="79" t="s">
        <v>167</v>
      </c>
      <c r="D130" s="79" t="s">
        <v>171</v>
      </c>
      <c r="E130" s="79" t="s">
        <v>172</v>
      </c>
      <c r="F130" s="79" t="s">
        <v>173</v>
      </c>
      <c r="G130" s="79" t="s">
        <v>175</v>
      </c>
      <c r="H130" s="79" t="s">
        <v>179</v>
      </c>
      <c r="I130" s="79" t="s">
        <v>54</v>
      </c>
      <c r="J130" s="79" t="s">
        <v>144</v>
      </c>
      <c r="K130" s="80" t="s">
        <v>29</v>
      </c>
      <c r="L130" s="59" t="s">
        <v>178</v>
      </c>
      <c r="M130" s="60"/>
      <c r="N130" s="60"/>
      <c r="O130" s="745"/>
      <c r="P130" s="60"/>
      <c r="Q130" s="60"/>
      <c r="R130" s="745"/>
      <c r="S130" s="60">
        <f>+M130-R130+N130-O130+P130-Q130</f>
        <v>0</v>
      </c>
      <c r="T130" s="60"/>
      <c r="U130" s="60">
        <f t="shared" si="120"/>
        <v>0</v>
      </c>
      <c r="V130" s="62">
        <f t="shared" si="68"/>
        <v>0</v>
      </c>
      <c r="W130" s="60"/>
      <c r="X130" s="60">
        <f t="shared" si="121"/>
        <v>0</v>
      </c>
      <c r="Y130" s="62">
        <f t="shared" si="84"/>
        <v>0</v>
      </c>
      <c r="Z130" s="60"/>
      <c r="AA130" s="60">
        <f t="shared" si="122"/>
        <v>0</v>
      </c>
      <c r="AB130" s="62">
        <f t="shared" si="66"/>
        <v>0</v>
      </c>
    </row>
    <row r="131" spans="1:28" ht="43.5" hidden="1" customHeight="1">
      <c r="A131" s="32" t="e">
        <f>+CONCATENATE(#REF!,"=",J131)</f>
        <v>#REF!</v>
      </c>
      <c r="B131" s="77" t="str">
        <f t="shared" si="124"/>
        <v>C-4101-1500-6-0-4101077-</v>
      </c>
      <c r="C131" s="52" t="s">
        <v>167</v>
      </c>
      <c r="D131" s="52" t="s">
        <v>171</v>
      </c>
      <c r="E131" s="52" t="s">
        <v>172</v>
      </c>
      <c r="F131" s="52" t="s">
        <v>173</v>
      </c>
      <c r="G131" s="52" t="s">
        <v>175</v>
      </c>
      <c r="H131" s="52" t="s">
        <v>181</v>
      </c>
      <c r="I131" s="52"/>
      <c r="J131" s="52" t="s">
        <v>144</v>
      </c>
      <c r="K131" s="52" t="s">
        <v>29</v>
      </c>
      <c r="L131" s="77" t="s">
        <v>182</v>
      </c>
      <c r="M131" s="54">
        <f>+M132</f>
        <v>0</v>
      </c>
      <c r="N131" s="54">
        <f t="shared" ref="N131:AA131" si="125">+N132</f>
        <v>0</v>
      </c>
      <c r="O131" s="743">
        <f t="shared" si="125"/>
        <v>0</v>
      </c>
      <c r="P131" s="54">
        <f t="shared" si="125"/>
        <v>0</v>
      </c>
      <c r="Q131" s="54">
        <f t="shared" si="125"/>
        <v>0</v>
      </c>
      <c r="R131" s="743">
        <f t="shared" si="125"/>
        <v>0</v>
      </c>
      <c r="S131" s="54">
        <f t="shared" si="125"/>
        <v>0</v>
      </c>
      <c r="T131" s="54">
        <f t="shared" si="125"/>
        <v>0</v>
      </c>
      <c r="U131" s="54">
        <f t="shared" si="125"/>
        <v>0</v>
      </c>
      <c r="V131" s="55">
        <f t="shared" si="68"/>
        <v>0</v>
      </c>
      <c r="W131" s="54">
        <f t="shared" si="125"/>
        <v>0</v>
      </c>
      <c r="X131" s="54">
        <f t="shared" si="125"/>
        <v>0</v>
      </c>
      <c r="Y131" s="55">
        <f t="shared" si="84"/>
        <v>0</v>
      </c>
      <c r="Z131" s="54">
        <f t="shared" si="125"/>
        <v>0</v>
      </c>
      <c r="AA131" s="54">
        <f t="shared" si="125"/>
        <v>0</v>
      </c>
      <c r="AB131" s="55">
        <f t="shared" si="66"/>
        <v>0</v>
      </c>
    </row>
    <row r="132" spans="1:28" ht="24.95" hidden="1" customHeight="1">
      <c r="A132" s="32" t="e">
        <f>+CONCATENATE(#REF!,"=",J132)</f>
        <v>#REF!</v>
      </c>
      <c r="B132" s="78" t="str">
        <f t="shared" si="124"/>
        <v>C-4101-1500-6-0-4101077-02</v>
      </c>
      <c r="C132" s="79" t="s">
        <v>167</v>
      </c>
      <c r="D132" s="79" t="s">
        <v>171</v>
      </c>
      <c r="E132" s="79" t="s">
        <v>172</v>
      </c>
      <c r="F132" s="79" t="s">
        <v>173</v>
      </c>
      <c r="G132" s="79" t="s">
        <v>175</v>
      </c>
      <c r="H132" s="79" t="s">
        <v>181</v>
      </c>
      <c r="I132" s="79" t="s">
        <v>54</v>
      </c>
      <c r="J132" s="79" t="s">
        <v>144</v>
      </c>
      <c r="K132" s="80" t="s">
        <v>29</v>
      </c>
      <c r="L132" s="59" t="s">
        <v>178</v>
      </c>
      <c r="M132" s="60"/>
      <c r="N132" s="60"/>
      <c r="O132" s="745"/>
      <c r="P132" s="60"/>
      <c r="Q132" s="60"/>
      <c r="R132" s="745"/>
      <c r="S132" s="60">
        <f>+M132-R132+N132-O132+P132-Q132</f>
        <v>0</v>
      </c>
      <c r="T132" s="60"/>
      <c r="U132" s="60">
        <f t="shared" si="120"/>
        <v>0</v>
      </c>
      <c r="V132" s="62">
        <f t="shared" si="68"/>
        <v>0</v>
      </c>
      <c r="W132" s="60"/>
      <c r="X132" s="60">
        <f t="shared" si="121"/>
        <v>0</v>
      </c>
      <c r="Y132" s="62">
        <f t="shared" si="84"/>
        <v>0</v>
      </c>
      <c r="Z132" s="60"/>
      <c r="AA132" s="60">
        <f t="shared" si="122"/>
        <v>0</v>
      </c>
      <c r="AB132" s="62">
        <f t="shared" si="66"/>
        <v>0</v>
      </c>
    </row>
    <row r="133" spans="1:28" ht="45" hidden="1" customHeight="1">
      <c r="A133" s="32" t="e">
        <f>+CONCATENATE(#REF!,"=",J133)</f>
        <v>#REF!</v>
      </c>
      <c r="B133" s="77" t="str">
        <f t="shared" si="124"/>
        <v>C-4101-1500-6-0-4101078-</v>
      </c>
      <c r="C133" s="52" t="s">
        <v>167</v>
      </c>
      <c r="D133" s="52" t="s">
        <v>171</v>
      </c>
      <c r="E133" s="52" t="s">
        <v>172</v>
      </c>
      <c r="F133" s="52" t="s">
        <v>173</v>
      </c>
      <c r="G133" s="52" t="s">
        <v>175</v>
      </c>
      <c r="H133" s="52" t="s">
        <v>183</v>
      </c>
      <c r="I133" s="52"/>
      <c r="J133" s="52" t="s">
        <v>144</v>
      </c>
      <c r="K133" s="52" t="s">
        <v>29</v>
      </c>
      <c r="L133" s="77" t="s">
        <v>184</v>
      </c>
      <c r="M133" s="54">
        <f t="shared" ref="M133:U133" si="126">SUM(M134:M134)</f>
        <v>0</v>
      </c>
      <c r="N133" s="54">
        <f t="shared" si="126"/>
        <v>0</v>
      </c>
      <c r="O133" s="743">
        <f t="shared" si="126"/>
        <v>0</v>
      </c>
      <c r="P133" s="54">
        <f t="shared" si="126"/>
        <v>0</v>
      </c>
      <c r="Q133" s="54">
        <f t="shared" si="126"/>
        <v>0</v>
      </c>
      <c r="R133" s="743">
        <f t="shared" si="126"/>
        <v>0</v>
      </c>
      <c r="S133" s="54">
        <f t="shared" si="126"/>
        <v>0</v>
      </c>
      <c r="T133" s="54">
        <f t="shared" si="126"/>
        <v>0</v>
      </c>
      <c r="U133" s="54">
        <f t="shared" si="126"/>
        <v>0</v>
      </c>
      <c r="V133" s="55">
        <f t="shared" si="68"/>
        <v>0</v>
      </c>
      <c r="W133" s="54">
        <f t="shared" ref="W133:X133" si="127">SUM(W134:W134)</f>
        <v>0</v>
      </c>
      <c r="X133" s="54">
        <f t="shared" si="127"/>
        <v>0</v>
      </c>
      <c r="Y133" s="55">
        <f t="shared" si="84"/>
        <v>0</v>
      </c>
      <c r="Z133" s="54">
        <f t="shared" ref="Z133:AA133" si="128">SUM(Z134:Z134)</f>
        <v>0</v>
      </c>
      <c r="AA133" s="54">
        <f t="shared" si="128"/>
        <v>0</v>
      </c>
      <c r="AB133" s="55">
        <f t="shared" si="66"/>
        <v>0</v>
      </c>
    </row>
    <row r="134" spans="1:28" ht="24.95" hidden="1" customHeight="1">
      <c r="A134" s="32" t="e">
        <f>+CONCATENATE(#REF!,"=",J134)</f>
        <v>#REF!</v>
      </c>
      <c r="B134" s="78" t="str">
        <f t="shared" si="124"/>
        <v>C-4101-1500-6-0-4101078-02</v>
      </c>
      <c r="C134" s="79" t="s">
        <v>167</v>
      </c>
      <c r="D134" s="79" t="s">
        <v>171</v>
      </c>
      <c r="E134" s="79" t="s">
        <v>172</v>
      </c>
      <c r="F134" s="79" t="s">
        <v>173</v>
      </c>
      <c r="G134" s="79" t="s">
        <v>175</v>
      </c>
      <c r="H134" s="79" t="s">
        <v>183</v>
      </c>
      <c r="I134" s="79" t="s">
        <v>54</v>
      </c>
      <c r="J134" s="79" t="s">
        <v>144</v>
      </c>
      <c r="K134" s="80" t="s">
        <v>29</v>
      </c>
      <c r="L134" s="59" t="s">
        <v>178</v>
      </c>
      <c r="M134" s="60">
        <v>0</v>
      </c>
      <c r="N134" s="60"/>
      <c r="O134" s="745"/>
      <c r="P134" s="60"/>
      <c r="Q134" s="60"/>
      <c r="R134" s="745"/>
      <c r="S134" s="60">
        <f>+M134-R134+N134-O134+P134-Q134</f>
        <v>0</v>
      </c>
      <c r="T134" s="60">
        <v>0</v>
      </c>
      <c r="U134" s="60">
        <f t="shared" si="120"/>
        <v>0</v>
      </c>
      <c r="V134" s="62">
        <f t="shared" si="68"/>
        <v>0</v>
      </c>
      <c r="W134" s="60">
        <v>0</v>
      </c>
      <c r="X134" s="60">
        <f t="shared" si="121"/>
        <v>0</v>
      </c>
      <c r="Y134" s="62">
        <f t="shared" si="84"/>
        <v>0</v>
      </c>
      <c r="Z134" s="60">
        <v>0</v>
      </c>
      <c r="AA134" s="60">
        <f t="shared" si="122"/>
        <v>0</v>
      </c>
      <c r="AB134" s="62">
        <f t="shared" si="66"/>
        <v>0</v>
      </c>
    </row>
    <row r="135" spans="1:28" ht="33.75" hidden="1" customHeight="1">
      <c r="A135" s="32" t="e">
        <f>+CONCATENATE(#REF!,"=",J135)</f>
        <v>#REF!</v>
      </c>
      <c r="B135" s="77" t="str">
        <f>CONCATENATE(C135,"-",D135,"-",E135,"-",F135,"-",G135,"-",H135)</f>
        <v>C-4101-1500-6-0-4101080</v>
      </c>
      <c r="C135" s="52" t="s">
        <v>167</v>
      </c>
      <c r="D135" s="52" t="s">
        <v>171</v>
      </c>
      <c r="E135" s="52" t="s">
        <v>172</v>
      </c>
      <c r="F135" s="52" t="s">
        <v>173</v>
      </c>
      <c r="G135" s="52" t="s">
        <v>175</v>
      </c>
      <c r="H135" s="52" t="s">
        <v>185</v>
      </c>
      <c r="I135" s="52"/>
      <c r="J135" s="52" t="s">
        <v>144</v>
      </c>
      <c r="K135" s="52" t="s">
        <v>29</v>
      </c>
      <c r="L135" s="77" t="s">
        <v>186</v>
      </c>
      <c r="M135" s="54">
        <f>+M136</f>
        <v>0</v>
      </c>
      <c r="N135" s="54">
        <f t="shared" ref="N135:AA135" si="129">+N136</f>
        <v>0</v>
      </c>
      <c r="O135" s="743">
        <f t="shared" si="129"/>
        <v>0</v>
      </c>
      <c r="P135" s="54">
        <f t="shared" si="129"/>
        <v>0</v>
      </c>
      <c r="Q135" s="54">
        <f t="shared" si="129"/>
        <v>0</v>
      </c>
      <c r="R135" s="743">
        <f t="shared" si="129"/>
        <v>0</v>
      </c>
      <c r="S135" s="54">
        <f t="shared" si="129"/>
        <v>0</v>
      </c>
      <c r="T135" s="54">
        <f t="shared" si="129"/>
        <v>0</v>
      </c>
      <c r="U135" s="54">
        <f t="shared" si="129"/>
        <v>0</v>
      </c>
      <c r="V135" s="55">
        <f t="shared" si="68"/>
        <v>0</v>
      </c>
      <c r="W135" s="54">
        <f t="shared" si="129"/>
        <v>0</v>
      </c>
      <c r="X135" s="54">
        <f t="shared" si="129"/>
        <v>0</v>
      </c>
      <c r="Y135" s="55">
        <f t="shared" si="84"/>
        <v>0</v>
      </c>
      <c r="Z135" s="54">
        <f t="shared" si="129"/>
        <v>0</v>
      </c>
      <c r="AA135" s="54">
        <f t="shared" si="129"/>
        <v>0</v>
      </c>
      <c r="AB135" s="55">
        <f t="shared" si="66"/>
        <v>0</v>
      </c>
    </row>
    <row r="136" spans="1:28" ht="24.95" hidden="1" customHeight="1">
      <c r="A136" s="32" t="e">
        <f>+CONCATENATE(#REF!,"=",J136)</f>
        <v>#REF!</v>
      </c>
      <c r="B136" s="78" t="str">
        <f t="shared" si="124"/>
        <v>C-4101-1500-6-0-4101080-02</v>
      </c>
      <c r="C136" s="79" t="s">
        <v>167</v>
      </c>
      <c r="D136" s="79" t="s">
        <v>171</v>
      </c>
      <c r="E136" s="79" t="s">
        <v>172</v>
      </c>
      <c r="F136" s="79" t="s">
        <v>173</v>
      </c>
      <c r="G136" s="79" t="s">
        <v>175</v>
      </c>
      <c r="H136" s="79" t="s">
        <v>185</v>
      </c>
      <c r="I136" s="79" t="s">
        <v>54</v>
      </c>
      <c r="J136" s="79" t="s">
        <v>144</v>
      </c>
      <c r="K136" s="80" t="s">
        <v>29</v>
      </c>
      <c r="L136" s="59" t="s">
        <v>178</v>
      </c>
      <c r="M136" s="60"/>
      <c r="N136" s="60"/>
      <c r="O136" s="745"/>
      <c r="P136" s="60"/>
      <c r="Q136" s="60"/>
      <c r="R136" s="745"/>
      <c r="S136" s="60">
        <f>+M136-R136+N136-O136+P136-Q136</f>
        <v>0</v>
      </c>
      <c r="T136" s="60"/>
      <c r="U136" s="60">
        <f t="shared" si="120"/>
        <v>0</v>
      </c>
      <c r="V136" s="62">
        <f t="shared" si="68"/>
        <v>0</v>
      </c>
      <c r="W136" s="60"/>
      <c r="X136" s="60">
        <f t="shared" si="121"/>
        <v>0</v>
      </c>
      <c r="Y136" s="62">
        <f t="shared" si="84"/>
        <v>0</v>
      </c>
      <c r="Z136" s="60"/>
      <c r="AA136" s="60">
        <f t="shared" si="122"/>
        <v>0</v>
      </c>
      <c r="AB136" s="62">
        <f t="shared" si="66"/>
        <v>0</v>
      </c>
    </row>
    <row r="137" spans="1:28" ht="24" hidden="1" customHeight="1">
      <c r="A137" s="32" t="e">
        <f>+CONCATENATE(#REF!,"=",J137)</f>
        <v>#REF!</v>
      </c>
      <c r="B137" s="77"/>
      <c r="C137" s="52" t="s">
        <v>167</v>
      </c>
      <c r="D137" s="52" t="s">
        <v>171</v>
      </c>
      <c r="E137" s="52" t="s">
        <v>172</v>
      </c>
      <c r="F137" s="52" t="s">
        <v>173</v>
      </c>
      <c r="G137" s="52" t="s">
        <v>175</v>
      </c>
      <c r="H137" s="52" t="s">
        <v>187</v>
      </c>
      <c r="I137" s="52"/>
      <c r="J137" s="52" t="s">
        <v>144</v>
      </c>
      <c r="K137" s="52" t="s">
        <v>29</v>
      </c>
      <c r="L137" s="77" t="s">
        <v>188</v>
      </c>
      <c r="M137" s="54">
        <f>SUM(M138:M139)</f>
        <v>0</v>
      </c>
      <c r="N137" s="54">
        <f t="shared" ref="N137:AA137" si="130">SUM(N138:N139)</f>
        <v>0</v>
      </c>
      <c r="O137" s="743">
        <f t="shared" si="130"/>
        <v>0</v>
      </c>
      <c r="P137" s="54">
        <f t="shared" si="130"/>
        <v>0</v>
      </c>
      <c r="Q137" s="54">
        <f t="shared" si="130"/>
        <v>0</v>
      </c>
      <c r="R137" s="743">
        <f t="shared" si="130"/>
        <v>0</v>
      </c>
      <c r="S137" s="54">
        <f t="shared" si="130"/>
        <v>0</v>
      </c>
      <c r="T137" s="54">
        <f t="shared" si="130"/>
        <v>0</v>
      </c>
      <c r="U137" s="54">
        <f t="shared" si="130"/>
        <v>0</v>
      </c>
      <c r="V137" s="55">
        <f t="shared" si="68"/>
        <v>0</v>
      </c>
      <c r="W137" s="54">
        <f t="shared" si="130"/>
        <v>0</v>
      </c>
      <c r="X137" s="54">
        <f t="shared" si="130"/>
        <v>0</v>
      </c>
      <c r="Y137" s="55">
        <f t="shared" si="84"/>
        <v>0</v>
      </c>
      <c r="Z137" s="54">
        <f t="shared" si="130"/>
        <v>0</v>
      </c>
      <c r="AA137" s="54">
        <f t="shared" si="130"/>
        <v>0</v>
      </c>
      <c r="AB137" s="55">
        <f t="shared" si="66"/>
        <v>0</v>
      </c>
    </row>
    <row r="138" spans="1:28" ht="24.95" hidden="1" customHeight="1">
      <c r="A138" s="32" t="e">
        <f>+CONCATENATE(#REF!,"=",J138)</f>
        <v>#REF!</v>
      </c>
      <c r="B138" s="78"/>
      <c r="C138" s="79" t="s">
        <v>167</v>
      </c>
      <c r="D138" s="79" t="s">
        <v>171</v>
      </c>
      <c r="E138" s="79" t="s">
        <v>172</v>
      </c>
      <c r="F138" s="79" t="s">
        <v>173</v>
      </c>
      <c r="G138" s="79" t="s">
        <v>175</v>
      </c>
      <c r="H138" s="79" t="s">
        <v>187</v>
      </c>
      <c r="I138" s="79" t="s">
        <v>54</v>
      </c>
      <c r="J138" s="79" t="s">
        <v>144</v>
      </c>
      <c r="K138" s="80" t="s">
        <v>29</v>
      </c>
      <c r="L138" s="59" t="s">
        <v>178</v>
      </c>
      <c r="M138" s="60">
        <v>0</v>
      </c>
      <c r="N138" s="60"/>
      <c r="O138" s="745"/>
      <c r="P138" s="60"/>
      <c r="Q138" s="60"/>
      <c r="R138" s="745"/>
      <c r="S138" s="60">
        <f>+M138-R138+N138-O138+P138-Q138</f>
        <v>0</v>
      </c>
      <c r="T138" s="60">
        <v>0</v>
      </c>
      <c r="U138" s="60">
        <f t="shared" si="120"/>
        <v>0</v>
      </c>
      <c r="V138" s="62">
        <f t="shared" si="68"/>
        <v>0</v>
      </c>
      <c r="W138" s="60">
        <v>0</v>
      </c>
      <c r="X138" s="60">
        <f t="shared" si="121"/>
        <v>0</v>
      </c>
      <c r="Y138" s="62">
        <f t="shared" si="84"/>
        <v>0</v>
      </c>
      <c r="Z138" s="60">
        <v>0</v>
      </c>
      <c r="AA138" s="60">
        <f t="shared" si="122"/>
        <v>0</v>
      </c>
      <c r="AB138" s="62">
        <f t="shared" si="66"/>
        <v>0</v>
      </c>
    </row>
    <row r="139" spans="1:28" ht="24.95" hidden="1" customHeight="1">
      <c r="A139" s="32" t="e">
        <f>+CONCATENATE(#REF!,"=",J139)</f>
        <v>#REF!</v>
      </c>
      <c r="B139" s="78"/>
      <c r="C139" s="79" t="s">
        <v>167</v>
      </c>
      <c r="D139" s="79" t="s">
        <v>171</v>
      </c>
      <c r="E139" s="79" t="s">
        <v>172</v>
      </c>
      <c r="F139" s="79" t="s">
        <v>173</v>
      </c>
      <c r="G139" s="79" t="s">
        <v>175</v>
      </c>
      <c r="H139" s="79" t="s">
        <v>187</v>
      </c>
      <c r="I139" s="79" t="s">
        <v>65</v>
      </c>
      <c r="J139" s="79" t="s">
        <v>144</v>
      </c>
      <c r="K139" s="80" t="s">
        <v>29</v>
      </c>
      <c r="L139" s="59" t="s">
        <v>127</v>
      </c>
      <c r="M139" s="60">
        <v>0</v>
      </c>
      <c r="N139" s="60"/>
      <c r="O139" s="745"/>
      <c r="P139" s="60"/>
      <c r="Q139" s="60"/>
      <c r="R139" s="745"/>
      <c r="S139" s="60">
        <f>+M139-R139+N139-O139+P139-Q139</f>
        <v>0</v>
      </c>
      <c r="T139" s="60">
        <v>0</v>
      </c>
      <c r="U139" s="60">
        <f t="shared" si="120"/>
        <v>0</v>
      </c>
      <c r="V139" s="62">
        <f t="shared" si="68"/>
        <v>0</v>
      </c>
      <c r="W139" s="60">
        <v>0</v>
      </c>
      <c r="X139" s="60">
        <f t="shared" si="121"/>
        <v>0</v>
      </c>
      <c r="Y139" s="62">
        <f t="shared" si="84"/>
        <v>0</v>
      </c>
      <c r="Z139" s="60">
        <v>0</v>
      </c>
      <c r="AA139" s="60">
        <f t="shared" si="122"/>
        <v>0</v>
      </c>
      <c r="AB139" s="62">
        <f t="shared" si="66"/>
        <v>0</v>
      </c>
    </row>
    <row r="140" spans="1:28" ht="31.5" customHeight="1">
      <c r="A140" s="32" t="e">
        <f>+CONCATENATE(#REF!,"=",J140)</f>
        <v>#REF!</v>
      </c>
      <c r="B140" s="38" t="str">
        <f>CONCATENATE(C140,"-",D140)</f>
        <v>C-4103</v>
      </c>
      <c r="C140" s="39" t="s">
        <v>167</v>
      </c>
      <c r="D140" s="39">
        <v>4103</v>
      </c>
      <c r="E140" s="39"/>
      <c r="F140" s="39"/>
      <c r="G140" s="39"/>
      <c r="H140" s="39"/>
      <c r="I140" s="39"/>
      <c r="J140" s="40"/>
      <c r="K140" s="40"/>
      <c r="L140" s="38" t="s">
        <v>189</v>
      </c>
      <c r="M140" s="41">
        <f>+M141</f>
        <v>12911249110989</v>
      </c>
      <c r="N140" s="41">
        <f t="shared" ref="N140:U140" si="131">+N141</f>
        <v>5269349000</v>
      </c>
      <c r="O140" s="740">
        <f t="shared" si="131"/>
        <v>0</v>
      </c>
      <c r="P140" s="41">
        <f t="shared" si="131"/>
        <v>207173534819.21002</v>
      </c>
      <c r="Q140" s="41">
        <f t="shared" si="131"/>
        <v>207173534819.21002</v>
      </c>
      <c r="R140" s="740">
        <f t="shared" si="131"/>
        <v>0</v>
      </c>
      <c r="S140" s="41">
        <f t="shared" si="131"/>
        <v>12916518459989</v>
      </c>
      <c r="T140" s="41">
        <f t="shared" si="131"/>
        <v>10799414276574.711</v>
      </c>
      <c r="U140" s="41">
        <f t="shared" si="131"/>
        <v>2117104183414.2898</v>
      </c>
      <c r="V140" s="42">
        <f t="shared" si="68"/>
        <v>0.83609327931730515</v>
      </c>
      <c r="W140" s="41">
        <f t="shared" ref="W140:X140" si="132">+W141</f>
        <v>9809568201872.1289</v>
      </c>
      <c r="X140" s="41">
        <f t="shared" si="132"/>
        <v>989846074702.57996</v>
      </c>
      <c r="Y140" s="42">
        <f t="shared" si="84"/>
        <v>9.1657385238908803E-2</v>
      </c>
      <c r="Z140" s="41">
        <f t="shared" ref="Z140:AA140" si="133">+Z141</f>
        <v>9798227810655.7598</v>
      </c>
      <c r="AA140" s="41">
        <f t="shared" si="133"/>
        <v>11340391216.369999</v>
      </c>
      <c r="AB140" s="42">
        <f t="shared" si="66"/>
        <v>0.90729252158696694</v>
      </c>
    </row>
    <row r="141" spans="1:28" ht="24" customHeight="1">
      <c r="A141" s="32" t="e">
        <f>+CONCATENATE(#REF!,"=",J141)</f>
        <v>#REF!</v>
      </c>
      <c r="B141" s="43" t="str">
        <f>CONCATENATE(C141,"-",D141,"-",E141)</f>
        <v>C-4103-1500</v>
      </c>
      <c r="C141" s="44" t="s">
        <v>167</v>
      </c>
      <c r="D141" s="44">
        <v>4103</v>
      </c>
      <c r="E141" s="44">
        <v>1500</v>
      </c>
      <c r="F141" s="44"/>
      <c r="G141" s="44"/>
      <c r="H141" s="44"/>
      <c r="I141" s="44"/>
      <c r="J141" s="45"/>
      <c r="K141" s="45"/>
      <c r="L141" s="43" t="s">
        <v>170</v>
      </c>
      <c r="M141" s="46">
        <f t="shared" ref="M141:U141" si="134">+M142+M152+M161+M169+M174+M184+M191+M196+M222+M207+M229</f>
        <v>12911249110989</v>
      </c>
      <c r="N141" s="46">
        <f t="shared" si="134"/>
        <v>5269349000</v>
      </c>
      <c r="O141" s="741">
        <f t="shared" si="134"/>
        <v>0</v>
      </c>
      <c r="P141" s="46">
        <f t="shared" si="134"/>
        <v>207173534819.21002</v>
      </c>
      <c r="Q141" s="46">
        <f t="shared" si="134"/>
        <v>207173534819.21002</v>
      </c>
      <c r="R141" s="741">
        <f t="shared" si="134"/>
        <v>0</v>
      </c>
      <c r="S141" s="46">
        <f t="shared" si="134"/>
        <v>12916518459989</v>
      </c>
      <c r="T141" s="46">
        <f t="shared" si="134"/>
        <v>10799414276574.711</v>
      </c>
      <c r="U141" s="46">
        <f t="shared" si="134"/>
        <v>2117104183414.2898</v>
      </c>
      <c r="V141" s="47">
        <f t="shared" si="68"/>
        <v>0.83609327931730515</v>
      </c>
      <c r="W141" s="46">
        <f>+W142+W152+W161+W169+W174+W184+W191+W196+W222+W207+W229</f>
        <v>9809568201872.1289</v>
      </c>
      <c r="X141" s="46">
        <f>+X142+X152+X161+X169+X174+X184+X191+X196+X222+X207+X229</f>
        <v>989846074702.57996</v>
      </c>
      <c r="Y141" s="47">
        <f t="shared" si="84"/>
        <v>9.1657385238908803E-2</v>
      </c>
      <c r="Z141" s="46">
        <f>+Z142+Z152+Z161+Z169+Z174+Z184+Z191+Z196+Z222+Z207+Z229</f>
        <v>9798227810655.7598</v>
      </c>
      <c r="AA141" s="46">
        <f>+AA142+AA152+AA161+AA169+AA174+AA184+AA191+AA196+AA222+AA207+AA229</f>
        <v>11340391216.369999</v>
      </c>
      <c r="AB141" s="47">
        <f t="shared" si="66"/>
        <v>0.90729252158696694</v>
      </c>
    </row>
    <row r="142" spans="1:28" ht="37.5" customHeight="1">
      <c r="A142" s="32" t="e">
        <f>+CONCATENATE(#REF!,"=",J142)</f>
        <v>#REF!</v>
      </c>
      <c r="B142" s="48" t="str">
        <f>CONCATENATE(C142,"-",D142,"-",E142,"-",F142)</f>
        <v>C-4103-1500-12</v>
      </c>
      <c r="C142" s="48" t="s">
        <v>167</v>
      </c>
      <c r="D142" s="48" t="s">
        <v>190</v>
      </c>
      <c r="E142" s="48" t="s">
        <v>172</v>
      </c>
      <c r="F142" s="48" t="s">
        <v>191</v>
      </c>
      <c r="G142" s="48"/>
      <c r="H142" s="48"/>
      <c r="I142" s="48"/>
      <c r="J142" s="48"/>
      <c r="K142" s="48"/>
      <c r="L142" s="48" t="s">
        <v>192</v>
      </c>
      <c r="M142" s="50">
        <f t="shared" ref="M142:U142" si="135">+M143+M148+M150</f>
        <v>2205025363612</v>
      </c>
      <c r="N142" s="50">
        <f t="shared" si="135"/>
        <v>0</v>
      </c>
      <c r="O142" s="50">
        <f t="shared" si="135"/>
        <v>0</v>
      </c>
      <c r="P142" s="50">
        <f t="shared" si="135"/>
        <v>51404897654.110001</v>
      </c>
      <c r="Q142" s="50">
        <f t="shared" si="135"/>
        <v>51404897654.110001</v>
      </c>
      <c r="R142" s="50">
        <f t="shared" si="135"/>
        <v>0</v>
      </c>
      <c r="S142" s="50">
        <f t="shared" si="135"/>
        <v>2205025363612</v>
      </c>
      <c r="T142" s="50">
        <f t="shared" si="135"/>
        <v>2126120322279.71</v>
      </c>
      <c r="U142" s="50">
        <f t="shared" si="135"/>
        <v>78905041332.290009</v>
      </c>
      <c r="V142" s="51">
        <f t="shared" si="68"/>
        <v>0.96421581237367826</v>
      </c>
      <c r="W142" s="50">
        <f t="shared" ref="W142:X142" si="136">+W143+W148+W150</f>
        <v>1922753043590.03</v>
      </c>
      <c r="X142" s="50">
        <f t="shared" si="136"/>
        <v>203367278689.67999</v>
      </c>
      <c r="Y142" s="51">
        <f t="shared" si="84"/>
        <v>9.5651820152690886E-2</v>
      </c>
      <c r="Z142" s="50">
        <f t="shared" ref="Z142:AA142" si="137">+Z143+Z148+Z150</f>
        <v>1922691163279.03</v>
      </c>
      <c r="AA142" s="50">
        <f t="shared" si="137"/>
        <v>61880311</v>
      </c>
      <c r="AB142" s="51">
        <f t="shared" si="66"/>
        <v>0.90431907504531295</v>
      </c>
    </row>
    <row r="143" spans="1:28" ht="27.75" customHeight="1">
      <c r="A143" s="32" t="e">
        <f>+CONCATENATE(#REF!,"=",J143)</f>
        <v>#REF!</v>
      </c>
      <c r="B143" s="52" t="str">
        <f>CONCATENATE(C143,"-",D143,"-",E143,"-",F143,"-",G143,"-",H143)</f>
        <v>C-4103-1500-12-0-4103006</v>
      </c>
      <c r="C143" s="52" t="s">
        <v>167</v>
      </c>
      <c r="D143" s="52" t="s">
        <v>190</v>
      </c>
      <c r="E143" s="52" t="s">
        <v>172</v>
      </c>
      <c r="F143" s="52" t="s">
        <v>191</v>
      </c>
      <c r="G143" s="52" t="s">
        <v>175</v>
      </c>
      <c r="H143" s="52" t="s">
        <v>193</v>
      </c>
      <c r="I143" s="52"/>
      <c r="J143" s="52"/>
      <c r="K143" s="52"/>
      <c r="L143" s="52" t="s">
        <v>194</v>
      </c>
      <c r="M143" s="54">
        <f t="shared" ref="M143:U143" si="138">SUM(M144:M147)</f>
        <v>2199003443612</v>
      </c>
      <c r="N143" s="54">
        <f t="shared" si="138"/>
        <v>0</v>
      </c>
      <c r="O143" s="54">
        <f t="shared" si="138"/>
        <v>0</v>
      </c>
      <c r="P143" s="54">
        <f t="shared" si="138"/>
        <v>50662783800.110001</v>
      </c>
      <c r="Q143" s="54">
        <f t="shared" si="138"/>
        <v>50678800320.110001</v>
      </c>
      <c r="R143" s="54">
        <f t="shared" si="138"/>
        <v>0</v>
      </c>
      <c r="S143" s="54">
        <f t="shared" si="138"/>
        <v>2198987427092</v>
      </c>
      <c r="T143" s="54">
        <f t="shared" si="138"/>
        <v>2120082385759.71</v>
      </c>
      <c r="U143" s="54">
        <f t="shared" si="138"/>
        <v>78905041332.290009</v>
      </c>
      <c r="V143" s="55">
        <f t="shared" si="68"/>
        <v>0.96411755685359413</v>
      </c>
      <c r="W143" s="54">
        <f>SUM(W144:W147)</f>
        <v>1920941662634.03</v>
      </c>
      <c r="X143" s="54">
        <f>SUM(X144:X147)</f>
        <v>199140723125.67999</v>
      </c>
      <c r="Y143" s="55">
        <f t="shared" si="84"/>
        <v>9.3930653102577394E-2</v>
      </c>
      <c r="Z143" s="54">
        <f>SUM(Z144:Z147)</f>
        <v>1920879782323.03</v>
      </c>
      <c r="AA143" s="54">
        <f>SUM(AA144:AA147)</f>
        <v>61880311</v>
      </c>
      <c r="AB143" s="55">
        <f t="shared" ref="AB143:AB238" si="139">+IF(T143&gt;0,(Z143/T143),0)</f>
        <v>0.90604015920574821</v>
      </c>
    </row>
    <row r="144" spans="1:28" ht="24.95" customHeight="1">
      <c r="A144" s="32" t="e">
        <f>+CONCATENATE(#REF!,"=",J144)</f>
        <v>#REF!</v>
      </c>
      <c r="B144" s="56" t="str">
        <f t="shared" ref="B144:B160" si="140">CONCATENATE(C144,"-",D144,"-",E144,"-",F144,"-",G144,"-",H144,"-",I144)</f>
        <v>C-4103-1500-12-0-4103006-02</v>
      </c>
      <c r="C144" s="57" t="s">
        <v>167</v>
      </c>
      <c r="D144" s="57" t="s">
        <v>190</v>
      </c>
      <c r="E144" s="57" t="s">
        <v>172</v>
      </c>
      <c r="F144" s="57" t="s">
        <v>191</v>
      </c>
      <c r="G144" s="57" t="s">
        <v>175</v>
      </c>
      <c r="H144" s="57" t="s">
        <v>193</v>
      </c>
      <c r="I144" s="57" t="s">
        <v>54</v>
      </c>
      <c r="J144" s="57">
        <v>11</v>
      </c>
      <c r="K144" s="58" t="s">
        <v>29</v>
      </c>
      <c r="L144" s="59" t="s">
        <v>178</v>
      </c>
      <c r="M144" s="60">
        <v>92687031389</v>
      </c>
      <c r="N144" s="60"/>
      <c r="O144" s="60"/>
      <c r="P144" s="60">
        <f>5990987639+3551453467+228417580+1299757698.11+413961780</f>
        <v>11484578164.110001</v>
      </c>
      <c r="Q144" s="60">
        <f>14323500000+742113854+11092120318+12887935534</f>
        <v>39045669706</v>
      </c>
      <c r="R144" s="61"/>
      <c r="S144" s="60">
        <f>+M144-R144+N144-O144+P144-Q144</f>
        <v>65125939847.110001</v>
      </c>
      <c r="T144" s="60">
        <v>62594872410.709999</v>
      </c>
      <c r="U144" s="60">
        <f>+S144-T144</f>
        <v>2531067436.4000015</v>
      </c>
      <c r="V144" s="62">
        <f t="shared" si="68"/>
        <v>0.96113580176590241</v>
      </c>
      <c r="W144" s="60">
        <v>35024227281.029999</v>
      </c>
      <c r="X144" s="60">
        <f>+T144-W144</f>
        <v>27570645129.68</v>
      </c>
      <c r="Y144" s="62">
        <f t="shared" si="84"/>
        <v>0.44046171943251144</v>
      </c>
      <c r="Z144" s="60">
        <v>34962346970.029999</v>
      </c>
      <c r="AA144" s="60">
        <f>+W144-Z144</f>
        <v>61880311</v>
      </c>
      <c r="AB144" s="62">
        <f t="shared" si="139"/>
        <v>0.55854969622156991</v>
      </c>
    </row>
    <row r="145" spans="1:28" ht="24.95" customHeight="1">
      <c r="A145" s="32" t="e">
        <f>+CONCATENATE(#REF!,"=",J145)</f>
        <v>#REF!</v>
      </c>
      <c r="B145" s="56" t="str">
        <f t="shared" si="140"/>
        <v>C-4103-1500-12-0-4103006-02</v>
      </c>
      <c r="C145" s="57" t="s">
        <v>167</v>
      </c>
      <c r="D145" s="57" t="s">
        <v>190</v>
      </c>
      <c r="E145" s="57" t="s">
        <v>172</v>
      </c>
      <c r="F145" s="57" t="s">
        <v>191</v>
      </c>
      <c r="G145" s="57" t="s">
        <v>175</v>
      </c>
      <c r="H145" s="57" t="s">
        <v>193</v>
      </c>
      <c r="I145" s="57" t="s">
        <v>54</v>
      </c>
      <c r="J145" s="57">
        <v>13</v>
      </c>
      <c r="K145" s="58" t="s">
        <v>29</v>
      </c>
      <c r="L145" s="59" t="s">
        <v>178</v>
      </c>
      <c r="M145" s="60"/>
      <c r="N145" s="60"/>
      <c r="O145" s="60"/>
      <c r="P145" s="60">
        <f>148552450</f>
        <v>148552450</v>
      </c>
      <c r="Q145" s="60"/>
      <c r="R145" s="61"/>
      <c r="S145" s="60">
        <f>+M145-R145+N145-O145+P145-Q145</f>
        <v>148552450</v>
      </c>
      <c r="T145" s="60">
        <v>90475000</v>
      </c>
      <c r="U145" s="60">
        <f>+S145-T145</f>
        <v>58077450</v>
      </c>
      <c r="V145" s="62">
        <f t="shared" si="68"/>
        <v>0.60904414568726395</v>
      </c>
      <c r="W145" s="60">
        <v>73362500</v>
      </c>
      <c r="X145" s="60">
        <f>+T145-W145</f>
        <v>17112500</v>
      </c>
      <c r="Y145" s="62">
        <f t="shared" si="84"/>
        <v>0.18914064658745511</v>
      </c>
      <c r="Z145" s="60">
        <v>73362500</v>
      </c>
      <c r="AA145" s="60">
        <f>+W145-Z145</f>
        <v>0</v>
      </c>
      <c r="AB145" s="62">
        <f t="shared" si="139"/>
        <v>0.81085935341254489</v>
      </c>
    </row>
    <row r="146" spans="1:28" ht="24.95" customHeight="1">
      <c r="A146" s="32" t="e">
        <f>+CONCATENATE(#REF!,"=",J146)</f>
        <v>#REF!</v>
      </c>
      <c r="B146" s="56" t="str">
        <f t="shared" si="140"/>
        <v>C-4103-1500-12-0-4103006-03</v>
      </c>
      <c r="C146" s="57" t="s">
        <v>167</v>
      </c>
      <c r="D146" s="57" t="s">
        <v>190</v>
      </c>
      <c r="E146" s="57" t="s">
        <v>172</v>
      </c>
      <c r="F146" s="57" t="s">
        <v>191</v>
      </c>
      <c r="G146" s="57" t="s">
        <v>175</v>
      </c>
      <c r="H146" s="57" t="s">
        <v>193</v>
      </c>
      <c r="I146" s="57" t="s">
        <v>65</v>
      </c>
      <c r="J146" s="57" t="s">
        <v>144</v>
      </c>
      <c r="K146" s="58" t="s">
        <v>29</v>
      </c>
      <c r="L146" s="59" t="s">
        <v>127</v>
      </c>
      <c r="M146" s="60">
        <v>240070263035</v>
      </c>
      <c r="N146" s="60"/>
      <c r="O146" s="60"/>
      <c r="P146" s="60">
        <f>14323500000+600000000+11092120318+12887935534+126097334</f>
        <v>39029653186</v>
      </c>
      <c r="Q146" s="60">
        <f>5990987639+3551453467+228417580+1299757698.11+413961780</f>
        <v>11484578164.110001</v>
      </c>
      <c r="R146" s="61"/>
      <c r="S146" s="60">
        <f>+M146-R146+N146-O146+P146-Q146</f>
        <v>267615338056.89001</v>
      </c>
      <c r="T146" s="60">
        <v>231478764296</v>
      </c>
      <c r="U146" s="60">
        <f>+S146-T146</f>
        <v>36136573760.890015</v>
      </c>
      <c r="V146" s="62">
        <f t="shared" si="68"/>
        <v>0.86496822632338044</v>
      </c>
      <c r="W146" s="60">
        <v>230894302516</v>
      </c>
      <c r="X146" s="60">
        <f>+T146-W146</f>
        <v>584461780</v>
      </c>
      <c r="Y146" s="62">
        <f t="shared" si="84"/>
        <v>2.5249045275385533E-3</v>
      </c>
      <c r="Z146" s="60">
        <v>230894302516</v>
      </c>
      <c r="AA146" s="60">
        <f t="shared" ref="AA146:AA147" si="141">+W146-Z146</f>
        <v>0</v>
      </c>
      <c r="AB146" s="62">
        <f t="shared" si="139"/>
        <v>0.99747509547246149</v>
      </c>
    </row>
    <row r="147" spans="1:28" ht="24.95" customHeight="1">
      <c r="A147" s="32" t="e">
        <f>+CONCATENATE(#REF!,"=",J147)</f>
        <v>#REF!</v>
      </c>
      <c r="B147" s="56" t="str">
        <f t="shared" si="140"/>
        <v>C-4103-1500-12-0-4103006-03</v>
      </c>
      <c r="C147" s="57" t="s">
        <v>167</v>
      </c>
      <c r="D147" s="57" t="s">
        <v>190</v>
      </c>
      <c r="E147" s="57" t="s">
        <v>172</v>
      </c>
      <c r="F147" s="57" t="s">
        <v>191</v>
      </c>
      <c r="G147" s="57" t="s">
        <v>175</v>
      </c>
      <c r="H147" s="57" t="s">
        <v>193</v>
      </c>
      <c r="I147" s="57" t="s">
        <v>65</v>
      </c>
      <c r="J147" s="57">
        <v>13</v>
      </c>
      <c r="K147" s="58" t="s">
        <v>29</v>
      </c>
      <c r="L147" s="59" t="s">
        <v>127</v>
      </c>
      <c r="M147" s="60">
        <v>1866246149188</v>
      </c>
      <c r="N147" s="60"/>
      <c r="O147" s="60"/>
      <c r="P147" s="60"/>
      <c r="Q147" s="60">
        <f>148552450</f>
        <v>148552450</v>
      </c>
      <c r="R147" s="61"/>
      <c r="S147" s="60">
        <f>+M147-R147+N147-O147+P147-Q147</f>
        <v>1866097596738</v>
      </c>
      <c r="T147" s="60">
        <v>1825918274053</v>
      </c>
      <c r="U147" s="60">
        <f>+S147-T147</f>
        <v>40179322685</v>
      </c>
      <c r="V147" s="62">
        <f t="shared" si="68"/>
        <v>0.97846879886923666</v>
      </c>
      <c r="W147" s="60">
        <v>1654949770337</v>
      </c>
      <c r="X147" s="60">
        <f>+T147-W147</f>
        <v>170968503716</v>
      </c>
      <c r="Y147" s="62">
        <f t="shared" si="84"/>
        <v>9.3634258523794908E-2</v>
      </c>
      <c r="Z147" s="60">
        <v>1654949770337</v>
      </c>
      <c r="AA147" s="60">
        <f t="shared" si="141"/>
        <v>0</v>
      </c>
      <c r="AB147" s="62">
        <f t="shared" si="139"/>
        <v>0.90636574147620508</v>
      </c>
    </row>
    <row r="148" spans="1:28" ht="28.5" customHeight="1">
      <c r="A148" s="32" t="e">
        <f>+CONCATENATE(#REF!,"=",J148)</f>
        <v>#REF!</v>
      </c>
      <c r="B148" s="52" t="str">
        <f>CONCATENATE(C148,"-",D148,"-",E148,"-",F148,"-",G148,"-",H148)</f>
        <v>C-4103-1500-12-0-4103009</v>
      </c>
      <c r="C148" s="52" t="s">
        <v>167</v>
      </c>
      <c r="D148" s="52" t="s">
        <v>190</v>
      </c>
      <c r="E148" s="52" t="s">
        <v>172</v>
      </c>
      <c r="F148" s="52" t="s">
        <v>191</v>
      </c>
      <c r="G148" s="52" t="s">
        <v>175</v>
      </c>
      <c r="H148" s="52">
        <v>4103009</v>
      </c>
      <c r="I148" s="52"/>
      <c r="J148" s="52"/>
      <c r="K148" s="52" t="s">
        <v>29</v>
      </c>
      <c r="L148" s="52" t="s">
        <v>195</v>
      </c>
      <c r="M148" s="54">
        <f>+M149</f>
        <v>5421920000</v>
      </c>
      <c r="N148" s="54">
        <f>+N149</f>
        <v>0</v>
      </c>
      <c r="O148" s="54">
        <f t="shared" ref="O148:AA148" si="142">+O149</f>
        <v>0</v>
      </c>
      <c r="P148" s="54">
        <f t="shared" si="142"/>
        <v>742113854</v>
      </c>
      <c r="Q148" s="54">
        <f t="shared" si="142"/>
        <v>126097334</v>
      </c>
      <c r="R148" s="54">
        <f t="shared" si="142"/>
        <v>0</v>
      </c>
      <c r="S148" s="54">
        <f t="shared" si="142"/>
        <v>6037936520</v>
      </c>
      <c r="T148" s="54">
        <f t="shared" si="142"/>
        <v>6037936520</v>
      </c>
      <c r="U148" s="54">
        <f t="shared" si="142"/>
        <v>0</v>
      </c>
      <c r="V148" s="55">
        <f t="shared" si="68"/>
        <v>1</v>
      </c>
      <c r="W148" s="54">
        <f t="shared" si="142"/>
        <v>1811380956</v>
      </c>
      <c r="X148" s="54">
        <f t="shared" si="142"/>
        <v>4226555564</v>
      </c>
      <c r="Y148" s="55">
        <f t="shared" si="84"/>
        <v>0.7</v>
      </c>
      <c r="Z148" s="54">
        <f t="shared" si="142"/>
        <v>1811380956</v>
      </c>
      <c r="AA148" s="54">
        <f t="shared" si="142"/>
        <v>0</v>
      </c>
      <c r="AB148" s="55">
        <f t="shared" si="139"/>
        <v>0.3</v>
      </c>
    </row>
    <row r="149" spans="1:28" ht="24.95" customHeight="1">
      <c r="A149" s="32" t="e">
        <f>+CONCATENATE(#REF!,"=",J149)</f>
        <v>#REF!</v>
      </c>
      <c r="B149" s="56" t="str">
        <f t="shared" si="140"/>
        <v>C-4103-1500-12-0-4103009-02</v>
      </c>
      <c r="C149" s="57" t="s">
        <v>167</v>
      </c>
      <c r="D149" s="57" t="s">
        <v>190</v>
      </c>
      <c r="E149" s="57" t="s">
        <v>172</v>
      </c>
      <c r="F149" s="57" t="s">
        <v>191</v>
      </c>
      <c r="G149" s="57" t="s">
        <v>175</v>
      </c>
      <c r="H149" s="57">
        <v>4103009</v>
      </c>
      <c r="I149" s="57" t="s">
        <v>54</v>
      </c>
      <c r="J149" s="57">
        <v>11</v>
      </c>
      <c r="K149" s="58" t="s">
        <v>29</v>
      </c>
      <c r="L149" s="59" t="s">
        <v>178</v>
      </c>
      <c r="M149" s="60">
        <v>5421920000</v>
      </c>
      <c r="N149" s="60"/>
      <c r="O149" s="60"/>
      <c r="P149" s="60">
        <f>742113854</f>
        <v>742113854</v>
      </c>
      <c r="Q149" s="60">
        <f>126097334</f>
        <v>126097334</v>
      </c>
      <c r="R149" s="61"/>
      <c r="S149" s="60">
        <f>+M149-R149+N149-O149+P149-Q149</f>
        <v>6037936520</v>
      </c>
      <c r="T149" s="60">
        <v>6037936520</v>
      </c>
      <c r="U149" s="60">
        <f>+S149-T149</f>
        <v>0</v>
      </c>
      <c r="V149" s="62">
        <f t="shared" ref="V149:V238" si="143">+IF(S149&gt;0,T149/S149,0)</f>
        <v>1</v>
      </c>
      <c r="W149" s="60">
        <v>1811380956</v>
      </c>
      <c r="X149" s="60">
        <f>+T149-W149</f>
        <v>4226555564</v>
      </c>
      <c r="Y149" s="62">
        <f t="shared" si="84"/>
        <v>0.7</v>
      </c>
      <c r="Z149" s="60">
        <v>1811380956</v>
      </c>
      <c r="AA149" s="60">
        <f t="shared" ref="AA149" si="144">+W149-Z149</f>
        <v>0</v>
      </c>
      <c r="AB149" s="62">
        <f t="shared" si="139"/>
        <v>0.3</v>
      </c>
    </row>
    <row r="150" spans="1:28" ht="27.75" customHeight="1">
      <c r="A150" s="32" t="e">
        <f>+CONCATENATE(#REF!,"=",J150)</f>
        <v>#REF!</v>
      </c>
      <c r="B150" s="52" t="str">
        <f>CONCATENATE(C150,"-",D150,"-",E150,"-",F150,"-",G150,"-",H150)</f>
        <v>C-4103-1500-12-0-4103047</v>
      </c>
      <c r="C150" s="52" t="s">
        <v>167</v>
      </c>
      <c r="D150" s="52" t="s">
        <v>190</v>
      </c>
      <c r="E150" s="52" t="s">
        <v>172</v>
      </c>
      <c r="F150" s="52" t="s">
        <v>191</v>
      </c>
      <c r="G150" s="52" t="s">
        <v>175</v>
      </c>
      <c r="H150" s="52">
        <v>4103047</v>
      </c>
      <c r="I150" s="52"/>
      <c r="J150" s="52">
        <v>11</v>
      </c>
      <c r="K150" s="52" t="s">
        <v>29</v>
      </c>
      <c r="L150" s="52" t="s">
        <v>195</v>
      </c>
      <c r="M150" s="54">
        <f>+M151</f>
        <v>600000000</v>
      </c>
      <c r="N150" s="54">
        <f>+N151</f>
        <v>0</v>
      </c>
      <c r="O150" s="54">
        <f t="shared" ref="O150:U150" si="145">+O151</f>
        <v>0</v>
      </c>
      <c r="P150" s="54">
        <f t="shared" si="145"/>
        <v>0</v>
      </c>
      <c r="Q150" s="54">
        <f t="shared" si="145"/>
        <v>600000000</v>
      </c>
      <c r="R150" s="54">
        <f t="shared" si="145"/>
        <v>0</v>
      </c>
      <c r="S150" s="54">
        <f t="shared" si="145"/>
        <v>0</v>
      </c>
      <c r="T150" s="54">
        <f t="shared" si="145"/>
        <v>0</v>
      </c>
      <c r="U150" s="54">
        <f t="shared" si="145"/>
        <v>0</v>
      </c>
      <c r="V150" s="55">
        <f t="shared" si="143"/>
        <v>0</v>
      </c>
      <c r="W150" s="54">
        <f t="shared" ref="W150:X150" si="146">+W151</f>
        <v>0</v>
      </c>
      <c r="X150" s="54">
        <f t="shared" si="146"/>
        <v>0</v>
      </c>
      <c r="Y150" s="55">
        <f t="shared" si="84"/>
        <v>0</v>
      </c>
      <c r="Z150" s="54">
        <f t="shared" ref="Z150:AA150" si="147">+Z151</f>
        <v>0</v>
      </c>
      <c r="AA150" s="54">
        <f t="shared" si="147"/>
        <v>0</v>
      </c>
      <c r="AB150" s="55">
        <f t="shared" si="139"/>
        <v>0</v>
      </c>
    </row>
    <row r="151" spans="1:28" ht="24.95" customHeight="1">
      <c r="A151" s="32" t="e">
        <f>+CONCATENATE(#REF!,"=",J151)</f>
        <v>#REF!</v>
      </c>
      <c r="B151" s="56" t="str">
        <f t="shared" ref="B151" si="148">CONCATENATE(C151,"-",D151,"-",E151,"-",F151,"-",G151,"-",H151,"-",I151)</f>
        <v>C-4103-1500-12-0-4103047-02</v>
      </c>
      <c r="C151" s="57" t="s">
        <v>167</v>
      </c>
      <c r="D151" s="57" t="s">
        <v>190</v>
      </c>
      <c r="E151" s="57" t="s">
        <v>172</v>
      </c>
      <c r="F151" s="57" t="s">
        <v>191</v>
      </c>
      <c r="G151" s="57" t="s">
        <v>175</v>
      </c>
      <c r="H151" s="57">
        <v>4103047</v>
      </c>
      <c r="I151" s="57" t="s">
        <v>54</v>
      </c>
      <c r="J151" s="57">
        <v>11</v>
      </c>
      <c r="K151" s="58" t="s">
        <v>29</v>
      </c>
      <c r="L151" s="59" t="s">
        <v>178</v>
      </c>
      <c r="M151" s="60">
        <v>600000000</v>
      </c>
      <c r="N151" s="60"/>
      <c r="O151" s="60"/>
      <c r="P151" s="60"/>
      <c r="Q151" s="60">
        <f>600000000</f>
        <v>600000000</v>
      </c>
      <c r="R151" s="61"/>
      <c r="S151" s="60">
        <f>+M151-R151+N151-O151+P151-Q151</f>
        <v>0</v>
      </c>
      <c r="T151" s="60">
        <v>0</v>
      </c>
      <c r="U151" s="60">
        <f>+S151-T151</f>
        <v>0</v>
      </c>
      <c r="V151" s="62">
        <f t="shared" si="143"/>
        <v>0</v>
      </c>
      <c r="W151" s="60">
        <v>0</v>
      </c>
      <c r="X151" s="60">
        <f>+T151-W151</f>
        <v>0</v>
      </c>
      <c r="Y151" s="62">
        <f t="shared" si="84"/>
        <v>0</v>
      </c>
      <c r="Z151" s="60">
        <v>0</v>
      </c>
      <c r="AA151" s="60">
        <f t="shared" ref="AA151" si="149">+W151-Z151</f>
        <v>0</v>
      </c>
      <c r="AB151" s="62">
        <f t="shared" si="139"/>
        <v>0</v>
      </c>
    </row>
    <row r="152" spans="1:28" ht="34.5" customHeight="1">
      <c r="A152" s="32" t="e">
        <f>+CONCATENATE(#REF!,"=",J152)</f>
        <v>#REF!</v>
      </c>
      <c r="B152" s="48" t="str">
        <f>CONCATENATE(C152,"-",D152,"-",E152,"-",F152)</f>
        <v>C-4103-1500-13</v>
      </c>
      <c r="C152" s="48" t="s">
        <v>167</v>
      </c>
      <c r="D152" s="48" t="s">
        <v>190</v>
      </c>
      <c r="E152" s="48" t="s">
        <v>172</v>
      </c>
      <c r="F152" s="48" t="s">
        <v>22</v>
      </c>
      <c r="G152" s="48"/>
      <c r="H152" s="48"/>
      <c r="I152" s="48"/>
      <c r="J152" s="48"/>
      <c r="K152" s="48"/>
      <c r="L152" s="48" t="s">
        <v>196</v>
      </c>
      <c r="M152" s="50">
        <f>+M153+M155+M157+M159</f>
        <v>127000000000</v>
      </c>
      <c r="N152" s="50">
        <f t="shared" ref="N152:AA152" si="150">+N153+N155+N157+N159</f>
        <v>0</v>
      </c>
      <c r="O152" s="50">
        <f t="shared" si="150"/>
        <v>0</v>
      </c>
      <c r="P152" s="50">
        <f t="shared" si="150"/>
        <v>1000000000</v>
      </c>
      <c r="Q152" s="50">
        <f t="shared" si="150"/>
        <v>2000000000</v>
      </c>
      <c r="R152" s="50">
        <f t="shared" si="150"/>
        <v>0</v>
      </c>
      <c r="S152" s="50">
        <f t="shared" si="150"/>
        <v>126000000000</v>
      </c>
      <c r="T152" s="50">
        <f t="shared" si="150"/>
        <v>117651477662</v>
      </c>
      <c r="U152" s="50">
        <f t="shared" si="150"/>
        <v>8348522338</v>
      </c>
      <c r="V152" s="51">
        <f t="shared" si="143"/>
        <v>0.93374188620634924</v>
      </c>
      <c r="W152" s="50">
        <f t="shared" si="150"/>
        <v>92840656920.619995</v>
      </c>
      <c r="X152" s="50">
        <f t="shared" si="150"/>
        <v>24810820741.380001</v>
      </c>
      <c r="Y152" s="51">
        <f t="shared" si="84"/>
        <v>0.21088405546982428</v>
      </c>
      <c r="Z152" s="50">
        <f t="shared" si="150"/>
        <v>92719346392.619995</v>
      </c>
      <c r="AA152" s="50">
        <f t="shared" si="150"/>
        <v>121310528</v>
      </c>
      <c r="AB152" s="51">
        <f t="shared" si="139"/>
        <v>0.78808484377045118</v>
      </c>
    </row>
    <row r="153" spans="1:28" ht="27.75" customHeight="1">
      <c r="A153" s="32" t="e">
        <f>+CONCATENATE(#REF!,"=",J153)</f>
        <v>#REF!</v>
      </c>
      <c r="B153" s="52" t="str">
        <f>CONCATENATE(C153,"-",D153,"-",E153,"-",F153,"-",G153,"-",H153)</f>
        <v>C-4103-1500-13-0-4103051</v>
      </c>
      <c r="C153" s="52" t="s">
        <v>167</v>
      </c>
      <c r="D153" s="52" t="s">
        <v>190</v>
      </c>
      <c r="E153" s="52" t="s">
        <v>172</v>
      </c>
      <c r="F153" s="52" t="s">
        <v>22</v>
      </c>
      <c r="G153" s="52" t="s">
        <v>175</v>
      </c>
      <c r="H153" s="52" t="s">
        <v>197</v>
      </c>
      <c r="I153" s="52"/>
      <c r="J153" s="52">
        <v>13</v>
      </c>
      <c r="K153" s="52" t="s">
        <v>29</v>
      </c>
      <c r="L153" s="52" t="s">
        <v>198</v>
      </c>
      <c r="M153" s="54">
        <f>+M154</f>
        <v>12543853246</v>
      </c>
      <c r="N153" s="54">
        <f t="shared" ref="N153:AA153" si="151">+N154</f>
        <v>0</v>
      </c>
      <c r="O153" s="54">
        <f t="shared" si="151"/>
        <v>0</v>
      </c>
      <c r="P153" s="54">
        <f t="shared" si="151"/>
        <v>0</v>
      </c>
      <c r="Q153" s="54">
        <f t="shared" si="151"/>
        <v>0</v>
      </c>
      <c r="R153" s="54">
        <f t="shared" si="151"/>
        <v>0</v>
      </c>
      <c r="S153" s="54">
        <f t="shared" si="151"/>
        <v>12543853246</v>
      </c>
      <c r="T153" s="54">
        <f t="shared" si="151"/>
        <v>12497150539</v>
      </c>
      <c r="U153" s="54">
        <f t="shared" si="151"/>
        <v>46702707</v>
      </c>
      <c r="V153" s="55">
        <f t="shared" si="143"/>
        <v>0.99627684523374882</v>
      </c>
      <c r="W153" s="54">
        <f t="shared" si="151"/>
        <v>7946462194</v>
      </c>
      <c r="X153" s="54">
        <f t="shared" si="151"/>
        <v>4550688345</v>
      </c>
      <c r="Y153" s="55">
        <f t="shared" si="84"/>
        <v>0.36413807537955273</v>
      </c>
      <c r="Z153" s="54">
        <f t="shared" si="151"/>
        <v>7946462194</v>
      </c>
      <c r="AA153" s="54">
        <f t="shared" si="151"/>
        <v>0</v>
      </c>
      <c r="AB153" s="55">
        <f t="shared" si="139"/>
        <v>0.63586192462044733</v>
      </c>
    </row>
    <row r="154" spans="1:28" ht="24.95" customHeight="1">
      <c r="A154" s="32" t="e">
        <f>+CONCATENATE(#REF!,"=",J154)</f>
        <v>#REF!</v>
      </c>
      <c r="B154" s="56" t="str">
        <f t="shared" si="140"/>
        <v>C-4103-1500-13-0-4103051-02</v>
      </c>
      <c r="C154" s="57" t="s">
        <v>167</v>
      </c>
      <c r="D154" s="57" t="s">
        <v>190</v>
      </c>
      <c r="E154" s="57" t="s">
        <v>172</v>
      </c>
      <c r="F154" s="57" t="s">
        <v>22</v>
      </c>
      <c r="G154" s="57" t="s">
        <v>175</v>
      </c>
      <c r="H154" s="57" t="s">
        <v>197</v>
      </c>
      <c r="I154" s="57" t="s">
        <v>54</v>
      </c>
      <c r="J154" s="57">
        <v>13</v>
      </c>
      <c r="K154" s="58" t="s">
        <v>29</v>
      </c>
      <c r="L154" s="59" t="s">
        <v>178</v>
      </c>
      <c r="M154" s="60">
        <v>12543853246</v>
      </c>
      <c r="N154" s="60"/>
      <c r="O154" s="60"/>
      <c r="P154" s="60"/>
      <c r="Q154" s="60">
        <v>0</v>
      </c>
      <c r="R154" s="61">
        <v>0</v>
      </c>
      <c r="S154" s="60">
        <f>+M154-R154+N154-O154+P154-Q154</f>
        <v>12543853246</v>
      </c>
      <c r="T154" s="60">
        <v>12497150539</v>
      </c>
      <c r="U154" s="60">
        <f t="shared" si="120"/>
        <v>46702707</v>
      </c>
      <c r="V154" s="62">
        <f t="shared" si="143"/>
        <v>0.99627684523374882</v>
      </c>
      <c r="W154" s="60">
        <v>7946462194</v>
      </c>
      <c r="X154" s="60">
        <f t="shared" si="121"/>
        <v>4550688345</v>
      </c>
      <c r="Y154" s="62">
        <f t="shared" si="84"/>
        <v>0.36413807537955273</v>
      </c>
      <c r="Z154" s="60">
        <v>7946462194</v>
      </c>
      <c r="AA154" s="60">
        <f t="shared" si="122"/>
        <v>0</v>
      </c>
      <c r="AB154" s="62">
        <f t="shared" si="139"/>
        <v>0.63586192462044733</v>
      </c>
    </row>
    <row r="155" spans="1:28" ht="27.75" customHeight="1">
      <c r="A155" s="32" t="e">
        <f>+CONCATENATE(#REF!,"=",J155)</f>
        <v>#REF!</v>
      </c>
      <c r="B155" s="52" t="str">
        <f>CONCATENATE(C155,"-",D155,"-",E155,"-",F155,"-",G155,"-",H155)</f>
        <v>C-4103-1500-13-0-4103053</v>
      </c>
      <c r="C155" s="52" t="s">
        <v>167</v>
      </c>
      <c r="D155" s="52" t="s">
        <v>190</v>
      </c>
      <c r="E155" s="52" t="s">
        <v>172</v>
      </c>
      <c r="F155" s="52" t="s">
        <v>22</v>
      </c>
      <c r="G155" s="52" t="s">
        <v>175</v>
      </c>
      <c r="H155" s="52" t="s">
        <v>199</v>
      </c>
      <c r="I155" s="52"/>
      <c r="J155" s="52">
        <v>13</v>
      </c>
      <c r="K155" s="52" t="s">
        <v>29</v>
      </c>
      <c r="L155" s="52" t="s">
        <v>200</v>
      </c>
      <c r="M155" s="54">
        <f>+M156</f>
        <v>6747471657</v>
      </c>
      <c r="N155" s="54">
        <f t="shared" ref="N155:AA155" si="152">+N156</f>
        <v>0</v>
      </c>
      <c r="O155" s="54">
        <f t="shared" si="152"/>
        <v>0</v>
      </c>
      <c r="P155" s="54">
        <f t="shared" si="152"/>
        <v>1000000000</v>
      </c>
      <c r="Q155" s="54">
        <f t="shared" si="152"/>
        <v>1000000000</v>
      </c>
      <c r="R155" s="54">
        <f t="shared" si="152"/>
        <v>0</v>
      </c>
      <c r="S155" s="54">
        <f t="shared" si="152"/>
        <v>6747471657</v>
      </c>
      <c r="T155" s="54">
        <f t="shared" si="152"/>
        <v>5632124153</v>
      </c>
      <c r="U155" s="54">
        <f t="shared" si="152"/>
        <v>1115347504</v>
      </c>
      <c r="V155" s="55">
        <f t="shared" si="143"/>
        <v>0.83470141696069078</v>
      </c>
      <c r="W155" s="54">
        <f t="shared" si="152"/>
        <v>3152773137</v>
      </c>
      <c r="X155" s="54">
        <f t="shared" si="152"/>
        <v>2479351016</v>
      </c>
      <c r="Y155" s="55">
        <f t="shared" si="84"/>
        <v>0.4402159733427311</v>
      </c>
      <c r="Z155" s="54">
        <f t="shared" si="152"/>
        <v>3152773137</v>
      </c>
      <c r="AA155" s="54">
        <f t="shared" si="152"/>
        <v>0</v>
      </c>
      <c r="AB155" s="55">
        <f t="shared" si="139"/>
        <v>0.5597840266572689</v>
      </c>
    </row>
    <row r="156" spans="1:28" ht="24.95" customHeight="1">
      <c r="A156" s="32" t="e">
        <f>+CONCATENATE(#REF!,"=",J156)</f>
        <v>#REF!</v>
      </c>
      <c r="B156" s="56" t="str">
        <f t="shared" si="140"/>
        <v>C-4103-1500-13-0-4103053-02</v>
      </c>
      <c r="C156" s="57" t="s">
        <v>167</v>
      </c>
      <c r="D156" s="57" t="s">
        <v>190</v>
      </c>
      <c r="E156" s="57" t="s">
        <v>172</v>
      </c>
      <c r="F156" s="57" t="s">
        <v>22</v>
      </c>
      <c r="G156" s="57" t="s">
        <v>175</v>
      </c>
      <c r="H156" s="57" t="s">
        <v>199</v>
      </c>
      <c r="I156" s="57" t="s">
        <v>54</v>
      </c>
      <c r="J156" s="57">
        <v>13</v>
      </c>
      <c r="K156" s="58" t="s">
        <v>29</v>
      </c>
      <c r="L156" s="59" t="s">
        <v>178</v>
      </c>
      <c r="M156" s="60">
        <v>6747471657</v>
      </c>
      <c r="N156" s="60"/>
      <c r="O156" s="60"/>
      <c r="P156" s="60">
        <f>1000000000</f>
        <v>1000000000</v>
      </c>
      <c r="Q156" s="60">
        <v>1000000000</v>
      </c>
      <c r="R156" s="61">
        <v>0</v>
      </c>
      <c r="S156" s="60">
        <f>+M156-R156+N156-O156+P156-Q156</f>
        <v>6747471657</v>
      </c>
      <c r="T156" s="60">
        <v>5632124153</v>
      </c>
      <c r="U156" s="60">
        <f t="shared" si="120"/>
        <v>1115347504</v>
      </c>
      <c r="V156" s="62">
        <f t="shared" si="143"/>
        <v>0.83470141696069078</v>
      </c>
      <c r="W156" s="60">
        <v>3152773137</v>
      </c>
      <c r="X156" s="60">
        <f t="shared" si="121"/>
        <v>2479351016</v>
      </c>
      <c r="Y156" s="62">
        <f t="shared" si="84"/>
        <v>0.4402159733427311</v>
      </c>
      <c r="Z156" s="60">
        <v>3152773137</v>
      </c>
      <c r="AA156" s="60">
        <f t="shared" si="122"/>
        <v>0</v>
      </c>
      <c r="AB156" s="62">
        <f t="shared" si="139"/>
        <v>0.5597840266572689</v>
      </c>
    </row>
    <row r="157" spans="1:28" ht="43.5" customHeight="1">
      <c r="A157" s="32" t="e">
        <f>+CONCATENATE(#REF!,"=",J157)</f>
        <v>#REF!</v>
      </c>
      <c r="B157" s="52" t="str">
        <f>CONCATENATE(C157,"-",D157,"-",E157,"-",F157,"-",G157,"-",H157)</f>
        <v>C-4103-1500-13-0-4103054</v>
      </c>
      <c r="C157" s="52" t="s">
        <v>167</v>
      </c>
      <c r="D157" s="52" t="s">
        <v>190</v>
      </c>
      <c r="E157" s="52" t="s">
        <v>172</v>
      </c>
      <c r="F157" s="52" t="s">
        <v>22</v>
      </c>
      <c r="G157" s="52" t="s">
        <v>175</v>
      </c>
      <c r="H157" s="52" t="s">
        <v>201</v>
      </c>
      <c r="I157" s="52"/>
      <c r="J157" s="52">
        <v>13</v>
      </c>
      <c r="K157" s="52" t="s">
        <v>29</v>
      </c>
      <c r="L157" s="52" t="s">
        <v>202</v>
      </c>
      <c r="M157" s="54">
        <f>+M158</f>
        <v>11231519737</v>
      </c>
      <c r="N157" s="54">
        <f t="shared" ref="N157:AA157" si="153">+N158</f>
        <v>0</v>
      </c>
      <c r="O157" s="54">
        <f t="shared" si="153"/>
        <v>0</v>
      </c>
      <c r="P157" s="54">
        <f t="shared" si="153"/>
        <v>0</v>
      </c>
      <c r="Q157" s="54">
        <f t="shared" si="153"/>
        <v>1000000000</v>
      </c>
      <c r="R157" s="54">
        <f t="shared" si="153"/>
        <v>0</v>
      </c>
      <c r="S157" s="54">
        <f t="shared" si="153"/>
        <v>10231519737</v>
      </c>
      <c r="T157" s="54">
        <f t="shared" si="153"/>
        <v>8809922114</v>
      </c>
      <c r="U157" s="54">
        <f t="shared" si="153"/>
        <v>1421597623</v>
      </c>
      <c r="V157" s="55">
        <f t="shared" si="143"/>
        <v>0.86105704142277995</v>
      </c>
      <c r="W157" s="54">
        <f t="shared" si="153"/>
        <v>5913088816.6199999</v>
      </c>
      <c r="X157" s="54">
        <f t="shared" si="153"/>
        <v>2896833297.3800001</v>
      </c>
      <c r="Y157" s="55">
        <f t="shared" si="84"/>
        <v>0.32881485896187346</v>
      </c>
      <c r="Z157" s="54">
        <f t="shared" si="153"/>
        <v>5791778288.6199999</v>
      </c>
      <c r="AA157" s="54">
        <f t="shared" si="153"/>
        <v>121310528</v>
      </c>
      <c r="AB157" s="55">
        <f t="shared" si="139"/>
        <v>0.65741537935008354</v>
      </c>
    </row>
    <row r="158" spans="1:28" ht="24.95" customHeight="1">
      <c r="A158" s="32" t="e">
        <f>+CONCATENATE(#REF!,"=",J158)</f>
        <v>#REF!</v>
      </c>
      <c r="B158" s="56" t="str">
        <f t="shared" si="140"/>
        <v>C-4103-1500-13-0-4103054-02</v>
      </c>
      <c r="C158" s="57" t="s">
        <v>167</v>
      </c>
      <c r="D158" s="57" t="s">
        <v>190</v>
      </c>
      <c r="E158" s="57" t="s">
        <v>172</v>
      </c>
      <c r="F158" s="57" t="s">
        <v>22</v>
      </c>
      <c r="G158" s="57" t="s">
        <v>175</v>
      </c>
      <c r="H158" s="57" t="s">
        <v>201</v>
      </c>
      <c r="I158" s="57" t="s">
        <v>54</v>
      </c>
      <c r="J158" s="57">
        <v>13</v>
      </c>
      <c r="K158" s="58" t="s">
        <v>29</v>
      </c>
      <c r="L158" s="59" t="s">
        <v>178</v>
      </c>
      <c r="M158" s="60">
        <v>11231519737</v>
      </c>
      <c r="N158" s="60"/>
      <c r="O158" s="60"/>
      <c r="P158" s="60"/>
      <c r="Q158" s="60">
        <f>1000000000</f>
        <v>1000000000</v>
      </c>
      <c r="R158" s="61">
        <v>0</v>
      </c>
      <c r="S158" s="60">
        <f>+M158-R158+N158-O158+P158-Q158</f>
        <v>10231519737</v>
      </c>
      <c r="T158" s="60">
        <v>8809922114</v>
      </c>
      <c r="U158" s="60">
        <f t="shared" si="120"/>
        <v>1421597623</v>
      </c>
      <c r="V158" s="62">
        <f t="shared" si="143"/>
        <v>0.86105704142277995</v>
      </c>
      <c r="W158" s="60">
        <v>5913088816.6199999</v>
      </c>
      <c r="X158" s="60">
        <f t="shared" si="121"/>
        <v>2896833297.3800001</v>
      </c>
      <c r="Y158" s="62">
        <f t="shared" si="84"/>
        <v>0.32881485896187346</v>
      </c>
      <c r="Z158" s="60">
        <v>5791778288.6199999</v>
      </c>
      <c r="AA158" s="60">
        <f t="shared" si="122"/>
        <v>121310528</v>
      </c>
      <c r="AB158" s="62">
        <f t="shared" si="139"/>
        <v>0.65741537935008354</v>
      </c>
    </row>
    <row r="159" spans="1:28" ht="44.25" customHeight="1">
      <c r="A159" s="32" t="e">
        <f>+CONCATENATE(#REF!,"=",J159)</f>
        <v>#REF!</v>
      </c>
      <c r="B159" s="52" t="str">
        <f>CONCATENATE(C159,"-",D159,"-",E159,"-",F159,"-",G159,"-",H159)</f>
        <v>C-4103-1500-13-0-4103055</v>
      </c>
      <c r="C159" s="52" t="s">
        <v>167</v>
      </c>
      <c r="D159" s="52" t="s">
        <v>190</v>
      </c>
      <c r="E159" s="52" t="s">
        <v>172</v>
      </c>
      <c r="F159" s="52" t="s">
        <v>22</v>
      </c>
      <c r="G159" s="52" t="s">
        <v>175</v>
      </c>
      <c r="H159" s="52" t="s">
        <v>203</v>
      </c>
      <c r="I159" s="52"/>
      <c r="J159" s="52">
        <v>13</v>
      </c>
      <c r="K159" s="52" t="s">
        <v>29</v>
      </c>
      <c r="L159" s="52" t="s">
        <v>204</v>
      </c>
      <c r="M159" s="54">
        <f t="shared" ref="M159:U159" si="154">SUM(M160:M160)</f>
        <v>96477155360</v>
      </c>
      <c r="N159" s="54">
        <f t="shared" si="154"/>
        <v>0</v>
      </c>
      <c r="O159" s="54">
        <f t="shared" si="154"/>
        <v>0</v>
      </c>
      <c r="P159" s="54">
        <f t="shared" si="154"/>
        <v>0</v>
      </c>
      <c r="Q159" s="54">
        <f t="shared" si="154"/>
        <v>0</v>
      </c>
      <c r="R159" s="54">
        <f t="shared" si="154"/>
        <v>0</v>
      </c>
      <c r="S159" s="54">
        <f t="shared" si="154"/>
        <v>96477155360</v>
      </c>
      <c r="T159" s="54">
        <f t="shared" si="154"/>
        <v>90712280856</v>
      </c>
      <c r="U159" s="54">
        <f t="shared" si="154"/>
        <v>5764874504</v>
      </c>
      <c r="V159" s="55">
        <f t="shared" si="143"/>
        <v>0.94024622220163268</v>
      </c>
      <c r="W159" s="54">
        <f t="shared" ref="W159:X159" si="155">SUM(W160:W160)</f>
        <v>75828332773</v>
      </c>
      <c r="X159" s="54">
        <f t="shared" si="155"/>
        <v>14883948083</v>
      </c>
      <c r="Y159" s="55">
        <f t="shared" ref="Y159:Y222" si="156">+IF(T159&gt;0,X159/T159,0)</f>
        <v>0.1640786445071018</v>
      </c>
      <c r="Z159" s="54">
        <f t="shared" ref="Z159:AA159" si="157">SUM(Z160:Z160)</f>
        <v>75828332773</v>
      </c>
      <c r="AA159" s="54">
        <f t="shared" si="157"/>
        <v>0</v>
      </c>
      <c r="AB159" s="55">
        <f t="shared" si="139"/>
        <v>0.83592135549289825</v>
      </c>
    </row>
    <row r="160" spans="1:28" ht="24.95" customHeight="1">
      <c r="A160" s="32" t="e">
        <f>+CONCATENATE(#REF!,"=",J160)</f>
        <v>#REF!</v>
      </c>
      <c r="B160" s="56" t="str">
        <f t="shared" si="140"/>
        <v>C-4103-1500-13-0-4103055-02</v>
      </c>
      <c r="C160" s="57" t="s">
        <v>167</v>
      </c>
      <c r="D160" s="57" t="s">
        <v>190</v>
      </c>
      <c r="E160" s="57" t="s">
        <v>172</v>
      </c>
      <c r="F160" s="57" t="s">
        <v>22</v>
      </c>
      <c r="G160" s="57" t="s">
        <v>175</v>
      </c>
      <c r="H160" s="57" t="s">
        <v>203</v>
      </c>
      <c r="I160" s="57" t="s">
        <v>54</v>
      </c>
      <c r="J160" s="57">
        <v>13</v>
      </c>
      <c r="K160" s="58" t="s">
        <v>29</v>
      </c>
      <c r="L160" s="59" t="s">
        <v>178</v>
      </c>
      <c r="M160" s="60">
        <v>96477155360</v>
      </c>
      <c r="N160" s="60"/>
      <c r="O160" s="60"/>
      <c r="P160" s="60"/>
      <c r="Q160" s="60">
        <v>0</v>
      </c>
      <c r="R160" s="61">
        <v>0</v>
      </c>
      <c r="S160" s="60">
        <f>+M160-R160+N160-O160+P160-Q160</f>
        <v>96477155360</v>
      </c>
      <c r="T160" s="60">
        <v>90712280856</v>
      </c>
      <c r="U160" s="60">
        <f t="shared" si="120"/>
        <v>5764874504</v>
      </c>
      <c r="V160" s="62">
        <f t="shared" si="143"/>
        <v>0.94024622220163268</v>
      </c>
      <c r="W160" s="60">
        <v>75828332773</v>
      </c>
      <c r="X160" s="60">
        <f t="shared" si="121"/>
        <v>14883948083</v>
      </c>
      <c r="Y160" s="62">
        <f t="shared" si="156"/>
        <v>0.1640786445071018</v>
      </c>
      <c r="Z160" s="60">
        <v>75828332773</v>
      </c>
      <c r="AA160" s="60">
        <f t="shared" si="122"/>
        <v>0</v>
      </c>
      <c r="AB160" s="62">
        <f t="shared" si="139"/>
        <v>0.83592135549289825</v>
      </c>
    </row>
    <row r="161" spans="1:28" ht="45.75" customHeight="1">
      <c r="A161" s="32" t="e">
        <f>+CONCATENATE(#REF!,"=",J161)</f>
        <v>#REF!</v>
      </c>
      <c r="B161" s="48" t="str">
        <f>CONCATENATE(C161,"-",D161,"-",E161,"-",F161)</f>
        <v>C-4103-1500-14</v>
      </c>
      <c r="C161" s="48" t="s">
        <v>167</v>
      </c>
      <c r="D161" s="48" t="s">
        <v>190</v>
      </c>
      <c r="E161" s="48" t="s">
        <v>172</v>
      </c>
      <c r="F161" s="48" t="s">
        <v>205</v>
      </c>
      <c r="G161" s="48"/>
      <c r="H161" s="48"/>
      <c r="I161" s="48"/>
      <c r="J161" s="48"/>
      <c r="K161" s="48"/>
      <c r="L161" s="48" t="s">
        <v>206</v>
      </c>
      <c r="M161" s="50">
        <f t="shared" ref="M161:U161" si="158">+M163+M166+M162</f>
        <v>662805945958</v>
      </c>
      <c r="N161" s="50">
        <f t="shared" si="158"/>
        <v>0</v>
      </c>
      <c r="O161" s="50">
        <f t="shared" si="158"/>
        <v>0</v>
      </c>
      <c r="P161" s="50">
        <f t="shared" si="158"/>
        <v>20255990479.780003</v>
      </c>
      <c r="Q161" s="50">
        <f t="shared" si="158"/>
        <v>20255990479.779999</v>
      </c>
      <c r="R161" s="50">
        <f t="shared" si="158"/>
        <v>0</v>
      </c>
      <c r="S161" s="50">
        <f t="shared" si="158"/>
        <v>662805945958</v>
      </c>
      <c r="T161" s="50">
        <f t="shared" si="158"/>
        <v>609498262027.03992</v>
      </c>
      <c r="U161" s="50">
        <f t="shared" si="158"/>
        <v>53307683930.959991</v>
      </c>
      <c r="V161" s="51">
        <f t="shared" si="143"/>
        <v>0.91957271316582601</v>
      </c>
      <c r="W161" s="50">
        <f>+W163+W166</f>
        <v>74238550291.660004</v>
      </c>
      <c r="X161" s="50">
        <f>+X163+X166</f>
        <v>535259711735.38</v>
      </c>
      <c r="Y161" s="51">
        <f t="shared" si="156"/>
        <v>0.87819727320507701</v>
      </c>
      <c r="Z161" s="50">
        <f>+Z163+Z166</f>
        <v>73244197939.289993</v>
      </c>
      <c r="AA161" s="50">
        <f>+AA163+AA166</f>
        <v>994352352.36999989</v>
      </c>
      <c r="AB161" s="51">
        <f t="shared" si="139"/>
        <v>0.12017129908738045</v>
      </c>
    </row>
    <row r="162" spans="1:28" ht="24" hidden="1" customHeight="1">
      <c r="A162" s="3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4"/>
      <c r="N162" s="54"/>
      <c r="O162" s="54"/>
      <c r="P162" s="54"/>
      <c r="Q162" s="54"/>
      <c r="R162" s="54"/>
      <c r="S162" s="54">
        <f>+M162-R162+N162-O162+P162-Q162</f>
        <v>0</v>
      </c>
      <c r="T162" s="54"/>
      <c r="U162" s="54">
        <f t="shared" ref="U162:U164" si="159">+S162-T162</f>
        <v>0</v>
      </c>
      <c r="V162" s="55"/>
      <c r="W162" s="54"/>
      <c r="X162" s="54">
        <f t="shared" ref="X162:X164" si="160">+T162-W162</f>
        <v>0</v>
      </c>
      <c r="Y162" s="55"/>
      <c r="Z162" s="54"/>
      <c r="AA162" s="54">
        <f t="shared" ref="AA162:AA164" si="161">+W162-Z162</f>
        <v>0</v>
      </c>
      <c r="AB162" s="55"/>
    </row>
    <row r="163" spans="1:28" ht="30.75" customHeight="1">
      <c r="A163" s="32" t="e">
        <f>+CONCATENATE(#REF!,"=",J163)</f>
        <v>#REF!</v>
      </c>
      <c r="B163" s="52" t="str">
        <f>CONCATENATE(C163,"-",D163,"-",E163,"-",F163,"-",G163,"-",H163)</f>
        <v>C-4103-1500-14-0-4103016</v>
      </c>
      <c r="C163" s="52" t="s">
        <v>167</v>
      </c>
      <c r="D163" s="52" t="s">
        <v>190</v>
      </c>
      <c r="E163" s="52" t="s">
        <v>172</v>
      </c>
      <c r="F163" s="52" t="s">
        <v>205</v>
      </c>
      <c r="G163" s="52" t="s">
        <v>175</v>
      </c>
      <c r="H163" s="52" t="s">
        <v>207</v>
      </c>
      <c r="I163" s="52"/>
      <c r="J163" s="52"/>
      <c r="K163" s="52"/>
      <c r="L163" s="52" t="s">
        <v>208</v>
      </c>
      <c r="M163" s="54">
        <f>SUM(M164:M165)</f>
        <v>633930608285</v>
      </c>
      <c r="N163" s="54">
        <f t="shared" ref="N163:U163" si="162">SUM(N164:N165)</f>
        <v>0</v>
      </c>
      <c r="O163" s="54">
        <f t="shared" si="162"/>
        <v>0</v>
      </c>
      <c r="P163" s="54">
        <f t="shared" si="162"/>
        <v>19328818784.880001</v>
      </c>
      <c r="Q163" s="54">
        <f t="shared" si="162"/>
        <v>16805506920.469999</v>
      </c>
      <c r="R163" s="54">
        <f t="shared" si="162"/>
        <v>0</v>
      </c>
      <c r="S163" s="54">
        <f t="shared" si="162"/>
        <v>636453920149.41003</v>
      </c>
      <c r="T163" s="54">
        <f t="shared" si="162"/>
        <v>584384128702.95996</v>
      </c>
      <c r="U163" s="54">
        <f t="shared" si="162"/>
        <v>52069791446.449989</v>
      </c>
      <c r="V163" s="55">
        <f t="shared" si="143"/>
        <v>0.91818764910077622</v>
      </c>
      <c r="W163" s="54">
        <f t="shared" ref="W163:X163" si="163">SUM(W164:W165)</f>
        <v>56396703609.07</v>
      </c>
      <c r="X163" s="54">
        <f t="shared" si="163"/>
        <v>527987425093.89001</v>
      </c>
      <c r="Y163" s="55">
        <f t="shared" si="156"/>
        <v>0.90349377945249409</v>
      </c>
      <c r="Z163" s="54">
        <f t="shared" ref="Z163:AA163" si="164">SUM(Z164:Z165)</f>
        <v>56345166508.699997</v>
      </c>
      <c r="AA163" s="54">
        <f t="shared" si="164"/>
        <v>51537100.369999886</v>
      </c>
      <c r="AB163" s="55">
        <f t="shared" si="139"/>
        <v>9.6418030095646243E-2</v>
      </c>
    </row>
    <row r="164" spans="1:28" ht="24.95" customHeight="1">
      <c r="A164" s="32" t="e">
        <f>+CONCATENATE(#REF!,"=",J164)</f>
        <v>#REF!</v>
      </c>
      <c r="B164" s="56" t="str">
        <f t="shared" ref="B164:B168" si="165">CONCATENATE(C164,"-",D164,"-",E164,"-",F164,"-",G164,"-",H164,"-",I164)</f>
        <v>C-4103-1500-14-0-4103016-02</v>
      </c>
      <c r="C164" s="57" t="s">
        <v>167</v>
      </c>
      <c r="D164" s="57" t="s">
        <v>190</v>
      </c>
      <c r="E164" s="57" t="s">
        <v>172</v>
      </c>
      <c r="F164" s="57" t="s">
        <v>205</v>
      </c>
      <c r="G164" s="57" t="s">
        <v>175</v>
      </c>
      <c r="H164" s="57" t="s">
        <v>207</v>
      </c>
      <c r="I164" s="57" t="s">
        <v>54</v>
      </c>
      <c r="J164" s="57">
        <v>13</v>
      </c>
      <c r="K164" s="58" t="s">
        <v>29</v>
      </c>
      <c r="L164" s="59" t="s">
        <v>178</v>
      </c>
      <c r="M164" s="60">
        <v>74930114899</v>
      </c>
      <c r="N164" s="60"/>
      <c r="O164" s="60"/>
      <c r="P164" s="60">
        <f>207231444.8+165043956.62+65430683.92+0.69+338075603+385750000+4190323678.79+110000000+194105594.61</f>
        <v>5655960962.4299994</v>
      </c>
      <c r="Q164" s="60">
        <f>5843271918.52+385750000+110000000+4269102344.62</f>
        <v>10608124263.139999</v>
      </c>
      <c r="R164" s="61">
        <v>0</v>
      </c>
      <c r="S164" s="60">
        <f>+M164-R164+N164-O164+P164-Q164</f>
        <v>69977951598.289993</v>
      </c>
      <c r="T164" s="60">
        <v>62518312972.150002</v>
      </c>
      <c r="U164" s="60">
        <f t="shared" si="159"/>
        <v>7459638626.1399918</v>
      </c>
      <c r="V164" s="62">
        <f t="shared" si="143"/>
        <v>0.89340015739582923</v>
      </c>
      <c r="W164" s="60">
        <v>1352233838.8699999</v>
      </c>
      <c r="X164" s="60">
        <f t="shared" si="160"/>
        <v>61166079133.279999</v>
      </c>
      <c r="Y164" s="62">
        <f t="shared" si="156"/>
        <v>0.97837059615680322</v>
      </c>
      <c r="Z164" s="60">
        <v>1300696738.5</v>
      </c>
      <c r="AA164" s="60">
        <f t="shared" si="161"/>
        <v>51537100.369999886</v>
      </c>
      <c r="AB164" s="62">
        <f t="shared" si="139"/>
        <v>2.080505177865917E-2</v>
      </c>
    </row>
    <row r="165" spans="1:28" ht="24.95" customHeight="1">
      <c r="A165" s="32" t="e">
        <f>+CONCATENATE(#REF!,"=",J165)</f>
        <v>#REF!</v>
      </c>
      <c r="B165" s="56" t="str">
        <f t="shared" si="165"/>
        <v>C-4103-1500-14-0-4103016-03</v>
      </c>
      <c r="C165" s="57" t="s">
        <v>167</v>
      </c>
      <c r="D165" s="57" t="s">
        <v>190</v>
      </c>
      <c r="E165" s="57" t="s">
        <v>172</v>
      </c>
      <c r="F165" s="57" t="s">
        <v>205</v>
      </c>
      <c r="G165" s="57" t="s">
        <v>175</v>
      </c>
      <c r="H165" s="57" t="s">
        <v>207</v>
      </c>
      <c r="I165" s="57" t="s">
        <v>65</v>
      </c>
      <c r="J165" s="57">
        <v>13</v>
      </c>
      <c r="K165" s="58" t="s">
        <v>29</v>
      </c>
      <c r="L165" s="59" t="s">
        <v>127</v>
      </c>
      <c r="M165" s="60">
        <v>559000493386</v>
      </c>
      <c r="N165" s="60"/>
      <c r="O165" s="60"/>
      <c r="P165" s="60">
        <f>1497903204+1170034999.9+5843271918.52+100000000+110000000+4951647700.03</f>
        <v>13672857822.450001</v>
      </c>
      <c r="Q165" s="60">
        <f>55338694.9+207231444.8+165043956.62+65430683.92+370083000+0.69+344075603+385750000+4190323678.79+110000000+110000000+194105594.61</f>
        <v>6197382657.3299999</v>
      </c>
      <c r="R165" s="61">
        <v>0</v>
      </c>
      <c r="S165" s="60">
        <f>+M165-R165+N165-O165+P165-Q165</f>
        <v>566475968551.12</v>
      </c>
      <c r="T165" s="60">
        <v>521865815730.81</v>
      </c>
      <c r="U165" s="60">
        <f t="shared" si="120"/>
        <v>44610152820.309998</v>
      </c>
      <c r="V165" s="62">
        <f t="shared" si="143"/>
        <v>0.92124969937487422</v>
      </c>
      <c r="W165" s="60">
        <v>55044469770.199997</v>
      </c>
      <c r="X165" s="60">
        <f t="shared" si="121"/>
        <v>466821345960.60999</v>
      </c>
      <c r="Y165" s="62">
        <f t="shared" si="156"/>
        <v>0.89452371067241321</v>
      </c>
      <c r="Z165" s="60">
        <v>55044469770.199997</v>
      </c>
      <c r="AA165" s="60">
        <f t="shared" si="122"/>
        <v>0</v>
      </c>
      <c r="AB165" s="62">
        <f t="shared" si="139"/>
        <v>0.10547628932758676</v>
      </c>
    </row>
    <row r="166" spans="1:28" ht="27.75" customHeight="1">
      <c r="A166" s="32" t="e">
        <f>+CONCATENATE(#REF!,"=",J166)</f>
        <v>#REF!</v>
      </c>
      <c r="B166" s="52" t="str">
        <f>CONCATENATE(C166,"-",D166,"-",E166,"-",F166,"-",G166,"-",H166)</f>
        <v>C-4103-1500-14-0-4103048</v>
      </c>
      <c r="C166" s="52" t="s">
        <v>167</v>
      </c>
      <c r="D166" s="52" t="s">
        <v>190</v>
      </c>
      <c r="E166" s="52" t="s">
        <v>172</v>
      </c>
      <c r="F166" s="52" t="s">
        <v>205</v>
      </c>
      <c r="G166" s="52" t="s">
        <v>175</v>
      </c>
      <c r="H166" s="52" t="s">
        <v>209</v>
      </c>
      <c r="I166" s="52"/>
      <c r="J166" s="52">
        <v>11</v>
      </c>
      <c r="K166" s="52" t="s">
        <v>29</v>
      </c>
      <c r="L166" s="52" t="s">
        <v>210</v>
      </c>
      <c r="M166" s="54">
        <f>SUM(M167:M168)</f>
        <v>28875337673</v>
      </c>
      <c r="N166" s="54">
        <f t="shared" ref="N166:U166" si="166">SUM(N167:N168)</f>
        <v>0</v>
      </c>
      <c r="O166" s="54">
        <f t="shared" si="166"/>
        <v>0</v>
      </c>
      <c r="P166" s="54">
        <f t="shared" si="166"/>
        <v>927171694.89999998</v>
      </c>
      <c r="Q166" s="54">
        <f t="shared" si="166"/>
        <v>3450483559.3099999</v>
      </c>
      <c r="R166" s="54">
        <f t="shared" si="166"/>
        <v>0</v>
      </c>
      <c r="S166" s="54">
        <f t="shared" si="166"/>
        <v>26352025808.59</v>
      </c>
      <c r="T166" s="54">
        <f t="shared" si="166"/>
        <v>25114133324.080002</v>
      </c>
      <c r="U166" s="54">
        <f t="shared" si="166"/>
        <v>1237892484.5100002</v>
      </c>
      <c r="V166" s="55">
        <f t="shared" si="143"/>
        <v>0.95302476957553373</v>
      </c>
      <c r="W166" s="54">
        <f t="shared" ref="W166:X166" si="167">SUM(W167:W168)</f>
        <v>17841846682.59</v>
      </c>
      <c r="X166" s="54">
        <f t="shared" si="167"/>
        <v>7272286641.4899998</v>
      </c>
      <c r="Y166" s="55">
        <f t="shared" si="156"/>
        <v>0.28956948454666226</v>
      </c>
      <c r="Z166" s="54">
        <f t="shared" ref="Z166:AA166" si="168">SUM(Z167:Z168)</f>
        <v>16899031430.59</v>
      </c>
      <c r="AA166" s="54">
        <f t="shared" si="168"/>
        <v>942815252</v>
      </c>
      <c r="AB166" s="55">
        <f t="shared" si="139"/>
        <v>0.67288929355116645</v>
      </c>
    </row>
    <row r="167" spans="1:28" ht="24.95" customHeight="1">
      <c r="A167" s="32" t="e">
        <f>+CONCATENATE(#REF!,"=",J167)</f>
        <v>#REF!</v>
      </c>
      <c r="B167" s="56" t="str">
        <f t="shared" ref="B167" si="169">CONCATENATE(C167,"-",D167,"-",E167,"-",F167,"-",G167,"-",H167,"-",I167)</f>
        <v>C-4103-1500-14-0-4103048-02</v>
      </c>
      <c r="C167" s="57" t="s">
        <v>167</v>
      </c>
      <c r="D167" s="57" t="s">
        <v>190</v>
      </c>
      <c r="E167" s="57" t="s">
        <v>172</v>
      </c>
      <c r="F167" s="57" t="s">
        <v>205</v>
      </c>
      <c r="G167" s="57" t="s">
        <v>175</v>
      </c>
      <c r="H167" s="57" t="s">
        <v>209</v>
      </c>
      <c r="I167" s="57" t="s">
        <v>54</v>
      </c>
      <c r="J167" s="57">
        <v>11</v>
      </c>
      <c r="K167" s="58" t="s">
        <v>29</v>
      </c>
      <c r="L167" s="59" t="s">
        <v>178</v>
      </c>
      <c r="M167" s="60">
        <v>17101987014</v>
      </c>
      <c r="N167" s="60"/>
      <c r="O167" s="60"/>
      <c r="P167" s="60"/>
      <c r="Q167" s="60">
        <v>0</v>
      </c>
      <c r="R167" s="61">
        <v>0</v>
      </c>
      <c r="S167" s="60">
        <f>+M167-R167+N167-O167+P167-Q167</f>
        <v>17101987014</v>
      </c>
      <c r="T167" s="60">
        <v>17100849100</v>
      </c>
      <c r="U167" s="60">
        <f t="shared" ref="U167:U168" si="170">+S167-T167</f>
        <v>1137914</v>
      </c>
      <c r="V167" s="62">
        <f t="shared" si="143"/>
        <v>0.99993346305320729</v>
      </c>
      <c r="W167" s="60">
        <v>13077527618</v>
      </c>
      <c r="X167" s="60">
        <f t="shared" ref="X167:X168" si="171">+T167-W167</f>
        <v>4023321482</v>
      </c>
      <c r="Y167" s="62">
        <f t="shared" si="156"/>
        <v>0.2352702756730366</v>
      </c>
      <c r="Z167" s="60">
        <v>12312521724</v>
      </c>
      <c r="AA167" s="60">
        <f t="shared" ref="AA167:AA168" si="172">+W167-Z167</f>
        <v>765005894</v>
      </c>
      <c r="AB167" s="62">
        <f t="shared" si="139"/>
        <v>0.71999475885674002</v>
      </c>
    </row>
    <row r="168" spans="1:28" ht="24.95" customHeight="1">
      <c r="A168" s="32" t="e">
        <f>+CONCATENATE(#REF!,"=",J168)</f>
        <v>#REF!</v>
      </c>
      <c r="B168" s="56" t="str">
        <f t="shared" si="165"/>
        <v>C-4103-1500-14-0-4103048-02</v>
      </c>
      <c r="C168" s="57" t="s">
        <v>167</v>
      </c>
      <c r="D168" s="57" t="s">
        <v>190</v>
      </c>
      <c r="E168" s="57" t="s">
        <v>172</v>
      </c>
      <c r="F168" s="57" t="s">
        <v>205</v>
      </c>
      <c r="G168" s="57" t="s">
        <v>175</v>
      </c>
      <c r="H168" s="57" t="s">
        <v>209</v>
      </c>
      <c r="I168" s="57" t="s">
        <v>54</v>
      </c>
      <c r="J168" s="57">
        <v>13</v>
      </c>
      <c r="K168" s="58" t="s">
        <v>29</v>
      </c>
      <c r="L168" s="59" t="s">
        <v>178</v>
      </c>
      <c r="M168" s="60">
        <v>11773350659</v>
      </c>
      <c r="N168" s="60"/>
      <c r="O168" s="60"/>
      <c r="P168" s="60">
        <f>55338694.9+370083000+6000000+385750000+110000000</f>
        <v>927171694.89999998</v>
      </c>
      <c r="Q168" s="60">
        <f>1497903204+1170034999.9+100000000+682545355.41</f>
        <v>3450483559.3099999</v>
      </c>
      <c r="R168" s="61">
        <v>0</v>
      </c>
      <c r="S168" s="60">
        <f>+M168-R168+N168-O168+P168-Q168</f>
        <v>9250038794.5900002</v>
      </c>
      <c r="T168" s="60">
        <v>8013284224.0799999</v>
      </c>
      <c r="U168" s="60">
        <f t="shared" si="170"/>
        <v>1236754570.5100002</v>
      </c>
      <c r="V168" s="62">
        <f t="shared" si="143"/>
        <v>0.86629736393826462</v>
      </c>
      <c r="W168" s="60">
        <v>4764319064.5900002</v>
      </c>
      <c r="X168" s="60">
        <f t="shared" si="171"/>
        <v>3248965159.4899998</v>
      </c>
      <c r="Y168" s="62">
        <f t="shared" si="156"/>
        <v>0.4054473881915765</v>
      </c>
      <c r="Z168" s="60">
        <v>4586509706.5900002</v>
      </c>
      <c r="AA168" s="60">
        <f t="shared" si="172"/>
        <v>177809358</v>
      </c>
      <c r="AB168" s="62">
        <f t="shared" si="139"/>
        <v>0.57236328805204395</v>
      </c>
    </row>
    <row r="169" spans="1:28" ht="36" customHeight="1">
      <c r="A169" s="32" t="e">
        <f>+CONCATENATE(#REF!,"=",J169)</f>
        <v>#REF!</v>
      </c>
      <c r="B169" s="48" t="str">
        <f>CONCATENATE(C169,"-",D169,"-",E169,"-",F169)</f>
        <v>C-4103-1500-16</v>
      </c>
      <c r="C169" s="48" t="s">
        <v>167</v>
      </c>
      <c r="D169" s="48" t="s">
        <v>190</v>
      </c>
      <c r="E169" s="48" t="s">
        <v>172</v>
      </c>
      <c r="F169" s="48" t="s">
        <v>211</v>
      </c>
      <c r="G169" s="48"/>
      <c r="H169" s="48"/>
      <c r="I169" s="48"/>
      <c r="J169" s="48"/>
      <c r="K169" s="48"/>
      <c r="L169" s="48" t="s">
        <v>212</v>
      </c>
      <c r="M169" s="50">
        <f>+M170+M172</f>
        <v>1000000000</v>
      </c>
      <c r="N169" s="50">
        <f t="shared" ref="N169:U169" si="173">+N170+N172</f>
        <v>0</v>
      </c>
      <c r="O169" s="50">
        <f t="shared" si="173"/>
        <v>0</v>
      </c>
      <c r="P169" s="50">
        <f t="shared" si="173"/>
        <v>1000000000</v>
      </c>
      <c r="Q169" s="50">
        <f t="shared" si="173"/>
        <v>0</v>
      </c>
      <c r="R169" s="50">
        <f t="shared" si="173"/>
        <v>0</v>
      </c>
      <c r="S169" s="50">
        <f t="shared" si="173"/>
        <v>2000000000</v>
      </c>
      <c r="T169" s="50">
        <f t="shared" si="173"/>
        <v>0</v>
      </c>
      <c r="U169" s="50">
        <f t="shared" si="173"/>
        <v>2000000000</v>
      </c>
      <c r="V169" s="51">
        <f t="shared" si="143"/>
        <v>0</v>
      </c>
      <c r="W169" s="50">
        <f t="shared" ref="W169:AA169" si="174">+W170+W172</f>
        <v>0</v>
      </c>
      <c r="X169" s="50">
        <f t="shared" si="174"/>
        <v>0</v>
      </c>
      <c r="Y169" s="51">
        <f t="shared" si="156"/>
        <v>0</v>
      </c>
      <c r="Z169" s="50">
        <f t="shared" si="174"/>
        <v>0</v>
      </c>
      <c r="AA169" s="50">
        <f t="shared" si="174"/>
        <v>0</v>
      </c>
      <c r="AB169" s="51">
        <f t="shared" si="139"/>
        <v>0</v>
      </c>
    </row>
    <row r="170" spans="1:28" ht="28.5" customHeight="1">
      <c r="A170" s="32" t="e">
        <f>+CONCATENATE(#REF!,"=",J170)</f>
        <v>#REF!</v>
      </c>
      <c r="B170" s="52" t="str">
        <f>CONCATENATE(C170,"-",D170,"-",E170,"-",F170,"-",G170,"-",H170)</f>
        <v>C-4103-1500-16-0-4103056</v>
      </c>
      <c r="C170" s="52" t="s">
        <v>167</v>
      </c>
      <c r="D170" s="52" t="s">
        <v>190</v>
      </c>
      <c r="E170" s="52" t="s">
        <v>172</v>
      </c>
      <c r="F170" s="52" t="s">
        <v>211</v>
      </c>
      <c r="G170" s="52" t="s">
        <v>175</v>
      </c>
      <c r="H170" s="52" t="s">
        <v>213</v>
      </c>
      <c r="I170" s="52"/>
      <c r="J170" s="52" t="s">
        <v>144</v>
      </c>
      <c r="K170" s="52" t="s">
        <v>29</v>
      </c>
      <c r="L170" s="52" t="s">
        <v>214</v>
      </c>
      <c r="M170" s="54">
        <f>+M171</f>
        <v>820000000</v>
      </c>
      <c r="N170" s="54">
        <f t="shared" ref="N170:AA170" si="175">+N171</f>
        <v>0</v>
      </c>
      <c r="O170" s="54">
        <f t="shared" si="175"/>
        <v>0</v>
      </c>
      <c r="P170" s="54">
        <f t="shared" si="175"/>
        <v>0</v>
      </c>
      <c r="Q170" s="54">
        <f t="shared" si="175"/>
        <v>0</v>
      </c>
      <c r="R170" s="54">
        <f t="shared" si="175"/>
        <v>0</v>
      </c>
      <c r="S170" s="54">
        <f t="shared" si="175"/>
        <v>820000000</v>
      </c>
      <c r="T170" s="54">
        <f t="shared" si="175"/>
        <v>0</v>
      </c>
      <c r="U170" s="54">
        <f t="shared" si="175"/>
        <v>820000000</v>
      </c>
      <c r="V170" s="55">
        <f t="shared" si="143"/>
        <v>0</v>
      </c>
      <c r="W170" s="54">
        <f t="shared" si="175"/>
        <v>0</v>
      </c>
      <c r="X170" s="54">
        <f t="shared" si="175"/>
        <v>0</v>
      </c>
      <c r="Y170" s="55">
        <f t="shared" si="156"/>
        <v>0</v>
      </c>
      <c r="Z170" s="54">
        <f t="shared" si="175"/>
        <v>0</v>
      </c>
      <c r="AA170" s="54">
        <f t="shared" si="175"/>
        <v>0</v>
      </c>
      <c r="AB170" s="55">
        <f t="shared" si="139"/>
        <v>0</v>
      </c>
    </row>
    <row r="171" spans="1:28" ht="24.95" customHeight="1">
      <c r="A171" s="32" t="e">
        <f>+CONCATENATE(#REF!,"=",J171)</f>
        <v>#REF!</v>
      </c>
      <c r="B171" s="56" t="str">
        <f t="shared" ref="B171:B173" si="176">CONCATENATE(C171,"-",D171,"-",E171,"-",F171,"-",G171,"-",H171,"-",I171)</f>
        <v>C-4103-1500-16-0-4103056-02</v>
      </c>
      <c r="C171" s="57" t="s">
        <v>167</v>
      </c>
      <c r="D171" s="57" t="s">
        <v>190</v>
      </c>
      <c r="E171" s="57" t="s">
        <v>172</v>
      </c>
      <c r="F171" s="57" t="s">
        <v>211</v>
      </c>
      <c r="G171" s="57" t="s">
        <v>175</v>
      </c>
      <c r="H171" s="57" t="s">
        <v>213</v>
      </c>
      <c r="I171" s="57" t="s">
        <v>54</v>
      </c>
      <c r="J171" s="57">
        <v>13</v>
      </c>
      <c r="K171" s="58" t="s">
        <v>29</v>
      </c>
      <c r="L171" s="59" t="s">
        <v>178</v>
      </c>
      <c r="M171" s="60">
        <v>820000000</v>
      </c>
      <c r="N171" s="60"/>
      <c r="O171" s="60"/>
      <c r="P171" s="60"/>
      <c r="Q171" s="60">
        <v>0</v>
      </c>
      <c r="R171" s="61">
        <v>0</v>
      </c>
      <c r="S171" s="60">
        <f>+M171-R171+N171-O171+P171-Q171</f>
        <v>820000000</v>
      </c>
      <c r="T171" s="60">
        <v>0</v>
      </c>
      <c r="U171" s="60">
        <f t="shared" si="120"/>
        <v>820000000</v>
      </c>
      <c r="V171" s="62">
        <f t="shared" si="143"/>
        <v>0</v>
      </c>
      <c r="W171" s="60">
        <v>0</v>
      </c>
      <c r="X171" s="60">
        <f t="shared" si="121"/>
        <v>0</v>
      </c>
      <c r="Y171" s="62">
        <f t="shared" si="156"/>
        <v>0</v>
      </c>
      <c r="Z171" s="60">
        <v>0</v>
      </c>
      <c r="AA171" s="60">
        <f t="shared" si="122"/>
        <v>0</v>
      </c>
      <c r="AB171" s="62">
        <f t="shared" si="139"/>
        <v>0</v>
      </c>
    </row>
    <row r="172" spans="1:28" ht="24" customHeight="1">
      <c r="A172" s="32" t="e">
        <f>+CONCATENATE(#REF!,"=",J172)</f>
        <v>#REF!</v>
      </c>
      <c r="B172" s="52" t="str">
        <f>CONCATENATE(C172,"-",D172,"-",E172,"-",F172,"-",G172,"-",H172)</f>
        <v>C-4103-1500-16-0-4103060</v>
      </c>
      <c r="C172" s="52" t="s">
        <v>167</v>
      </c>
      <c r="D172" s="52" t="s">
        <v>190</v>
      </c>
      <c r="E172" s="52" t="s">
        <v>172</v>
      </c>
      <c r="F172" s="52" t="s">
        <v>211</v>
      </c>
      <c r="G172" s="52" t="s">
        <v>175</v>
      </c>
      <c r="H172" s="52" t="s">
        <v>215</v>
      </c>
      <c r="I172" s="52"/>
      <c r="J172" s="52" t="s">
        <v>144</v>
      </c>
      <c r="K172" s="52" t="s">
        <v>29</v>
      </c>
      <c r="L172" s="52" t="s">
        <v>216</v>
      </c>
      <c r="M172" s="54">
        <f>+M173</f>
        <v>180000000</v>
      </c>
      <c r="N172" s="54">
        <f t="shared" ref="N172:AA172" si="177">+N173</f>
        <v>0</v>
      </c>
      <c r="O172" s="54">
        <f t="shared" si="177"/>
        <v>0</v>
      </c>
      <c r="P172" s="54">
        <f t="shared" si="177"/>
        <v>1000000000</v>
      </c>
      <c r="Q172" s="54">
        <f t="shared" si="177"/>
        <v>0</v>
      </c>
      <c r="R172" s="54">
        <f t="shared" si="177"/>
        <v>0</v>
      </c>
      <c r="S172" s="54">
        <f t="shared" si="177"/>
        <v>1180000000</v>
      </c>
      <c r="T172" s="54">
        <f t="shared" si="177"/>
        <v>0</v>
      </c>
      <c r="U172" s="54">
        <f t="shared" si="177"/>
        <v>1180000000</v>
      </c>
      <c r="V172" s="55">
        <f t="shared" si="143"/>
        <v>0</v>
      </c>
      <c r="W172" s="54">
        <f t="shared" si="177"/>
        <v>0</v>
      </c>
      <c r="X172" s="54">
        <f t="shared" si="177"/>
        <v>0</v>
      </c>
      <c r="Y172" s="55">
        <f t="shared" si="156"/>
        <v>0</v>
      </c>
      <c r="Z172" s="54">
        <f t="shared" si="177"/>
        <v>0</v>
      </c>
      <c r="AA172" s="54">
        <f t="shared" si="177"/>
        <v>0</v>
      </c>
      <c r="AB172" s="55">
        <f t="shared" si="139"/>
        <v>0</v>
      </c>
    </row>
    <row r="173" spans="1:28" ht="24.95" customHeight="1">
      <c r="A173" s="32" t="e">
        <f>+CONCATENATE(#REF!,"=",J173)</f>
        <v>#REF!</v>
      </c>
      <c r="B173" s="56" t="str">
        <f t="shared" si="176"/>
        <v>C-4103-1500-16-0-4103060-02</v>
      </c>
      <c r="C173" s="57" t="s">
        <v>167</v>
      </c>
      <c r="D173" s="57" t="s">
        <v>190</v>
      </c>
      <c r="E173" s="57" t="s">
        <v>172</v>
      </c>
      <c r="F173" s="57" t="s">
        <v>211</v>
      </c>
      <c r="G173" s="57" t="s">
        <v>175</v>
      </c>
      <c r="H173" s="57" t="s">
        <v>215</v>
      </c>
      <c r="I173" s="57" t="s">
        <v>54</v>
      </c>
      <c r="J173" s="57">
        <v>13</v>
      </c>
      <c r="K173" s="58" t="s">
        <v>29</v>
      </c>
      <c r="L173" s="59" t="s">
        <v>178</v>
      </c>
      <c r="M173" s="60">
        <v>180000000</v>
      </c>
      <c r="N173" s="60"/>
      <c r="O173" s="60"/>
      <c r="P173" s="60">
        <v>1000000000</v>
      </c>
      <c r="Q173" s="60">
        <v>0</v>
      </c>
      <c r="R173" s="61">
        <v>0</v>
      </c>
      <c r="S173" s="60">
        <f>+M173-R173+N173-O173+P173-Q173</f>
        <v>1180000000</v>
      </c>
      <c r="T173" s="60">
        <v>0</v>
      </c>
      <c r="U173" s="60">
        <f t="shared" si="120"/>
        <v>1180000000</v>
      </c>
      <c r="V173" s="62">
        <f t="shared" si="143"/>
        <v>0</v>
      </c>
      <c r="W173" s="60">
        <v>0</v>
      </c>
      <c r="X173" s="60">
        <f t="shared" si="121"/>
        <v>0</v>
      </c>
      <c r="Y173" s="62">
        <f t="shared" si="156"/>
        <v>0</v>
      </c>
      <c r="Z173" s="60">
        <v>0</v>
      </c>
      <c r="AA173" s="60">
        <f t="shared" si="122"/>
        <v>0</v>
      </c>
      <c r="AB173" s="62">
        <f t="shared" si="139"/>
        <v>0</v>
      </c>
    </row>
    <row r="174" spans="1:28" ht="50.25" customHeight="1">
      <c r="A174" s="32" t="e">
        <f>+CONCATENATE(#REF!,"=",J174)</f>
        <v>#REF!</v>
      </c>
      <c r="B174" s="48" t="str">
        <f>CONCATENATE(C174,"-",D174,"-",E174,"-",F174)</f>
        <v>C-4103-1500-17</v>
      </c>
      <c r="C174" s="48" t="s">
        <v>167</v>
      </c>
      <c r="D174" s="48" t="s">
        <v>190</v>
      </c>
      <c r="E174" s="48" t="s">
        <v>172</v>
      </c>
      <c r="F174" s="48" t="s">
        <v>217</v>
      </c>
      <c r="G174" s="48"/>
      <c r="H174" s="48"/>
      <c r="I174" s="48"/>
      <c r="J174" s="48"/>
      <c r="K174" s="48"/>
      <c r="L174" s="48" t="s">
        <v>218</v>
      </c>
      <c r="M174" s="50">
        <f t="shared" ref="M174:U174" si="178">+M179+M182+M177+M175</f>
        <v>20000000000</v>
      </c>
      <c r="N174" s="50">
        <f t="shared" si="178"/>
        <v>0</v>
      </c>
      <c r="O174" s="50">
        <f t="shared" si="178"/>
        <v>0</v>
      </c>
      <c r="P174" s="50">
        <f t="shared" si="178"/>
        <v>0</v>
      </c>
      <c r="Q174" s="50">
        <f t="shared" si="178"/>
        <v>0</v>
      </c>
      <c r="R174" s="50">
        <f t="shared" si="178"/>
        <v>0</v>
      </c>
      <c r="S174" s="50">
        <f t="shared" si="178"/>
        <v>20000000000</v>
      </c>
      <c r="T174" s="50">
        <f t="shared" si="178"/>
        <v>16887181729</v>
      </c>
      <c r="U174" s="50">
        <f t="shared" si="178"/>
        <v>3112818271</v>
      </c>
      <c r="V174" s="51">
        <f t="shared" si="143"/>
        <v>0.84435908645000002</v>
      </c>
      <c r="W174" s="50">
        <f>+W179+W182+W177+W175</f>
        <v>7787360227.5</v>
      </c>
      <c r="X174" s="50">
        <f>+X179+X182+X177+X175</f>
        <v>9099821501.5</v>
      </c>
      <c r="Y174" s="51">
        <f t="shared" si="156"/>
        <v>0.53885968941004936</v>
      </c>
      <c r="Z174" s="50">
        <f>+Z179+Z182+Z177+Z175</f>
        <v>7754115227.5</v>
      </c>
      <c r="AA174" s="50">
        <f>+AA179+AA182+AA177+AA175</f>
        <v>33245000</v>
      </c>
      <c r="AB174" s="51">
        <f t="shared" si="139"/>
        <v>0.45917165764752932</v>
      </c>
    </row>
    <row r="175" spans="1:28" ht="24" customHeight="1">
      <c r="A175" s="32" t="e">
        <f>+CONCATENATE(#REF!,"=",J175)</f>
        <v>#REF!</v>
      </c>
      <c r="B175" s="52" t="str">
        <f>CONCATENATE(C175,"-",D175,"-",E175,"-",F175,"-",G175,"-",H175)</f>
        <v>C-4103-1500-17-0-4103005</v>
      </c>
      <c r="C175" s="52" t="s">
        <v>167</v>
      </c>
      <c r="D175" s="52" t="s">
        <v>190</v>
      </c>
      <c r="E175" s="52" t="s">
        <v>172</v>
      </c>
      <c r="F175" s="52" t="s">
        <v>217</v>
      </c>
      <c r="G175" s="52" t="s">
        <v>175</v>
      </c>
      <c r="H175" s="52" t="s">
        <v>219</v>
      </c>
      <c r="I175" s="52"/>
      <c r="J175" s="52">
        <v>11</v>
      </c>
      <c r="K175" s="52" t="s">
        <v>29</v>
      </c>
      <c r="L175" s="52" t="s">
        <v>220</v>
      </c>
      <c r="M175" s="54">
        <f>M176</f>
        <v>4242894515</v>
      </c>
      <c r="N175" s="54">
        <f t="shared" ref="N175:AA175" si="179">N176</f>
        <v>0</v>
      </c>
      <c r="O175" s="54">
        <f t="shared" si="179"/>
        <v>0</v>
      </c>
      <c r="P175" s="54">
        <f t="shared" si="179"/>
        <v>0</v>
      </c>
      <c r="Q175" s="54">
        <f t="shared" si="179"/>
        <v>0</v>
      </c>
      <c r="R175" s="54">
        <f t="shared" si="179"/>
        <v>0</v>
      </c>
      <c r="S175" s="54">
        <f t="shared" si="179"/>
        <v>4242894515</v>
      </c>
      <c r="T175" s="54">
        <f t="shared" si="179"/>
        <v>2614076244</v>
      </c>
      <c r="U175" s="54">
        <f t="shared" si="179"/>
        <v>1628818271</v>
      </c>
      <c r="V175" s="55">
        <f t="shared" si="143"/>
        <v>0.61610681923823407</v>
      </c>
      <c r="W175" s="54">
        <f t="shared" si="179"/>
        <v>724079853.5</v>
      </c>
      <c r="X175" s="54">
        <f t="shared" si="179"/>
        <v>1889996390.5</v>
      </c>
      <c r="Y175" s="55">
        <f t="shared" si="156"/>
        <v>0.72300737013239158</v>
      </c>
      <c r="Z175" s="54">
        <f t="shared" si="179"/>
        <v>690834853.5</v>
      </c>
      <c r="AA175" s="54">
        <f t="shared" si="179"/>
        <v>33245000</v>
      </c>
      <c r="AB175" s="55">
        <f t="shared" si="139"/>
        <v>0.26427494419324976</v>
      </c>
    </row>
    <row r="176" spans="1:28" ht="24.95" customHeight="1">
      <c r="A176" s="32" t="e">
        <f>+CONCATENATE(#REF!,"=",J176)</f>
        <v>#REF!</v>
      </c>
      <c r="B176" s="56" t="str">
        <f t="shared" ref="B176:B183" si="180">CONCATENATE(C176,"-",D176,"-",E176,"-",F176,"-",G176,"-",H176,"-",I176)</f>
        <v>C-4103-1500-17-0-4103005-02</v>
      </c>
      <c r="C176" s="57" t="s">
        <v>167</v>
      </c>
      <c r="D176" s="57" t="s">
        <v>190</v>
      </c>
      <c r="E176" s="57" t="s">
        <v>172</v>
      </c>
      <c r="F176" s="57" t="s">
        <v>217</v>
      </c>
      <c r="G176" s="57" t="s">
        <v>175</v>
      </c>
      <c r="H176" s="57" t="s">
        <v>219</v>
      </c>
      <c r="I176" s="57" t="s">
        <v>54</v>
      </c>
      <c r="J176" s="57">
        <v>13</v>
      </c>
      <c r="K176" s="58" t="s">
        <v>29</v>
      </c>
      <c r="L176" s="59" t="s">
        <v>178</v>
      </c>
      <c r="M176" s="60">
        <v>4242894515</v>
      </c>
      <c r="N176" s="60"/>
      <c r="O176" s="60"/>
      <c r="P176" s="60"/>
      <c r="Q176" s="60">
        <v>0</v>
      </c>
      <c r="R176" s="61">
        <v>0</v>
      </c>
      <c r="S176" s="60">
        <f>+M176-R176+N176-O176+P176-Q176</f>
        <v>4242894515</v>
      </c>
      <c r="T176" s="60">
        <v>2614076244</v>
      </c>
      <c r="U176" s="60">
        <f>+S176-T176</f>
        <v>1628818271</v>
      </c>
      <c r="V176" s="62">
        <f t="shared" si="143"/>
        <v>0.61610681923823407</v>
      </c>
      <c r="W176" s="60">
        <v>724079853.5</v>
      </c>
      <c r="X176" s="60">
        <f>+T176-W176</f>
        <v>1889996390.5</v>
      </c>
      <c r="Y176" s="62">
        <f t="shared" si="156"/>
        <v>0.72300737013239158</v>
      </c>
      <c r="Z176" s="60">
        <v>690834853.5</v>
      </c>
      <c r="AA176" s="60">
        <f>+W176-Z176</f>
        <v>33245000</v>
      </c>
      <c r="AB176" s="62">
        <f t="shared" si="139"/>
        <v>0.26427494419324976</v>
      </c>
    </row>
    <row r="177" spans="1:28" ht="28.5" customHeight="1">
      <c r="A177" s="32" t="e">
        <f>+CONCATENATE(#REF!,"=",J177)</f>
        <v>#REF!</v>
      </c>
      <c r="B177" s="52" t="str">
        <f>CONCATENATE(C177,"-",D177,"-",E177,"-",F177,"-",G177,"-",H177)</f>
        <v>C-4103-1500-17-0-4103057</v>
      </c>
      <c r="C177" s="52" t="s">
        <v>167</v>
      </c>
      <c r="D177" s="52" t="s">
        <v>190</v>
      </c>
      <c r="E177" s="52" t="s">
        <v>172</v>
      </c>
      <c r="F177" s="52" t="s">
        <v>217</v>
      </c>
      <c r="G177" s="52" t="s">
        <v>175</v>
      </c>
      <c r="H177" s="52" t="s">
        <v>221</v>
      </c>
      <c r="I177" s="52"/>
      <c r="J177" s="52">
        <v>11</v>
      </c>
      <c r="K177" s="52" t="s">
        <v>29</v>
      </c>
      <c r="L177" s="52" t="s">
        <v>222</v>
      </c>
      <c r="M177" s="54">
        <f t="shared" ref="M177:U177" si="181">SUM(M178:M178)</f>
        <v>15757105485</v>
      </c>
      <c r="N177" s="54">
        <f t="shared" si="181"/>
        <v>0</v>
      </c>
      <c r="O177" s="54">
        <f t="shared" si="181"/>
        <v>0</v>
      </c>
      <c r="P177" s="54">
        <f t="shared" si="181"/>
        <v>0</v>
      </c>
      <c r="Q177" s="54">
        <f t="shared" si="181"/>
        <v>0</v>
      </c>
      <c r="R177" s="54">
        <f t="shared" si="181"/>
        <v>0</v>
      </c>
      <c r="S177" s="54">
        <f t="shared" si="181"/>
        <v>15757105485</v>
      </c>
      <c r="T177" s="54">
        <f t="shared" si="181"/>
        <v>14273105485</v>
      </c>
      <c r="U177" s="54">
        <f t="shared" si="181"/>
        <v>1484000000</v>
      </c>
      <c r="V177" s="55">
        <f t="shared" si="143"/>
        <v>0.90582026620227329</v>
      </c>
      <c r="W177" s="54">
        <f>SUM(W178:W178)</f>
        <v>7063280374</v>
      </c>
      <c r="X177" s="54">
        <f>SUM(X178:X178)</f>
        <v>7209825111</v>
      </c>
      <c r="Y177" s="55">
        <f t="shared" si="156"/>
        <v>0.50513359678992098</v>
      </c>
      <c r="Z177" s="54">
        <f>SUM(Z178:Z178)</f>
        <v>7063280374</v>
      </c>
      <c r="AA177" s="54">
        <f>SUM(AA178:AA178)</f>
        <v>0</v>
      </c>
      <c r="AB177" s="55">
        <f t="shared" si="139"/>
        <v>0.49486640321007896</v>
      </c>
    </row>
    <row r="178" spans="1:28" ht="24.95" customHeight="1">
      <c r="A178" s="32" t="e">
        <f>+CONCATENATE(#REF!,"=",J178)</f>
        <v>#REF!</v>
      </c>
      <c r="B178" s="56" t="str">
        <f t="shared" si="180"/>
        <v>C-4103-1500-17-0-4103057-02</v>
      </c>
      <c r="C178" s="57" t="s">
        <v>167</v>
      </c>
      <c r="D178" s="57" t="s">
        <v>190</v>
      </c>
      <c r="E178" s="57" t="s">
        <v>172</v>
      </c>
      <c r="F178" s="57" t="s">
        <v>217</v>
      </c>
      <c r="G178" s="57" t="s">
        <v>175</v>
      </c>
      <c r="H178" s="57" t="s">
        <v>221</v>
      </c>
      <c r="I178" s="57" t="s">
        <v>54</v>
      </c>
      <c r="J178" s="57">
        <v>13</v>
      </c>
      <c r="K178" s="58" t="s">
        <v>29</v>
      </c>
      <c r="L178" s="59" t="s">
        <v>178</v>
      </c>
      <c r="M178" s="60">
        <v>15757105485</v>
      </c>
      <c r="N178" s="60"/>
      <c r="O178" s="60"/>
      <c r="P178" s="60"/>
      <c r="Q178" s="60">
        <v>0</v>
      </c>
      <c r="R178" s="61">
        <v>0</v>
      </c>
      <c r="S178" s="60">
        <f>+M178-R178+N178-O178+P178-Q178</f>
        <v>15757105485</v>
      </c>
      <c r="T178" s="60">
        <v>14273105485</v>
      </c>
      <c r="U178" s="60">
        <f t="shared" ref="U178" si="182">+S178-T178</f>
        <v>1484000000</v>
      </c>
      <c r="V178" s="62">
        <f t="shared" si="143"/>
        <v>0.90582026620227329</v>
      </c>
      <c r="W178" s="60">
        <v>7063280374</v>
      </c>
      <c r="X178" s="60">
        <f t="shared" ref="X178" si="183">+T178-W178</f>
        <v>7209825111</v>
      </c>
      <c r="Y178" s="62">
        <f t="shared" si="156"/>
        <v>0.50513359678992098</v>
      </c>
      <c r="Z178" s="60">
        <v>7063280374</v>
      </c>
      <c r="AA178" s="60">
        <f t="shared" ref="AA178" si="184">+W178-Z178</f>
        <v>0</v>
      </c>
      <c r="AB178" s="62">
        <f t="shared" si="139"/>
        <v>0.49486640321007896</v>
      </c>
    </row>
    <row r="179" spans="1:28" ht="30" customHeight="1">
      <c r="A179" s="32" t="e">
        <f>+CONCATENATE(#REF!,"=",J179)</f>
        <v>#REF!</v>
      </c>
      <c r="B179" s="52" t="str">
        <f>CONCATENATE(C179,"-",D179,"-",E179,"-",F179,"-",G179,"-",H179)</f>
        <v>C-4103-1500-17-0-4103058</v>
      </c>
      <c r="C179" s="52" t="s">
        <v>167</v>
      </c>
      <c r="D179" s="52" t="s">
        <v>190</v>
      </c>
      <c r="E179" s="52" t="s">
        <v>172</v>
      </c>
      <c r="F179" s="52" t="s">
        <v>217</v>
      </c>
      <c r="G179" s="52" t="s">
        <v>175</v>
      </c>
      <c r="H179" s="52" t="s">
        <v>223</v>
      </c>
      <c r="I179" s="52"/>
      <c r="J179" s="52">
        <v>11</v>
      </c>
      <c r="K179" s="52" t="s">
        <v>29</v>
      </c>
      <c r="L179" s="52" t="s">
        <v>224</v>
      </c>
      <c r="M179" s="54">
        <f t="shared" ref="M179:O179" si="185">SUM(M180:M181)</f>
        <v>0</v>
      </c>
      <c r="N179" s="54">
        <f t="shared" si="185"/>
        <v>0</v>
      </c>
      <c r="O179" s="54">
        <f t="shared" si="185"/>
        <v>0</v>
      </c>
      <c r="P179" s="54">
        <f>SUM(P180:P181)</f>
        <v>0</v>
      </c>
      <c r="Q179" s="54">
        <f t="shared" ref="Q179:U179" si="186">SUM(Q180:Q181)</f>
        <v>0</v>
      </c>
      <c r="R179" s="54">
        <f t="shared" si="186"/>
        <v>0</v>
      </c>
      <c r="S179" s="54">
        <f t="shared" si="186"/>
        <v>0</v>
      </c>
      <c r="T179" s="54">
        <f t="shared" si="186"/>
        <v>0</v>
      </c>
      <c r="U179" s="54">
        <f t="shared" si="186"/>
        <v>0</v>
      </c>
      <c r="V179" s="55">
        <f t="shared" si="143"/>
        <v>0</v>
      </c>
      <c r="W179" s="54">
        <f t="shared" ref="W179:X179" si="187">SUM(W180:W181)</f>
        <v>0</v>
      </c>
      <c r="X179" s="54">
        <f t="shared" si="187"/>
        <v>0</v>
      </c>
      <c r="Y179" s="55">
        <f t="shared" si="156"/>
        <v>0</v>
      </c>
      <c r="Z179" s="54">
        <f t="shared" ref="Z179:AA179" si="188">SUM(Z180:Z181)</f>
        <v>0</v>
      </c>
      <c r="AA179" s="54">
        <f t="shared" si="188"/>
        <v>0</v>
      </c>
      <c r="AB179" s="55">
        <f t="shared" si="139"/>
        <v>0</v>
      </c>
    </row>
    <row r="180" spans="1:28" ht="24.95" customHeight="1">
      <c r="A180" s="32" t="e">
        <f>+CONCATENATE(#REF!,"=",J180)</f>
        <v>#REF!</v>
      </c>
      <c r="B180" s="56" t="str">
        <f t="shared" si="180"/>
        <v>C-4103-1500-17-0-4103058-02</v>
      </c>
      <c r="C180" s="57" t="s">
        <v>167</v>
      </c>
      <c r="D180" s="57" t="s">
        <v>190</v>
      </c>
      <c r="E180" s="57" t="s">
        <v>172</v>
      </c>
      <c r="F180" s="57" t="s">
        <v>217</v>
      </c>
      <c r="G180" s="57" t="s">
        <v>175</v>
      </c>
      <c r="H180" s="57" t="s">
        <v>223</v>
      </c>
      <c r="I180" s="57" t="s">
        <v>54</v>
      </c>
      <c r="J180" s="57">
        <v>11</v>
      </c>
      <c r="K180" s="58" t="s">
        <v>29</v>
      </c>
      <c r="L180" s="59" t="s">
        <v>178</v>
      </c>
      <c r="M180" s="60"/>
      <c r="N180" s="60"/>
      <c r="O180" s="60"/>
      <c r="P180" s="60"/>
      <c r="Q180" s="60"/>
      <c r="R180" s="61"/>
      <c r="S180" s="60">
        <f>+M180-R180+N180-O180+P180-Q180</f>
        <v>0</v>
      </c>
      <c r="T180" s="60"/>
      <c r="U180" s="60">
        <f t="shared" ref="U180:U181" si="189">+S180-T180</f>
        <v>0</v>
      </c>
      <c r="V180" s="62">
        <f t="shared" si="143"/>
        <v>0</v>
      </c>
      <c r="W180" s="60"/>
      <c r="X180" s="60">
        <f t="shared" ref="X180:X181" si="190">+T180-W180</f>
        <v>0</v>
      </c>
      <c r="Y180" s="62">
        <f t="shared" si="156"/>
        <v>0</v>
      </c>
      <c r="Z180" s="60"/>
      <c r="AA180" s="60">
        <f t="shared" ref="AA180:AA181" si="191">+W180-Z180</f>
        <v>0</v>
      </c>
      <c r="AB180" s="62">
        <f t="shared" si="139"/>
        <v>0</v>
      </c>
    </row>
    <row r="181" spans="1:28" ht="24.95" customHeight="1">
      <c r="A181" s="32" t="e">
        <f>+CONCATENATE(#REF!,"=",J181)</f>
        <v>#REF!</v>
      </c>
      <c r="B181" s="56" t="str">
        <f t="shared" si="180"/>
        <v>C-4103-1500-17-0-4103058-03</v>
      </c>
      <c r="C181" s="57" t="s">
        <v>167</v>
      </c>
      <c r="D181" s="57" t="s">
        <v>190</v>
      </c>
      <c r="E181" s="57" t="s">
        <v>172</v>
      </c>
      <c r="F181" s="57" t="s">
        <v>217</v>
      </c>
      <c r="G181" s="57" t="s">
        <v>175</v>
      </c>
      <c r="H181" s="57" t="s">
        <v>223</v>
      </c>
      <c r="I181" s="57" t="s">
        <v>65</v>
      </c>
      <c r="J181" s="57">
        <v>11</v>
      </c>
      <c r="K181" s="58" t="s">
        <v>29</v>
      </c>
      <c r="L181" s="59" t="s">
        <v>127</v>
      </c>
      <c r="M181" s="60"/>
      <c r="N181" s="60"/>
      <c r="O181" s="60"/>
      <c r="P181" s="60"/>
      <c r="Q181" s="60"/>
      <c r="R181" s="61"/>
      <c r="S181" s="60">
        <f>+M181-R181+N181-O181+P181-Q181</f>
        <v>0</v>
      </c>
      <c r="T181" s="60"/>
      <c r="U181" s="60">
        <f t="shared" si="189"/>
        <v>0</v>
      </c>
      <c r="V181" s="62">
        <f t="shared" si="143"/>
        <v>0</v>
      </c>
      <c r="W181" s="60"/>
      <c r="X181" s="60">
        <f t="shared" si="190"/>
        <v>0</v>
      </c>
      <c r="Y181" s="62">
        <f t="shared" si="156"/>
        <v>0</v>
      </c>
      <c r="Z181" s="60"/>
      <c r="AA181" s="60">
        <f t="shared" si="191"/>
        <v>0</v>
      </c>
      <c r="AB181" s="62">
        <f t="shared" si="139"/>
        <v>0</v>
      </c>
    </row>
    <row r="182" spans="1:28" ht="30" customHeight="1">
      <c r="A182" s="32" t="e">
        <f>+CONCATENATE(#REF!,"=",J182)</f>
        <v>#REF!</v>
      </c>
      <c r="B182" s="52" t="str">
        <f>CONCATENATE(C182,"-",D182,"-",E182,"-",F182,"-",G182,"-",H182)</f>
        <v>C-4103-1500-17-0-4103059</v>
      </c>
      <c r="C182" s="52" t="s">
        <v>167</v>
      </c>
      <c r="D182" s="52" t="s">
        <v>190</v>
      </c>
      <c r="E182" s="52" t="s">
        <v>172</v>
      </c>
      <c r="F182" s="52" t="s">
        <v>217</v>
      </c>
      <c r="G182" s="52" t="s">
        <v>175</v>
      </c>
      <c r="H182" s="52" t="s">
        <v>225</v>
      </c>
      <c r="I182" s="52"/>
      <c r="J182" s="52">
        <v>11</v>
      </c>
      <c r="K182" s="52" t="s">
        <v>29</v>
      </c>
      <c r="L182" s="52" t="s">
        <v>226</v>
      </c>
      <c r="M182" s="54">
        <f>SUM(M183:M183)</f>
        <v>0</v>
      </c>
      <c r="N182" s="54">
        <f t="shared" ref="N182:U182" si="192">SUM(N183:N183)</f>
        <v>0</v>
      </c>
      <c r="O182" s="54">
        <f t="shared" si="192"/>
        <v>0</v>
      </c>
      <c r="P182" s="54">
        <f t="shared" si="192"/>
        <v>0</v>
      </c>
      <c r="Q182" s="54">
        <f t="shared" si="192"/>
        <v>0</v>
      </c>
      <c r="R182" s="54">
        <f t="shared" si="192"/>
        <v>0</v>
      </c>
      <c r="S182" s="54">
        <f t="shared" si="192"/>
        <v>0</v>
      </c>
      <c r="T182" s="54">
        <f t="shared" si="192"/>
        <v>0</v>
      </c>
      <c r="U182" s="54">
        <f t="shared" si="192"/>
        <v>0</v>
      </c>
      <c r="V182" s="55">
        <f t="shared" si="143"/>
        <v>0</v>
      </c>
      <c r="W182" s="54">
        <f t="shared" ref="W182:X182" si="193">SUM(W183:W183)</f>
        <v>0</v>
      </c>
      <c r="X182" s="54">
        <f t="shared" si="193"/>
        <v>0</v>
      </c>
      <c r="Y182" s="55">
        <f t="shared" si="156"/>
        <v>0</v>
      </c>
      <c r="Z182" s="54">
        <f t="shared" ref="Z182:AA182" si="194">SUM(Z183:Z183)</f>
        <v>0</v>
      </c>
      <c r="AA182" s="54">
        <f t="shared" si="194"/>
        <v>0</v>
      </c>
      <c r="AB182" s="55">
        <f t="shared" si="139"/>
        <v>0</v>
      </c>
    </row>
    <row r="183" spans="1:28" ht="24.95" customHeight="1">
      <c r="A183" s="32" t="e">
        <f>+CONCATENATE(#REF!,"=",J183)</f>
        <v>#REF!</v>
      </c>
      <c r="B183" s="56" t="str">
        <f t="shared" si="180"/>
        <v>C-4103-1500-17-0-4103059-02</v>
      </c>
      <c r="C183" s="57" t="s">
        <v>167</v>
      </c>
      <c r="D183" s="57" t="s">
        <v>190</v>
      </c>
      <c r="E183" s="57" t="s">
        <v>172</v>
      </c>
      <c r="F183" s="57" t="s">
        <v>217</v>
      </c>
      <c r="G183" s="57" t="s">
        <v>175</v>
      </c>
      <c r="H183" s="57" t="s">
        <v>225</v>
      </c>
      <c r="I183" s="57" t="s">
        <v>54</v>
      </c>
      <c r="J183" s="57">
        <v>11</v>
      </c>
      <c r="K183" s="58" t="s">
        <v>29</v>
      </c>
      <c r="L183" s="59" t="s">
        <v>178</v>
      </c>
      <c r="M183" s="60"/>
      <c r="N183" s="60"/>
      <c r="O183" s="60"/>
      <c r="P183" s="60"/>
      <c r="Q183" s="60"/>
      <c r="R183" s="61"/>
      <c r="S183" s="60">
        <f>+M183-R183+N183-O183+P183-Q183</f>
        <v>0</v>
      </c>
      <c r="T183" s="60"/>
      <c r="U183" s="60">
        <f t="shared" si="120"/>
        <v>0</v>
      </c>
      <c r="V183" s="62">
        <f t="shared" si="143"/>
        <v>0</v>
      </c>
      <c r="W183" s="60"/>
      <c r="X183" s="60">
        <f t="shared" si="121"/>
        <v>0</v>
      </c>
      <c r="Y183" s="62">
        <f t="shared" si="156"/>
        <v>0</v>
      </c>
      <c r="Z183" s="60"/>
      <c r="AA183" s="60">
        <f t="shared" si="122"/>
        <v>0</v>
      </c>
      <c r="AB183" s="62">
        <f t="shared" si="139"/>
        <v>0</v>
      </c>
    </row>
    <row r="184" spans="1:28" ht="33" customHeight="1">
      <c r="A184" s="32" t="e">
        <f>+CONCATENATE(#REF!,"=",J184)</f>
        <v>#REF!</v>
      </c>
      <c r="B184" s="48" t="str">
        <f>CONCATENATE(C184,"-",D184,"-",E184,"-",F184)</f>
        <v>C-4103-1500-19</v>
      </c>
      <c r="C184" s="48" t="s">
        <v>167</v>
      </c>
      <c r="D184" s="48" t="s">
        <v>190</v>
      </c>
      <c r="E184" s="48" t="s">
        <v>172</v>
      </c>
      <c r="F184" s="48">
        <v>19</v>
      </c>
      <c r="G184" s="48"/>
      <c r="H184" s="48"/>
      <c r="I184" s="48"/>
      <c r="J184" s="48"/>
      <c r="K184" s="48"/>
      <c r="L184" s="48" t="s">
        <v>227</v>
      </c>
      <c r="M184" s="50">
        <f>+M185+M189+M187</f>
        <v>12800000000</v>
      </c>
      <c r="N184" s="50">
        <f t="shared" ref="N184:AA184" si="195">+N185+N189+N187</f>
        <v>5269349000</v>
      </c>
      <c r="O184" s="50">
        <f t="shared" si="195"/>
        <v>0</v>
      </c>
      <c r="P184" s="50">
        <f t="shared" si="195"/>
        <v>0</v>
      </c>
      <c r="Q184" s="50">
        <f t="shared" si="195"/>
        <v>0</v>
      </c>
      <c r="R184" s="50">
        <f t="shared" si="195"/>
        <v>0</v>
      </c>
      <c r="S184" s="50">
        <f t="shared" si="195"/>
        <v>18069349000</v>
      </c>
      <c r="T184" s="50">
        <f t="shared" si="195"/>
        <v>12390040627.51</v>
      </c>
      <c r="U184" s="50">
        <f t="shared" si="195"/>
        <v>5679308372.4899998</v>
      </c>
      <c r="V184" s="51">
        <f t="shared" si="143"/>
        <v>0.68569380266605073</v>
      </c>
      <c r="W184" s="50">
        <f t="shared" si="195"/>
        <v>6121958254.8999996</v>
      </c>
      <c r="X184" s="50">
        <f t="shared" si="195"/>
        <v>6268082372.6100006</v>
      </c>
      <c r="Y184" s="51">
        <f t="shared" si="156"/>
        <v>0.50589683771437988</v>
      </c>
      <c r="Z184" s="50">
        <f t="shared" si="195"/>
        <v>6032542496.8999996</v>
      </c>
      <c r="AA184" s="50">
        <f t="shared" si="195"/>
        <v>89415758</v>
      </c>
      <c r="AB184" s="51">
        <f t="shared" si="139"/>
        <v>0.4868864177495717</v>
      </c>
    </row>
    <row r="185" spans="1:28" ht="30" customHeight="1">
      <c r="A185" s="32" t="e">
        <f>+CONCATENATE(#REF!,"=",J185)</f>
        <v>#REF!</v>
      </c>
      <c r="B185" s="52" t="str">
        <f>CONCATENATE(C185,"-",D185,"-",E185,"-",F185,"-",G185,"-",H185)</f>
        <v>C-4103-1500-19-0-4103049</v>
      </c>
      <c r="C185" s="52" t="s">
        <v>167</v>
      </c>
      <c r="D185" s="52" t="s">
        <v>190</v>
      </c>
      <c r="E185" s="52" t="s">
        <v>172</v>
      </c>
      <c r="F185" s="52">
        <v>19</v>
      </c>
      <c r="G185" s="52" t="s">
        <v>175</v>
      </c>
      <c r="H185" s="52">
        <v>4103049</v>
      </c>
      <c r="I185" s="52"/>
      <c r="J185" s="52">
        <v>13</v>
      </c>
      <c r="K185" s="52" t="s">
        <v>29</v>
      </c>
      <c r="L185" s="52" t="s">
        <v>228</v>
      </c>
      <c r="M185" s="54">
        <f>M186</f>
        <v>321785352</v>
      </c>
      <c r="N185" s="54">
        <f t="shared" ref="N185:AA189" si="196">N186</f>
        <v>0</v>
      </c>
      <c r="O185" s="54">
        <f t="shared" si="196"/>
        <v>0</v>
      </c>
      <c r="P185" s="54">
        <f t="shared" si="196"/>
        <v>0</v>
      </c>
      <c r="Q185" s="54">
        <f t="shared" si="196"/>
        <v>0</v>
      </c>
      <c r="R185" s="54">
        <f t="shared" si="196"/>
        <v>0</v>
      </c>
      <c r="S185" s="54">
        <f t="shared" si="196"/>
        <v>321785352</v>
      </c>
      <c r="T185" s="54">
        <f t="shared" si="196"/>
        <v>291749332</v>
      </c>
      <c r="U185" s="54">
        <f t="shared" si="196"/>
        <v>30036020</v>
      </c>
      <c r="V185" s="55">
        <f t="shared" si="143"/>
        <v>0.90665821233528365</v>
      </c>
      <c r="W185" s="54">
        <f t="shared" si="196"/>
        <v>256512566</v>
      </c>
      <c r="X185" s="54">
        <f t="shared" si="196"/>
        <v>35236766</v>
      </c>
      <c r="Y185" s="55">
        <f t="shared" si="156"/>
        <v>0.12077753788995822</v>
      </c>
      <c r="Z185" s="54">
        <f t="shared" si="196"/>
        <v>256512566</v>
      </c>
      <c r="AA185" s="54">
        <f t="shared" si="196"/>
        <v>0</v>
      </c>
      <c r="AB185" s="55">
        <f t="shared" si="139"/>
        <v>0.87922246211004174</v>
      </c>
    </row>
    <row r="186" spans="1:28" ht="24.95" customHeight="1">
      <c r="A186" s="32" t="e">
        <f>+CONCATENATE(#REF!,"=",J186)</f>
        <v>#REF!</v>
      </c>
      <c r="B186" s="56" t="str">
        <f t="shared" ref="B186" si="197">CONCATENATE(C186,"-",D186,"-",E186,"-",F186,"-",G186,"-",H186,"-",I186)</f>
        <v>C-4103-1500-19-0-4103049-02</v>
      </c>
      <c r="C186" s="57" t="s">
        <v>167</v>
      </c>
      <c r="D186" s="57" t="s">
        <v>190</v>
      </c>
      <c r="E186" s="57" t="s">
        <v>172</v>
      </c>
      <c r="F186" s="57">
        <v>19</v>
      </c>
      <c r="G186" s="57" t="s">
        <v>175</v>
      </c>
      <c r="H186" s="57">
        <v>4103049</v>
      </c>
      <c r="I186" s="57" t="s">
        <v>54</v>
      </c>
      <c r="J186" s="57">
        <v>13</v>
      </c>
      <c r="K186" s="58" t="s">
        <v>29</v>
      </c>
      <c r="L186" s="59" t="s">
        <v>178</v>
      </c>
      <c r="M186" s="60">
        <v>321785352</v>
      </c>
      <c r="N186" s="60"/>
      <c r="O186" s="60"/>
      <c r="P186" s="60"/>
      <c r="Q186" s="60">
        <v>0</v>
      </c>
      <c r="R186" s="61">
        <v>0</v>
      </c>
      <c r="S186" s="60">
        <f>+M186-R186+N186-O186+P186-Q186</f>
        <v>321785352</v>
      </c>
      <c r="T186" s="60">
        <v>291749332</v>
      </c>
      <c r="U186" s="60">
        <f>+S186-T186</f>
        <v>30036020</v>
      </c>
      <c r="V186" s="62">
        <f t="shared" si="143"/>
        <v>0.90665821233528365</v>
      </c>
      <c r="W186" s="60">
        <v>256512566</v>
      </c>
      <c r="X186" s="60">
        <f>+T186-W186</f>
        <v>35236766</v>
      </c>
      <c r="Y186" s="62">
        <f t="shared" si="156"/>
        <v>0.12077753788995822</v>
      </c>
      <c r="Z186" s="60">
        <v>256512566</v>
      </c>
      <c r="AA186" s="60">
        <f>+W186-Z186</f>
        <v>0</v>
      </c>
      <c r="AB186" s="62">
        <f t="shared" si="139"/>
        <v>0.87922246211004174</v>
      </c>
    </row>
    <row r="187" spans="1:28" ht="30" customHeight="1">
      <c r="A187" s="32" t="e">
        <f>+CONCATENATE(#REF!,"=",J187)</f>
        <v>#REF!</v>
      </c>
      <c r="B187" s="52" t="str">
        <f>CONCATENATE(C187,"-",D187,"-",E187,"-",F187,"-",G187,"-",H187)</f>
        <v>C-4103-1500-19-0-4103052</v>
      </c>
      <c r="C187" s="52" t="s">
        <v>167</v>
      </c>
      <c r="D187" s="52" t="s">
        <v>190</v>
      </c>
      <c r="E187" s="52" t="s">
        <v>172</v>
      </c>
      <c r="F187" s="52">
        <v>19</v>
      </c>
      <c r="G187" s="52" t="s">
        <v>175</v>
      </c>
      <c r="H187" s="52">
        <v>4103052</v>
      </c>
      <c r="I187" s="52"/>
      <c r="J187" s="52">
        <v>13</v>
      </c>
      <c r="K187" s="52" t="s">
        <v>29</v>
      </c>
      <c r="L187" s="52" t="s">
        <v>229</v>
      </c>
      <c r="M187" s="54">
        <f>M188</f>
        <v>12478214648</v>
      </c>
      <c r="N187" s="54">
        <f t="shared" si="196"/>
        <v>0</v>
      </c>
      <c r="O187" s="54">
        <f t="shared" si="196"/>
        <v>0</v>
      </c>
      <c r="P187" s="54">
        <f t="shared" si="196"/>
        <v>0</v>
      </c>
      <c r="Q187" s="54">
        <f t="shared" si="196"/>
        <v>0</v>
      </c>
      <c r="R187" s="54">
        <f t="shared" si="196"/>
        <v>0</v>
      </c>
      <c r="S187" s="54">
        <f t="shared" si="196"/>
        <v>12478214648</v>
      </c>
      <c r="T187" s="54">
        <f t="shared" si="196"/>
        <v>12098291295.51</v>
      </c>
      <c r="U187" s="54">
        <f t="shared" si="196"/>
        <v>379923352.48999977</v>
      </c>
      <c r="V187" s="55">
        <f t="shared" si="143"/>
        <v>0.96955306803037777</v>
      </c>
      <c r="W187" s="54">
        <f t="shared" si="196"/>
        <v>5865445688.8999996</v>
      </c>
      <c r="X187" s="54">
        <f t="shared" si="196"/>
        <v>6232845606.6100006</v>
      </c>
      <c r="Y187" s="55">
        <f t="shared" si="156"/>
        <v>0.51518395898792557</v>
      </c>
      <c r="Z187" s="54">
        <f t="shared" si="196"/>
        <v>5776029930.8999996</v>
      </c>
      <c r="AA187" s="54">
        <f t="shared" si="196"/>
        <v>89415758</v>
      </c>
      <c r="AB187" s="55">
        <f t="shared" si="139"/>
        <v>0.47742526525573398</v>
      </c>
    </row>
    <row r="188" spans="1:28" ht="24.95" customHeight="1">
      <c r="A188" s="32" t="e">
        <f>+CONCATENATE(#REF!,"=",J188)</f>
        <v>#REF!</v>
      </c>
      <c r="B188" s="56" t="str">
        <f t="shared" ref="B188:B190" si="198">CONCATENATE(C188,"-",D188,"-",E188,"-",F188,"-",G188,"-",H188,"-",I188)</f>
        <v>C-4103-1500-19-0-4103052-02</v>
      </c>
      <c r="C188" s="57" t="s">
        <v>167</v>
      </c>
      <c r="D188" s="57" t="s">
        <v>190</v>
      </c>
      <c r="E188" s="57" t="s">
        <v>172</v>
      </c>
      <c r="F188" s="57">
        <v>19</v>
      </c>
      <c r="G188" s="57" t="s">
        <v>175</v>
      </c>
      <c r="H188" s="57">
        <v>4103052</v>
      </c>
      <c r="I188" s="57" t="s">
        <v>54</v>
      </c>
      <c r="J188" s="57">
        <v>13</v>
      </c>
      <c r="K188" s="58" t="s">
        <v>29</v>
      </c>
      <c r="L188" s="59" t="s">
        <v>178</v>
      </c>
      <c r="M188" s="60">
        <v>12478214648</v>
      </c>
      <c r="N188" s="60"/>
      <c r="O188" s="60"/>
      <c r="P188" s="60"/>
      <c r="Q188" s="60">
        <v>0</v>
      </c>
      <c r="R188" s="61">
        <v>0</v>
      </c>
      <c r="S188" s="60">
        <f>+M188-R188+N188-O188+P188-Q188</f>
        <v>12478214648</v>
      </c>
      <c r="T188" s="60">
        <v>12098291295.51</v>
      </c>
      <c r="U188" s="60">
        <f>+S188-T188</f>
        <v>379923352.48999977</v>
      </c>
      <c r="V188" s="62">
        <f t="shared" si="143"/>
        <v>0.96955306803037777</v>
      </c>
      <c r="W188" s="60">
        <v>5865445688.8999996</v>
      </c>
      <c r="X188" s="60">
        <f>+T188-W188</f>
        <v>6232845606.6100006</v>
      </c>
      <c r="Y188" s="62">
        <f t="shared" si="156"/>
        <v>0.51518395898792557</v>
      </c>
      <c r="Z188" s="60">
        <v>5776029930.8999996</v>
      </c>
      <c r="AA188" s="60">
        <f>+W188-Z188</f>
        <v>89415758</v>
      </c>
      <c r="AB188" s="62">
        <f t="shared" si="139"/>
        <v>0.47742526525573398</v>
      </c>
    </row>
    <row r="189" spans="1:28" ht="27.75" customHeight="1">
      <c r="A189" s="32" t="e">
        <f>+CONCATENATE(#REF!,"=",J189)</f>
        <v>#REF!</v>
      </c>
      <c r="B189" s="52" t="str">
        <f>CONCATENATE(C189,"-",D189,"-",E189,"-",F189,"-",G189,"-",H189)</f>
        <v>C-4103-1500-19-0-4103052</v>
      </c>
      <c r="C189" s="52" t="s">
        <v>167</v>
      </c>
      <c r="D189" s="52" t="s">
        <v>190</v>
      </c>
      <c r="E189" s="52" t="s">
        <v>172</v>
      </c>
      <c r="F189" s="52">
        <v>19</v>
      </c>
      <c r="G189" s="52" t="s">
        <v>175</v>
      </c>
      <c r="H189" s="52">
        <v>4103052</v>
      </c>
      <c r="I189" s="52"/>
      <c r="J189" s="52">
        <v>15</v>
      </c>
      <c r="K189" s="52" t="s">
        <v>29</v>
      </c>
      <c r="L189" s="52" t="s">
        <v>229</v>
      </c>
      <c r="M189" s="54">
        <f>M190</f>
        <v>0</v>
      </c>
      <c r="N189" s="54">
        <f t="shared" si="196"/>
        <v>5269349000</v>
      </c>
      <c r="O189" s="54">
        <f t="shared" si="196"/>
        <v>0</v>
      </c>
      <c r="P189" s="54">
        <f t="shared" si="196"/>
        <v>0</v>
      </c>
      <c r="Q189" s="54">
        <f t="shared" si="196"/>
        <v>0</v>
      </c>
      <c r="R189" s="54">
        <f t="shared" si="196"/>
        <v>0</v>
      </c>
      <c r="S189" s="54">
        <f t="shared" si="196"/>
        <v>5269349000</v>
      </c>
      <c r="T189" s="54">
        <f t="shared" si="196"/>
        <v>0</v>
      </c>
      <c r="U189" s="54">
        <f t="shared" si="196"/>
        <v>5269349000</v>
      </c>
      <c r="V189" s="55">
        <f t="shared" si="143"/>
        <v>0</v>
      </c>
      <c r="W189" s="54">
        <f t="shared" si="196"/>
        <v>0</v>
      </c>
      <c r="X189" s="54">
        <f t="shared" si="196"/>
        <v>0</v>
      </c>
      <c r="Y189" s="55">
        <f t="shared" si="156"/>
        <v>0</v>
      </c>
      <c r="Z189" s="54">
        <f t="shared" si="196"/>
        <v>0</v>
      </c>
      <c r="AA189" s="54">
        <f t="shared" si="196"/>
        <v>0</v>
      </c>
      <c r="AB189" s="55">
        <f t="shared" si="139"/>
        <v>0</v>
      </c>
    </row>
    <row r="190" spans="1:28" ht="24.95" customHeight="1">
      <c r="A190" s="32" t="e">
        <f>+CONCATENATE(#REF!,"=",J190)</f>
        <v>#REF!</v>
      </c>
      <c r="B190" s="56" t="str">
        <f t="shared" si="198"/>
        <v>C-4103-1500-19-0-4103052-02</v>
      </c>
      <c r="C190" s="57" t="s">
        <v>167</v>
      </c>
      <c r="D190" s="57" t="s">
        <v>190</v>
      </c>
      <c r="E190" s="57" t="s">
        <v>172</v>
      </c>
      <c r="F190" s="57">
        <v>19</v>
      </c>
      <c r="G190" s="57" t="s">
        <v>175</v>
      </c>
      <c r="H190" s="57">
        <v>4103052</v>
      </c>
      <c r="I190" s="57" t="s">
        <v>54</v>
      </c>
      <c r="J190" s="57">
        <v>15</v>
      </c>
      <c r="K190" s="58" t="s">
        <v>29</v>
      </c>
      <c r="L190" s="59" t="s">
        <v>178</v>
      </c>
      <c r="M190" s="60"/>
      <c r="N190" s="60">
        <v>5269349000</v>
      </c>
      <c r="O190" s="60"/>
      <c r="P190" s="60"/>
      <c r="Q190" s="60">
        <v>0</v>
      </c>
      <c r="R190" s="61">
        <v>0</v>
      </c>
      <c r="S190" s="60">
        <f>+M190-R190+N190-O190+P190-Q190</f>
        <v>5269349000</v>
      </c>
      <c r="T190" s="60">
        <v>0</v>
      </c>
      <c r="U190" s="60">
        <f>+S190-T190</f>
        <v>5269349000</v>
      </c>
      <c r="V190" s="62">
        <f t="shared" si="143"/>
        <v>0</v>
      </c>
      <c r="W190" s="60">
        <v>0</v>
      </c>
      <c r="X190" s="60">
        <f>+T190-W190</f>
        <v>0</v>
      </c>
      <c r="Y190" s="62">
        <f t="shared" si="156"/>
        <v>0</v>
      </c>
      <c r="Z190" s="60">
        <v>0</v>
      </c>
      <c r="AA190" s="60">
        <f>+W190-Z190</f>
        <v>0</v>
      </c>
      <c r="AB190" s="62">
        <f t="shared" si="139"/>
        <v>0</v>
      </c>
    </row>
    <row r="191" spans="1:28" ht="39.75" customHeight="1">
      <c r="A191" s="32" t="e">
        <f>+CONCATENATE(#REF!,"=",J191)</f>
        <v>#REF!</v>
      </c>
      <c r="B191" s="48" t="str">
        <f>CONCATENATE(C191,"-",D191,"-",E191,"-",F191)</f>
        <v>C-4103-1500-20</v>
      </c>
      <c r="C191" s="48" t="s">
        <v>167</v>
      </c>
      <c r="D191" s="48" t="s">
        <v>190</v>
      </c>
      <c r="E191" s="48" t="s">
        <v>172</v>
      </c>
      <c r="F191" s="48">
        <v>20</v>
      </c>
      <c r="G191" s="48"/>
      <c r="H191" s="48"/>
      <c r="I191" s="48"/>
      <c r="J191" s="48"/>
      <c r="K191" s="48"/>
      <c r="L191" s="48" t="s">
        <v>230</v>
      </c>
      <c r="M191" s="50">
        <f>+M192</f>
        <v>839954000000</v>
      </c>
      <c r="N191" s="50">
        <f t="shared" ref="N191:U191" si="199">+N192</f>
        <v>0</v>
      </c>
      <c r="O191" s="50">
        <f t="shared" si="199"/>
        <v>0</v>
      </c>
      <c r="P191" s="50">
        <f t="shared" si="199"/>
        <v>6499534026.1400003</v>
      </c>
      <c r="Q191" s="50">
        <f t="shared" si="199"/>
        <v>6499534026.1400003</v>
      </c>
      <c r="R191" s="50">
        <f t="shared" si="199"/>
        <v>0</v>
      </c>
      <c r="S191" s="50">
        <f t="shared" si="199"/>
        <v>839954000000</v>
      </c>
      <c r="T191" s="50">
        <f t="shared" si="199"/>
        <v>787918163818.84009</v>
      </c>
      <c r="U191" s="50">
        <f t="shared" si="199"/>
        <v>52035836181.159988</v>
      </c>
      <c r="V191" s="51">
        <f t="shared" si="143"/>
        <v>0.93804918343009269</v>
      </c>
      <c r="W191" s="50">
        <f t="shared" ref="W191:X191" si="200">+W192</f>
        <v>771972159783.56006</v>
      </c>
      <c r="X191" s="50">
        <f t="shared" si="200"/>
        <v>15946004035.280001</v>
      </c>
      <c r="Y191" s="51">
        <f t="shared" si="156"/>
        <v>2.0238147522826166E-2</v>
      </c>
      <c r="Z191" s="50">
        <f t="shared" ref="Z191:AA191" si="201">+Z192</f>
        <v>771910909715.56006</v>
      </c>
      <c r="AA191" s="50">
        <f t="shared" si="201"/>
        <v>61250068</v>
      </c>
      <c r="AB191" s="51">
        <f t="shared" si="139"/>
        <v>0.97968411589130411</v>
      </c>
    </row>
    <row r="192" spans="1:28" ht="30.75" customHeight="1">
      <c r="A192" s="32" t="e">
        <f>+CONCATENATE(#REF!,"=",J192)</f>
        <v>#REF!</v>
      </c>
      <c r="B192" s="52" t="str">
        <f>CONCATENATE(C192,"-",D192,"-",E192,"-",F192,"-",G192,"-",H192)</f>
        <v>C-4103-1500-20-0-4103061</v>
      </c>
      <c r="C192" s="52" t="s">
        <v>167</v>
      </c>
      <c r="D192" s="52" t="s">
        <v>190</v>
      </c>
      <c r="E192" s="52" t="s">
        <v>172</v>
      </c>
      <c r="F192" s="52">
        <v>20</v>
      </c>
      <c r="G192" s="52" t="s">
        <v>175</v>
      </c>
      <c r="H192" s="52">
        <v>4103061</v>
      </c>
      <c r="I192" s="52"/>
      <c r="J192" s="52">
        <v>11</v>
      </c>
      <c r="K192" s="52" t="s">
        <v>29</v>
      </c>
      <c r="L192" s="52" t="s">
        <v>231</v>
      </c>
      <c r="M192" s="54">
        <f>SUM(M193:M195)</f>
        <v>839954000000</v>
      </c>
      <c r="N192" s="54">
        <f t="shared" ref="N192:U192" si="202">SUM(N193:N195)</f>
        <v>0</v>
      </c>
      <c r="O192" s="54">
        <f t="shared" si="202"/>
        <v>0</v>
      </c>
      <c r="P192" s="54">
        <f t="shared" si="202"/>
        <v>6499534026.1400003</v>
      </c>
      <c r="Q192" s="54">
        <f t="shared" si="202"/>
        <v>6499534026.1400003</v>
      </c>
      <c r="R192" s="54">
        <f t="shared" si="202"/>
        <v>0</v>
      </c>
      <c r="S192" s="54">
        <f t="shared" si="202"/>
        <v>839954000000</v>
      </c>
      <c r="T192" s="54">
        <f t="shared" si="202"/>
        <v>787918163818.84009</v>
      </c>
      <c r="U192" s="54">
        <f t="shared" si="202"/>
        <v>52035836181.159988</v>
      </c>
      <c r="V192" s="55">
        <f t="shared" si="143"/>
        <v>0.93804918343009269</v>
      </c>
      <c r="W192" s="54">
        <f t="shared" ref="W192:X192" si="203">SUM(W193:W195)</f>
        <v>771972159783.56006</v>
      </c>
      <c r="X192" s="54">
        <f t="shared" si="203"/>
        <v>15946004035.280001</v>
      </c>
      <c r="Y192" s="55">
        <f t="shared" si="156"/>
        <v>2.0238147522826166E-2</v>
      </c>
      <c r="Z192" s="54">
        <f t="shared" ref="Z192:AA192" si="204">SUM(Z193:Z195)</f>
        <v>771910909715.56006</v>
      </c>
      <c r="AA192" s="54">
        <f t="shared" si="204"/>
        <v>61250068</v>
      </c>
      <c r="AB192" s="55">
        <f t="shared" si="139"/>
        <v>0.97968411589130411</v>
      </c>
    </row>
    <row r="193" spans="1:28" ht="24.95" customHeight="1">
      <c r="A193" s="32" t="e">
        <f>+CONCATENATE(#REF!,"=",J193)</f>
        <v>#REF!</v>
      </c>
      <c r="B193" s="56" t="str">
        <f t="shared" ref="B193:B195" si="205">CONCATENATE(C193,"-",D193,"-",E193,"-",F193,"-",G193,"-",H193,"-",I193)</f>
        <v>C-4103-1500-20-0-4103061-02</v>
      </c>
      <c r="C193" s="57" t="s">
        <v>167</v>
      </c>
      <c r="D193" s="57" t="s">
        <v>190</v>
      </c>
      <c r="E193" s="57" t="s">
        <v>172</v>
      </c>
      <c r="F193" s="57">
        <v>20</v>
      </c>
      <c r="G193" s="57" t="s">
        <v>175</v>
      </c>
      <c r="H193" s="57">
        <v>4103061</v>
      </c>
      <c r="I193" s="57" t="s">
        <v>54</v>
      </c>
      <c r="J193" s="57">
        <v>11</v>
      </c>
      <c r="K193" s="58" t="s">
        <v>29</v>
      </c>
      <c r="L193" s="59" t="s">
        <v>178</v>
      </c>
      <c r="M193" s="60">
        <v>34318600300</v>
      </c>
      <c r="N193" s="60"/>
      <c r="O193" s="60"/>
      <c r="P193" s="60">
        <f>185554780.14</f>
        <v>185554780.13999999</v>
      </c>
      <c r="Q193" s="60">
        <v>6313979246</v>
      </c>
      <c r="R193" s="61">
        <v>0</v>
      </c>
      <c r="S193" s="60">
        <f>+M193+N193-O193+P193-Q193-R193</f>
        <v>28190175834.139999</v>
      </c>
      <c r="T193" s="60">
        <v>26559687818.84</v>
      </c>
      <c r="U193" s="60">
        <f>+S193-T193</f>
        <v>1630488015.2999992</v>
      </c>
      <c r="V193" s="62">
        <f t="shared" si="143"/>
        <v>0.94216112645436645</v>
      </c>
      <c r="W193" s="60">
        <v>10613683783.559999</v>
      </c>
      <c r="X193" s="60">
        <f>+T193-W193</f>
        <v>15946004035.280001</v>
      </c>
      <c r="Y193" s="62">
        <f t="shared" si="156"/>
        <v>0.60038371475017005</v>
      </c>
      <c r="Z193" s="60">
        <v>10552433715.559999</v>
      </c>
      <c r="AA193" s="60">
        <f>+W193-Z193</f>
        <v>61250068</v>
      </c>
      <c r="AB193" s="62">
        <f t="shared" si="139"/>
        <v>0.39731015618619869</v>
      </c>
    </row>
    <row r="194" spans="1:28" ht="24.95" customHeight="1">
      <c r="A194" s="32" t="e">
        <f>+CONCATENATE(#REF!,"=",J194)</f>
        <v>#REF!</v>
      </c>
      <c r="B194" s="56" t="str">
        <f t="shared" si="205"/>
        <v>C-4103-1500-20-0-4103061-03</v>
      </c>
      <c r="C194" s="57" t="s">
        <v>167</v>
      </c>
      <c r="D194" s="57" t="s">
        <v>190</v>
      </c>
      <c r="E194" s="57" t="s">
        <v>172</v>
      </c>
      <c r="F194" s="57">
        <v>20</v>
      </c>
      <c r="G194" s="57" t="s">
        <v>175</v>
      </c>
      <c r="H194" s="57">
        <v>4103061</v>
      </c>
      <c r="I194" s="57" t="s">
        <v>65</v>
      </c>
      <c r="J194" s="57">
        <v>11</v>
      </c>
      <c r="K194" s="58" t="s">
        <v>29</v>
      </c>
      <c r="L194" s="59" t="s">
        <v>127</v>
      </c>
      <c r="M194" s="60">
        <v>318915399700</v>
      </c>
      <c r="N194" s="60"/>
      <c r="O194" s="60"/>
      <c r="P194" s="60">
        <v>6313979246</v>
      </c>
      <c r="Q194" s="60">
        <f>185554780.14</f>
        <v>185554780.13999999</v>
      </c>
      <c r="R194" s="61">
        <v>0</v>
      </c>
      <c r="S194" s="60">
        <f>+M194+N194-O194+P194-Q194-R194</f>
        <v>325043824165.85999</v>
      </c>
      <c r="T194" s="60">
        <v>300973116000</v>
      </c>
      <c r="U194" s="60">
        <f>+S194-T194</f>
        <v>24070708165.859985</v>
      </c>
      <c r="V194" s="62">
        <f t="shared" si="143"/>
        <v>0.92594626823742565</v>
      </c>
      <c r="W194" s="60">
        <v>300973116000</v>
      </c>
      <c r="X194" s="60">
        <f>+T194-W194</f>
        <v>0</v>
      </c>
      <c r="Y194" s="62">
        <f t="shared" si="156"/>
        <v>0</v>
      </c>
      <c r="Z194" s="60">
        <v>300973116000</v>
      </c>
      <c r="AA194" s="60">
        <f>+W194-Z194</f>
        <v>0</v>
      </c>
      <c r="AB194" s="62">
        <f t="shared" si="139"/>
        <v>1</v>
      </c>
    </row>
    <row r="195" spans="1:28" ht="24.95" customHeight="1">
      <c r="A195" s="32" t="e">
        <f>+CONCATENATE(#REF!,"=",J195)</f>
        <v>#REF!</v>
      </c>
      <c r="B195" s="56" t="str">
        <f t="shared" si="205"/>
        <v>C-4103-1500-20-0-4103061-03</v>
      </c>
      <c r="C195" s="57" t="s">
        <v>167</v>
      </c>
      <c r="D195" s="57" t="s">
        <v>190</v>
      </c>
      <c r="E195" s="57" t="s">
        <v>172</v>
      </c>
      <c r="F195" s="57">
        <v>20</v>
      </c>
      <c r="G195" s="57" t="s">
        <v>175</v>
      </c>
      <c r="H195" s="57">
        <v>4103061</v>
      </c>
      <c r="I195" s="57" t="s">
        <v>65</v>
      </c>
      <c r="J195" s="57">
        <v>13</v>
      </c>
      <c r="K195" s="58" t="s">
        <v>29</v>
      </c>
      <c r="L195" s="59" t="s">
        <v>127</v>
      </c>
      <c r="M195" s="60">
        <v>486720000000</v>
      </c>
      <c r="N195" s="60"/>
      <c r="O195" s="60"/>
      <c r="P195" s="60"/>
      <c r="Q195" s="60">
        <v>0</v>
      </c>
      <c r="R195" s="61">
        <v>0</v>
      </c>
      <c r="S195" s="60">
        <f>+M195+N195-O195+P195-Q195-R195</f>
        <v>486720000000</v>
      </c>
      <c r="T195" s="60">
        <v>460385360000</v>
      </c>
      <c r="U195" s="60">
        <f>+S195-T195</f>
        <v>26334640000</v>
      </c>
      <c r="V195" s="62">
        <f t="shared" si="143"/>
        <v>0.9458936554898093</v>
      </c>
      <c r="W195" s="60">
        <v>460385360000</v>
      </c>
      <c r="X195" s="60">
        <f>+T195-W195</f>
        <v>0</v>
      </c>
      <c r="Y195" s="62">
        <f t="shared" si="156"/>
        <v>0</v>
      </c>
      <c r="Z195" s="60">
        <v>460385360000</v>
      </c>
      <c r="AA195" s="60">
        <f>+W195-Z195</f>
        <v>0</v>
      </c>
      <c r="AB195" s="62">
        <f t="shared" si="139"/>
        <v>1</v>
      </c>
    </row>
    <row r="196" spans="1:28" ht="36" customHeight="1">
      <c r="A196" s="32" t="e">
        <f>+CONCATENATE(#REF!,"=",J196)</f>
        <v>#REF!</v>
      </c>
      <c r="B196" s="48" t="str">
        <f>CONCATENATE(C196,"-",D196,"-",E196,"-",F196)</f>
        <v>C-4103-1500-21</v>
      </c>
      <c r="C196" s="48" t="s">
        <v>167</v>
      </c>
      <c r="D196" s="48">
        <v>4103</v>
      </c>
      <c r="E196" s="48" t="s">
        <v>172</v>
      </c>
      <c r="F196" s="48">
        <v>21</v>
      </c>
      <c r="G196" s="48"/>
      <c r="H196" s="48"/>
      <c r="I196" s="48"/>
      <c r="J196" s="48"/>
      <c r="K196" s="48"/>
      <c r="L196" s="48" t="s">
        <v>232</v>
      </c>
      <c r="M196" s="50">
        <f>+M201+M203+M205+M197+M199</f>
        <v>25750000000</v>
      </c>
      <c r="N196" s="50">
        <f t="shared" ref="N196:AA196" si="206">+N201+N203+N205+N197+N199</f>
        <v>0</v>
      </c>
      <c r="O196" s="50">
        <f t="shared" si="206"/>
        <v>0</v>
      </c>
      <c r="P196" s="50">
        <f t="shared" si="206"/>
        <v>1132690805</v>
      </c>
      <c r="Q196" s="50">
        <f t="shared" si="206"/>
        <v>1132690805</v>
      </c>
      <c r="R196" s="50">
        <f t="shared" si="206"/>
        <v>0</v>
      </c>
      <c r="S196" s="50">
        <f t="shared" si="206"/>
        <v>25750000000</v>
      </c>
      <c r="T196" s="50">
        <f t="shared" si="206"/>
        <v>24455747981</v>
      </c>
      <c r="U196" s="50">
        <f t="shared" si="206"/>
        <v>1294252019</v>
      </c>
      <c r="V196" s="51">
        <f t="shared" si="143"/>
        <v>0.94973778566990297</v>
      </c>
      <c r="W196" s="50">
        <f t="shared" si="206"/>
        <v>19187528324.900002</v>
      </c>
      <c r="X196" s="50">
        <f t="shared" si="206"/>
        <v>5268219656.1000004</v>
      </c>
      <c r="Y196" s="51">
        <f t="shared" si="156"/>
        <v>0.21541846359362843</v>
      </c>
      <c r="Z196" s="50">
        <f t="shared" si="206"/>
        <v>19168462707.900002</v>
      </c>
      <c r="AA196" s="50">
        <f t="shared" si="206"/>
        <v>19065617</v>
      </c>
      <c r="AB196" s="51">
        <f t="shared" si="139"/>
        <v>0.78380193984629865</v>
      </c>
    </row>
    <row r="197" spans="1:28" ht="30" customHeight="1">
      <c r="A197" s="32" t="e">
        <f>+CONCATENATE(#REF!,"=",J197)</f>
        <v>#REF!</v>
      </c>
      <c r="B197" s="52" t="str">
        <f>CONCATENATE(C197,"-",D197,"-",E197,"-",F197,"-",G197,"-",H197)</f>
        <v>C-4103-1500-21-0-4103005</v>
      </c>
      <c r="C197" s="52" t="s">
        <v>167</v>
      </c>
      <c r="D197" s="52">
        <v>4103</v>
      </c>
      <c r="E197" s="52" t="s">
        <v>172</v>
      </c>
      <c r="F197" s="52">
        <v>21</v>
      </c>
      <c r="G197" s="52" t="s">
        <v>175</v>
      </c>
      <c r="H197" s="52" t="s">
        <v>219</v>
      </c>
      <c r="I197" s="52"/>
      <c r="J197" s="52">
        <v>13</v>
      </c>
      <c r="K197" s="52" t="s">
        <v>29</v>
      </c>
      <c r="L197" s="52" t="s">
        <v>233</v>
      </c>
      <c r="M197" s="54">
        <f t="shared" ref="M197:U197" si="207">SUM(M198:M198)</f>
        <v>1870782718</v>
      </c>
      <c r="N197" s="54">
        <f t="shared" si="207"/>
        <v>0</v>
      </c>
      <c r="O197" s="54">
        <f t="shared" si="207"/>
        <v>0</v>
      </c>
      <c r="P197" s="54">
        <f t="shared" si="207"/>
        <v>0</v>
      </c>
      <c r="Q197" s="54">
        <f t="shared" si="207"/>
        <v>91110397</v>
      </c>
      <c r="R197" s="54">
        <f t="shared" si="207"/>
        <v>0</v>
      </c>
      <c r="S197" s="54">
        <f t="shared" si="207"/>
        <v>1779672321</v>
      </c>
      <c r="T197" s="54">
        <f t="shared" si="207"/>
        <v>1779672321</v>
      </c>
      <c r="U197" s="54">
        <f t="shared" si="207"/>
        <v>0</v>
      </c>
      <c r="V197" s="55">
        <f t="shared" si="143"/>
        <v>1</v>
      </c>
      <c r="W197" s="54">
        <f t="shared" ref="W197:X197" si="208">SUM(W198:W198)</f>
        <v>1779672321</v>
      </c>
      <c r="X197" s="54">
        <f t="shared" si="208"/>
        <v>0</v>
      </c>
      <c r="Y197" s="55">
        <f t="shared" si="156"/>
        <v>0</v>
      </c>
      <c r="Z197" s="54">
        <f t="shared" ref="Z197:AA197" si="209">SUM(Z198:Z198)</f>
        <v>1779672321</v>
      </c>
      <c r="AA197" s="54">
        <f t="shared" si="209"/>
        <v>0</v>
      </c>
      <c r="AB197" s="55">
        <f t="shared" si="139"/>
        <v>1</v>
      </c>
    </row>
    <row r="198" spans="1:28" ht="24.95" customHeight="1">
      <c r="A198" s="32" t="e">
        <f>+CONCATENATE(#REF!,"=",J198)</f>
        <v>#REF!</v>
      </c>
      <c r="B198" s="56" t="str">
        <f t="shared" ref="B198:B206" si="210">CONCATENATE(C198,"-",D198,"-",E198,"-",F198,"-",G198,"-",H198,"-",I198)</f>
        <v>C-4103-1500-21-0-4103005-02</v>
      </c>
      <c r="C198" s="57" t="s">
        <v>167</v>
      </c>
      <c r="D198" s="57">
        <v>4103</v>
      </c>
      <c r="E198" s="57" t="s">
        <v>172</v>
      </c>
      <c r="F198" s="57">
        <v>21</v>
      </c>
      <c r="G198" s="57" t="s">
        <v>175</v>
      </c>
      <c r="H198" s="57" t="s">
        <v>219</v>
      </c>
      <c r="I198" s="57" t="s">
        <v>54</v>
      </c>
      <c r="J198" s="57">
        <v>13</v>
      </c>
      <c r="K198" s="58" t="s">
        <v>29</v>
      </c>
      <c r="L198" s="59" t="s">
        <v>178</v>
      </c>
      <c r="M198" s="60">
        <v>1870782718</v>
      </c>
      <c r="N198" s="60"/>
      <c r="O198" s="60"/>
      <c r="P198" s="60"/>
      <c r="Q198" s="60">
        <f>91110397</f>
        <v>91110397</v>
      </c>
      <c r="R198" s="61">
        <v>0</v>
      </c>
      <c r="S198" s="60">
        <f>+M198-R198+N198-O198+P198-Q198</f>
        <v>1779672321</v>
      </c>
      <c r="T198" s="60">
        <v>1779672321</v>
      </c>
      <c r="U198" s="60">
        <f t="shared" ref="U198" si="211">+S198-T198</f>
        <v>0</v>
      </c>
      <c r="V198" s="62">
        <f t="shared" si="143"/>
        <v>1</v>
      </c>
      <c r="W198" s="60">
        <v>1779672321</v>
      </c>
      <c r="X198" s="60">
        <f t="shared" ref="X198" si="212">+T198-W198</f>
        <v>0</v>
      </c>
      <c r="Y198" s="62">
        <f t="shared" si="156"/>
        <v>0</v>
      </c>
      <c r="Z198" s="60">
        <v>1779672321</v>
      </c>
      <c r="AA198" s="60">
        <f t="shared" ref="AA198" si="213">+W198-Z198</f>
        <v>0</v>
      </c>
      <c r="AB198" s="62">
        <f t="shared" si="139"/>
        <v>1</v>
      </c>
    </row>
    <row r="199" spans="1:28" ht="30" customHeight="1">
      <c r="A199" s="32" t="e">
        <f>+CONCATENATE(#REF!,"=",J199)</f>
        <v>#REF!</v>
      </c>
      <c r="B199" s="52" t="str">
        <f>CONCATENATE(C199,"-",D199,"-",E199,"-",F199,"-",G199,"-",H199)</f>
        <v>C-4103-1500-21-0-4103050</v>
      </c>
      <c r="C199" s="52" t="s">
        <v>167</v>
      </c>
      <c r="D199" s="52">
        <v>4103</v>
      </c>
      <c r="E199" s="52" t="s">
        <v>172</v>
      </c>
      <c r="F199" s="52">
        <v>21</v>
      </c>
      <c r="G199" s="52" t="s">
        <v>175</v>
      </c>
      <c r="H199" s="52" t="s">
        <v>234</v>
      </c>
      <c r="I199" s="52"/>
      <c r="J199" s="52">
        <v>13</v>
      </c>
      <c r="K199" s="52" t="s">
        <v>29</v>
      </c>
      <c r="L199" s="52" t="s">
        <v>235</v>
      </c>
      <c r="M199" s="54">
        <f>+M200</f>
        <v>1237528721</v>
      </c>
      <c r="N199" s="54">
        <f t="shared" ref="N199:AA199" si="214">+N200</f>
        <v>0</v>
      </c>
      <c r="O199" s="54">
        <f t="shared" si="214"/>
        <v>0</v>
      </c>
      <c r="P199" s="54">
        <f t="shared" si="214"/>
        <v>0</v>
      </c>
      <c r="Q199" s="54">
        <f t="shared" si="214"/>
        <v>60269817</v>
      </c>
      <c r="R199" s="54">
        <f t="shared" si="214"/>
        <v>0</v>
      </c>
      <c r="S199" s="54">
        <f t="shared" si="214"/>
        <v>1177258904</v>
      </c>
      <c r="T199" s="54">
        <f t="shared" si="214"/>
        <v>1177258904</v>
      </c>
      <c r="U199" s="54">
        <f t="shared" si="214"/>
        <v>0</v>
      </c>
      <c r="V199" s="55">
        <f t="shared" si="143"/>
        <v>1</v>
      </c>
      <c r="W199" s="54">
        <f t="shared" si="214"/>
        <v>1177258904</v>
      </c>
      <c r="X199" s="54">
        <f t="shared" si="214"/>
        <v>0</v>
      </c>
      <c r="Y199" s="55">
        <f t="shared" si="156"/>
        <v>0</v>
      </c>
      <c r="Z199" s="54">
        <f t="shared" si="214"/>
        <v>1177258904</v>
      </c>
      <c r="AA199" s="54">
        <f t="shared" si="214"/>
        <v>0</v>
      </c>
      <c r="AB199" s="55">
        <f t="shared" si="139"/>
        <v>1</v>
      </c>
    </row>
    <row r="200" spans="1:28" ht="24.95" customHeight="1">
      <c r="A200" s="32" t="e">
        <f>+CONCATENATE(#REF!,"=",J200)</f>
        <v>#REF!</v>
      </c>
      <c r="B200" s="56" t="str">
        <f t="shared" si="210"/>
        <v>C-4103-1500-21-0-4103050-02</v>
      </c>
      <c r="C200" s="57" t="s">
        <v>167</v>
      </c>
      <c r="D200" s="57">
        <v>4103</v>
      </c>
      <c r="E200" s="57" t="s">
        <v>172</v>
      </c>
      <c r="F200" s="57">
        <v>21</v>
      </c>
      <c r="G200" s="57" t="s">
        <v>175</v>
      </c>
      <c r="H200" s="57" t="s">
        <v>234</v>
      </c>
      <c r="I200" s="57" t="s">
        <v>54</v>
      </c>
      <c r="J200" s="57">
        <v>13</v>
      </c>
      <c r="K200" s="58" t="s">
        <v>29</v>
      </c>
      <c r="L200" s="59" t="s">
        <v>178</v>
      </c>
      <c r="M200" s="60">
        <v>1237528721</v>
      </c>
      <c r="N200" s="60"/>
      <c r="O200" s="60"/>
      <c r="P200" s="60"/>
      <c r="Q200" s="60">
        <f>60269817</f>
        <v>60269817</v>
      </c>
      <c r="R200" s="61">
        <v>0</v>
      </c>
      <c r="S200" s="60">
        <f>+M200-R200+N200-O200+P200-Q200</f>
        <v>1177258904</v>
      </c>
      <c r="T200" s="60">
        <v>1177258904</v>
      </c>
      <c r="U200" s="60">
        <f t="shared" ref="U200" si="215">+S200-T200</f>
        <v>0</v>
      </c>
      <c r="V200" s="62">
        <f t="shared" si="143"/>
        <v>1</v>
      </c>
      <c r="W200" s="60">
        <v>1177258904</v>
      </c>
      <c r="X200" s="60">
        <f t="shared" ref="X200" si="216">+T200-W200</f>
        <v>0</v>
      </c>
      <c r="Y200" s="62">
        <f t="shared" si="156"/>
        <v>0</v>
      </c>
      <c r="Z200" s="60">
        <v>1177258904</v>
      </c>
      <c r="AA200" s="60">
        <f t="shared" ref="AA200" si="217">+W200-Z200</f>
        <v>0</v>
      </c>
      <c r="AB200" s="62">
        <f t="shared" si="139"/>
        <v>1</v>
      </c>
    </row>
    <row r="201" spans="1:28" ht="30" customHeight="1">
      <c r="A201" s="32" t="e">
        <f>+CONCATENATE(#REF!,"=",J201)</f>
        <v>#REF!</v>
      </c>
      <c r="B201" s="52" t="str">
        <f>CONCATENATE(C201,"-",D201,"-",E201,"-",F201,"-",G201,"-",H201)</f>
        <v>C-4103-1500-21-0-4103051</v>
      </c>
      <c r="C201" s="52" t="s">
        <v>167</v>
      </c>
      <c r="D201" s="52">
        <v>4103</v>
      </c>
      <c r="E201" s="52" t="s">
        <v>172</v>
      </c>
      <c r="F201" s="52">
        <v>21</v>
      </c>
      <c r="G201" s="52" t="s">
        <v>175</v>
      </c>
      <c r="H201" s="52" t="s">
        <v>197</v>
      </c>
      <c r="I201" s="52"/>
      <c r="J201" s="52">
        <v>13</v>
      </c>
      <c r="K201" s="52" t="s">
        <v>29</v>
      </c>
      <c r="L201" s="52" t="s">
        <v>236</v>
      </c>
      <c r="M201" s="54">
        <f>+M202</f>
        <v>1178285948</v>
      </c>
      <c r="N201" s="54">
        <f t="shared" ref="N201:AA201" si="218">+N202</f>
        <v>0</v>
      </c>
      <c r="O201" s="54">
        <f t="shared" si="218"/>
        <v>0</v>
      </c>
      <c r="P201" s="54">
        <f t="shared" si="218"/>
        <v>679588600</v>
      </c>
      <c r="Q201" s="54">
        <f t="shared" si="218"/>
        <v>57384593</v>
      </c>
      <c r="R201" s="54">
        <f t="shared" si="218"/>
        <v>0</v>
      </c>
      <c r="S201" s="54">
        <f t="shared" si="218"/>
        <v>1800489955</v>
      </c>
      <c r="T201" s="54">
        <f t="shared" si="218"/>
        <v>1120901355</v>
      </c>
      <c r="U201" s="54">
        <f t="shared" si="218"/>
        <v>679588600</v>
      </c>
      <c r="V201" s="55">
        <f t="shared" si="143"/>
        <v>0.62255351766180778</v>
      </c>
      <c r="W201" s="54">
        <f t="shared" si="218"/>
        <v>1120901355</v>
      </c>
      <c r="X201" s="54">
        <f t="shared" si="218"/>
        <v>0</v>
      </c>
      <c r="Y201" s="55">
        <f t="shared" si="156"/>
        <v>0</v>
      </c>
      <c r="Z201" s="54">
        <f t="shared" si="218"/>
        <v>1120901355</v>
      </c>
      <c r="AA201" s="54">
        <f t="shared" si="218"/>
        <v>0</v>
      </c>
      <c r="AB201" s="55">
        <f t="shared" si="139"/>
        <v>1</v>
      </c>
    </row>
    <row r="202" spans="1:28" ht="24.95" customHeight="1">
      <c r="A202" s="32" t="e">
        <f>+CONCATENATE(#REF!,"=",J202)</f>
        <v>#REF!</v>
      </c>
      <c r="B202" s="56" t="str">
        <f t="shared" si="210"/>
        <v>C-4103-1500-21-0-4103051-02</v>
      </c>
      <c r="C202" s="57" t="s">
        <v>167</v>
      </c>
      <c r="D202" s="57">
        <v>4103</v>
      </c>
      <c r="E202" s="57" t="s">
        <v>172</v>
      </c>
      <c r="F202" s="57">
        <v>21</v>
      </c>
      <c r="G202" s="57" t="s">
        <v>175</v>
      </c>
      <c r="H202" s="57" t="s">
        <v>197</v>
      </c>
      <c r="I202" s="57" t="s">
        <v>54</v>
      </c>
      <c r="J202" s="57">
        <v>13</v>
      </c>
      <c r="K202" s="58" t="s">
        <v>29</v>
      </c>
      <c r="L202" s="59" t="s">
        <v>178</v>
      </c>
      <c r="M202" s="60">
        <v>1178285948</v>
      </c>
      <c r="N202" s="60"/>
      <c r="O202" s="60"/>
      <c r="P202" s="60">
        <f>679588600</f>
        <v>679588600</v>
      </c>
      <c r="Q202" s="60">
        <f>57384593</f>
        <v>57384593</v>
      </c>
      <c r="R202" s="61">
        <v>0</v>
      </c>
      <c r="S202" s="60">
        <f>+M202-R202+N202-O202+P202-Q202</f>
        <v>1800489955</v>
      </c>
      <c r="T202" s="60">
        <v>1120901355</v>
      </c>
      <c r="U202" s="60">
        <f t="shared" ref="U202" si="219">+S202-T202</f>
        <v>679588600</v>
      </c>
      <c r="V202" s="62">
        <f t="shared" si="143"/>
        <v>0.62255351766180778</v>
      </c>
      <c r="W202" s="60">
        <v>1120901355</v>
      </c>
      <c r="X202" s="60">
        <f t="shared" ref="X202" si="220">+T202-W202</f>
        <v>0</v>
      </c>
      <c r="Y202" s="62">
        <f t="shared" si="156"/>
        <v>0</v>
      </c>
      <c r="Z202" s="60">
        <v>1120901355</v>
      </c>
      <c r="AA202" s="60">
        <f t="shared" ref="AA202" si="221">+W202-Z202</f>
        <v>0</v>
      </c>
      <c r="AB202" s="62">
        <f t="shared" si="139"/>
        <v>1</v>
      </c>
    </row>
    <row r="203" spans="1:28" ht="30" customHeight="1">
      <c r="A203" s="32" t="e">
        <f>+CONCATENATE(#REF!,"=",J203)</f>
        <v>#REF!</v>
      </c>
      <c r="B203" s="52" t="str">
        <f>CONCATENATE(C203,"-",D203,"-",E203,"-",F203,"-",G203,"-",H203)</f>
        <v>C-4103-1500-21-0-4103055</v>
      </c>
      <c r="C203" s="52" t="s">
        <v>167</v>
      </c>
      <c r="D203" s="52">
        <v>4103</v>
      </c>
      <c r="E203" s="52" t="s">
        <v>172</v>
      </c>
      <c r="F203" s="52">
        <v>21</v>
      </c>
      <c r="G203" s="52" t="s">
        <v>175</v>
      </c>
      <c r="H203" s="52" t="s">
        <v>203</v>
      </c>
      <c r="I203" s="52"/>
      <c r="J203" s="52">
        <v>13</v>
      </c>
      <c r="K203" s="52" t="s">
        <v>29</v>
      </c>
      <c r="L203" s="52" t="s">
        <v>237</v>
      </c>
      <c r="M203" s="54">
        <f t="shared" ref="M203:U203" si="222">SUM(M204:M204)</f>
        <v>5017014439</v>
      </c>
      <c r="N203" s="54">
        <f t="shared" si="222"/>
        <v>0</v>
      </c>
      <c r="O203" s="54">
        <f t="shared" si="222"/>
        <v>0</v>
      </c>
      <c r="P203" s="54">
        <f t="shared" si="222"/>
        <v>0</v>
      </c>
      <c r="Q203" s="54">
        <f t="shared" si="222"/>
        <v>244337398</v>
      </c>
      <c r="R203" s="54">
        <f t="shared" si="222"/>
        <v>0</v>
      </c>
      <c r="S203" s="54">
        <f t="shared" si="222"/>
        <v>4772677041</v>
      </c>
      <c r="T203" s="54">
        <f t="shared" si="222"/>
        <v>4772677041</v>
      </c>
      <c r="U203" s="54">
        <f t="shared" si="222"/>
        <v>0</v>
      </c>
      <c r="V203" s="55">
        <f t="shared" si="143"/>
        <v>1</v>
      </c>
      <c r="W203" s="54">
        <f t="shared" ref="W203:X203" si="223">SUM(W204:W204)</f>
        <v>4772677041</v>
      </c>
      <c r="X203" s="54">
        <f t="shared" si="223"/>
        <v>0</v>
      </c>
      <c r="Y203" s="55">
        <f t="shared" si="156"/>
        <v>0</v>
      </c>
      <c r="Z203" s="54">
        <f t="shared" ref="Z203:AA203" si="224">SUM(Z204:Z204)</f>
        <v>4772677041</v>
      </c>
      <c r="AA203" s="54">
        <f t="shared" si="224"/>
        <v>0</v>
      </c>
      <c r="AB203" s="55">
        <f t="shared" si="139"/>
        <v>1</v>
      </c>
    </row>
    <row r="204" spans="1:28" ht="24.95" customHeight="1">
      <c r="A204" s="32" t="e">
        <f>+CONCATENATE(#REF!,"=",J204)</f>
        <v>#REF!</v>
      </c>
      <c r="B204" s="56" t="str">
        <f t="shared" si="210"/>
        <v>C-4103-1500-21-0-4103055-02</v>
      </c>
      <c r="C204" s="57" t="s">
        <v>167</v>
      </c>
      <c r="D204" s="57">
        <v>4103</v>
      </c>
      <c r="E204" s="57" t="s">
        <v>172</v>
      </c>
      <c r="F204" s="57">
        <v>21</v>
      </c>
      <c r="G204" s="57" t="s">
        <v>175</v>
      </c>
      <c r="H204" s="57" t="s">
        <v>203</v>
      </c>
      <c r="I204" s="57" t="s">
        <v>54</v>
      </c>
      <c r="J204" s="57">
        <v>13</v>
      </c>
      <c r="K204" s="58" t="s">
        <v>29</v>
      </c>
      <c r="L204" s="59" t="s">
        <v>178</v>
      </c>
      <c r="M204" s="60">
        <v>5017014439</v>
      </c>
      <c r="N204" s="60"/>
      <c r="O204" s="60"/>
      <c r="P204" s="60"/>
      <c r="Q204" s="60">
        <f>244337398</f>
        <v>244337398</v>
      </c>
      <c r="R204" s="61">
        <v>0</v>
      </c>
      <c r="S204" s="60">
        <f>+M204-R204+N204-O204+P204-Q204</f>
        <v>4772677041</v>
      </c>
      <c r="T204" s="60">
        <v>4772677041</v>
      </c>
      <c r="U204" s="60">
        <f t="shared" ref="U204" si="225">+S204-T204</f>
        <v>0</v>
      </c>
      <c r="V204" s="62">
        <f t="shared" si="143"/>
        <v>1</v>
      </c>
      <c r="W204" s="60">
        <v>4772677041</v>
      </c>
      <c r="X204" s="60">
        <f t="shared" ref="X204" si="226">+T204-W204</f>
        <v>0</v>
      </c>
      <c r="Y204" s="62">
        <f t="shared" si="156"/>
        <v>0</v>
      </c>
      <c r="Z204" s="60">
        <v>4772677041</v>
      </c>
      <c r="AA204" s="60">
        <f t="shared" ref="AA204" si="227">+W204-Z204</f>
        <v>0</v>
      </c>
      <c r="AB204" s="62">
        <f t="shared" si="139"/>
        <v>1</v>
      </c>
    </row>
    <row r="205" spans="1:28" ht="30" customHeight="1">
      <c r="A205" s="32" t="e">
        <f>+CONCATENATE(#REF!,"=",J205)</f>
        <v>#REF!</v>
      </c>
      <c r="B205" s="52" t="str">
        <f>CONCATENATE(C205,"-",D205,"-",E205,"-",F205,"-",G205,"-",H205)</f>
        <v>C-4103-1500-21-0-4103058</v>
      </c>
      <c r="C205" s="52" t="s">
        <v>167</v>
      </c>
      <c r="D205" s="52">
        <v>4103</v>
      </c>
      <c r="E205" s="52" t="s">
        <v>172</v>
      </c>
      <c r="F205" s="52">
        <v>21</v>
      </c>
      <c r="G205" s="52" t="s">
        <v>175</v>
      </c>
      <c r="H205" s="52" t="s">
        <v>223</v>
      </c>
      <c r="I205" s="52"/>
      <c r="J205" s="52">
        <v>13</v>
      </c>
      <c r="K205" s="52" t="s">
        <v>29</v>
      </c>
      <c r="L205" s="52" t="s">
        <v>238</v>
      </c>
      <c r="M205" s="54">
        <f t="shared" ref="M205:U205" si="228">SUM(M206:M206)</f>
        <v>16446388174</v>
      </c>
      <c r="N205" s="54">
        <f t="shared" si="228"/>
        <v>0</v>
      </c>
      <c r="O205" s="54">
        <f t="shared" si="228"/>
        <v>0</v>
      </c>
      <c r="P205" s="54">
        <f t="shared" si="228"/>
        <v>453102205</v>
      </c>
      <c r="Q205" s="54">
        <f t="shared" si="228"/>
        <v>679588600</v>
      </c>
      <c r="R205" s="54">
        <f t="shared" si="228"/>
        <v>0</v>
      </c>
      <c r="S205" s="54">
        <f t="shared" si="228"/>
        <v>16219901779</v>
      </c>
      <c r="T205" s="54">
        <f t="shared" si="228"/>
        <v>15605238360</v>
      </c>
      <c r="U205" s="54">
        <f t="shared" si="228"/>
        <v>614663419</v>
      </c>
      <c r="V205" s="55">
        <f t="shared" si="143"/>
        <v>0.96210436860993764</v>
      </c>
      <c r="W205" s="54">
        <f>SUM(W206:W206)</f>
        <v>10337018703.9</v>
      </c>
      <c r="X205" s="54">
        <f>SUM(X206:X206)</f>
        <v>5268219656.1000004</v>
      </c>
      <c r="Y205" s="55">
        <f t="shared" si="156"/>
        <v>0.33759302706991784</v>
      </c>
      <c r="Z205" s="54">
        <f>SUM(Z206:Z206)</f>
        <v>10317953086.9</v>
      </c>
      <c r="AA205" s="54">
        <f>SUM(AA206:AA206)</f>
        <v>19065617</v>
      </c>
      <c r="AB205" s="55">
        <f t="shared" si="139"/>
        <v>0.66118522824665138</v>
      </c>
    </row>
    <row r="206" spans="1:28" ht="24.95" customHeight="1">
      <c r="A206" s="32" t="e">
        <f>+CONCATENATE(#REF!,"=",J206)</f>
        <v>#REF!</v>
      </c>
      <c r="B206" s="56" t="str">
        <f t="shared" si="210"/>
        <v>C-4103-1500-21-0-4103058-02</v>
      </c>
      <c r="C206" s="57" t="s">
        <v>167</v>
      </c>
      <c r="D206" s="57">
        <v>4103</v>
      </c>
      <c r="E206" s="57" t="s">
        <v>172</v>
      </c>
      <c r="F206" s="57">
        <v>21</v>
      </c>
      <c r="G206" s="57" t="s">
        <v>175</v>
      </c>
      <c r="H206" s="57" t="s">
        <v>223</v>
      </c>
      <c r="I206" s="57" t="s">
        <v>54</v>
      </c>
      <c r="J206" s="57">
        <v>13</v>
      </c>
      <c r="K206" s="58" t="s">
        <v>29</v>
      </c>
      <c r="L206" s="59" t="s">
        <v>178</v>
      </c>
      <c r="M206" s="60">
        <v>16446388174</v>
      </c>
      <c r="N206" s="60"/>
      <c r="O206" s="60"/>
      <c r="P206" s="60">
        <f>453102205</f>
        <v>453102205</v>
      </c>
      <c r="Q206" s="60">
        <f>679588600</f>
        <v>679588600</v>
      </c>
      <c r="R206" s="61">
        <v>0</v>
      </c>
      <c r="S206" s="60">
        <f>+M206-R206+N206-O206+P206-Q206</f>
        <v>16219901779</v>
      </c>
      <c r="T206" s="60">
        <v>15605238360</v>
      </c>
      <c r="U206" s="60">
        <f t="shared" ref="U206" si="229">+S206-T206</f>
        <v>614663419</v>
      </c>
      <c r="V206" s="62">
        <f t="shared" si="143"/>
        <v>0.96210436860993764</v>
      </c>
      <c r="W206" s="60">
        <v>10337018703.9</v>
      </c>
      <c r="X206" s="60">
        <f t="shared" ref="X206" si="230">+T206-W206</f>
        <v>5268219656.1000004</v>
      </c>
      <c r="Y206" s="62">
        <f t="shared" si="156"/>
        <v>0.33759302706991784</v>
      </c>
      <c r="Z206" s="60">
        <v>10317953086.9</v>
      </c>
      <c r="AA206" s="60">
        <f t="shared" ref="AA206" si="231">+W206-Z206</f>
        <v>19065617</v>
      </c>
      <c r="AB206" s="62">
        <f t="shared" si="139"/>
        <v>0.66118522824665138</v>
      </c>
    </row>
    <row r="207" spans="1:28" ht="45.75" customHeight="1">
      <c r="A207" s="32" t="e">
        <f>+CONCATENATE(#REF!,"=",J207)</f>
        <v>#REF!</v>
      </c>
      <c r="B207" s="48" t="str">
        <f>CONCATENATE(C207,"-",D207,"-",E207,"-",F207)</f>
        <v>C-4103-1500-22</v>
      </c>
      <c r="C207" s="48" t="s">
        <v>167</v>
      </c>
      <c r="D207" s="48">
        <v>4103</v>
      </c>
      <c r="E207" s="48" t="s">
        <v>172</v>
      </c>
      <c r="F207" s="48">
        <v>22</v>
      </c>
      <c r="G207" s="48"/>
      <c r="H207" s="48"/>
      <c r="I207" s="48"/>
      <c r="J207" s="48"/>
      <c r="K207" s="48"/>
      <c r="L207" s="48" t="s">
        <v>239</v>
      </c>
      <c r="M207" s="50">
        <f t="shared" ref="M207:U207" si="232">+M208+M210+M212+M214+M216+M219</f>
        <v>167533000000</v>
      </c>
      <c r="N207" s="50">
        <f t="shared" si="232"/>
        <v>0</v>
      </c>
      <c r="O207" s="742">
        <f t="shared" si="232"/>
        <v>0</v>
      </c>
      <c r="P207" s="50">
        <f t="shared" si="232"/>
        <v>7157479331</v>
      </c>
      <c r="Q207" s="50">
        <f t="shared" si="232"/>
        <v>7157479331</v>
      </c>
      <c r="R207" s="742">
        <f t="shared" si="232"/>
        <v>0</v>
      </c>
      <c r="S207" s="50">
        <f t="shared" si="232"/>
        <v>167533000000</v>
      </c>
      <c r="T207" s="50">
        <f t="shared" si="232"/>
        <v>135077858732</v>
      </c>
      <c r="U207" s="50">
        <f t="shared" si="232"/>
        <v>32455141268</v>
      </c>
      <c r="V207" s="51">
        <f t="shared" si="143"/>
        <v>0.80627612907307811</v>
      </c>
      <c r="W207" s="50">
        <f>+W208+W210+W212+W214+W216+W219</f>
        <v>133625230800.81</v>
      </c>
      <c r="X207" s="50">
        <f>+X208+X210+X212+X214+X216+X219</f>
        <v>1452627931.1899986</v>
      </c>
      <c r="Y207" s="51">
        <f t="shared" si="156"/>
        <v>1.0754004726060041E-2</v>
      </c>
      <c r="Z207" s="50">
        <f>+Z208+Z210+Z212+Z214+Z216+Z219</f>
        <v>133466887390.81</v>
      </c>
      <c r="AA207" s="50">
        <f>+AA208+AA210+AA212+AA214+AA216+AA219</f>
        <v>158343410</v>
      </c>
      <c r="AB207" s="51">
        <f t="shared" si="139"/>
        <v>0.988073757192241</v>
      </c>
    </row>
    <row r="208" spans="1:28" ht="30" customHeight="1">
      <c r="A208" s="32" t="e">
        <f>+CONCATENATE(#REF!,"=",J208)</f>
        <v>#REF!</v>
      </c>
      <c r="B208" s="52" t="str">
        <f>CONCATENATE(C208,"-",D208,"-",E208,"-",F208,"-",G208,"-",H208)</f>
        <v>C-4103-1500-22-0-4103005</v>
      </c>
      <c r="C208" s="52" t="s">
        <v>167</v>
      </c>
      <c r="D208" s="52">
        <v>4103</v>
      </c>
      <c r="E208" s="52" t="s">
        <v>172</v>
      </c>
      <c r="F208" s="52">
        <v>22</v>
      </c>
      <c r="G208" s="52" t="s">
        <v>175</v>
      </c>
      <c r="H208" s="52" t="s">
        <v>219</v>
      </c>
      <c r="I208" s="52"/>
      <c r="J208" s="52">
        <v>13</v>
      </c>
      <c r="K208" s="52" t="s">
        <v>29</v>
      </c>
      <c r="L208" s="52" t="s">
        <v>240</v>
      </c>
      <c r="M208" s="54">
        <f t="shared" ref="M208:U208" si="233">SUM(M209:M209)</f>
        <v>5834100502</v>
      </c>
      <c r="N208" s="54">
        <f t="shared" si="233"/>
        <v>0</v>
      </c>
      <c r="O208" s="743">
        <f t="shared" si="233"/>
        <v>0</v>
      </c>
      <c r="P208" s="54">
        <f t="shared" si="233"/>
        <v>602123589</v>
      </c>
      <c r="Q208" s="743">
        <f t="shared" si="233"/>
        <v>0</v>
      </c>
      <c r="R208" s="743">
        <f t="shared" si="233"/>
        <v>0</v>
      </c>
      <c r="S208" s="54">
        <f t="shared" si="233"/>
        <v>6436224091</v>
      </c>
      <c r="T208" s="54">
        <f t="shared" si="233"/>
        <v>3919643191</v>
      </c>
      <c r="U208" s="54">
        <f t="shared" si="233"/>
        <v>2516580900</v>
      </c>
      <c r="V208" s="55">
        <f t="shared" si="143"/>
        <v>0.60899731513092836</v>
      </c>
      <c r="W208" s="54">
        <f t="shared" ref="W208:X208" si="234">SUM(W209:W209)</f>
        <v>3919643191</v>
      </c>
      <c r="X208" s="54">
        <f t="shared" si="234"/>
        <v>0</v>
      </c>
      <c r="Y208" s="55">
        <f t="shared" si="156"/>
        <v>0</v>
      </c>
      <c r="Z208" s="54">
        <f t="shared" ref="Z208:AA208" si="235">SUM(Z209:Z209)</f>
        <v>3919643191</v>
      </c>
      <c r="AA208" s="54">
        <f t="shared" si="235"/>
        <v>0</v>
      </c>
      <c r="AB208" s="55">
        <f t="shared" si="139"/>
        <v>1</v>
      </c>
    </row>
    <row r="209" spans="1:28" ht="24.95" customHeight="1">
      <c r="A209" s="32" t="e">
        <f>+CONCATENATE(#REF!,"=",J209)</f>
        <v>#REF!</v>
      </c>
      <c r="B209" s="56" t="str">
        <f t="shared" ref="B209:B221" si="236">CONCATENATE(C209,"-",D209,"-",E209,"-",F209,"-",G209,"-",H209,"-",I209)</f>
        <v>C-4103-1500-22-0-4103005-02</v>
      </c>
      <c r="C209" s="57" t="s">
        <v>167</v>
      </c>
      <c r="D209" s="57">
        <v>4103</v>
      </c>
      <c r="E209" s="57" t="s">
        <v>172</v>
      </c>
      <c r="F209" s="57">
        <v>22</v>
      </c>
      <c r="G209" s="57" t="s">
        <v>175</v>
      </c>
      <c r="H209" s="57" t="s">
        <v>219</v>
      </c>
      <c r="I209" s="57" t="s">
        <v>54</v>
      </c>
      <c r="J209" s="57">
        <v>13</v>
      </c>
      <c r="K209" s="58" t="s">
        <v>29</v>
      </c>
      <c r="L209" s="59" t="s">
        <v>178</v>
      </c>
      <c r="M209" s="60">
        <v>5834100502</v>
      </c>
      <c r="N209" s="60"/>
      <c r="O209" s="60"/>
      <c r="P209" s="60">
        <f>602123589</f>
        <v>602123589</v>
      </c>
      <c r="Q209" s="60">
        <v>0</v>
      </c>
      <c r="R209" s="61">
        <v>0</v>
      </c>
      <c r="S209" s="60">
        <f>+M209-R209+N209-O209+P209-Q209</f>
        <v>6436224091</v>
      </c>
      <c r="T209" s="60">
        <v>3919643191</v>
      </c>
      <c r="U209" s="60">
        <f t="shared" ref="U209" si="237">+S209-T209</f>
        <v>2516580900</v>
      </c>
      <c r="V209" s="62">
        <f t="shared" si="143"/>
        <v>0.60899731513092836</v>
      </c>
      <c r="W209" s="60">
        <v>3919643191</v>
      </c>
      <c r="X209" s="60">
        <f t="shared" ref="X209" si="238">+T209-W209</f>
        <v>0</v>
      </c>
      <c r="Y209" s="62">
        <f t="shared" si="156"/>
        <v>0</v>
      </c>
      <c r="Z209" s="60">
        <v>3919643191</v>
      </c>
      <c r="AA209" s="60">
        <f t="shared" ref="AA209" si="239">+W209-Z209</f>
        <v>0</v>
      </c>
      <c r="AB209" s="62">
        <f t="shared" si="139"/>
        <v>1</v>
      </c>
    </row>
    <row r="210" spans="1:28" ht="26.25" customHeight="1">
      <c r="A210" s="32" t="e">
        <f>+CONCATENATE(#REF!,"=",J210)</f>
        <v>#REF!</v>
      </c>
      <c r="B210" s="52" t="str">
        <f>CONCATENATE(C210,"-",D210,"-",E210,"-",F210,"-",G210,"-",H210)</f>
        <v>C-4103-1500-22-0-4103050</v>
      </c>
      <c r="C210" s="52" t="s">
        <v>167</v>
      </c>
      <c r="D210" s="52">
        <v>4103</v>
      </c>
      <c r="E210" s="52" t="s">
        <v>172</v>
      </c>
      <c r="F210" s="52">
        <v>22</v>
      </c>
      <c r="G210" s="52" t="s">
        <v>175</v>
      </c>
      <c r="H210" s="52" t="s">
        <v>234</v>
      </c>
      <c r="I210" s="52"/>
      <c r="J210" s="52">
        <v>13</v>
      </c>
      <c r="K210" s="52" t="s">
        <v>29</v>
      </c>
      <c r="L210" s="52" t="s">
        <v>241</v>
      </c>
      <c r="M210" s="54">
        <f t="shared" ref="M210:U210" si="240">SUM(M211:M211)</f>
        <v>21263252053</v>
      </c>
      <c r="N210" s="54">
        <f t="shared" si="240"/>
        <v>0</v>
      </c>
      <c r="O210" s="743">
        <f t="shared" si="240"/>
        <v>0</v>
      </c>
      <c r="P210" s="54">
        <f t="shared" si="240"/>
        <v>96431225</v>
      </c>
      <c r="Q210" s="743">
        <f t="shared" si="240"/>
        <v>0</v>
      </c>
      <c r="R210" s="743">
        <f t="shared" si="240"/>
        <v>0</v>
      </c>
      <c r="S210" s="54">
        <f t="shared" si="240"/>
        <v>21359683278</v>
      </c>
      <c r="T210" s="54">
        <f t="shared" si="240"/>
        <v>18219558020</v>
      </c>
      <c r="U210" s="54">
        <f t="shared" si="240"/>
        <v>3140125258</v>
      </c>
      <c r="V210" s="55">
        <f t="shared" si="143"/>
        <v>0.85298821068034003</v>
      </c>
      <c r="W210" s="54">
        <f>SUM(W211:W211)</f>
        <v>17914613275.810001</v>
      </c>
      <c r="X210" s="54">
        <f>SUM(X211:X211)</f>
        <v>304944744.18999863</v>
      </c>
      <c r="Y210" s="55">
        <f t="shared" si="156"/>
        <v>1.6737219632619749E-2</v>
      </c>
      <c r="Z210" s="54">
        <f>SUM(Z211:Z211)</f>
        <v>17914613275.810001</v>
      </c>
      <c r="AA210" s="54">
        <f>SUM(AA211:AA211)</f>
        <v>0</v>
      </c>
      <c r="AB210" s="55">
        <f t="shared" si="139"/>
        <v>0.98326278036738024</v>
      </c>
    </row>
    <row r="211" spans="1:28" ht="24.95" customHeight="1">
      <c r="A211" s="32" t="e">
        <f>+CONCATENATE(#REF!,"=",J211)</f>
        <v>#REF!</v>
      </c>
      <c r="B211" s="56" t="str">
        <f t="shared" si="236"/>
        <v>C-4103-1500-22-0-4103050-02</v>
      </c>
      <c r="C211" s="57" t="s">
        <v>167</v>
      </c>
      <c r="D211" s="57">
        <v>4103</v>
      </c>
      <c r="E211" s="57" t="s">
        <v>172</v>
      </c>
      <c r="F211" s="57">
        <v>22</v>
      </c>
      <c r="G211" s="57" t="s">
        <v>175</v>
      </c>
      <c r="H211" s="57" t="s">
        <v>234</v>
      </c>
      <c r="I211" s="57" t="s">
        <v>54</v>
      </c>
      <c r="J211" s="57">
        <v>13</v>
      </c>
      <c r="K211" s="58" t="s">
        <v>29</v>
      </c>
      <c r="L211" s="59" t="s">
        <v>178</v>
      </c>
      <c r="M211" s="60">
        <v>21263252053</v>
      </c>
      <c r="N211" s="60"/>
      <c r="O211" s="60"/>
      <c r="P211" s="60">
        <f>96431225</f>
        <v>96431225</v>
      </c>
      <c r="Q211" s="60">
        <v>0</v>
      </c>
      <c r="R211" s="61">
        <v>0</v>
      </c>
      <c r="S211" s="60">
        <f>+M211-R211+N211-O211+P211-Q211</f>
        <v>21359683278</v>
      </c>
      <c r="T211" s="60">
        <v>18219558020</v>
      </c>
      <c r="U211" s="60">
        <f t="shared" ref="U211" si="241">+S211-T211</f>
        <v>3140125258</v>
      </c>
      <c r="V211" s="62">
        <f t="shared" si="143"/>
        <v>0.85298821068034003</v>
      </c>
      <c r="W211" s="60">
        <v>17914613275.810001</v>
      </c>
      <c r="X211" s="60">
        <f t="shared" ref="X211" si="242">+T211-W211</f>
        <v>304944744.18999863</v>
      </c>
      <c r="Y211" s="62">
        <f t="shared" si="156"/>
        <v>1.6737219632619749E-2</v>
      </c>
      <c r="Z211" s="60">
        <v>17914613275.810001</v>
      </c>
      <c r="AA211" s="60">
        <f t="shared" ref="AA211" si="243">+W211-Z211</f>
        <v>0</v>
      </c>
      <c r="AB211" s="62">
        <f t="shared" si="139"/>
        <v>0.98326278036738024</v>
      </c>
    </row>
    <row r="212" spans="1:28" ht="24.75" customHeight="1">
      <c r="A212" s="32" t="e">
        <f>+CONCATENATE(#REF!,"=",J212)</f>
        <v>#REF!</v>
      </c>
      <c r="B212" s="52" t="str">
        <f>CONCATENATE(C212,"-",D212,"-",E212,"-",F212,"-",G212,"-",H212)</f>
        <v>C-4103-1500-22-0-4103051</v>
      </c>
      <c r="C212" s="52" t="s">
        <v>167</v>
      </c>
      <c r="D212" s="52">
        <v>4103</v>
      </c>
      <c r="E212" s="52" t="s">
        <v>172</v>
      </c>
      <c r="F212" s="52">
        <v>22</v>
      </c>
      <c r="G212" s="52" t="s">
        <v>175</v>
      </c>
      <c r="H212" s="52">
        <v>4103051</v>
      </c>
      <c r="I212" s="52"/>
      <c r="J212" s="52">
        <v>13</v>
      </c>
      <c r="K212" s="52" t="s">
        <v>29</v>
      </c>
      <c r="L212" s="52" t="s">
        <v>242</v>
      </c>
      <c r="M212" s="54">
        <f t="shared" ref="M212:U212" si="244">SUM(M213:M213)</f>
        <v>5191519285</v>
      </c>
      <c r="N212" s="54">
        <f t="shared" si="244"/>
        <v>0</v>
      </c>
      <c r="O212" s="743">
        <f t="shared" si="244"/>
        <v>0</v>
      </c>
      <c r="P212" s="54">
        <f t="shared" si="244"/>
        <v>2580334552</v>
      </c>
      <c r="Q212" s="743">
        <f t="shared" si="244"/>
        <v>0</v>
      </c>
      <c r="R212" s="743">
        <f t="shared" si="244"/>
        <v>0</v>
      </c>
      <c r="S212" s="54">
        <f t="shared" si="244"/>
        <v>7771853837</v>
      </c>
      <c r="T212" s="54">
        <f t="shared" si="244"/>
        <v>3945310447</v>
      </c>
      <c r="U212" s="54">
        <f t="shared" si="244"/>
        <v>3826543390</v>
      </c>
      <c r="V212" s="55">
        <f t="shared" si="143"/>
        <v>0.50764084473865023</v>
      </c>
      <c r="W212" s="54">
        <f t="shared" ref="W212:X212" si="245">SUM(W213:W213)</f>
        <v>3945310447</v>
      </c>
      <c r="X212" s="54">
        <f t="shared" si="245"/>
        <v>0</v>
      </c>
      <c r="Y212" s="55">
        <f t="shared" si="156"/>
        <v>0</v>
      </c>
      <c r="Z212" s="54">
        <f t="shared" ref="Z212:AA212" si="246">SUM(Z213:Z213)</f>
        <v>3945310447</v>
      </c>
      <c r="AA212" s="54">
        <f t="shared" si="246"/>
        <v>0</v>
      </c>
      <c r="AB212" s="55">
        <f t="shared" si="139"/>
        <v>1</v>
      </c>
    </row>
    <row r="213" spans="1:28" ht="24.95" customHeight="1">
      <c r="A213" s="32" t="e">
        <f>+CONCATENATE(#REF!,"=",J213)</f>
        <v>#REF!</v>
      </c>
      <c r="B213" s="56" t="str">
        <f t="shared" si="236"/>
        <v>C-4103-1500-22-0-4103051-02</v>
      </c>
      <c r="C213" s="57" t="s">
        <v>167</v>
      </c>
      <c r="D213" s="57">
        <v>4103</v>
      </c>
      <c r="E213" s="57" t="s">
        <v>172</v>
      </c>
      <c r="F213" s="57">
        <v>22</v>
      </c>
      <c r="G213" s="57" t="s">
        <v>175</v>
      </c>
      <c r="H213" s="57">
        <v>4103051</v>
      </c>
      <c r="I213" s="57" t="s">
        <v>54</v>
      </c>
      <c r="J213" s="57">
        <v>13</v>
      </c>
      <c r="K213" s="58" t="s">
        <v>29</v>
      </c>
      <c r="L213" s="59" t="s">
        <v>178</v>
      </c>
      <c r="M213" s="60">
        <v>5191519285</v>
      </c>
      <c r="N213" s="60"/>
      <c r="O213" s="60"/>
      <c r="P213" s="60">
        <f>2580334552</f>
        <v>2580334552</v>
      </c>
      <c r="Q213" s="60">
        <v>0</v>
      </c>
      <c r="R213" s="61">
        <v>0</v>
      </c>
      <c r="S213" s="60">
        <f>+M213-R213+N213-O213+P213-Q213</f>
        <v>7771853837</v>
      </c>
      <c r="T213" s="60">
        <v>3945310447</v>
      </c>
      <c r="U213" s="60">
        <f t="shared" ref="U213" si="247">+S213-T213</f>
        <v>3826543390</v>
      </c>
      <c r="V213" s="62">
        <f t="shared" si="143"/>
        <v>0.50764084473865023</v>
      </c>
      <c r="W213" s="60">
        <v>3945310447</v>
      </c>
      <c r="X213" s="60">
        <f t="shared" ref="X213" si="248">+T213-W213</f>
        <v>0</v>
      </c>
      <c r="Y213" s="62">
        <f t="shared" si="156"/>
        <v>0</v>
      </c>
      <c r="Z213" s="60">
        <v>3945310447</v>
      </c>
      <c r="AA213" s="60">
        <f t="shared" ref="AA213" si="249">+W213-Z213</f>
        <v>0</v>
      </c>
      <c r="AB213" s="62">
        <f t="shared" si="139"/>
        <v>1</v>
      </c>
    </row>
    <row r="214" spans="1:28" ht="26.25" customHeight="1">
      <c r="A214" s="32" t="e">
        <f>+CONCATENATE(#REF!,"=",J214)</f>
        <v>#REF!</v>
      </c>
      <c r="B214" s="52" t="str">
        <f>CONCATENATE(C214,"-",D214,"-",E214,"-",F214,"-",G214,"-",H214)</f>
        <v>C-4103-1500-22-0-4103055</v>
      </c>
      <c r="C214" s="52" t="s">
        <v>167</v>
      </c>
      <c r="D214" s="52">
        <v>4103</v>
      </c>
      <c r="E214" s="52" t="s">
        <v>172</v>
      </c>
      <c r="F214" s="52">
        <v>22</v>
      </c>
      <c r="G214" s="52" t="s">
        <v>175</v>
      </c>
      <c r="H214" s="52">
        <v>4103055</v>
      </c>
      <c r="I214" s="52"/>
      <c r="J214" s="52">
        <v>13</v>
      </c>
      <c r="K214" s="52" t="s">
        <v>29</v>
      </c>
      <c r="L214" s="52" t="s">
        <v>243</v>
      </c>
      <c r="M214" s="54">
        <f t="shared" ref="M214:U214" si="250">SUM(M215:M215)</f>
        <v>7874924941</v>
      </c>
      <c r="N214" s="54">
        <f t="shared" si="250"/>
        <v>0</v>
      </c>
      <c r="O214" s="743">
        <f t="shared" si="250"/>
        <v>0</v>
      </c>
      <c r="P214" s="743">
        <f t="shared" si="250"/>
        <v>0</v>
      </c>
      <c r="Q214" s="54">
        <f t="shared" si="250"/>
        <v>6943207485</v>
      </c>
      <c r="R214" s="743">
        <f t="shared" si="250"/>
        <v>0</v>
      </c>
      <c r="S214" s="54">
        <f t="shared" si="250"/>
        <v>931717456</v>
      </c>
      <c r="T214" s="54">
        <f t="shared" si="250"/>
        <v>894550970</v>
      </c>
      <c r="U214" s="54">
        <f t="shared" si="250"/>
        <v>37166486</v>
      </c>
      <c r="V214" s="55">
        <f t="shared" si="143"/>
        <v>0.96010970304285037</v>
      </c>
      <c r="W214" s="54">
        <f>SUM(W215:W215)</f>
        <v>894550970</v>
      </c>
      <c r="X214" s="54">
        <f>SUM(X215:X215)</f>
        <v>0</v>
      </c>
      <c r="Y214" s="55">
        <f t="shared" si="156"/>
        <v>0</v>
      </c>
      <c r="Z214" s="54">
        <f>SUM(Z215:Z215)</f>
        <v>894550970</v>
      </c>
      <c r="AA214" s="54">
        <f>SUM(AA215:AA215)</f>
        <v>0</v>
      </c>
      <c r="AB214" s="55">
        <f t="shared" si="139"/>
        <v>1</v>
      </c>
    </row>
    <row r="215" spans="1:28" ht="24.95" customHeight="1">
      <c r="A215" s="32" t="e">
        <f>+CONCATENATE(#REF!,"=",J215)</f>
        <v>#REF!</v>
      </c>
      <c r="B215" s="56" t="str">
        <f t="shared" si="236"/>
        <v>C-4103-1500-22-0-4103055-02</v>
      </c>
      <c r="C215" s="57" t="s">
        <v>167</v>
      </c>
      <c r="D215" s="57">
        <v>4103</v>
      </c>
      <c r="E215" s="57" t="s">
        <v>172</v>
      </c>
      <c r="F215" s="57">
        <v>22</v>
      </c>
      <c r="G215" s="57" t="s">
        <v>175</v>
      </c>
      <c r="H215" s="57" t="s">
        <v>203</v>
      </c>
      <c r="I215" s="57" t="s">
        <v>54</v>
      </c>
      <c r="J215" s="57">
        <v>13</v>
      </c>
      <c r="K215" s="58" t="s">
        <v>29</v>
      </c>
      <c r="L215" s="59" t="s">
        <v>178</v>
      </c>
      <c r="M215" s="60">
        <v>7874924941</v>
      </c>
      <c r="N215" s="60"/>
      <c r="O215" s="60"/>
      <c r="P215" s="60"/>
      <c r="Q215" s="60">
        <f>6943207485</f>
        <v>6943207485</v>
      </c>
      <c r="R215" s="61">
        <v>0</v>
      </c>
      <c r="S215" s="60">
        <f>+M215-R215+N215-O215+P215-Q215</f>
        <v>931717456</v>
      </c>
      <c r="T215" s="60">
        <v>894550970</v>
      </c>
      <c r="U215" s="60">
        <f t="shared" ref="U215" si="251">+S215-T215</f>
        <v>37166486</v>
      </c>
      <c r="V215" s="62">
        <f t="shared" si="143"/>
        <v>0.96010970304285037</v>
      </c>
      <c r="W215" s="60">
        <v>894550970</v>
      </c>
      <c r="X215" s="60">
        <f t="shared" ref="X215" si="252">+T215-W215</f>
        <v>0</v>
      </c>
      <c r="Y215" s="62">
        <f t="shared" si="156"/>
        <v>0</v>
      </c>
      <c r="Z215" s="60">
        <v>894550970</v>
      </c>
      <c r="AA215" s="60">
        <f t="shared" ref="AA215" si="253">+W215-Z215</f>
        <v>0</v>
      </c>
      <c r="AB215" s="62">
        <f t="shared" si="139"/>
        <v>1</v>
      </c>
    </row>
    <row r="216" spans="1:28" ht="27.75" customHeight="1">
      <c r="A216" s="32" t="e">
        <f>+CONCATENATE(#REF!,"=",J216)</f>
        <v>#REF!</v>
      </c>
      <c r="B216" s="52" t="str">
        <f>CONCATENATE(C216,"-",D216,"-",E216,"-",F216,"-",G216,"-",H216)</f>
        <v>C-4103-1500-22-0-4103057</v>
      </c>
      <c r="C216" s="52" t="s">
        <v>167</v>
      </c>
      <c r="D216" s="52">
        <v>4103</v>
      </c>
      <c r="E216" s="52" t="s">
        <v>172</v>
      </c>
      <c r="F216" s="52">
        <v>22</v>
      </c>
      <c r="G216" s="52" t="s">
        <v>175</v>
      </c>
      <c r="H216" s="52">
        <v>4103057</v>
      </c>
      <c r="I216" s="52"/>
      <c r="J216" s="52">
        <v>13</v>
      </c>
      <c r="K216" s="52" t="s">
        <v>29</v>
      </c>
      <c r="L216" s="52" t="s">
        <v>244</v>
      </c>
      <c r="M216" s="54">
        <f>SUM(M217:M218)</f>
        <v>64906595848</v>
      </c>
      <c r="N216" s="54">
        <f t="shared" ref="N216:U216" si="254">SUM(N217:N218)</f>
        <v>0</v>
      </c>
      <c r="O216" s="743">
        <f t="shared" si="254"/>
        <v>0</v>
      </c>
      <c r="P216" s="743">
        <f t="shared" si="254"/>
        <v>0</v>
      </c>
      <c r="Q216" s="54">
        <f t="shared" si="254"/>
        <v>214271846</v>
      </c>
      <c r="R216" s="743">
        <f t="shared" si="254"/>
        <v>0</v>
      </c>
      <c r="S216" s="54">
        <f t="shared" si="254"/>
        <v>64692324002</v>
      </c>
      <c r="T216" s="54">
        <f t="shared" si="254"/>
        <v>64019243697</v>
      </c>
      <c r="U216" s="54">
        <f t="shared" si="254"/>
        <v>673080305</v>
      </c>
      <c r="V216" s="55">
        <f t="shared" si="143"/>
        <v>0.98959566972769153</v>
      </c>
      <c r="W216" s="54">
        <f t="shared" ref="W216:X216" si="255">SUM(W217:W218)</f>
        <v>63181953510</v>
      </c>
      <c r="X216" s="54">
        <f t="shared" si="255"/>
        <v>837290187</v>
      </c>
      <c r="Y216" s="55">
        <f t="shared" si="156"/>
        <v>1.3078726624182788E-2</v>
      </c>
      <c r="Z216" s="54">
        <f t="shared" ref="Z216:AA216" si="256">SUM(Z217:Z218)</f>
        <v>63023610100</v>
      </c>
      <c r="AA216" s="54">
        <f t="shared" si="256"/>
        <v>158343410</v>
      </c>
      <c r="AB216" s="55">
        <f t="shared" si="139"/>
        <v>0.98444790129492488</v>
      </c>
    </row>
    <row r="217" spans="1:28" ht="24.95" customHeight="1">
      <c r="A217" s="32" t="e">
        <f>+CONCATENATE(#REF!,"=",J217)</f>
        <v>#REF!</v>
      </c>
      <c r="B217" s="56" t="str">
        <f t="shared" si="236"/>
        <v>C-4103-1500-22-0-4103057-02</v>
      </c>
      <c r="C217" s="57" t="s">
        <v>167</v>
      </c>
      <c r="D217" s="57">
        <v>4103</v>
      </c>
      <c r="E217" s="57" t="s">
        <v>172</v>
      </c>
      <c r="F217" s="57">
        <v>22</v>
      </c>
      <c r="G217" s="57" t="s">
        <v>175</v>
      </c>
      <c r="H217" s="57" t="s">
        <v>221</v>
      </c>
      <c r="I217" s="57" t="s">
        <v>54</v>
      </c>
      <c r="J217" s="57">
        <v>13</v>
      </c>
      <c r="K217" s="58" t="s">
        <v>29</v>
      </c>
      <c r="L217" s="59" t="s">
        <v>178</v>
      </c>
      <c r="M217" s="60">
        <v>4796601848</v>
      </c>
      <c r="N217" s="60"/>
      <c r="O217" s="60"/>
      <c r="P217" s="60"/>
      <c r="Q217" s="60">
        <f>214271846</f>
        <v>214271846</v>
      </c>
      <c r="R217" s="61">
        <v>0</v>
      </c>
      <c r="S217" s="60">
        <f>+M217-R217+N217-O217+P217-Q217</f>
        <v>4582330002</v>
      </c>
      <c r="T217" s="60">
        <v>3909249697</v>
      </c>
      <c r="U217" s="60">
        <f t="shared" ref="U217:U218" si="257">+S217-T217</f>
        <v>673080305</v>
      </c>
      <c r="V217" s="62">
        <f t="shared" si="143"/>
        <v>0.85311396064748113</v>
      </c>
      <c r="W217" s="60">
        <v>3256890510</v>
      </c>
      <c r="X217" s="60">
        <f t="shared" ref="X217:X218" si="258">+T217-W217</f>
        <v>652359187</v>
      </c>
      <c r="Y217" s="62">
        <f t="shared" si="156"/>
        <v>0.16687580419859785</v>
      </c>
      <c r="Z217" s="60">
        <v>3098547100</v>
      </c>
      <c r="AA217" s="60">
        <f t="shared" ref="AA217:AA218" si="259">+W217-Z217</f>
        <v>158343410</v>
      </c>
      <c r="AB217" s="62">
        <f t="shared" si="139"/>
        <v>0.79261938739238325</v>
      </c>
    </row>
    <row r="218" spans="1:28" ht="24.95" customHeight="1">
      <c r="A218" s="32" t="e">
        <f>+CONCATENATE(#REF!,"=",J218)</f>
        <v>#REF!</v>
      </c>
      <c r="B218" s="56" t="str">
        <f t="shared" si="236"/>
        <v>C-4103-1500-22-0-4103057-03</v>
      </c>
      <c r="C218" s="57" t="s">
        <v>167</v>
      </c>
      <c r="D218" s="57">
        <v>4103</v>
      </c>
      <c r="E218" s="57" t="s">
        <v>172</v>
      </c>
      <c r="F218" s="57">
        <v>22</v>
      </c>
      <c r="G218" s="57" t="s">
        <v>175</v>
      </c>
      <c r="H218" s="57" t="s">
        <v>221</v>
      </c>
      <c r="I218" s="57" t="s">
        <v>65</v>
      </c>
      <c r="J218" s="57">
        <v>13</v>
      </c>
      <c r="K218" s="58" t="s">
        <v>29</v>
      </c>
      <c r="L218" s="59" t="s">
        <v>127</v>
      </c>
      <c r="M218" s="60">
        <v>60109994000</v>
      </c>
      <c r="N218" s="60"/>
      <c r="O218" s="60"/>
      <c r="P218" s="60"/>
      <c r="Q218" s="60">
        <v>0</v>
      </c>
      <c r="R218" s="61">
        <v>0</v>
      </c>
      <c r="S218" s="60">
        <f>+M218-R218+N218-O218+P218-Q218</f>
        <v>60109994000</v>
      </c>
      <c r="T218" s="60">
        <v>60109994000</v>
      </c>
      <c r="U218" s="60">
        <f t="shared" si="257"/>
        <v>0</v>
      </c>
      <c r="V218" s="62">
        <f t="shared" si="143"/>
        <v>1</v>
      </c>
      <c r="W218" s="60">
        <v>59925063000</v>
      </c>
      <c r="X218" s="60">
        <f t="shared" si="258"/>
        <v>184931000</v>
      </c>
      <c r="Y218" s="62">
        <f t="shared" si="156"/>
        <v>3.0765433115830954E-3</v>
      </c>
      <c r="Z218" s="60">
        <v>59925063000</v>
      </c>
      <c r="AA218" s="60">
        <f t="shared" si="259"/>
        <v>0</v>
      </c>
      <c r="AB218" s="62">
        <f t="shared" si="139"/>
        <v>0.99692345668841686</v>
      </c>
    </row>
    <row r="219" spans="1:28" ht="23.25" customHeight="1">
      <c r="A219" s="32" t="e">
        <f>+CONCATENATE(#REF!,"=",J219)</f>
        <v>#REF!</v>
      </c>
      <c r="B219" s="52" t="str">
        <f>CONCATENATE(C219,"-",D219,"-",E219,"-",F219,"-",G219,"-",H219)</f>
        <v>C-4103-1500-22-0-4103062</v>
      </c>
      <c r="C219" s="52" t="s">
        <v>167</v>
      </c>
      <c r="D219" s="52">
        <v>4103</v>
      </c>
      <c r="E219" s="52" t="s">
        <v>172</v>
      </c>
      <c r="F219" s="52">
        <v>22</v>
      </c>
      <c r="G219" s="52" t="s">
        <v>175</v>
      </c>
      <c r="H219" s="52">
        <v>4103062</v>
      </c>
      <c r="I219" s="52"/>
      <c r="J219" s="52">
        <v>13</v>
      </c>
      <c r="K219" s="52" t="s">
        <v>29</v>
      </c>
      <c r="L219" s="52" t="s">
        <v>245</v>
      </c>
      <c r="M219" s="54">
        <f>SUM(M220:M221)</f>
        <v>62462607371</v>
      </c>
      <c r="N219" s="54">
        <f t="shared" ref="N219:U219" si="260">SUM(N220:N221)</f>
        <v>0</v>
      </c>
      <c r="O219" s="743">
        <f t="shared" si="260"/>
        <v>0</v>
      </c>
      <c r="P219" s="54">
        <f t="shared" si="260"/>
        <v>3878589965</v>
      </c>
      <c r="Q219" s="743">
        <f t="shared" si="260"/>
        <v>0</v>
      </c>
      <c r="R219" s="743">
        <f t="shared" si="260"/>
        <v>0</v>
      </c>
      <c r="S219" s="54">
        <f t="shared" si="260"/>
        <v>66341197336</v>
      </c>
      <c r="T219" s="54">
        <f t="shared" si="260"/>
        <v>44079552407</v>
      </c>
      <c r="U219" s="54">
        <f t="shared" si="260"/>
        <v>22261644929</v>
      </c>
      <c r="V219" s="55">
        <f t="shared" si="143"/>
        <v>0.66443709455150679</v>
      </c>
      <c r="W219" s="54">
        <f t="shared" ref="W219:X219" si="261">SUM(W220:W221)</f>
        <v>43769159407</v>
      </c>
      <c r="X219" s="54">
        <f t="shared" si="261"/>
        <v>310393000</v>
      </c>
      <c r="Y219" s="55">
        <f t="shared" si="156"/>
        <v>7.0416549862858504E-3</v>
      </c>
      <c r="Z219" s="54">
        <f t="shared" ref="Z219:AA219" si="262">SUM(Z220:Z221)</f>
        <v>43769159407</v>
      </c>
      <c r="AA219" s="54">
        <f t="shared" si="262"/>
        <v>0</v>
      </c>
      <c r="AB219" s="55">
        <f t="shared" si="139"/>
        <v>0.99295834501371416</v>
      </c>
    </row>
    <row r="220" spans="1:28" ht="24.95" customHeight="1">
      <c r="A220" s="32" t="e">
        <f>+CONCATENATE(#REF!,"=",J220)</f>
        <v>#REF!</v>
      </c>
      <c r="B220" s="56" t="str">
        <f t="shared" si="236"/>
        <v>C-4103-1500-22-0-4103062-02</v>
      </c>
      <c r="C220" s="57" t="s">
        <v>167</v>
      </c>
      <c r="D220" s="57">
        <v>4103</v>
      </c>
      <c r="E220" s="57" t="s">
        <v>172</v>
      </c>
      <c r="F220" s="57">
        <v>22</v>
      </c>
      <c r="G220" s="57" t="s">
        <v>175</v>
      </c>
      <c r="H220" s="57" t="s">
        <v>246</v>
      </c>
      <c r="I220" s="57" t="s">
        <v>54</v>
      </c>
      <c r="J220" s="57">
        <v>13</v>
      </c>
      <c r="K220" s="58" t="s">
        <v>29</v>
      </c>
      <c r="L220" s="59" t="s">
        <v>178</v>
      </c>
      <c r="M220" s="60">
        <v>6064335371</v>
      </c>
      <c r="N220" s="60"/>
      <c r="O220" s="60"/>
      <c r="P220" s="60">
        <f>981739965</f>
        <v>981739965</v>
      </c>
      <c r="Q220" s="60">
        <v>0</v>
      </c>
      <c r="R220" s="61">
        <v>0</v>
      </c>
      <c r="S220" s="60">
        <f>+M220-R220+N220-O220+P220-Q220</f>
        <v>7046075336</v>
      </c>
      <c r="T220" s="60">
        <v>4249430407</v>
      </c>
      <c r="U220" s="60">
        <f t="shared" ref="U220:U221" si="263">+S220-T220</f>
        <v>2796644929</v>
      </c>
      <c r="V220" s="62">
        <f t="shared" si="143"/>
        <v>0.60309182124248584</v>
      </c>
      <c r="W220" s="60">
        <v>4248310407</v>
      </c>
      <c r="X220" s="60">
        <f t="shared" ref="X220:X221" si="264">+T220-W220</f>
        <v>1120000</v>
      </c>
      <c r="Y220" s="62">
        <f t="shared" si="156"/>
        <v>2.6356473520664013E-4</v>
      </c>
      <c r="Z220" s="60">
        <v>4248310407</v>
      </c>
      <c r="AA220" s="60">
        <f t="shared" ref="AA220:AA221" si="265">+W220-Z220</f>
        <v>0</v>
      </c>
      <c r="AB220" s="62">
        <f t="shared" si="139"/>
        <v>0.99973643526479339</v>
      </c>
    </row>
    <row r="221" spans="1:28" ht="24.95" customHeight="1">
      <c r="A221" s="32" t="e">
        <f>+CONCATENATE(#REF!,"=",J221)</f>
        <v>#REF!</v>
      </c>
      <c r="B221" s="56" t="str">
        <f t="shared" si="236"/>
        <v>C-4103-1500-22-0-4103062-03</v>
      </c>
      <c r="C221" s="57" t="s">
        <v>167</v>
      </c>
      <c r="D221" s="57">
        <v>4103</v>
      </c>
      <c r="E221" s="57" t="s">
        <v>172</v>
      </c>
      <c r="F221" s="57">
        <v>22</v>
      </c>
      <c r="G221" s="57" t="s">
        <v>175</v>
      </c>
      <c r="H221" s="57" t="s">
        <v>246</v>
      </c>
      <c r="I221" s="57" t="s">
        <v>65</v>
      </c>
      <c r="J221" s="57">
        <v>13</v>
      </c>
      <c r="K221" s="58" t="s">
        <v>29</v>
      </c>
      <c r="L221" s="59" t="s">
        <v>127</v>
      </c>
      <c r="M221" s="60">
        <v>56398272000</v>
      </c>
      <c r="N221" s="60"/>
      <c r="O221" s="60"/>
      <c r="P221" s="60">
        <f>2896850000</f>
        <v>2896850000</v>
      </c>
      <c r="Q221" s="60">
        <v>0</v>
      </c>
      <c r="R221" s="61">
        <v>0</v>
      </c>
      <c r="S221" s="60">
        <f>+M221-R221+N221-O221+P221-Q221</f>
        <v>59295122000</v>
      </c>
      <c r="T221" s="60">
        <v>39830122000</v>
      </c>
      <c r="U221" s="60">
        <f t="shared" si="263"/>
        <v>19465000000</v>
      </c>
      <c r="V221" s="62">
        <f t="shared" si="143"/>
        <v>0.67172679061188201</v>
      </c>
      <c r="W221" s="60">
        <v>39520849000</v>
      </c>
      <c r="X221" s="60">
        <f t="shared" si="264"/>
        <v>309273000</v>
      </c>
      <c r="Y221" s="62">
        <f t="shared" si="156"/>
        <v>7.7648017246846491E-3</v>
      </c>
      <c r="Z221" s="60">
        <v>39520849000</v>
      </c>
      <c r="AA221" s="60">
        <f t="shared" si="265"/>
        <v>0</v>
      </c>
      <c r="AB221" s="62">
        <f t="shared" si="139"/>
        <v>0.99223519827531537</v>
      </c>
    </row>
    <row r="222" spans="1:28" ht="36" customHeight="1">
      <c r="A222" s="32"/>
      <c r="B222" s="48" t="str">
        <f>CONCATENATE(C222,"-",D222,"-",E222,"-",F222)</f>
        <v>C-4103-1500-23</v>
      </c>
      <c r="C222" s="48" t="s">
        <v>167</v>
      </c>
      <c r="D222" s="48" t="s">
        <v>190</v>
      </c>
      <c r="E222" s="48" t="s">
        <v>172</v>
      </c>
      <c r="F222" s="48">
        <v>23</v>
      </c>
      <c r="G222" s="48"/>
      <c r="H222" s="48"/>
      <c r="I222" s="48"/>
      <c r="J222" s="48"/>
      <c r="K222" s="48"/>
      <c r="L222" s="48" t="s">
        <v>247</v>
      </c>
      <c r="M222" s="50">
        <f>+M223</f>
        <v>1612279801419</v>
      </c>
      <c r="N222" s="50">
        <f t="shared" ref="N222:U222" si="266">+N223</f>
        <v>0</v>
      </c>
      <c r="O222" s="742">
        <f t="shared" si="266"/>
        <v>0</v>
      </c>
      <c r="P222" s="50">
        <f t="shared" si="266"/>
        <v>67826035802.349998</v>
      </c>
      <c r="Q222" s="50">
        <f t="shared" si="266"/>
        <v>67826035802.349998</v>
      </c>
      <c r="R222" s="742">
        <f t="shared" si="266"/>
        <v>0</v>
      </c>
      <c r="S222" s="50">
        <f t="shared" si="266"/>
        <v>1612279801419</v>
      </c>
      <c r="T222" s="50">
        <f t="shared" si="266"/>
        <v>1357186570824.21</v>
      </c>
      <c r="U222" s="50">
        <f t="shared" si="266"/>
        <v>255093230594.79004</v>
      </c>
      <c r="V222" s="51">
        <f t="shared" si="143"/>
        <v>0.84178104174580781</v>
      </c>
      <c r="W222" s="50">
        <f t="shared" ref="W222:X222" si="267">+W223</f>
        <v>1334717606067.1499</v>
      </c>
      <c r="X222" s="50">
        <f t="shared" si="267"/>
        <v>22468964757.059998</v>
      </c>
      <c r="Y222" s="51">
        <f t="shared" si="156"/>
        <v>1.6555546039196917E-2</v>
      </c>
      <c r="Z222" s="50">
        <f t="shared" ref="Z222:AA222" si="268">+Z223</f>
        <v>1325114310756.1499</v>
      </c>
      <c r="AA222" s="50">
        <f t="shared" si="268"/>
        <v>9603295311</v>
      </c>
      <c r="AB222" s="51">
        <f t="shared" si="139"/>
        <v>0.97636856954119222</v>
      </c>
    </row>
    <row r="223" spans="1:28" ht="33.75" customHeight="1">
      <c r="A223" s="32"/>
      <c r="B223" s="52" t="str">
        <f>CONCATENATE(C223,"-",D223,"-",E223,"-",F223,"-",G223,"-",H223)</f>
        <v>C-4103-1500-23-0-4103065</v>
      </c>
      <c r="C223" s="52" t="s">
        <v>167</v>
      </c>
      <c r="D223" s="52" t="s">
        <v>190</v>
      </c>
      <c r="E223" s="52" t="s">
        <v>172</v>
      </c>
      <c r="F223" s="52">
        <v>23</v>
      </c>
      <c r="G223" s="52" t="s">
        <v>175</v>
      </c>
      <c r="H223" s="52">
        <v>4103065</v>
      </c>
      <c r="I223" s="52"/>
      <c r="J223" s="52">
        <v>11</v>
      </c>
      <c r="K223" s="52" t="s">
        <v>29</v>
      </c>
      <c r="L223" s="52" t="s">
        <v>248</v>
      </c>
      <c r="M223" s="54">
        <f t="shared" ref="M223:U223" si="269">SUM(M224:M228)</f>
        <v>1612279801419</v>
      </c>
      <c r="N223" s="54">
        <f t="shared" si="269"/>
        <v>0</v>
      </c>
      <c r="O223" s="743">
        <f t="shared" si="269"/>
        <v>0</v>
      </c>
      <c r="P223" s="54">
        <f t="shared" si="269"/>
        <v>67826035802.349998</v>
      </c>
      <c r="Q223" s="54">
        <f t="shared" si="269"/>
        <v>67826035802.349998</v>
      </c>
      <c r="R223" s="743">
        <f t="shared" si="269"/>
        <v>0</v>
      </c>
      <c r="S223" s="54">
        <f t="shared" si="269"/>
        <v>1612279801419</v>
      </c>
      <c r="T223" s="54">
        <f t="shared" si="269"/>
        <v>1357186570824.21</v>
      </c>
      <c r="U223" s="54">
        <f t="shared" si="269"/>
        <v>255093230594.79004</v>
      </c>
      <c r="V223" s="55">
        <f t="shared" si="143"/>
        <v>0.84178104174580781</v>
      </c>
      <c r="W223" s="54">
        <f>SUM(W224:W228)</f>
        <v>1334717606067.1499</v>
      </c>
      <c r="X223" s="54">
        <f>SUM(X224:X228)</f>
        <v>22468964757.059998</v>
      </c>
      <c r="Y223" s="55">
        <f t="shared" ref="Y223:Y238" si="270">+IF(T223&gt;0,X223/T223,0)</f>
        <v>1.6555546039196917E-2</v>
      </c>
      <c r="Z223" s="54">
        <f>SUM(Z224:Z228)</f>
        <v>1325114310756.1499</v>
      </c>
      <c r="AA223" s="54">
        <f>SUM(AA224:AA228)</f>
        <v>9603295311</v>
      </c>
      <c r="AB223" s="55">
        <f t="shared" si="139"/>
        <v>0.97636856954119222</v>
      </c>
    </row>
    <row r="224" spans="1:28" ht="24.95" customHeight="1">
      <c r="A224" s="32"/>
      <c r="B224" s="56" t="str">
        <f t="shared" ref="B224:B228" si="271">CONCATENATE(C224,"-",D224,"-",E224,"-",F224,"-",G224,"-",H224,"-",I224)</f>
        <v>C-4103-1500-23-0-4103065-02</v>
      </c>
      <c r="C224" s="57" t="s">
        <v>167</v>
      </c>
      <c r="D224" s="57" t="s">
        <v>190</v>
      </c>
      <c r="E224" s="57" t="s">
        <v>172</v>
      </c>
      <c r="F224" s="57">
        <v>23</v>
      </c>
      <c r="G224" s="57" t="s">
        <v>175</v>
      </c>
      <c r="H224" s="57">
        <v>4103065</v>
      </c>
      <c r="I224" s="57" t="s">
        <v>54</v>
      </c>
      <c r="J224" s="57">
        <v>11</v>
      </c>
      <c r="K224" s="58" t="s">
        <v>29</v>
      </c>
      <c r="L224" s="59" t="s">
        <v>178</v>
      </c>
      <c r="M224" s="60">
        <v>54257058902</v>
      </c>
      <c r="N224" s="60"/>
      <c r="O224" s="60"/>
      <c r="P224" s="60">
        <f>27729366800+96669002.35</f>
        <v>27826035802.349998</v>
      </c>
      <c r="Q224" s="60">
        <f>36000000000</f>
        <v>36000000000</v>
      </c>
      <c r="R224" s="61">
        <v>0</v>
      </c>
      <c r="S224" s="60">
        <f>+M224+N224-O224+P224-Q224-R224</f>
        <v>46083094704.350006</v>
      </c>
      <c r="T224" s="60">
        <v>45712005824.209999</v>
      </c>
      <c r="U224" s="60">
        <f>+S224-T224</f>
        <v>371088880.14000702</v>
      </c>
      <c r="V224" s="62">
        <f t="shared" si="143"/>
        <v>0.99194739670760479</v>
      </c>
      <c r="W224" s="60">
        <v>27253041067.150002</v>
      </c>
      <c r="X224" s="60">
        <f>+T224-W224</f>
        <v>18458964757.059998</v>
      </c>
      <c r="Y224" s="62">
        <f t="shared" si="270"/>
        <v>0.40380999311309501</v>
      </c>
      <c r="Z224" s="60">
        <v>27247550756.150002</v>
      </c>
      <c r="AA224" s="60">
        <f>+W224-Z224</f>
        <v>5490311</v>
      </c>
      <c r="AB224" s="62">
        <f t="shared" si="139"/>
        <v>0.59606990034375495</v>
      </c>
    </row>
    <row r="225" spans="1:51" ht="24.95" customHeight="1">
      <c r="A225" s="32"/>
      <c r="B225" s="56" t="str">
        <f t="shared" si="271"/>
        <v>C-4103-1500-23-0-4103065-03</v>
      </c>
      <c r="C225" s="57" t="s">
        <v>167</v>
      </c>
      <c r="D225" s="57" t="s">
        <v>190</v>
      </c>
      <c r="E225" s="57" t="s">
        <v>172</v>
      </c>
      <c r="F225" s="57">
        <v>23</v>
      </c>
      <c r="G225" s="57" t="s">
        <v>175</v>
      </c>
      <c r="H225" s="57">
        <v>4103065</v>
      </c>
      <c r="I225" s="57" t="s">
        <v>65</v>
      </c>
      <c r="J225" s="57">
        <v>11</v>
      </c>
      <c r="K225" s="58" t="s">
        <v>29</v>
      </c>
      <c r="L225" s="59" t="s">
        <v>127</v>
      </c>
      <c r="M225" s="60">
        <v>725205645648</v>
      </c>
      <c r="N225" s="60"/>
      <c r="O225" s="60"/>
      <c r="P225" s="60">
        <f>36000000000</f>
        <v>36000000000</v>
      </c>
      <c r="Q225" s="60">
        <f>27729366800+96669002.35</f>
        <v>27826035802.349998</v>
      </c>
      <c r="R225" s="61">
        <v>0</v>
      </c>
      <c r="S225" s="60">
        <f>+M225+N225-O225+P225-Q225-R225</f>
        <v>733379609845.65002</v>
      </c>
      <c r="T225" s="60">
        <v>699779689814</v>
      </c>
      <c r="U225" s="60">
        <f>+S225-T225</f>
        <v>33599920031.650024</v>
      </c>
      <c r="V225" s="62">
        <f t="shared" si="143"/>
        <v>0.954184818366137</v>
      </c>
      <c r="W225" s="60">
        <v>699779689814</v>
      </c>
      <c r="X225" s="60">
        <f>+T225-W225</f>
        <v>0</v>
      </c>
      <c r="Y225" s="62">
        <f t="shared" si="270"/>
        <v>0</v>
      </c>
      <c r="Z225" s="60">
        <v>699779689814</v>
      </c>
      <c r="AA225" s="60">
        <f>+W225-Z225</f>
        <v>0</v>
      </c>
      <c r="AB225" s="62">
        <f t="shared" si="139"/>
        <v>1</v>
      </c>
    </row>
    <row r="226" spans="1:51" ht="24.95" customHeight="1">
      <c r="A226" s="32"/>
      <c r="B226" s="56" t="str">
        <f t="shared" si="271"/>
        <v>C-4103-1500-23-0-4103065-02</v>
      </c>
      <c r="C226" s="57" t="s">
        <v>167</v>
      </c>
      <c r="D226" s="57" t="s">
        <v>190</v>
      </c>
      <c r="E226" s="57" t="s">
        <v>172</v>
      </c>
      <c r="F226" s="57">
        <v>23</v>
      </c>
      <c r="G226" s="57" t="s">
        <v>175</v>
      </c>
      <c r="H226" s="57">
        <v>4103065</v>
      </c>
      <c r="I226" s="57" t="s">
        <v>54</v>
      </c>
      <c r="J226" s="57">
        <v>13</v>
      </c>
      <c r="K226" s="58" t="s">
        <v>29</v>
      </c>
      <c r="L226" s="59" t="s">
        <v>178</v>
      </c>
      <c r="M226" s="60">
        <v>0</v>
      </c>
      <c r="N226" s="60"/>
      <c r="O226" s="60"/>
      <c r="P226" s="60">
        <f>4000000000</f>
        <v>4000000000</v>
      </c>
      <c r="Q226" s="60">
        <v>0</v>
      </c>
      <c r="R226" s="61">
        <v>0</v>
      </c>
      <c r="S226" s="60">
        <f>+M226+N226-O226+P226-Q226-R226</f>
        <v>4000000000</v>
      </c>
      <c r="T226" s="60">
        <v>4000000000</v>
      </c>
      <c r="U226" s="60">
        <f>+S226-T226</f>
        <v>0</v>
      </c>
      <c r="V226" s="62">
        <f t="shared" si="143"/>
        <v>1</v>
      </c>
      <c r="W226" s="60">
        <v>0</v>
      </c>
      <c r="X226" s="60">
        <f>+T226-W226</f>
        <v>4000000000</v>
      </c>
      <c r="Y226" s="62">
        <f t="shared" si="270"/>
        <v>1</v>
      </c>
      <c r="Z226" s="60">
        <v>0</v>
      </c>
      <c r="AA226" s="60">
        <f>+W226-Z226</f>
        <v>0</v>
      </c>
      <c r="AB226" s="62">
        <f t="shared" si="139"/>
        <v>0</v>
      </c>
    </row>
    <row r="227" spans="1:51" ht="24.95" customHeight="1">
      <c r="A227" s="32"/>
      <c r="B227" s="56" t="str">
        <f t="shared" si="271"/>
        <v>C-4103-1500-23-0-4103065-03</v>
      </c>
      <c r="C227" s="57" t="s">
        <v>167</v>
      </c>
      <c r="D227" s="57" t="s">
        <v>190</v>
      </c>
      <c r="E227" s="57" t="s">
        <v>172</v>
      </c>
      <c r="F227" s="57">
        <v>23</v>
      </c>
      <c r="G227" s="57" t="s">
        <v>175</v>
      </c>
      <c r="H227" s="57">
        <v>4103065</v>
      </c>
      <c r="I227" s="57" t="s">
        <v>65</v>
      </c>
      <c r="J227" s="57">
        <v>13</v>
      </c>
      <c r="K227" s="58" t="s">
        <v>29</v>
      </c>
      <c r="L227" s="59" t="s">
        <v>127</v>
      </c>
      <c r="M227" s="60">
        <v>48925749186</v>
      </c>
      <c r="N227" s="60"/>
      <c r="O227" s="60"/>
      <c r="P227" s="60"/>
      <c r="Q227" s="60">
        <f>4000000000</f>
        <v>4000000000</v>
      </c>
      <c r="R227" s="61">
        <v>0</v>
      </c>
      <c r="S227" s="60">
        <f>+M227+N227-O227+P227-Q227-R227</f>
        <v>44925749186</v>
      </c>
      <c r="T227" s="60">
        <v>44717669186</v>
      </c>
      <c r="U227" s="60">
        <f>+S227-T227</f>
        <v>208080000</v>
      </c>
      <c r="V227" s="62">
        <f t="shared" si="143"/>
        <v>0.99536835770643439</v>
      </c>
      <c r="W227" s="60">
        <v>44717669186</v>
      </c>
      <c r="X227" s="60">
        <f>+T227-W227</f>
        <v>0</v>
      </c>
      <c r="Y227" s="62">
        <f t="shared" si="270"/>
        <v>0</v>
      </c>
      <c r="Z227" s="60">
        <v>44717669186</v>
      </c>
      <c r="AA227" s="60">
        <f>+W227-Z227</f>
        <v>0</v>
      </c>
      <c r="AB227" s="62">
        <f t="shared" si="139"/>
        <v>1</v>
      </c>
    </row>
    <row r="228" spans="1:51" ht="24.95" customHeight="1">
      <c r="A228" s="32"/>
      <c r="B228" s="56" t="str">
        <f t="shared" si="271"/>
        <v>C-4103-1500-23-0-4103065-03</v>
      </c>
      <c r="C228" s="57" t="s">
        <v>167</v>
      </c>
      <c r="D228" s="57" t="s">
        <v>190</v>
      </c>
      <c r="E228" s="57" t="s">
        <v>172</v>
      </c>
      <c r="F228" s="57">
        <v>23</v>
      </c>
      <c r="G228" s="57" t="s">
        <v>175</v>
      </c>
      <c r="H228" s="57">
        <v>4103065</v>
      </c>
      <c r="I228" s="57" t="s">
        <v>65</v>
      </c>
      <c r="J228" s="57">
        <v>16</v>
      </c>
      <c r="K228" s="58" t="s">
        <v>156</v>
      </c>
      <c r="L228" s="59" t="s">
        <v>127</v>
      </c>
      <c r="M228" s="60">
        <v>783891347683</v>
      </c>
      <c r="N228" s="60"/>
      <c r="O228" s="60"/>
      <c r="P228" s="60"/>
      <c r="Q228" s="60">
        <v>0</v>
      </c>
      <c r="R228" s="61">
        <v>0</v>
      </c>
      <c r="S228" s="60">
        <f>+M228+N228-O228+P228-Q228-R228</f>
        <v>783891347683</v>
      </c>
      <c r="T228" s="60">
        <v>562977206000</v>
      </c>
      <c r="U228" s="60">
        <f>+S228-T228</f>
        <v>220914141683</v>
      </c>
      <c r="V228" s="62">
        <f t="shared" si="143"/>
        <v>0.71818270180431165</v>
      </c>
      <c r="W228" s="60">
        <v>562967206000</v>
      </c>
      <c r="X228" s="60">
        <f>+T228-W228</f>
        <v>10000000</v>
      </c>
      <c r="Y228" s="62">
        <f t="shared" si="270"/>
        <v>1.7762708495874697E-5</v>
      </c>
      <c r="Z228" s="60">
        <v>553369401000</v>
      </c>
      <c r="AA228" s="60">
        <f>+W228-Z228</f>
        <v>9597805000</v>
      </c>
      <c r="AB228" s="62">
        <f t="shared" si="139"/>
        <v>0.98293393604997925</v>
      </c>
    </row>
    <row r="229" spans="1:51" ht="36" customHeight="1">
      <c r="A229" s="32" t="e">
        <f>+CONCATENATE(#REF!,"=",J229)</f>
        <v>#REF!</v>
      </c>
      <c r="B229" s="48" t="str">
        <f>CONCATENATE(C229,"-",D229,"-",E229,"-",F229)</f>
        <v>C-4103-1500-24</v>
      </c>
      <c r="C229" s="48" t="s">
        <v>167</v>
      </c>
      <c r="D229" s="48" t="s">
        <v>190</v>
      </c>
      <c r="E229" s="48" t="s">
        <v>172</v>
      </c>
      <c r="F229" s="48">
        <v>24</v>
      </c>
      <c r="G229" s="48"/>
      <c r="H229" s="48"/>
      <c r="I229" s="48"/>
      <c r="J229" s="48"/>
      <c r="K229" s="48"/>
      <c r="L229" s="48" t="s">
        <v>249</v>
      </c>
      <c r="M229" s="50">
        <f>+M230</f>
        <v>7237101000000</v>
      </c>
      <c r="N229" s="50">
        <f t="shared" ref="N229:U229" si="272">+N230</f>
        <v>0</v>
      </c>
      <c r="O229" s="742">
        <f t="shared" si="272"/>
        <v>0</v>
      </c>
      <c r="P229" s="50">
        <f t="shared" si="272"/>
        <v>50896906720.830002</v>
      </c>
      <c r="Q229" s="50">
        <f t="shared" si="272"/>
        <v>50896906720.830002</v>
      </c>
      <c r="R229" s="742">
        <f t="shared" si="272"/>
        <v>0</v>
      </c>
      <c r="S229" s="50">
        <f t="shared" si="272"/>
        <v>7237101000000</v>
      </c>
      <c r="T229" s="50">
        <f t="shared" si="272"/>
        <v>5612228650893.4004</v>
      </c>
      <c r="U229" s="50">
        <f t="shared" si="272"/>
        <v>1624872349106.5999</v>
      </c>
      <c r="V229" s="51">
        <f t="shared" si="143"/>
        <v>0.77548021658028543</v>
      </c>
      <c r="W229" s="50">
        <f t="shared" ref="W229:X229" si="273">+W230</f>
        <v>5446324107611</v>
      </c>
      <c r="X229" s="50">
        <f t="shared" si="273"/>
        <v>165904543282.39999</v>
      </c>
      <c r="Y229" s="51">
        <f t="shared" si="270"/>
        <v>2.9561258744507844E-2</v>
      </c>
      <c r="Z229" s="50">
        <f t="shared" ref="Z229:AA229" si="274">+Z230</f>
        <v>5446125874750</v>
      </c>
      <c r="AA229" s="50">
        <f t="shared" si="274"/>
        <v>198232861</v>
      </c>
      <c r="AB229" s="51">
        <f t="shared" si="139"/>
        <v>0.97040341966164212</v>
      </c>
    </row>
    <row r="230" spans="1:51" ht="33.75" customHeight="1">
      <c r="A230" s="32" t="e">
        <f>+CONCATENATE(#REF!,"=",J230)</f>
        <v>#REF!</v>
      </c>
      <c r="B230" s="52" t="str">
        <f>CONCATENATE(C230,"-",D230,"-",E230,"-",F230,"-",G230,"-",H230)</f>
        <v>C-4103-1500-24-0-4103061</v>
      </c>
      <c r="C230" s="52" t="s">
        <v>167</v>
      </c>
      <c r="D230" s="52" t="s">
        <v>190</v>
      </c>
      <c r="E230" s="52" t="s">
        <v>172</v>
      </c>
      <c r="F230" s="52">
        <v>24</v>
      </c>
      <c r="G230" s="52" t="s">
        <v>175</v>
      </c>
      <c r="H230" s="52">
        <v>4103061</v>
      </c>
      <c r="I230" s="52"/>
      <c r="J230" s="52">
        <v>13</v>
      </c>
      <c r="K230" s="52" t="s">
        <v>29</v>
      </c>
      <c r="L230" s="52" t="s">
        <v>231</v>
      </c>
      <c r="M230" s="54">
        <f t="shared" ref="M230:U230" si="275">SUM(M231:M232)</f>
        <v>7237101000000</v>
      </c>
      <c r="N230" s="54">
        <f t="shared" si="275"/>
        <v>0</v>
      </c>
      <c r="O230" s="743">
        <f t="shared" si="275"/>
        <v>0</v>
      </c>
      <c r="P230" s="54">
        <f t="shared" si="275"/>
        <v>50896906720.830002</v>
      </c>
      <c r="Q230" s="54">
        <f t="shared" si="275"/>
        <v>50896906720.830002</v>
      </c>
      <c r="R230" s="743">
        <f t="shared" si="275"/>
        <v>0</v>
      </c>
      <c r="S230" s="54">
        <f t="shared" si="275"/>
        <v>7237101000000</v>
      </c>
      <c r="T230" s="54">
        <f t="shared" si="275"/>
        <v>5612228650893.4004</v>
      </c>
      <c r="U230" s="54">
        <f t="shared" si="275"/>
        <v>1624872349106.5999</v>
      </c>
      <c r="V230" s="55">
        <f t="shared" si="143"/>
        <v>0.77548021658028543</v>
      </c>
      <c r="W230" s="54">
        <f>SUM(W231:W232)</f>
        <v>5446324107611</v>
      </c>
      <c r="X230" s="54">
        <f>SUM(X231:X232)</f>
        <v>165904543282.39999</v>
      </c>
      <c r="Y230" s="55">
        <f t="shared" si="270"/>
        <v>2.9561258744507844E-2</v>
      </c>
      <c r="Z230" s="54">
        <f>SUM(Z231:Z232)</f>
        <v>5446125874750</v>
      </c>
      <c r="AA230" s="54">
        <f>SUM(AA231:AA232)</f>
        <v>198232861</v>
      </c>
      <c r="AB230" s="55">
        <f t="shared" si="139"/>
        <v>0.97040341966164212</v>
      </c>
    </row>
    <row r="231" spans="1:51" ht="24.95" customHeight="1">
      <c r="A231" s="32" t="e">
        <f>+CONCATENATE(#REF!,"=",J231)</f>
        <v>#REF!</v>
      </c>
      <c r="B231" s="56" t="str">
        <f t="shared" ref="B231:B232" si="276">CONCATENATE(C231,"-",D231,"-",E231,"-",F231,"-",G231,"-",H231,"-",I231)</f>
        <v>C-4103-1500-24-0-4103061-02</v>
      </c>
      <c r="C231" s="57" t="s">
        <v>167</v>
      </c>
      <c r="D231" s="57" t="s">
        <v>190</v>
      </c>
      <c r="E231" s="57" t="s">
        <v>172</v>
      </c>
      <c r="F231" s="57">
        <v>24</v>
      </c>
      <c r="G231" s="57" t="s">
        <v>175</v>
      </c>
      <c r="H231" s="57">
        <v>4103061</v>
      </c>
      <c r="I231" s="57" t="s">
        <v>54</v>
      </c>
      <c r="J231" s="57">
        <v>13</v>
      </c>
      <c r="K231" s="58" t="s">
        <v>29</v>
      </c>
      <c r="L231" s="59" t="s">
        <v>178</v>
      </c>
      <c r="M231" s="60">
        <v>99347732574</v>
      </c>
      <c r="N231" s="60"/>
      <c r="O231" s="60"/>
      <c r="P231" s="60">
        <f>832906720.83</f>
        <v>832906720.83000004</v>
      </c>
      <c r="Q231" s="60">
        <f>50064000000</f>
        <v>50064000000</v>
      </c>
      <c r="R231" s="61">
        <v>0</v>
      </c>
      <c r="S231" s="60">
        <f>+M231+N231-O231+P231-Q231-R231</f>
        <v>50116639294.830002</v>
      </c>
      <c r="T231" s="60">
        <v>39687952893.400002</v>
      </c>
      <c r="U231" s="60">
        <f>+S231-T231</f>
        <v>10428686401.43</v>
      </c>
      <c r="V231" s="62">
        <f t="shared" si="143"/>
        <v>0.79191169742888534</v>
      </c>
      <c r="W231" s="60">
        <v>25504579611</v>
      </c>
      <c r="X231" s="60">
        <f>+T231-W231</f>
        <v>14183373282.400002</v>
      </c>
      <c r="Y231" s="62">
        <f t="shared" si="270"/>
        <v>0.35737225652569898</v>
      </c>
      <c r="Z231" s="60">
        <v>25306346750</v>
      </c>
      <c r="AA231" s="60">
        <f>+W231-Z231</f>
        <v>198232861</v>
      </c>
      <c r="AB231" s="62">
        <f t="shared" si="139"/>
        <v>0.63763295673051401</v>
      </c>
    </row>
    <row r="232" spans="1:51" ht="24.95" customHeight="1">
      <c r="A232" s="32" t="e">
        <f>+CONCATENATE(#REF!,"=",J232)</f>
        <v>#REF!</v>
      </c>
      <c r="B232" s="56" t="str">
        <f t="shared" si="276"/>
        <v>C-4103-1500-24-0-4103061-03</v>
      </c>
      <c r="C232" s="57" t="s">
        <v>167</v>
      </c>
      <c r="D232" s="57" t="s">
        <v>190</v>
      </c>
      <c r="E232" s="57" t="s">
        <v>172</v>
      </c>
      <c r="F232" s="57">
        <v>24</v>
      </c>
      <c r="G232" s="57" t="s">
        <v>175</v>
      </c>
      <c r="H232" s="57">
        <v>4103061</v>
      </c>
      <c r="I232" s="57" t="s">
        <v>65</v>
      </c>
      <c r="J232" s="57">
        <v>13</v>
      </c>
      <c r="K232" s="58" t="s">
        <v>29</v>
      </c>
      <c r="L232" s="59" t="s">
        <v>127</v>
      </c>
      <c r="M232" s="60">
        <v>7137753267426</v>
      </c>
      <c r="N232" s="60"/>
      <c r="O232" s="60"/>
      <c r="P232" s="60">
        <f>50064000000</f>
        <v>50064000000</v>
      </c>
      <c r="Q232" s="60">
        <f>832906720.83</f>
        <v>832906720.83000004</v>
      </c>
      <c r="R232" s="61">
        <v>0</v>
      </c>
      <c r="S232" s="60">
        <f>+M232+N232-O232+P232-Q232-R232</f>
        <v>7186984360705.1699</v>
      </c>
      <c r="T232" s="60">
        <v>5572540698000</v>
      </c>
      <c r="U232" s="60">
        <f>+S232-T232</f>
        <v>1614443662705.1699</v>
      </c>
      <c r="V232" s="62">
        <f t="shared" si="143"/>
        <v>0.77536563575508266</v>
      </c>
      <c r="W232" s="60">
        <v>5420819528000</v>
      </c>
      <c r="X232" s="60">
        <f>+T232-W232</f>
        <v>151721170000</v>
      </c>
      <c r="Y232" s="62">
        <f t="shared" si="270"/>
        <v>2.7226570109116142E-2</v>
      </c>
      <c r="Z232" s="60">
        <v>5420819528000</v>
      </c>
      <c r="AA232" s="60">
        <f>+W232-Z232</f>
        <v>0</v>
      </c>
      <c r="AB232" s="62">
        <f t="shared" si="139"/>
        <v>0.97277342989088389</v>
      </c>
    </row>
    <row r="233" spans="1:51" ht="24" customHeight="1">
      <c r="A233" s="32" t="e">
        <f>+CONCATENATE(#REF!,"=",J233)</f>
        <v>#REF!</v>
      </c>
      <c r="B233" s="38" t="str">
        <f>CONCATENATE(C233,"-",D233)</f>
        <v>C-4199</v>
      </c>
      <c r="C233" s="39" t="s">
        <v>167</v>
      </c>
      <c r="D233" s="39">
        <v>4199</v>
      </c>
      <c r="E233" s="39"/>
      <c r="F233" s="39"/>
      <c r="G233" s="39"/>
      <c r="H233" s="39"/>
      <c r="I233" s="39"/>
      <c r="J233" s="40"/>
      <c r="K233" s="40"/>
      <c r="L233" s="38" t="s">
        <v>250</v>
      </c>
      <c r="M233" s="41">
        <f>+M234</f>
        <v>5000000000</v>
      </c>
      <c r="N233" s="41">
        <f t="shared" ref="N233:AA236" si="277">+N234</f>
        <v>0</v>
      </c>
      <c r="O233" s="740">
        <f t="shared" si="277"/>
        <v>0</v>
      </c>
      <c r="P233" s="740">
        <f t="shared" si="277"/>
        <v>0</v>
      </c>
      <c r="Q233" s="740">
        <f t="shared" si="277"/>
        <v>0</v>
      </c>
      <c r="R233" s="740">
        <f t="shared" si="277"/>
        <v>0</v>
      </c>
      <c r="S233" s="41">
        <f t="shared" si="277"/>
        <v>5000000000</v>
      </c>
      <c r="T233" s="41">
        <f t="shared" si="277"/>
        <v>3816560887.5999999</v>
      </c>
      <c r="U233" s="41">
        <f t="shared" si="277"/>
        <v>1183439112.4000001</v>
      </c>
      <c r="V233" s="42">
        <f t="shared" si="143"/>
        <v>0.76331217752000002</v>
      </c>
      <c r="W233" s="41">
        <f t="shared" si="277"/>
        <v>2541440887.5999999</v>
      </c>
      <c r="X233" s="41">
        <f t="shared" si="277"/>
        <v>1275120000</v>
      </c>
      <c r="Y233" s="42">
        <f t="shared" si="270"/>
        <v>0.33410183606473115</v>
      </c>
      <c r="Z233" s="41">
        <f t="shared" si="277"/>
        <v>2541440887.5999999</v>
      </c>
      <c r="AA233" s="41">
        <f t="shared" si="277"/>
        <v>0</v>
      </c>
      <c r="AB233" s="42">
        <f t="shared" si="139"/>
        <v>0.66589816393526879</v>
      </c>
    </row>
    <row r="234" spans="1:51" ht="24" customHeight="1">
      <c r="A234" s="32" t="e">
        <f>+CONCATENATE(#REF!,"=",J234)</f>
        <v>#REF!</v>
      </c>
      <c r="B234" s="43" t="str">
        <f>CONCATENATE(C234,"-",D234,"-",E234)</f>
        <v>C-4199-1500</v>
      </c>
      <c r="C234" s="44" t="s">
        <v>167</v>
      </c>
      <c r="D234" s="44">
        <v>4199</v>
      </c>
      <c r="E234" s="44">
        <v>1500</v>
      </c>
      <c r="F234" s="44"/>
      <c r="G234" s="44"/>
      <c r="H234" s="44"/>
      <c r="I234" s="44"/>
      <c r="J234" s="45"/>
      <c r="K234" s="45"/>
      <c r="L234" s="43" t="s">
        <v>170</v>
      </c>
      <c r="M234" s="46">
        <f>+M235</f>
        <v>5000000000</v>
      </c>
      <c r="N234" s="46">
        <f t="shared" si="277"/>
        <v>0</v>
      </c>
      <c r="O234" s="741">
        <f t="shared" si="277"/>
        <v>0</v>
      </c>
      <c r="P234" s="741">
        <f t="shared" si="277"/>
        <v>0</v>
      </c>
      <c r="Q234" s="741">
        <f t="shared" si="277"/>
        <v>0</v>
      </c>
      <c r="R234" s="741">
        <f t="shared" si="277"/>
        <v>0</v>
      </c>
      <c r="S234" s="46">
        <f t="shared" si="277"/>
        <v>5000000000</v>
      </c>
      <c r="T234" s="46">
        <f t="shared" si="277"/>
        <v>3816560887.5999999</v>
      </c>
      <c r="U234" s="46">
        <f t="shared" si="277"/>
        <v>1183439112.4000001</v>
      </c>
      <c r="V234" s="47">
        <f t="shared" si="143"/>
        <v>0.76331217752000002</v>
      </c>
      <c r="W234" s="46">
        <f t="shared" si="277"/>
        <v>2541440887.5999999</v>
      </c>
      <c r="X234" s="46">
        <f t="shared" si="277"/>
        <v>1275120000</v>
      </c>
      <c r="Y234" s="47">
        <f t="shared" si="270"/>
        <v>0.33410183606473115</v>
      </c>
      <c r="Z234" s="46">
        <f t="shared" si="277"/>
        <v>2541440887.5999999</v>
      </c>
      <c r="AA234" s="46">
        <f t="shared" si="277"/>
        <v>0</v>
      </c>
      <c r="AB234" s="47">
        <f t="shared" si="139"/>
        <v>0.66589816393526879</v>
      </c>
    </row>
    <row r="235" spans="1:51" ht="39" customHeight="1">
      <c r="A235" s="32" t="e">
        <f>+CONCATENATE(#REF!,"=",J235)</f>
        <v>#REF!</v>
      </c>
      <c r="B235" s="48" t="str">
        <f>CONCATENATE(C235,"-",D235,"-",E235,"-",F235)</f>
        <v>C-4199-1500-2</v>
      </c>
      <c r="C235" s="48" t="s">
        <v>167</v>
      </c>
      <c r="D235" s="48" t="s">
        <v>251</v>
      </c>
      <c r="E235" s="48" t="s">
        <v>172</v>
      </c>
      <c r="F235" s="48" t="s">
        <v>252</v>
      </c>
      <c r="G235" s="48"/>
      <c r="H235" s="48"/>
      <c r="I235" s="48"/>
      <c r="J235" s="48"/>
      <c r="K235" s="48"/>
      <c r="L235" s="48" t="s">
        <v>253</v>
      </c>
      <c r="M235" s="50">
        <f>+M236</f>
        <v>5000000000</v>
      </c>
      <c r="N235" s="50">
        <f t="shared" si="277"/>
        <v>0</v>
      </c>
      <c r="O235" s="742">
        <f t="shared" si="277"/>
        <v>0</v>
      </c>
      <c r="P235" s="742">
        <f t="shared" si="277"/>
        <v>0</v>
      </c>
      <c r="Q235" s="742">
        <f t="shared" si="277"/>
        <v>0</v>
      </c>
      <c r="R235" s="742">
        <f t="shared" si="277"/>
        <v>0</v>
      </c>
      <c r="S235" s="50">
        <f t="shared" si="277"/>
        <v>5000000000</v>
      </c>
      <c r="T235" s="50">
        <f t="shared" si="277"/>
        <v>3816560887.5999999</v>
      </c>
      <c r="U235" s="50">
        <f t="shared" si="277"/>
        <v>1183439112.4000001</v>
      </c>
      <c r="V235" s="51">
        <f t="shared" si="143"/>
        <v>0.76331217752000002</v>
      </c>
      <c r="W235" s="50">
        <f t="shared" si="277"/>
        <v>2541440887.5999999</v>
      </c>
      <c r="X235" s="50">
        <f t="shared" si="277"/>
        <v>1275120000</v>
      </c>
      <c r="Y235" s="51">
        <f t="shared" si="270"/>
        <v>0.33410183606473115</v>
      </c>
      <c r="Z235" s="50">
        <f t="shared" si="277"/>
        <v>2541440887.5999999</v>
      </c>
      <c r="AA235" s="50">
        <f t="shared" si="277"/>
        <v>0</v>
      </c>
      <c r="AB235" s="51">
        <f t="shared" si="139"/>
        <v>0.66589816393526879</v>
      </c>
    </row>
    <row r="236" spans="1:51" ht="24" customHeight="1">
      <c r="A236" s="32" t="e">
        <f>+CONCATENATE(#REF!,"=",J236)</f>
        <v>#REF!</v>
      </c>
      <c r="B236" s="52" t="str">
        <f>CONCATENATE(C236,"-",D236,"-",E236,"-",F236,"-",G236,"-",H236)</f>
        <v>C-4199-1500-2-0-4199062</v>
      </c>
      <c r="C236" s="52" t="s">
        <v>167</v>
      </c>
      <c r="D236" s="52" t="s">
        <v>251</v>
      </c>
      <c r="E236" s="52" t="s">
        <v>172</v>
      </c>
      <c r="F236" s="52" t="s">
        <v>252</v>
      </c>
      <c r="G236" s="52" t="s">
        <v>175</v>
      </c>
      <c r="H236" s="52" t="s">
        <v>254</v>
      </c>
      <c r="I236" s="52"/>
      <c r="J236" s="52">
        <v>13</v>
      </c>
      <c r="K236" s="52" t="s">
        <v>29</v>
      </c>
      <c r="L236" s="52" t="s">
        <v>255</v>
      </c>
      <c r="M236" s="54">
        <f>+M237</f>
        <v>5000000000</v>
      </c>
      <c r="N236" s="54">
        <f t="shared" si="277"/>
        <v>0</v>
      </c>
      <c r="O236" s="743">
        <f t="shared" si="277"/>
        <v>0</v>
      </c>
      <c r="P236" s="743">
        <f t="shared" si="277"/>
        <v>0</v>
      </c>
      <c r="Q236" s="743">
        <f t="shared" si="277"/>
        <v>0</v>
      </c>
      <c r="R236" s="743">
        <f t="shared" si="277"/>
        <v>0</v>
      </c>
      <c r="S236" s="54">
        <f t="shared" si="277"/>
        <v>5000000000</v>
      </c>
      <c r="T236" s="54">
        <f t="shared" si="277"/>
        <v>3816560887.5999999</v>
      </c>
      <c r="U236" s="54">
        <f t="shared" si="277"/>
        <v>1183439112.4000001</v>
      </c>
      <c r="V236" s="55">
        <f t="shared" si="143"/>
        <v>0.76331217752000002</v>
      </c>
      <c r="W236" s="54">
        <f t="shared" si="277"/>
        <v>2541440887.5999999</v>
      </c>
      <c r="X236" s="54">
        <f t="shared" si="277"/>
        <v>1275120000</v>
      </c>
      <c r="Y236" s="55">
        <f t="shared" si="270"/>
        <v>0.33410183606473115</v>
      </c>
      <c r="Z236" s="54">
        <f t="shared" si="277"/>
        <v>2541440887.5999999</v>
      </c>
      <c r="AA236" s="54">
        <f t="shared" si="277"/>
        <v>0</v>
      </c>
      <c r="AB236" s="55">
        <f t="shared" si="139"/>
        <v>0.66589816393526879</v>
      </c>
    </row>
    <row r="237" spans="1:51" ht="24.95" customHeight="1">
      <c r="A237" s="32" t="e">
        <f>+CONCATENATE(#REF!,"=",J237)</f>
        <v>#REF!</v>
      </c>
      <c r="B237" s="56" t="str">
        <f t="shared" ref="B237" si="278">CONCATENATE(C237,"-",D237,"-",E237,"-",F237,"-",G237,"-",H237,"-",I237)</f>
        <v>C-4199-1500-2-0-4199062-02</v>
      </c>
      <c r="C237" s="57" t="s">
        <v>167</v>
      </c>
      <c r="D237" s="57" t="s">
        <v>251</v>
      </c>
      <c r="E237" s="57" t="s">
        <v>172</v>
      </c>
      <c r="F237" s="57" t="s">
        <v>252</v>
      </c>
      <c r="G237" s="57" t="s">
        <v>175</v>
      </c>
      <c r="H237" s="57" t="s">
        <v>254</v>
      </c>
      <c r="I237" s="57" t="s">
        <v>54</v>
      </c>
      <c r="J237" s="57">
        <v>13</v>
      </c>
      <c r="K237" s="58" t="s">
        <v>29</v>
      </c>
      <c r="L237" s="59" t="s">
        <v>178</v>
      </c>
      <c r="M237" s="60">
        <v>5000000000</v>
      </c>
      <c r="N237" s="60">
        <v>0</v>
      </c>
      <c r="O237" s="60">
        <v>0</v>
      </c>
      <c r="P237" s="60">
        <v>0</v>
      </c>
      <c r="Q237" s="60">
        <v>0</v>
      </c>
      <c r="R237" s="61">
        <v>0</v>
      </c>
      <c r="S237" s="60">
        <f>+M237-R237+N237-O237+P237-Q237</f>
        <v>5000000000</v>
      </c>
      <c r="T237" s="60">
        <v>3816560887.5999999</v>
      </c>
      <c r="U237" s="60">
        <f t="shared" ref="U237" si="279">+S237-T237</f>
        <v>1183439112.4000001</v>
      </c>
      <c r="V237" s="62">
        <f t="shared" si="143"/>
        <v>0.76331217752000002</v>
      </c>
      <c r="W237" s="60">
        <v>2541440887.5999999</v>
      </c>
      <c r="X237" s="60">
        <f t="shared" ref="X237" si="280">+T237-W237</f>
        <v>1275120000</v>
      </c>
      <c r="Y237" s="62">
        <f t="shared" si="270"/>
        <v>0.33410183606473115</v>
      </c>
      <c r="Z237" s="60">
        <v>2541440887.5999999</v>
      </c>
      <c r="AA237" s="60">
        <f t="shared" ref="AA237" si="281">+W237-Z237</f>
        <v>0</v>
      </c>
      <c r="AB237" s="62">
        <f t="shared" si="139"/>
        <v>0.66589816393526879</v>
      </c>
    </row>
    <row r="238" spans="1:51" ht="35.1" customHeight="1">
      <c r="A238" s="32"/>
      <c r="B238" s="33"/>
      <c r="C238" s="34"/>
      <c r="D238" s="35"/>
      <c r="E238" s="35"/>
      <c r="F238" s="35"/>
      <c r="G238" s="35"/>
      <c r="H238" s="35"/>
      <c r="I238" s="35"/>
      <c r="J238" s="35"/>
      <c r="K238" s="35"/>
      <c r="L238" s="33" t="s">
        <v>256</v>
      </c>
      <c r="M238" s="36">
        <f t="shared" ref="M238:U238" si="282">+M8+M123+M119</f>
        <v>13107834876291</v>
      </c>
      <c r="N238" s="36">
        <f t="shared" si="282"/>
        <v>5269349000</v>
      </c>
      <c r="O238" s="36">
        <f t="shared" si="282"/>
        <v>0</v>
      </c>
      <c r="P238" s="36">
        <f t="shared" si="282"/>
        <v>213451925845.57001</v>
      </c>
      <c r="Q238" s="36">
        <f t="shared" si="282"/>
        <v>213451925845.57001</v>
      </c>
      <c r="R238" s="36">
        <f t="shared" si="282"/>
        <v>10390000000</v>
      </c>
      <c r="S238" s="36">
        <f t="shared" si="282"/>
        <v>13102714225291</v>
      </c>
      <c r="T238" s="36">
        <f t="shared" si="282"/>
        <v>10941899013252.211</v>
      </c>
      <c r="U238" s="36">
        <f t="shared" si="282"/>
        <v>2160815212038.7898</v>
      </c>
      <c r="V238" s="37">
        <f t="shared" si="143"/>
        <v>0.83508644278694866</v>
      </c>
      <c r="W238" s="36">
        <f>+W8+W123+W119</f>
        <v>9943859806795.8691</v>
      </c>
      <c r="X238" s="36">
        <f>+X8+X123+X119</f>
        <v>998039206456.33997</v>
      </c>
      <c r="Y238" s="37">
        <f t="shared" si="270"/>
        <v>9.121261357352789E-2</v>
      </c>
      <c r="Z238" s="36">
        <f>+Z8+Z123+Z119</f>
        <v>9932438941513.5</v>
      </c>
      <c r="AA238" s="36">
        <f>+AA8+AA123+AA119</f>
        <v>11420865282.369999</v>
      </c>
      <c r="AB238" s="37">
        <f t="shared" si="139"/>
        <v>0.90774361283026739</v>
      </c>
    </row>
    <row r="239" spans="1:51" s="90" customFormat="1" ht="16.5">
      <c r="A239" s="32"/>
      <c r="B239" s="32"/>
      <c r="C239" s="82"/>
      <c r="D239" s="82"/>
      <c r="E239" s="82"/>
      <c r="F239" s="82"/>
      <c r="G239" s="82"/>
      <c r="H239" s="83"/>
      <c r="I239" s="84"/>
      <c r="J239" s="84"/>
      <c r="K239" s="85"/>
      <c r="L239" s="84"/>
      <c r="M239" s="86"/>
      <c r="N239" s="86"/>
      <c r="O239" s="86"/>
      <c r="P239" s="86"/>
      <c r="Q239" s="86"/>
      <c r="R239" s="86"/>
      <c r="S239" s="86"/>
      <c r="T239" s="86"/>
      <c r="U239" s="86"/>
      <c r="V239" s="87"/>
      <c r="W239" s="88"/>
      <c r="X239" s="86"/>
      <c r="Y239" s="87"/>
      <c r="Z239" s="86"/>
      <c r="AA239" s="86"/>
      <c r="AB239" s="89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</row>
    <row r="240" spans="1:51" s="8" customFormat="1" ht="16.5">
      <c r="A240" s="32" t="e">
        <f>+CONCATENATE(#REF!,"=",J240)</f>
        <v>#REF!</v>
      </c>
      <c r="B240" s="32"/>
      <c r="C240" s="91"/>
      <c r="D240" s="91"/>
      <c r="E240" s="91"/>
      <c r="F240" s="91"/>
      <c r="G240" s="91"/>
      <c r="H240" s="92"/>
      <c r="I240" s="93"/>
      <c r="J240" s="93"/>
      <c r="K240" s="94"/>
      <c r="L240" s="93"/>
      <c r="M240" s="95">
        <v>13107834876291</v>
      </c>
      <c r="N240" s="95">
        <v>5269349000</v>
      </c>
      <c r="O240" s="95">
        <v>0</v>
      </c>
      <c r="P240" s="95">
        <f>38390138409.32+9043518847.32+16196821037.42+1000000000+128430683.92+7591191128.75+2889338541.69+46434520980.4+11362120318+22239728932.61+58176116966.14</f>
        <v>213451925845.57001</v>
      </c>
      <c r="Q240" s="95">
        <f>38390138409.32+9043518847.32+16196821037.42+1000000000+128430683.92+7591191128.75+2889338541.69+46434520980.4+11362120318+22239728932.61+58176116966.14</f>
        <v>213451925845.57001</v>
      </c>
      <c r="R240" s="95">
        <v>10390000000</v>
      </c>
      <c r="S240" s="95">
        <v>13102714225291</v>
      </c>
      <c r="T240" s="95">
        <v>10941899013252.199</v>
      </c>
      <c r="U240" s="95">
        <f>+S238-T238</f>
        <v>2160815212038.7891</v>
      </c>
      <c r="V240" s="96">
        <f>+V238</f>
        <v>0.83508644278694866</v>
      </c>
      <c r="W240" s="95">
        <v>9943859806795.8691</v>
      </c>
      <c r="X240" s="95">
        <f>+T240-W240</f>
        <v>998039206456.33008</v>
      </c>
      <c r="Y240" s="96">
        <f>+Y238</f>
        <v>9.121261357352789E-2</v>
      </c>
      <c r="Z240" s="95">
        <v>9932438941513.5</v>
      </c>
      <c r="AA240" s="95">
        <f>+W240-Z240</f>
        <v>11420865282.369141</v>
      </c>
      <c r="AB240" s="96">
        <f>+AB238</f>
        <v>0.90774361283026739</v>
      </c>
    </row>
    <row r="241" spans="1:51" s="8" customFormat="1" ht="16.5">
      <c r="A241" s="32"/>
      <c r="B241" s="32"/>
      <c r="C241" s="94"/>
      <c r="D241" s="93"/>
      <c r="E241" s="93"/>
      <c r="F241" s="93"/>
      <c r="G241" s="93"/>
      <c r="H241" s="93"/>
      <c r="I241" s="93"/>
      <c r="J241" s="93"/>
      <c r="K241" s="94"/>
      <c r="L241" s="97"/>
      <c r="M241" s="98">
        <f t="shared" ref="M241" si="283">+M238-M240</f>
        <v>0</v>
      </c>
      <c r="N241" s="98">
        <f>+N238-N240</f>
        <v>0</v>
      </c>
      <c r="O241" s="98">
        <f>+O238-O240</f>
        <v>0</v>
      </c>
      <c r="P241" s="98">
        <f t="shared" ref="P241:W241" si="284">+P238-P240</f>
        <v>0</v>
      </c>
      <c r="Q241" s="98">
        <f t="shared" si="284"/>
        <v>0</v>
      </c>
      <c r="R241" s="98">
        <f t="shared" si="284"/>
        <v>0</v>
      </c>
      <c r="S241" s="98">
        <f t="shared" si="284"/>
        <v>0</v>
      </c>
      <c r="T241" s="98">
        <f t="shared" si="284"/>
        <v>0</v>
      </c>
      <c r="U241" s="98">
        <f t="shared" si="284"/>
        <v>0</v>
      </c>
      <c r="V241" s="98"/>
      <c r="W241" s="98">
        <f t="shared" si="284"/>
        <v>0</v>
      </c>
      <c r="X241" s="98">
        <f>+X238-X240</f>
        <v>9.8876953125E-3</v>
      </c>
      <c r="Y241" s="98"/>
      <c r="Z241" s="98">
        <f>+Z238-Z240</f>
        <v>0</v>
      </c>
      <c r="AA241" s="98">
        <f>+AA238-AA240</f>
        <v>8.58306884765625E-4</v>
      </c>
      <c r="AB241" s="98"/>
    </row>
    <row r="242" spans="1:51" s="374" customFormat="1" ht="16.5">
      <c r="A242" s="369"/>
      <c r="B242" s="375"/>
      <c r="C242" s="370"/>
      <c r="D242" s="371"/>
      <c r="E242" s="371"/>
      <c r="F242" s="371"/>
      <c r="G242" s="371"/>
      <c r="H242" s="371"/>
      <c r="I242" s="371"/>
      <c r="J242" s="371"/>
      <c r="K242" s="370"/>
      <c r="L242" s="86"/>
      <c r="M242" s="359"/>
      <c r="N242" s="359"/>
      <c r="O242" s="359"/>
      <c r="P242" s="359"/>
      <c r="Q242" s="359"/>
      <c r="R242" s="359"/>
      <c r="S242" s="359"/>
      <c r="T242" s="359"/>
      <c r="U242" s="359"/>
      <c r="V242" s="372"/>
      <c r="W242" s="359"/>
      <c r="X242" s="359"/>
      <c r="Y242" s="372"/>
      <c r="Z242" s="359"/>
      <c r="AA242" s="359"/>
      <c r="AB242" s="37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</row>
    <row r="243" spans="1:51" ht="18">
      <c r="A243" s="30"/>
      <c r="B243" s="31"/>
      <c r="C243" s="312"/>
      <c r="D243" s="317"/>
      <c r="E243" s="312"/>
      <c r="F243" s="312"/>
      <c r="G243" s="312"/>
      <c r="H243" s="312"/>
      <c r="I243" s="312"/>
      <c r="J243" s="312"/>
      <c r="K243" s="317"/>
      <c r="L243" s="312"/>
      <c r="M243" s="335"/>
      <c r="N243" s="364"/>
      <c r="O243" s="332"/>
      <c r="P243" s="332"/>
      <c r="Q243" s="633"/>
      <c r="R243" s="633"/>
      <c r="S243" s="359"/>
      <c r="T243" s="332"/>
      <c r="U243" s="332"/>
      <c r="V243" s="333"/>
      <c r="W243" s="332"/>
      <c r="X243" s="332"/>
      <c r="Y243" s="333"/>
      <c r="Z243" s="332"/>
      <c r="AA243" s="332"/>
      <c r="AB243" s="333"/>
    </row>
    <row r="244" spans="1:51" ht="18">
      <c r="A244" s="30"/>
      <c r="B244" s="31"/>
      <c r="C244" s="312"/>
      <c r="D244" s="317"/>
      <c r="E244" s="312"/>
      <c r="F244" s="312"/>
      <c r="G244" s="312"/>
      <c r="H244" s="312"/>
      <c r="I244" s="312"/>
      <c r="J244" s="312"/>
      <c r="K244" s="317"/>
      <c r="L244" s="312"/>
      <c r="M244" s="332"/>
      <c r="N244" s="632"/>
      <c r="O244" s="332"/>
      <c r="P244" s="359"/>
      <c r="Q244" s="633"/>
      <c r="R244" s="633"/>
      <c r="S244" s="332"/>
      <c r="T244" s="332"/>
      <c r="U244" s="332"/>
      <c r="V244" s="333"/>
      <c r="W244" s="332"/>
      <c r="X244" s="332"/>
      <c r="Y244" s="333"/>
      <c r="Z244" s="332"/>
      <c r="AA244" s="332"/>
      <c r="AB244" s="333"/>
    </row>
    <row r="245" spans="1:51" ht="18">
      <c r="A245" s="1"/>
      <c r="B245" s="2"/>
      <c r="C245" s="312"/>
      <c r="D245" s="312"/>
      <c r="E245" s="312"/>
      <c r="F245" s="312"/>
      <c r="G245" s="312"/>
      <c r="H245" s="312"/>
      <c r="I245" s="312"/>
      <c r="J245" s="312"/>
      <c r="K245" s="317"/>
      <c r="L245" s="312"/>
      <c r="M245" s="332"/>
      <c r="N245" s="632"/>
      <c r="O245" s="332"/>
      <c r="P245" s="332"/>
      <c r="Q245" s="332"/>
      <c r="R245" s="332"/>
      <c r="S245" s="332"/>
      <c r="T245" s="332"/>
      <c r="U245" s="332"/>
      <c r="V245" s="333"/>
      <c r="W245" s="332"/>
      <c r="X245" s="631"/>
      <c r="Y245" s="333"/>
      <c r="Z245" s="332"/>
      <c r="AA245" s="332"/>
      <c r="AB245" s="333"/>
      <c r="AC245" s="315"/>
    </row>
    <row r="246" spans="1:51" ht="30">
      <c r="A246" s="1"/>
      <c r="B246" s="2"/>
      <c r="C246" s="318"/>
      <c r="D246" s="318"/>
      <c r="E246" s="318"/>
      <c r="F246" s="318"/>
      <c r="G246" s="318"/>
      <c r="H246" s="318"/>
      <c r="I246" s="312"/>
      <c r="J246" s="312"/>
      <c r="K246" s="317"/>
      <c r="L246" s="336" t="s">
        <v>738</v>
      </c>
      <c r="M246" s="628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20"/>
      <c r="Z246" s="376"/>
      <c r="AA246" s="319"/>
      <c r="AB246" s="319"/>
    </row>
    <row r="247" spans="1:51" ht="30">
      <c r="A247" s="1"/>
      <c r="B247" s="2"/>
      <c r="C247" s="321"/>
      <c r="D247" s="322"/>
      <c r="E247" s="322"/>
      <c r="F247" s="322"/>
      <c r="G247" s="322"/>
      <c r="H247" s="322"/>
      <c r="I247" s="322"/>
      <c r="J247" s="322"/>
      <c r="K247" s="321"/>
      <c r="L247" s="337" t="s">
        <v>739</v>
      </c>
      <c r="M247" s="628"/>
      <c r="O247" s="323"/>
      <c r="P247" s="323"/>
      <c r="Q247" s="323"/>
      <c r="R247" s="323"/>
      <c r="S247" s="360"/>
      <c r="T247" s="323"/>
      <c r="U247" s="323"/>
      <c r="V247" s="323"/>
      <c r="W247" s="323"/>
      <c r="X247" s="323"/>
      <c r="Y247" s="324"/>
      <c r="Z247" s="323"/>
      <c r="AA247" s="323"/>
      <c r="AB247" s="323"/>
    </row>
    <row r="248" spans="1:51" ht="30">
      <c r="A248" s="325"/>
      <c r="B248" s="313"/>
      <c r="C248" s="308"/>
      <c r="D248" s="308"/>
      <c r="E248" s="308"/>
      <c r="F248" s="308"/>
      <c r="G248" s="308"/>
      <c r="H248" s="308"/>
      <c r="I248" s="308"/>
      <c r="J248" s="308"/>
      <c r="K248" s="336"/>
      <c r="L248" s="308"/>
      <c r="M248" s="628"/>
      <c r="O248" s="309"/>
      <c r="P248" s="746"/>
      <c r="Q248" s="630"/>
      <c r="R248" s="630"/>
      <c r="S248" s="334"/>
      <c r="T248" s="334"/>
      <c r="U248" s="629"/>
      <c r="V248" s="329"/>
      <c r="W248" s="329"/>
      <c r="X248" s="329"/>
      <c r="Y248" s="329"/>
    </row>
    <row r="249" spans="1:51" ht="16.5">
      <c r="M249" s="628"/>
      <c r="N249" s="628"/>
    </row>
    <row r="250" spans="1:51" ht="16.5">
      <c r="M250" s="628"/>
      <c r="N250" s="628"/>
    </row>
    <row r="251" spans="1:51" ht="16.5">
      <c r="M251" s="628"/>
    </row>
    <row r="252" spans="1:51" ht="16.5">
      <c r="M252" s="628"/>
    </row>
    <row r="253" spans="1:51" ht="16.5">
      <c r="M253" s="628"/>
    </row>
  </sheetData>
  <sheetProtection selectLockedCells="1" selectUnlockedCells="1"/>
  <autoFilter ref="A6:AB241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2FD66-59FB-4B48-8AD1-091C798D0404}">
  <sheetPr>
    <tabColor rgb="FF00B0F0"/>
    <pageSetUpPr fitToPage="1"/>
  </sheetPr>
  <dimension ref="A1:BB254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4.42578125" style="9" hidden="1" customWidth="1" outlineLevel="1"/>
    <col min="9" max="9" width="5.28515625" style="9" hidden="1" customWidth="1" outlineLevel="1"/>
    <col min="10" max="10" width="5.140625" style="110" customWidth="1" collapsed="1"/>
    <col min="11" max="11" width="7.42578125" style="111" customWidth="1"/>
    <col min="12" max="12" width="82.425781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2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2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845" t="s">
        <v>937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9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926</v>
      </c>
      <c r="Y6" s="29" t="s">
        <v>879</v>
      </c>
      <c r="Z6" s="27" t="s">
        <v>18</v>
      </c>
      <c r="AA6" s="27" t="s">
        <v>927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47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33" t="s">
        <v>23</v>
      </c>
      <c r="C8" s="34" t="s">
        <v>23</v>
      </c>
      <c r="D8" s="35"/>
      <c r="E8" s="35"/>
      <c r="F8" s="35"/>
      <c r="G8" s="35"/>
      <c r="H8" s="35"/>
      <c r="I8" s="35"/>
      <c r="J8" s="34"/>
      <c r="K8" s="35"/>
      <c r="L8" s="33" t="s">
        <v>24</v>
      </c>
      <c r="M8" s="36">
        <v>191203900000</v>
      </c>
      <c r="N8" s="739">
        <v>0</v>
      </c>
      <c r="O8" s="739">
        <v>0</v>
      </c>
      <c r="P8" s="36">
        <v>24730680823.84</v>
      </c>
      <c r="Q8" s="36">
        <v>24730680823.84</v>
      </c>
      <c r="R8" s="36">
        <v>645629555</v>
      </c>
      <c r="S8" s="36">
        <v>190558270445</v>
      </c>
      <c r="T8" s="36">
        <v>156303733135.64999</v>
      </c>
      <c r="U8" s="36">
        <v>34254537309.349998</v>
      </c>
      <c r="V8" s="37">
        <v>0.82024114078409027</v>
      </c>
      <c r="W8" s="36">
        <v>148472533615.81998</v>
      </c>
      <c r="X8" s="36">
        <v>7831199519.8300009</v>
      </c>
      <c r="Y8" s="37">
        <v>5.0102447092761404E-2</v>
      </c>
      <c r="Z8" s="36">
        <v>142728022282.81998</v>
      </c>
      <c r="AA8" s="36">
        <v>5744511333</v>
      </c>
      <c r="AB8" s="37">
        <v>0.91314531917770525</v>
      </c>
    </row>
    <row r="9" spans="1:28" ht="24" customHeight="1">
      <c r="A9" s="32" t="e">
        <v>#REF!</v>
      </c>
      <c r="B9" s="38" t="s">
        <v>303</v>
      </c>
      <c r="C9" s="39" t="s">
        <v>23</v>
      </c>
      <c r="D9" s="39" t="s">
        <v>25</v>
      </c>
      <c r="E9" s="39"/>
      <c r="F9" s="39"/>
      <c r="G9" s="39"/>
      <c r="H9" s="39"/>
      <c r="I9" s="39"/>
      <c r="J9" s="39"/>
      <c r="K9" s="40"/>
      <c r="L9" s="38" t="s">
        <v>26</v>
      </c>
      <c r="M9" s="41">
        <v>118340000000</v>
      </c>
      <c r="N9" s="740">
        <v>0</v>
      </c>
      <c r="O9" s="740">
        <v>0</v>
      </c>
      <c r="P9" s="41">
        <v>8806521209</v>
      </c>
      <c r="Q9" s="41">
        <v>8806521209</v>
      </c>
      <c r="R9" s="740">
        <v>0</v>
      </c>
      <c r="S9" s="41">
        <v>118340000000</v>
      </c>
      <c r="T9" s="41">
        <v>99728028152</v>
      </c>
      <c r="U9" s="41">
        <v>18611971848</v>
      </c>
      <c r="V9" s="42">
        <v>0.84272459144836909</v>
      </c>
      <c r="W9" s="41">
        <v>98205511054</v>
      </c>
      <c r="X9" s="41">
        <v>1522517098</v>
      </c>
      <c r="Y9" s="42">
        <v>1.5266692084590932E-2</v>
      </c>
      <c r="Z9" s="41">
        <v>92693000847</v>
      </c>
      <c r="AA9" s="41">
        <v>5512510207</v>
      </c>
      <c r="AB9" s="42">
        <v>0.92945787222146214</v>
      </c>
    </row>
    <row r="10" spans="1:28" ht="24" customHeight="1">
      <c r="A10" s="32" t="e">
        <v>#REF!</v>
      </c>
      <c r="B10" s="43" t="s">
        <v>305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4"/>
      <c r="K10" s="45"/>
      <c r="L10" s="43" t="s">
        <v>27</v>
      </c>
      <c r="M10" s="46">
        <v>118340000000</v>
      </c>
      <c r="N10" s="741">
        <v>0</v>
      </c>
      <c r="O10" s="741">
        <v>0</v>
      </c>
      <c r="P10" s="46">
        <v>8806521209</v>
      </c>
      <c r="Q10" s="46">
        <v>8806521209</v>
      </c>
      <c r="R10" s="741">
        <v>0</v>
      </c>
      <c r="S10" s="46">
        <v>118340000000</v>
      </c>
      <c r="T10" s="46">
        <v>99728028152</v>
      </c>
      <c r="U10" s="46">
        <v>18611971848</v>
      </c>
      <c r="V10" s="47">
        <v>0.84272459144836909</v>
      </c>
      <c r="W10" s="46">
        <v>98205511054</v>
      </c>
      <c r="X10" s="46">
        <v>1522517098</v>
      </c>
      <c r="Y10" s="47">
        <v>1.5266692084590932E-2</v>
      </c>
      <c r="Z10" s="46">
        <v>92693000847</v>
      </c>
      <c r="AA10" s="46">
        <v>5512510207</v>
      </c>
      <c r="AB10" s="47">
        <v>0.92945787222146214</v>
      </c>
    </row>
    <row r="11" spans="1:28" ht="24" customHeight="1">
      <c r="A11" s="32" t="e">
        <v>#REF!</v>
      </c>
      <c r="B11" s="48" t="s">
        <v>307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9" t="s">
        <v>28</v>
      </c>
      <c r="K11" s="48" t="s">
        <v>29</v>
      </c>
      <c r="L11" s="48" t="s">
        <v>30</v>
      </c>
      <c r="M11" s="50">
        <v>81484000000</v>
      </c>
      <c r="N11" s="742">
        <v>0</v>
      </c>
      <c r="O11" s="742">
        <v>0</v>
      </c>
      <c r="P11" s="50">
        <v>4640000000</v>
      </c>
      <c r="Q11" s="50">
        <v>7640000000</v>
      </c>
      <c r="R11" s="742">
        <v>0</v>
      </c>
      <c r="S11" s="50">
        <v>78484000000</v>
      </c>
      <c r="T11" s="50">
        <v>66450167267</v>
      </c>
      <c r="U11" s="50">
        <v>12033832733</v>
      </c>
      <c r="V11" s="51">
        <v>0.84667151606696911</v>
      </c>
      <c r="W11" s="50">
        <v>66400705503</v>
      </c>
      <c r="X11" s="50">
        <v>49461764</v>
      </c>
      <c r="Y11" s="51">
        <v>7.4434370949376589E-4</v>
      </c>
      <c r="Z11" s="50">
        <v>60936194162</v>
      </c>
      <c r="AA11" s="50">
        <v>5464511341</v>
      </c>
      <c r="AB11" s="51">
        <v>0.91702092964123649</v>
      </c>
    </row>
    <row r="12" spans="1:28" ht="24" customHeight="1">
      <c r="A12" s="32" t="e">
        <v>#REF!</v>
      </c>
      <c r="B12" s="52" t="s">
        <v>309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3" t="s">
        <v>28</v>
      </c>
      <c r="K12" s="52" t="s">
        <v>29</v>
      </c>
      <c r="L12" s="52" t="s">
        <v>32</v>
      </c>
      <c r="M12" s="54">
        <v>81484000000</v>
      </c>
      <c r="N12" s="743">
        <v>0</v>
      </c>
      <c r="O12" s="743">
        <v>0</v>
      </c>
      <c r="P12" s="54">
        <v>4640000000</v>
      </c>
      <c r="Q12" s="54">
        <v>7640000000</v>
      </c>
      <c r="R12" s="743">
        <v>0</v>
      </c>
      <c r="S12" s="54">
        <v>78484000000</v>
      </c>
      <c r="T12" s="54">
        <v>66450167267</v>
      </c>
      <c r="U12" s="54">
        <v>12033832733</v>
      </c>
      <c r="V12" s="55">
        <v>0.84667151606696911</v>
      </c>
      <c r="W12" s="54">
        <v>66400705503</v>
      </c>
      <c r="X12" s="54">
        <v>49461764</v>
      </c>
      <c r="Y12" s="55">
        <v>7.4434370949376589E-4</v>
      </c>
      <c r="Z12" s="54">
        <v>60936194162</v>
      </c>
      <c r="AA12" s="54">
        <v>5464511341</v>
      </c>
      <c r="AB12" s="55">
        <v>0.91702092964123649</v>
      </c>
    </row>
    <row r="13" spans="1:28" ht="24.95" customHeight="1">
      <c r="A13" s="32" t="e">
        <v>#REF!</v>
      </c>
      <c r="B13" s="56" t="s">
        <v>311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67075000000</v>
      </c>
      <c r="N13" s="60"/>
      <c r="O13" s="60"/>
      <c r="P13" s="60"/>
      <c r="Q13" s="60">
        <v>7240000000</v>
      </c>
      <c r="R13" s="61"/>
      <c r="S13" s="60">
        <v>59835000000</v>
      </c>
      <c r="T13" s="60">
        <v>52499498236</v>
      </c>
      <c r="U13" s="60">
        <v>7335501764</v>
      </c>
      <c r="V13" s="62">
        <v>0.87740449964067857</v>
      </c>
      <c r="W13" s="60">
        <v>52468932769</v>
      </c>
      <c r="X13" s="60">
        <v>30565467</v>
      </c>
      <c r="Y13" s="62">
        <v>5.8220493579956968E-4</v>
      </c>
      <c r="Z13" s="60">
        <v>52449916656</v>
      </c>
      <c r="AA13" s="60">
        <v>19016113</v>
      </c>
      <c r="AB13" s="62">
        <v>0.99905557992617156</v>
      </c>
    </row>
    <row r="14" spans="1:28" ht="24.95" customHeight="1">
      <c r="A14" s="32" t="e">
        <v>#REF!</v>
      </c>
      <c r="B14" s="56" t="s">
        <v>313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298000000</v>
      </c>
      <c r="N14" s="60"/>
      <c r="O14" s="60"/>
      <c r="P14" s="60"/>
      <c r="Q14" s="60"/>
      <c r="R14" s="60"/>
      <c r="S14" s="60">
        <v>298000000</v>
      </c>
      <c r="T14" s="60">
        <v>235014747</v>
      </c>
      <c r="U14" s="60">
        <v>62985253</v>
      </c>
      <c r="V14" s="62">
        <v>0.78864009060402684</v>
      </c>
      <c r="W14" s="60">
        <v>233357650</v>
      </c>
      <c r="X14" s="60">
        <v>1657097</v>
      </c>
      <c r="Y14" s="62">
        <v>7.0510341208502971E-3</v>
      </c>
      <c r="Z14" s="60">
        <v>233357650</v>
      </c>
      <c r="AA14" s="60">
        <v>0</v>
      </c>
      <c r="AB14" s="62">
        <v>0.99294896587914971</v>
      </c>
    </row>
    <row r="15" spans="1:28" ht="24.95" customHeight="1">
      <c r="A15" s="32" t="e">
        <v>#REF!</v>
      </c>
      <c r="B15" s="56" t="s">
        <v>315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540000000</v>
      </c>
      <c r="N15" s="60"/>
      <c r="O15" s="60"/>
      <c r="P15" s="60"/>
      <c r="Q15" s="60"/>
      <c r="R15" s="60"/>
      <c r="S15" s="60">
        <v>540000000</v>
      </c>
      <c r="T15" s="60">
        <v>394146586</v>
      </c>
      <c r="U15" s="60">
        <v>145853414</v>
      </c>
      <c r="V15" s="62">
        <v>0.72990108518518515</v>
      </c>
      <c r="W15" s="60">
        <v>392119777</v>
      </c>
      <c r="X15" s="60">
        <v>2026809</v>
      </c>
      <c r="Y15" s="62">
        <v>5.1422721190333993E-3</v>
      </c>
      <c r="Z15" s="60">
        <v>392119777</v>
      </c>
      <c r="AA15" s="60">
        <v>0</v>
      </c>
      <c r="AB15" s="62">
        <v>0.9948577278809666</v>
      </c>
    </row>
    <row r="16" spans="1:28" ht="24.95" customHeight="1">
      <c r="A16" s="32" t="e">
        <v>#REF!</v>
      </c>
      <c r="B16" s="56" t="s">
        <v>317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96000000</v>
      </c>
      <c r="N16" s="60"/>
      <c r="O16" s="60"/>
      <c r="P16" s="60"/>
      <c r="Q16" s="60"/>
      <c r="R16" s="60"/>
      <c r="S16" s="60">
        <v>96000000</v>
      </c>
      <c r="T16" s="60">
        <v>81292973</v>
      </c>
      <c r="U16" s="60">
        <v>14707027</v>
      </c>
      <c r="V16" s="62">
        <v>0.84680180208333333</v>
      </c>
      <c r="W16" s="60">
        <v>81292973</v>
      </c>
      <c r="X16" s="60">
        <v>0</v>
      </c>
      <c r="Y16" s="62">
        <v>0</v>
      </c>
      <c r="Z16" s="60">
        <v>81292973</v>
      </c>
      <c r="AA16" s="60">
        <v>0</v>
      </c>
      <c r="AB16" s="62">
        <v>1</v>
      </c>
    </row>
    <row r="17" spans="1:54" ht="24.95" customHeight="1">
      <c r="A17" s="32" t="e">
        <v>#REF!</v>
      </c>
      <c r="B17" s="56" t="s">
        <v>319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100000000</v>
      </c>
      <c r="N17" s="60"/>
      <c r="O17" s="60"/>
      <c r="P17" s="60">
        <v>50000000</v>
      </c>
      <c r="Q17" s="60"/>
      <c r="R17" s="60"/>
      <c r="S17" s="60">
        <v>150000000</v>
      </c>
      <c r="T17" s="60">
        <v>119507098</v>
      </c>
      <c r="U17" s="60">
        <v>30492902</v>
      </c>
      <c r="V17" s="62">
        <v>0.79671398666666671</v>
      </c>
      <c r="W17" s="60">
        <v>111801085</v>
      </c>
      <c r="X17" s="60">
        <v>7706013</v>
      </c>
      <c r="Y17" s="62">
        <v>6.4481634387942383E-2</v>
      </c>
      <c r="Z17" s="60">
        <v>111801085</v>
      </c>
      <c r="AA17" s="60">
        <v>0</v>
      </c>
      <c r="AB17" s="62">
        <v>0.93551836561205759</v>
      </c>
    </row>
    <row r="18" spans="1:54" ht="24.95" customHeight="1">
      <c r="A18" s="32" t="e">
        <v>#REF!</v>
      </c>
      <c r="B18" s="56" t="s">
        <v>321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2650000000</v>
      </c>
      <c r="N18" s="60"/>
      <c r="O18" s="60"/>
      <c r="P18" s="60">
        <v>400000000</v>
      </c>
      <c r="Q18" s="60"/>
      <c r="R18" s="60"/>
      <c r="S18" s="60">
        <v>3050000000</v>
      </c>
      <c r="T18" s="60">
        <v>2800053550</v>
      </c>
      <c r="U18" s="60">
        <v>249946450</v>
      </c>
      <c r="V18" s="62">
        <v>0.91805034426229504</v>
      </c>
      <c r="W18" s="60">
        <v>2796628665</v>
      </c>
      <c r="X18" s="60">
        <v>3424885</v>
      </c>
      <c r="Y18" s="62">
        <v>1.2231498215453773E-3</v>
      </c>
      <c r="Z18" s="60">
        <v>2794499173</v>
      </c>
      <c r="AA18" s="60">
        <v>2129492</v>
      </c>
      <c r="AB18" s="62">
        <v>0.99801633186622452</v>
      </c>
    </row>
    <row r="19" spans="1:54" ht="24.95" customHeight="1">
      <c r="A19" s="32" t="e">
        <v>#REF!</v>
      </c>
      <c r="B19" s="56" t="s">
        <v>323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1850000000</v>
      </c>
      <c r="N19" s="60"/>
      <c r="O19" s="60"/>
      <c r="P19" s="60">
        <v>80000000</v>
      </c>
      <c r="Q19" s="60"/>
      <c r="R19" s="60"/>
      <c r="S19" s="60">
        <v>1930000000</v>
      </c>
      <c r="T19" s="60">
        <v>1718372816</v>
      </c>
      <c r="U19" s="60">
        <v>211627184</v>
      </c>
      <c r="V19" s="62">
        <v>0.8903486093264249</v>
      </c>
      <c r="W19" s="60">
        <v>1718372816</v>
      </c>
      <c r="X19" s="60">
        <v>0</v>
      </c>
      <c r="Y19" s="62">
        <v>0</v>
      </c>
      <c r="Z19" s="60">
        <v>1715329263</v>
      </c>
      <c r="AA19" s="60">
        <v>3043553</v>
      </c>
      <c r="AB19" s="62">
        <v>0.99822881683668352</v>
      </c>
    </row>
    <row r="20" spans="1:54" ht="24.95" customHeight="1">
      <c r="A20" s="32" t="e">
        <v>#REF!</v>
      </c>
      <c r="B20" s="56" t="s">
        <v>325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140000000</v>
      </c>
      <c r="N20" s="60"/>
      <c r="O20" s="60"/>
      <c r="P20" s="60">
        <v>10000000</v>
      </c>
      <c r="Q20" s="60"/>
      <c r="R20" s="60"/>
      <c r="S20" s="60">
        <v>150000000</v>
      </c>
      <c r="T20" s="60">
        <v>119733842</v>
      </c>
      <c r="U20" s="60">
        <v>30266158</v>
      </c>
      <c r="V20" s="62">
        <v>0.79822561333333331</v>
      </c>
      <c r="W20" s="60">
        <v>119733842</v>
      </c>
      <c r="X20" s="60">
        <v>0</v>
      </c>
      <c r="Y20" s="62">
        <v>0</v>
      </c>
      <c r="Z20" s="60">
        <v>119733842</v>
      </c>
      <c r="AA20" s="60">
        <v>0</v>
      </c>
      <c r="AB20" s="62">
        <v>1</v>
      </c>
    </row>
    <row r="21" spans="1:54" ht="24.95" customHeight="1">
      <c r="A21" s="32" t="e">
        <v>#REF!</v>
      </c>
      <c r="B21" s="56" t="s">
        <v>327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0">
        <v>3600000000</v>
      </c>
      <c r="Q21" s="60">
        <v>400000000</v>
      </c>
      <c r="R21" s="60"/>
      <c r="S21" s="60">
        <v>9100000000</v>
      </c>
      <c r="T21" s="60">
        <v>5795333084</v>
      </c>
      <c r="U21" s="60">
        <v>3304666916</v>
      </c>
      <c r="V21" s="62">
        <v>0.63684978945054949</v>
      </c>
      <c r="W21" s="60">
        <v>5795333084</v>
      </c>
      <c r="X21" s="60">
        <v>0</v>
      </c>
      <c r="Y21" s="62">
        <v>0</v>
      </c>
      <c r="Z21" s="60">
        <v>366332260</v>
      </c>
      <c r="AA21" s="60">
        <v>5429000824</v>
      </c>
      <c r="AB21" s="62">
        <v>6.3211597105848075E-2</v>
      </c>
    </row>
    <row r="22" spans="1:54" ht="24.95" customHeight="1">
      <c r="A22" s="32" t="e">
        <v>#REF!</v>
      </c>
      <c r="B22" s="56" t="s">
        <v>329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2800000000</v>
      </c>
      <c r="N22" s="60"/>
      <c r="O22" s="60"/>
      <c r="P22" s="60">
        <v>500000000</v>
      </c>
      <c r="Q22" s="60"/>
      <c r="R22" s="60"/>
      <c r="S22" s="60">
        <v>3300000000</v>
      </c>
      <c r="T22" s="60">
        <v>2676129863</v>
      </c>
      <c r="U22" s="60">
        <v>623870137</v>
      </c>
      <c r="V22" s="62">
        <v>0.81094844333333338</v>
      </c>
      <c r="W22" s="60">
        <v>2676129863</v>
      </c>
      <c r="X22" s="60">
        <v>0</v>
      </c>
      <c r="Y22" s="62">
        <v>0</v>
      </c>
      <c r="Z22" s="60">
        <v>2664808504</v>
      </c>
      <c r="AA22" s="60">
        <v>11321359</v>
      </c>
      <c r="AB22" s="62">
        <v>0.9957695031334135</v>
      </c>
    </row>
    <row r="23" spans="1:54" s="64" customFormat="1" ht="24.95" customHeight="1">
      <c r="A23" s="32" t="e">
        <v>#REF!</v>
      </c>
      <c r="B23" s="56" t="s">
        <v>553</v>
      </c>
      <c r="C23" s="57" t="s">
        <v>23</v>
      </c>
      <c r="D23" s="57" t="s">
        <v>25</v>
      </c>
      <c r="E23" s="57" t="s">
        <v>25</v>
      </c>
      <c r="F23" s="57" t="s">
        <v>25</v>
      </c>
      <c r="G23" s="57" t="s">
        <v>31</v>
      </c>
      <c r="H23" s="63" t="s">
        <v>52</v>
      </c>
      <c r="I23" s="57"/>
      <c r="J23" s="57" t="s">
        <v>28</v>
      </c>
      <c r="K23" s="58" t="s">
        <v>29</v>
      </c>
      <c r="L23" s="59" t="s">
        <v>53</v>
      </c>
      <c r="M23" s="60">
        <v>35000000</v>
      </c>
      <c r="N23" s="60"/>
      <c r="O23" s="60"/>
      <c r="P23" s="60"/>
      <c r="Q23" s="60"/>
      <c r="R23" s="60"/>
      <c r="S23" s="60">
        <v>35000000</v>
      </c>
      <c r="T23" s="60">
        <v>11084472</v>
      </c>
      <c r="U23" s="60">
        <v>23915528</v>
      </c>
      <c r="V23" s="62">
        <v>0.31669920000000001</v>
      </c>
      <c r="W23" s="60">
        <v>7002979</v>
      </c>
      <c r="X23" s="60">
        <v>4081493</v>
      </c>
      <c r="Y23" s="62">
        <v>0.36821717804871534</v>
      </c>
      <c r="Z23" s="60">
        <v>7002979</v>
      </c>
      <c r="AA23" s="60">
        <v>0</v>
      </c>
      <c r="AB23" s="62">
        <v>0.63178282195128466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24" customHeight="1">
      <c r="A24" s="32" t="e">
        <v>#REF!</v>
      </c>
      <c r="B24" s="48" t="s">
        <v>331</v>
      </c>
      <c r="C24" s="48" t="s">
        <v>23</v>
      </c>
      <c r="D24" s="48" t="s">
        <v>25</v>
      </c>
      <c r="E24" s="48" t="s">
        <v>25</v>
      </c>
      <c r="F24" s="48" t="s">
        <v>54</v>
      </c>
      <c r="G24" s="48"/>
      <c r="H24" s="48"/>
      <c r="I24" s="48"/>
      <c r="J24" s="49" t="s">
        <v>28</v>
      </c>
      <c r="K24" s="48" t="s">
        <v>29</v>
      </c>
      <c r="L24" s="48" t="s">
        <v>55</v>
      </c>
      <c r="M24" s="50">
        <v>29242000000</v>
      </c>
      <c r="N24" s="742">
        <v>0</v>
      </c>
      <c r="O24" s="742">
        <v>0</v>
      </c>
      <c r="P24" s="50">
        <v>700000000</v>
      </c>
      <c r="Q24" s="50">
        <v>700000000</v>
      </c>
      <c r="R24" s="742">
        <v>0</v>
      </c>
      <c r="S24" s="50">
        <v>29242000000</v>
      </c>
      <c r="T24" s="50">
        <v>25280572900</v>
      </c>
      <c r="U24" s="50">
        <v>3961427100</v>
      </c>
      <c r="V24" s="51">
        <v>0.86452954312290542</v>
      </c>
      <c r="W24" s="50">
        <v>23807517566</v>
      </c>
      <c r="X24" s="50">
        <v>1473055334</v>
      </c>
      <c r="Y24" s="51">
        <v>5.8268273421920751E-2</v>
      </c>
      <c r="Z24" s="50">
        <v>23807517566</v>
      </c>
      <c r="AA24" s="50">
        <v>0</v>
      </c>
      <c r="AB24" s="51">
        <v>0.94173172657807924</v>
      </c>
    </row>
    <row r="25" spans="1:54" ht="24.95" customHeight="1">
      <c r="A25" s="32" t="e">
        <v>#REF!</v>
      </c>
      <c r="B25" s="56" t="s">
        <v>333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31</v>
      </c>
      <c r="H25" s="57"/>
      <c r="I25" s="57"/>
      <c r="J25" s="57" t="s">
        <v>28</v>
      </c>
      <c r="K25" s="58" t="s">
        <v>29</v>
      </c>
      <c r="L25" s="59" t="s">
        <v>56</v>
      </c>
      <c r="M25" s="60">
        <v>8897400000</v>
      </c>
      <c r="N25" s="60"/>
      <c r="O25" s="60"/>
      <c r="P25" s="60"/>
      <c r="Q25" s="60">
        <v>700000000</v>
      </c>
      <c r="R25" s="61"/>
      <c r="S25" s="60">
        <v>8197400000</v>
      </c>
      <c r="T25" s="60">
        <v>7065836100</v>
      </c>
      <c r="U25" s="60">
        <v>1131563900</v>
      </c>
      <c r="V25" s="62">
        <v>0.86196063385951638</v>
      </c>
      <c r="W25" s="60">
        <v>7065836100</v>
      </c>
      <c r="X25" s="60">
        <v>0</v>
      </c>
      <c r="Y25" s="62">
        <v>0</v>
      </c>
      <c r="Z25" s="60">
        <v>7065836100</v>
      </c>
      <c r="AA25" s="60">
        <v>0</v>
      </c>
      <c r="AB25" s="62">
        <v>1</v>
      </c>
    </row>
    <row r="26" spans="1:54" ht="24.95" customHeight="1">
      <c r="A26" s="32" t="e">
        <v>#REF!</v>
      </c>
      <c r="B26" s="56" t="s">
        <v>335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34</v>
      </c>
      <c r="H26" s="57"/>
      <c r="I26" s="57"/>
      <c r="J26" s="57" t="s">
        <v>28</v>
      </c>
      <c r="K26" s="58" t="s">
        <v>29</v>
      </c>
      <c r="L26" s="59" t="s">
        <v>57</v>
      </c>
      <c r="M26" s="60">
        <v>6302400000</v>
      </c>
      <c r="N26" s="60"/>
      <c r="O26" s="60"/>
      <c r="P26" s="60"/>
      <c r="Q26" s="60"/>
      <c r="R26" s="61"/>
      <c r="S26" s="60">
        <v>6302400000</v>
      </c>
      <c r="T26" s="60">
        <v>5028915200</v>
      </c>
      <c r="U26" s="60">
        <v>1273484800</v>
      </c>
      <c r="V26" s="62">
        <v>0.79793653211474991</v>
      </c>
      <c r="W26" s="60">
        <v>5028915200</v>
      </c>
      <c r="X26" s="60">
        <v>0</v>
      </c>
      <c r="Y26" s="62">
        <v>0</v>
      </c>
      <c r="Z26" s="60">
        <v>5028915200</v>
      </c>
      <c r="AA26" s="60">
        <v>0</v>
      </c>
      <c r="AB26" s="62">
        <v>1</v>
      </c>
    </row>
    <row r="27" spans="1:54" ht="24.95" customHeight="1">
      <c r="A27" s="32" t="e">
        <v>#REF!</v>
      </c>
      <c r="B27" s="56" t="s">
        <v>337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36</v>
      </c>
      <c r="H27" s="57"/>
      <c r="I27" s="57"/>
      <c r="J27" s="57" t="s">
        <v>28</v>
      </c>
      <c r="K27" s="58" t="s">
        <v>29</v>
      </c>
      <c r="L27" s="59" t="s">
        <v>58</v>
      </c>
      <c r="M27" s="60">
        <v>6109700000</v>
      </c>
      <c r="N27" s="60"/>
      <c r="O27" s="60"/>
      <c r="P27" s="60">
        <v>700000000</v>
      </c>
      <c r="Q27" s="60"/>
      <c r="R27" s="61"/>
      <c r="S27" s="60">
        <v>6809700000</v>
      </c>
      <c r="T27" s="60">
        <v>6809700000</v>
      </c>
      <c r="U27" s="60">
        <v>0</v>
      </c>
      <c r="V27" s="62">
        <v>1</v>
      </c>
      <c r="W27" s="60">
        <v>5336644666</v>
      </c>
      <c r="X27" s="60">
        <v>1473055334</v>
      </c>
      <c r="Y27" s="62">
        <v>0.21631721426788258</v>
      </c>
      <c r="Z27" s="60">
        <v>5336644666</v>
      </c>
      <c r="AA27" s="60">
        <v>0</v>
      </c>
      <c r="AB27" s="62">
        <v>0.78368278573211747</v>
      </c>
    </row>
    <row r="28" spans="1:54" ht="24.95" customHeight="1">
      <c r="A28" s="32" t="e">
        <v>#REF!</v>
      </c>
      <c r="B28" s="56" t="s">
        <v>339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38</v>
      </c>
      <c r="H28" s="57"/>
      <c r="I28" s="57"/>
      <c r="J28" s="57" t="s">
        <v>28</v>
      </c>
      <c r="K28" s="58" t="s">
        <v>29</v>
      </c>
      <c r="L28" s="59" t="s">
        <v>59</v>
      </c>
      <c r="M28" s="60">
        <v>3187700000</v>
      </c>
      <c r="N28" s="60"/>
      <c r="O28" s="60"/>
      <c r="P28" s="60"/>
      <c r="Q28" s="60"/>
      <c r="R28" s="61"/>
      <c r="S28" s="60">
        <v>3187700000</v>
      </c>
      <c r="T28" s="60">
        <v>2586706600</v>
      </c>
      <c r="U28" s="60">
        <v>600993400</v>
      </c>
      <c r="V28" s="62">
        <v>0.8114648806349406</v>
      </c>
      <c r="W28" s="60">
        <v>2586706600</v>
      </c>
      <c r="X28" s="60">
        <v>0</v>
      </c>
      <c r="Y28" s="62">
        <v>0</v>
      </c>
      <c r="Z28" s="60">
        <v>2586706600</v>
      </c>
      <c r="AA28" s="60">
        <v>0</v>
      </c>
      <c r="AB28" s="62">
        <v>1</v>
      </c>
    </row>
    <row r="29" spans="1:54" ht="24.95" customHeight="1">
      <c r="A29" s="32" t="e">
        <v>#REF!</v>
      </c>
      <c r="B29" s="56" t="s">
        <v>341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40</v>
      </c>
      <c r="H29" s="57"/>
      <c r="I29" s="57"/>
      <c r="J29" s="57" t="s">
        <v>28</v>
      </c>
      <c r="K29" s="58" t="s">
        <v>29</v>
      </c>
      <c r="L29" s="59" t="s">
        <v>60</v>
      </c>
      <c r="M29" s="60">
        <v>720000000</v>
      </c>
      <c r="N29" s="60"/>
      <c r="O29" s="60"/>
      <c r="P29" s="60"/>
      <c r="Q29" s="60"/>
      <c r="R29" s="61"/>
      <c r="S29" s="60">
        <v>720000000</v>
      </c>
      <c r="T29" s="60">
        <v>554593900</v>
      </c>
      <c r="U29" s="60">
        <v>165406100</v>
      </c>
      <c r="V29" s="62">
        <v>0.77026930555555551</v>
      </c>
      <c r="W29" s="60">
        <v>554593900</v>
      </c>
      <c r="X29" s="60">
        <v>0</v>
      </c>
      <c r="Y29" s="62">
        <v>0</v>
      </c>
      <c r="Z29" s="60">
        <v>554593900</v>
      </c>
      <c r="AA29" s="60">
        <v>0</v>
      </c>
      <c r="AB29" s="62">
        <v>1</v>
      </c>
    </row>
    <row r="30" spans="1:54" ht="24.95" customHeight="1">
      <c r="A30" s="32" t="e">
        <v>#REF!</v>
      </c>
      <c r="B30" s="56" t="s">
        <v>343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42</v>
      </c>
      <c r="H30" s="57"/>
      <c r="I30" s="57"/>
      <c r="J30" s="57" t="s">
        <v>28</v>
      </c>
      <c r="K30" s="58" t="s">
        <v>29</v>
      </c>
      <c r="L30" s="59" t="s">
        <v>61</v>
      </c>
      <c r="M30" s="60">
        <v>2414800000</v>
      </c>
      <c r="N30" s="60"/>
      <c r="O30" s="60"/>
      <c r="P30" s="60"/>
      <c r="Q30" s="60"/>
      <c r="R30" s="61"/>
      <c r="S30" s="60">
        <v>2414800000</v>
      </c>
      <c r="T30" s="60">
        <v>1940114300</v>
      </c>
      <c r="U30" s="60">
        <v>474685700</v>
      </c>
      <c r="V30" s="62">
        <v>0.80342649494782181</v>
      </c>
      <c r="W30" s="60">
        <v>1940114300</v>
      </c>
      <c r="X30" s="60">
        <v>0</v>
      </c>
      <c r="Y30" s="62">
        <v>0</v>
      </c>
      <c r="Z30" s="60">
        <v>1940114300</v>
      </c>
      <c r="AA30" s="60">
        <v>0</v>
      </c>
      <c r="AB30" s="62">
        <v>1</v>
      </c>
    </row>
    <row r="31" spans="1:54" ht="24.95" customHeight="1">
      <c r="A31" s="32" t="e">
        <v>#REF!</v>
      </c>
      <c r="B31" s="56" t="s">
        <v>345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44</v>
      </c>
      <c r="H31" s="57"/>
      <c r="I31" s="57"/>
      <c r="J31" s="57" t="s">
        <v>28</v>
      </c>
      <c r="K31" s="58" t="s">
        <v>29</v>
      </c>
      <c r="L31" s="59" t="s">
        <v>62</v>
      </c>
      <c r="M31" s="60">
        <v>402500000</v>
      </c>
      <c r="N31" s="60"/>
      <c r="O31" s="60"/>
      <c r="P31" s="60"/>
      <c r="Q31" s="60"/>
      <c r="R31" s="61"/>
      <c r="S31" s="60">
        <v>402500000</v>
      </c>
      <c r="T31" s="60">
        <v>323796800</v>
      </c>
      <c r="U31" s="60">
        <v>78703200</v>
      </c>
      <c r="V31" s="62">
        <v>0.80446409937888197</v>
      </c>
      <c r="W31" s="60">
        <v>323796800</v>
      </c>
      <c r="X31" s="60">
        <v>0</v>
      </c>
      <c r="Y31" s="62">
        <v>0</v>
      </c>
      <c r="Z31" s="60">
        <v>323796800</v>
      </c>
      <c r="AA31" s="60">
        <v>0</v>
      </c>
      <c r="AB31" s="62">
        <v>1</v>
      </c>
    </row>
    <row r="32" spans="1:54" ht="24.95" customHeight="1">
      <c r="A32" s="32" t="e">
        <v>#REF!</v>
      </c>
      <c r="B32" s="56" t="s">
        <v>347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46</v>
      </c>
      <c r="H32" s="57"/>
      <c r="I32" s="57"/>
      <c r="J32" s="57" t="s">
        <v>28</v>
      </c>
      <c r="K32" s="58" t="s">
        <v>29</v>
      </c>
      <c r="L32" s="59" t="s">
        <v>63</v>
      </c>
      <c r="M32" s="60">
        <v>402500000</v>
      </c>
      <c r="N32" s="60"/>
      <c r="O32" s="60"/>
      <c r="P32" s="60"/>
      <c r="Q32" s="60"/>
      <c r="R32" s="61"/>
      <c r="S32" s="60">
        <v>402500000</v>
      </c>
      <c r="T32" s="60">
        <v>323796800</v>
      </c>
      <c r="U32" s="60">
        <v>78703200</v>
      </c>
      <c r="V32" s="62">
        <v>0.80446409937888197</v>
      </c>
      <c r="W32" s="60">
        <v>323796800</v>
      </c>
      <c r="X32" s="60">
        <v>0</v>
      </c>
      <c r="Y32" s="62">
        <v>0</v>
      </c>
      <c r="Z32" s="60">
        <v>323796800</v>
      </c>
      <c r="AA32" s="60">
        <v>0</v>
      </c>
      <c r="AB32" s="62">
        <v>1</v>
      </c>
    </row>
    <row r="33" spans="1:28" ht="24.95" customHeight="1">
      <c r="A33" s="32" t="e">
        <v>#REF!</v>
      </c>
      <c r="B33" s="56" t="s">
        <v>349</v>
      </c>
      <c r="C33" s="57" t="s">
        <v>23</v>
      </c>
      <c r="D33" s="57" t="s">
        <v>25</v>
      </c>
      <c r="E33" s="57" t="s">
        <v>25</v>
      </c>
      <c r="F33" s="57" t="s">
        <v>54</v>
      </c>
      <c r="G33" s="57" t="s">
        <v>48</v>
      </c>
      <c r="H33" s="57"/>
      <c r="I33" s="57"/>
      <c r="J33" s="57" t="s">
        <v>28</v>
      </c>
      <c r="K33" s="58" t="s">
        <v>29</v>
      </c>
      <c r="L33" s="59" t="s">
        <v>64</v>
      </c>
      <c r="M33" s="60">
        <v>805000000</v>
      </c>
      <c r="N33" s="60"/>
      <c r="O33" s="60"/>
      <c r="P33" s="60"/>
      <c r="Q33" s="60"/>
      <c r="R33" s="61"/>
      <c r="S33" s="60">
        <v>805000000</v>
      </c>
      <c r="T33" s="60">
        <v>647113200</v>
      </c>
      <c r="U33" s="60">
        <v>157886800</v>
      </c>
      <c r="V33" s="62">
        <v>0.80386732919254655</v>
      </c>
      <c r="W33" s="60">
        <v>647113200</v>
      </c>
      <c r="X33" s="60">
        <v>0</v>
      </c>
      <c r="Y33" s="62">
        <v>0</v>
      </c>
      <c r="Z33" s="60">
        <v>647113200</v>
      </c>
      <c r="AA33" s="60">
        <v>0</v>
      </c>
      <c r="AB33" s="62">
        <v>1</v>
      </c>
    </row>
    <row r="34" spans="1:28" ht="24" customHeight="1">
      <c r="A34" s="32" t="e">
        <v>#REF!</v>
      </c>
      <c r="B34" s="48" t="s">
        <v>351</v>
      </c>
      <c r="C34" s="48" t="s">
        <v>23</v>
      </c>
      <c r="D34" s="48" t="s">
        <v>25</v>
      </c>
      <c r="E34" s="48" t="s">
        <v>25</v>
      </c>
      <c r="F34" s="48" t="s">
        <v>65</v>
      </c>
      <c r="G34" s="48"/>
      <c r="H34" s="48"/>
      <c r="I34" s="48"/>
      <c r="J34" s="49" t="s">
        <v>28</v>
      </c>
      <c r="K34" s="48" t="s">
        <v>29</v>
      </c>
      <c r="L34" s="48" t="s">
        <v>66</v>
      </c>
      <c r="M34" s="50">
        <v>7614000000</v>
      </c>
      <c r="N34" s="742">
        <v>0</v>
      </c>
      <c r="O34" s="742">
        <v>0</v>
      </c>
      <c r="P34" s="50">
        <v>3466521209</v>
      </c>
      <c r="Q34" s="50">
        <v>466521209</v>
      </c>
      <c r="R34" s="742">
        <v>0</v>
      </c>
      <c r="S34" s="50">
        <v>10614000000</v>
      </c>
      <c r="T34" s="50">
        <v>7997287985</v>
      </c>
      <c r="U34" s="50">
        <v>2616712015</v>
      </c>
      <c r="V34" s="51">
        <v>0.75346598690408895</v>
      </c>
      <c r="W34" s="50">
        <v>7997287985</v>
      </c>
      <c r="X34" s="50">
        <v>0</v>
      </c>
      <c r="Y34" s="51">
        <v>0</v>
      </c>
      <c r="Z34" s="50">
        <v>7949289119</v>
      </c>
      <c r="AA34" s="50">
        <v>47998866</v>
      </c>
      <c r="AB34" s="51">
        <v>0.99399810709705239</v>
      </c>
    </row>
    <row r="35" spans="1:28" ht="24" customHeight="1">
      <c r="A35" s="32" t="e">
        <v>#REF!</v>
      </c>
      <c r="B35" s="52" t="s">
        <v>353</v>
      </c>
      <c r="C35" s="52" t="s">
        <v>23</v>
      </c>
      <c r="D35" s="52" t="s">
        <v>25</v>
      </c>
      <c r="E35" s="52" t="s">
        <v>25</v>
      </c>
      <c r="F35" s="52" t="s">
        <v>65</v>
      </c>
      <c r="G35" s="52" t="s">
        <v>31</v>
      </c>
      <c r="H35" s="52"/>
      <c r="I35" s="52"/>
      <c r="J35" s="53" t="s">
        <v>28</v>
      </c>
      <c r="K35" s="52" t="s">
        <v>29</v>
      </c>
      <c r="L35" s="52" t="s">
        <v>67</v>
      </c>
      <c r="M35" s="54">
        <v>3537000000</v>
      </c>
      <c r="N35" s="743">
        <v>0</v>
      </c>
      <c r="O35" s="743">
        <v>0</v>
      </c>
      <c r="P35" s="54">
        <v>2381792279</v>
      </c>
      <c r="Q35" s="54">
        <v>70488177</v>
      </c>
      <c r="R35" s="743">
        <v>0</v>
      </c>
      <c r="S35" s="54">
        <v>5848304102</v>
      </c>
      <c r="T35" s="54">
        <v>4306500077</v>
      </c>
      <c r="U35" s="54">
        <v>1541804025</v>
      </c>
      <c r="V35" s="55">
        <v>0.73636733006535438</v>
      </c>
      <c r="W35" s="54">
        <v>4306500077</v>
      </c>
      <c r="X35" s="54">
        <v>0</v>
      </c>
      <c r="Y35" s="55">
        <v>0</v>
      </c>
      <c r="Z35" s="54">
        <v>4284059357</v>
      </c>
      <c r="AA35" s="54">
        <v>22440720</v>
      </c>
      <c r="AB35" s="55">
        <v>0.99478910493468919</v>
      </c>
    </row>
    <row r="36" spans="1:28" ht="24.95" customHeight="1">
      <c r="A36" s="32" t="e">
        <v>#REF!</v>
      </c>
      <c r="B36" s="56" t="s">
        <v>355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31</v>
      </c>
      <c r="I36" s="57"/>
      <c r="J36" s="57" t="s">
        <v>28</v>
      </c>
      <c r="K36" s="58" t="s">
        <v>29</v>
      </c>
      <c r="L36" s="59" t="s">
        <v>68</v>
      </c>
      <c r="M36" s="60">
        <v>2737000000</v>
      </c>
      <c r="N36" s="60"/>
      <c r="O36" s="60"/>
      <c r="P36" s="60">
        <v>1681792279</v>
      </c>
      <c r="Q36" s="60"/>
      <c r="R36" s="61"/>
      <c r="S36" s="60">
        <v>4418792279</v>
      </c>
      <c r="T36" s="60">
        <v>3224218499</v>
      </c>
      <c r="U36" s="60">
        <v>1194573780</v>
      </c>
      <c r="V36" s="62">
        <v>0.72966057135631202</v>
      </c>
      <c r="W36" s="60">
        <v>3224218499</v>
      </c>
      <c r="X36" s="60">
        <v>0</v>
      </c>
      <c r="Y36" s="62">
        <v>0</v>
      </c>
      <c r="Z36" s="60">
        <v>3224218499</v>
      </c>
      <c r="AA36" s="60">
        <v>0</v>
      </c>
      <c r="AB36" s="62">
        <v>1</v>
      </c>
    </row>
    <row r="37" spans="1:28" ht="24.95" customHeight="1">
      <c r="A37" s="32" t="e">
        <v>#REF!</v>
      </c>
      <c r="B37" s="56" t="s">
        <v>357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34</v>
      </c>
      <c r="I37" s="57"/>
      <c r="J37" s="57" t="s">
        <v>28</v>
      </c>
      <c r="K37" s="58" t="s">
        <v>29</v>
      </c>
      <c r="L37" s="59" t="s">
        <v>69</v>
      </c>
      <c r="M37" s="60">
        <v>450000000</v>
      </c>
      <c r="N37" s="60"/>
      <c r="O37" s="60"/>
      <c r="P37" s="60">
        <v>600000000</v>
      </c>
      <c r="Q37" s="60">
        <v>47515919</v>
      </c>
      <c r="R37" s="61"/>
      <c r="S37" s="60">
        <v>1002484081</v>
      </c>
      <c r="T37" s="60">
        <v>756377216</v>
      </c>
      <c r="U37" s="60">
        <v>246106865</v>
      </c>
      <c r="V37" s="62">
        <v>0.75450296950899909</v>
      </c>
      <c r="W37" s="60">
        <v>756377216</v>
      </c>
      <c r="X37" s="60">
        <v>0</v>
      </c>
      <c r="Y37" s="62">
        <v>0</v>
      </c>
      <c r="Z37" s="60">
        <v>734426587</v>
      </c>
      <c r="AA37" s="60">
        <v>21950629</v>
      </c>
      <c r="AB37" s="62">
        <v>0.97097925673107532</v>
      </c>
    </row>
    <row r="38" spans="1:28" ht="24.95" customHeight="1">
      <c r="A38" s="32" t="e">
        <v>#REF!</v>
      </c>
      <c r="B38" s="56" t="s">
        <v>359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31</v>
      </c>
      <c r="H38" s="57" t="s">
        <v>36</v>
      </c>
      <c r="I38" s="57"/>
      <c r="J38" s="57" t="s">
        <v>28</v>
      </c>
      <c r="K38" s="58" t="s">
        <v>29</v>
      </c>
      <c r="L38" s="59" t="s">
        <v>70</v>
      </c>
      <c r="M38" s="60">
        <v>350000000</v>
      </c>
      <c r="N38" s="60"/>
      <c r="O38" s="60"/>
      <c r="P38" s="60">
        <v>100000000</v>
      </c>
      <c r="Q38" s="60">
        <v>22972258</v>
      </c>
      <c r="R38" s="61"/>
      <c r="S38" s="60">
        <v>427027742</v>
      </c>
      <c r="T38" s="60">
        <v>325904362</v>
      </c>
      <c r="U38" s="60">
        <v>101123380</v>
      </c>
      <c r="V38" s="62">
        <v>0.76319248129785444</v>
      </c>
      <c r="W38" s="60">
        <v>325904362</v>
      </c>
      <c r="X38" s="60">
        <v>0</v>
      </c>
      <c r="Y38" s="62">
        <v>0</v>
      </c>
      <c r="Z38" s="60">
        <v>325414271</v>
      </c>
      <c r="AA38" s="60">
        <v>490091</v>
      </c>
      <c r="AB38" s="62">
        <v>0.99849621221086937</v>
      </c>
    </row>
    <row r="39" spans="1:28" ht="24.95" customHeight="1">
      <c r="A39" s="32" t="e">
        <v>#REF!</v>
      </c>
      <c r="B39" s="56" t="s">
        <v>361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34</v>
      </c>
      <c r="H39" s="57"/>
      <c r="I39" s="57"/>
      <c r="J39" s="57" t="s">
        <v>28</v>
      </c>
      <c r="K39" s="58" t="s">
        <v>29</v>
      </c>
      <c r="L39" s="59" t="s">
        <v>71</v>
      </c>
      <c r="M39" s="60">
        <v>2600000000</v>
      </c>
      <c r="N39" s="60"/>
      <c r="O39" s="60"/>
      <c r="P39" s="60">
        <v>464528930</v>
      </c>
      <c r="Q39" s="60">
        <v>111298079</v>
      </c>
      <c r="R39" s="61"/>
      <c r="S39" s="60">
        <v>2953230851</v>
      </c>
      <c r="T39" s="60">
        <v>2493854188</v>
      </c>
      <c r="U39" s="60">
        <v>459376663</v>
      </c>
      <c r="V39" s="62">
        <v>0.84444945682304196</v>
      </c>
      <c r="W39" s="60">
        <v>2493854188</v>
      </c>
      <c r="X39" s="60">
        <v>0</v>
      </c>
      <c r="Y39" s="62">
        <v>0</v>
      </c>
      <c r="Z39" s="60">
        <v>2491745570</v>
      </c>
      <c r="AA39" s="60">
        <v>2108618</v>
      </c>
      <c r="AB39" s="62">
        <v>0.9991544742230134</v>
      </c>
    </row>
    <row r="40" spans="1:28" ht="24.95" customHeight="1">
      <c r="A40" s="32" t="e">
        <v>#REF!</v>
      </c>
      <c r="B40" s="56" t="s">
        <v>363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40</v>
      </c>
      <c r="H40" s="57"/>
      <c r="I40" s="57"/>
      <c r="J40" s="57" t="s">
        <v>28</v>
      </c>
      <c r="K40" s="58" t="s">
        <v>29</v>
      </c>
      <c r="L40" s="59" t="s">
        <v>72</v>
      </c>
      <c r="M40" s="60">
        <v>12000000</v>
      </c>
      <c r="N40" s="60"/>
      <c r="O40" s="60"/>
      <c r="P40" s="60"/>
      <c r="Q40" s="60">
        <v>7649456</v>
      </c>
      <c r="R40" s="61"/>
      <c r="S40" s="60">
        <v>4350544</v>
      </c>
      <c r="T40" s="60">
        <v>4016552</v>
      </c>
      <c r="U40" s="60">
        <v>333992</v>
      </c>
      <c r="V40" s="62">
        <v>0.92322983056831509</v>
      </c>
      <c r="W40" s="60">
        <v>4016552</v>
      </c>
      <c r="X40" s="60">
        <v>0</v>
      </c>
      <c r="Y40" s="62">
        <v>0</v>
      </c>
      <c r="Z40" s="60">
        <v>4016552</v>
      </c>
      <c r="AA40" s="60">
        <v>0</v>
      </c>
      <c r="AB40" s="62">
        <v>1</v>
      </c>
    </row>
    <row r="41" spans="1:28" ht="24.95" customHeight="1">
      <c r="A41" s="32" t="e">
        <v>#REF!</v>
      </c>
      <c r="B41" s="56" t="s">
        <v>364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44</v>
      </c>
      <c r="H41" s="57"/>
      <c r="I41" s="57"/>
      <c r="J41" s="57" t="s">
        <v>28</v>
      </c>
      <c r="K41" s="58" t="s">
        <v>29</v>
      </c>
      <c r="L41" s="59" t="s">
        <v>73</v>
      </c>
      <c r="M41" s="60">
        <v>5000000</v>
      </c>
      <c r="N41" s="60"/>
      <c r="O41" s="60"/>
      <c r="P41" s="60"/>
      <c r="Q41" s="60">
        <v>3984942</v>
      </c>
      <c r="R41" s="61"/>
      <c r="S41" s="60">
        <v>1015058</v>
      </c>
      <c r="T41" s="60">
        <v>1015058</v>
      </c>
      <c r="U41" s="60">
        <v>0</v>
      </c>
      <c r="V41" s="62">
        <v>1</v>
      </c>
      <c r="W41" s="60">
        <v>1015058</v>
      </c>
      <c r="X41" s="60">
        <v>0</v>
      </c>
      <c r="Y41" s="62">
        <v>0</v>
      </c>
      <c r="Z41" s="60">
        <v>1015058</v>
      </c>
      <c r="AA41" s="60">
        <v>0</v>
      </c>
      <c r="AB41" s="62">
        <v>1</v>
      </c>
    </row>
    <row r="42" spans="1:28" ht="24.95" customHeight="1">
      <c r="A42" s="32" t="e">
        <v>#REF!</v>
      </c>
      <c r="B42" s="56" t="s">
        <v>366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74</v>
      </c>
      <c r="H42" s="57"/>
      <c r="I42" s="57"/>
      <c r="J42" s="57" t="s">
        <v>28</v>
      </c>
      <c r="K42" s="58" t="s">
        <v>29</v>
      </c>
      <c r="L42" s="59" t="s">
        <v>75</v>
      </c>
      <c r="M42" s="60">
        <v>30000000</v>
      </c>
      <c r="N42" s="60"/>
      <c r="O42" s="60"/>
      <c r="P42" s="60"/>
      <c r="Q42" s="60"/>
      <c r="R42" s="61"/>
      <c r="S42" s="60">
        <v>30000000</v>
      </c>
      <c r="T42" s="60">
        <v>0</v>
      </c>
      <c r="U42" s="60">
        <v>30000000</v>
      </c>
      <c r="V42" s="62">
        <v>0</v>
      </c>
      <c r="W42" s="60">
        <v>0</v>
      </c>
      <c r="X42" s="60">
        <v>0</v>
      </c>
      <c r="Y42" s="62">
        <v>0</v>
      </c>
      <c r="Z42" s="60">
        <v>0</v>
      </c>
      <c r="AA42" s="60">
        <v>0</v>
      </c>
      <c r="AB42" s="62">
        <v>0</v>
      </c>
    </row>
    <row r="43" spans="1:28" ht="24.95" customHeight="1">
      <c r="A43" s="32" t="e">
        <v>#REF!</v>
      </c>
      <c r="B43" s="56" t="s">
        <v>368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76</v>
      </c>
      <c r="H43" s="57"/>
      <c r="I43" s="57"/>
      <c r="J43" s="57" t="s">
        <v>28</v>
      </c>
      <c r="K43" s="58" t="s">
        <v>29</v>
      </c>
      <c r="L43" s="59" t="s">
        <v>77</v>
      </c>
      <c r="M43" s="60">
        <v>840000000</v>
      </c>
      <c r="N43" s="60"/>
      <c r="O43" s="60"/>
      <c r="P43" s="60">
        <v>170200000</v>
      </c>
      <c r="Q43" s="60"/>
      <c r="R43" s="61"/>
      <c r="S43" s="60">
        <v>1010200000</v>
      </c>
      <c r="T43" s="60">
        <v>857879569</v>
      </c>
      <c r="U43" s="60">
        <v>152320431</v>
      </c>
      <c r="V43" s="62">
        <v>0.84921754999010102</v>
      </c>
      <c r="W43" s="60">
        <v>857879569</v>
      </c>
      <c r="X43" s="60">
        <v>0</v>
      </c>
      <c r="Y43" s="62">
        <v>0</v>
      </c>
      <c r="Z43" s="60">
        <v>857879569</v>
      </c>
      <c r="AA43" s="60">
        <v>0</v>
      </c>
      <c r="AB43" s="62">
        <v>1</v>
      </c>
    </row>
    <row r="44" spans="1:28" ht="24.95" customHeight="1">
      <c r="A44" s="32" t="e">
        <v>#REF!</v>
      </c>
      <c r="B44" s="56" t="s">
        <v>370</v>
      </c>
      <c r="C44" s="57" t="s">
        <v>23</v>
      </c>
      <c r="D44" s="57" t="s">
        <v>25</v>
      </c>
      <c r="E44" s="57" t="s">
        <v>25</v>
      </c>
      <c r="F44" s="57" t="s">
        <v>65</v>
      </c>
      <c r="G44" s="57" t="s">
        <v>78</v>
      </c>
      <c r="H44" s="57"/>
      <c r="I44" s="57"/>
      <c r="J44" s="57" t="s">
        <v>28</v>
      </c>
      <c r="K44" s="58" t="s">
        <v>29</v>
      </c>
      <c r="L44" s="59" t="s">
        <v>79</v>
      </c>
      <c r="M44" s="60">
        <v>590000000</v>
      </c>
      <c r="N44" s="60"/>
      <c r="O44" s="60"/>
      <c r="P44" s="60">
        <v>450000000</v>
      </c>
      <c r="Q44" s="60">
        <v>273100555</v>
      </c>
      <c r="R44" s="61"/>
      <c r="S44" s="60">
        <v>766899445</v>
      </c>
      <c r="T44" s="60">
        <v>334022541</v>
      </c>
      <c r="U44" s="60">
        <v>432876904</v>
      </c>
      <c r="V44" s="62">
        <v>0.43554933202487844</v>
      </c>
      <c r="W44" s="60">
        <v>334022541</v>
      </c>
      <c r="X44" s="60">
        <v>0</v>
      </c>
      <c r="Y44" s="62">
        <v>0</v>
      </c>
      <c r="Z44" s="60">
        <v>310573013</v>
      </c>
      <c r="AA44" s="60">
        <v>23449528</v>
      </c>
      <c r="AB44" s="62">
        <v>0.92979657022607942</v>
      </c>
    </row>
    <row r="45" spans="1:28" ht="24" customHeight="1">
      <c r="A45" s="32" t="e">
        <v>#REF!</v>
      </c>
      <c r="B45" s="38" t="s">
        <v>372</v>
      </c>
      <c r="C45" s="39" t="s">
        <v>23</v>
      </c>
      <c r="D45" s="39" t="s">
        <v>54</v>
      </c>
      <c r="E45" s="39"/>
      <c r="F45" s="39"/>
      <c r="G45" s="39"/>
      <c r="H45" s="39"/>
      <c r="I45" s="39"/>
      <c r="J45" s="39"/>
      <c r="K45" s="40"/>
      <c r="L45" s="38" t="s">
        <v>80</v>
      </c>
      <c r="M45" s="41">
        <v>42290000000</v>
      </c>
      <c r="N45" s="740">
        <v>0</v>
      </c>
      <c r="O45" s="740">
        <v>0</v>
      </c>
      <c r="P45" s="41">
        <v>5110321762.8400002</v>
      </c>
      <c r="Q45" s="41">
        <v>5990321762.8399992</v>
      </c>
      <c r="R45" s="740">
        <v>0</v>
      </c>
      <c r="S45" s="41">
        <v>41410000000</v>
      </c>
      <c r="T45" s="41">
        <v>36815340777.120003</v>
      </c>
      <c r="U45" s="41">
        <v>4594659222.8799992</v>
      </c>
      <c r="V45" s="42">
        <v>0.88904469396570884</v>
      </c>
      <c r="W45" s="41">
        <v>30810841590.289997</v>
      </c>
      <c r="X45" s="41">
        <v>6004499186.8300009</v>
      </c>
      <c r="Y45" s="42">
        <v>0.16309774838650079</v>
      </c>
      <c r="Z45" s="41">
        <v>30578967057.289997</v>
      </c>
      <c r="AA45" s="41">
        <v>231874533</v>
      </c>
      <c r="AB45" s="42">
        <v>0.83060393878777328</v>
      </c>
    </row>
    <row r="46" spans="1:28" ht="24" customHeight="1">
      <c r="A46" s="32" t="e">
        <v>#REF!</v>
      </c>
      <c r="B46" s="43" t="s">
        <v>373</v>
      </c>
      <c r="C46" s="44" t="s">
        <v>23</v>
      </c>
      <c r="D46" s="44" t="s">
        <v>54</v>
      </c>
      <c r="E46" s="44" t="s">
        <v>25</v>
      </c>
      <c r="F46" s="44"/>
      <c r="G46" s="44"/>
      <c r="H46" s="44"/>
      <c r="I46" s="44"/>
      <c r="J46" s="44"/>
      <c r="K46" s="45"/>
      <c r="L46" s="43" t="s">
        <v>81</v>
      </c>
      <c r="M46" s="741">
        <v>0</v>
      </c>
      <c r="N46" s="741">
        <v>0</v>
      </c>
      <c r="O46" s="741">
        <v>0</v>
      </c>
      <c r="P46" s="46">
        <v>100000000</v>
      </c>
      <c r="Q46" s="741">
        <v>0</v>
      </c>
      <c r="R46" s="741">
        <v>0</v>
      </c>
      <c r="S46" s="46">
        <v>100000000</v>
      </c>
      <c r="T46" s="46">
        <v>0</v>
      </c>
      <c r="U46" s="46">
        <v>100000000</v>
      </c>
      <c r="V46" s="47">
        <v>0</v>
      </c>
      <c r="W46" s="46">
        <v>0</v>
      </c>
      <c r="X46" s="46">
        <v>0</v>
      </c>
      <c r="Y46" s="47">
        <v>0</v>
      </c>
      <c r="Z46" s="46">
        <v>0</v>
      </c>
      <c r="AA46" s="46">
        <v>0</v>
      </c>
      <c r="AB46" s="47">
        <v>0</v>
      </c>
    </row>
    <row r="47" spans="1:28" ht="24" customHeight="1">
      <c r="A47" s="32" t="e">
        <v>#REF!</v>
      </c>
      <c r="B47" s="48" t="s">
        <v>374</v>
      </c>
      <c r="C47" s="48" t="s">
        <v>23</v>
      </c>
      <c r="D47" s="48" t="s">
        <v>54</v>
      </c>
      <c r="E47" s="48" t="s">
        <v>25</v>
      </c>
      <c r="F47" s="48" t="s">
        <v>25</v>
      </c>
      <c r="G47" s="48"/>
      <c r="H47" s="48"/>
      <c r="I47" s="48"/>
      <c r="J47" s="49" t="s">
        <v>28</v>
      </c>
      <c r="K47" s="48" t="s">
        <v>29</v>
      </c>
      <c r="L47" s="48" t="s">
        <v>82</v>
      </c>
      <c r="M47" s="742">
        <v>0</v>
      </c>
      <c r="N47" s="742">
        <v>0</v>
      </c>
      <c r="O47" s="742">
        <v>0</v>
      </c>
      <c r="P47" s="50">
        <v>100000000</v>
      </c>
      <c r="Q47" s="742">
        <v>0</v>
      </c>
      <c r="R47" s="742">
        <v>0</v>
      </c>
      <c r="S47" s="50">
        <v>100000000</v>
      </c>
      <c r="T47" s="50">
        <v>0</v>
      </c>
      <c r="U47" s="50">
        <v>100000000</v>
      </c>
      <c r="V47" s="51">
        <v>0</v>
      </c>
      <c r="W47" s="50">
        <v>0</v>
      </c>
      <c r="X47" s="50">
        <v>0</v>
      </c>
      <c r="Y47" s="51">
        <v>0</v>
      </c>
      <c r="Z47" s="50">
        <v>0</v>
      </c>
      <c r="AA47" s="50">
        <v>0</v>
      </c>
      <c r="AB47" s="51">
        <v>0</v>
      </c>
    </row>
    <row r="48" spans="1:28" ht="24" customHeight="1">
      <c r="A48" s="32" t="e">
        <v>#REF!</v>
      </c>
      <c r="B48" s="52" t="s">
        <v>375</v>
      </c>
      <c r="C48" s="52" t="s">
        <v>23</v>
      </c>
      <c r="D48" s="52" t="s">
        <v>54</v>
      </c>
      <c r="E48" s="52" t="s">
        <v>25</v>
      </c>
      <c r="F48" s="52" t="s">
        <v>25</v>
      </c>
      <c r="G48" s="52" t="s">
        <v>38</v>
      </c>
      <c r="H48" s="52"/>
      <c r="I48" s="52"/>
      <c r="J48" s="53" t="s">
        <v>28</v>
      </c>
      <c r="K48" s="52" t="s">
        <v>29</v>
      </c>
      <c r="L48" s="52" t="s">
        <v>83</v>
      </c>
      <c r="M48" s="743">
        <v>0</v>
      </c>
      <c r="N48" s="743">
        <v>0</v>
      </c>
      <c r="O48" s="743">
        <v>0</v>
      </c>
      <c r="P48" s="54">
        <v>100000000</v>
      </c>
      <c r="Q48" s="743">
        <v>0</v>
      </c>
      <c r="R48" s="743">
        <v>0</v>
      </c>
      <c r="S48" s="54">
        <v>100000000</v>
      </c>
      <c r="T48" s="54">
        <v>0</v>
      </c>
      <c r="U48" s="54">
        <v>100000000</v>
      </c>
      <c r="V48" s="55">
        <v>0</v>
      </c>
      <c r="W48" s="54">
        <v>0</v>
      </c>
      <c r="X48" s="54">
        <v>0</v>
      </c>
      <c r="Y48" s="55">
        <v>0</v>
      </c>
      <c r="Z48" s="54">
        <v>0</v>
      </c>
      <c r="AA48" s="54">
        <v>0</v>
      </c>
      <c r="AB48" s="55">
        <v>0</v>
      </c>
    </row>
    <row r="49" spans="1:28" ht="24.95" customHeight="1">
      <c r="A49" s="32" t="e">
        <v>#REF!</v>
      </c>
      <c r="B49" s="56" t="s">
        <v>724</v>
      </c>
      <c r="C49" s="57" t="s">
        <v>23</v>
      </c>
      <c r="D49" s="57" t="s">
        <v>54</v>
      </c>
      <c r="E49" s="57" t="s">
        <v>25</v>
      </c>
      <c r="F49" s="57" t="s">
        <v>25</v>
      </c>
      <c r="G49" s="57" t="s">
        <v>38</v>
      </c>
      <c r="H49" s="57" t="s">
        <v>42</v>
      </c>
      <c r="I49" s="57"/>
      <c r="J49" s="57">
        <v>10</v>
      </c>
      <c r="K49" s="58" t="s">
        <v>29</v>
      </c>
      <c r="L49" s="59" t="s">
        <v>84</v>
      </c>
      <c r="M49" s="60">
        <v>0</v>
      </c>
      <c r="N49" s="60"/>
      <c r="O49" s="60"/>
      <c r="P49" s="60">
        <v>100000000</v>
      </c>
      <c r="Q49" s="60"/>
      <c r="R49" s="61"/>
      <c r="S49" s="60">
        <v>100000000</v>
      </c>
      <c r="T49" s="60">
        <v>0</v>
      </c>
      <c r="U49" s="60">
        <v>100000000</v>
      </c>
      <c r="V49" s="62">
        <v>0</v>
      </c>
      <c r="W49" s="60">
        <v>0</v>
      </c>
      <c r="X49" s="60">
        <v>0</v>
      </c>
      <c r="Y49" s="62">
        <v>0</v>
      </c>
      <c r="Z49" s="60">
        <v>0</v>
      </c>
      <c r="AA49" s="60">
        <v>0</v>
      </c>
      <c r="AB49" s="62">
        <v>0</v>
      </c>
    </row>
    <row r="50" spans="1:28" ht="24" customHeight="1">
      <c r="A50" s="32" t="e">
        <v>#REF!</v>
      </c>
      <c r="B50" s="43" t="s">
        <v>377</v>
      </c>
      <c r="C50" s="44" t="s">
        <v>23</v>
      </c>
      <c r="D50" s="44" t="s">
        <v>54</v>
      </c>
      <c r="E50" s="44" t="s">
        <v>54</v>
      </c>
      <c r="F50" s="44"/>
      <c r="G50" s="44"/>
      <c r="H50" s="44"/>
      <c r="I50" s="44"/>
      <c r="J50" s="44"/>
      <c r="K50" s="45"/>
      <c r="L50" s="43" t="s">
        <v>86</v>
      </c>
      <c r="M50" s="46">
        <v>42290000000</v>
      </c>
      <c r="N50" s="741">
        <v>0</v>
      </c>
      <c r="O50" s="741">
        <v>0</v>
      </c>
      <c r="P50" s="46">
        <v>5010321762.8400002</v>
      </c>
      <c r="Q50" s="46">
        <v>5990321762.8399992</v>
      </c>
      <c r="R50" s="46">
        <v>0</v>
      </c>
      <c r="S50" s="46">
        <v>41310000000</v>
      </c>
      <c r="T50" s="46">
        <v>36815340777.120003</v>
      </c>
      <c r="U50" s="46">
        <v>4494659222.8799992</v>
      </c>
      <c r="V50" s="47">
        <v>0.89119682345969509</v>
      </c>
      <c r="W50" s="46">
        <v>30810841590.289997</v>
      </c>
      <c r="X50" s="46">
        <v>6004499186.8300009</v>
      </c>
      <c r="Y50" s="47">
        <v>0.16309774838650079</v>
      </c>
      <c r="Z50" s="46">
        <v>30578967057.289997</v>
      </c>
      <c r="AA50" s="46">
        <v>231874533</v>
      </c>
      <c r="AB50" s="47">
        <v>0.83060393878777328</v>
      </c>
    </row>
    <row r="51" spans="1:28" ht="24" customHeight="1">
      <c r="A51" s="32" t="e">
        <v>#REF!</v>
      </c>
      <c r="B51" s="48" t="s">
        <v>379</v>
      </c>
      <c r="C51" s="48" t="s">
        <v>23</v>
      </c>
      <c r="D51" s="48" t="s">
        <v>54</v>
      </c>
      <c r="E51" s="48" t="s">
        <v>54</v>
      </c>
      <c r="F51" s="48" t="s">
        <v>25</v>
      </c>
      <c r="G51" s="48"/>
      <c r="H51" s="48"/>
      <c r="I51" s="48"/>
      <c r="J51" s="49" t="s">
        <v>28</v>
      </c>
      <c r="K51" s="48" t="s">
        <v>29</v>
      </c>
      <c r="L51" s="48" t="s">
        <v>87</v>
      </c>
      <c r="M51" s="50">
        <v>979241390</v>
      </c>
      <c r="N51" s="742">
        <v>0</v>
      </c>
      <c r="O51" s="742">
        <v>0</v>
      </c>
      <c r="P51" s="50">
        <v>294754703</v>
      </c>
      <c r="Q51" s="50">
        <v>359737784.61000001</v>
      </c>
      <c r="R51" s="742">
        <v>0</v>
      </c>
      <c r="S51" s="50">
        <v>914258308.38999999</v>
      </c>
      <c r="T51" s="50">
        <v>750444666.29999995</v>
      </c>
      <c r="U51" s="50">
        <v>163813642.08999997</v>
      </c>
      <c r="V51" s="51">
        <v>0.82082345811166402</v>
      </c>
      <c r="W51" s="50">
        <v>458559307.22000003</v>
      </c>
      <c r="X51" s="50">
        <v>291885359.07999998</v>
      </c>
      <c r="Y51" s="51">
        <v>0.38894987490432109</v>
      </c>
      <c r="Z51" s="50">
        <v>458559307.22000003</v>
      </c>
      <c r="AA51" s="50">
        <v>0</v>
      </c>
      <c r="AB51" s="51">
        <v>0.61105012509567902</v>
      </c>
    </row>
    <row r="52" spans="1:28" ht="24" customHeight="1">
      <c r="A52" s="32" t="e">
        <v>#REF!</v>
      </c>
      <c r="B52" s="52" t="s">
        <v>381</v>
      </c>
      <c r="C52" s="52" t="s">
        <v>23</v>
      </c>
      <c r="D52" s="52" t="s">
        <v>54</v>
      </c>
      <c r="E52" s="52" t="s">
        <v>54</v>
      </c>
      <c r="F52" s="52" t="s">
        <v>25</v>
      </c>
      <c r="G52" s="52" t="s">
        <v>31</v>
      </c>
      <c r="H52" s="52"/>
      <c r="I52" s="52"/>
      <c r="J52" s="53" t="s">
        <v>28</v>
      </c>
      <c r="K52" s="52" t="s">
        <v>29</v>
      </c>
      <c r="L52" s="52" t="s">
        <v>88</v>
      </c>
      <c r="M52" s="54">
        <v>23000000</v>
      </c>
      <c r="N52" s="743">
        <v>0</v>
      </c>
      <c r="O52" s="743">
        <v>0</v>
      </c>
      <c r="P52" s="54">
        <v>3000000</v>
      </c>
      <c r="Q52" s="743">
        <v>0</v>
      </c>
      <c r="R52" s="743">
        <v>0</v>
      </c>
      <c r="S52" s="54">
        <v>26000000</v>
      </c>
      <c r="T52" s="54">
        <v>26000000</v>
      </c>
      <c r="U52" s="54">
        <v>0</v>
      </c>
      <c r="V52" s="55">
        <v>1</v>
      </c>
      <c r="W52" s="54">
        <v>6330730</v>
      </c>
      <c r="X52" s="54">
        <v>19669270</v>
      </c>
      <c r="Y52" s="55">
        <v>0.75651038461538467</v>
      </c>
      <c r="Z52" s="54">
        <v>6330730</v>
      </c>
      <c r="AA52" s="54">
        <v>0</v>
      </c>
      <c r="AB52" s="55">
        <v>0.24348961538461539</v>
      </c>
    </row>
    <row r="53" spans="1:28" ht="24.95" customHeight="1">
      <c r="A53" s="32" t="e">
        <v>#REF!</v>
      </c>
      <c r="B53" s="56" t="s">
        <v>555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40</v>
      </c>
      <c r="I53" s="57"/>
      <c r="J53" s="57">
        <v>10</v>
      </c>
      <c r="K53" s="58" t="s">
        <v>29</v>
      </c>
      <c r="L53" s="59" t="s">
        <v>89</v>
      </c>
      <c r="M53" s="60">
        <v>13000000</v>
      </c>
      <c r="N53" s="60"/>
      <c r="O53" s="60"/>
      <c r="P53" s="60"/>
      <c r="Q53" s="60"/>
      <c r="R53" s="61"/>
      <c r="S53" s="60">
        <v>13000000</v>
      </c>
      <c r="T53" s="60">
        <v>13000000</v>
      </c>
      <c r="U53" s="60">
        <v>0</v>
      </c>
      <c r="V53" s="62">
        <v>1</v>
      </c>
      <c r="W53" s="60">
        <v>2130730</v>
      </c>
      <c r="X53" s="60">
        <v>10869270</v>
      </c>
      <c r="Y53" s="62">
        <v>0.83609769230769226</v>
      </c>
      <c r="Z53" s="60">
        <v>2130730</v>
      </c>
      <c r="AA53" s="60">
        <v>0</v>
      </c>
      <c r="AB53" s="62">
        <v>0.16390230769230768</v>
      </c>
    </row>
    <row r="54" spans="1:28" ht="24.95" customHeight="1">
      <c r="A54" s="32" t="e">
        <v>#REF!</v>
      </c>
      <c r="B54" s="56" t="s">
        <v>557</v>
      </c>
      <c r="C54" s="57" t="s">
        <v>23</v>
      </c>
      <c r="D54" s="57" t="s">
        <v>54</v>
      </c>
      <c r="E54" s="57" t="s">
        <v>54</v>
      </c>
      <c r="F54" s="57" t="s">
        <v>25</v>
      </c>
      <c r="G54" s="57" t="s">
        <v>31</v>
      </c>
      <c r="H54" s="57" t="s">
        <v>44</v>
      </c>
      <c r="I54" s="57"/>
      <c r="J54" s="57">
        <v>10</v>
      </c>
      <c r="K54" s="58" t="s">
        <v>29</v>
      </c>
      <c r="L54" s="59" t="s">
        <v>90</v>
      </c>
      <c r="M54" s="60">
        <v>10000000</v>
      </c>
      <c r="N54" s="60"/>
      <c r="O54" s="60"/>
      <c r="P54" s="60">
        <v>3000000</v>
      </c>
      <c r="Q54" s="60"/>
      <c r="R54" s="61"/>
      <c r="S54" s="60">
        <v>13000000</v>
      </c>
      <c r="T54" s="60">
        <v>13000000</v>
      </c>
      <c r="U54" s="60">
        <v>0</v>
      </c>
      <c r="V54" s="62">
        <v>1</v>
      </c>
      <c r="W54" s="60">
        <v>4200000</v>
      </c>
      <c r="X54" s="60">
        <v>8800000</v>
      </c>
      <c r="Y54" s="62">
        <v>0.67692307692307696</v>
      </c>
      <c r="Z54" s="60">
        <v>4200000</v>
      </c>
      <c r="AA54" s="60">
        <v>0</v>
      </c>
      <c r="AB54" s="62">
        <v>0.32307692307692309</v>
      </c>
    </row>
    <row r="55" spans="1:28" ht="24" customHeight="1">
      <c r="A55" s="32" t="e">
        <v>#REF!</v>
      </c>
      <c r="B55" s="52" t="s">
        <v>383</v>
      </c>
      <c r="C55" s="52" t="s">
        <v>23</v>
      </c>
      <c r="D55" s="52" t="s">
        <v>54</v>
      </c>
      <c r="E55" s="52" t="s">
        <v>54</v>
      </c>
      <c r="F55" s="52" t="s">
        <v>25</v>
      </c>
      <c r="G55" s="52" t="s">
        <v>34</v>
      </c>
      <c r="H55" s="52"/>
      <c r="I55" s="52"/>
      <c r="J55" s="53" t="s">
        <v>28</v>
      </c>
      <c r="K55" s="52" t="s">
        <v>29</v>
      </c>
      <c r="L55" s="52" t="s">
        <v>91</v>
      </c>
      <c r="M55" s="54">
        <v>130000000</v>
      </c>
      <c r="N55" s="743">
        <v>0</v>
      </c>
      <c r="O55" s="743">
        <v>0</v>
      </c>
      <c r="P55" s="743">
        <v>0</v>
      </c>
      <c r="Q55" s="743">
        <v>0</v>
      </c>
      <c r="R55" s="743">
        <v>0</v>
      </c>
      <c r="S55" s="54">
        <v>130000000</v>
      </c>
      <c r="T55" s="54">
        <v>98368251</v>
      </c>
      <c r="U55" s="54">
        <v>31631749</v>
      </c>
      <c r="V55" s="55">
        <v>0.75667885384615385</v>
      </c>
      <c r="W55" s="54">
        <v>0</v>
      </c>
      <c r="X55" s="54">
        <v>98368251</v>
      </c>
      <c r="Y55" s="55">
        <v>1</v>
      </c>
      <c r="Z55" s="54">
        <v>0</v>
      </c>
      <c r="AA55" s="54">
        <v>0</v>
      </c>
      <c r="AB55" s="55">
        <v>0</v>
      </c>
    </row>
    <row r="56" spans="1:28" ht="24.95" customHeight="1">
      <c r="A56" s="32" t="e">
        <v>#REF!</v>
      </c>
      <c r="B56" s="56" t="s">
        <v>559</v>
      </c>
      <c r="C56" s="57" t="s">
        <v>23</v>
      </c>
      <c r="D56" s="57" t="s">
        <v>54</v>
      </c>
      <c r="E56" s="57" t="s">
        <v>54</v>
      </c>
      <c r="F56" s="57" t="s">
        <v>25</v>
      </c>
      <c r="G56" s="57" t="s">
        <v>34</v>
      </c>
      <c r="H56" s="57" t="s">
        <v>46</v>
      </c>
      <c r="I56" s="57"/>
      <c r="J56" s="57">
        <v>10</v>
      </c>
      <c r="K56" s="58" t="s">
        <v>29</v>
      </c>
      <c r="L56" s="59" t="s">
        <v>92</v>
      </c>
      <c r="M56" s="60">
        <v>130000000</v>
      </c>
      <c r="N56" s="60"/>
      <c r="O56" s="60"/>
      <c r="P56" s="60"/>
      <c r="Q56" s="60"/>
      <c r="R56" s="61"/>
      <c r="S56" s="60">
        <v>130000000</v>
      </c>
      <c r="T56" s="60">
        <v>98368251</v>
      </c>
      <c r="U56" s="60">
        <v>31631749</v>
      </c>
      <c r="V56" s="62">
        <v>0.75667885384615385</v>
      </c>
      <c r="W56" s="60">
        <v>0</v>
      </c>
      <c r="X56" s="60">
        <v>98368251</v>
      </c>
      <c r="Y56" s="62">
        <v>1</v>
      </c>
      <c r="Z56" s="60">
        <v>0</v>
      </c>
      <c r="AA56" s="60">
        <v>0</v>
      </c>
      <c r="AB56" s="62">
        <v>0</v>
      </c>
    </row>
    <row r="57" spans="1:28" ht="24" customHeight="1">
      <c r="A57" s="32" t="e">
        <v>#REF!</v>
      </c>
      <c r="B57" s="52" t="s">
        <v>385</v>
      </c>
      <c r="C57" s="52" t="s">
        <v>23</v>
      </c>
      <c r="D57" s="52" t="s">
        <v>54</v>
      </c>
      <c r="E57" s="52" t="s">
        <v>54</v>
      </c>
      <c r="F57" s="52" t="s">
        <v>25</v>
      </c>
      <c r="G57" s="52" t="s">
        <v>36</v>
      </c>
      <c r="H57" s="52"/>
      <c r="I57" s="52"/>
      <c r="J57" s="53" t="s">
        <v>28</v>
      </c>
      <c r="K57" s="52" t="s">
        <v>29</v>
      </c>
      <c r="L57" s="52" t="s">
        <v>93</v>
      </c>
      <c r="M57" s="54">
        <v>617241390</v>
      </c>
      <c r="N57" s="743">
        <v>0</v>
      </c>
      <c r="O57" s="743">
        <v>0</v>
      </c>
      <c r="P57" s="54">
        <v>123736000</v>
      </c>
      <c r="Q57" s="54">
        <v>255029832</v>
      </c>
      <c r="R57" s="743">
        <v>0</v>
      </c>
      <c r="S57" s="54">
        <v>485947558</v>
      </c>
      <c r="T57" s="54">
        <v>444629185.30000001</v>
      </c>
      <c r="U57" s="54">
        <v>41318372.699999988</v>
      </c>
      <c r="V57" s="55">
        <v>0.91497359741850992</v>
      </c>
      <c r="W57" s="54">
        <v>382030983.22000003</v>
      </c>
      <c r="X57" s="54">
        <v>62598202.079999998</v>
      </c>
      <c r="Y57" s="55">
        <v>0.14078743400023047</v>
      </c>
      <c r="Z57" s="54">
        <v>382030983.22000003</v>
      </c>
      <c r="AA57" s="54">
        <v>0</v>
      </c>
      <c r="AB57" s="55">
        <v>0.85921256599976958</v>
      </c>
    </row>
    <row r="58" spans="1:28" ht="24.95" customHeight="1">
      <c r="A58" s="32" t="e">
        <v>#REF!</v>
      </c>
      <c r="B58" s="56" t="s">
        <v>561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34</v>
      </c>
      <c r="I58" s="57"/>
      <c r="J58" s="57">
        <v>10</v>
      </c>
      <c r="K58" s="58" t="s">
        <v>29</v>
      </c>
      <c r="L58" s="59" t="s">
        <v>94</v>
      </c>
      <c r="M58" s="60">
        <v>245100000</v>
      </c>
      <c r="N58" s="60"/>
      <c r="O58" s="60"/>
      <c r="P58" s="60">
        <v>80000000</v>
      </c>
      <c r="Q58" s="60">
        <v>20000000</v>
      </c>
      <c r="R58" s="61"/>
      <c r="S58" s="60">
        <v>305100000</v>
      </c>
      <c r="T58" s="60">
        <v>283213627.30000001</v>
      </c>
      <c r="U58" s="60">
        <v>21886372.699999988</v>
      </c>
      <c r="V58" s="62">
        <v>0.92826492068174371</v>
      </c>
      <c r="W58" s="60">
        <v>280891148.30000001</v>
      </c>
      <c r="X58" s="60">
        <v>2322479</v>
      </c>
      <c r="Y58" s="62">
        <v>8.2004493291555677E-3</v>
      </c>
      <c r="Z58" s="60">
        <v>280891148.30000001</v>
      </c>
      <c r="AA58" s="60">
        <v>0</v>
      </c>
      <c r="AB58" s="62">
        <v>0.99179955067084447</v>
      </c>
    </row>
    <row r="59" spans="1:28" ht="24.95" customHeight="1">
      <c r="A59" s="32" t="e">
        <v>#REF!</v>
      </c>
      <c r="B59" s="56" t="s">
        <v>563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36</v>
      </c>
      <c r="I59" s="57"/>
      <c r="J59" s="57">
        <v>10</v>
      </c>
      <c r="K59" s="58" t="s">
        <v>29</v>
      </c>
      <c r="L59" s="59" t="s">
        <v>95</v>
      </c>
      <c r="M59" s="60">
        <v>57946108</v>
      </c>
      <c r="N59" s="60"/>
      <c r="O59" s="60"/>
      <c r="P59" s="60">
        <v>24304000</v>
      </c>
      <c r="Q59" s="60">
        <v>6000000</v>
      </c>
      <c r="R59" s="61"/>
      <c r="S59" s="60">
        <v>76250108</v>
      </c>
      <c r="T59" s="60">
        <v>76250108</v>
      </c>
      <c r="U59" s="60">
        <v>0</v>
      </c>
      <c r="V59" s="62">
        <v>1</v>
      </c>
      <c r="W59" s="60">
        <v>54929036.07</v>
      </c>
      <c r="X59" s="60">
        <v>21321071.93</v>
      </c>
      <c r="Y59" s="62">
        <v>0.27962021942316462</v>
      </c>
      <c r="Z59" s="60">
        <v>54929036.07</v>
      </c>
      <c r="AA59" s="60">
        <v>0</v>
      </c>
      <c r="AB59" s="62">
        <v>0.72037978057683538</v>
      </c>
    </row>
    <row r="60" spans="1:28" ht="24.95" customHeight="1">
      <c r="A60" s="32" t="e">
        <v>#REF!</v>
      </c>
      <c r="B60" s="56" t="s">
        <v>565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40</v>
      </c>
      <c r="I60" s="57"/>
      <c r="J60" s="57">
        <v>10</v>
      </c>
      <c r="K60" s="58" t="s">
        <v>29</v>
      </c>
      <c r="L60" s="59" t="s">
        <v>96</v>
      </c>
      <c r="M60" s="60">
        <v>47000000</v>
      </c>
      <c r="N60" s="60"/>
      <c r="O60" s="60"/>
      <c r="P60" s="60"/>
      <c r="Q60" s="60">
        <v>40000000</v>
      </c>
      <c r="R60" s="61"/>
      <c r="S60" s="60">
        <v>7000000</v>
      </c>
      <c r="T60" s="60">
        <v>7000000</v>
      </c>
      <c r="U60" s="60">
        <v>0</v>
      </c>
      <c r="V60" s="62">
        <v>1</v>
      </c>
      <c r="W60" s="60">
        <v>6790949</v>
      </c>
      <c r="X60" s="60">
        <v>209051</v>
      </c>
      <c r="Y60" s="62">
        <v>2.9864428571428573E-2</v>
      </c>
      <c r="Z60" s="60">
        <v>6790949</v>
      </c>
      <c r="AA60" s="60">
        <v>0</v>
      </c>
      <c r="AB60" s="62">
        <v>0.97013557142857143</v>
      </c>
    </row>
    <row r="61" spans="1:28" ht="24.95" customHeight="1">
      <c r="A61" s="32" t="e">
        <v>#REF!</v>
      </c>
      <c r="B61" s="56" t="s">
        <v>567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42</v>
      </c>
      <c r="I61" s="57"/>
      <c r="J61" s="57">
        <v>10</v>
      </c>
      <c r="K61" s="58" t="s">
        <v>29</v>
      </c>
      <c r="L61" s="59" t="s">
        <v>97</v>
      </c>
      <c r="M61" s="60">
        <v>123000000</v>
      </c>
      <c r="N61" s="60"/>
      <c r="O61" s="60"/>
      <c r="P61" s="60"/>
      <c r="Q61" s="60">
        <v>100000000</v>
      </c>
      <c r="R61" s="61"/>
      <c r="S61" s="60">
        <v>23000000</v>
      </c>
      <c r="T61" s="60">
        <v>23000000</v>
      </c>
      <c r="U61" s="60">
        <v>0</v>
      </c>
      <c r="V61" s="62">
        <v>1</v>
      </c>
      <c r="W61" s="60">
        <v>16770541</v>
      </c>
      <c r="X61" s="60">
        <v>6229459</v>
      </c>
      <c r="Y61" s="62">
        <v>0.27084604347826086</v>
      </c>
      <c r="Z61" s="60">
        <v>16770541</v>
      </c>
      <c r="AA61" s="60">
        <v>0</v>
      </c>
      <c r="AB61" s="62">
        <v>0.72915395652173909</v>
      </c>
    </row>
    <row r="62" spans="1:28" ht="24.95" customHeight="1">
      <c r="A62" s="32" t="e">
        <v>#REF!</v>
      </c>
      <c r="B62" s="56" t="s">
        <v>569</v>
      </c>
      <c r="C62" s="57" t="s">
        <v>23</v>
      </c>
      <c r="D62" s="57" t="s">
        <v>54</v>
      </c>
      <c r="E62" s="57" t="s">
        <v>54</v>
      </c>
      <c r="F62" s="57" t="s">
        <v>25</v>
      </c>
      <c r="G62" s="57" t="s">
        <v>36</v>
      </c>
      <c r="H62" s="63" t="s">
        <v>44</v>
      </c>
      <c r="I62" s="57"/>
      <c r="J62" s="57">
        <v>10</v>
      </c>
      <c r="K62" s="58" t="s">
        <v>29</v>
      </c>
      <c r="L62" s="59" t="s">
        <v>98</v>
      </c>
      <c r="M62" s="60"/>
      <c r="N62" s="60"/>
      <c r="O62" s="60"/>
      <c r="P62" s="60">
        <v>11432000</v>
      </c>
      <c r="Q62" s="60"/>
      <c r="R62" s="61"/>
      <c r="S62" s="60">
        <v>11432000</v>
      </c>
      <c r="T62" s="60">
        <v>0</v>
      </c>
      <c r="U62" s="60">
        <v>11432000</v>
      </c>
      <c r="V62" s="62">
        <v>0</v>
      </c>
      <c r="W62" s="60">
        <v>0</v>
      </c>
      <c r="X62" s="60">
        <v>0</v>
      </c>
      <c r="Y62" s="62">
        <v>0</v>
      </c>
      <c r="Z62" s="60">
        <v>0</v>
      </c>
      <c r="AA62" s="60">
        <v>0</v>
      </c>
      <c r="AB62" s="62">
        <v>0</v>
      </c>
    </row>
    <row r="63" spans="1:28" ht="24.95" customHeight="1">
      <c r="A63" s="32" t="e">
        <v>#REF!</v>
      </c>
      <c r="B63" s="56" t="s">
        <v>571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36</v>
      </c>
      <c r="H63" s="57" t="s">
        <v>46</v>
      </c>
      <c r="I63" s="57"/>
      <c r="J63" s="57">
        <v>10</v>
      </c>
      <c r="K63" s="58" t="s">
        <v>29</v>
      </c>
      <c r="L63" s="59" t="s">
        <v>99</v>
      </c>
      <c r="M63" s="60">
        <v>144195282</v>
      </c>
      <c r="N63" s="60"/>
      <c r="O63" s="60"/>
      <c r="P63" s="60">
        <v>8000000</v>
      </c>
      <c r="Q63" s="60">
        <v>89029832</v>
      </c>
      <c r="R63" s="61"/>
      <c r="S63" s="60">
        <v>63165450</v>
      </c>
      <c r="T63" s="60">
        <v>55165450</v>
      </c>
      <c r="U63" s="60">
        <v>8000000</v>
      </c>
      <c r="V63" s="62">
        <v>0.87334848402093235</v>
      </c>
      <c r="W63" s="60">
        <v>22649308.850000001</v>
      </c>
      <c r="X63" s="60">
        <v>32516141.149999999</v>
      </c>
      <c r="Y63" s="62">
        <v>0.58942945539282288</v>
      </c>
      <c r="Z63" s="60">
        <v>22649308.850000001</v>
      </c>
      <c r="AA63" s="60">
        <v>0</v>
      </c>
      <c r="AB63" s="62">
        <v>0.41057054460717718</v>
      </c>
    </row>
    <row r="64" spans="1:28" ht="24" customHeight="1">
      <c r="A64" s="32" t="e">
        <v>#REF!</v>
      </c>
      <c r="B64" s="52" t="s">
        <v>387</v>
      </c>
      <c r="C64" s="52" t="s">
        <v>23</v>
      </c>
      <c r="D64" s="52" t="s">
        <v>54</v>
      </c>
      <c r="E64" s="52" t="s">
        <v>54</v>
      </c>
      <c r="F64" s="52" t="s">
        <v>25</v>
      </c>
      <c r="G64" s="52" t="s">
        <v>38</v>
      </c>
      <c r="H64" s="52"/>
      <c r="I64" s="52"/>
      <c r="J64" s="53" t="s">
        <v>28</v>
      </c>
      <c r="K64" s="52" t="s">
        <v>29</v>
      </c>
      <c r="L64" s="52" t="s">
        <v>100</v>
      </c>
      <c r="M64" s="54">
        <v>209000000</v>
      </c>
      <c r="N64" s="743">
        <v>0</v>
      </c>
      <c r="O64" s="743">
        <v>0</v>
      </c>
      <c r="P64" s="54">
        <v>168018703</v>
      </c>
      <c r="Q64" s="54">
        <v>104707952.61</v>
      </c>
      <c r="R64" s="743">
        <v>0</v>
      </c>
      <c r="S64" s="54">
        <v>272310750.38999999</v>
      </c>
      <c r="T64" s="54">
        <v>181447230</v>
      </c>
      <c r="U64" s="54">
        <v>90863520.390000001</v>
      </c>
      <c r="V64" s="55">
        <v>0.66632415260922895</v>
      </c>
      <c r="W64" s="54">
        <v>70197594</v>
      </c>
      <c r="X64" s="54">
        <v>111249636</v>
      </c>
      <c r="Y64" s="55">
        <v>0.6131239148704557</v>
      </c>
      <c r="Z64" s="54">
        <v>70197594</v>
      </c>
      <c r="AA64" s="54">
        <v>0</v>
      </c>
      <c r="AB64" s="55">
        <v>0.3868760851295443</v>
      </c>
    </row>
    <row r="65" spans="1:28" ht="24.95" customHeight="1">
      <c r="A65" s="32" t="e">
        <v>#REF!</v>
      </c>
      <c r="B65" s="56" t="s">
        <v>573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34</v>
      </c>
      <c r="I65" s="57"/>
      <c r="J65" s="57">
        <v>10</v>
      </c>
      <c r="K65" s="58" t="s">
        <v>29</v>
      </c>
      <c r="L65" s="59" t="s">
        <v>101</v>
      </c>
      <c r="M65" s="60">
        <v>28000000</v>
      </c>
      <c r="N65" s="60"/>
      <c r="O65" s="60"/>
      <c r="P65" s="60"/>
      <c r="Q65" s="60"/>
      <c r="R65" s="61"/>
      <c r="S65" s="60">
        <v>28000000</v>
      </c>
      <c r="T65" s="60">
        <v>28000000</v>
      </c>
      <c r="U65" s="60">
        <v>0</v>
      </c>
      <c r="V65" s="62">
        <v>1</v>
      </c>
      <c r="W65" s="60">
        <v>19750364</v>
      </c>
      <c r="X65" s="60">
        <v>8249636</v>
      </c>
      <c r="Y65" s="62">
        <v>0.29462985714285717</v>
      </c>
      <c r="Z65" s="60">
        <v>19750364</v>
      </c>
      <c r="AA65" s="60">
        <v>0</v>
      </c>
      <c r="AB65" s="62">
        <v>0.70537014285714283</v>
      </c>
    </row>
    <row r="66" spans="1:28" ht="24.95" customHeight="1">
      <c r="A66" s="32" t="e">
        <v>#REF!</v>
      </c>
      <c r="B66" s="56" t="s">
        <v>575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40</v>
      </c>
      <c r="I66" s="57"/>
      <c r="J66" s="57">
        <v>10</v>
      </c>
      <c r="K66" s="58" t="s">
        <v>29</v>
      </c>
      <c r="L66" s="59" t="s">
        <v>102</v>
      </c>
      <c r="M66" s="60">
        <v>10000000</v>
      </c>
      <c r="N66" s="60"/>
      <c r="O66" s="60"/>
      <c r="P66" s="60">
        <v>80000000</v>
      </c>
      <c r="Q66" s="60"/>
      <c r="R66" s="61"/>
      <c r="S66" s="60">
        <v>90000000</v>
      </c>
      <c r="T66" s="60">
        <v>90000000</v>
      </c>
      <c r="U66" s="60">
        <v>0</v>
      </c>
      <c r="V66" s="62">
        <v>1</v>
      </c>
      <c r="W66" s="60">
        <v>0</v>
      </c>
      <c r="X66" s="60">
        <v>90000000</v>
      </c>
      <c r="Y66" s="62">
        <v>1</v>
      </c>
      <c r="Z66" s="60">
        <v>0</v>
      </c>
      <c r="AA66" s="60">
        <v>0</v>
      </c>
      <c r="AB66" s="62">
        <v>0</v>
      </c>
    </row>
    <row r="67" spans="1:28" ht="24.95" customHeight="1">
      <c r="A67" s="32" t="e">
        <v>#REF!</v>
      </c>
      <c r="B67" s="56" t="s">
        <v>577</v>
      </c>
      <c r="C67" s="57" t="s">
        <v>23</v>
      </c>
      <c r="D67" s="57" t="s">
        <v>54</v>
      </c>
      <c r="E67" s="57" t="s">
        <v>54</v>
      </c>
      <c r="F67" s="57" t="s">
        <v>25</v>
      </c>
      <c r="G67" s="57" t="s">
        <v>38</v>
      </c>
      <c r="H67" s="57" t="s">
        <v>42</v>
      </c>
      <c r="I67" s="57"/>
      <c r="J67" s="57">
        <v>10</v>
      </c>
      <c r="K67" s="58" t="s">
        <v>29</v>
      </c>
      <c r="L67" s="59" t="s">
        <v>84</v>
      </c>
      <c r="M67" s="60">
        <v>108000000</v>
      </c>
      <c r="N67" s="60"/>
      <c r="O67" s="60"/>
      <c r="P67" s="60">
        <v>40000000</v>
      </c>
      <c r="Q67" s="60">
        <v>70000000</v>
      </c>
      <c r="R67" s="61"/>
      <c r="S67" s="60">
        <v>78000000</v>
      </c>
      <c r="T67" s="60">
        <v>31571080</v>
      </c>
      <c r="U67" s="60">
        <v>46428920</v>
      </c>
      <c r="V67" s="62">
        <v>0.4047574358974359</v>
      </c>
      <c r="W67" s="60">
        <v>23571080</v>
      </c>
      <c r="X67" s="60">
        <v>8000000</v>
      </c>
      <c r="Y67" s="62">
        <v>0.25339646283877526</v>
      </c>
      <c r="Z67" s="60">
        <v>23571080</v>
      </c>
      <c r="AA67" s="60">
        <v>0</v>
      </c>
      <c r="AB67" s="62">
        <v>0.74660353716122474</v>
      </c>
    </row>
    <row r="68" spans="1:28" ht="24.95" customHeight="1">
      <c r="A68" s="32" t="e">
        <v>#REF!</v>
      </c>
      <c r="B68" s="56" t="s">
        <v>579</v>
      </c>
      <c r="C68" s="57" t="s">
        <v>23</v>
      </c>
      <c r="D68" s="57" t="s">
        <v>54</v>
      </c>
      <c r="E68" s="57" t="s">
        <v>54</v>
      </c>
      <c r="F68" s="57" t="s">
        <v>25</v>
      </c>
      <c r="G68" s="57" t="s">
        <v>38</v>
      </c>
      <c r="H68" s="57" t="s">
        <v>44</v>
      </c>
      <c r="I68" s="57"/>
      <c r="J68" s="57">
        <v>10</v>
      </c>
      <c r="K68" s="58" t="s">
        <v>29</v>
      </c>
      <c r="L68" s="59" t="s">
        <v>85</v>
      </c>
      <c r="M68" s="60">
        <v>63000000</v>
      </c>
      <c r="N68" s="60"/>
      <c r="O68" s="60"/>
      <c r="P68" s="60">
        <v>48018703</v>
      </c>
      <c r="Q68" s="60">
        <v>34707952.609999999</v>
      </c>
      <c r="R68" s="61"/>
      <c r="S68" s="60">
        <v>76310750.390000001</v>
      </c>
      <c r="T68" s="60">
        <v>31876150</v>
      </c>
      <c r="U68" s="60">
        <v>44434600.390000001</v>
      </c>
      <c r="V68" s="62">
        <v>0.41771506422215904</v>
      </c>
      <c r="W68" s="60">
        <v>26876150</v>
      </c>
      <c r="X68" s="60">
        <v>5000000</v>
      </c>
      <c r="Y68" s="62">
        <v>0.15685708594042883</v>
      </c>
      <c r="Z68" s="60">
        <v>26876150</v>
      </c>
      <c r="AA68" s="60">
        <v>0</v>
      </c>
      <c r="AB68" s="62">
        <v>0.8431429140595712</v>
      </c>
    </row>
    <row r="69" spans="1:28" ht="24" customHeight="1">
      <c r="A69" s="32" t="e">
        <v>#REF!</v>
      </c>
      <c r="B69" s="48" t="s">
        <v>389</v>
      </c>
      <c r="C69" s="48" t="s">
        <v>23</v>
      </c>
      <c r="D69" s="48" t="s">
        <v>54</v>
      </c>
      <c r="E69" s="48" t="s">
        <v>54</v>
      </c>
      <c r="F69" s="48" t="s">
        <v>54</v>
      </c>
      <c r="G69" s="48"/>
      <c r="H69" s="48"/>
      <c r="I69" s="48"/>
      <c r="J69" s="49" t="s">
        <v>28</v>
      </c>
      <c r="K69" s="48" t="s">
        <v>29</v>
      </c>
      <c r="L69" s="48" t="s">
        <v>103</v>
      </c>
      <c r="M69" s="50">
        <v>41310758610</v>
      </c>
      <c r="N69" s="743">
        <v>0</v>
      </c>
      <c r="O69" s="743">
        <v>0</v>
      </c>
      <c r="P69" s="50">
        <v>4715567059.8400002</v>
      </c>
      <c r="Q69" s="50">
        <v>5630583978.2299995</v>
      </c>
      <c r="R69" s="743">
        <v>0</v>
      </c>
      <c r="S69" s="50">
        <v>40395741691.610001</v>
      </c>
      <c r="T69" s="50">
        <v>36064896110.82</v>
      </c>
      <c r="U69" s="50">
        <v>4330845580.789999</v>
      </c>
      <c r="V69" s="51">
        <v>0.89278955158559459</v>
      </c>
      <c r="W69" s="50">
        <v>30352282283.069996</v>
      </c>
      <c r="X69" s="50">
        <v>5712613827.750001</v>
      </c>
      <c r="Y69" s="51">
        <v>0.15839817783465437</v>
      </c>
      <c r="Z69" s="50">
        <v>30120407750.069996</v>
      </c>
      <c r="AA69" s="50">
        <v>231874533</v>
      </c>
      <c r="AB69" s="51">
        <v>0.83517245294471898</v>
      </c>
    </row>
    <row r="70" spans="1:28" ht="24.75" customHeight="1">
      <c r="A70" s="32" t="e">
        <v>#REF!</v>
      </c>
      <c r="B70" s="52" t="s">
        <v>391</v>
      </c>
      <c r="C70" s="52" t="s">
        <v>23</v>
      </c>
      <c r="D70" s="52" t="s">
        <v>54</v>
      </c>
      <c r="E70" s="52" t="s">
        <v>54</v>
      </c>
      <c r="F70" s="52" t="s">
        <v>54</v>
      </c>
      <c r="G70" s="52" t="s">
        <v>42</v>
      </c>
      <c r="H70" s="52"/>
      <c r="I70" s="52"/>
      <c r="J70" s="53" t="s">
        <v>28</v>
      </c>
      <c r="K70" s="52" t="s">
        <v>29</v>
      </c>
      <c r="L70" s="52" t="s">
        <v>104</v>
      </c>
      <c r="M70" s="54">
        <v>6238453772</v>
      </c>
      <c r="N70" s="743">
        <v>0</v>
      </c>
      <c r="O70" s="743">
        <v>0</v>
      </c>
      <c r="P70" s="54">
        <v>1322500000</v>
      </c>
      <c r="Q70" s="54">
        <v>180000000</v>
      </c>
      <c r="R70" s="743">
        <v>0</v>
      </c>
      <c r="S70" s="54">
        <v>7380953772</v>
      </c>
      <c r="T70" s="54">
        <v>6840160616.4099998</v>
      </c>
      <c r="U70" s="54">
        <v>540793155.58999991</v>
      </c>
      <c r="V70" s="55">
        <v>0.92673126369636338</v>
      </c>
      <c r="W70" s="54">
        <v>5634928365.4099998</v>
      </c>
      <c r="X70" s="54">
        <v>1205232251</v>
      </c>
      <c r="Y70" s="55">
        <v>0.1761994079654457</v>
      </c>
      <c r="Z70" s="54">
        <v>5633164695.4099998</v>
      </c>
      <c r="AA70" s="54">
        <v>1763670</v>
      </c>
      <c r="AB70" s="55">
        <v>0.82354275159791768</v>
      </c>
    </row>
    <row r="71" spans="1:28" ht="24.95" customHeight="1">
      <c r="A71" s="32" t="e">
        <v>#REF!</v>
      </c>
      <c r="B71" s="56" t="s">
        <v>583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36</v>
      </c>
      <c r="I71" s="57"/>
      <c r="J71" s="57">
        <v>10</v>
      </c>
      <c r="K71" s="58" t="s">
        <v>29</v>
      </c>
      <c r="L71" s="59" t="s">
        <v>105</v>
      </c>
      <c r="M71" s="60">
        <v>120448180</v>
      </c>
      <c r="N71" s="60"/>
      <c r="O71" s="60"/>
      <c r="P71" s="60">
        <v>38282800</v>
      </c>
      <c r="Q71" s="60"/>
      <c r="R71" s="61"/>
      <c r="S71" s="60">
        <v>158730980</v>
      </c>
      <c r="T71" s="60">
        <v>138872171</v>
      </c>
      <c r="U71" s="60">
        <v>19858809</v>
      </c>
      <c r="V71" s="62">
        <v>0.87489015061836073</v>
      </c>
      <c r="W71" s="60">
        <v>115525860</v>
      </c>
      <c r="X71" s="60">
        <v>23346311</v>
      </c>
      <c r="Y71" s="62">
        <v>0.16811367484130424</v>
      </c>
      <c r="Z71" s="60">
        <v>115168551</v>
      </c>
      <c r="AA71" s="60">
        <v>357309</v>
      </c>
      <c r="AB71" s="62">
        <v>0.82931339065765741</v>
      </c>
    </row>
    <row r="72" spans="1:28" ht="24.95" customHeight="1">
      <c r="A72" s="32" t="e">
        <v>#REF!</v>
      </c>
      <c r="B72" s="56" t="s">
        <v>585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38</v>
      </c>
      <c r="I72" s="57"/>
      <c r="J72" s="57">
        <v>10</v>
      </c>
      <c r="K72" s="58" t="s">
        <v>29</v>
      </c>
      <c r="L72" s="59" t="s">
        <v>106</v>
      </c>
      <c r="M72" s="60">
        <v>2721505592</v>
      </c>
      <c r="N72" s="60"/>
      <c r="O72" s="60"/>
      <c r="P72" s="60">
        <v>892217200</v>
      </c>
      <c r="Q72" s="60">
        <v>180000000</v>
      </c>
      <c r="R72" s="61"/>
      <c r="S72" s="60">
        <v>3433722792</v>
      </c>
      <c r="T72" s="60">
        <v>3272065908</v>
      </c>
      <c r="U72" s="60">
        <v>161656884</v>
      </c>
      <c r="V72" s="62">
        <v>0.95292081108683746</v>
      </c>
      <c r="W72" s="60">
        <v>2212294275</v>
      </c>
      <c r="X72" s="60">
        <v>1059771633</v>
      </c>
      <c r="Y72" s="62">
        <v>0.32388456186317138</v>
      </c>
      <c r="Z72" s="60">
        <v>2212184914</v>
      </c>
      <c r="AA72" s="60">
        <v>109361</v>
      </c>
      <c r="AB72" s="62">
        <v>0.67608201552155289</v>
      </c>
    </row>
    <row r="73" spans="1:28" ht="24.95" customHeight="1">
      <c r="A73" s="32" t="e">
        <v>#REF!</v>
      </c>
      <c r="B73" s="56" t="s">
        <v>587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40</v>
      </c>
      <c r="I73" s="57"/>
      <c r="J73" s="57">
        <v>10</v>
      </c>
      <c r="K73" s="58" t="s">
        <v>29</v>
      </c>
      <c r="L73" s="59" t="s">
        <v>107</v>
      </c>
      <c r="M73" s="60">
        <v>50000000</v>
      </c>
      <c r="N73" s="60"/>
      <c r="O73" s="60"/>
      <c r="P73" s="60">
        <v>68500000</v>
      </c>
      <c r="Q73" s="60"/>
      <c r="R73" s="61"/>
      <c r="S73" s="60">
        <v>118500000</v>
      </c>
      <c r="T73" s="60">
        <v>111350000</v>
      </c>
      <c r="U73" s="60">
        <v>7150000</v>
      </c>
      <c r="V73" s="62">
        <v>0.93966244725738401</v>
      </c>
      <c r="W73" s="60">
        <v>40795123</v>
      </c>
      <c r="X73" s="60">
        <v>70554877</v>
      </c>
      <c r="Y73" s="62">
        <v>0.63363158509205209</v>
      </c>
      <c r="Z73" s="60">
        <v>40795123</v>
      </c>
      <c r="AA73" s="60">
        <v>0</v>
      </c>
      <c r="AB73" s="62">
        <v>0.36636841490794791</v>
      </c>
    </row>
    <row r="74" spans="1:28" ht="24.95" customHeight="1">
      <c r="A74" s="32" t="e">
        <v>#REF!</v>
      </c>
      <c r="B74" s="56" t="s">
        <v>591</v>
      </c>
      <c r="C74" s="57" t="s">
        <v>23</v>
      </c>
      <c r="D74" s="57" t="s">
        <v>54</v>
      </c>
      <c r="E74" s="57" t="s">
        <v>54</v>
      </c>
      <c r="F74" s="57" t="s">
        <v>54</v>
      </c>
      <c r="G74" s="57" t="s">
        <v>42</v>
      </c>
      <c r="H74" s="57" t="s">
        <v>46</v>
      </c>
      <c r="I74" s="57"/>
      <c r="J74" s="57">
        <v>10</v>
      </c>
      <c r="K74" s="58" t="s">
        <v>29</v>
      </c>
      <c r="L74" s="59" t="s">
        <v>108</v>
      </c>
      <c r="M74" s="60">
        <v>2216500000</v>
      </c>
      <c r="N74" s="60"/>
      <c r="O74" s="60"/>
      <c r="P74" s="60">
        <v>168000000</v>
      </c>
      <c r="Q74" s="60"/>
      <c r="R74" s="61"/>
      <c r="S74" s="60">
        <v>2384500000</v>
      </c>
      <c r="T74" s="60">
        <v>2213618000</v>
      </c>
      <c r="U74" s="60">
        <v>170882000</v>
      </c>
      <c r="V74" s="62">
        <v>0.92833633885510591</v>
      </c>
      <c r="W74" s="60">
        <v>2163612480</v>
      </c>
      <c r="X74" s="60">
        <v>50005520</v>
      </c>
      <c r="Y74" s="62">
        <v>2.2589950027511522E-2</v>
      </c>
      <c r="Z74" s="60">
        <v>2163612480</v>
      </c>
      <c r="AA74" s="60">
        <v>0</v>
      </c>
      <c r="AB74" s="62">
        <v>0.97741004997248848</v>
      </c>
    </row>
    <row r="75" spans="1:28" ht="24.95" customHeight="1">
      <c r="A75" s="32" t="e">
        <v>#REF!</v>
      </c>
      <c r="B75" s="56" t="s">
        <v>593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42</v>
      </c>
      <c r="H75" s="57" t="s">
        <v>48</v>
      </c>
      <c r="I75" s="57"/>
      <c r="J75" s="57">
        <v>10</v>
      </c>
      <c r="K75" s="58" t="s">
        <v>29</v>
      </c>
      <c r="L75" s="59" t="s">
        <v>109</v>
      </c>
      <c r="M75" s="60">
        <v>1130000000</v>
      </c>
      <c r="N75" s="60"/>
      <c r="O75" s="60"/>
      <c r="P75" s="60">
        <v>155500000</v>
      </c>
      <c r="Q75" s="60"/>
      <c r="R75" s="61"/>
      <c r="S75" s="60">
        <v>1285500000</v>
      </c>
      <c r="T75" s="60">
        <v>1104254537.4100001</v>
      </c>
      <c r="U75" s="60">
        <v>181245462.58999991</v>
      </c>
      <c r="V75" s="62">
        <v>0.85900780817580713</v>
      </c>
      <c r="W75" s="60">
        <v>1102700627.4100001</v>
      </c>
      <c r="X75" s="60">
        <v>1553910</v>
      </c>
      <c r="Y75" s="62">
        <v>1.4072027303094945E-3</v>
      </c>
      <c r="Z75" s="60">
        <v>1101403627.4100001</v>
      </c>
      <c r="AA75" s="60">
        <v>1297000</v>
      </c>
      <c r="AB75" s="62">
        <v>0.99741824923202327</v>
      </c>
    </row>
    <row r="76" spans="1:28" ht="28.5" customHeight="1">
      <c r="A76" s="32" t="e">
        <v>#REF!</v>
      </c>
      <c r="B76" s="52" t="s">
        <v>393</v>
      </c>
      <c r="C76" s="52" t="s">
        <v>23</v>
      </c>
      <c r="D76" s="52" t="s">
        <v>54</v>
      </c>
      <c r="E76" s="52" t="s">
        <v>54</v>
      </c>
      <c r="F76" s="52" t="s">
        <v>54</v>
      </c>
      <c r="G76" s="52" t="s">
        <v>44</v>
      </c>
      <c r="H76" s="52"/>
      <c r="I76" s="52"/>
      <c r="J76" s="53" t="s">
        <v>28</v>
      </c>
      <c r="K76" s="52" t="s">
        <v>29</v>
      </c>
      <c r="L76" s="52" t="s">
        <v>110</v>
      </c>
      <c r="M76" s="54">
        <v>15484127230</v>
      </c>
      <c r="N76" s="743">
        <v>0</v>
      </c>
      <c r="O76" s="743">
        <v>0</v>
      </c>
      <c r="P76" s="54">
        <v>276042993.48000002</v>
      </c>
      <c r="Q76" s="54">
        <v>403971793</v>
      </c>
      <c r="R76" s="743">
        <v>0</v>
      </c>
      <c r="S76" s="54">
        <v>15356198430.48</v>
      </c>
      <c r="T76" s="54">
        <v>14772215935.370001</v>
      </c>
      <c r="U76" s="54">
        <v>583982495.1099987</v>
      </c>
      <c r="V76" s="55">
        <v>0.96197089417971626</v>
      </c>
      <c r="W76" s="54">
        <v>13305442640.48</v>
      </c>
      <c r="X76" s="54">
        <v>1466773294.8900013</v>
      </c>
      <c r="Y76" s="55">
        <v>9.9292706071133052E-2</v>
      </c>
      <c r="Z76" s="54">
        <v>13305442640.48</v>
      </c>
      <c r="AA76" s="54">
        <v>0</v>
      </c>
      <c r="AB76" s="55">
        <v>0.90070729392886695</v>
      </c>
    </row>
    <row r="77" spans="1:28" ht="24.95" customHeight="1">
      <c r="A77" s="32" t="e">
        <v>#REF!</v>
      </c>
      <c r="B77" s="56" t="s">
        <v>595</v>
      </c>
      <c r="C77" s="57" t="s">
        <v>23</v>
      </c>
      <c r="D77" s="57" t="s">
        <v>54</v>
      </c>
      <c r="E77" s="57" t="s">
        <v>54</v>
      </c>
      <c r="F77" s="57" t="s">
        <v>54</v>
      </c>
      <c r="G77" s="57" t="s">
        <v>44</v>
      </c>
      <c r="H77" s="57" t="s">
        <v>31</v>
      </c>
      <c r="I77" s="57"/>
      <c r="J77" s="57">
        <v>10</v>
      </c>
      <c r="K77" s="58" t="s">
        <v>29</v>
      </c>
      <c r="L77" s="59" t="s">
        <v>111</v>
      </c>
      <c r="M77" s="60">
        <v>260000000</v>
      </c>
      <c r="N77" s="60"/>
      <c r="O77" s="60"/>
      <c r="P77" s="60">
        <v>3200000</v>
      </c>
      <c r="Q77" s="60">
        <v>195115176</v>
      </c>
      <c r="R77" s="61"/>
      <c r="S77" s="60">
        <v>68084824</v>
      </c>
      <c r="T77" s="60">
        <v>59453757</v>
      </c>
      <c r="U77" s="60">
        <v>8631067</v>
      </c>
      <c r="V77" s="62">
        <v>0.87323067766173557</v>
      </c>
      <c r="W77" s="60">
        <v>58443342</v>
      </c>
      <c r="X77" s="60">
        <v>1010415</v>
      </c>
      <c r="Y77" s="62">
        <v>1.6994973084711869E-2</v>
      </c>
      <c r="Z77" s="60">
        <v>58443342</v>
      </c>
      <c r="AA77" s="60">
        <v>0</v>
      </c>
      <c r="AB77" s="62">
        <v>0.98300502691528813</v>
      </c>
    </row>
    <row r="78" spans="1:28" ht="24.95" customHeight="1">
      <c r="A78" s="32" t="e">
        <v>#REF!</v>
      </c>
      <c r="B78" s="56" t="s">
        <v>597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44</v>
      </c>
      <c r="H78" s="57" t="s">
        <v>34</v>
      </c>
      <c r="I78" s="57"/>
      <c r="J78" s="57">
        <v>10</v>
      </c>
      <c r="K78" s="58" t="s">
        <v>29</v>
      </c>
      <c r="L78" s="59" t="s">
        <v>112</v>
      </c>
      <c r="M78" s="60">
        <v>15224127230</v>
      </c>
      <c r="N78" s="60"/>
      <c r="O78" s="60"/>
      <c r="P78" s="60">
        <v>272842993.48000002</v>
      </c>
      <c r="Q78" s="60">
        <v>208856617</v>
      </c>
      <c r="R78" s="61"/>
      <c r="S78" s="60">
        <v>15288113606.48</v>
      </c>
      <c r="T78" s="60">
        <v>14712762178.370001</v>
      </c>
      <c r="U78" s="60">
        <v>575351428.1099987</v>
      </c>
      <c r="V78" s="62">
        <v>0.96236609414871621</v>
      </c>
      <c r="W78" s="60">
        <v>13246999298.48</v>
      </c>
      <c r="X78" s="60">
        <v>1465762879.8900013</v>
      </c>
      <c r="Y78" s="62">
        <v>9.9625268329620376E-2</v>
      </c>
      <c r="Z78" s="60">
        <v>13246999298.48</v>
      </c>
      <c r="AA78" s="60">
        <v>0</v>
      </c>
      <c r="AB78" s="62">
        <v>0.90037473167037962</v>
      </c>
    </row>
    <row r="79" spans="1:28" ht="27.75" customHeight="1">
      <c r="A79" s="32" t="e">
        <v>#REF!</v>
      </c>
      <c r="B79" s="52" t="s">
        <v>395</v>
      </c>
      <c r="C79" s="52" t="s">
        <v>23</v>
      </c>
      <c r="D79" s="52" t="s">
        <v>54</v>
      </c>
      <c r="E79" s="52" t="s">
        <v>54</v>
      </c>
      <c r="F79" s="52" t="s">
        <v>54</v>
      </c>
      <c r="G79" s="52" t="s">
        <v>46</v>
      </c>
      <c r="H79" s="52"/>
      <c r="I79" s="52"/>
      <c r="J79" s="53" t="s">
        <v>28</v>
      </c>
      <c r="K79" s="52" t="s">
        <v>29</v>
      </c>
      <c r="L79" s="52" t="s">
        <v>113</v>
      </c>
      <c r="M79" s="54">
        <v>15733677608</v>
      </c>
      <c r="N79" s="743">
        <v>0</v>
      </c>
      <c r="O79" s="743">
        <v>0</v>
      </c>
      <c r="P79" s="54">
        <v>3022024066.3600001</v>
      </c>
      <c r="Q79" s="54">
        <v>3319396176.23</v>
      </c>
      <c r="R79" s="743">
        <v>0</v>
      </c>
      <c r="S79" s="54">
        <v>15436305498.130001</v>
      </c>
      <c r="T79" s="54">
        <v>12689039776.279999</v>
      </c>
      <c r="U79" s="54">
        <v>2747265721.8500009</v>
      </c>
      <c r="V79" s="55">
        <v>0.82202569635701928</v>
      </c>
      <c r="W79" s="54">
        <v>9946709199.4200001</v>
      </c>
      <c r="X79" s="54">
        <v>2742330576.8599997</v>
      </c>
      <c r="Y79" s="55">
        <v>0.21611805347054866</v>
      </c>
      <c r="Z79" s="54">
        <v>9716775461.4200001</v>
      </c>
      <c r="AA79" s="54">
        <v>229933738</v>
      </c>
      <c r="AB79" s="55">
        <v>0.76576128948573863</v>
      </c>
    </row>
    <row r="80" spans="1:28" ht="24.95" customHeight="1">
      <c r="A80" s="32" t="e">
        <v>#REF!</v>
      </c>
      <c r="B80" s="56" t="s">
        <v>599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34</v>
      </c>
      <c r="I80" s="57"/>
      <c r="J80" s="57">
        <v>10</v>
      </c>
      <c r="K80" s="58" t="s">
        <v>29</v>
      </c>
      <c r="L80" s="59" t="s">
        <v>114</v>
      </c>
      <c r="M80" s="60">
        <v>50358513</v>
      </c>
      <c r="N80" s="60"/>
      <c r="O80" s="60"/>
      <c r="P80" s="60">
        <v>5950000</v>
      </c>
      <c r="Q80" s="60">
        <v>17165713</v>
      </c>
      <c r="R80" s="61"/>
      <c r="S80" s="60">
        <v>39142800</v>
      </c>
      <c r="T80" s="60">
        <v>39142800</v>
      </c>
      <c r="U80" s="60">
        <v>0</v>
      </c>
      <c r="V80" s="62">
        <v>1</v>
      </c>
      <c r="W80" s="60">
        <v>19313136</v>
      </c>
      <c r="X80" s="60">
        <v>19829664</v>
      </c>
      <c r="Y80" s="62">
        <v>0.50659799503356939</v>
      </c>
      <c r="Z80" s="60">
        <v>19313136</v>
      </c>
      <c r="AA80" s="60">
        <v>0</v>
      </c>
      <c r="AB80" s="62">
        <v>0.49340200496643061</v>
      </c>
    </row>
    <row r="81" spans="1:28" ht="24.95" customHeight="1">
      <c r="A81" s="32" t="e">
        <v>#REF!</v>
      </c>
      <c r="B81" s="56" t="s">
        <v>601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36</v>
      </c>
      <c r="I81" s="57"/>
      <c r="J81" s="57">
        <v>10</v>
      </c>
      <c r="K81" s="58" t="s">
        <v>29</v>
      </c>
      <c r="L81" s="59" t="s">
        <v>115</v>
      </c>
      <c r="M81" s="60">
        <v>6350236530</v>
      </c>
      <c r="N81" s="60"/>
      <c r="O81" s="60"/>
      <c r="P81" s="60">
        <v>1327817748</v>
      </c>
      <c r="Q81" s="60">
        <v>2539360316</v>
      </c>
      <c r="R81" s="61"/>
      <c r="S81" s="60">
        <v>5138693962</v>
      </c>
      <c r="T81" s="60">
        <v>3368165100</v>
      </c>
      <c r="U81" s="60">
        <v>1770528862</v>
      </c>
      <c r="V81" s="62">
        <v>0.65545158456743291</v>
      </c>
      <c r="W81" s="60">
        <v>2494629051.8000002</v>
      </c>
      <c r="X81" s="60">
        <v>873536048.19999981</v>
      </c>
      <c r="Y81" s="62">
        <v>0.25935072131707554</v>
      </c>
      <c r="Z81" s="60">
        <v>2264695313.8000002</v>
      </c>
      <c r="AA81" s="60">
        <v>229933738</v>
      </c>
      <c r="AB81" s="62">
        <v>0.67238251289997641</v>
      </c>
    </row>
    <row r="82" spans="1:28" ht="24.95" customHeight="1">
      <c r="A82" s="32" t="e">
        <v>#REF!</v>
      </c>
      <c r="B82" s="56" t="s">
        <v>603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38</v>
      </c>
      <c r="I82" s="57"/>
      <c r="J82" s="57">
        <v>10</v>
      </c>
      <c r="K82" s="58" t="s">
        <v>29</v>
      </c>
      <c r="L82" s="59" t="s">
        <v>116</v>
      </c>
      <c r="M82" s="60">
        <v>2503588821</v>
      </c>
      <c r="N82" s="60"/>
      <c r="O82" s="60"/>
      <c r="P82" s="60">
        <v>3628797.75</v>
      </c>
      <c r="Q82" s="60">
        <v>293634033</v>
      </c>
      <c r="R82" s="61"/>
      <c r="S82" s="60">
        <v>2213583585.75</v>
      </c>
      <c r="T82" s="60">
        <v>2076709398.6600001</v>
      </c>
      <c r="U82" s="60">
        <v>136874187.08999991</v>
      </c>
      <c r="V82" s="62">
        <v>0.93816624410700777</v>
      </c>
      <c r="W82" s="60">
        <v>2001950830.6400001</v>
      </c>
      <c r="X82" s="60">
        <v>74758568.019999981</v>
      </c>
      <c r="Y82" s="62">
        <v>3.5998569693110681E-2</v>
      </c>
      <c r="Z82" s="60">
        <v>2001950830.6400001</v>
      </c>
      <c r="AA82" s="60">
        <v>0</v>
      </c>
      <c r="AB82" s="62">
        <v>0.96400143030688934</v>
      </c>
    </row>
    <row r="83" spans="1:28" ht="24.95" customHeight="1">
      <c r="A83" s="32" t="e">
        <v>#REF!</v>
      </c>
      <c r="B83" s="56" t="s">
        <v>605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40</v>
      </c>
      <c r="I83" s="57"/>
      <c r="J83" s="57">
        <v>10</v>
      </c>
      <c r="K83" s="58" t="s">
        <v>29</v>
      </c>
      <c r="L83" s="59" t="s">
        <v>117</v>
      </c>
      <c r="M83" s="60">
        <v>5781495027</v>
      </c>
      <c r="N83" s="60"/>
      <c r="O83" s="60"/>
      <c r="P83" s="60">
        <v>1286007427</v>
      </c>
      <c r="Q83" s="60">
        <v>258404423.23000002</v>
      </c>
      <c r="R83" s="61"/>
      <c r="S83" s="60">
        <v>6809098030.7700005</v>
      </c>
      <c r="T83" s="60">
        <v>6242757843.1599998</v>
      </c>
      <c r="U83" s="60">
        <v>566340187.61000061</v>
      </c>
      <c r="V83" s="62">
        <v>0.91682596064108124</v>
      </c>
      <c r="W83" s="60">
        <v>4937246144.3299999</v>
      </c>
      <c r="X83" s="60">
        <v>1305511698.8299999</v>
      </c>
      <c r="Y83" s="62">
        <v>0.209124193446076</v>
      </c>
      <c r="Z83" s="60">
        <v>4937246144.3299999</v>
      </c>
      <c r="AA83" s="60">
        <v>0</v>
      </c>
      <c r="AB83" s="62">
        <v>0.79087580655392398</v>
      </c>
    </row>
    <row r="84" spans="1:28" ht="24.75" customHeight="1">
      <c r="A84" s="32" t="e">
        <v>#REF!</v>
      </c>
      <c r="B84" s="56" t="s">
        <v>607</v>
      </c>
      <c r="C84" s="57" t="s">
        <v>23</v>
      </c>
      <c r="D84" s="57" t="s">
        <v>54</v>
      </c>
      <c r="E84" s="57" t="s">
        <v>54</v>
      </c>
      <c r="F84" s="57" t="s">
        <v>54</v>
      </c>
      <c r="G84" s="57" t="s">
        <v>46</v>
      </c>
      <c r="H84" s="57" t="s">
        <v>44</v>
      </c>
      <c r="I84" s="57"/>
      <c r="J84" s="57">
        <v>10</v>
      </c>
      <c r="K84" s="58" t="s">
        <v>29</v>
      </c>
      <c r="L84" s="59" t="s">
        <v>118</v>
      </c>
      <c r="M84" s="60">
        <v>729998717</v>
      </c>
      <c r="N84" s="60"/>
      <c r="O84" s="60"/>
      <c r="P84" s="60">
        <v>348620093.61000001</v>
      </c>
      <c r="Q84" s="60">
        <v>210831691</v>
      </c>
      <c r="R84" s="61"/>
      <c r="S84" s="60">
        <v>867787119.61000013</v>
      </c>
      <c r="T84" s="60">
        <v>818694734.46000004</v>
      </c>
      <c r="U84" s="60">
        <v>49092385.150000095</v>
      </c>
      <c r="V84" s="62">
        <v>0.94342807810737828</v>
      </c>
      <c r="W84" s="60">
        <v>368185936.64999998</v>
      </c>
      <c r="X84" s="60">
        <v>450508797.81000006</v>
      </c>
      <c r="Y84" s="62">
        <v>0.55027689668377988</v>
      </c>
      <c r="Z84" s="60">
        <v>368185936.64999998</v>
      </c>
      <c r="AA84" s="60">
        <v>0</v>
      </c>
      <c r="AB84" s="62">
        <v>0.44972310331622012</v>
      </c>
    </row>
    <row r="85" spans="1:28" ht="24.95" customHeight="1">
      <c r="A85" s="32" t="e">
        <v>#REF!</v>
      </c>
      <c r="B85" s="56" t="s">
        <v>609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46</v>
      </c>
      <c r="H85" s="57" t="s">
        <v>48</v>
      </c>
      <c r="I85" s="57"/>
      <c r="J85" s="57">
        <v>10</v>
      </c>
      <c r="K85" s="58" t="s">
        <v>29</v>
      </c>
      <c r="L85" s="59" t="s">
        <v>119</v>
      </c>
      <c r="M85" s="60">
        <v>318000000</v>
      </c>
      <c r="N85" s="60"/>
      <c r="O85" s="60"/>
      <c r="P85" s="60">
        <v>50000000</v>
      </c>
      <c r="Q85" s="60"/>
      <c r="R85" s="61"/>
      <c r="S85" s="60">
        <v>368000000</v>
      </c>
      <c r="T85" s="60">
        <v>143569900</v>
      </c>
      <c r="U85" s="60">
        <v>224430100</v>
      </c>
      <c r="V85" s="62">
        <v>0.39013559782608698</v>
      </c>
      <c r="W85" s="60">
        <v>125384100</v>
      </c>
      <c r="X85" s="60">
        <v>18185800</v>
      </c>
      <c r="Y85" s="62">
        <v>0.12666861229268808</v>
      </c>
      <c r="Z85" s="60">
        <v>125384100</v>
      </c>
      <c r="AA85" s="60">
        <v>0</v>
      </c>
      <c r="AB85" s="62">
        <v>0.87333138770731189</v>
      </c>
    </row>
    <row r="86" spans="1:28" ht="24" customHeight="1">
      <c r="A86" s="32" t="e">
        <v>#REF!</v>
      </c>
      <c r="B86" s="52" t="s">
        <v>397</v>
      </c>
      <c r="C86" s="52" t="s">
        <v>23</v>
      </c>
      <c r="D86" s="52" t="s">
        <v>54</v>
      </c>
      <c r="E86" s="52" t="s">
        <v>54</v>
      </c>
      <c r="F86" s="52" t="s">
        <v>54</v>
      </c>
      <c r="G86" s="52" t="s">
        <v>48</v>
      </c>
      <c r="H86" s="52"/>
      <c r="I86" s="52"/>
      <c r="J86" s="53" t="s">
        <v>28</v>
      </c>
      <c r="K86" s="52" t="s">
        <v>29</v>
      </c>
      <c r="L86" s="52" t="s">
        <v>120</v>
      </c>
      <c r="M86" s="54">
        <v>2932500000</v>
      </c>
      <c r="N86" s="743">
        <v>0</v>
      </c>
      <c r="O86" s="743">
        <v>0</v>
      </c>
      <c r="P86" s="54">
        <v>45000000</v>
      </c>
      <c r="Q86" s="54">
        <v>1727216009</v>
      </c>
      <c r="R86" s="743">
        <v>0</v>
      </c>
      <c r="S86" s="54">
        <v>1250283991</v>
      </c>
      <c r="T86" s="54">
        <v>894846370.75999999</v>
      </c>
      <c r="U86" s="54">
        <v>355437620.24000001</v>
      </c>
      <c r="V86" s="55">
        <v>0.7157144914286917</v>
      </c>
      <c r="W86" s="54">
        <v>713751722.75999999</v>
      </c>
      <c r="X86" s="54">
        <v>181094648</v>
      </c>
      <c r="Y86" s="55">
        <v>0.20237512708041147</v>
      </c>
      <c r="Z86" s="54">
        <v>713574597.75999999</v>
      </c>
      <c r="AA86" s="54">
        <v>177125</v>
      </c>
      <c r="AB86" s="55">
        <v>0.79742693391487474</v>
      </c>
    </row>
    <row r="87" spans="1:28" ht="24.95" customHeight="1">
      <c r="A87" s="32" t="e">
        <v>#REF!</v>
      </c>
      <c r="B87" s="56" t="s">
        <v>611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34</v>
      </c>
      <c r="I87" s="57"/>
      <c r="J87" s="57">
        <v>10</v>
      </c>
      <c r="K87" s="58" t="s">
        <v>29</v>
      </c>
      <c r="L87" s="59" t="s">
        <v>121</v>
      </c>
      <c r="M87" s="60">
        <v>1250000000</v>
      </c>
      <c r="N87" s="60"/>
      <c r="O87" s="60"/>
      <c r="P87" s="60"/>
      <c r="Q87" s="60">
        <v>750000000</v>
      </c>
      <c r="R87" s="61"/>
      <c r="S87" s="60">
        <v>500000000</v>
      </c>
      <c r="T87" s="60">
        <v>500000000</v>
      </c>
      <c r="U87" s="60">
        <v>0</v>
      </c>
      <c r="V87" s="62">
        <v>1</v>
      </c>
      <c r="W87" s="60">
        <v>500000000</v>
      </c>
      <c r="X87" s="60">
        <v>0</v>
      </c>
      <c r="Y87" s="62">
        <v>0</v>
      </c>
      <c r="Z87" s="60">
        <v>500000000</v>
      </c>
      <c r="AA87" s="60">
        <v>0</v>
      </c>
      <c r="AB87" s="62">
        <v>1</v>
      </c>
    </row>
    <row r="88" spans="1:28" ht="24.95" customHeight="1">
      <c r="A88" s="32" t="e">
        <v>#REF!</v>
      </c>
      <c r="B88" s="56" t="s">
        <v>613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36</v>
      </c>
      <c r="I88" s="57"/>
      <c r="J88" s="57">
        <v>10</v>
      </c>
      <c r="K88" s="58" t="s">
        <v>29</v>
      </c>
      <c r="L88" s="59" t="s">
        <v>122</v>
      </c>
      <c r="M88" s="60">
        <v>300000000</v>
      </c>
      <c r="N88" s="60"/>
      <c r="O88" s="60"/>
      <c r="P88" s="60">
        <v>45000000</v>
      </c>
      <c r="Q88" s="60">
        <v>122978634</v>
      </c>
      <c r="R88" s="61"/>
      <c r="S88" s="60">
        <v>222021366</v>
      </c>
      <c r="T88" s="60">
        <v>199217250</v>
      </c>
      <c r="U88" s="60">
        <v>22804116</v>
      </c>
      <c r="V88" s="62">
        <v>0.89728864203096559</v>
      </c>
      <c r="W88" s="60">
        <v>122704098</v>
      </c>
      <c r="X88" s="60">
        <v>76513152</v>
      </c>
      <c r="Y88" s="62">
        <v>0.38406890969532004</v>
      </c>
      <c r="Z88" s="60">
        <v>122704098</v>
      </c>
      <c r="AA88" s="60">
        <v>0</v>
      </c>
      <c r="AB88" s="62">
        <v>0.61593109030467996</v>
      </c>
    </row>
    <row r="89" spans="1:28" ht="24.95" customHeight="1">
      <c r="A89" s="32" t="e">
        <v>#REF!</v>
      </c>
      <c r="B89" s="56" t="s">
        <v>615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38</v>
      </c>
      <c r="I89" s="57"/>
      <c r="J89" s="57">
        <v>10</v>
      </c>
      <c r="K89" s="58" t="s">
        <v>29</v>
      </c>
      <c r="L89" s="59" t="s">
        <v>123</v>
      </c>
      <c r="M89" s="60">
        <v>87500000</v>
      </c>
      <c r="N89" s="60"/>
      <c r="O89" s="60"/>
      <c r="P89" s="60"/>
      <c r="Q89" s="60">
        <v>21500000</v>
      </c>
      <c r="R89" s="61"/>
      <c r="S89" s="60">
        <v>66000000</v>
      </c>
      <c r="T89" s="60">
        <v>59525378.759999998</v>
      </c>
      <c r="U89" s="60">
        <v>6474621.2400000021</v>
      </c>
      <c r="V89" s="62">
        <v>0.90189967818181815</v>
      </c>
      <c r="W89" s="60">
        <v>59442996.759999998</v>
      </c>
      <c r="X89" s="60">
        <v>82382</v>
      </c>
      <c r="Y89" s="62">
        <v>1.3839811138733863E-3</v>
      </c>
      <c r="Z89" s="60">
        <v>59265871.759999998</v>
      </c>
      <c r="AA89" s="60">
        <v>177125</v>
      </c>
      <c r="AB89" s="62">
        <v>0.99564039733293752</v>
      </c>
    </row>
    <row r="90" spans="1:28" ht="24.95" customHeight="1">
      <c r="A90" s="32" t="e">
        <v>#REF!</v>
      </c>
      <c r="B90" s="56" t="s">
        <v>617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48</v>
      </c>
      <c r="H90" s="57" t="s">
        <v>42</v>
      </c>
      <c r="I90" s="57"/>
      <c r="J90" s="57">
        <v>10</v>
      </c>
      <c r="K90" s="58" t="s">
        <v>29</v>
      </c>
      <c r="L90" s="59" t="s">
        <v>124</v>
      </c>
      <c r="M90" s="60">
        <v>1250000000</v>
      </c>
      <c r="N90" s="60"/>
      <c r="O90" s="60"/>
      <c r="P90" s="60"/>
      <c r="Q90" s="60">
        <v>809170745</v>
      </c>
      <c r="R90" s="61"/>
      <c r="S90" s="60">
        <v>440829255</v>
      </c>
      <c r="T90" s="60">
        <v>121529050</v>
      </c>
      <c r="U90" s="60">
        <v>319300205</v>
      </c>
      <c r="V90" s="62">
        <v>0.27568281510717796</v>
      </c>
      <c r="W90" s="60">
        <v>31604628</v>
      </c>
      <c r="X90" s="60">
        <v>89924422</v>
      </c>
      <c r="Y90" s="62">
        <v>0.73994178346658679</v>
      </c>
      <c r="Z90" s="60">
        <v>31604628</v>
      </c>
      <c r="AA90" s="60">
        <v>0</v>
      </c>
      <c r="AB90" s="62">
        <v>0.26005821653341321</v>
      </c>
    </row>
    <row r="91" spans="1:28" ht="24.95" customHeight="1">
      <c r="A91" s="32" t="e">
        <v>#REF!</v>
      </c>
      <c r="B91" s="56" t="s">
        <v>619</v>
      </c>
      <c r="C91" s="57" t="s">
        <v>23</v>
      </c>
      <c r="D91" s="57" t="s">
        <v>54</v>
      </c>
      <c r="E91" s="57" t="s">
        <v>54</v>
      </c>
      <c r="F91" s="57" t="s">
        <v>54</v>
      </c>
      <c r="G91" s="57" t="s">
        <v>48</v>
      </c>
      <c r="H91" s="57" t="s">
        <v>44</v>
      </c>
      <c r="I91" s="57"/>
      <c r="J91" s="57">
        <v>10</v>
      </c>
      <c r="K91" s="58" t="s">
        <v>29</v>
      </c>
      <c r="L91" s="59" t="s">
        <v>125</v>
      </c>
      <c r="M91" s="60">
        <v>45000000</v>
      </c>
      <c r="N91" s="60"/>
      <c r="O91" s="60"/>
      <c r="P91" s="60"/>
      <c r="Q91" s="60">
        <v>23566630</v>
      </c>
      <c r="R91" s="61"/>
      <c r="S91" s="60">
        <v>21433370</v>
      </c>
      <c r="T91" s="60">
        <v>14574692</v>
      </c>
      <c r="U91" s="60">
        <v>6858678</v>
      </c>
      <c r="V91" s="62">
        <v>0.68000001866248749</v>
      </c>
      <c r="W91" s="60">
        <v>0</v>
      </c>
      <c r="X91" s="60">
        <v>14574692</v>
      </c>
      <c r="Y91" s="62">
        <v>1</v>
      </c>
      <c r="Z91" s="60">
        <v>0</v>
      </c>
      <c r="AA91" s="60">
        <v>0</v>
      </c>
      <c r="AB91" s="62">
        <v>0</v>
      </c>
    </row>
    <row r="92" spans="1:28" ht="24.95" customHeight="1">
      <c r="A92" s="32" t="e">
        <v>#REF!</v>
      </c>
      <c r="B92" s="56" t="s">
        <v>399</v>
      </c>
      <c r="C92" s="57" t="s">
        <v>23</v>
      </c>
      <c r="D92" s="57" t="s">
        <v>54</v>
      </c>
      <c r="E92" s="57" t="s">
        <v>54</v>
      </c>
      <c r="F92" s="57" t="s">
        <v>54</v>
      </c>
      <c r="G92" s="57" t="s">
        <v>50</v>
      </c>
      <c r="H92" s="57"/>
      <c r="I92" s="57"/>
      <c r="J92" s="57" t="s">
        <v>28</v>
      </c>
      <c r="K92" s="58" t="s">
        <v>29</v>
      </c>
      <c r="L92" s="65" t="s">
        <v>126</v>
      </c>
      <c r="M92" s="66">
        <v>922000000</v>
      </c>
      <c r="N92" s="66"/>
      <c r="O92" s="66"/>
      <c r="P92" s="60">
        <v>50000000</v>
      </c>
      <c r="Q92" s="66"/>
      <c r="R92" s="744"/>
      <c r="S92" s="66">
        <v>972000000</v>
      </c>
      <c r="T92" s="66">
        <v>868633412</v>
      </c>
      <c r="U92" s="66">
        <v>103366588</v>
      </c>
      <c r="V92" s="67">
        <v>0.89365577366255144</v>
      </c>
      <c r="W92" s="66">
        <v>751450355</v>
      </c>
      <c r="X92" s="66">
        <v>117183057</v>
      </c>
      <c r="Y92" s="67">
        <v>0.13490507661936449</v>
      </c>
      <c r="Z92" s="66">
        <v>751450355</v>
      </c>
      <c r="AA92" s="66">
        <v>0</v>
      </c>
      <c r="AB92" s="67">
        <v>0.86509492338063554</v>
      </c>
    </row>
    <row r="93" spans="1:28" ht="24" customHeight="1">
      <c r="A93" s="32" t="e">
        <v>#REF!</v>
      </c>
      <c r="B93" s="38" t="s">
        <v>401</v>
      </c>
      <c r="C93" s="39" t="s">
        <v>23</v>
      </c>
      <c r="D93" s="39" t="s">
        <v>65</v>
      </c>
      <c r="E93" s="39"/>
      <c r="F93" s="39"/>
      <c r="G93" s="39"/>
      <c r="H93" s="39"/>
      <c r="I93" s="39"/>
      <c r="J93" s="39"/>
      <c r="K93" s="40"/>
      <c r="L93" s="38" t="s">
        <v>127</v>
      </c>
      <c r="M93" s="41">
        <v>13468000000</v>
      </c>
      <c r="N93" s="740">
        <v>0</v>
      </c>
      <c r="O93" s="740">
        <v>0</v>
      </c>
      <c r="P93" s="41">
        <v>189467407</v>
      </c>
      <c r="Q93" s="41">
        <v>9933837852</v>
      </c>
      <c r="R93" s="41">
        <v>645629555</v>
      </c>
      <c r="S93" s="41">
        <v>3078000000</v>
      </c>
      <c r="T93" s="41">
        <v>2696910965.73</v>
      </c>
      <c r="U93" s="41">
        <v>381089034.26999998</v>
      </c>
      <c r="V93" s="42">
        <v>0.87618939757309944</v>
      </c>
      <c r="W93" s="41">
        <v>2392886902.73</v>
      </c>
      <c r="X93" s="41">
        <v>304024063</v>
      </c>
      <c r="Y93" s="42">
        <v>0.11273047826319574</v>
      </c>
      <c r="Z93" s="41">
        <v>2392886902.73</v>
      </c>
      <c r="AA93" s="41">
        <v>0</v>
      </c>
      <c r="AB93" s="42">
        <v>0.88726952173680429</v>
      </c>
    </row>
    <row r="94" spans="1:28" ht="19.5" customHeight="1">
      <c r="A94" s="32" t="e">
        <v>#REF!</v>
      </c>
      <c r="B94" s="43" t="s">
        <v>621</v>
      </c>
      <c r="C94" s="44" t="s">
        <v>23</v>
      </c>
      <c r="D94" s="44" t="s">
        <v>65</v>
      </c>
      <c r="E94" s="44" t="s">
        <v>65</v>
      </c>
      <c r="F94" s="44"/>
      <c r="G94" s="44"/>
      <c r="H94" s="44"/>
      <c r="I94" s="44"/>
      <c r="J94" s="44"/>
      <c r="K94" s="45"/>
      <c r="L94" s="43" t="s">
        <v>128</v>
      </c>
      <c r="M94" s="46">
        <v>10390000000</v>
      </c>
      <c r="N94" s="741">
        <v>0</v>
      </c>
      <c r="O94" s="741">
        <v>0</v>
      </c>
      <c r="P94" s="741">
        <v>0</v>
      </c>
      <c r="Q94" s="46">
        <v>9744370445</v>
      </c>
      <c r="R94" s="46">
        <v>645629555</v>
      </c>
      <c r="S94" s="46">
        <v>0</v>
      </c>
      <c r="T94" s="46">
        <v>0</v>
      </c>
      <c r="U94" s="46">
        <v>0</v>
      </c>
      <c r="V94" s="47">
        <v>0</v>
      </c>
      <c r="W94" s="46">
        <v>0</v>
      </c>
      <c r="X94" s="46">
        <v>0</v>
      </c>
      <c r="Y94" s="47">
        <v>0</v>
      </c>
      <c r="Z94" s="46">
        <v>0</v>
      </c>
      <c r="AA94" s="46">
        <v>0</v>
      </c>
      <c r="AB94" s="47">
        <v>0</v>
      </c>
    </row>
    <row r="95" spans="1:28" ht="20.25" customHeight="1">
      <c r="A95" s="32" t="e">
        <v>#REF!</v>
      </c>
      <c r="B95" s="48" t="s">
        <v>623</v>
      </c>
      <c r="C95" s="48" t="s">
        <v>23</v>
      </c>
      <c r="D95" s="48" t="s">
        <v>65</v>
      </c>
      <c r="E95" s="48" t="s">
        <v>65</v>
      </c>
      <c r="F95" s="48" t="s">
        <v>25</v>
      </c>
      <c r="G95" s="48"/>
      <c r="H95" s="48"/>
      <c r="I95" s="48"/>
      <c r="J95" s="49"/>
      <c r="K95" s="48"/>
      <c r="L95" s="48" t="s">
        <v>129</v>
      </c>
      <c r="M95" s="50">
        <v>10390000000</v>
      </c>
      <c r="N95" s="742">
        <v>0</v>
      </c>
      <c r="O95" s="742">
        <v>0</v>
      </c>
      <c r="P95" s="742">
        <v>0</v>
      </c>
      <c r="Q95" s="50">
        <v>9744370445</v>
      </c>
      <c r="R95" s="50">
        <v>645629555</v>
      </c>
      <c r="S95" s="50">
        <v>0</v>
      </c>
      <c r="T95" s="50">
        <v>0</v>
      </c>
      <c r="U95" s="50">
        <v>0</v>
      </c>
      <c r="V95" s="51">
        <v>0</v>
      </c>
      <c r="W95" s="50">
        <v>0</v>
      </c>
      <c r="X95" s="50">
        <v>0</v>
      </c>
      <c r="Y95" s="51">
        <v>0</v>
      </c>
      <c r="Z95" s="50">
        <v>0</v>
      </c>
      <c r="AA95" s="50">
        <v>0</v>
      </c>
      <c r="AB95" s="51">
        <v>0</v>
      </c>
    </row>
    <row r="96" spans="1:28" ht="24.95" customHeight="1">
      <c r="A96" s="32" t="e">
        <v>#REF!</v>
      </c>
      <c r="B96" s="56" t="s">
        <v>625</v>
      </c>
      <c r="C96" s="57" t="s">
        <v>23</v>
      </c>
      <c r="D96" s="57" t="s">
        <v>65</v>
      </c>
      <c r="E96" s="57" t="s">
        <v>65</v>
      </c>
      <c r="F96" s="57" t="s">
        <v>25</v>
      </c>
      <c r="G96" s="57" t="s">
        <v>130</v>
      </c>
      <c r="H96" s="57"/>
      <c r="I96" s="57"/>
      <c r="J96" s="57">
        <v>54</v>
      </c>
      <c r="K96" s="58" t="s">
        <v>29</v>
      </c>
      <c r="L96" s="59" t="s">
        <v>131</v>
      </c>
      <c r="M96" s="60"/>
      <c r="N96" s="60"/>
      <c r="O96" s="60"/>
      <c r="P96" s="60"/>
      <c r="Q96" s="60"/>
      <c r="R96" s="61"/>
      <c r="S96" s="60">
        <v>0</v>
      </c>
      <c r="T96" s="61"/>
      <c r="U96" s="60">
        <v>0</v>
      </c>
      <c r="V96" s="62">
        <v>0</v>
      </c>
      <c r="W96" s="60"/>
      <c r="X96" s="60">
        <v>0</v>
      </c>
      <c r="Y96" s="62">
        <v>0</v>
      </c>
      <c r="Z96" s="60"/>
      <c r="AA96" s="60">
        <v>0</v>
      </c>
      <c r="AB96" s="62">
        <v>0</v>
      </c>
    </row>
    <row r="97" spans="1:30" ht="24.95" customHeight="1">
      <c r="A97" s="32" t="e">
        <v>#REF!</v>
      </c>
      <c r="B97" s="56" t="s">
        <v>625</v>
      </c>
      <c r="C97" s="57" t="s">
        <v>23</v>
      </c>
      <c r="D97" s="57" t="s">
        <v>65</v>
      </c>
      <c r="E97" s="57" t="s">
        <v>65</v>
      </c>
      <c r="F97" s="57" t="s">
        <v>25</v>
      </c>
      <c r="G97" s="57" t="s">
        <v>130</v>
      </c>
      <c r="H97" s="57"/>
      <c r="I97" s="57"/>
      <c r="J97" s="57">
        <v>54</v>
      </c>
      <c r="K97" s="58" t="s">
        <v>29</v>
      </c>
      <c r="L97" s="59" t="s">
        <v>132</v>
      </c>
      <c r="M97" s="60"/>
      <c r="N97" s="60"/>
      <c r="O97" s="60"/>
      <c r="P97" s="60"/>
      <c r="Q97" s="60"/>
      <c r="R97" s="61"/>
      <c r="S97" s="60">
        <v>0</v>
      </c>
      <c r="T97" s="61"/>
      <c r="U97" s="60">
        <v>0</v>
      </c>
      <c r="V97" s="62">
        <v>0</v>
      </c>
      <c r="W97" s="60"/>
      <c r="X97" s="60">
        <v>0</v>
      </c>
      <c r="Y97" s="62">
        <v>0</v>
      </c>
      <c r="Z97" s="60"/>
      <c r="AA97" s="60">
        <v>0</v>
      </c>
      <c r="AB97" s="62">
        <v>0</v>
      </c>
    </row>
    <row r="98" spans="1:30" ht="24.95" customHeight="1">
      <c r="A98" s="32" t="e">
        <v>#REF!</v>
      </c>
      <c r="B98" s="56" t="s">
        <v>625</v>
      </c>
      <c r="C98" s="57" t="s">
        <v>23</v>
      </c>
      <c r="D98" s="57" t="s">
        <v>65</v>
      </c>
      <c r="E98" s="57" t="s">
        <v>65</v>
      </c>
      <c r="F98" s="57" t="s">
        <v>25</v>
      </c>
      <c r="G98" s="57" t="s">
        <v>130</v>
      </c>
      <c r="H98" s="57"/>
      <c r="I98" s="57"/>
      <c r="J98" s="57">
        <v>54</v>
      </c>
      <c r="K98" s="58" t="s">
        <v>29</v>
      </c>
      <c r="L98" s="59" t="s">
        <v>133</v>
      </c>
      <c r="M98" s="60"/>
      <c r="N98" s="60"/>
      <c r="O98" s="60"/>
      <c r="P98" s="60"/>
      <c r="Q98" s="60"/>
      <c r="R98" s="61"/>
      <c r="S98" s="60">
        <v>0</v>
      </c>
      <c r="T98" s="61"/>
      <c r="U98" s="60">
        <v>0</v>
      </c>
      <c r="V98" s="62">
        <v>0</v>
      </c>
      <c r="W98" s="60"/>
      <c r="X98" s="60">
        <v>0</v>
      </c>
      <c r="Y98" s="62">
        <v>0</v>
      </c>
      <c r="Z98" s="60"/>
      <c r="AA98" s="60">
        <v>0</v>
      </c>
      <c r="AB98" s="62">
        <v>0</v>
      </c>
    </row>
    <row r="99" spans="1:30" ht="24.95" customHeight="1">
      <c r="A99" s="32" t="e">
        <v>#REF!</v>
      </c>
      <c r="B99" s="56" t="s">
        <v>627</v>
      </c>
      <c r="C99" s="57" t="s">
        <v>23</v>
      </c>
      <c r="D99" s="57" t="s">
        <v>65</v>
      </c>
      <c r="E99" s="57" t="s">
        <v>65</v>
      </c>
      <c r="F99" s="57" t="s">
        <v>25</v>
      </c>
      <c r="G99" s="57" t="s">
        <v>134</v>
      </c>
      <c r="H99" s="57"/>
      <c r="I99" s="57"/>
      <c r="J99" s="57" t="s">
        <v>28</v>
      </c>
      <c r="K99" s="58" t="s">
        <v>29</v>
      </c>
      <c r="L99" s="59" t="s">
        <v>135</v>
      </c>
      <c r="M99" s="60">
        <v>10390000000</v>
      </c>
      <c r="N99" s="60"/>
      <c r="O99" s="60"/>
      <c r="P99" s="60"/>
      <c r="Q99" s="60">
        <v>9744370445</v>
      </c>
      <c r="R99" s="61">
        <v>645629555</v>
      </c>
      <c r="S99" s="60">
        <v>0</v>
      </c>
      <c r="T99" s="61">
        <v>0</v>
      </c>
      <c r="U99" s="60">
        <v>0</v>
      </c>
      <c r="V99" s="62">
        <v>0</v>
      </c>
      <c r="W99" s="60">
        <v>0</v>
      </c>
      <c r="X99" s="60">
        <v>0</v>
      </c>
      <c r="Y99" s="62">
        <v>0</v>
      </c>
      <c r="Z99" s="60">
        <v>0</v>
      </c>
      <c r="AA99" s="60">
        <v>0</v>
      </c>
      <c r="AB99" s="62">
        <v>0</v>
      </c>
    </row>
    <row r="100" spans="1:30" ht="24.95" customHeight="1">
      <c r="A100" s="32" t="e">
        <v>#REF!</v>
      </c>
      <c r="B100" s="56" t="s">
        <v>627</v>
      </c>
      <c r="C100" s="57" t="s">
        <v>23</v>
      </c>
      <c r="D100" s="57" t="s">
        <v>65</v>
      </c>
      <c r="E100" s="57" t="s">
        <v>65</v>
      </c>
      <c r="F100" s="57" t="s">
        <v>25</v>
      </c>
      <c r="G100" s="57" t="s">
        <v>134</v>
      </c>
      <c r="H100" s="57"/>
      <c r="I100" s="57"/>
      <c r="J100" s="57">
        <v>11</v>
      </c>
      <c r="K100" s="58" t="s">
        <v>29</v>
      </c>
      <c r="L100" s="59" t="s">
        <v>135</v>
      </c>
      <c r="M100" s="60"/>
      <c r="N100" s="60"/>
      <c r="O100" s="60"/>
      <c r="P100" s="60"/>
      <c r="Q100" s="60"/>
      <c r="R100" s="61"/>
      <c r="S100" s="60">
        <v>0</v>
      </c>
      <c r="T100" s="61"/>
      <c r="U100" s="60">
        <v>0</v>
      </c>
      <c r="V100" s="62">
        <v>0</v>
      </c>
      <c r="W100" s="60"/>
      <c r="X100" s="60">
        <v>0</v>
      </c>
      <c r="Y100" s="62">
        <v>0</v>
      </c>
      <c r="Z100" s="60"/>
      <c r="AA100" s="60">
        <v>0</v>
      </c>
      <c r="AB100" s="62">
        <v>0</v>
      </c>
    </row>
    <row r="101" spans="1:30" ht="24" customHeight="1">
      <c r="A101" s="32" t="e">
        <v>#REF!</v>
      </c>
      <c r="B101" s="43" t="s">
        <v>403</v>
      </c>
      <c r="C101" s="44" t="s">
        <v>23</v>
      </c>
      <c r="D101" s="44" t="s">
        <v>65</v>
      </c>
      <c r="E101" s="44" t="s">
        <v>136</v>
      </c>
      <c r="F101" s="44"/>
      <c r="G101" s="44"/>
      <c r="H101" s="44"/>
      <c r="I101" s="44"/>
      <c r="J101" s="44"/>
      <c r="K101" s="45"/>
      <c r="L101" s="43" t="s">
        <v>137</v>
      </c>
      <c r="M101" s="46">
        <v>719000000</v>
      </c>
      <c r="N101" s="741">
        <v>0</v>
      </c>
      <c r="O101" s="741">
        <v>0</v>
      </c>
      <c r="P101" s="46">
        <v>161700000</v>
      </c>
      <c r="Q101" s="46">
        <v>161700000</v>
      </c>
      <c r="R101" s="741">
        <v>0</v>
      </c>
      <c r="S101" s="46">
        <v>719000000</v>
      </c>
      <c r="T101" s="46">
        <v>522905098</v>
      </c>
      <c r="U101" s="46">
        <v>196094902</v>
      </c>
      <c r="V101" s="47">
        <v>0.727267173852573</v>
      </c>
      <c r="W101" s="46">
        <v>218881035</v>
      </c>
      <c r="X101" s="46">
        <v>304024063</v>
      </c>
      <c r="Y101" s="47">
        <v>0.5814134613772689</v>
      </c>
      <c r="Z101" s="46">
        <v>218881035</v>
      </c>
      <c r="AA101" s="46">
        <v>0</v>
      </c>
      <c r="AB101" s="47">
        <v>0.4185865386227311</v>
      </c>
    </row>
    <row r="102" spans="1:30" ht="21" customHeight="1">
      <c r="A102" s="32" t="e">
        <v>#REF!</v>
      </c>
      <c r="B102" s="48" t="s">
        <v>405</v>
      </c>
      <c r="C102" s="48" t="s">
        <v>23</v>
      </c>
      <c r="D102" s="48" t="s">
        <v>65</v>
      </c>
      <c r="E102" s="48" t="s">
        <v>136</v>
      </c>
      <c r="F102" s="48" t="s">
        <v>54</v>
      </c>
      <c r="G102" s="48"/>
      <c r="H102" s="48"/>
      <c r="I102" s="48"/>
      <c r="J102" s="49" t="s">
        <v>28</v>
      </c>
      <c r="K102" s="48" t="s">
        <v>29</v>
      </c>
      <c r="L102" s="48" t="s">
        <v>138</v>
      </c>
      <c r="M102" s="50">
        <v>719000000</v>
      </c>
      <c r="N102" s="742">
        <v>0</v>
      </c>
      <c r="O102" s="742">
        <v>0</v>
      </c>
      <c r="P102" s="50">
        <v>161700000</v>
      </c>
      <c r="Q102" s="50">
        <v>161700000</v>
      </c>
      <c r="R102" s="742">
        <v>0</v>
      </c>
      <c r="S102" s="50">
        <v>719000000</v>
      </c>
      <c r="T102" s="50">
        <v>522905098</v>
      </c>
      <c r="U102" s="50">
        <v>196094902</v>
      </c>
      <c r="V102" s="51">
        <v>0.727267173852573</v>
      </c>
      <c r="W102" s="50">
        <v>218881035</v>
      </c>
      <c r="X102" s="50">
        <v>304024063</v>
      </c>
      <c r="Y102" s="51">
        <v>0.5814134613772689</v>
      </c>
      <c r="Z102" s="50">
        <v>218881035</v>
      </c>
      <c r="AA102" s="50">
        <v>0</v>
      </c>
      <c r="AB102" s="51">
        <v>0.4185865386227311</v>
      </c>
    </row>
    <row r="103" spans="1:30" ht="21" customHeight="1">
      <c r="A103" s="32" t="e">
        <v>#REF!</v>
      </c>
      <c r="B103" s="52" t="s">
        <v>407</v>
      </c>
      <c r="C103" s="52" t="s">
        <v>23</v>
      </c>
      <c r="D103" s="52" t="s">
        <v>65</v>
      </c>
      <c r="E103" s="52" t="s">
        <v>136</v>
      </c>
      <c r="F103" s="52" t="s">
        <v>54</v>
      </c>
      <c r="G103" s="52" t="s">
        <v>52</v>
      </c>
      <c r="H103" s="52"/>
      <c r="I103" s="52"/>
      <c r="J103" s="53" t="s">
        <v>28</v>
      </c>
      <c r="K103" s="52" t="s">
        <v>29</v>
      </c>
      <c r="L103" s="52" t="s">
        <v>139</v>
      </c>
      <c r="M103" s="54">
        <v>719000000</v>
      </c>
      <c r="N103" s="743">
        <v>0</v>
      </c>
      <c r="O103" s="743">
        <v>0</v>
      </c>
      <c r="P103" s="54">
        <v>161700000</v>
      </c>
      <c r="Q103" s="54">
        <v>161700000</v>
      </c>
      <c r="R103" s="743">
        <v>0</v>
      </c>
      <c r="S103" s="54">
        <v>719000000</v>
      </c>
      <c r="T103" s="54">
        <v>522905098</v>
      </c>
      <c r="U103" s="54">
        <v>196094902</v>
      </c>
      <c r="V103" s="55">
        <v>0.727267173852573</v>
      </c>
      <c r="W103" s="54">
        <v>218881035</v>
      </c>
      <c r="X103" s="54">
        <v>304024063</v>
      </c>
      <c r="Y103" s="55">
        <v>0.5814134613772689</v>
      </c>
      <c r="Z103" s="54">
        <v>218881035</v>
      </c>
      <c r="AA103" s="54">
        <v>0</v>
      </c>
      <c r="AB103" s="55">
        <v>0.4185865386227311</v>
      </c>
    </row>
    <row r="104" spans="1:30" ht="24.95" customHeight="1">
      <c r="A104" s="32" t="e">
        <v>#REF!</v>
      </c>
      <c r="B104" s="56" t="s">
        <v>409</v>
      </c>
      <c r="C104" s="57" t="s">
        <v>23</v>
      </c>
      <c r="D104" s="57" t="s">
        <v>65</v>
      </c>
      <c r="E104" s="57" t="s">
        <v>136</v>
      </c>
      <c r="F104" s="57" t="s">
        <v>54</v>
      </c>
      <c r="G104" s="57" t="s">
        <v>52</v>
      </c>
      <c r="H104" s="57" t="s">
        <v>31</v>
      </c>
      <c r="I104" s="57"/>
      <c r="J104" s="57" t="s">
        <v>28</v>
      </c>
      <c r="K104" s="58" t="s">
        <v>29</v>
      </c>
      <c r="L104" s="59" t="s">
        <v>140</v>
      </c>
      <c r="M104" s="60">
        <v>359500000</v>
      </c>
      <c r="N104" s="60"/>
      <c r="O104" s="60"/>
      <c r="P104" s="60">
        <v>91700000</v>
      </c>
      <c r="Q104" s="60">
        <v>70000000</v>
      </c>
      <c r="R104" s="61"/>
      <c r="S104" s="60">
        <v>381200000</v>
      </c>
      <c r="T104" s="60">
        <v>256217961</v>
      </c>
      <c r="U104" s="60">
        <v>124982039</v>
      </c>
      <c r="V104" s="62">
        <v>0.67213525970619092</v>
      </c>
      <c r="W104" s="60">
        <v>205682223</v>
      </c>
      <c r="X104" s="60">
        <v>50535738</v>
      </c>
      <c r="Y104" s="62">
        <v>0.19723729672487714</v>
      </c>
      <c r="Z104" s="60">
        <v>205682223</v>
      </c>
      <c r="AA104" s="60">
        <v>0</v>
      </c>
      <c r="AB104" s="62">
        <v>0.80276270327512289</v>
      </c>
    </row>
    <row r="105" spans="1:30" ht="24.95" customHeight="1">
      <c r="A105" s="32" t="e">
        <v>#REF!</v>
      </c>
      <c r="B105" s="56" t="s">
        <v>411</v>
      </c>
      <c r="C105" s="57" t="s">
        <v>23</v>
      </c>
      <c r="D105" s="57" t="s">
        <v>65</v>
      </c>
      <c r="E105" s="57" t="s">
        <v>136</v>
      </c>
      <c r="F105" s="57" t="s">
        <v>54</v>
      </c>
      <c r="G105" s="57" t="s">
        <v>52</v>
      </c>
      <c r="H105" s="57" t="s">
        <v>34</v>
      </c>
      <c r="I105" s="57"/>
      <c r="J105" s="57" t="s">
        <v>28</v>
      </c>
      <c r="K105" s="58" t="s">
        <v>29</v>
      </c>
      <c r="L105" s="59" t="s">
        <v>141</v>
      </c>
      <c r="M105" s="60">
        <v>359500000</v>
      </c>
      <c r="N105" s="60"/>
      <c r="O105" s="60"/>
      <c r="P105" s="60">
        <v>70000000</v>
      </c>
      <c r="Q105" s="60">
        <v>91700000</v>
      </c>
      <c r="R105" s="61"/>
      <c r="S105" s="60">
        <v>337800000</v>
      </c>
      <c r="T105" s="60">
        <v>266687137</v>
      </c>
      <c r="U105" s="60">
        <v>71112863</v>
      </c>
      <c r="V105" s="62">
        <v>0.78948234754292479</v>
      </c>
      <c r="W105" s="60">
        <v>13198812</v>
      </c>
      <c r="X105" s="60">
        <v>253488325</v>
      </c>
      <c r="Y105" s="62">
        <v>0.9505082541720038</v>
      </c>
      <c r="Z105" s="60">
        <v>13198812</v>
      </c>
      <c r="AA105" s="60">
        <v>0</v>
      </c>
      <c r="AB105" s="62">
        <v>4.9491745827996196E-2</v>
      </c>
    </row>
    <row r="106" spans="1:30" ht="24.95" hidden="1" customHeight="1">
      <c r="A106" s="32" t="e">
        <v>#REF!</v>
      </c>
      <c r="B106" s="56"/>
      <c r="C106" s="57" t="s">
        <v>23</v>
      </c>
      <c r="D106" s="57" t="s">
        <v>65</v>
      </c>
      <c r="E106" s="57" t="s">
        <v>136</v>
      </c>
      <c r="F106" s="57" t="s">
        <v>54</v>
      </c>
      <c r="G106" s="57" t="s">
        <v>142</v>
      </c>
      <c r="H106" s="57"/>
      <c r="I106" s="57"/>
      <c r="J106" s="57" t="s">
        <v>28</v>
      </c>
      <c r="K106" s="58" t="s">
        <v>29</v>
      </c>
      <c r="L106" s="59"/>
      <c r="M106" s="60">
        <v>0</v>
      </c>
      <c r="N106" s="60"/>
      <c r="O106" s="60"/>
      <c r="P106" s="60"/>
      <c r="Q106" s="60"/>
      <c r="R106" s="61"/>
      <c r="S106" s="60">
        <v>0</v>
      </c>
      <c r="T106" s="60">
        <v>0</v>
      </c>
      <c r="U106" s="60">
        <v>0</v>
      </c>
      <c r="V106" s="62">
        <v>0</v>
      </c>
      <c r="W106" s="60">
        <v>0</v>
      </c>
      <c r="X106" s="60">
        <v>0</v>
      </c>
      <c r="Y106" s="62">
        <v>0</v>
      </c>
      <c r="Z106" s="60">
        <v>0</v>
      </c>
      <c r="AA106" s="60">
        <v>0</v>
      </c>
      <c r="AB106" s="62">
        <v>0</v>
      </c>
    </row>
    <row r="107" spans="1:30" ht="24" customHeight="1">
      <c r="A107" s="32" t="e">
        <v>#REF!</v>
      </c>
      <c r="B107" s="43" t="s">
        <v>415</v>
      </c>
      <c r="C107" s="44" t="s">
        <v>23</v>
      </c>
      <c r="D107" s="44" t="s">
        <v>65</v>
      </c>
      <c r="E107" s="44" t="s">
        <v>28</v>
      </c>
      <c r="F107" s="44"/>
      <c r="G107" s="44"/>
      <c r="H107" s="44"/>
      <c r="I107" s="44"/>
      <c r="J107" s="44"/>
      <c r="K107" s="45"/>
      <c r="L107" s="43" t="s">
        <v>143</v>
      </c>
      <c r="M107" s="46">
        <v>2359000000</v>
      </c>
      <c r="N107" s="741">
        <v>0</v>
      </c>
      <c r="O107" s="741">
        <v>0</v>
      </c>
      <c r="P107" s="46">
        <v>27767407</v>
      </c>
      <c r="Q107" s="741">
        <v>27767407</v>
      </c>
      <c r="R107" s="741">
        <v>0</v>
      </c>
      <c r="S107" s="46">
        <v>2359000000</v>
      </c>
      <c r="T107" s="46">
        <v>2174005867.73</v>
      </c>
      <c r="U107" s="46">
        <v>184994132.26999998</v>
      </c>
      <c r="V107" s="47">
        <v>0.92157942676133953</v>
      </c>
      <c r="W107" s="46">
        <v>2174005867.73</v>
      </c>
      <c r="X107" s="46">
        <v>0</v>
      </c>
      <c r="Y107" s="47">
        <v>0</v>
      </c>
      <c r="Z107" s="46">
        <v>2174005867.73</v>
      </c>
      <c r="AA107" s="46">
        <v>0</v>
      </c>
      <c r="AB107" s="47">
        <v>1</v>
      </c>
    </row>
    <row r="108" spans="1:30" ht="21.75" customHeight="1">
      <c r="A108" s="32" t="e">
        <v>#REF!</v>
      </c>
      <c r="B108" s="48" t="s">
        <v>417</v>
      </c>
      <c r="C108" s="48" t="s">
        <v>23</v>
      </c>
      <c r="D108" s="48" t="s">
        <v>65</v>
      </c>
      <c r="E108" s="48" t="s">
        <v>28</v>
      </c>
      <c r="F108" s="48" t="s">
        <v>25</v>
      </c>
      <c r="G108" s="48"/>
      <c r="H108" s="48"/>
      <c r="I108" s="48"/>
      <c r="J108" s="49" t="s">
        <v>144</v>
      </c>
      <c r="K108" s="48" t="s">
        <v>29</v>
      </c>
      <c r="L108" s="48" t="s">
        <v>145</v>
      </c>
      <c r="M108" s="50">
        <v>2359000000</v>
      </c>
      <c r="N108" s="742">
        <v>0</v>
      </c>
      <c r="O108" s="742">
        <v>0</v>
      </c>
      <c r="P108" s="50">
        <v>27767407</v>
      </c>
      <c r="Q108" s="742">
        <v>27767407</v>
      </c>
      <c r="R108" s="742">
        <v>0</v>
      </c>
      <c r="S108" s="50">
        <v>2359000000</v>
      </c>
      <c r="T108" s="50">
        <v>2174005867.73</v>
      </c>
      <c r="U108" s="50">
        <v>184994132.26999998</v>
      </c>
      <c r="V108" s="51">
        <v>0.92157942676133953</v>
      </c>
      <c r="W108" s="50">
        <v>2174005867.73</v>
      </c>
      <c r="X108" s="50">
        <v>0</v>
      </c>
      <c r="Y108" s="51">
        <v>0</v>
      </c>
      <c r="Z108" s="50">
        <v>2174005867.73</v>
      </c>
      <c r="AA108" s="50">
        <v>0</v>
      </c>
      <c r="AB108" s="51">
        <v>1</v>
      </c>
    </row>
    <row r="109" spans="1:30" ht="24.95" customHeight="1">
      <c r="A109" s="32" t="e">
        <v>#REF!</v>
      </c>
      <c r="B109" s="56" t="s">
        <v>418</v>
      </c>
      <c r="C109" s="57" t="s">
        <v>23</v>
      </c>
      <c r="D109" s="57" t="s">
        <v>65</v>
      </c>
      <c r="E109" s="57" t="s">
        <v>28</v>
      </c>
      <c r="F109" s="57" t="s">
        <v>25</v>
      </c>
      <c r="G109" s="57" t="s">
        <v>31</v>
      </c>
      <c r="H109" s="57"/>
      <c r="I109" s="57"/>
      <c r="J109" s="57">
        <v>10</v>
      </c>
      <c r="K109" s="58" t="s">
        <v>29</v>
      </c>
      <c r="L109" s="59" t="s">
        <v>146</v>
      </c>
      <c r="M109" s="60">
        <v>2311820000</v>
      </c>
      <c r="N109" s="60"/>
      <c r="O109" s="60"/>
      <c r="P109" s="60">
        <v>27767407</v>
      </c>
      <c r="Q109" s="60"/>
      <c r="R109" s="61"/>
      <c r="S109" s="60">
        <v>2339587407</v>
      </c>
      <c r="T109" s="60">
        <v>2154593274.73</v>
      </c>
      <c r="U109" s="60">
        <v>184994132.26999998</v>
      </c>
      <c r="V109" s="62">
        <v>0.92092873652999618</v>
      </c>
      <c r="W109" s="60">
        <v>2154593274.73</v>
      </c>
      <c r="X109" s="60">
        <v>0</v>
      </c>
      <c r="Y109" s="62">
        <v>0</v>
      </c>
      <c r="Z109" s="60">
        <v>2154593274.73</v>
      </c>
      <c r="AA109" s="60">
        <v>0</v>
      </c>
      <c r="AB109" s="62">
        <v>1</v>
      </c>
    </row>
    <row r="110" spans="1:30" ht="24.95" customHeight="1">
      <c r="A110" s="32" t="e">
        <v>#REF!</v>
      </c>
      <c r="B110" s="56" t="s">
        <v>419</v>
      </c>
      <c r="C110" s="57" t="s">
        <v>23</v>
      </c>
      <c r="D110" s="57" t="s">
        <v>65</v>
      </c>
      <c r="E110" s="57" t="s">
        <v>28</v>
      </c>
      <c r="F110" s="57" t="s">
        <v>25</v>
      </c>
      <c r="G110" s="57" t="s">
        <v>34</v>
      </c>
      <c r="H110" s="57"/>
      <c r="I110" s="57"/>
      <c r="J110" s="57">
        <v>10</v>
      </c>
      <c r="K110" s="58" t="s">
        <v>29</v>
      </c>
      <c r="L110" s="59" t="s">
        <v>147</v>
      </c>
      <c r="M110" s="60">
        <v>47180000</v>
      </c>
      <c r="N110" s="60"/>
      <c r="O110" s="60"/>
      <c r="P110" s="60"/>
      <c r="Q110" s="60">
        <v>27767407</v>
      </c>
      <c r="R110" s="61"/>
      <c r="S110" s="60">
        <v>19412593</v>
      </c>
      <c r="T110" s="60">
        <v>19412593</v>
      </c>
      <c r="U110" s="60">
        <v>0</v>
      </c>
      <c r="V110" s="62">
        <v>1</v>
      </c>
      <c r="W110" s="60">
        <v>19412593</v>
      </c>
      <c r="X110" s="60">
        <v>0</v>
      </c>
      <c r="Y110" s="62">
        <v>0</v>
      </c>
      <c r="Z110" s="60">
        <v>19412593</v>
      </c>
      <c r="AA110" s="60">
        <v>0</v>
      </c>
      <c r="AB110" s="62">
        <v>1</v>
      </c>
    </row>
    <row r="111" spans="1:30" ht="24" customHeight="1">
      <c r="A111" s="32" t="e">
        <v>#REF!</v>
      </c>
      <c r="B111" s="38" t="s">
        <v>421</v>
      </c>
      <c r="C111" s="39" t="s">
        <v>23</v>
      </c>
      <c r="D111" s="39" t="s">
        <v>148</v>
      </c>
      <c r="E111" s="39"/>
      <c r="F111" s="39"/>
      <c r="G111" s="39"/>
      <c r="H111" s="39"/>
      <c r="I111" s="39"/>
      <c r="J111" s="39"/>
      <c r="K111" s="40"/>
      <c r="L111" s="38" t="s">
        <v>149</v>
      </c>
      <c r="M111" s="41">
        <v>17105900000</v>
      </c>
      <c r="N111" s="740">
        <v>0</v>
      </c>
      <c r="O111" s="740">
        <v>0</v>
      </c>
      <c r="P111" s="41">
        <v>10624370445</v>
      </c>
      <c r="Q111" s="740">
        <v>0</v>
      </c>
      <c r="R111" s="740">
        <v>0</v>
      </c>
      <c r="S111" s="41">
        <v>27730270445</v>
      </c>
      <c r="T111" s="41">
        <v>17063453240.799999</v>
      </c>
      <c r="U111" s="41">
        <v>10666817204.200001</v>
      </c>
      <c r="V111" s="42">
        <v>0.61533670487071224</v>
      </c>
      <c r="W111" s="41">
        <v>17063294068.799999</v>
      </c>
      <c r="X111" s="41">
        <v>159172</v>
      </c>
      <c r="Y111" s="42">
        <v>9.3282407584068491E-6</v>
      </c>
      <c r="Z111" s="41">
        <v>17063167475.799999</v>
      </c>
      <c r="AA111" s="41">
        <v>126593</v>
      </c>
      <c r="AB111" s="42">
        <v>0.99998325280375744</v>
      </c>
    </row>
    <row r="112" spans="1:30" ht="24" customHeight="1">
      <c r="A112" s="32" t="e">
        <v>#REF!</v>
      </c>
      <c r="B112" s="43" t="s">
        <v>423</v>
      </c>
      <c r="C112" s="44" t="s">
        <v>23</v>
      </c>
      <c r="D112" s="44" t="s">
        <v>148</v>
      </c>
      <c r="E112" s="44" t="s">
        <v>25</v>
      </c>
      <c r="F112" s="44"/>
      <c r="G112" s="44"/>
      <c r="H112" s="44"/>
      <c r="I112" s="44"/>
      <c r="J112" s="44"/>
      <c r="K112" s="45"/>
      <c r="L112" s="43" t="s">
        <v>150</v>
      </c>
      <c r="M112" s="46">
        <v>137900000</v>
      </c>
      <c r="N112" s="741">
        <v>0</v>
      </c>
      <c r="O112" s="741">
        <v>0</v>
      </c>
      <c r="P112" s="741">
        <v>0</v>
      </c>
      <c r="Q112" s="741">
        <v>0</v>
      </c>
      <c r="R112" s="741">
        <v>0</v>
      </c>
      <c r="S112" s="46">
        <v>137900000</v>
      </c>
      <c r="T112" s="46">
        <v>95453240.799999997</v>
      </c>
      <c r="U112" s="46">
        <v>42446759.200000003</v>
      </c>
      <c r="V112" s="47">
        <v>0.69219173894126174</v>
      </c>
      <c r="W112" s="46">
        <v>95294068.799999997</v>
      </c>
      <c r="X112" s="46">
        <v>159172</v>
      </c>
      <c r="Y112" s="47">
        <v>1.6675389820813712E-3</v>
      </c>
      <c r="Z112" s="46">
        <v>95167475.799999997</v>
      </c>
      <c r="AA112" s="46">
        <v>126593</v>
      </c>
      <c r="AB112" s="47">
        <v>0.99700623051030024</v>
      </c>
    </row>
    <row r="113" spans="1:28" ht="24" customHeight="1">
      <c r="A113" s="32" t="e">
        <v>#REF!</v>
      </c>
      <c r="B113" s="48" t="s">
        <v>425</v>
      </c>
      <c r="C113" s="48" t="s">
        <v>23</v>
      </c>
      <c r="D113" s="48" t="s">
        <v>148</v>
      </c>
      <c r="E113" s="48" t="s">
        <v>25</v>
      </c>
      <c r="F113" s="48" t="s">
        <v>54</v>
      </c>
      <c r="G113" s="48"/>
      <c r="H113" s="48"/>
      <c r="I113" s="48"/>
      <c r="J113" s="49" t="s">
        <v>28</v>
      </c>
      <c r="K113" s="48" t="s">
        <v>29</v>
      </c>
      <c r="L113" s="48" t="s">
        <v>151</v>
      </c>
      <c r="M113" s="50">
        <v>137900000</v>
      </c>
      <c r="N113" s="742">
        <v>0</v>
      </c>
      <c r="O113" s="742">
        <v>0</v>
      </c>
      <c r="P113" s="742">
        <v>0</v>
      </c>
      <c r="Q113" s="742">
        <v>0</v>
      </c>
      <c r="R113" s="742">
        <v>0</v>
      </c>
      <c r="S113" s="50">
        <v>137900000</v>
      </c>
      <c r="T113" s="50">
        <v>95453240.799999997</v>
      </c>
      <c r="U113" s="50">
        <v>42446759.200000003</v>
      </c>
      <c r="V113" s="51">
        <v>0.69219173894126174</v>
      </c>
      <c r="W113" s="50">
        <v>95294068.799999997</v>
      </c>
      <c r="X113" s="50">
        <v>159172</v>
      </c>
      <c r="Y113" s="51">
        <v>1.6675389820813712E-3</v>
      </c>
      <c r="Z113" s="50">
        <v>95167475.799999997</v>
      </c>
      <c r="AA113" s="50">
        <v>126593</v>
      </c>
      <c r="AB113" s="51">
        <v>0.99700623051030024</v>
      </c>
    </row>
    <row r="114" spans="1:28" ht="24.95" customHeight="1">
      <c r="A114" s="32" t="e">
        <v>#REF!</v>
      </c>
      <c r="B114" s="56" t="s">
        <v>427</v>
      </c>
      <c r="C114" s="57" t="s">
        <v>23</v>
      </c>
      <c r="D114" s="57" t="s">
        <v>148</v>
      </c>
      <c r="E114" s="57" t="s">
        <v>25</v>
      </c>
      <c r="F114" s="57" t="s">
        <v>54</v>
      </c>
      <c r="G114" s="57" t="s">
        <v>31</v>
      </c>
      <c r="H114" s="57"/>
      <c r="I114" s="57"/>
      <c r="J114" s="57" t="s">
        <v>28</v>
      </c>
      <c r="K114" s="58" t="s">
        <v>29</v>
      </c>
      <c r="L114" s="59" t="s">
        <v>152</v>
      </c>
      <c r="M114" s="60">
        <v>61800000</v>
      </c>
      <c r="N114" s="60">
        <v>0</v>
      </c>
      <c r="O114" s="60"/>
      <c r="P114" s="60"/>
      <c r="Q114" s="60"/>
      <c r="R114" s="61"/>
      <c r="S114" s="60">
        <v>61800000</v>
      </c>
      <c r="T114" s="60">
        <v>46149614</v>
      </c>
      <c r="U114" s="60">
        <v>15650386</v>
      </c>
      <c r="V114" s="62">
        <v>0.74675750809061492</v>
      </c>
      <c r="W114" s="60">
        <v>46149614</v>
      </c>
      <c r="X114" s="60">
        <v>0</v>
      </c>
      <c r="Y114" s="62">
        <v>0</v>
      </c>
      <c r="Z114" s="60">
        <v>46149614</v>
      </c>
      <c r="AA114" s="60">
        <v>0</v>
      </c>
      <c r="AB114" s="62">
        <v>1</v>
      </c>
    </row>
    <row r="115" spans="1:28" ht="24.95" customHeight="1">
      <c r="A115" s="32" t="e">
        <v>#REF!</v>
      </c>
      <c r="B115" s="56" t="s">
        <v>429</v>
      </c>
      <c r="C115" s="57" t="s">
        <v>23</v>
      </c>
      <c r="D115" s="57" t="s">
        <v>148</v>
      </c>
      <c r="E115" s="57" t="s">
        <v>25</v>
      </c>
      <c r="F115" s="57" t="s">
        <v>54</v>
      </c>
      <c r="G115" s="57" t="s">
        <v>38</v>
      </c>
      <c r="H115" s="57"/>
      <c r="I115" s="57"/>
      <c r="J115" s="57" t="s">
        <v>28</v>
      </c>
      <c r="K115" s="58" t="s">
        <v>29</v>
      </c>
      <c r="L115" s="59" t="s">
        <v>153</v>
      </c>
      <c r="M115" s="60">
        <v>50000000</v>
      </c>
      <c r="N115" s="60"/>
      <c r="O115" s="60"/>
      <c r="P115" s="60"/>
      <c r="Q115" s="60"/>
      <c r="R115" s="61"/>
      <c r="S115" s="60">
        <v>50000000</v>
      </c>
      <c r="T115" s="60">
        <v>42206476.799999997</v>
      </c>
      <c r="U115" s="60">
        <v>7793523.200000003</v>
      </c>
      <c r="V115" s="62">
        <v>0.84412953599999996</v>
      </c>
      <c r="W115" s="60">
        <v>42047304.799999997</v>
      </c>
      <c r="X115" s="60">
        <v>159172</v>
      </c>
      <c r="Y115" s="62">
        <v>3.7712695317890172E-3</v>
      </c>
      <c r="Z115" s="60">
        <v>41920711.799999997</v>
      </c>
      <c r="AA115" s="60">
        <v>126593</v>
      </c>
      <c r="AB115" s="62">
        <v>0.99322935668489631</v>
      </c>
    </row>
    <row r="116" spans="1:28" ht="24.95" customHeight="1">
      <c r="A116" s="32" t="e">
        <v>#REF!</v>
      </c>
      <c r="B116" s="56" t="s">
        <v>431</v>
      </c>
      <c r="C116" s="57" t="s">
        <v>23</v>
      </c>
      <c r="D116" s="57" t="s">
        <v>148</v>
      </c>
      <c r="E116" s="57" t="s">
        <v>25</v>
      </c>
      <c r="F116" s="57" t="s">
        <v>54</v>
      </c>
      <c r="G116" s="57" t="s">
        <v>42</v>
      </c>
      <c r="H116" s="57"/>
      <c r="I116" s="57"/>
      <c r="J116" s="57" t="s">
        <v>28</v>
      </c>
      <c r="K116" s="58" t="s">
        <v>29</v>
      </c>
      <c r="L116" s="59" t="s">
        <v>154</v>
      </c>
      <c r="M116" s="60">
        <v>26100000</v>
      </c>
      <c r="N116" s="60">
        <v>0</v>
      </c>
      <c r="O116" s="60"/>
      <c r="P116" s="60"/>
      <c r="Q116" s="60"/>
      <c r="R116" s="61"/>
      <c r="S116" s="60">
        <v>26100000</v>
      </c>
      <c r="T116" s="60">
        <v>7097150</v>
      </c>
      <c r="U116" s="60">
        <v>19002850</v>
      </c>
      <c r="V116" s="62">
        <v>0.27192145593869732</v>
      </c>
      <c r="W116" s="60">
        <v>7097150</v>
      </c>
      <c r="X116" s="60">
        <v>0</v>
      </c>
      <c r="Y116" s="62">
        <v>0</v>
      </c>
      <c r="Z116" s="60">
        <v>7097150</v>
      </c>
      <c r="AA116" s="60">
        <v>0</v>
      </c>
      <c r="AB116" s="62">
        <v>1</v>
      </c>
    </row>
    <row r="117" spans="1:28" ht="24" customHeight="1">
      <c r="A117" s="32" t="e">
        <v>#REF!</v>
      </c>
      <c r="B117" s="43" t="s">
        <v>432</v>
      </c>
      <c r="C117" s="44" t="s">
        <v>23</v>
      </c>
      <c r="D117" s="44" t="s">
        <v>148</v>
      </c>
      <c r="E117" s="44" t="s">
        <v>136</v>
      </c>
      <c r="F117" s="44"/>
      <c r="G117" s="44"/>
      <c r="H117" s="44"/>
      <c r="I117" s="44"/>
      <c r="J117" s="44"/>
      <c r="K117" s="45"/>
      <c r="L117" s="43" t="s">
        <v>155</v>
      </c>
      <c r="M117" s="46">
        <v>16968000000</v>
      </c>
      <c r="N117" s="741">
        <v>0</v>
      </c>
      <c r="O117" s="741">
        <v>0</v>
      </c>
      <c r="P117" s="46">
        <v>10624370445</v>
      </c>
      <c r="Q117" s="741">
        <v>0</v>
      </c>
      <c r="R117" s="741">
        <v>0</v>
      </c>
      <c r="S117" s="46">
        <v>27592370445</v>
      </c>
      <c r="T117" s="46">
        <v>16968000000</v>
      </c>
      <c r="U117" s="46">
        <v>10624370445</v>
      </c>
      <c r="V117" s="47">
        <v>0.61495260198185553</v>
      </c>
      <c r="W117" s="46">
        <v>16968000000</v>
      </c>
      <c r="X117" s="46">
        <v>0</v>
      </c>
      <c r="Y117" s="47">
        <v>0</v>
      </c>
      <c r="Z117" s="46">
        <v>16968000000</v>
      </c>
      <c r="AA117" s="46">
        <v>0</v>
      </c>
      <c r="AB117" s="47">
        <v>1</v>
      </c>
    </row>
    <row r="118" spans="1:28" ht="24.95" customHeight="1">
      <c r="A118" s="32"/>
      <c r="B118" s="56" t="s">
        <v>434</v>
      </c>
      <c r="C118" s="57" t="s">
        <v>23</v>
      </c>
      <c r="D118" s="57" t="s">
        <v>148</v>
      </c>
      <c r="E118" s="57" t="s">
        <v>136</v>
      </c>
      <c r="F118" s="57" t="s">
        <v>25</v>
      </c>
      <c r="G118" s="57"/>
      <c r="H118" s="57"/>
      <c r="I118" s="57"/>
      <c r="J118" s="57">
        <v>10</v>
      </c>
      <c r="K118" s="58" t="s">
        <v>156</v>
      </c>
      <c r="L118" s="59" t="s">
        <v>157</v>
      </c>
      <c r="M118" s="60">
        <v>0</v>
      </c>
      <c r="N118" s="60"/>
      <c r="O118" s="60"/>
      <c r="P118" s="60">
        <v>10624370445</v>
      </c>
      <c r="Q118" s="60"/>
      <c r="R118" s="61"/>
      <c r="S118" s="60">
        <v>10624370445</v>
      </c>
      <c r="T118" s="60">
        <v>0</v>
      </c>
      <c r="U118" s="60">
        <v>10624370445</v>
      </c>
      <c r="V118" s="62">
        <v>0</v>
      </c>
      <c r="W118" s="60">
        <v>0</v>
      </c>
      <c r="X118" s="60">
        <v>0</v>
      </c>
      <c r="Y118" s="62">
        <v>0</v>
      </c>
      <c r="Z118" s="60">
        <v>0</v>
      </c>
      <c r="AA118" s="60">
        <v>0</v>
      </c>
      <c r="AB118" s="62">
        <v>0</v>
      </c>
    </row>
    <row r="119" spans="1:28" ht="24.95" customHeight="1">
      <c r="A119" s="32" t="e">
        <v>#REF!</v>
      </c>
      <c r="B119" s="56" t="s">
        <v>434</v>
      </c>
      <c r="C119" s="57" t="s">
        <v>23</v>
      </c>
      <c r="D119" s="57" t="s">
        <v>148</v>
      </c>
      <c r="E119" s="57" t="s">
        <v>136</v>
      </c>
      <c r="F119" s="57" t="s">
        <v>25</v>
      </c>
      <c r="G119" s="57"/>
      <c r="H119" s="57"/>
      <c r="I119" s="57"/>
      <c r="J119" s="57" t="s">
        <v>144</v>
      </c>
      <c r="K119" s="58" t="s">
        <v>156</v>
      </c>
      <c r="L119" s="59" t="s">
        <v>157</v>
      </c>
      <c r="M119" s="60">
        <v>16968000000</v>
      </c>
      <c r="N119" s="60"/>
      <c r="O119" s="60"/>
      <c r="P119" s="60"/>
      <c r="Q119" s="60"/>
      <c r="R119" s="61"/>
      <c r="S119" s="60">
        <v>16968000000</v>
      </c>
      <c r="T119" s="61">
        <v>16968000000</v>
      </c>
      <c r="U119" s="60">
        <v>0</v>
      </c>
      <c r="V119" s="62">
        <v>1</v>
      </c>
      <c r="W119" s="60">
        <v>16968000000</v>
      </c>
      <c r="X119" s="60">
        <v>0</v>
      </c>
      <c r="Y119" s="62">
        <v>0</v>
      </c>
      <c r="Z119" s="60">
        <v>16968000000</v>
      </c>
      <c r="AA119" s="60">
        <v>0</v>
      </c>
      <c r="AB119" s="62">
        <v>1</v>
      </c>
    </row>
    <row r="120" spans="1:28" ht="35.1" customHeight="1">
      <c r="A120" s="32" t="e">
        <v>#REF!</v>
      </c>
      <c r="B120" s="33" t="s">
        <v>162</v>
      </c>
      <c r="C120" s="34" t="s">
        <v>162</v>
      </c>
      <c r="D120" s="35"/>
      <c r="E120" s="35"/>
      <c r="F120" s="35"/>
      <c r="G120" s="35"/>
      <c r="H120" s="35"/>
      <c r="I120" s="35"/>
      <c r="J120" s="34"/>
      <c r="K120" s="35"/>
      <c r="L120" s="33" t="s">
        <v>163</v>
      </c>
      <c r="M120" s="36">
        <v>381865302</v>
      </c>
      <c r="N120" s="739">
        <v>0</v>
      </c>
      <c r="O120" s="739">
        <v>0</v>
      </c>
      <c r="P120" s="739">
        <v>0</v>
      </c>
      <c r="Q120" s="739">
        <v>0</v>
      </c>
      <c r="R120" s="739">
        <v>0</v>
      </c>
      <c r="S120" s="36">
        <v>381865302</v>
      </c>
      <c r="T120" s="36">
        <v>381865302</v>
      </c>
      <c r="U120" s="36">
        <v>0</v>
      </c>
      <c r="V120" s="37">
        <v>1</v>
      </c>
      <c r="W120" s="36">
        <v>381865302</v>
      </c>
      <c r="X120" s="36">
        <v>0</v>
      </c>
      <c r="Y120" s="37">
        <v>0</v>
      </c>
      <c r="Z120" s="36">
        <v>381865302</v>
      </c>
      <c r="AA120" s="36">
        <v>0</v>
      </c>
      <c r="AB120" s="37">
        <v>1</v>
      </c>
    </row>
    <row r="121" spans="1:28" ht="24" customHeight="1">
      <c r="A121" s="32" t="e">
        <v>#REF!</v>
      </c>
      <c r="B121" s="38" t="s">
        <v>729</v>
      </c>
      <c r="C121" s="39" t="s">
        <v>162</v>
      </c>
      <c r="D121" s="39">
        <v>10</v>
      </c>
      <c r="E121" s="39"/>
      <c r="F121" s="39"/>
      <c r="G121" s="39"/>
      <c r="H121" s="39"/>
      <c r="I121" s="39"/>
      <c r="J121" s="39"/>
      <c r="K121" s="40"/>
      <c r="L121" s="38" t="s">
        <v>164</v>
      </c>
      <c r="M121" s="41">
        <v>381865302</v>
      </c>
      <c r="N121" s="740">
        <v>0</v>
      </c>
      <c r="O121" s="740">
        <v>0</v>
      </c>
      <c r="P121" s="740">
        <v>0</v>
      </c>
      <c r="Q121" s="740">
        <v>0</v>
      </c>
      <c r="R121" s="740">
        <v>0</v>
      </c>
      <c r="S121" s="41">
        <v>381865302</v>
      </c>
      <c r="T121" s="41">
        <v>381865302</v>
      </c>
      <c r="U121" s="41">
        <v>0</v>
      </c>
      <c r="V121" s="42">
        <v>1</v>
      </c>
      <c r="W121" s="41">
        <v>381865302</v>
      </c>
      <c r="X121" s="41">
        <v>0</v>
      </c>
      <c r="Y121" s="42">
        <v>0</v>
      </c>
      <c r="Z121" s="41">
        <v>381865302</v>
      </c>
      <c r="AA121" s="41">
        <v>0</v>
      </c>
      <c r="AB121" s="42">
        <v>1</v>
      </c>
    </row>
    <row r="122" spans="1:28" ht="24" customHeight="1">
      <c r="A122" s="32" t="e">
        <v>#REF!</v>
      </c>
      <c r="B122" s="43" t="s">
        <v>730</v>
      </c>
      <c r="C122" s="44" t="s">
        <v>162</v>
      </c>
      <c r="D122" s="44">
        <v>10</v>
      </c>
      <c r="E122" s="44" t="s">
        <v>136</v>
      </c>
      <c r="F122" s="44"/>
      <c r="G122" s="44"/>
      <c r="H122" s="44"/>
      <c r="I122" s="44"/>
      <c r="J122" s="44"/>
      <c r="K122" s="45"/>
      <c r="L122" s="43" t="s">
        <v>165</v>
      </c>
      <c r="M122" s="46">
        <v>381865302</v>
      </c>
      <c r="N122" s="741">
        <v>0</v>
      </c>
      <c r="O122" s="741">
        <v>0</v>
      </c>
      <c r="P122" s="741">
        <v>0</v>
      </c>
      <c r="Q122" s="741">
        <v>0</v>
      </c>
      <c r="R122" s="741">
        <v>0</v>
      </c>
      <c r="S122" s="46">
        <v>381865302</v>
      </c>
      <c r="T122" s="46">
        <v>381865302</v>
      </c>
      <c r="U122" s="46">
        <v>0</v>
      </c>
      <c r="V122" s="47">
        <v>1</v>
      </c>
      <c r="W122" s="46">
        <v>381865302</v>
      </c>
      <c r="X122" s="46">
        <v>0</v>
      </c>
      <c r="Y122" s="47">
        <v>0</v>
      </c>
      <c r="Z122" s="46">
        <v>381865302</v>
      </c>
      <c r="AA122" s="46">
        <v>0</v>
      </c>
      <c r="AB122" s="47">
        <v>1</v>
      </c>
    </row>
    <row r="123" spans="1:28" ht="24.95" customHeight="1">
      <c r="A123" s="32" t="e">
        <v>#REF!</v>
      </c>
      <c r="B123" s="56" t="s">
        <v>731</v>
      </c>
      <c r="C123" s="57" t="s">
        <v>162</v>
      </c>
      <c r="D123" s="57">
        <v>10</v>
      </c>
      <c r="E123" s="57" t="s">
        <v>136</v>
      </c>
      <c r="F123" s="57" t="s">
        <v>25</v>
      </c>
      <c r="G123" s="57"/>
      <c r="H123" s="57"/>
      <c r="I123" s="57"/>
      <c r="J123" s="57" t="s">
        <v>144</v>
      </c>
      <c r="K123" s="58" t="s">
        <v>29</v>
      </c>
      <c r="L123" s="59" t="s">
        <v>166</v>
      </c>
      <c r="M123" s="60">
        <v>381865302</v>
      </c>
      <c r="N123" s="60"/>
      <c r="O123" s="60"/>
      <c r="P123" s="60"/>
      <c r="Q123" s="60"/>
      <c r="R123" s="61"/>
      <c r="S123" s="60">
        <v>381865302</v>
      </c>
      <c r="T123" s="61">
        <v>381865302</v>
      </c>
      <c r="U123" s="60">
        <v>0</v>
      </c>
      <c r="V123" s="62">
        <v>1</v>
      </c>
      <c r="W123" s="60">
        <v>381865302</v>
      </c>
      <c r="X123" s="60">
        <v>0</v>
      </c>
      <c r="Y123" s="62">
        <v>0</v>
      </c>
      <c r="Z123" s="60">
        <v>381865302</v>
      </c>
      <c r="AA123" s="60">
        <v>0</v>
      </c>
      <c r="AB123" s="62">
        <v>1</v>
      </c>
    </row>
    <row r="124" spans="1:28" ht="35.1" customHeight="1">
      <c r="A124" s="32" t="e">
        <v>#REF!</v>
      </c>
      <c r="B124" s="33" t="s">
        <v>167</v>
      </c>
      <c r="C124" s="34" t="s">
        <v>167</v>
      </c>
      <c r="D124" s="35"/>
      <c r="E124" s="35"/>
      <c r="F124" s="35"/>
      <c r="G124" s="35"/>
      <c r="H124" s="35"/>
      <c r="I124" s="35"/>
      <c r="J124" s="34"/>
      <c r="K124" s="35"/>
      <c r="L124" s="33" t="s">
        <v>168</v>
      </c>
      <c r="M124" s="36">
        <v>12916249110989</v>
      </c>
      <c r="N124" s="36">
        <v>5269349000</v>
      </c>
      <c r="O124" s="739">
        <v>0</v>
      </c>
      <c r="P124" s="36">
        <v>211882752499.60999</v>
      </c>
      <c r="Q124" s="36">
        <v>211882752499.60999</v>
      </c>
      <c r="R124" s="739">
        <v>0</v>
      </c>
      <c r="S124" s="36">
        <v>12921518459989</v>
      </c>
      <c r="T124" s="36">
        <v>11490617932803.26</v>
      </c>
      <c r="U124" s="36">
        <v>1430900527185.74</v>
      </c>
      <c r="V124" s="37">
        <v>0.88926219997932365</v>
      </c>
      <c r="W124" s="36">
        <v>10008525468443.49</v>
      </c>
      <c r="X124" s="36">
        <v>1482092464359.77</v>
      </c>
      <c r="Y124" s="37">
        <v>0.12898283391084761</v>
      </c>
      <c r="Z124" s="36">
        <v>10001186111730.889</v>
      </c>
      <c r="AA124" s="36">
        <v>7339356712.6000061</v>
      </c>
      <c r="AB124" s="37">
        <v>0.87037844006453635</v>
      </c>
    </row>
    <row r="125" spans="1:28" ht="24" hidden="1" customHeight="1">
      <c r="A125" s="32" t="e">
        <v>#REF!</v>
      </c>
      <c r="B125" s="69" t="s">
        <v>437</v>
      </c>
      <c r="C125" s="70" t="s">
        <v>167</v>
      </c>
      <c r="D125" s="70">
        <v>4101</v>
      </c>
      <c r="E125" s="70"/>
      <c r="F125" s="70"/>
      <c r="G125" s="70"/>
      <c r="H125" s="70"/>
      <c r="I125" s="70"/>
      <c r="J125" s="70"/>
      <c r="K125" s="71"/>
      <c r="L125" s="69" t="s">
        <v>169</v>
      </c>
      <c r="M125" s="41">
        <v>0</v>
      </c>
      <c r="N125" s="41">
        <v>0</v>
      </c>
      <c r="O125" s="740">
        <v>0</v>
      </c>
      <c r="P125" s="41">
        <v>0</v>
      </c>
      <c r="Q125" s="41">
        <v>0</v>
      </c>
      <c r="R125" s="740">
        <v>0</v>
      </c>
      <c r="S125" s="41">
        <v>0</v>
      </c>
      <c r="T125" s="41">
        <v>0</v>
      </c>
      <c r="U125" s="41">
        <v>0</v>
      </c>
      <c r="V125" s="42">
        <v>0</v>
      </c>
      <c r="W125" s="41">
        <v>0</v>
      </c>
      <c r="X125" s="41">
        <v>0</v>
      </c>
      <c r="Y125" s="42">
        <v>0</v>
      </c>
      <c r="Z125" s="41">
        <v>0</v>
      </c>
      <c r="AA125" s="41">
        <v>0</v>
      </c>
      <c r="AB125" s="42">
        <v>0</v>
      </c>
    </row>
    <row r="126" spans="1:28" ht="24" hidden="1" customHeight="1">
      <c r="A126" s="32" t="e">
        <v>#REF!</v>
      </c>
      <c r="B126" s="72" t="s">
        <v>295</v>
      </c>
      <c r="C126" s="73" t="s">
        <v>167</v>
      </c>
      <c r="D126" s="73">
        <v>4101</v>
      </c>
      <c r="E126" s="73">
        <v>1500</v>
      </c>
      <c r="F126" s="73"/>
      <c r="G126" s="73"/>
      <c r="H126" s="73"/>
      <c r="I126" s="73"/>
      <c r="J126" s="73"/>
      <c r="K126" s="74"/>
      <c r="L126" s="72" t="s">
        <v>170</v>
      </c>
      <c r="M126" s="46"/>
      <c r="N126" s="46"/>
      <c r="O126" s="741"/>
      <c r="P126" s="46"/>
      <c r="Q126" s="46"/>
      <c r="R126" s="741"/>
      <c r="S126" s="46"/>
      <c r="T126" s="46"/>
      <c r="U126" s="46"/>
      <c r="V126" s="47">
        <v>0</v>
      </c>
      <c r="W126" s="46"/>
      <c r="X126" s="46"/>
      <c r="Y126" s="47">
        <v>0</v>
      </c>
      <c r="Z126" s="46"/>
      <c r="AA126" s="46"/>
      <c r="AB126" s="47">
        <v>0</v>
      </c>
    </row>
    <row r="127" spans="1:28" ht="60" hidden="1" customHeight="1">
      <c r="A127" s="32" t="e">
        <v>#REF!</v>
      </c>
      <c r="B127" s="75" t="s">
        <v>454</v>
      </c>
      <c r="C127" s="75" t="s">
        <v>167</v>
      </c>
      <c r="D127" s="75" t="s">
        <v>171</v>
      </c>
      <c r="E127" s="75" t="s">
        <v>172</v>
      </c>
      <c r="F127" s="75" t="s">
        <v>173</v>
      </c>
      <c r="G127" s="75"/>
      <c r="H127" s="75"/>
      <c r="I127" s="75"/>
      <c r="J127" s="76"/>
      <c r="K127" s="75"/>
      <c r="L127" s="75" t="s">
        <v>174</v>
      </c>
      <c r="M127" s="50">
        <v>0</v>
      </c>
      <c r="N127" s="50">
        <v>0</v>
      </c>
      <c r="O127" s="742">
        <v>0</v>
      </c>
      <c r="P127" s="50">
        <v>0</v>
      </c>
      <c r="Q127" s="50">
        <v>0</v>
      </c>
      <c r="R127" s="742">
        <v>0</v>
      </c>
      <c r="S127" s="50">
        <v>0</v>
      </c>
      <c r="T127" s="50">
        <v>0</v>
      </c>
      <c r="U127" s="50">
        <v>0</v>
      </c>
      <c r="V127" s="51">
        <v>0</v>
      </c>
      <c r="W127" s="50">
        <v>0</v>
      </c>
      <c r="X127" s="50">
        <v>0</v>
      </c>
      <c r="Y127" s="51">
        <v>0</v>
      </c>
      <c r="Z127" s="50">
        <v>0</v>
      </c>
      <c r="AA127" s="50">
        <v>0</v>
      </c>
      <c r="AB127" s="51">
        <v>0</v>
      </c>
    </row>
    <row r="128" spans="1:28" ht="24" hidden="1" customHeight="1">
      <c r="A128" s="32" t="e">
        <v>#REF!</v>
      </c>
      <c r="B128" s="77" t="s">
        <v>456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176</v>
      </c>
      <c r="I128" s="52"/>
      <c r="J128" s="53" t="s">
        <v>144</v>
      </c>
      <c r="K128" s="52" t="s">
        <v>29</v>
      </c>
      <c r="L128" s="77" t="s">
        <v>177</v>
      </c>
      <c r="M128" s="54">
        <v>0</v>
      </c>
      <c r="N128" s="54">
        <v>0</v>
      </c>
      <c r="O128" s="743">
        <v>0</v>
      </c>
      <c r="P128" s="54">
        <v>0</v>
      </c>
      <c r="Q128" s="54">
        <v>0</v>
      </c>
      <c r="R128" s="743">
        <v>0</v>
      </c>
      <c r="S128" s="54">
        <v>0</v>
      </c>
      <c r="T128" s="54">
        <v>0</v>
      </c>
      <c r="U128" s="54">
        <v>0</v>
      </c>
      <c r="V128" s="55">
        <v>0</v>
      </c>
      <c r="W128" s="54">
        <v>0</v>
      </c>
      <c r="X128" s="54">
        <v>0</v>
      </c>
      <c r="Y128" s="55">
        <v>0</v>
      </c>
      <c r="Z128" s="54">
        <v>0</v>
      </c>
      <c r="AA128" s="54">
        <v>0</v>
      </c>
      <c r="AB128" s="55">
        <v>0</v>
      </c>
    </row>
    <row r="129" spans="1:28" ht="24.95" hidden="1" customHeight="1">
      <c r="A129" s="32" t="e">
        <v>#REF!</v>
      </c>
      <c r="B129" s="78" t="s">
        <v>458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176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/>
      <c r="N129" s="60"/>
      <c r="O129" s="745"/>
      <c r="P129" s="60"/>
      <c r="Q129" s="60"/>
      <c r="R129" s="745"/>
      <c r="S129" s="60">
        <v>0</v>
      </c>
      <c r="T129" s="60"/>
      <c r="U129" s="60">
        <v>0</v>
      </c>
      <c r="V129" s="62">
        <v>0</v>
      </c>
      <c r="W129" s="60"/>
      <c r="X129" s="60">
        <v>0</v>
      </c>
      <c r="Y129" s="62">
        <v>0</v>
      </c>
      <c r="Z129" s="60"/>
      <c r="AA129" s="60">
        <v>0</v>
      </c>
      <c r="AB129" s="62">
        <v>0</v>
      </c>
    </row>
    <row r="130" spans="1:28" ht="33" hidden="1" customHeight="1">
      <c r="A130" s="32" t="e">
        <v>#REF!</v>
      </c>
      <c r="B130" s="77" t="s">
        <v>460</v>
      </c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179</v>
      </c>
      <c r="I130" s="52"/>
      <c r="J130" s="53" t="s">
        <v>144</v>
      </c>
      <c r="K130" s="52" t="s">
        <v>29</v>
      </c>
      <c r="L130" s="77" t="s">
        <v>180</v>
      </c>
      <c r="M130" s="54">
        <v>0</v>
      </c>
      <c r="N130" s="54">
        <v>0</v>
      </c>
      <c r="O130" s="743">
        <v>0</v>
      </c>
      <c r="P130" s="54">
        <v>0</v>
      </c>
      <c r="Q130" s="54">
        <v>0</v>
      </c>
      <c r="R130" s="743">
        <v>0</v>
      </c>
      <c r="S130" s="54">
        <v>0</v>
      </c>
      <c r="T130" s="54">
        <v>0</v>
      </c>
      <c r="U130" s="54">
        <v>0</v>
      </c>
      <c r="V130" s="55">
        <v>0</v>
      </c>
      <c r="W130" s="54">
        <v>0</v>
      </c>
      <c r="X130" s="54">
        <v>0</v>
      </c>
      <c r="Y130" s="55">
        <v>0</v>
      </c>
      <c r="Z130" s="54">
        <v>0</v>
      </c>
      <c r="AA130" s="54">
        <v>0</v>
      </c>
      <c r="AB130" s="55">
        <v>0</v>
      </c>
    </row>
    <row r="131" spans="1:28" ht="24.95" hidden="1" customHeight="1">
      <c r="A131" s="32" t="e">
        <v>#REF!</v>
      </c>
      <c r="B131" s="78" t="s">
        <v>462</v>
      </c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179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/>
      <c r="N131" s="60"/>
      <c r="O131" s="745"/>
      <c r="P131" s="60"/>
      <c r="Q131" s="60"/>
      <c r="R131" s="745"/>
      <c r="S131" s="60">
        <v>0</v>
      </c>
      <c r="T131" s="60"/>
      <c r="U131" s="60">
        <v>0</v>
      </c>
      <c r="V131" s="62">
        <v>0</v>
      </c>
      <c r="W131" s="60"/>
      <c r="X131" s="60">
        <v>0</v>
      </c>
      <c r="Y131" s="62">
        <v>0</v>
      </c>
      <c r="Z131" s="60"/>
      <c r="AA131" s="60">
        <v>0</v>
      </c>
      <c r="AB131" s="62">
        <v>0</v>
      </c>
    </row>
    <row r="132" spans="1:28" ht="43.5" hidden="1" customHeight="1">
      <c r="A132" s="32" t="e">
        <v>#REF!</v>
      </c>
      <c r="B132" s="77" t="s">
        <v>690</v>
      </c>
      <c r="C132" s="52" t="s">
        <v>167</v>
      </c>
      <c r="D132" s="52" t="s">
        <v>171</v>
      </c>
      <c r="E132" s="52" t="s">
        <v>172</v>
      </c>
      <c r="F132" s="52" t="s">
        <v>173</v>
      </c>
      <c r="G132" s="52" t="s">
        <v>175</v>
      </c>
      <c r="H132" s="52" t="s">
        <v>181</v>
      </c>
      <c r="I132" s="52"/>
      <c r="J132" s="53" t="s">
        <v>144</v>
      </c>
      <c r="K132" s="52" t="s">
        <v>29</v>
      </c>
      <c r="L132" s="77" t="s">
        <v>182</v>
      </c>
      <c r="M132" s="54">
        <v>0</v>
      </c>
      <c r="N132" s="54">
        <v>0</v>
      </c>
      <c r="O132" s="743">
        <v>0</v>
      </c>
      <c r="P132" s="54">
        <v>0</v>
      </c>
      <c r="Q132" s="54">
        <v>0</v>
      </c>
      <c r="R132" s="743">
        <v>0</v>
      </c>
      <c r="S132" s="54">
        <v>0</v>
      </c>
      <c r="T132" s="54">
        <v>0</v>
      </c>
      <c r="U132" s="54">
        <v>0</v>
      </c>
      <c r="V132" s="55">
        <v>0</v>
      </c>
      <c r="W132" s="54">
        <v>0</v>
      </c>
      <c r="X132" s="54">
        <v>0</v>
      </c>
      <c r="Y132" s="55">
        <v>0</v>
      </c>
      <c r="Z132" s="54">
        <v>0</v>
      </c>
      <c r="AA132" s="54">
        <v>0</v>
      </c>
      <c r="AB132" s="55">
        <v>0</v>
      </c>
    </row>
    <row r="133" spans="1:28" ht="24.95" hidden="1" customHeight="1">
      <c r="A133" s="32" t="e">
        <v>#REF!</v>
      </c>
      <c r="B133" s="78" t="s">
        <v>466</v>
      </c>
      <c r="C133" s="79" t="s">
        <v>167</v>
      </c>
      <c r="D133" s="79" t="s">
        <v>171</v>
      </c>
      <c r="E133" s="79" t="s">
        <v>172</v>
      </c>
      <c r="F133" s="79" t="s">
        <v>173</v>
      </c>
      <c r="G133" s="79" t="s">
        <v>175</v>
      </c>
      <c r="H133" s="79" t="s">
        <v>181</v>
      </c>
      <c r="I133" s="79" t="s">
        <v>54</v>
      </c>
      <c r="J133" s="79" t="s">
        <v>144</v>
      </c>
      <c r="K133" s="80" t="s">
        <v>29</v>
      </c>
      <c r="L133" s="59" t="s">
        <v>178</v>
      </c>
      <c r="M133" s="60"/>
      <c r="N133" s="60"/>
      <c r="O133" s="745"/>
      <c r="P133" s="60"/>
      <c r="Q133" s="60"/>
      <c r="R133" s="745"/>
      <c r="S133" s="60">
        <v>0</v>
      </c>
      <c r="T133" s="60"/>
      <c r="U133" s="60">
        <v>0</v>
      </c>
      <c r="V133" s="62">
        <v>0</v>
      </c>
      <c r="W133" s="60"/>
      <c r="X133" s="60">
        <v>0</v>
      </c>
      <c r="Y133" s="62">
        <v>0</v>
      </c>
      <c r="Z133" s="60"/>
      <c r="AA133" s="60">
        <v>0</v>
      </c>
      <c r="AB133" s="62">
        <v>0</v>
      </c>
    </row>
    <row r="134" spans="1:28" ht="45" hidden="1" customHeight="1">
      <c r="A134" s="32" t="e">
        <v>#REF!</v>
      </c>
      <c r="B134" s="77" t="s">
        <v>691</v>
      </c>
      <c r="C134" s="52" t="s">
        <v>167</v>
      </c>
      <c r="D134" s="52" t="s">
        <v>171</v>
      </c>
      <c r="E134" s="52" t="s">
        <v>172</v>
      </c>
      <c r="F134" s="52" t="s">
        <v>173</v>
      </c>
      <c r="G134" s="52" t="s">
        <v>175</v>
      </c>
      <c r="H134" s="52" t="s">
        <v>183</v>
      </c>
      <c r="I134" s="52"/>
      <c r="J134" s="53" t="s">
        <v>144</v>
      </c>
      <c r="K134" s="52" t="s">
        <v>29</v>
      </c>
      <c r="L134" s="77" t="s">
        <v>184</v>
      </c>
      <c r="M134" s="54">
        <v>0</v>
      </c>
      <c r="N134" s="54">
        <v>0</v>
      </c>
      <c r="O134" s="743">
        <v>0</v>
      </c>
      <c r="P134" s="54">
        <v>0</v>
      </c>
      <c r="Q134" s="54">
        <v>0</v>
      </c>
      <c r="R134" s="743">
        <v>0</v>
      </c>
      <c r="S134" s="54">
        <v>0</v>
      </c>
      <c r="T134" s="54">
        <v>0</v>
      </c>
      <c r="U134" s="54">
        <v>0</v>
      </c>
      <c r="V134" s="55">
        <v>0</v>
      </c>
      <c r="W134" s="54">
        <v>0</v>
      </c>
      <c r="X134" s="54">
        <v>0</v>
      </c>
      <c r="Y134" s="55">
        <v>0</v>
      </c>
      <c r="Z134" s="54">
        <v>0</v>
      </c>
      <c r="AA134" s="54">
        <v>0</v>
      </c>
      <c r="AB134" s="55">
        <v>0</v>
      </c>
    </row>
    <row r="135" spans="1:28" ht="24.95" hidden="1" customHeight="1">
      <c r="A135" s="32" t="e">
        <v>#REF!</v>
      </c>
      <c r="B135" s="78" t="s">
        <v>470</v>
      </c>
      <c r="C135" s="79" t="s">
        <v>167</v>
      </c>
      <c r="D135" s="79" t="s">
        <v>171</v>
      </c>
      <c r="E135" s="79" t="s">
        <v>172</v>
      </c>
      <c r="F135" s="79" t="s">
        <v>173</v>
      </c>
      <c r="G135" s="79" t="s">
        <v>175</v>
      </c>
      <c r="H135" s="79" t="s">
        <v>183</v>
      </c>
      <c r="I135" s="79" t="s">
        <v>54</v>
      </c>
      <c r="J135" s="79" t="s">
        <v>144</v>
      </c>
      <c r="K135" s="80" t="s">
        <v>29</v>
      </c>
      <c r="L135" s="59" t="s">
        <v>178</v>
      </c>
      <c r="M135" s="60">
        <v>0</v>
      </c>
      <c r="N135" s="60"/>
      <c r="O135" s="745"/>
      <c r="P135" s="60"/>
      <c r="Q135" s="60"/>
      <c r="R135" s="745"/>
      <c r="S135" s="60">
        <v>0</v>
      </c>
      <c r="T135" s="60">
        <v>0</v>
      </c>
      <c r="U135" s="60">
        <v>0</v>
      </c>
      <c r="V135" s="62">
        <v>0</v>
      </c>
      <c r="W135" s="60">
        <v>0</v>
      </c>
      <c r="X135" s="60">
        <v>0</v>
      </c>
      <c r="Y135" s="62">
        <v>0</v>
      </c>
      <c r="Z135" s="60">
        <v>0</v>
      </c>
      <c r="AA135" s="60">
        <v>0</v>
      </c>
      <c r="AB135" s="62">
        <v>0</v>
      </c>
    </row>
    <row r="136" spans="1:28" ht="33.75" hidden="1" customHeight="1">
      <c r="A136" s="32" t="e">
        <v>#REF!</v>
      </c>
      <c r="B136" s="77" t="s">
        <v>472</v>
      </c>
      <c r="C136" s="52" t="s">
        <v>167</v>
      </c>
      <c r="D136" s="52" t="s">
        <v>171</v>
      </c>
      <c r="E136" s="52" t="s">
        <v>172</v>
      </c>
      <c r="F136" s="52" t="s">
        <v>173</v>
      </c>
      <c r="G136" s="52" t="s">
        <v>175</v>
      </c>
      <c r="H136" s="52" t="s">
        <v>185</v>
      </c>
      <c r="I136" s="52"/>
      <c r="J136" s="53" t="s">
        <v>144</v>
      </c>
      <c r="K136" s="52" t="s">
        <v>29</v>
      </c>
      <c r="L136" s="77" t="s">
        <v>186</v>
      </c>
      <c r="M136" s="54">
        <v>0</v>
      </c>
      <c r="N136" s="54">
        <v>0</v>
      </c>
      <c r="O136" s="743">
        <v>0</v>
      </c>
      <c r="P136" s="54">
        <v>0</v>
      </c>
      <c r="Q136" s="54">
        <v>0</v>
      </c>
      <c r="R136" s="743">
        <v>0</v>
      </c>
      <c r="S136" s="54">
        <v>0</v>
      </c>
      <c r="T136" s="54">
        <v>0</v>
      </c>
      <c r="U136" s="54">
        <v>0</v>
      </c>
      <c r="V136" s="55">
        <v>0</v>
      </c>
      <c r="W136" s="54">
        <v>0</v>
      </c>
      <c r="X136" s="54">
        <v>0</v>
      </c>
      <c r="Y136" s="55">
        <v>0</v>
      </c>
      <c r="Z136" s="54">
        <v>0</v>
      </c>
      <c r="AA136" s="54">
        <v>0</v>
      </c>
      <c r="AB136" s="55">
        <v>0</v>
      </c>
    </row>
    <row r="137" spans="1:28" ht="24.95" hidden="1" customHeight="1">
      <c r="A137" s="32" t="e">
        <v>#REF!</v>
      </c>
      <c r="B137" s="78" t="s">
        <v>474</v>
      </c>
      <c r="C137" s="79" t="s">
        <v>167</v>
      </c>
      <c r="D137" s="79" t="s">
        <v>171</v>
      </c>
      <c r="E137" s="79" t="s">
        <v>172</v>
      </c>
      <c r="F137" s="79" t="s">
        <v>173</v>
      </c>
      <c r="G137" s="79" t="s">
        <v>175</v>
      </c>
      <c r="H137" s="79" t="s">
        <v>185</v>
      </c>
      <c r="I137" s="79" t="s">
        <v>54</v>
      </c>
      <c r="J137" s="79" t="s">
        <v>144</v>
      </c>
      <c r="K137" s="80" t="s">
        <v>29</v>
      </c>
      <c r="L137" s="59" t="s">
        <v>178</v>
      </c>
      <c r="M137" s="60"/>
      <c r="N137" s="60"/>
      <c r="O137" s="745"/>
      <c r="P137" s="60"/>
      <c r="Q137" s="60"/>
      <c r="R137" s="745"/>
      <c r="S137" s="60">
        <v>0</v>
      </c>
      <c r="T137" s="60"/>
      <c r="U137" s="60">
        <v>0</v>
      </c>
      <c r="V137" s="62">
        <v>0</v>
      </c>
      <c r="W137" s="60"/>
      <c r="X137" s="60">
        <v>0</v>
      </c>
      <c r="Y137" s="62">
        <v>0</v>
      </c>
      <c r="Z137" s="60"/>
      <c r="AA137" s="60">
        <v>0</v>
      </c>
      <c r="AB137" s="62">
        <v>0</v>
      </c>
    </row>
    <row r="138" spans="1:28" ht="24" hidden="1" customHeight="1">
      <c r="A138" s="32" t="e">
        <v>#REF!</v>
      </c>
      <c r="B138" s="77"/>
      <c r="C138" s="52" t="s">
        <v>167</v>
      </c>
      <c r="D138" s="52" t="s">
        <v>171</v>
      </c>
      <c r="E138" s="52" t="s">
        <v>172</v>
      </c>
      <c r="F138" s="52" t="s">
        <v>173</v>
      </c>
      <c r="G138" s="52" t="s">
        <v>175</v>
      </c>
      <c r="H138" s="52" t="s">
        <v>187</v>
      </c>
      <c r="I138" s="52"/>
      <c r="J138" s="53" t="s">
        <v>144</v>
      </c>
      <c r="K138" s="52" t="s">
        <v>29</v>
      </c>
      <c r="L138" s="77" t="s">
        <v>188</v>
      </c>
      <c r="M138" s="54">
        <v>0</v>
      </c>
      <c r="N138" s="54">
        <v>0</v>
      </c>
      <c r="O138" s="743">
        <v>0</v>
      </c>
      <c r="P138" s="54">
        <v>0</v>
      </c>
      <c r="Q138" s="54">
        <v>0</v>
      </c>
      <c r="R138" s="743">
        <v>0</v>
      </c>
      <c r="S138" s="54">
        <v>0</v>
      </c>
      <c r="T138" s="54">
        <v>0</v>
      </c>
      <c r="U138" s="54">
        <v>0</v>
      </c>
      <c r="V138" s="55">
        <v>0</v>
      </c>
      <c r="W138" s="54">
        <v>0</v>
      </c>
      <c r="X138" s="54">
        <v>0</v>
      </c>
      <c r="Y138" s="55">
        <v>0</v>
      </c>
      <c r="Z138" s="54">
        <v>0</v>
      </c>
      <c r="AA138" s="54">
        <v>0</v>
      </c>
      <c r="AB138" s="55">
        <v>0</v>
      </c>
    </row>
    <row r="139" spans="1:28" ht="24.95" hidden="1" customHeight="1">
      <c r="A139" s="32" t="e">
        <v>#REF!</v>
      </c>
      <c r="B139" s="78"/>
      <c r="C139" s="79" t="s">
        <v>167</v>
      </c>
      <c r="D139" s="79" t="s">
        <v>171</v>
      </c>
      <c r="E139" s="79" t="s">
        <v>172</v>
      </c>
      <c r="F139" s="79" t="s">
        <v>173</v>
      </c>
      <c r="G139" s="79" t="s">
        <v>175</v>
      </c>
      <c r="H139" s="79" t="s">
        <v>187</v>
      </c>
      <c r="I139" s="79" t="s">
        <v>54</v>
      </c>
      <c r="J139" s="79" t="s">
        <v>144</v>
      </c>
      <c r="K139" s="80" t="s">
        <v>29</v>
      </c>
      <c r="L139" s="59" t="s">
        <v>178</v>
      </c>
      <c r="M139" s="60">
        <v>0</v>
      </c>
      <c r="N139" s="60"/>
      <c r="O139" s="745"/>
      <c r="P139" s="60"/>
      <c r="Q139" s="60"/>
      <c r="R139" s="745"/>
      <c r="S139" s="60">
        <v>0</v>
      </c>
      <c r="T139" s="60">
        <v>0</v>
      </c>
      <c r="U139" s="60">
        <v>0</v>
      </c>
      <c r="V139" s="62">
        <v>0</v>
      </c>
      <c r="W139" s="60">
        <v>0</v>
      </c>
      <c r="X139" s="60">
        <v>0</v>
      </c>
      <c r="Y139" s="62">
        <v>0</v>
      </c>
      <c r="Z139" s="60">
        <v>0</v>
      </c>
      <c r="AA139" s="60">
        <v>0</v>
      </c>
      <c r="AB139" s="62">
        <v>0</v>
      </c>
    </row>
    <row r="140" spans="1:28" ht="24.95" hidden="1" customHeight="1">
      <c r="A140" s="32" t="e">
        <v>#REF!</v>
      </c>
      <c r="B140" s="78"/>
      <c r="C140" s="79" t="s">
        <v>167</v>
      </c>
      <c r="D140" s="79" t="s">
        <v>171</v>
      </c>
      <c r="E140" s="79" t="s">
        <v>172</v>
      </c>
      <c r="F140" s="79" t="s">
        <v>173</v>
      </c>
      <c r="G140" s="79" t="s">
        <v>175</v>
      </c>
      <c r="H140" s="79" t="s">
        <v>187</v>
      </c>
      <c r="I140" s="79" t="s">
        <v>65</v>
      </c>
      <c r="J140" s="79" t="s">
        <v>144</v>
      </c>
      <c r="K140" s="80" t="s">
        <v>29</v>
      </c>
      <c r="L140" s="59" t="s">
        <v>127</v>
      </c>
      <c r="M140" s="60">
        <v>0</v>
      </c>
      <c r="N140" s="60"/>
      <c r="O140" s="745"/>
      <c r="P140" s="60"/>
      <c r="Q140" s="60"/>
      <c r="R140" s="745"/>
      <c r="S140" s="60">
        <v>0</v>
      </c>
      <c r="T140" s="60">
        <v>0</v>
      </c>
      <c r="U140" s="60">
        <v>0</v>
      </c>
      <c r="V140" s="62">
        <v>0</v>
      </c>
      <c r="W140" s="60">
        <v>0</v>
      </c>
      <c r="X140" s="60">
        <v>0</v>
      </c>
      <c r="Y140" s="62">
        <v>0</v>
      </c>
      <c r="Z140" s="60">
        <v>0</v>
      </c>
      <c r="AA140" s="60">
        <v>0</v>
      </c>
      <c r="AB140" s="62">
        <v>0</v>
      </c>
    </row>
    <row r="141" spans="1:28" ht="31.5" customHeight="1">
      <c r="A141" s="32" t="e">
        <v>#REF!</v>
      </c>
      <c r="B141" s="38" t="s">
        <v>482</v>
      </c>
      <c r="C141" s="39" t="s">
        <v>167</v>
      </c>
      <c r="D141" s="39">
        <v>4103</v>
      </c>
      <c r="E141" s="39"/>
      <c r="F141" s="39"/>
      <c r="G141" s="39"/>
      <c r="H141" s="39"/>
      <c r="I141" s="39"/>
      <c r="J141" s="39"/>
      <c r="K141" s="40"/>
      <c r="L141" s="38" t="s">
        <v>189</v>
      </c>
      <c r="M141" s="41">
        <v>12911249110989</v>
      </c>
      <c r="N141" s="41">
        <v>5269349000</v>
      </c>
      <c r="O141" s="740">
        <v>0</v>
      </c>
      <c r="P141" s="41">
        <v>211882752499.60999</v>
      </c>
      <c r="Q141" s="41">
        <v>211882752499.60999</v>
      </c>
      <c r="R141" s="740">
        <v>0</v>
      </c>
      <c r="S141" s="41">
        <v>12916518459989</v>
      </c>
      <c r="T141" s="41">
        <v>11486156580613.66</v>
      </c>
      <c r="U141" s="41">
        <v>1430361879375.3401</v>
      </c>
      <c r="V141" s="42">
        <v>0.88926103548675939</v>
      </c>
      <c r="W141" s="41">
        <v>10004708907555.891</v>
      </c>
      <c r="X141" s="41">
        <v>1481447673057.77</v>
      </c>
      <c r="Y141" s="42">
        <v>0.12897679590735844</v>
      </c>
      <c r="Z141" s="41">
        <v>9997369550843.2891</v>
      </c>
      <c r="AA141" s="41">
        <v>7339356712.6000061</v>
      </c>
      <c r="AB141" s="42">
        <v>0.87038422997966558</v>
      </c>
    </row>
    <row r="142" spans="1:28" ht="24" customHeight="1">
      <c r="A142" s="32" t="e">
        <v>#REF!</v>
      </c>
      <c r="B142" s="43" t="s">
        <v>296</v>
      </c>
      <c r="C142" s="44" t="s">
        <v>167</v>
      </c>
      <c r="D142" s="44">
        <v>4103</v>
      </c>
      <c r="E142" s="44">
        <v>1500</v>
      </c>
      <c r="F142" s="44"/>
      <c r="G142" s="44"/>
      <c r="H142" s="44"/>
      <c r="I142" s="44"/>
      <c r="J142" s="44"/>
      <c r="K142" s="45"/>
      <c r="L142" s="43" t="s">
        <v>170</v>
      </c>
      <c r="M142" s="46">
        <v>12911249110989</v>
      </c>
      <c r="N142" s="46">
        <v>5269349000</v>
      </c>
      <c r="O142" s="741">
        <v>0</v>
      </c>
      <c r="P142" s="46">
        <v>211882752499.60999</v>
      </c>
      <c r="Q142" s="46">
        <v>211882752499.60999</v>
      </c>
      <c r="R142" s="741">
        <v>0</v>
      </c>
      <c r="S142" s="46">
        <v>12916518459989</v>
      </c>
      <c r="T142" s="46">
        <v>11486156580613.66</v>
      </c>
      <c r="U142" s="46">
        <v>1430361879375.3401</v>
      </c>
      <c r="V142" s="47">
        <v>0.88926103548675939</v>
      </c>
      <c r="W142" s="46">
        <v>10004708907555.891</v>
      </c>
      <c r="X142" s="46">
        <v>1481447673057.77</v>
      </c>
      <c r="Y142" s="47">
        <v>0.12897679590735844</v>
      </c>
      <c r="Z142" s="46">
        <v>9997369550843.2891</v>
      </c>
      <c r="AA142" s="46">
        <v>7339356712.6000061</v>
      </c>
      <c r="AB142" s="47">
        <v>0.87038422997966558</v>
      </c>
    </row>
    <row r="143" spans="1:28" ht="37.5" customHeight="1">
      <c r="A143" s="32" t="e">
        <v>#REF!</v>
      </c>
      <c r="B143" s="48" t="s">
        <v>297</v>
      </c>
      <c r="C143" s="48" t="s">
        <v>167</v>
      </c>
      <c r="D143" s="48" t="s">
        <v>190</v>
      </c>
      <c r="E143" s="48" t="s">
        <v>172</v>
      </c>
      <c r="F143" s="48" t="s">
        <v>191</v>
      </c>
      <c r="G143" s="48"/>
      <c r="H143" s="48"/>
      <c r="I143" s="48"/>
      <c r="J143" s="49"/>
      <c r="K143" s="48"/>
      <c r="L143" s="48" t="s">
        <v>192</v>
      </c>
      <c r="M143" s="50">
        <v>2205025363612</v>
      </c>
      <c r="N143" s="50">
        <v>0</v>
      </c>
      <c r="O143" s="50">
        <v>0</v>
      </c>
      <c r="P143" s="50">
        <v>52888055996.510002</v>
      </c>
      <c r="Q143" s="50">
        <v>52888055996.510002</v>
      </c>
      <c r="R143" s="50">
        <v>0</v>
      </c>
      <c r="S143" s="50">
        <v>2205025363612</v>
      </c>
      <c r="T143" s="50">
        <v>1935629327938.71</v>
      </c>
      <c r="U143" s="50">
        <v>269396035673.29004</v>
      </c>
      <c r="V143" s="51">
        <v>0.87782633246812236</v>
      </c>
      <c r="W143" s="50">
        <v>1911005848080.1799</v>
      </c>
      <c r="X143" s="50">
        <v>24623479858.529999</v>
      </c>
      <c r="Y143" s="51">
        <v>1.2721175228705606E-2</v>
      </c>
      <c r="Z143" s="50">
        <v>1910615421006.1799</v>
      </c>
      <c r="AA143" s="50">
        <v>390427074</v>
      </c>
      <c r="AB143" s="51">
        <v>0.98707711927512076</v>
      </c>
    </row>
    <row r="144" spans="1:28" ht="27.75" customHeight="1">
      <c r="A144" s="32" t="e">
        <v>#REF!</v>
      </c>
      <c r="B144" s="52" t="s">
        <v>486</v>
      </c>
      <c r="C144" s="52" t="s">
        <v>167</v>
      </c>
      <c r="D144" s="52" t="s">
        <v>190</v>
      </c>
      <c r="E144" s="52" t="s">
        <v>172</v>
      </c>
      <c r="F144" s="52" t="s">
        <v>191</v>
      </c>
      <c r="G144" s="52" t="s">
        <v>175</v>
      </c>
      <c r="H144" s="52" t="s">
        <v>193</v>
      </c>
      <c r="I144" s="52"/>
      <c r="J144" s="53"/>
      <c r="K144" s="52"/>
      <c r="L144" s="52" t="s">
        <v>194</v>
      </c>
      <c r="M144" s="54">
        <v>2199003443612</v>
      </c>
      <c r="N144" s="54">
        <v>0</v>
      </c>
      <c r="O144" s="54">
        <v>0</v>
      </c>
      <c r="P144" s="54">
        <v>52145942142.510002</v>
      </c>
      <c r="Q144" s="54">
        <v>52161958662.510002</v>
      </c>
      <c r="R144" s="54">
        <v>0</v>
      </c>
      <c r="S144" s="54">
        <v>2198987427092</v>
      </c>
      <c r="T144" s="54">
        <v>1929591391418.71</v>
      </c>
      <c r="U144" s="54">
        <v>269396035673.29004</v>
      </c>
      <c r="V144" s="55">
        <v>0.87749087040959273</v>
      </c>
      <c r="W144" s="54">
        <v>1909194467124.1799</v>
      </c>
      <c r="X144" s="54">
        <v>20396924294.529999</v>
      </c>
      <c r="Y144" s="55">
        <v>1.0570592502246496E-2</v>
      </c>
      <c r="Z144" s="54">
        <v>1908804040050.1799</v>
      </c>
      <c r="AA144" s="54">
        <v>390427074</v>
      </c>
      <c r="AB144" s="55">
        <v>0.98922707083946593</v>
      </c>
    </row>
    <row r="145" spans="1:28" ht="24.95" customHeight="1">
      <c r="A145" s="32" t="e">
        <v>#REF!</v>
      </c>
      <c r="B145" s="56" t="s">
        <v>488</v>
      </c>
      <c r="C145" s="57" t="s">
        <v>167</v>
      </c>
      <c r="D145" s="57" t="s">
        <v>190</v>
      </c>
      <c r="E145" s="57" t="s">
        <v>172</v>
      </c>
      <c r="F145" s="57" t="s">
        <v>191</v>
      </c>
      <c r="G145" s="57" t="s">
        <v>175</v>
      </c>
      <c r="H145" s="57" t="s">
        <v>193</v>
      </c>
      <c r="I145" s="57" t="s">
        <v>54</v>
      </c>
      <c r="J145" s="57">
        <v>11</v>
      </c>
      <c r="K145" s="58" t="s">
        <v>29</v>
      </c>
      <c r="L145" s="59" t="s">
        <v>178</v>
      </c>
      <c r="M145" s="60">
        <v>92687031389</v>
      </c>
      <c r="N145" s="60"/>
      <c r="O145" s="60"/>
      <c r="P145" s="60">
        <v>11484578164.110001</v>
      </c>
      <c r="Q145" s="60">
        <v>40528828048.400002</v>
      </c>
      <c r="R145" s="61"/>
      <c r="S145" s="60">
        <v>63642781504.709999</v>
      </c>
      <c r="T145" s="60">
        <v>62594801185.709999</v>
      </c>
      <c r="U145" s="60">
        <v>1047980319</v>
      </c>
      <c r="V145" s="62">
        <v>0.98353339853754751</v>
      </c>
      <c r="W145" s="60">
        <v>42645651971.18</v>
      </c>
      <c r="X145" s="60">
        <v>19949149214.529999</v>
      </c>
      <c r="Y145" s="62">
        <v>0.31870297271723363</v>
      </c>
      <c r="Z145" s="60">
        <v>42255224897.18</v>
      </c>
      <c r="AA145" s="60">
        <v>390427074</v>
      </c>
      <c r="AB145" s="62">
        <v>0.67505965506328025</v>
      </c>
    </row>
    <row r="146" spans="1:28" ht="24.95" customHeight="1">
      <c r="A146" s="32" t="e">
        <v>#REF!</v>
      </c>
      <c r="B146" s="56" t="s">
        <v>488</v>
      </c>
      <c r="C146" s="57" t="s">
        <v>167</v>
      </c>
      <c r="D146" s="57" t="s">
        <v>190</v>
      </c>
      <c r="E146" s="57" t="s">
        <v>172</v>
      </c>
      <c r="F146" s="57" t="s">
        <v>191</v>
      </c>
      <c r="G146" s="57" t="s">
        <v>175</v>
      </c>
      <c r="H146" s="57" t="s">
        <v>193</v>
      </c>
      <c r="I146" s="57" t="s">
        <v>54</v>
      </c>
      <c r="J146" s="57">
        <v>13</v>
      </c>
      <c r="K146" s="58" t="s">
        <v>29</v>
      </c>
      <c r="L146" s="59" t="s">
        <v>178</v>
      </c>
      <c r="M146" s="60"/>
      <c r="N146" s="60"/>
      <c r="O146" s="60"/>
      <c r="P146" s="60">
        <v>148552450</v>
      </c>
      <c r="Q146" s="60"/>
      <c r="R146" s="61"/>
      <c r="S146" s="60">
        <v>148552450</v>
      </c>
      <c r="T146" s="60">
        <v>104235000</v>
      </c>
      <c r="U146" s="60">
        <v>44317450</v>
      </c>
      <c r="V146" s="62">
        <v>0.70167136253895512</v>
      </c>
      <c r="W146" s="60">
        <v>73362500</v>
      </c>
      <c r="X146" s="60">
        <v>30872500</v>
      </c>
      <c r="Y146" s="62">
        <v>0.29618170480165013</v>
      </c>
      <c r="Z146" s="60">
        <v>73362500</v>
      </c>
      <c r="AA146" s="60">
        <v>0</v>
      </c>
      <c r="AB146" s="62">
        <v>0.70381829519834993</v>
      </c>
    </row>
    <row r="147" spans="1:28" ht="24.95" customHeight="1">
      <c r="A147" s="32" t="e">
        <v>#REF!</v>
      </c>
      <c r="B147" s="56" t="s">
        <v>491</v>
      </c>
      <c r="C147" s="57" t="s">
        <v>167</v>
      </c>
      <c r="D147" s="57" t="s">
        <v>190</v>
      </c>
      <c r="E147" s="57" t="s">
        <v>172</v>
      </c>
      <c r="F147" s="57" t="s">
        <v>191</v>
      </c>
      <c r="G147" s="57" t="s">
        <v>175</v>
      </c>
      <c r="H147" s="57" t="s">
        <v>193</v>
      </c>
      <c r="I147" s="57" t="s">
        <v>65</v>
      </c>
      <c r="J147" s="57" t="s">
        <v>144</v>
      </c>
      <c r="K147" s="58" t="s">
        <v>29</v>
      </c>
      <c r="L147" s="59" t="s">
        <v>127</v>
      </c>
      <c r="M147" s="60">
        <v>240070263035</v>
      </c>
      <c r="N147" s="60"/>
      <c r="O147" s="60"/>
      <c r="P147" s="60">
        <v>40512811528.400002</v>
      </c>
      <c r="Q147" s="60">
        <v>11484578164.110001</v>
      </c>
      <c r="R147" s="61"/>
      <c r="S147" s="60">
        <v>269098496399.29004</v>
      </c>
      <c r="T147" s="60">
        <v>233110205096</v>
      </c>
      <c r="U147" s="60">
        <v>35988291303.290039</v>
      </c>
      <c r="V147" s="62">
        <v>0.86626349910967027</v>
      </c>
      <c r="W147" s="60">
        <v>232693302516</v>
      </c>
      <c r="X147" s="60">
        <v>416902580</v>
      </c>
      <c r="Y147" s="62">
        <v>1.7884355591738688E-3</v>
      </c>
      <c r="Z147" s="60">
        <v>232693302516</v>
      </c>
      <c r="AA147" s="60">
        <v>0</v>
      </c>
      <c r="AB147" s="62">
        <v>0.99821156444082615</v>
      </c>
    </row>
    <row r="148" spans="1:28" ht="24.95" customHeight="1">
      <c r="A148" s="32" t="e">
        <v>#REF!</v>
      </c>
      <c r="B148" s="56" t="s">
        <v>491</v>
      </c>
      <c r="C148" s="57" t="s">
        <v>167</v>
      </c>
      <c r="D148" s="57" t="s">
        <v>190</v>
      </c>
      <c r="E148" s="57" t="s">
        <v>172</v>
      </c>
      <c r="F148" s="57" t="s">
        <v>191</v>
      </c>
      <c r="G148" s="57" t="s">
        <v>175</v>
      </c>
      <c r="H148" s="57" t="s">
        <v>193</v>
      </c>
      <c r="I148" s="57" t="s">
        <v>65</v>
      </c>
      <c r="J148" s="57">
        <v>13</v>
      </c>
      <c r="K148" s="58" t="s">
        <v>29</v>
      </c>
      <c r="L148" s="59" t="s">
        <v>127</v>
      </c>
      <c r="M148" s="60">
        <v>1866246149188</v>
      </c>
      <c r="N148" s="60"/>
      <c r="O148" s="60"/>
      <c r="P148" s="60"/>
      <c r="Q148" s="60">
        <v>148552450</v>
      </c>
      <c r="R148" s="61"/>
      <c r="S148" s="60">
        <v>1866097596738</v>
      </c>
      <c r="T148" s="60">
        <v>1633782150137</v>
      </c>
      <c r="U148" s="60">
        <v>232315446601</v>
      </c>
      <c r="V148" s="62">
        <v>0.87550734377071437</v>
      </c>
      <c r="W148" s="60">
        <v>1633782150137</v>
      </c>
      <c r="X148" s="60">
        <v>0</v>
      </c>
      <c r="Y148" s="62">
        <v>0</v>
      </c>
      <c r="Z148" s="60">
        <v>1633782150137</v>
      </c>
      <c r="AA148" s="60">
        <v>0</v>
      </c>
      <c r="AB148" s="62">
        <v>1</v>
      </c>
    </row>
    <row r="149" spans="1:28" ht="28.5" customHeight="1">
      <c r="A149" s="32" t="e">
        <v>#REF!</v>
      </c>
      <c r="B149" s="52" t="s">
        <v>494</v>
      </c>
      <c r="C149" s="52" t="s">
        <v>167</v>
      </c>
      <c r="D149" s="52" t="s">
        <v>190</v>
      </c>
      <c r="E149" s="52" t="s">
        <v>172</v>
      </c>
      <c r="F149" s="52" t="s">
        <v>191</v>
      </c>
      <c r="G149" s="52" t="s">
        <v>175</v>
      </c>
      <c r="H149" s="52">
        <v>4103009</v>
      </c>
      <c r="I149" s="52"/>
      <c r="J149" s="53"/>
      <c r="K149" s="52" t="s">
        <v>29</v>
      </c>
      <c r="L149" s="52" t="s">
        <v>195</v>
      </c>
      <c r="M149" s="54">
        <v>5421920000</v>
      </c>
      <c r="N149" s="54">
        <v>0</v>
      </c>
      <c r="O149" s="54">
        <v>0</v>
      </c>
      <c r="P149" s="54">
        <v>742113854</v>
      </c>
      <c r="Q149" s="54">
        <v>126097334</v>
      </c>
      <c r="R149" s="54">
        <v>0</v>
      </c>
      <c r="S149" s="54">
        <v>6037936520</v>
      </c>
      <c r="T149" s="54">
        <v>6037936520</v>
      </c>
      <c r="U149" s="54">
        <v>0</v>
      </c>
      <c r="V149" s="55">
        <v>1</v>
      </c>
      <c r="W149" s="54">
        <v>1811380956</v>
      </c>
      <c r="X149" s="54">
        <v>4226555564</v>
      </c>
      <c r="Y149" s="55">
        <v>0.7</v>
      </c>
      <c r="Z149" s="54">
        <v>1811380956</v>
      </c>
      <c r="AA149" s="54">
        <v>0</v>
      </c>
      <c r="AB149" s="55">
        <v>0.3</v>
      </c>
    </row>
    <row r="150" spans="1:28" ht="24.95" customHeight="1">
      <c r="A150" s="32" t="e">
        <v>#REF!</v>
      </c>
      <c r="B150" s="56" t="s">
        <v>496</v>
      </c>
      <c r="C150" s="57" t="s">
        <v>167</v>
      </c>
      <c r="D150" s="57" t="s">
        <v>190</v>
      </c>
      <c r="E150" s="57" t="s">
        <v>172</v>
      </c>
      <c r="F150" s="57" t="s">
        <v>191</v>
      </c>
      <c r="G150" s="57" t="s">
        <v>175</v>
      </c>
      <c r="H150" s="57">
        <v>4103009</v>
      </c>
      <c r="I150" s="57" t="s">
        <v>54</v>
      </c>
      <c r="J150" s="57">
        <v>11</v>
      </c>
      <c r="K150" s="58" t="s">
        <v>29</v>
      </c>
      <c r="L150" s="59" t="s">
        <v>178</v>
      </c>
      <c r="M150" s="60">
        <v>5421920000</v>
      </c>
      <c r="N150" s="60"/>
      <c r="O150" s="60"/>
      <c r="P150" s="60">
        <v>742113854</v>
      </c>
      <c r="Q150" s="60">
        <v>126097334</v>
      </c>
      <c r="R150" s="61"/>
      <c r="S150" s="60">
        <v>6037936520</v>
      </c>
      <c r="T150" s="60">
        <v>6037936520</v>
      </c>
      <c r="U150" s="60">
        <v>0</v>
      </c>
      <c r="V150" s="62">
        <v>1</v>
      </c>
      <c r="W150" s="60">
        <v>1811380956</v>
      </c>
      <c r="X150" s="60">
        <v>4226555564</v>
      </c>
      <c r="Y150" s="62">
        <v>0.7</v>
      </c>
      <c r="Z150" s="60">
        <v>1811380956</v>
      </c>
      <c r="AA150" s="60">
        <v>0</v>
      </c>
      <c r="AB150" s="62">
        <v>0.3</v>
      </c>
    </row>
    <row r="151" spans="1:28" ht="27.75" customHeight="1">
      <c r="A151" s="32" t="e">
        <v>#REF!</v>
      </c>
      <c r="B151" s="52" t="s">
        <v>497</v>
      </c>
      <c r="C151" s="52" t="s">
        <v>167</v>
      </c>
      <c r="D151" s="52" t="s">
        <v>190</v>
      </c>
      <c r="E151" s="52" t="s">
        <v>172</v>
      </c>
      <c r="F151" s="52" t="s">
        <v>191</v>
      </c>
      <c r="G151" s="52" t="s">
        <v>175</v>
      </c>
      <c r="H151" s="52">
        <v>4103047</v>
      </c>
      <c r="I151" s="52"/>
      <c r="J151" s="53">
        <v>11</v>
      </c>
      <c r="K151" s="52" t="s">
        <v>29</v>
      </c>
      <c r="L151" s="52" t="s">
        <v>195</v>
      </c>
      <c r="M151" s="54">
        <v>600000000</v>
      </c>
      <c r="N151" s="54">
        <v>0</v>
      </c>
      <c r="O151" s="54">
        <v>0</v>
      </c>
      <c r="P151" s="54">
        <v>0</v>
      </c>
      <c r="Q151" s="54">
        <v>600000000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  <c r="W151" s="54">
        <v>0</v>
      </c>
      <c r="X151" s="54">
        <v>0</v>
      </c>
      <c r="Y151" s="55">
        <v>0</v>
      </c>
      <c r="Z151" s="54">
        <v>0</v>
      </c>
      <c r="AA151" s="54">
        <v>0</v>
      </c>
      <c r="AB151" s="55">
        <v>0</v>
      </c>
    </row>
    <row r="152" spans="1:28" ht="24.95" customHeight="1">
      <c r="A152" s="32" t="e">
        <v>#REF!</v>
      </c>
      <c r="B152" s="56" t="s">
        <v>498</v>
      </c>
      <c r="C152" s="57" t="s">
        <v>167</v>
      </c>
      <c r="D152" s="57" t="s">
        <v>190</v>
      </c>
      <c r="E152" s="57" t="s">
        <v>172</v>
      </c>
      <c r="F152" s="57" t="s">
        <v>191</v>
      </c>
      <c r="G152" s="57" t="s">
        <v>175</v>
      </c>
      <c r="H152" s="57">
        <v>4103047</v>
      </c>
      <c r="I152" s="57" t="s">
        <v>54</v>
      </c>
      <c r="J152" s="57">
        <v>11</v>
      </c>
      <c r="K152" s="58" t="s">
        <v>29</v>
      </c>
      <c r="L152" s="59" t="s">
        <v>178</v>
      </c>
      <c r="M152" s="60">
        <v>600000000</v>
      </c>
      <c r="N152" s="60"/>
      <c r="O152" s="60"/>
      <c r="P152" s="60"/>
      <c r="Q152" s="60">
        <v>600000000</v>
      </c>
      <c r="R152" s="61"/>
      <c r="S152" s="60">
        <v>0</v>
      </c>
      <c r="T152" s="60">
        <v>0</v>
      </c>
      <c r="U152" s="60">
        <v>0</v>
      </c>
      <c r="V152" s="62">
        <v>0</v>
      </c>
      <c r="W152" s="60">
        <v>0</v>
      </c>
      <c r="X152" s="60">
        <v>0</v>
      </c>
      <c r="Y152" s="62">
        <v>0</v>
      </c>
      <c r="Z152" s="60">
        <v>0</v>
      </c>
      <c r="AA152" s="60">
        <v>0</v>
      </c>
      <c r="AB152" s="62">
        <v>0</v>
      </c>
    </row>
    <row r="153" spans="1:28" ht="34.5" customHeight="1">
      <c r="A153" s="32" t="e">
        <v>#REF!</v>
      </c>
      <c r="B153" s="48" t="s">
        <v>298</v>
      </c>
      <c r="C153" s="48" t="s">
        <v>167</v>
      </c>
      <c r="D153" s="48" t="s">
        <v>190</v>
      </c>
      <c r="E153" s="48" t="s">
        <v>172</v>
      </c>
      <c r="F153" s="48" t="s">
        <v>22</v>
      </c>
      <c r="G153" s="48"/>
      <c r="H153" s="48"/>
      <c r="I153" s="48"/>
      <c r="J153" s="49"/>
      <c r="K153" s="48"/>
      <c r="L153" s="48" t="s">
        <v>196</v>
      </c>
      <c r="M153" s="50">
        <v>127000000000</v>
      </c>
      <c r="N153" s="50">
        <v>0</v>
      </c>
      <c r="O153" s="50">
        <v>0</v>
      </c>
      <c r="P153" s="50">
        <v>1000000000</v>
      </c>
      <c r="Q153" s="50">
        <v>2000000000</v>
      </c>
      <c r="R153" s="50">
        <v>0</v>
      </c>
      <c r="S153" s="50">
        <v>126000000000</v>
      </c>
      <c r="T153" s="50">
        <v>117651488971</v>
      </c>
      <c r="U153" s="50">
        <v>8348511029</v>
      </c>
      <c r="V153" s="51">
        <v>0.93374197596031749</v>
      </c>
      <c r="W153" s="50">
        <v>102897391638.62</v>
      </c>
      <c r="X153" s="50">
        <v>14754097332.380001</v>
      </c>
      <c r="Y153" s="51">
        <v>0.12540510503880448</v>
      </c>
      <c r="Z153" s="50">
        <v>102674922858.62</v>
      </c>
      <c r="AA153" s="50">
        <v>222468780</v>
      </c>
      <c r="AB153" s="51">
        <v>0.87270398153591078</v>
      </c>
    </row>
    <row r="154" spans="1:28" ht="27.75" customHeight="1">
      <c r="A154" s="32" t="e">
        <v>#REF!</v>
      </c>
      <c r="B154" s="52" t="s">
        <v>500</v>
      </c>
      <c r="C154" s="52" t="s">
        <v>167</v>
      </c>
      <c r="D154" s="52" t="s">
        <v>190</v>
      </c>
      <c r="E154" s="52" t="s">
        <v>172</v>
      </c>
      <c r="F154" s="52" t="s">
        <v>22</v>
      </c>
      <c r="G154" s="52" t="s">
        <v>175</v>
      </c>
      <c r="H154" s="52" t="s">
        <v>197</v>
      </c>
      <c r="I154" s="52"/>
      <c r="J154" s="53">
        <v>13</v>
      </c>
      <c r="K154" s="52" t="s">
        <v>29</v>
      </c>
      <c r="L154" s="52" t="s">
        <v>198</v>
      </c>
      <c r="M154" s="54">
        <v>12543853246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12543853246</v>
      </c>
      <c r="T154" s="54">
        <v>12497150539</v>
      </c>
      <c r="U154" s="54">
        <v>46702707</v>
      </c>
      <c r="V154" s="55">
        <v>0.99627684523374882</v>
      </c>
      <c r="W154" s="54">
        <v>10322769835</v>
      </c>
      <c r="X154" s="54">
        <v>2174380704</v>
      </c>
      <c r="Y154" s="55">
        <v>0.1739901185645788</v>
      </c>
      <c r="Z154" s="54">
        <v>10322769835</v>
      </c>
      <c r="AA154" s="54">
        <v>0</v>
      </c>
      <c r="AB154" s="55">
        <v>0.8260098814354212</v>
      </c>
    </row>
    <row r="155" spans="1:28" ht="24.95" customHeight="1">
      <c r="A155" s="32" t="e">
        <v>#REF!</v>
      </c>
      <c r="B155" s="56" t="s">
        <v>501</v>
      </c>
      <c r="C155" s="57" t="s">
        <v>167</v>
      </c>
      <c r="D155" s="57" t="s">
        <v>190</v>
      </c>
      <c r="E155" s="57" t="s">
        <v>172</v>
      </c>
      <c r="F155" s="57" t="s">
        <v>22</v>
      </c>
      <c r="G155" s="57" t="s">
        <v>175</v>
      </c>
      <c r="H155" s="57" t="s">
        <v>197</v>
      </c>
      <c r="I155" s="57" t="s">
        <v>54</v>
      </c>
      <c r="J155" s="57">
        <v>13</v>
      </c>
      <c r="K155" s="58" t="s">
        <v>29</v>
      </c>
      <c r="L155" s="59" t="s">
        <v>178</v>
      </c>
      <c r="M155" s="60">
        <v>12543853246</v>
      </c>
      <c r="N155" s="60"/>
      <c r="O155" s="60"/>
      <c r="P155" s="60"/>
      <c r="Q155" s="60">
        <v>0</v>
      </c>
      <c r="R155" s="61">
        <v>0</v>
      </c>
      <c r="S155" s="60">
        <v>12543853246</v>
      </c>
      <c r="T155" s="60">
        <v>12497150539</v>
      </c>
      <c r="U155" s="60">
        <v>46702707</v>
      </c>
      <c r="V155" s="62">
        <v>0.99627684523374882</v>
      </c>
      <c r="W155" s="60">
        <v>10322769835</v>
      </c>
      <c r="X155" s="60">
        <v>2174380704</v>
      </c>
      <c r="Y155" s="62">
        <v>0.1739901185645788</v>
      </c>
      <c r="Z155" s="60">
        <v>10322769835</v>
      </c>
      <c r="AA155" s="60">
        <v>0</v>
      </c>
      <c r="AB155" s="62">
        <v>0.8260098814354212</v>
      </c>
    </row>
    <row r="156" spans="1:28" ht="27.75" customHeight="1">
      <c r="A156" s="32" t="e">
        <v>#REF!</v>
      </c>
      <c r="B156" s="52" t="s">
        <v>502</v>
      </c>
      <c r="C156" s="52" t="s">
        <v>167</v>
      </c>
      <c r="D156" s="52" t="s">
        <v>190</v>
      </c>
      <c r="E156" s="52" t="s">
        <v>172</v>
      </c>
      <c r="F156" s="52" t="s">
        <v>22</v>
      </c>
      <c r="G156" s="52" t="s">
        <v>175</v>
      </c>
      <c r="H156" s="52" t="s">
        <v>199</v>
      </c>
      <c r="I156" s="52"/>
      <c r="J156" s="53">
        <v>13</v>
      </c>
      <c r="K156" s="52" t="s">
        <v>29</v>
      </c>
      <c r="L156" s="52" t="s">
        <v>200</v>
      </c>
      <c r="M156" s="54">
        <v>6747471657</v>
      </c>
      <c r="N156" s="54">
        <v>0</v>
      </c>
      <c r="O156" s="54">
        <v>0</v>
      </c>
      <c r="P156" s="54">
        <v>1000000000</v>
      </c>
      <c r="Q156" s="54">
        <v>1000000000</v>
      </c>
      <c r="R156" s="54">
        <v>0</v>
      </c>
      <c r="S156" s="54">
        <v>6747471657</v>
      </c>
      <c r="T156" s="54">
        <v>5632124153</v>
      </c>
      <c r="U156" s="54">
        <v>1115347504</v>
      </c>
      <c r="V156" s="55">
        <v>0.83470141696069078</v>
      </c>
      <c r="W156" s="54">
        <v>4223710037</v>
      </c>
      <c r="X156" s="54">
        <v>1408414116</v>
      </c>
      <c r="Y156" s="55">
        <v>0.25006801656703465</v>
      </c>
      <c r="Z156" s="54">
        <v>4223710037</v>
      </c>
      <c r="AA156" s="54">
        <v>0</v>
      </c>
      <c r="AB156" s="55">
        <v>0.7499319834329653</v>
      </c>
    </row>
    <row r="157" spans="1:28" ht="24.95" customHeight="1">
      <c r="A157" s="32" t="e">
        <v>#REF!</v>
      </c>
      <c r="B157" s="56" t="s">
        <v>503</v>
      </c>
      <c r="C157" s="57" t="s">
        <v>167</v>
      </c>
      <c r="D157" s="57" t="s">
        <v>190</v>
      </c>
      <c r="E157" s="57" t="s">
        <v>172</v>
      </c>
      <c r="F157" s="57" t="s">
        <v>22</v>
      </c>
      <c r="G157" s="57" t="s">
        <v>175</v>
      </c>
      <c r="H157" s="57" t="s">
        <v>199</v>
      </c>
      <c r="I157" s="57" t="s">
        <v>54</v>
      </c>
      <c r="J157" s="57">
        <v>13</v>
      </c>
      <c r="K157" s="58" t="s">
        <v>29</v>
      </c>
      <c r="L157" s="59" t="s">
        <v>178</v>
      </c>
      <c r="M157" s="60">
        <v>6747471657</v>
      </c>
      <c r="N157" s="60"/>
      <c r="O157" s="60"/>
      <c r="P157" s="60">
        <v>1000000000</v>
      </c>
      <c r="Q157" s="60">
        <v>1000000000</v>
      </c>
      <c r="R157" s="61">
        <v>0</v>
      </c>
      <c r="S157" s="60">
        <v>6747471657</v>
      </c>
      <c r="T157" s="60">
        <v>5632124153</v>
      </c>
      <c r="U157" s="60">
        <v>1115347504</v>
      </c>
      <c r="V157" s="62">
        <v>0.83470141696069078</v>
      </c>
      <c r="W157" s="60">
        <v>4223710037</v>
      </c>
      <c r="X157" s="60">
        <v>1408414116</v>
      </c>
      <c r="Y157" s="62">
        <v>0.25006801656703465</v>
      </c>
      <c r="Z157" s="60">
        <v>4223710037</v>
      </c>
      <c r="AA157" s="60">
        <v>0</v>
      </c>
      <c r="AB157" s="62">
        <v>0.7499319834329653</v>
      </c>
    </row>
    <row r="158" spans="1:28" ht="43.5" customHeight="1">
      <c r="A158" s="32" t="e">
        <v>#REF!</v>
      </c>
      <c r="B158" s="52" t="s">
        <v>504</v>
      </c>
      <c r="C158" s="52" t="s">
        <v>167</v>
      </c>
      <c r="D158" s="52" t="s">
        <v>190</v>
      </c>
      <c r="E158" s="52" t="s">
        <v>172</v>
      </c>
      <c r="F158" s="52" t="s">
        <v>22</v>
      </c>
      <c r="G158" s="52" t="s">
        <v>175</v>
      </c>
      <c r="H158" s="52" t="s">
        <v>201</v>
      </c>
      <c r="I158" s="52"/>
      <c r="J158" s="53">
        <v>13</v>
      </c>
      <c r="K158" s="52" t="s">
        <v>29</v>
      </c>
      <c r="L158" s="52" t="s">
        <v>202</v>
      </c>
      <c r="M158" s="54">
        <v>11231519737</v>
      </c>
      <c r="N158" s="54">
        <v>0</v>
      </c>
      <c r="O158" s="54">
        <v>0</v>
      </c>
      <c r="P158" s="54">
        <v>0</v>
      </c>
      <c r="Q158" s="54">
        <v>1000000000</v>
      </c>
      <c r="R158" s="54">
        <v>0</v>
      </c>
      <c r="S158" s="54">
        <v>10231519737</v>
      </c>
      <c r="T158" s="54">
        <v>8809933423</v>
      </c>
      <c r="U158" s="54">
        <v>1421586314</v>
      </c>
      <c r="V158" s="55">
        <v>0.86105814673267433</v>
      </c>
      <c r="W158" s="54">
        <v>7259301915.6199999</v>
      </c>
      <c r="X158" s="54">
        <v>1550631507.3800001</v>
      </c>
      <c r="Y158" s="55">
        <v>0.17600944671520249</v>
      </c>
      <c r="Z158" s="54">
        <v>7036833135.6199999</v>
      </c>
      <c r="AA158" s="54">
        <v>222468780</v>
      </c>
      <c r="AB158" s="55">
        <v>0.79873851455551459</v>
      </c>
    </row>
    <row r="159" spans="1:28" ht="24.95" customHeight="1">
      <c r="A159" s="32" t="e">
        <v>#REF!</v>
      </c>
      <c r="B159" s="56" t="s">
        <v>505</v>
      </c>
      <c r="C159" s="57" t="s">
        <v>167</v>
      </c>
      <c r="D159" s="57" t="s">
        <v>190</v>
      </c>
      <c r="E159" s="57" t="s">
        <v>172</v>
      </c>
      <c r="F159" s="57" t="s">
        <v>22</v>
      </c>
      <c r="G159" s="57" t="s">
        <v>175</v>
      </c>
      <c r="H159" s="57" t="s">
        <v>201</v>
      </c>
      <c r="I159" s="57" t="s">
        <v>54</v>
      </c>
      <c r="J159" s="57">
        <v>13</v>
      </c>
      <c r="K159" s="58" t="s">
        <v>29</v>
      </c>
      <c r="L159" s="59" t="s">
        <v>178</v>
      </c>
      <c r="M159" s="60">
        <v>11231519737</v>
      </c>
      <c r="N159" s="60"/>
      <c r="O159" s="60"/>
      <c r="P159" s="60"/>
      <c r="Q159" s="60">
        <v>1000000000</v>
      </c>
      <c r="R159" s="61">
        <v>0</v>
      </c>
      <c r="S159" s="60">
        <v>10231519737</v>
      </c>
      <c r="T159" s="60">
        <v>8809933423</v>
      </c>
      <c r="U159" s="60">
        <v>1421586314</v>
      </c>
      <c r="V159" s="62">
        <v>0.86105814673267433</v>
      </c>
      <c r="W159" s="60">
        <v>7259301915.6199999</v>
      </c>
      <c r="X159" s="60">
        <v>1550631507.3800001</v>
      </c>
      <c r="Y159" s="62">
        <v>0.17600944671520249</v>
      </c>
      <c r="Z159" s="60">
        <v>7036833135.6199999</v>
      </c>
      <c r="AA159" s="60">
        <v>222468780</v>
      </c>
      <c r="AB159" s="62">
        <v>0.79873851455551459</v>
      </c>
    </row>
    <row r="160" spans="1:28" ht="44.25" customHeight="1">
      <c r="A160" s="32" t="e">
        <v>#REF!</v>
      </c>
      <c r="B160" s="52" t="s">
        <v>506</v>
      </c>
      <c r="C160" s="52" t="s">
        <v>167</v>
      </c>
      <c r="D160" s="52" t="s">
        <v>190</v>
      </c>
      <c r="E160" s="52" t="s">
        <v>172</v>
      </c>
      <c r="F160" s="52" t="s">
        <v>22</v>
      </c>
      <c r="G160" s="52" t="s">
        <v>175</v>
      </c>
      <c r="H160" s="52" t="s">
        <v>203</v>
      </c>
      <c r="I160" s="52"/>
      <c r="J160" s="53">
        <v>13</v>
      </c>
      <c r="K160" s="52" t="s">
        <v>29</v>
      </c>
      <c r="L160" s="52" t="s">
        <v>204</v>
      </c>
      <c r="M160" s="54">
        <v>96477155360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96477155360</v>
      </c>
      <c r="T160" s="54">
        <v>90712280856</v>
      </c>
      <c r="U160" s="54">
        <v>5764874504</v>
      </c>
      <c r="V160" s="55">
        <v>0.94024622220163268</v>
      </c>
      <c r="W160" s="54">
        <v>81091609851</v>
      </c>
      <c r="X160" s="54">
        <v>9620671005</v>
      </c>
      <c r="Y160" s="55">
        <v>0.10605698494421285</v>
      </c>
      <c r="Z160" s="54">
        <v>81091609851</v>
      </c>
      <c r="AA160" s="54">
        <v>0</v>
      </c>
      <c r="AB160" s="55">
        <v>0.8939430150557871</v>
      </c>
    </row>
    <row r="161" spans="1:28" ht="24.95" customHeight="1">
      <c r="A161" s="32" t="e">
        <v>#REF!</v>
      </c>
      <c r="B161" s="56" t="s">
        <v>507</v>
      </c>
      <c r="C161" s="57" t="s">
        <v>167</v>
      </c>
      <c r="D161" s="57" t="s">
        <v>190</v>
      </c>
      <c r="E161" s="57" t="s">
        <v>172</v>
      </c>
      <c r="F161" s="57" t="s">
        <v>22</v>
      </c>
      <c r="G161" s="57" t="s">
        <v>175</v>
      </c>
      <c r="H161" s="57" t="s">
        <v>203</v>
      </c>
      <c r="I161" s="57" t="s">
        <v>54</v>
      </c>
      <c r="J161" s="57">
        <v>13</v>
      </c>
      <c r="K161" s="58" t="s">
        <v>29</v>
      </c>
      <c r="L161" s="59" t="s">
        <v>178</v>
      </c>
      <c r="M161" s="60">
        <v>96477155360</v>
      </c>
      <c r="N161" s="60"/>
      <c r="O161" s="60"/>
      <c r="P161" s="60"/>
      <c r="Q161" s="60">
        <v>0</v>
      </c>
      <c r="R161" s="61">
        <v>0</v>
      </c>
      <c r="S161" s="60">
        <v>96477155360</v>
      </c>
      <c r="T161" s="60">
        <v>90712280856</v>
      </c>
      <c r="U161" s="60">
        <v>5764874504</v>
      </c>
      <c r="V161" s="62">
        <v>0.94024622220163268</v>
      </c>
      <c r="W161" s="60">
        <v>81091609851</v>
      </c>
      <c r="X161" s="60">
        <v>9620671005</v>
      </c>
      <c r="Y161" s="62">
        <v>0.10605698494421285</v>
      </c>
      <c r="Z161" s="60">
        <v>81091609851</v>
      </c>
      <c r="AA161" s="60">
        <v>0</v>
      </c>
      <c r="AB161" s="62">
        <v>0.8939430150557871</v>
      </c>
    </row>
    <row r="162" spans="1:28" ht="45.75" customHeight="1">
      <c r="A162" s="32" t="e">
        <v>#REF!</v>
      </c>
      <c r="B162" s="48" t="s">
        <v>299</v>
      </c>
      <c r="C162" s="48" t="s">
        <v>167</v>
      </c>
      <c r="D162" s="48" t="s">
        <v>190</v>
      </c>
      <c r="E162" s="48" t="s">
        <v>172</v>
      </c>
      <c r="F162" s="48" t="s">
        <v>205</v>
      </c>
      <c r="G162" s="48"/>
      <c r="H162" s="48"/>
      <c r="I162" s="48"/>
      <c r="J162" s="49"/>
      <c r="K162" s="48"/>
      <c r="L162" s="48" t="s">
        <v>206</v>
      </c>
      <c r="M162" s="50">
        <v>662805945958</v>
      </c>
      <c r="N162" s="50">
        <v>0</v>
      </c>
      <c r="O162" s="50">
        <v>0</v>
      </c>
      <c r="P162" s="50">
        <v>20912892934.780003</v>
      </c>
      <c r="Q162" s="50">
        <v>20912892934.780003</v>
      </c>
      <c r="R162" s="50">
        <v>0</v>
      </c>
      <c r="S162" s="50">
        <v>662805945958</v>
      </c>
      <c r="T162" s="50">
        <v>417807335293.99005</v>
      </c>
      <c r="U162" s="50">
        <v>244998610664.00998</v>
      </c>
      <c r="V162" s="51">
        <v>0.63036147735534231</v>
      </c>
      <c r="W162" s="50">
        <v>97250347909.490005</v>
      </c>
      <c r="X162" s="50">
        <v>320556987384.5</v>
      </c>
      <c r="Y162" s="51">
        <v>0.76723637979917259</v>
      </c>
      <c r="Z162" s="50">
        <v>92797762773.889999</v>
      </c>
      <c r="AA162" s="50">
        <v>4452585135.6000061</v>
      </c>
      <c r="AB162" s="51">
        <v>0.2221065906097433</v>
      </c>
    </row>
    <row r="163" spans="1:28" ht="24" hidden="1" customHeight="1">
      <c r="A163" s="32"/>
      <c r="B163" s="52"/>
      <c r="C163" s="52"/>
      <c r="D163" s="52"/>
      <c r="E163" s="52"/>
      <c r="F163" s="52"/>
      <c r="G163" s="52"/>
      <c r="H163" s="52"/>
      <c r="I163" s="52"/>
      <c r="J163" s="53"/>
      <c r="K163" s="52"/>
      <c r="L163" s="52"/>
      <c r="M163" s="54"/>
      <c r="N163" s="54"/>
      <c r="O163" s="54"/>
      <c r="P163" s="54"/>
      <c r="Q163" s="54"/>
      <c r="R163" s="54"/>
      <c r="S163" s="54">
        <v>0</v>
      </c>
      <c r="T163" s="54"/>
      <c r="U163" s="54">
        <v>0</v>
      </c>
      <c r="V163" s="55"/>
      <c r="W163" s="54"/>
      <c r="X163" s="54">
        <v>0</v>
      </c>
      <c r="Y163" s="55"/>
      <c r="Z163" s="54"/>
      <c r="AA163" s="54">
        <v>0</v>
      </c>
      <c r="AB163" s="55"/>
    </row>
    <row r="164" spans="1:28" ht="30.75" customHeight="1">
      <c r="A164" s="32" t="e">
        <v>#REF!</v>
      </c>
      <c r="B164" s="52" t="s">
        <v>510</v>
      </c>
      <c r="C164" s="52" t="s">
        <v>167</v>
      </c>
      <c r="D164" s="52" t="s">
        <v>190</v>
      </c>
      <c r="E164" s="52" t="s">
        <v>172</v>
      </c>
      <c r="F164" s="52" t="s">
        <v>205</v>
      </c>
      <c r="G164" s="52" t="s">
        <v>175</v>
      </c>
      <c r="H164" s="52" t="s">
        <v>207</v>
      </c>
      <c r="I164" s="52"/>
      <c r="J164" s="53"/>
      <c r="K164" s="52"/>
      <c r="L164" s="52" t="s">
        <v>208</v>
      </c>
      <c r="M164" s="54">
        <v>633930608285</v>
      </c>
      <c r="N164" s="54">
        <v>0</v>
      </c>
      <c r="O164" s="54">
        <v>0</v>
      </c>
      <c r="P164" s="54">
        <v>19328818784.880001</v>
      </c>
      <c r="Q164" s="54">
        <v>17462409375.470001</v>
      </c>
      <c r="R164" s="54">
        <v>0</v>
      </c>
      <c r="S164" s="54">
        <v>635797017694.41003</v>
      </c>
      <c r="T164" s="54">
        <v>392875729789.91003</v>
      </c>
      <c r="U164" s="54">
        <v>242921287904.49997</v>
      </c>
      <c r="V164" s="55">
        <v>0.6179263489070691</v>
      </c>
      <c r="W164" s="54">
        <v>77011431275.900009</v>
      </c>
      <c r="X164" s="54">
        <v>315864298514.01001</v>
      </c>
      <c r="Y164" s="55">
        <v>0.80398017633443064</v>
      </c>
      <c r="Z164" s="54">
        <v>73958584149.300003</v>
      </c>
      <c r="AA164" s="54">
        <v>3052847126.6000061</v>
      </c>
      <c r="AB164" s="55">
        <v>0.18824930771073412</v>
      </c>
    </row>
    <row r="165" spans="1:28" ht="24.95" customHeight="1">
      <c r="A165" s="32" t="e">
        <v>#REF!</v>
      </c>
      <c r="B165" s="56" t="s">
        <v>511</v>
      </c>
      <c r="C165" s="57" t="s">
        <v>167</v>
      </c>
      <c r="D165" s="57" t="s">
        <v>190</v>
      </c>
      <c r="E165" s="57" t="s">
        <v>172</v>
      </c>
      <c r="F165" s="57" t="s">
        <v>205</v>
      </c>
      <c r="G165" s="57" t="s">
        <v>175</v>
      </c>
      <c r="H165" s="57" t="s">
        <v>207</v>
      </c>
      <c r="I165" s="57" t="s">
        <v>54</v>
      </c>
      <c r="J165" s="57">
        <v>13</v>
      </c>
      <c r="K165" s="58" t="s">
        <v>29</v>
      </c>
      <c r="L165" s="59" t="s">
        <v>178</v>
      </c>
      <c r="M165" s="60">
        <v>74930114899</v>
      </c>
      <c r="N165" s="60"/>
      <c r="O165" s="60"/>
      <c r="P165" s="60">
        <v>5655960962.4299994</v>
      </c>
      <c r="Q165" s="60">
        <v>10608124263.139999</v>
      </c>
      <c r="R165" s="61">
        <v>0</v>
      </c>
      <c r="S165" s="60">
        <v>69977951598.289993</v>
      </c>
      <c r="T165" s="60">
        <v>39549053409.150002</v>
      </c>
      <c r="U165" s="60">
        <v>30428898189.139992</v>
      </c>
      <c r="V165" s="62">
        <v>0.5651644911840551</v>
      </c>
      <c r="W165" s="60">
        <v>3209938021.0999999</v>
      </c>
      <c r="X165" s="60">
        <v>36339115388.050003</v>
      </c>
      <c r="Y165" s="62">
        <v>0.91883653983087865</v>
      </c>
      <c r="Z165" s="60">
        <v>3019199381.0999999</v>
      </c>
      <c r="AA165" s="60">
        <v>190738640</v>
      </c>
      <c r="AB165" s="62">
        <v>7.6340623120994419E-2</v>
      </c>
    </row>
    <row r="166" spans="1:28" ht="24.95" customHeight="1">
      <c r="A166" s="32" t="e">
        <v>#REF!</v>
      </c>
      <c r="B166" s="56" t="s">
        <v>514</v>
      </c>
      <c r="C166" s="57" t="s">
        <v>167</v>
      </c>
      <c r="D166" s="57" t="s">
        <v>190</v>
      </c>
      <c r="E166" s="57" t="s">
        <v>172</v>
      </c>
      <c r="F166" s="57" t="s">
        <v>205</v>
      </c>
      <c r="G166" s="57" t="s">
        <v>175</v>
      </c>
      <c r="H166" s="57" t="s">
        <v>207</v>
      </c>
      <c r="I166" s="57" t="s">
        <v>65</v>
      </c>
      <c r="J166" s="57">
        <v>13</v>
      </c>
      <c r="K166" s="58" t="s">
        <v>29</v>
      </c>
      <c r="L166" s="59" t="s">
        <v>127</v>
      </c>
      <c r="M166" s="60">
        <v>559000493386</v>
      </c>
      <c r="N166" s="60"/>
      <c r="O166" s="60"/>
      <c r="P166" s="60">
        <v>13672857822.450001</v>
      </c>
      <c r="Q166" s="60">
        <v>6854285112.3299999</v>
      </c>
      <c r="R166" s="61">
        <v>0</v>
      </c>
      <c r="S166" s="60">
        <v>565819066096.12</v>
      </c>
      <c r="T166" s="60">
        <v>353326676380.76001</v>
      </c>
      <c r="U166" s="60">
        <v>212492389715.35999</v>
      </c>
      <c r="V166" s="62">
        <v>0.62445169763992669</v>
      </c>
      <c r="W166" s="60">
        <v>73801493254.800003</v>
      </c>
      <c r="X166" s="60">
        <v>279525183125.96002</v>
      </c>
      <c r="Y166" s="62">
        <v>0.79112391396321202</v>
      </c>
      <c r="Z166" s="60">
        <v>70939384768.199997</v>
      </c>
      <c r="AA166" s="60">
        <v>2862108486.6000061</v>
      </c>
      <c r="AB166" s="62">
        <v>0.20077562638308313</v>
      </c>
    </row>
    <row r="167" spans="1:28" ht="27.75" customHeight="1">
      <c r="A167" s="32" t="e">
        <v>#REF!</v>
      </c>
      <c r="B167" s="52" t="s">
        <v>516</v>
      </c>
      <c r="C167" s="52" t="s">
        <v>167</v>
      </c>
      <c r="D167" s="52" t="s">
        <v>190</v>
      </c>
      <c r="E167" s="52" t="s">
        <v>172</v>
      </c>
      <c r="F167" s="52" t="s">
        <v>205</v>
      </c>
      <c r="G167" s="52" t="s">
        <v>175</v>
      </c>
      <c r="H167" s="52" t="s">
        <v>209</v>
      </c>
      <c r="I167" s="52"/>
      <c r="J167" s="53">
        <v>11</v>
      </c>
      <c r="K167" s="52" t="s">
        <v>29</v>
      </c>
      <c r="L167" s="52" t="s">
        <v>210</v>
      </c>
      <c r="M167" s="54">
        <v>28875337673</v>
      </c>
      <c r="N167" s="54">
        <v>0</v>
      </c>
      <c r="O167" s="54">
        <v>0</v>
      </c>
      <c r="P167" s="54">
        <v>1584074149.9000001</v>
      </c>
      <c r="Q167" s="54">
        <v>3450483559.3099999</v>
      </c>
      <c r="R167" s="54">
        <v>0</v>
      </c>
      <c r="S167" s="54">
        <v>27008928263.59</v>
      </c>
      <c r="T167" s="54">
        <v>24931605504.080002</v>
      </c>
      <c r="U167" s="54">
        <v>2077322759.5100002</v>
      </c>
      <c r="V167" s="55">
        <v>0.92308755315143765</v>
      </c>
      <c r="W167" s="54">
        <v>20238916633.59</v>
      </c>
      <c r="X167" s="54">
        <v>4692688870.4899998</v>
      </c>
      <c r="Y167" s="55">
        <v>0.18822249011288308</v>
      </c>
      <c r="Z167" s="54">
        <v>18839178624.59</v>
      </c>
      <c r="AA167" s="54">
        <v>1399738009</v>
      </c>
      <c r="AB167" s="55">
        <v>0.75563439432358304</v>
      </c>
    </row>
    <row r="168" spans="1:28" ht="24.95" customHeight="1">
      <c r="A168" s="32" t="e">
        <v>#REF!</v>
      </c>
      <c r="B168" s="56" t="s">
        <v>517</v>
      </c>
      <c r="C168" s="57" t="s">
        <v>167</v>
      </c>
      <c r="D168" s="57" t="s">
        <v>190</v>
      </c>
      <c r="E168" s="57" t="s">
        <v>172</v>
      </c>
      <c r="F168" s="57" t="s">
        <v>205</v>
      </c>
      <c r="G168" s="57" t="s">
        <v>175</v>
      </c>
      <c r="H168" s="57" t="s">
        <v>209</v>
      </c>
      <c r="I168" s="57" t="s">
        <v>54</v>
      </c>
      <c r="J168" s="57">
        <v>11</v>
      </c>
      <c r="K168" s="58" t="s">
        <v>29</v>
      </c>
      <c r="L168" s="59" t="s">
        <v>178</v>
      </c>
      <c r="M168" s="60">
        <v>17101987014</v>
      </c>
      <c r="N168" s="60"/>
      <c r="O168" s="60"/>
      <c r="P168" s="60"/>
      <c r="Q168" s="60">
        <v>0</v>
      </c>
      <c r="R168" s="61">
        <v>0</v>
      </c>
      <c r="S168" s="60">
        <v>17101987014</v>
      </c>
      <c r="T168" s="60">
        <v>17100849100</v>
      </c>
      <c r="U168" s="60">
        <v>1137914</v>
      </c>
      <c r="V168" s="62">
        <v>0.99993346305320729</v>
      </c>
      <c r="W168" s="60">
        <v>14744418833</v>
      </c>
      <c r="X168" s="60">
        <v>2356430267</v>
      </c>
      <c r="Y168" s="62">
        <v>0.13779609732945949</v>
      </c>
      <c r="Z168" s="60">
        <v>13713797952</v>
      </c>
      <c r="AA168" s="60">
        <v>1030620881</v>
      </c>
      <c r="AB168" s="62">
        <v>0.80193666827923771</v>
      </c>
    </row>
    <row r="169" spans="1:28" ht="24.95" customHeight="1">
      <c r="A169" s="32" t="e">
        <v>#REF!</v>
      </c>
      <c r="B169" s="56" t="s">
        <v>517</v>
      </c>
      <c r="C169" s="57" t="s">
        <v>167</v>
      </c>
      <c r="D169" s="57" t="s">
        <v>190</v>
      </c>
      <c r="E169" s="57" t="s">
        <v>172</v>
      </c>
      <c r="F169" s="57" t="s">
        <v>205</v>
      </c>
      <c r="G169" s="57" t="s">
        <v>175</v>
      </c>
      <c r="H169" s="57" t="s">
        <v>209</v>
      </c>
      <c r="I169" s="57" t="s">
        <v>54</v>
      </c>
      <c r="J169" s="57">
        <v>13</v>
      </c>
      <c r="K169" s="58" t="s">
        <v>29</v>
      </c>
      <c r="L169" s="59" t="s">
        <v>178</v>
      </c>
      <c r="M169" s="60">
        <v>11773350659</v>
      </c>
      <c r="N169" s="60"/>
      <c r="O169" s="60"/>
      <c r="P169" s="60">
        <v>1584074149.9000001</v>
      </c>
      <c r="Q169" s="60">
        <v>3450483559.3099999</v>
      </c>
      <c r="R169" s="61">
        <v>0</v>
      </c>
      <c r="S169" s="60">
        <v>9906941249.5900002</v>
      </c>
      <c r="T169" s="60">
        <v>7830756404.0799999</v>
      </c>
      <c r="U169" s="60">
        <v>2076184845.5100002</v>
      </c>
      <c r="V169" s="62">
        <v>0.790431295270281</v>
      </c>
      <c r="W169" s="60">
        <v>5494497800.5900002</v>
      </c>
      <c r="X169" s="60">
        <v>2336258603.4899998</v>
      </c>
      <c r="Y169" s="62">
        <v>0.29834392527811959</v>
      </c>
      <c r="Z169" s="60">
        <v>5125380672.5900002</v>
      </c>
      <c r="AA169" s="60">
        <v>369117128</v>
      </c>
      <c r="AB169" s="62">
        <v>0.65451923264010126</v>
      </c>
    </row>
    <row r="170" spans="1:28" ht="36" customHeight="1">
      <c r="A170" s="32" t="e">
        <v>#REF!</v>
      </c>
      <c r="B170" s="48" t="s">
        <v>520</v>
      </c>
      <c r="C170" s="48" t="s">
        <v>167</v>
      </c>
      <c r="D170" s="48" t="s">
        <v>190</v>
      </c>
      <c r="E170" s="48" t="s">
        <v>172</v>
      </c>
      <c r="F170" s="48" t="s">
        <v>211</v>
      </c>
      <c r="G170" s="48"/>
      <c r="H170" s="48"/>
      <c r="I170" s="48"/>
      <c r="J170" s="49"/>
      <c r="K170" s="48"/>
      <c r="L170" s="48" t="s">
        <v>212</v>
      </c>
      <c r="M170" s="50">
        <v>1000000000</v>
      </c>
      <c r="N170" s="50">
        <v>0</v>
      </c>
      <c r="O170" s="50">
        <v>0</v>
      </c>
      <c r="P170" s="50">
        <v>1000000000</v>
      </c>
      <c r="Q170" s="50">
        <v>0</v>
      </c>
      <c r="R170" s="50">
        <v>0</v>
      </c>
      <c r="S170" s="50">
        <v>2000000000</v>
      </c>
      <c r="T170" s="50">
        <v>0</v>
      </c>
      <c r="U170" s="50">
        <v>2000000000</v>
      </c>
      <c r="V170" s="51">
        <v>0</v>
      </c>
      <c r="W170" s="50">
        <v>0</v>
      </c>
      <c r="X170" s="50">
        <v>0</v>
      </c>
      <c r="Y170" s="51">
        <v>0</v>
      </c>
      <c r="Z170" s="50">
        <v>0</v>
      </c>
      <c r="AA170" s="50">
        <v>0</v>
      </c>
      <c r="AB170" s="51">
        <v>0</v>
      </c>
    </row>
    <row r="171" spans="1:28" ht="28.5" customHeight="1">
      <c r="A171" s="32" t="e">
        <v>#REF!</v>
      </c>
      <c r="B171" s="52" t="s">
        <v>522</v>
      </c>
      <c r="C171" s="52" t="s">
        <v>167</v>
      </c>
      <c r="D171" s="52" t="s">
        <v>190</v>
      </c>
      <c r="E171" s="52" t="s">
        <v>172</v>
      </c>
      <c r="F171" s="52" t="s">
        <v>211</v>
      </c>
      <c r="G171" s="52" t="s">
        <v>175</v>
      </c>
      <c r="H171" s="52" t="s">
        <v>213</v>
      </c>
      <c r="I171" s="52"/>
      <c r="J171" s="53" t="s">
        <v>144</v>
      </c>
      <c r="K171" s="52" t="s">
        <v>29</v>
      </c>
      <c r="L171" s="52" t="s">
        <v>214</v>
      </c>
      <c r="M171" s="54">
        <v>820000000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820000000</v>
      </c>
      <c r="T171" s="54">
        <v>0</v>
      </c>
      <c r="U171" s="54">
        <v>820000000</v>
      </c>
      <c r="V171" s="55">
        <v>0</v>
      </c>
      <c r="W171" s="54">
        <v>0</v>
      </c>
      <c r="X171" s="54">
        <v>0</v>
      </c>
      <c r="Y171" s="55">
        <v>0</v>
      </c>
      <c r="Z171" s="54">
        <v>0</v>
      </c>
      <c r="AA171" s="54">
        <v>0</v>
      </c>
      <c r="AB171" s="55">
        <v>0</v>
      </c>
    </row>
    <row r="172" spans="1:28" ht="24.95" customHeight="1">
      <c r="A172" s="32" t="e">
        <v>#REF!</v>
      </c>
      <c r="B172" s="56" t="s">
        <v>524</v>
      </c>
      <c r="C172" s="57" t="s">
        <v>167</v>
      </c>
      <c r="D172" s="57" t="s">
        <v>190</v>
      </c>
      <c r="E172" s="57" t="s">
        <v>172</v>
      </c>
      <c r="F172" s="57" t="s">
        <v>211</v>
      </c>
      <c r="G172" s="57" t="s">
        <v>175</v>
      </c>
      <c r="H172" s="57" t="s">
        <v>213</v>
      </c>
      <c r="I172" s="57" t="s">
        <v>54</v>
      </c>
      <c r="J172" s="57">
        <v>13</v>
      </c>
      <c r="K172" s="58" t="s">
        <v>29</v>
      </c>
      <c r="L172" s="59" t="s">
        <v>178</v>
      </c>
      <c r="M172" s="60">
        <v>820000000</v>
      </c>
      <c r="N172" s="60"/>
      <c r="O172" s="60"/>
      <c r="P172" s="60"/>
      <c r="Q172" s="60">
        <v>0</v>
      </c>
      <c r="R172" s="61">
        <v>0</v>
      </c>
      <c r="S172" s="60">
        <v>820000000</v>
      </c>
      <c r="T172" s="60">
        <v>0</v>
      </c>
      <c r="U172" s="60">
        <v>820000000</v>
      </c>
      <c r="V172" s="62">
        <v>0</v>
      </c>
      <c r="W172" s="60">
        <v>0</v>
      </c>
      <c r="X172" s="60">
        <v>0</v>
      </c>
      <c r="Y172" s="62">
        <v>0</v>
      </c>
      <c r="Z172" s="60">
        <v>0</v>
      </c>
      <c r="AA172" s="60">
        <v>0</v>
      </c>
      <c r="AB172" s="62">
        <v>0</v>
      </c>
    </row>
    <row r="173" spans="1:28" ht="24" customHeight="1">
      <c r="A173" s="32" t="e">
        <v>#REF!</v>
      </c>
      <c r="B173" s="52" t="s">
        <v>526</v>
      </c>
      <c r="C173" s="52" t="s">
        <v>167</v>
      </c>
      <c r="D173" s="52" t="s">
        <v>190</v>
      </c>
      <c r="E173" s="52" t="s">
        <v>172</v>
      </c>
      <c r="F173" s="52" t="s">
        <v>211</v>
      </c>
      <c r="G173" s="52" t="s">
        <v>175</v>
      </c>
      <c r="H173" s="52" t="s">
        <v>215</v>
      </c>
      <c r="I173" s="52"/>
      <c r="J173" s="53" t="s">
        <v>144</v>
      </c>
      <c r="K173" s="52" t="s">
        <v>29</v>
      </c>
      <c r="L173" s="52" t="s">
        <v>216</v>
      </c>
      <c r="M173" s="54">
        <v>180000000</v>
      </c>
      <c r="N173" s="54">
        <v>0</v>
      </c>
      <c r="O173" s="54">
        <v>0</v>
      </c>
      <c r="P173" s="54">
        <v>1000000000</v>
      </c>
      <c r="Q173" s="54">
        <v>0</v>
      </c>
      <c r="R173" s="54">
        <v>0</v>
      </c>
      <c r="S173" s="54">
        <v>1180000000</v>
      </c>
      <c r="T173" s="54">
        <v>0</v>
      </c>
      <c r="U173" s="54">
        <v>1180000000</v>
      </c>
      <c r="V173" s="55">
        <v>0</v>
      </c>
      <c r="W173" s="54">
        <v>0</v>
      </c>
      <c r="X173" s="54">
        <v>0</v>
      </c>
      <c r="Y173" s="55">
        <v>0</v>
      </c>
      <c r="Z173" s="54">
        <v>0</v>
      </c>
      <c r="AA173" s="54">
        <v>0</v>
      </c>
      <c r="AB173" s="55">
        <v>0</v>
      </c>
    </row>
    <row r="174" spans="1:28" ht="24.95" customHeight="1">
      <c r="A174" s="32" t="e">
        <v>#REF!</v>
      </c>
      <c r="B174" s="56" t="s">
        <v>528</v>
      </c>
      <c r="C174" s="57" t="s">
        <v>167</v>
      </c>
      <c r="D174" s="57" t="s">
        <v>190</v>
      </c>
      <c r="E174" s="57" t="s">
        <v>172</v>
      </c>
      <c r="F174" s="57" t="s">
        <v>211</v>
      </c>
      <c r="G174" s="57" t="s">
        <v>175</v>
      </c>
      <c r="H174" s="57" t="s">
        <v>215</v>
      </c>
      <c r="I174" s="57" t="s">
        <v>54</v>
      </c>
      <c r="J174" s="57">
        <v>13</v>
      </c>
      <c r="K174" s="58" t="s">
        <v>29</v>
      </c>
      <c r="L174" s="59" t="s">
        <v>178</v>
      </c>
      <c r="M174" s="60">
        <v>180000000</v>
      </c>
      <c r="N174" s="60"/>
      <c r="O174" s="60"/>
      <c r="P174" s="60">
        <v>1000000000</v>
      </c>
      <c r="Q174" s="60">
        <v>0</v>
      </c>
      <c r="R174" s="61">
        <v>0</v>
      </c>
      <c r="S174" s="60">
        <v>1180000000</v>
      </c>
      <c r="T174" s="60">
        <v>0</v>
      </c>
      <c r="U174" s="60">
        <v>1180000000</v>
      </c>
      <c r="V174" s="62">
        <v>0</v>
      </c>
      <c r="W174" s="60">
        <v>0</v>
      </c>
      <c r="X174" s="60">
        <v>0</v>
      </c>
      <c r="Y174" s="62">
        <v>0</v>
      </c>
      <c r="Z174" s="60">
        <v>0</v>
      </c>
      <c r="AA174" s="60">
        <v>0</v>
      </c>
      <c r="AB174" s="62">
        <v>0</v>
      </c>
    </row>
    <row r="175" spans="1:28" ht="50.25" customHeight="1">
      <c r="A175" s="32" t="e">
        <v>#REF!</v>
      </c>
      <c r="B175" s="48" t="s">
        <v>530</v>
      </c>
      <c r="C175" s="48" t="s">
        <v>167</v>
      </c>
      <c r="D175" s="48" t="s">
        <v>190</v>
      </c>
      <c r="E175" s="48" t="s">
        <v>172</v>
      </c>
      <c r="F175" s="48" t="s">
        <v>217</v>
      </c>
      <c r="G175" s="48"/>
      <c r="H175" s="48"/>
      <c r="I175" s="48"/>
      <c r="J175" s="49"/>
      <c r="K175" s="48"/>
      <c r="L175" s="48" t="s">
        <v>218</v>
      </c>
      <c r="M175" s="50">
        <v>20000000000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20000000000</v>
      </c>
      <c r="T175" s="50">
        <v>17812511729</v>
      </c>
      <c r="U175" s="50">
        <v>2187488271</v>
      </c>
      <c r="V175" s="51">
        <v>0.89062558645000001</v>
      </c>
      <c r="W175" s="50">
        <v>7651487156.5</v>
      </c>
      <c r="X175" s="50">
        <v>10161024572.5</v>
      </c>
      <c r="Y175" s="51">
        <v>0.57044310915215568</v>
      </c>
      <c r="Z175" s="50">
        <v>7602505156.5</v>
      </c>
      <c r="AA175" s="50">
        <v>48982000</v>
      </c>
      <c r="AB175" s="51">
        <v>0.42680702599188164</v>
      </c>
    </row>
    <row r="176" spans="1:28" ht="24" customHeight="1">
      <c r="A176" s="32" t="e">
        <v>#REF!</v>
      </c>
      <c r="B176" s="52" t="s">
        <v>531</v>
      </c>
      <c r="C176" s="52" t="s">
        <v>167</v>
      </c>
      <c r="D176" s="52" t="s">
        <v>190</v>
      </c>
      <c r="E176" s="52" t="s">
        <v>172</v>
      </c>
      <c r="F176" s="52" t="s">
        <v>217</v>
      </c>
      <c r="G176" s="52" t="s">
        <v>175</v>
      </c>
      <c r="H176" s="52" t="s">
        <v>219</v>
      </c>
      <c r="I176" s="52"/>
      <c r="J176" s="53">
        <v>11</v>
      </c>
      <c r="K176" s="52" t="s">
        <v>29</v>
      </c>
      <c r="L176" s="52" t="s">
        <v>220</v>
      </c>
      <c r="M176" s="54">
        <v>4242894515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4242894515</v>
      </c>
      <c r="T176" s="54">
        <v>2862306244</v>
      </c>
      <c r="U176" s="54">
        <v>1380588271</v>
      </c>
      <c r="V176" s="55">
        <v>0.67461169111813279</v>
      </c>
      <c r="W176" s="54">
        <v>806464274.5</v>
      </c>
      <c r="X176" s="54">
        <v>2055841969.5</v>
      </c>
      <c r="Y176" s="55">
        <v>0.71824668440334782</v>
      </c>
      <c r="Z176" s="54">
        <v>757482274.5</v>
      </c>
      <c r="AA176" s="54">
        <v>48982000</v>
      </c>
      <c r="AB176" s="55">
        <v>0.26464054155205902</v>
      </c>
    </row>
    <row r="177" spans="1:28" ht="24.95" customHeight="1">
      <c r="A177" s="32" t="e">
        <v>#REF!</v>
      </c>
      <c r="B177" s="56" t="s">
        <v>532</v>
      </c>
      <c r="C177" s="57" t="s">
        <v>167</v>
      </c>
      <c r="D177" s="57" t="s">
        <v>190</v>
      </c>
      <c r="E177" s="57" t="s">
        <v>172</v>
      </c>
      <c r="F177" s="57" t="s">
        <v>217</v>
      </c>
      <c r="G177" s="57" t="s">
        <v>175</v>
      </c>
      <c r="H177" s="57" t="s">
        <v>219</v>
      </c>
      <c r="I177" s="57" t="s">
        <v>54</v>
      </c>
      <c r="J177" s="57">
        <v>13</v>
      </c>
      <c r="K177" s="58" t="s">
        <v>29</v>
      </c>
      <c r="L177" s="59" t="s">
        <v>178</v>
      </c>
      <c r="M177" s="60">
        <v>4242894515</v>
      </c>
      <c r="N177" s="60"/>
      <c r="O177" s="60"/>
      <c r="P177" s="60"/>
      <c r="Q177" s="60">
        <v>0</v>
      </c>
      <c r="R177" s="61">
        <v>0</v>
      </c>
      <c r="S177" s="60">
        <v>4242894515</v>
      </c>
      <c r="T177" s="60">
        <v>2862306244</v>
      </c>
      <c r="U177" s="60">
        <v>1380588271</v>
      </c>
      <c r="V177" s="62">
        <v>0.67461169111813279</v>
      </c>
      <c r="W177" s="60">
        <v>806464274.5</v>
      </c>
      <c r="X177" s="60">
        <v>2055841969.5</v>
      </c>
      <c r="Y177" s="62">
        <v>0.71824668440334782</v>
      </c>
      <c r="Z177" s="60">
        <v>757482274.5</v>
      </c>
      <c r="AA177" s="60">
        <v>48982000</v>
      </c>
      <c r="AB177" s="62">
        <v>0.26464054155205902</v>
      </c>
    </row>
    <row r="178" spans="1:28" ht="28.5" customHeight="1">
      <c r="A178" s="32" t="e">
        <v>#REF!</v>
      </c>
      <c r="B178" s="52" t="s">
        <v>533</v>
      </c>
      <c r="C178" s="52" t="s">
        <v>167</v>
      </c>
      <c r="D178" s="52" t="s">
        <v>190</v>
      </c>
      <c r="E178" s="52" t="s">
        <v>172</v>
      </c>
      <c r="F178" s="52" t="s">
        <v>217</v>
      </c>
      <c r="G178" s="52" t="s">
        <v>175</v>
      </c>
      <c r="H178" s="52" t="s">
        <v>221</v>
      </c>
      <c r="I178" s="52"/>
      <c r="J178" s="53">
        <v>11</v>
      </c>
      <c r="K178" s="52" t="s">
        <v>29</v>
      </c>
      <c r="L178" s="52" t="s">
        <v>222</v>
      </c>
      <c r="M178" s="54">
        <v>15757105485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15757105485</v>
      </c>
      <c r="T178" s="54">
        <v>14950205485</v>
      </c>
      <c r="U178" s="54">
        <v>806900000</v>
      </c>
      <c r="V178" s="55">
        <v>0.94879135633329803</v>
      </c>
      <c r="W178" s="54">
        <v>6845022882</v>
      </c>
      <c r="X178" s="54">
        <v>8105182603</v>
      </c>
      <c r="Y178" s="55">
        <v>0.5421452307884449</v>
      </c>
      <c r="Z178" s="54">
        <v>6845022882</v>
      </c>
      <c r="AA178" s="54">
        <v>0</v>
      </c>
      <c r="AB178" s="55">
        <v>0.4578547692115551</v>
      </c>
    </row>
    <row r="179" spans="1:28" ht="24.95" customHeight="1">
      <c r="A179" s="32" t="e">
        <v>#REF!</v>
      </c>
      <c r="B179" s="56" t="s">
        <v>534</v>
      </c>
      <c r="C179" s="57" t="s">
        <v>167</v>
      </c>
      <c r="D179" s="57" t="s">
        <v>190</v>
      </c>
      <c r="E179" s="57" t="s">
        <v>172</v>
      </c>
      <c r="F179" s="57" t="s">
        <v>217</v>
      </c>
      <c r="G179" s="57" t="s">
        <v>175</v>
      </c>
      <c r="H179" s="57" t="s">
        <v>221</v>
      </c>
      <c r="I179" s="57" t="s">
        <v>54</v>
      </c>
      <c r="J179" s="57">
        <v>13</v>
      </c>
      <c r="K179" s="58" t="s">
        <v>29</v>
      </c>
      <c r="L179" s="59" t="s">
        <v>178</v>
      </c>
      <c r="M179" s="60">
        <v>15757105485</v>
      </c>
      <c r="N179" s="60"/>
      <c r="O179" s="60"/>
      <c r="P179" s="60"/>
      <c r="Q179" s="60">
        <v>0</v>
      </c>
      <c r="R179" s="61">
        <v>0</v>
      </c>
      <c r="S179" s="60">
        <v>15757105485</v>
      </c>
      <c r="T179" s="60">
        <v>14950205485</v>
      </c>
      <c r="U179" s="60">
        <v>806900000</v>
      </c>
      <c r="V179" s="62">
        <v>0.94879135633329803</v>
      </c>
      <c r="W179" s="60">
        <v>6845022882</v>
      </c>
      <c r="X179" s="60">
        <v>8105182603</v>
      </c>
      <c r="Y179" s="62">
        <v>0.5421452307884449</v>
      </c>
      <c r="Z179" s="60">
        <v>6845022882</v>
      </c>
      <c r="AA179" s="60">
        <v>0</v>
      </c>
      <c r="AB179" s="62">
        <v>0.4578547692115551</v>
      </c>
    </row>
    <row r="180" spans="1:28" ht="30" customHeight="1">
      <c r="A180" s="32" t="e">
        <v>#REF!</v>
      </c>
      <c r="B180" s="52" t="s">
        <v>536</v>
      </c>
      <c r="C180" s="52" t="s">
        <v>167</v>
      </c>
      <c r="D180" s="52" t="s">
        <v>190</v>
      </c>
      <c r="E180" s="52" t="s">
        <v>172</v>
      </c>
      <c r="F180" s="52" t="s">
        <v>217</v>
      </c>
      <c r="G180" s="52" t="s">
        <v>175</v>
      </c>
      <c r="H180" s="52" t="s">
        <v>223</v>
      </c>
      <c r="I180" s="52"/>
      <c r="J180" s="53">
        <v>11</v>
      </c>
      <c r="K180" s="52" t="s">
        <v>29</v>
      </c>
      <c r="L180" s="52" t="s">
        <v>224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5">
        <v>0</v>
      </c>
      <c r="W180" s="54">
        <v>0</v>
      </c>
      <c r="X180" s="54">
        <v>0</v>
      </c>
      <c r="Y180" s="55">
        <v>0</v>
      </c>
      <c r="Z180" s="54">
        <v>0</v>
      </c>
      <c r="AA180" s="54">
        <v>0</v>
      </c>
      <c r="AB180" s="55">
        <v>0</v>
      </c>
    </row>
    <row r="181" spans="1:28" ht="24.95" customHeight="1">
      <c r="A181" s="32" t="e">
        <v>#REF!</v>
      </c>
      <c r="B181" s="56" t="s">
        <v>537</v>
      </c>
      <c r="C181" s="57" t="s">
        <v>167</v>
      </c>
      <c r="D181" s="57" t="s">
        <v>190</v>
      </c>
      <c r="E181" s="57" t="s">
        <v>172</v>
      </c>
      <c r="F181" s="57" t="s">
        <v>217</v>
      </c>
      <c r="G181" s="57" t="s">
        <v>175</v>
      </c>
      <c r="H181" s="57" t="s">
        <v>223</v>
      </c>
      <c r="I181" s="57" t="s">
        <v>54</v>
      </c>
      <c r="J181" s="57">
        <v>11</v>
      </c>
      <c r="K181" s="58" t="s">
        <v>29</v>
      </c>
      <c r="L181" s="59" t="s">
        <v>178</v>
      </c>
      <c r="M181" s="60"/>
      <c r="N181" s="60"/>
      <c r="O181" s="60"/>
      <c r="P181" s="60"/>
      <c r="Q181" s="60"/>
      <c r="R181" s="61"/>
      <c r="S181" s="60">
        <v>0</v>
      </c>
      <c r="T181" s="60"/>
      <c r="U181" s="60">
        <v>0</v>
      </c>
      <c r="V181" s="62">
        <v>0</v>
      </c>
      <c r="W181" s="60"/>
      <c r="X181" s="60">
        <v>0</v>
      </c>
      <c r="Y181" s="62">
        <v>0</v>
      </c>
      <c r="Z181" s="60"/>
      <c r="AA181" s="60">
        <v>0</v>
      </c>
      <c r="AB181" s="62">
        <v>0</v>
      </c>
    </row>
    <row r="182" spans="1:28" ht="24.95" customHeight="1">
      <c r="A182" s="32" t="e">
        <v>#REF!</v>
      </c>
      <c r="B182" s="56" t="s">
        <v>539</v>
      </c>
      <c r="C182" s="57" t="s">
        <v>167</v>
      </c>
      <c r="D182" s="57" t="s">
        <v>190</v>
      </c>
      <c r="E182" s="57" t="s">
        <v>172</v>
      </c>
      <c r="F182" s="57" t="s">
        <v>217</v>
      </c>
      <c r="G182" s="57" t="s">
        <v>175</v>
      </c>
      <c r="H182" s="57" t="s">
        <v>223</v>
      </c>
      <c r="I182" s="57" t="s">
        <v>65</v>
      </c>
      <c r="J182" s="57">
        <v>11</v>
      </c>
      <c r="K182" s="58" t="s">
        <v>29</v>
      </c>
      <c r="L182" s="59" t="s">
        <v>127</v>
      </c>
      <c r="M182" s="60"/>
      <c r="N182" s="60"/>
      <c r="O182" s="60"/>
      <c r="P182" s="60"/>
      <c r="Q182" s="60"/>
      <c r="R182" s="61"/>
      <c r="S182" s="60">
        <v>0</v>
      </c>
      <c r="T182" s="60"/>
      <c r="U182" s="60">
        <v>0</v>
      </c>
      <c r="V182" s="62">
        <v>0</v>
      </c>
      <c r="W182" s="60"/>
      <c r="X182" s="60">
        <v>0</v>
      </c>
      <c r="Y182" s="62">
        <v>0</v>
      </c>
      <c r="Z182" s="60"/>
      <c r="AA182" s="60">
        <v>0</v>
      </c>
      <c r="AB182" s="62">
        <v>0</v>
      </c>
    </row>
    <row r="183" spans="1:28" ht="30" customHeight="1">
      <c r="A183" s="32" t="e">
        <v>#REF!</v>
      </c>
      <c r="B183" s="52" t="s">
        <v>540</v>
      </c>
      <c r="C183" s="52" t="s">
        <v>167</v>
      </c>
      <c r="D183" s="52" t="s">
        <v>190</v>
      </c>
      <c r="E183" s="52" t="s">
        <v>172</v>
      </c>
      <c r="F183" s="52" t="s">
        <v>217</v>
      </c>
      <c r="G183" s="52" t="s">
        <v>175</v>
      </c>
      <c r="H183" s="52" t="s">
        <v>225</v>
      </c>
      <c r="I183" s="52"/>
      <c r="J183" s="53">
        <v>11</v>
      </c>
      <c r="K183" s="52" t="s">
        <v>29</v>
      </c>
      <c r="L183" s="52" t="s">
        <v>226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5">
        <v>0</v>
      </c>
      <c r="W183" s="54">
        <v>0</v>
      </c>
      <c r="X183" s="54">
        <v>0</v>
      </c>
      <c r="Y183" s="55">
        <v>0</v>
      </c>
      <c r="Z183" s="54">
        <v>0</v>
      </c>
      <c r="AA183" s="54">
        <v>0</v>
      </c>
      <c r="AB183" s="55">
        <v>0</v>
      </c>
    </row>
    <row r="184" spans="1:28" ht="24.95" customHeight="1">
      <c r="A184" s="32" t="e">
        <v>#REF!</v>
      </c>
      <c r="B184" s="56" t="s">
        <v>541</v>
      </c>
      <c r="C184" s="57" t="s">
        <v>167</v>
      </c>
      <c r="D184" s="57" t="s">
        <v>190</v>
      </c>
      <c r="E184" s="57" t="s">
        <v>172</v>
      </c>
      <c r="F184" s="57" t="s">
        <v>217</v>
      </c>
      <c r="G184" s="57" t="s">
        <v>175</v>
      </c>
      <c r="H184" s="57" t="s">
        <v>225</v>
      </c>
      <c r="I184" s="57" t="s">
        <v>54</v>
      </c>
      <c r="J184" s="57">
        <v>11</v>
      </c>
      <c r="K184" s="58" t="s">
        <v>29</v>
      </c>
      <c r="L184" s="59" t="s">
        <v>178</v>
      </c>
      <c r="M184" s="60"/>
      <c r="N184" s="60"/>
      <c r="O184" s="60"/>
      <c r="P184" s="60"/>
      <c r="Q184" s="60"/>
      <c r="R184" s="61"/>
      <c r="S184" s="60">
        <v>0</v>
      </c>
      <c r="T184" s="60"/>
      <c r="U184" s="60">
        <v>0</v>
      </c>
      <c r="V184" s="62">
        <v>0</v>
      </c>
      <c r="W184" s="60"/>
      <c r="X184" s="60">
        <v>0</v>
      </c>
      <c r="Y184" s="62">
        <v>0</v>
      </c>
      <c r="Z184" s="60"/>
      <c r="AA184" s="60">
        <v>0</v>
      </c>
      <c r="AB184" s="62">
        <v>0</v>
      </c>
    </row>
    <row r="185" spans="1:28" ht="33" customHeight="1">
      <c r="A185" s="32" t="e">
        <v>#REF!</v>
      </c>
      <c r="B185" s="48" t="s">
        <v>664</v>
      </c>
      <c r="C185" s="48" t="s">
        <v>167</v>
      </c>
      <c r="D185" s="48" t="s">
        <v>190</v>
      </c>
      <c r="E185" s="48" t="s">
        <v>172</v>
      </c>
      <c r="F185" s="48">
        <v>19</v>
      </c>
      <c r="G185" s="48"/>
      <c r="H185" s="48"/>
      <c r="I185" s="48"/>
      <c r="J185" s="49"/>
      <c r="K185" s="48"/>
      <c r="L185" s="48" t="s">
        <v>227</v>
      </c>
      <c r="M185" s="50">
        <v>12800000000</v>
      </c>
      <c r="N185" s="50">
        <v>5269349000</v>
      </c>
      <c r="O185" s="50">
        <v>0</v>
      </c>
      <c r="P185" s="50">
        <v>0</v>
      </c>
      <c r="Q185" s="50">
        <v>0</v>
      </c>
      <c r="R185" s="50">
        <v>0</v>
      </c>
      <c r="S185" s="50">
        <v>18069349000</v>
      </c>
      <c r="T185" s="50">
        <v>17662038520.510002</v>
      </c>
      <c r="U185" s="50">
        <v>407310479.48999977</v>
      </c>
      <c r="V185" s="51">
        <v>0.97745848621939846</v>
      </c>
      <c r="W185" s="50">
        <v>6842383966.1199999</v>
      </c>
      <c r="X185" s="50">
        <v>10819654554.389999</v>
      </c>
      <c r="Y185" s="51">
        <v>0.61259375817948192</v>
      </c>
      <c r="Z185" s="50">
        <v>6570967003.1199999</v>
      </c>
      <c r="AA185" s="50">
        <v>271416963</v>
      </c>
      <c r="AB185" s="51">
        <v>0.37203899173300292</v>
      </c>
    </row>
    <row r="186" spans="1:28" ht="30" customHeight="1">
      <c r="A186" s="32" t="e">
        <v>#REF!</v>
      </c>
      <c r="B186" s="52" t="s">
        <v>666</v>
      </c>
      <c r="C186" s="52" t="s">
        <v>167</v>
      </c>
      <c r="D186" s="52" t="s">
        <v>190</v>
      </c>
      <c r="E186" s="52" t="s">
        <v>172</v>
      </c>
      <c r="F186" s="52">
        <v>19</v>
      </c>
      <c r="G186" s="52" t="s">
        <v>175</v>
      </c>
      <c r="H186" s="52">
        <v>4103049</v>
      </c>
      <c r="I186" s="52"/>
      <c r="J186" s="53">
        <v>13</v>
      </c>
      <c r="K186" s="52" t="s">
        <v>29</v>
      </c>
      <c r="L186" s="52" t="s">
        <v>228</v>
      </c>
      <c r="M186" s="54">
        <v>321785352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321785352</v>
      </c>
      <c r="T186" s="54">
        <v>291749332</v>
      </c>
      <c r="U186" s="54">
        <v>30036020</v>
      </c>
      <c r="V186" s="55">
        <v>0.90665821233528365</v>
      </c>
      <c r="W186" s="54">
        <v>269323286</v>
      </c>
      <c r="X186" s="54">
        <v>22426046</v>
      </c>
      <c r="Y186" s="55">
        <v>7.6867514473006576E-2</v>
      </c>
      <c r="Z186" s="54">
        <v>262917926</v>
      </c>
      <c r="AA186" s="54">
        <v>6405360</v>
      </c>
      <c r="AB186" s="55">
        <v>0.90117747381851765</v>
      </c>
    </row>
    <row r="187" spans="1:28" ht="24.95" customHeight="1">
      <c r="A187" s="32" t="e">
        <v>#REF!</v>
      </c>
      <c r="B187" s="56" t="s">
        <v>668</v>
      </c>
      <c r="C187" s="57" t="s">
        <v>167</v>
      </c>
      <c r="D187" s="57" t="s">
        <v>190</v>
      </c>
      <c r="E187" s="57" t="s">
        <v>172</v>
      </c>
      <c r="F187" s="57">
        <v>19</v>
      </c>
      <c r="G187" s="57" t="s">
        <v>175</v>
      </c>
      <c r="H187" s="57">
        <v>4103049</v>
      </c>
      <c r="I187" s="57" t="s">
        <v>54</v>
      </c>
      <c r="J187" s="57">
        <v>13</v>
      </c>
      <c r="K187" s="58" t="s">
        <v>29</v>
      </c>
      <c r="L187" s="59" t="s">
        <v>178</v>
      </c>
      <c r="M187" s="60">
        <v>321785352</v>
      </c>
      <c r="N187" s="60"/>
      <c r="O187" s="60"/>
      <c r="P187" s="60"/>
      <c r="Q187" s="60">
        <v>0</v>
      </c>
      <c r="R187" s="61">
        <v>0</v>
      </c>
      <c r="S187" s="60">
        <v>321785352</v>
      </c>
      <c r="T187" s="60">
        <v>291749332</v>
      </c>
      <c r="U187" s="60">
        <v>30036020</v>
      </c>
      <c r="V187" s="62">
        <v>0.90665821233528365</v>
      </c>
      <c r="W187" s="60">
        <v>269323286</v>
      </c>
      <c r="X187" s="60">
        <v>22426046</v>
      </c>
      <c r="Y187" s="62">
        <v>7.6867514473006576E-2</v>
      </c>
      <c r="Z187" s="60">
        <v>262917926</v>
      </c>
      <c r="AA187" s="60">
        <v>6405360</v>
      </c>
      <c r="AB187" s="62">
        <v>0.90117747381851765</v>
      </c>
    </row>
    <row r="188" spans="1:28" ht="30" customHeight="1">
      <c r="A188" s="32" t="e">
        <v>#REF!</v>
      </c>
      <c r="B188" s="52" t="s">
        <v>670</v>
      </c>
      <c r="C188" s="52" t="s">
        <v>167</v>
      </c>
      <c r="D188" s="52" t="s">
        <v>190</v>
      </c>
      <c r="E188" s="52" t="s">
        <v>172</v>
      </c>
      <c r="F188" s="52">
        <v>19</v>
      </c>
      <c r="G188" s="52" t="s">
        <v>175</v>
      </c>
      <c r="H188" s="52">
        <v>4103052</v>
      </c>
      <c r="I188" s="52"/>
      <c r="J188" s="53">
        <v>13</v>
      </c>
      <c r="K188" s="52" t="s">
        <v>29</v>
      </c>
      <c r="L188" s="52" t="s">
        <v>229</v>
      </c>
      <c r="M188" s="54">
        <v>12478214648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12478214648</v>
      </c>
      <c r="T188" s="54">
        <v>12100940188.51</v>
      </c>
      <c r="U188" s="54">
        <v>377274459.48999977</v>
      </c>
      <c r="V188" s="55">
        <v>0.96976534944039694</v>
      </c>
      <c r="W188" s="54">
        <v>6573060680.1199999</v>
      </c>
      <c r="X188" s="54">
        <v>5527879508.3900003</v>
      </c>
      <c r="Y188" s="55">
        <v>0.45681405099735917</v>
      </c>
      <c r="Z188" s="54">
        <v>6308049077.1199999</v>
      </c>
      <c r="AA188" s="54">
        <v>265011603</v>
      </c>
      <c r="AB188" s="55">
        <v>0.52128586530074539</v>
      </c>
    </row>
    <row r="189" spans="1:28" ht="24.95" customHeight="1">
      <c r="A189" s="32" t="e">
        <v>#REF!</v>
      </c>
      <c r="B189" s="56" t="s">
        <v>672</v>
      </c>
      <c r="C189" s="57" t="s">
        <v>167</v>
      </c>
      <c r="D189" s="57" t="s">
        <v>190</v>
      </c>
      <c r="E189" s="57" t="s">
        <v>172</v>
      </c>
      <c r="F189" s="57">
        <v>19</v>
      </c>
      <c r="G189" s="57" t="s">
        <v>175</v>
      </c>
      <c r="H189" s="57">
        <v>4103052</v>
      </c>
      <c r="I189" s="57" t="s">
        <v>54</v>
      </c>
      <c r="J189" s="57">
        <v>13</v>
      </c>
      <c r="K189" s="58" t="s">
        <v>29</v>
      </c>
      <c r="L189" s="59" t="s">
        <v>178</v>
      </c>
      <c r="M189" s="60">
        <v>12478214648</v>
      </c>
      <c r="N189" s="60"/>
      <c r="O189" s="60"/>
      <c r="P189" s="60"/>
      <c r="Q189" s="60">
        <v>0</v>
      </c>
      <c r="R189" s="61">
        <v>0</v>
      </c>
      <c r="S189" s="60">
        <v>12478214648</v>
      </c>
      <c r="T189" s="60">
        <v>12100940188.51</v>
      </c>
      <c r="U189" s="60">
        <v>377274459.48999977</v>
      </c>
      <c r="V189" s="62">
        <v>0.96976534944039694</v>
      </c>
      <c r="W189" s="60">
        <v>6573060680.1199999</v>
      </c>
      <c r="X189" s="60">
        <v>5527879508.3900003</v>
      </c>
      <c r="Y189" s="62">
        <v>0.45681405099735917</v>
      </c>
      <c r="Z189" s="60">
        <v>6308049077.1199999</v>
      </c>
      <c r="AA189" s="60">
        <v>265011603</v>
      </c>
      <c r="AB189" s="62">
        <v>0.52128586530074539</v>
      </c>
    </row>
    <row r="190" spans="1:28" ht="27.75" customHeight="1">
      <c r="A190" s="32" t="e">
        <v>#REF!</v>
      </c>
      <c r="B190" s="52" t="s">
        <v>670</v>
      </c>
      <c r="C190" s="52" t="s">
        <v>167</v>
      </c>
      <c r="D190" s="52" t="s">
        <v>190</v>
      </c>
      <c r="E190" s="52" t="s">
        <v>172</v>
      </c>
      <c r="F190" s="52">
        <v>19</v>
      </c>
      <c r="G190" s="52" t="s">
        <v>175</v>
      </c>
      <c r="H190" s="52">
        <v>4103052</v>
      </c>
      <c r="I190" s="52"/>
      <c r="J190" s="53">
        <v>15</v>
      </c>
      <c r="K190" s="52" t="s">
        <v>29</v>
      </c>
      <c r="L190" s="52" t="s">
        <v>229</v>
      </c>
      <c r="M190" s="54">
        <v>0</v>
      </c>
      <c r="N190" s="54">
        <v>5269349000</v>
      </c>
      <c r="O190" s="54">
        <v>0</v>
      </c>
      <c r="P190" s="54">
        <v>0</v>
      </c>
      <c r="Q190" s="54">
        <v>0</v>
      </c>
      <c r="R190" s="54">
        <v>0</v>
      </c>
      <c r="S190" s="54">
        <v>5269349000</v>
      </c>
      <c r="T190" s="54">
        <v>5269349000</v>
      </c>
      <c r="U190" s="54">
        <v>0</v>
      </c>
      <c r="V190" s="55">
        <v>1</v>
      </c>
      <c r="W190" s="54">
        <v>0</v>
      </c>
      <c r="X190" s="54">
        <v>5269349000</v>
      </c>
      <c r="Y190" s="55">
        <v>1</v>
      </c>
      <c r="Z190" s="54">
        <v>0</v>
      </c>
      <c r="AA190" s="54">
        <v>0</v>
      </c>
      <c r="AB190" s="55">
        <v>0</v>
      </c>
    </row>
    <row r="191" spans="1:28" ht="24.95" customHeight="1">
      <c r="A191" s="32" t="e">
        <v>#REF!</v>
      </c>
      <c r="B191" s="56" t="s">
        <v>672</v>
      </c>
      <c r="C191" s="57" t="s">
        <v>167</v>
      </c>
      <c r="D191" s="57" t="s">
        <v>190</v>
      </c>
      <c r="E191" s="57" t="s">
        <v>172</v>
      </c>
      <c r="F191" s="57">
        <v>19</v>
      </c>
      <c r="G191" s="57" t="s">
        <v>175</v>
      </c>
      <c r="H191" s="57">
        <v>4103052</v>
      </c>
      <c r="I191" s="57" t="s">
        <v>54</v>
      </c>
      <c r="J191" s="57">
        <v>15</v>
      </c>
      <c r="K191" s="58" t="s">
        <v>29</v>
      </c>
      <c r="L191" s="59" t="s">
        <v>178</v>
      </c>
      <c r="M191" s="60"/>
      <c r="N191" s="60">
        <v>5269349000</v>
      </c>
      <c r="O191" s="60"/>
      <c r="P191" s="60"/>
      <c r="Q191" s="60">
        <v>0</v>
      </c>
      <c r="R191" s="61">
        <v>0</v>
      </c>
      <c r="S191" s="60">
        <v>5269349000</v>
      </c>
      <c r="T191" s="60">
        <v>5269349000</v>
      </c>
      <c r="U191" s="60">
        <v>0</v>
      </c>
      <c r="V191" s="62">
        <v>1</v>
      </c>
      <c r="W191" s="60">
        <v>0</v>
      </c>
      <c r="X191" s="60">
        <v>5269349000</v>
      </c>
      <c r="Y191" s="62">
        <v>1</v>
      </c>
      <c r="Z191" s="60">
        <v>0</v>
      </c>
      <c r="AA191" s="60">
        <v>0</v>
      </c>
      <c r="AB191" s="62">
        <v>0</v>
      </c>
    </row>
    <row r="192" spans="1:28" ht="39.75" customHeight="1">
      <c r="A192" s="32" t="e">
        <v>#REF!</v>
      </c>
      <c r="B192" s="48" t="s">
        <v>678</v>
      </c>
      <c r="C192" s="48" t="s">
        <v>167</v>
      </c>
      <c r="D192" s="48" t="s">
        <v>190</v>
      </c>
      <c r="E192" s="48" t="s">
        <v>172</v>
      </c>
      <c r="F192" s="48">
        <v>20</v>
      </c>
      <c r="G192" s="48"/>
      <c r="H192" s="48"/>
      <c r="I192" s="48"/>
      <c r="J192" s="49"/>
      <c r="K192" s="48"/>
      <c r="L192" s="48" t="s">
        <v>230</v>
      </c>
      <c r="M192" s="50">
        <v>839954000000</v>
      </c>
      <c r="N192" s="50">
        <v>0</v>
      </c>
      <c r="O192" s="50">
        <v>0</v>
      </c>
      <c r="P192" s="50">
        <v>9068690909.1399994</v>
      </c>
      <c r="Q192" s="50">
        <v>9068690909.1399994</v>
      </c>
      <c r="R192" s="50">
        <v>0</v>
      </c>
      <c r="S192" s="50">
        <v>839954000000</v>
      </c>
      <c r="T192" s="50">
        <v>788107430689.84009</v>
      </c>
      <c r="U192" s="50">
        <v>51846569310.159988</v>
      </c>
      <c r="V192" s="51">
        <v>0.93827451347316648</v>
      </c>
      <c r="W192" s="50">
        <v>764471737899.56006</v>
      </c>
      <c r="X192" s="50">
        <v>23635692790.279999</v>
      </c>
      <c r="Y192" s="51">
        <v>2.9990445299559462E-2</v>
      </c>
      <c r="Z192" s="50">
        <v>764389185787.56006</v>
      </c>
      <c r="AA192" s="50">
        <v>82552112</v>
      </c>
      <c r="AB192" s="51">
        <v>0.96990480741753804</v>
      </c>
    </row>
    <row r="193" spans="1:28" ht="30.75" customHeight="1">
      <c r="A193" s="32" t="e">
        <v>#REF!</v>
      </c>
      <c r="B193" s="52" t="s">
        <v>680</v>
      </c>
      <c r="C193" s="52" t="s">
        <v>167</v>
      </c>
      <c r="D193" s="52" t="s">
        <v>190</v>
      </c>
      <c r="E193" s="52" t="s">
        <v>172</v>
      </c>
      <c r="F193" s="52">
        <v>20</v>
      </c>
      <c r="G193" s="52" t="s">
        <v>175</v>
      </c>
      <c r="H193" s="52">
        <v>4103061</v>
      </c>
      <c r="I193" s="52"/>
      <c r="J193" s="53">
        <v>11</v>
      </c>
      <c r="K193" s="52" t="s">
        <v>29</v>
      </c>
      <c r="L193" s="52" t="s">
        <v>231</v>
      </c>
      <c r="M193" s="54">
        <v>839954000000</v>
      </c>
      <c r="N193" s="54">
        <v>0</v>
      </c>
      <c r="O193" s="54">
        <v>0</v>
      </c>
      <c r="P193" s="54">
        <v>9068690909.1399994</v>
      </c>
      <c r="Q193" s="54">
        <v>9068690909.1399994</v>
      </c>
      <c r="R193" s="54">
        <v>0</v>
      </c>
      <c r="S193" s="54">
        <v>839954000000</v>
      </c>
      <c r="T193" s="54">
        <v>788107430689.84009</v>
      </c>
      <c r="U193" s="54">
        <v>51846569310.159988</v>
      </c>
      <c r="V193" s="55">
        <v>0.93827451347316648</v>
      </c>
      <c r="W193" s="54">
        <v>764471737899.56006</v>
      </c>
      <c r="X193" s="54">
        <v>23635692790.279999</v>
      </c>
      <c r="Y193" s="55">
        <v>2.9990445299559462E-2</v>
      </c>
      <c r="Z193" s="54">
        <v>764389185787.56006</v>
      </c>
      <c r="AA193" s="54">
        <v>82552112</v>
      </c>
      <c r="AB193" s="55">
        <v>0.96990480741753804</v>
      </c>
    </row>
    <row r="194" spans="1:28" ht="24.95" customHeight="1">
      <c r="A194" s="32" t="e">
        <v>#REF!</v>
      </c>
      <c r="B194" s="56" t="s">
        <v>682</v>
      </c>
      <c r="C194" s="57" t="s">
        <v>167</v>
      </c>
      <c r="D194" s="57" t="s">
        <v>190</v>
      </c>
      <c r="E194" s="57" t="s">
        <v>172</v>
      </c>
      <c r="F194" s="57">
        <v>20</v>
      </c>
      <c r="G194" s="57" t="s">
        <v>175</v>
      </c>
      <c r="H194" s="57">
        <v>4103061</v>
      </c>
      <c r="I194" s="57" t="s">
        <v>54</v>
      </c>
      <c r="J194" s="57">
        <v>11</v>
      </c>
      <c r="K194" s="58" t="s">
        <v>29</v>
      </c>
      <c r="L194" s="59" t="s">
        <v>178</v>
      </c>
      <c r="M194" s="60">
        <v>34318600300</v>
      </c>
      <c r="N194" s="60"/>
      <c r="O194" s="60"/>
      <c r="P194" s="60">
        <v>2754711663.1399999</v>
      </c>
      <c r="Q194" s="60">
        <v>6313979246</v>
      </c>
      <c r="R194" s="61">
        <v>0</v>
      </c>
      <c r="S194" s="60">
        <v>30759332717.139999</v>
      </c>
      <c r="T194" s="60">
        <v>26748954689.84</v>
      </c>
      <c r="U194" s="60">
        <v>4010378027.2999992</v>
      </c>
      <c r="V194" s="62">
        <v>0.8696207728503389</v>
      </c>
      <c r="W194" s="60">
        <v>19688621899.560001</v>
      </c>
      <c r="X194" s="60">
        <v>7060332790.2799988</v>
      </c>
      <c r="Y194" s="62">
        <v>0.26394798870259067</v>
      </c>
      <c r="Z194" s="60">
        <v>19606069787.560001</v>
      </c>
      <c r="AA194" s="60">
        <v>82552112</v>
      </c>
      <c r="AB194" s="62">
        <v>0.73296583043699026</v>
      </c>
    </row>
    <row r="195" spans="1:28" ht="24.95" customHeight="1">
      <c r="A195" s="32" t="e">
        <v>#REF!</v>
      </c>
      <c r="B195" s="56" t="s">
        <v>684</v>
      </c>
      <c r="C195" s="57" t="s">
        <v>167</v>
      </c>
      <c r="D195" s="57" t="s">
        <v>190</v>
      </c>
      <c r="E195" s="57" t="s">
        <v>172</v>
      </c>
      <c r="F195" s="57">
        <v>20</v>
      </c>
      <c r="G195" s="57" t="s">
        <v>175</v>
      </c>
      <c r="H195" s="57">
        <v>4103061</v>
      </c>
      <c r="I195" s="57" t="s">
        <v>65</v>
      </c>
      <c r="J195" s="57">
        <v>11</v>
      </c>
      <c r="K195" s="58" t="s">
        <v>29</v>
      </c>
      <c r="L195" s="59" t="s">
        <v>127</v>
      </c>
      <c r="M195" s="60">
        <v>318915399700</v>
      </c>
      <c r="N195" s="60"/>
      <c r="O195" s="60"/>
      <c r="P195" s="60">
        <v>6313979246</v>
      </c>
      <c r="Q195" s="60">
        <v>2754711663.1399999</v>
      </c>
      <c r="R195" s="61">
        <v>0</v>
      </c>
      <c r="S195" s="60">
        <v>322474667282.85999</v>
      </c>
      <c r="T195" s="60">
        <v>300973116000</v>
      </c>
      <c r="U195" s="60">
        <v>21501551282.859985</v>
      </c>
      <c r="V195" s="62">
        <v>0.93332328562727129</v>
      </c>
      <c r="W195" s="60">
        <v>284398876000</v>
      </c>
      <c r="X195" s="60">
        <v>16574240000</v>
      </c>
      <c r="Y195" s="62">
        <v>5.5068838772962037E-2</v>
      </c>
      <c r="Z195" s="60">
        <v>284398876000</v>
      </c>
      <c r="AA195" s="60">
        <v>0</v>
      </c>
      <c r="AB195" s="62">
        <v>0.94493116122703802</v>
      </c>
    </row>
    <row r="196" spans="1:28" ht="24.95" customHeight="1">
      <c r="A196" s="32" t="e">
        <v>#REF!</v>
      </c>
      <c r="B196" s="56" t="s">
        <v>684</v>
      </c>
      <c r="C196" s="57" t="s">
        <v>167</v>
      </c>
      <c r="D196" s="57" t="s">
        <v>190</v>
      </c>
      <c r="E196" s="57" t="s">
        <v>172</v>
      </c>
      <c r="F196" s="57">
        <v>20</v>
      </c>
      <c r="G196" s="57" t="s">
        <v>175</v>
      </c>
      <c r="H196" s="57">
        <v>4103061</v>
      </c>
      <c r="I196" s="57" t="s">
        <v>65</v>
      </c>
      <c r="J196" s="57">
        <v>13</v>
      </c>
      <c r="K196" s="58" t="s">
        <v>29</v>
      </c>
      <c r="L196" s="59" t="s">
        <v>127</v>
      </c>
      <c r="M196" s="60">
        <v>486720000000</v>
      </c>
      <c r="N196" s="60"/>
      <c r="O196" s="60"/>
      <c r="P196" s="60"/>
      <c r="Q196" s="60">
        <v>0</v>
      </c>
      <c r="R196" s="61">
        <v>0</v>
      </c>
      <c r="S196" s="60">
        <v>486720000000</v>
      </c>
      <c r="T196" s="60">
        <v>460385360000</v>
      </c>
      <c r="U196" s="60">
        <v>26334640000</v>
      </c>
      <c r="V196" s="62">
        <v>0.9458936554898093</v>
      </c>
      <c r="W196" s="60">
        <v>460384240000</v>
      </c>
      <c r="X196" s="60">
        <v>1120000</v>
      </c>
      <c r="Y196" s="62">
        <v>2.4327446033470744E-6</v>
      </c>
      <c r="Z196" s="60">
        <v>460384240000</v>
      </c>
      <c r="AA196" s="60">
        <v>0</v>
      </c>
      <c r="AB196" s="62">
        <v>0.99999756725539668</v>
      </c>
    </row>
    <row r="197" spans="1:28" ht="36" customHeight="1">
      <c r="A197" s="32" t="e">
        <v>#REF!</v>
      </c>
      <c r="B197" s="48" t="s">
        <v>692</v>
      </c>
      <c r="C197" s="48" t="s">
        <v>167</v>
      </c>
      <c r="D197" s="48">
        <v>4103</v>
      </c>
      <c r="E197" s="48" t="s">
        <v>172</v>
      </c>
      <c r="F197" s="48">
        <v>21</v>
      </c>
      <c r="G197" s="48"/>
      <c r="H197" s="48"/>
      <c r="I197" s="48"/>
      <c r="J197" s="49"/>
      <c r="K197" s="48"/>
      <c r="L197" s="48" t="s">
        <v>232</v>
      </c>
      <c r="M197" s="50">
        <v>25750000000</v>
      </c>
      <c r="N197" s="50">
        <v>0</v>
      </c>
      <c r="O197" s="50">
        <v>0</v>
      </c>
      <c r="P197" s="50">
        <v>1132690805</v>
      </c>
      <c r="Q197" s="50">
        <v>1132690805</v>
      </c>
      <c r="R197" s="50">
        <v>0</v>
      </c>
      <c r="S197" s="50">
        <v>25750000000</v>
      </c>
      <c r="T197" s="50">
        <v>24459147344</v>
      </c>
      <c r="U197" s="50">
        <v>1290852656</v>
      </c>
      <c r="V197" s="51">
        <v>0.94986979976699026</v>
      </c>
      <c r="W197" s="50">
        <v>19422064945.900002</v>
      </c>
      <c r="X197" s="50">
        <v>5037082398.1000004</v>
      </c>
      <c r="Y197" s="51">
        <v>0.20593859333103989</v>
      </c>
      <c r="Z197" s="50">
        <v>19324318409.900002</v>
      </c>
      <c r="AA197" s="50">
        <v>97746536</v>
      </c>
      <c r="AB197" s="51">
        <v>0.79006508845617596</v>
      </c>
    </row>
    <row r="198" spans="1:28" ht="30" customHeight="1">
      <c r="A198" s="32" t="e">
        <v>#REF!</v>
      </c>
      <c r="B198" s="52" t="s">
        <v>693</v>
      </c>
      <c r="C198" s="52" t="s">
        <v>167</v>
      </c>
      <c r="D198" s="52">
        <v>4103</v>
      </c>
      <c r="E198" s="52" t="s">
        <v>172</v>
      </c>
      <c r="F198" s="52">
        <v>21</v>
      </c>
      <c r="G198" s="52" t="s">
        <v>175</v>
      </c>
      <c r="H198" s="52" t="s">
        <v>219</v>
      </c>
      <c r="I198" s="52"/>
      <c r="J198" s="53">
        <v>13</v>
      </c>
      <c r="K198" s="52" t="s">
        <v>29</v>
      </c>
      <c r="L198" s="52" t="s">
        <v>233</v>
      </c>
      <c r="M198" s="54">
        <v>1870782718</v>
      </c>
      <c r="N198" s="54">
        <v>0</v>
      </c>
      <c r="O198" s="54">
        <v>0</v>
      </c>
      <c r="P198" s="54">
        <v>0</v>
      </c>
      <c r="Q198" s="54">
        <v>91110397</v>
      </c>
      <c r="R198" s="54">
        <v>0</v>
      </c>
      <c r="S198" s="54">
        <v>1779672321</v>
      </c>
      <c r="T198" s="54">
        <v>1779672321</v>
      </c>
      <c r="U198" s="54">
        <v>0</v>
      </c>
      <c r="V198" s="55">
        <v>1</v>
      </c>
      <c r="W198" s="54">
        <v>1779672321</v>
      </c>
      <c r="X198" s="54">
        <v>0</v>
      </c>
      <c r="Y198" s="55">
        <v>0</v>
      </c>
      <c r="Z198" s="54">
        <v>1779672321</v>
      </c>
      <c r="AA198" s="54">
        <v>0</v>
      </c>
      <c r="AB198" s="55">
        <v>1</v>
      </c>
    </row>
    <row r="199" spans="1:28" ht="24.95" customHeight="1">
      <c r="A199" s="32" t="e">
        <v>#REF!</v>
      </c>
      <c r="B199" s="56" t="s">
        <v>694</v>
      </c>
      <c r="C199" s="57" t="s">
        <v>167</v>
      </c>
      <c r="D199" s="57">
        <v>4103</v>
      </c>
      <c r="E199" s="57" t="s">
        <v>172</v>
      </c>
      <c r="F199" s="57">
        <v>21</v>
      </c>
      <c r="G199" s="57" t="s">
        <v>175</v>
      </c>
      <c r="H199" s="57" t="s">
        <v>219</v>
      </c>
      <c r="I199" s="57" t="s">
        <v>54</v>
      </c>
      <c r="J199" s="57">
        <v>13</v>
      </c>
      <c r="K199" s="58" t="s">
        <v>29</v>
      </c>
      <c r="L199" s="59" t="s">
        <v>178</v>
      </c>
      <c r="M199" s="60">
        <v>1870782718</v>
      </c>
      <c r="N199" s="60"/>
      <c r="O199" s="60"/>
      <c r="P199" s="60"/>
      <c r="Q199" s="60">
        <v>91110397</v>
      </c>
      <c r="R199" s="61">
        <v>0</v>
      </c>
      <c r="S199" s="60">
        <v>1779672321</v>
      </c>
      <c r="T199" s="60">
        <v>1779672321</v>
      </c>
      <c r="U199" s="60">
        <v>0</v>
      </c>
      <c r="V199" s="62">
        <v>1</v>
      </c>
      <c r="W199" s="60">
        <v>1779672321</v>
      </c>
      <c r="X199" s="60">
        <v>0</v>
      </c>
      <c r="Y199" s="62">
        <v>0</v>
      </c>
      <c r="Z199" s="60">
        <v>1779672321</v>
      </c>
      <c r="AA199" s="60">
        <v>0</v>
      </c>
      <c r="AB199" s="62">
        <v>1</v>
      </c>
    </row>
    <row r="200" spans="1:28" ht="30" customHeight="1">
      <c r="A200" s="32" t="e">
        <v>#REF!</v>
      </c>
      <c r="B200" s="52" t="s">
        <v>695</v>
      </c>
      <c r="C200" s="52" t="s">
        <v>167</v>
      </c>
      <c r="D200" s="52">
        <v>4103</v>
      </c>
      <c r="E200" s="52" t="s">
        <v>172</v>
      </c>
      <c r="F200" s="52">
        <v>21</v>
      </c>
      <c r="G200" s="52" t="s">
        <v>175</v>
      </c>
      <c r="H200" s="52" t="s">
        <v>234</v>
      </c>
      <c r="I200" s="52"/>
      <c r="J200" s="53">
        <v>13</v>
      </c>
      <c r="K200" s="52" t="s">
        <v>29</v>
      </c>
      <c r="L200" s="52" t="s">
        <v>235</v>
      </c>
      <c r="M200" s="54">
        <v>1237528721</v>
      </c>
      <c r="N200" s="54">
        <v>0</v>
      </c>
      <c r="O200" s="54">
        <v>0</v>
      </c>
      <c r="P200" s="54">
        <v>0</v>
      </c>
      <c r="Q200" s="54">
        <v>60269817</v>
      </c>
      <c r="R200" s="54">
        <v>0</v>
      </c>
      <c r="S200" s="54">
        <v>1177258904</v>
      </c>
      <c r="T200" s="54">
        <v>1177258904</v>
      </c>
      <c r="U200" s="54">
        <v>0</v>
      </c>
      <c r="V200" s="55">
        <v>1</v>
      </c>
      <c r="W200" s="54">
        <v>1177258904</v>
      </c>
      <c r="X200" s="54">
        <v>0</v>
      </c>
      <c r="Y200" s="55">
        <v>0</v>
      </c>
      <c r="Z200" s="54">
        <v>1177258904</v>
      </c>
      <c r="AA200" s="54">
        <v>0</v>
      </c>
      <c r="AB200" s="55">
        <v>1</v>
      </c>
    </row>
    <row r="201" spans="1:28" ht="24.95" customHeight="1">
      <c r="A201" s="32" t="e">
        <v>#REF!</v>
      </c>
      <c r="B201" s="56" t="s">
        <v>696</v>
      </c>
      <c r="C201" s="57" t="s">
        <v>167</v>
      </c>
      <c r="D201" s="57">
        <v>4103</v>
      </c>
      <c r="E201" s="57" t="s">
        <v>172</v>
      </c>
      <c r="F201" s="57">
        <v>21</v>
      </c>
      <c r="G201" s="57" t="s">
        <v>175</v>
      </c>
      <c r="H201" s="57" t="s">
        <v>234</v>
      </c>
      <c r="I201" s="57" t="s">
        <v>54</v>
      </c>
      <c r="J201" s="57">
        <v>13</v>
      </c>
      <c r="K201" s="58" t="s">
        <v>29</v>
      </c>
      <c r="L201" s="59" t="s">
        <v>178</v>
      </c>
      <c r="M201" s="60">
        <v>1237528721</v>
      </c>
      <c r="N201" s="60"/>
      <c r="O201" s="60"/>
      <c r="P201" s="60"/>
      <c r="Q201" s="60">
        <v>60269817</v>
      </c>
      <c r="R201" s="61">
        <v>0</v>
      </c>
      <c r="S201" s="60">
        <v>1177258904</v>
      </c>
      <c r="T201" s="60">
        <v>1177258904</v>
      </c>
      <c r="U201" s="60">
        <v>0</v>
      </c>
      <c r="V201" s="62">
        <v>1</v>
      </c>
      <c r="W201" s="60">
        <v>1177258904</v>
      </c>
      <c r="X201" s="60">
        <v>0</v>
      </c>
      <c r="Y201" s="62">
        <v>0</v>
      </c>
      <c r="Z201" s="60">
        <v>1177258904</v>
      </c>
      <c r="AA201" s="60">
        <v>0</v>
      </c>
      <c r="AB201" s="62">
        <v>1</v>
      </c>
    </row>
    <row r="202" spans="1:28" ht="30" customHeight="1">
      <c r="A202" s="32" t="e">
        <v>#REF!</v>
      </c>
      <c r="B202" s="52" t="s">
        <v>697</v>
      </c>
      <c r="C202" s="52" t="s">
        <v>167</v>
      </c>
      <c r="D202" s="52">
        <v>4103</v>
      </c>
      <c r="E202" s="52" t="s">
        <v>172</v>
      </c>
      <c r="F202" s="52">
        <v>21</v>
      </c>
      <c r="G202" s="52" t="s">
        <v>175</v>
      </c>
      <c r="H202" s="52" t="s">
        <v>197</v>
      </c>
      <c r="I202" s="52"/>
      <c r="J202" s="53">
        <v>13</v>
      </c>
      <c r="K202" s="52" t="s">
        <v>29</v>
      </c>
      <c r="L202" s="52" t="s">
        <v>236</v>
      </c>
      <c r="M202" s="54">
        <v>1178285948</v>
      </c>
      <c r="N202" s="54">
        <v>0</v>
      </c>
      <c r="O202" s="54">
        <v>0</v>
      </c>
      <c r="P202" s="54">
        <v>679588600</v>
      </c>
      <c r="Q202" s="54">
        <v>57384593</v>
      </c>
      <c r="R202" s="54">
        <v>0</v>
      </c>
      <c r="S202" s="54">
        <v>1800489955</v>
      </c>
      <c r="T202" s="54">
        <v>1120901355</v>
      </c>
      <c r="U202" s="54">
        <v>679588600</v>
      </c>
      <c r="V202" s="55">
        <v>0.62255351766180778</v>
      </c>
      <c r="W202" s="54">
        <v>1120901355</v>
      </c>
      <c r="X202" s="54">
        <v>0</v>
      </c>
      <c r="Y202" s="55">
        <v>0</v>
      </c>
      <c r="Z202" s="54">
        <v>1120901355</v>
      </c>
      <c r="AA202" s="54">
        <v>0</v>
      </c>
      <c r="AB202" s="55">
        <v>1</v>
      </c>
    </row>
    <row r="203" spans="1:28" ht="24.95" customHeight="1">
      <c r="A203" s="32" t="e">
        <v>#REF!</v>
      </c>
      <c r="B203" s="56" t="s">
        <v>698</v>
      </c>
      <c r="C203" s="57" t="s">
        <v>167</v>
      </c>
      <c r="D203" s="57">
        <v>4103</v>
      </c>
      <c r="E203" s="57" t="s">
        <v>172</v>
      </c>
      <c r="F203" s="57">
        <v>21</v>
      </c>
      <c r="G203" s="57" t="s">
        <v>175</v>
      </c>
      <c r="H203" s="57" t="s">
        <v>197</v>
      </c>
      <c r="I203" s="57" t="s">
        <v>54</v>
      </c>
      <c r="J203" s="57">
        <v>13</v>
      </c>
      <c r="K203" s="58" t="s">
        <v>29</v>
      </c>
      <c r="L203" s="59" t="s">
        <v>178</v>
      </c>
      <c r="M203" s="60">
        <v>1178285948</v>
      </c>
      <c r="N203" s="60"/>
      <c r="O203" s="60"/>
      <c r="P203" s="60">
        <v>679588600</v>
      </c>
      <c r="Q203" s="60">
        <v>57384593</v>
      </c>
      <c r="R203" s="61">
        <v>0</v>
      </c>
      <c r="S203" s="60">
        <v>1800489955</v>
      </c>
      <c r="T203" s="60">
        <v>1120901355</v>
      </c>
      <c r="U203" s="60">
        <v>679588600</v>
      </c>
      <c r="V203" s="62">
        <v>0.62255351766180778</v>
      </c>
      <c r="W203" s="60">
        <v>1120901355</v>
      </c>
      <c r="X203" s="60">
        <v>0</v>
      </c>
      <c r="Y203" s="62">
        <v>0</v>
      </c>
      <c r="Z203" s="60">
        <v>1120901355</v>
      </c>
      <c r="AA203" s="60">
        <v>0</v>
      </c>
      <c r="AB203" s="62">
        <v>1</v>
      </c>
    </row>
    <row r="204" spans="1:28" ht="30" customHeight="1">
      <c r="A204" s="32" t="e">
        <v>#REF!</v>
      </c>
      <c r="B204" s="52" t="s">
        <v>699</v>
      </c>
      <c r="C204" s="52" t="s">
        <v>167</v>
      </c>
      <c r="D204" s="52">
        <v>4103</v>
      </c>
      <c r="E204" s="52" t="s">
        <v>172</v>
      </c>
      <c r="F204" s="52">
        <v>21</v>
      </c>
      <c r="G204" s="52" t="s">
        <v>175</v>
      </c>
      <c r="H204" s="52" t="s">
        <v>203</v>
      </c>
      <c r="I204" s="52"/>
      <c r="J204" s="53">
        <v>13</v>
      </c>
      <c r="K204" s="52" t="s">
        <v>29</v>
      </c>
      <c r="L204" s="52" t="s">
        <v>237</v>
      </c>
      <c r="M204" s="54">
        <v>5017014439</v>
      </c>
      <c r="N204" s="54">
        <v>0</v>
      </c>
      <c r="O204" s="54">
        <v>0</v>
      </c>
      <c r="P204" s="54">
        <v>0</v>
      </c>
      <c r="Q204" s="54">
        <v>244337398</v>
      </c>
      <c r="R204" s="54">
        <v>0</v>
      </c>
      <c r="S204" s="54">
        <v>4772677041</v>
      </c>
      <c r="T204" s="54">
        <v>4772677041</v>
      </c>
      <c r="U204" s="54">
        <v>0</v>
      </c>
      <c r="V204" s="55">
        <v>1</v>
      </c>
      <c r="W204" s="54">
        <v>4772677041</v>
      </c>
      <c r="X204" s="54">
        <v>0</v>
      </c>
      <c r="Y204" s="55">
        <v>0</v>
      </c>
      <c r="Z204" s="54">
        <v>4772677041</v>
      </c>
      <c r="AA204" s="54">
        <v>0</v>
      </c>
      <c r="AB204" s="55">
        <v>1</v>
      </c>
    </row>
    <row r="205" spans="1:28" ht="24.95" customHeight="1">
      <c r="A205" s="32" t="e">
        <v>#REF!</v>
      </c>
      <c r="B205" s="56" t="s">
        <v>700</v>
      </c>
      <c r="C205" s="57" t="s">
        <v>167</v>
      </c>
      <c r="D205" s="57">
        <v>4103</v>
      </c>
      <c r="E205" s="57" t="s">
        <v>172</v>
      </c>
      <c r="F205" s="57">
        <v>21</v>
      </c>
      <c r="G205" s="57" t="s">
        <v>175</v>
      </c>
      <c r="H205" s="57" t="s">
        <v>203</v>
      </c>
      <c r="I205" s="57" t="s">
        <v>54</v>
      </c>
      <c r="J205" s="57">
        <v>13</v>
      </c>
      <c r="K205" s="58" t="s">
        <v>29</v>
      </c>
      <c r="L205" s="59" t="s">
        <v>178</v>
      </c>
      <c r="M205" s="60">
        <v>5017014439</v>
      </c>
      <c r="N205" s="60"/>
      <c r="O205" s="60"/>
      <c r="P205" s="60"/>
      <c r="Q205" s="60">
        <v>244337398</v>
      </c>
      <c r="R205" s="61">
        <v>0</v>
      </c>
      <c r="S205" s="60">
        <v>4772677041</v>
      </c>
      <c r="T205" s="60">
        <v>4772677041</v>
      </c>
      <c r="U205" s="60">
        <v>0</v>
      </c>
      <c r="V205" s="62">
        <v>1</v>
      </c>
      <c r="W205" s="60">
        <v>4772677041</v>
      </c>
      <c r="X205" s="60">
        <v>0</v>
      </c>
      <c r="Y205" s="62">
        <v>0</v>
      </c>
      <c r="Z205" s="60">
        <v>4772677041</v>
      </c>
      <c r="AA205" s="60">
        <v>0</v>
      </c>
      <c r="AB205" s="62">
        <v>1</v>
      </c>
    </row>
    <row r="206" spans="1:28" ht="30" customHeight="1">
      <c r="A206" s="32" t="e">
        <v>#REF!</v>
      </c>
      <c r="B206" s="52" t="s">
        <v>701</v>
      </c>
      <c r="C206" s="52" t="s">
        <v>167</v>
      </c>
      <c r="D206" s="52">
        <v>4103</v>
      </c>
      <c r="E206" s="52" t="s">
        <v>172</v>
      </c>
      <c r="F206" s="52">
        <v>21</v>
      </c>
      <c r="G206" s="52" t="s">
        <v>175</v>
      </c>
      <c r="H206" s="52" t="s">
        <v>223</v>
      </c>
      <c r="I206" s="52"/>
      <c r="J206" s="53">
        <v>13</v>
      </c>
      <c r="K206" s="52" t="s">
        <v>29</v>
      </c>
      <c r="L206" s="52" t="s">
        <v>238</v>
      </c>
      <c r="M206" s="54">
        <v>16446388174</v>
      </c>
      <c r="N206" s="54">
        <v>0</v>
      </c>
      <c r="O206" s="54">
        <v>0</v>
      </c>
      <c r="P206" s="54">
        <v>453102205</v>
      </c>
      <c r="Q206" s="54">
        <v>679588600</v>
      </c>
      <c r="R206" s="54">
        <v>0</v>
      </c>
      <c r="S206" s="54">
        <v>16219901779</v>
      </c>
      <c r="T206" s="54">
        <v>15608637723</v>
      </c>
      <c r="U206" s="54">
        <v>611264056</v>
      </c>
      <c r="V206" s="55">
        <v>0.96231394836241202</v>
      </c>
      <c r="W206" s="54">
        <v>10571555324.9</v>
      </c>
      <c r="X206" s="54">
        <v>5037082398.1000004</v>
      </c>
      <c r="Y206" s="55">
        <v>0.3227112120539285</v>
      </c>
      <c r="Z206" s="54">
        <v>10473808788.9</v>
      </c>
      <c r="AA206" s="54">
        <v>97746536</v>
      </c>
      <c r="AB206" s="55">
        <v>0.6710264518130491</v>
      </c>
    </row>
    <row r="207" spans="1:28" ht="24.95" customHeight="1">
      <c r="A207" s="32" t="e">
        <v>#REF!</v>
      </c>
      <c r="B207" s="56" t="s">
        <v>702</v>
      </c>
      <c r="C207" s="57" t="s">
        <v>167</v>
      </c>
      <c r="D207" s="57">
        <v>4103</v>
      </c>
      <c r="E207" s="57" t="s">
        <v>172</v>
      </c>
      <c r="F207" s="57">
        <v>21</v>
      </c>
      <c r="G207" s="57" t="s">
        <v>175</v>
      </c>
      <c r="H207" s="57" t="s">
        <v>223</v>
      </c>
      <c r="I207" s="57" t="s">
        <v>54</v>
      </c>
      <c r="J207" s="57">
        <v>13</v>
      </c>
      <c r="K207" s="58" t="s">
        <v>29</v>
      </c>
      <c r="L207" s="59" t="s">
        <v>178</v>
      </c>
      <c r="M207" s="60">
        <v>16446388174</v>
      </c>
      <c r="N207" s="60"/>
      <c r="O207" s="60"/>
      <c r="P207" s="60">
        <v>453102205</v>
      </c>
      <c r="Q207" s="60">
        <v>679588600</v>
      </c>
      <c r="R207" s="61">
        <v>0</v>
      </c>
      <c r="S207" s="60">
        <v>16219901779</v>
      </c>
      <c r="T207" s="60">
        <v>15608637723</v>
      </c>
      <c r="U207" s="60">
        <v>611264056</v>
      </c>
      <c r="V207" s="62">
        <v>0.96231394836241202</v>
      </c>
      <c r="W207" s="60">
        <v>10571555324.9</v>
      </c>
      <c r="X207" s="60">
        <v>5037082398.1000004</v>
      </c>
      <c r="Y207" s="62">
        <v>0.3227112120539285</v>
      </c>
      <c r="Z207" s="60">
        <v>10473808788.9</v>
      </c>
      <c r="AA207" s="60">
        <v>97746536</v>
      </c>
      <c r="AB207" s="62">
        <v>0.6710264518130491</v>
      </c>
    </row>
    <row r="208" spans="1:28" ht="45.75" customHeight="1">
      <c r="A208" s="32" t="e">
        <v>#REF!</v>
      </c>
      <c r="B208" s="48" t="s">
        <v>704</v>
      </c>
      <c r="C208" s="48" t="s">
        <v>167</v>
      </c>
      <c r="D208" s="48">
        <v>4103</v>
      </c>
      <c r="E208" s="48" t="s">
        <v>172</v>
      </c>
      <c r="F208" s="48">
        <v>22</v>
      </c>
      <c r="G208" s="48"/>
      <c r="H208" s="48"/>
      <c r="I208" s="48"/>
      <c r="J208" s="49"/>
      <c r="K208" s="48"/>
      <c r="L208" s="48" t="s">
        <v>239</v>
      </c>
      <c r="M208" s="50">
        <v>167533000000</v>
      </c>
      <c r="N208" s="50">
        <v>0</v>
      </c>
      <c r="O208" s="742">
        <v>0</v>
      </c>
      <c r="P208" s="50">
        <v>7157479331</v>
      </c>
      <c r="Q208" s="50">
        <v>7157479331</v>
      </c>
      <c r="R208" s="742">
        <v>0</v>
      </c>
      <c r="S208" s="50">
        <v>167533000000</v>
      </c>
      <c r="T208" s="50">
        <v>135092058837</v>
      </c>
      <c r="U208" s="50">
        <v>32440941163</v>
      </c>
      <c r="V208" s="51">
        <v>0.80636088912035242</v>
      </c>
      <c r="W208" s="50">
        <v>134206931618.81</v>
      </c>
      <c r="X208" s="50">
        <v>885127218.18999863</v>
      </c>
      <c r="Y208" s="51">
        <v>6.5520299698591427E-3</v>
      </c>
      <c r="Z208" s="50">
        <v>134018393812.81</v>
      </c>
      <c r="AA208" s="50">
        <v>188537806</v>
      </c>
      <c r="AB208" s="51">
        <v>0.99205234539000198</v>
      </c>
    </row>
    <row r="209" spans="1:28" ht="30" customHeight="1">
      <c r="A209" s="32" t="e">
        <v>#REF!</v>
      </c>
      <c r="B209" s="52" t="s">
        <v>705</v>
      </c>
      <c r="C209" s="52" t="s">
        <v>167</v>
      </c>
      <c r="D209" s="52">
        <v>4103</v>
      </c>
      <c r="E209" s="52" t="s">
        <v>172</v>
      </c>
      <c r="F209" s="52">
        <v>22</v>
      </c>
      <c r="G209" s="52" t="s">
        <v>175</v>
      </c>
      <c r="H209" s="52" t="s">
        <v>219</v>
      </c>
      <c r="I209" s="52"/>
      <c r="J209" s="53">
        <v>13</v>
      </c>
      <c r="K209" s="52" t="s">
        <v>29</v>
      </c>
      <c r="L209" s="52" t="s">
        <v>240</v>
      </c>
      <c r="M209" s="54">
        <v>5834100502</v>
      </c>
      <c r="N209" s="54">
        <v>0</v>
      </c>
      <c r="O209" s="743">
        <v>0</v>
      </c>
      <c r="P209" s="54">
        <v>602123589</v>
      </c>
      <c r="Q209" s="743">
        <v>0</v>
      </c>
      <c r="R209" s="743">
        <v>0</v>
      </c>
      <c r="S209" s="54">
        <v>6436224091</v>
      </c>
      <c r="T209" s="54">
        <v>3919643191</v>
      </c>
      <c r="U209" s="54">
        <v>2516580900</v>
      </c>
      <c r="V209" s="55">
        <v>0.60899731513092836</v>
      </c>
      <c r="W209" s="54">
        <v>3919643191</v>
      </c>
      <c r="X209" s="54">
        <v>0</v>
      </c>
      <c r="Y209" s="55">
        <v>0</v>
      </c>
      <c r="Z209" s="54">
        <v>3919643191</v>
      </c>
      <c r="AA209" s="54">
        <v>0</v>
      </c>
      <c r="AB209" s="55">
        <v>1</v>
      </c>
    </row>
    <row r="210" spans="1:28" ht="24.95" customHeight="1">
      <c r="A210" s="32" t="e">
        <v>#REF!</v>
      </c>
      <c r="B210" s="56" t="s">
        <v>706</v>
      </c>
      <c r="C210" s="57" t="s">
        <v>167</v>
      </c>
      <c r="D210" s="57">
        <v>4103</v>
      </c>
      <c r="E210" s="57" t="s">
        <v>172</v>
      </c>
      <c r="F210" s="57">
        <v>22</v>
      </c>
      <c r="G210" s="57" t="s">
        <v>175</v>
      </c>
      <c r="H210" s="57" t="s">
        <v>219</v>
      </c>
      <c r="I210" s="57" t="s">
        <v>54</v>
      </c>
      <c r="J210" s="57">
        <v>13</v>
      </c>
      <c r="K210" s="58" t="s">
        <v>29</v>
      </c>
      <c r="L210" s="59" t="s">
        <v>178</v>
      </c>
      <c r="M210" s="60">
        <v>5834100502</v>
      </c>
      <c r="N210" s="60"/>
      <c r="O210" s="60"/>
      <c r="P210" s="60">
        <v>602123589</v>
      </c>
      <c r="Q210" s="60">
        <v>0</v>
      </c>
      <c r="R210" s="61">
        <v>0</v>
      </c>
      <c r="S210" s="60">
        <v>6436224091</v>
      </c>
      <c r="T210" s="60">
        <v>3919643191</v>
      </c>
      <c r="U210" s="60">
        <v>2516580900</v>
      </c>
      <c r="V210" s="62">
        <v>0.60899731513092836</v>
      </c>
      <c r="W210" s="60">
        <v>3919643191</v>
      </c>
      <c r="X210" s="60">
        <v>0</v>
      </c>
      <c r="Y210" s="62">
        <v>0</v>
      </c>
      <c r="Z210" s="60">
        <v>3919643191</v>
      </c>
      <c r="AA210" s="60">
        <v>0</v>
      </c>
      <c r="AB210" s="62">
        <v>1</v>
      </c>
    </row>
    <row r="211" spans="1:28" ht="26.25" customHeight="1">
      <c r="A211" s="32" t="e">
        <v>#REF!</v>
      </c>
      <c r="B211" s="52" t="s">
        <v>707</v>
      </c>
      <c r="C211" s="52" t="s">
        <v>167</v>
      </c>
      <c r="D211" s="52">
        <v>4103</v>
      </c>
      <c r="E211" s="52" t="s">
        <v>172</v>
      </c>
      <c r="F211" s="52">
        <v>22</v>
      </c>
      <c r="G211" s="52" t="s">
        <v>175</v>
      </c>
      <c r="H211" s="52" t="s">
        <v>234</v>
      </c>
      <c r="I211" s="52"/>
      <c r="J211" s="53">
        <v>13</v>
      </c>
      <c r="K211" s="52" t="s">
        <v>29</v>
      </c>
      <c r="L211" s="52" t="s">
        <v>241</v>
      </c>
      <c r="M211" s="54">
        <v>21263252053</v>
      </c>
      <c r="N211" s="54">
        <v>0</v>
      </c>
      <c r="O211" s="743">
        <v>0</v>
      </c>
      <c r="P211" s="54">
        <v>96431225</v>
      </c>
      <c r="Q211" s="743">
        <v>0</v>
      </c>
      <c r="R211" s="743">
        <v>0</v>
      </c>
      <c r="S211" s="54">
        <v>21359683278</v>
      </c>
      <c r="T211" s="54">
        <v>18219558020</v>
      </c>
      <c r="U211" s="54">
        <v>3140125258</v>
      </c>
      <c r="V211" s="55">
        <v>0.85298821068034003</v>
      </c>
      <c r="W211" s="54">
        <v>18214613275.810001</v>
      </c>
      <c r="X211" s="54">
        <v>4944744.1899986267</v>
      </c>
      <c r="Y211" s="55">
        <v>2.7139759288181823E-4</v>
      </c>
      <c r="Z211" s="54">
        <v>18214613275.810001</v>
      </c>
      <c r="AA211" s="54">
        <v>0</v>
      </c>
      <c r="AB211" s="55">
        <v>0.99972860240711814</v>
      </c>
    </row>
    <row r="212" spans="1:28" ht="24.95" customHeight="1">
      <c r="A212" s="32" t="e">
        <v>#REF!</v>
      </c>
      <c r="B212" s="56" t="s">
        <v>708</v>
      </c>
      <c r="C212" s="57" t="s">
        <v>167</v>
      </c>
      <c r="D212" s="57">
        <v>4103</v>
      </c>
      <c r="E212" s="57" t="s">
        <v>172</v>
      </c>
      <c r="F212" s="57">
        <v>22</v>
      </c>
      <c r="G212" s="57" t="s">
        <v>175</v>
      </c>
      <c r="H212" s="57" t="s">
        <v>234</v>
      </c>
      <c r="I212" s="57" t="s">
        <v>54</v>
      </c>
      <c r="J212" s="57">
        <v>13</v>
      </c>
      <c r="K212" s="58" t="s">
        <v>29</v>
      </c>
      <c r="L212" s="59" t="s">
        <v>178</v>
      </c>
      <c r="M212" s="60">
        <v>21263252053</v>
      </c>
      <c r="N212" s="60"/>
      <c r="O212" s="60"/>
      <c r="P212" s="60">
        <v>96431225</v>
      </c>
      <c r="Q212" s="60">
        <v>0</v>
      </c>
      <c r="R212" s="61">
        <v>0</v>
      </c>
      <c r="S212" s="60">
        <v>21359683278</v>
      </c>
      <c r="T212" s="60">
        <v>18219558020</v>
      </c>
      <c r="U212" s="60">
        <v>3140125258</v>
      </c>
      <c r="V212" s="62">
        <v>0.85298821068034003</v>
      </c>
      <c r="W212" s="60">
        <v>18214613275.810001</v>
      </c>
      <c r="X212" s="60">
        <v>4944744.1899986267</v>
      </c>
      <c r="Y212" s="62">
        <v>2.7139759288181823E-4</v>
      </c>
      <c r="Z212" s="60">
        <v>18214613275.810001</v>
      </c>
      <c r="AA212" s="60">
        <v>0</v>
      </c>
      <c r="AB212" s="62">
        <v>0.99972860240711814</v>
      </c>
    </row>
    <row r="213" spans="1:28" ht="24.75" customHeight="1">
      <c r="A213" s="32" t="e">
        <v>#REF!</v>
      </c>
      <c r="B213" s="52" t="s">
        <v>710</v>
      </c>
      <c r="C213" s="52" t="s">
        <v>167</v>
      </c>
      <c r="D213" s="52">
        <v>4103</v>
      </c>
      <c r="E213" s="52" t="s">
        <v>172</v>
      </c>
      <c r="F213" s="52">
        <v>22</v>
      </c>
      <c r="G213" s="52" t="s">
        <v>175</v>
      </c>
      <c r="H213" s="52">
        <v>4103051</v>
      </c>
      <c r="I213" s="52"/>
      <c r="J213" s="53">
        <v>13</v>
      </c>
      <c r="K213" s="52" t="s">
        <v>29</v>
      </c>
      <c r="L213" s="52" t="s">
        <v>242</v>
      </c>
      <c r="M213" s="54">
        <v>5191519285</v>
      </c>
      <c r="N213" s="54">
        <v>0</v>
      </c>
      <c r="O213" s="743">
        <v>0</v>
      </c>
      <c r="P213" s="54">
        <v>2580334552</v>
      </c>
      <c r="Q213" s="743">
        <v>0</v>
      </c>
      <c r="R213" s="743">
        <v>0</v>
      </c>
      <c r="S213" s="54">
        <v>7771853837</v>
      </c>
      <c r="T213" s="54">
        <v>3945310447</v>
      </c>
      <c r="U213" s="54">
        <v>3826543390</v>
      </c>
      <c r="V213" s="55">
        <v>0.50764084473865023</v>
      </c>
      <c r="W213" s="54">
        <v>3941710447</v>
      </c>
      <c r="X213" s="54">
        <v>3600000</v>
      </c>
      <c r="Y213" s="55">
        <v>9.1247572234459445E-4</v>
      </c>
      <c r="Z213" s="54">
        <v>3941710447</v>
      </c>
      <c r="AA213" s="54">
        <v>0</v>
      </c>
      <c r="AB213" s="55">
        <v>0.99908752427765546</v>
      </c>
    </row>
    <row r="214" spans="1:28" ht="24.95" customHeight="1">
      <c r="A214" s="32" t="e">
        <v>#REF!</v>
      </c>
      <c r="B214" s="56" t="s">
        <v>711</v>
      </c>
      <c r="C214" s="57" t="s">
        <v>167</v>
      </c>
      <c r="D214" s="57">
        <v>4103</v>
      </c>
      <c r="E214" s="57" t="s">
        <v>172</v>
      </c>
      <c r="F214" s="57">
        <v>22</v>
      </c>
      <c r="G214" s="57" t="s">
        <v>175</v>
      </c>
      <c r="H214" s="57">
        <v>4103051</v>
      </c>
      <c r="I214" s="57" t="s">
        <v>54</v>
      </c>
      <c r="J214" s="57">
        <v>13</v>
      </c>
      <c r="K214" s="58" t="s">
        <v>29</v>
      </c>
      <c r="L214" s="59" t="s">
        <v>178</v>
      </c>
      <c r="M214" s="60">
        <v>5191519285</v>
      </c>
      <c r="N214" s="60"/>
      <c r="O214" s="60"/>
      <c r="P214" s="60">
        <v>2580334552</v>
      </c>
      <c r="Q214" s="60">
        <v>0</v>
      </c>
      <c r="R214" s="61">
        <v>0</v>
      </c>
      <c r="S214" s="60">
        <v>7771853837</v>
      </c>
      <c r="T214" s="60">
        <v>3945310447</v>
      </c>
      <c r="U214" s="60">
        <v>3826543390</v>
      </c>
      <c r="V214" s="62">
        <v>0.50764084473865023</v>
      </c>
      <c r="W214" s="60">
        <v>3941710447</v>
      </c>
      <c r="X214" s="60">
        <v>3600000</v>
      </c>
      <c r="Y214" s="62">
        <v>9.1247572234459445E-4</v>
      </c>
      <c r="Z214" s="60">
        <v>3941710447</v>
      </c>
      <c r="AA214" s="60">
        <v>0</v>
      </c>
      <c r="AB214" s="62">
        <v>0.99908752427765546</v>
      </c>
    </row>
    <row r="215" spans="1:28" ht="26.25" customHeight="1">
      <c r="A215" s="32" t="e">
        <v>#REF!</v>
      </c>
      <c r="B215" s="52" t="s">
        <v>712</v>
      </c>
      <c r="C215" s="52" t="s">
        <v>167</v>
      </c>
      <c r="D215" s="52">
        <v>4103</v>
      </c>
      <c r="E215" s="52" t="s">
        <v>172</v>
      </c>
      <c r="F215" s="52">
        <v>22</v>
      </c>
      <c r="G215" s="52" t="s">
        <v>175</v>
      </c>
      <c r="H215" s="52">
        <v>4103055</v>
      </c>
      <c r="I215" s="52"/>
      <c r="J215" s="53">
        <v>13</v>
      </c>
      <c r="K215" s="52" t="s">
        <v>29</v>
      </c>
      <c r="L215" s="52" t="s">
        <v>243</v>
      </c>
      <c r="M215" s="54">
        <v>7874924941</v>
      </c>
      <c r="N215" s="54">
        <v>0</v>
      </c>
      <c r="O215" s="743">
        <v>0</v>
      </c>
      <c r="P215" s="743">
        <v>0</v>
      </c>
      <c r="Q215" s="54">
        <v>6943207485</v>
      </c>
      <c r="R215" s="743">
        <v>0</v>
      </c>
      <c r="S215" s="54">
        <v>931717456</v>
      </c>
      <c r="T215" s="54">
        <v>894550970</v>
      </c>
      <c r="U215" s="54">
        <v>37166486</v>
      </c>
      <c r="V215" s="55">
        <v>0.96010970304285037</v>
      </c>
      <c r="W215" s="54">
        <v>894550970</v>
      </c>
      <c r="X215" s="54">
        <v>0</v>
      </c>
      <c r="Y215" s="55">
        <v>0</v>
      </c>
      <c r="Z215" s="54">
        <v>894550970</v>
      </c>
      <c r="AA215" s="54">
        <v>0</v>
      </c>
      <c r="AB215" s="55">
        <v>1</v>
      </c>
    </row>
    <row r="216" spans="1:28" ht="24.95" customHeight="1">
      <c r="A216" s="32" t="e">
        <v>#REF!</v>
      </c>
      <c r="B216" s="56" t="s">
        <v>713</v>
      </c>
      <c r="C216" s="57" t="s">
        <v>167</v>
      </c>
      <c r="D216" s="57">
        <v>4103</v>
      </c>
      <c r="E216" s="57" t="s">
        <v>172</v>
      </c>
      <c r="F216" s="57">
        <v>22</v>
      </c>
      <c r="G216" s="57" t="s">
        <v>175</v>
      </c>
      <c r="H216" s="57" t="s">
        <v>203</v>
      </c>
      <c r="I216" s="57" t="s">
        <v>54</v>
      </c>
      <c r="J216" s="57">
        <v>13</v>
      </c>
      <c r="K216" s="58" t="s">
        <v>29</v>
      </c>
      <c r="L216" s="59" t="s">
        <v>178</v>
      </c>
      <c r="M216" s="60">
        <v>7874924941</v>
      </c>
      <c r="N216" s="60"/>
      <c r="O216" s="60"/>
      <c r="P216" s="60"/>
      <c r="Q216" s="60">
        <v>6943207485</v>
      </c>
      <c r="R216" s="61">
        <v>0</v>
      </c>
      <c r="S216" s="60">
        <v>931717456</v>
      </c>
      <c r="T216" s="60">
        <v>894550970</v>
      </c>
      <c r="U216" s="60">
        <v>37166486</v>
      </c>
      <c r="V216" s="62">
        <v>0.96010970304285037</v>
      </c>
      <c r="W216" s="60">
        <v>894550970</v>
      </c>
      <c r="X216" s="60">
        <v>0</v>
      </c>
      <c r="Y216" s="62">
        <v>0</v>
      </c>
      <c r="Z216" s="60">
        <v>894550970</v>
      </c>
      <c r="AA216" s="60">
        <v>0</v>
      </c>
      <c r="AB216" s="62">
        <v>1</v>
      </c>
    </row>
    <row r="217" spans="1:28" ht="27.75" customHeight="1">
      <c r="A217" s="32" t="e">
        <v>#REF!</v>
      </c>
      <c r="B217" s="52" t="s">
        <v>715</v>
      </c>
      <c r="C217" s="52" t="s">
        <v>167</v>
      </c>
      <c r="D217" s="52">
        <v>4103</v>
      </c>
      <c r="E217" s="52" t="s">
        <v>172</v>
      </c>
      <c r="F217" s="52">
        <v>22</v>
      </c>
      <c r="G217" s="52" t="s">
        <v>175</v>
      </c>
      <c r="H217" s="52">
        <v>4103057</v>
      </c>
      <c r="I217" s="52"/>
      <c r="J217" s="53">
        <v>13</v>
      </c>
      <c r="K217" s="52" t="s">
        <v>29</v>
      </c>
      <c r="L217" s="52" t="s">
        <v>244</v>
      </c>
      <c r="M217" s="54">
        <v>64906595848</v>
      </c>
      <c r="N217" s="54">
        <v>0</v>
      </c>
      <c r="O217" s="743">
        <v>0</v>
      </c>
      <c r="P217" s="743">
        <v>0</v>
      </c>
      <c r="Q217" s="54">
        <v>214271846</v>
      </c>
      <c r="R217" s="743">
        <v>0</v>
      </c>
      <c r="S217" s="54">
        <v>64692324002</v>
      </c>
      <c r="T217" s="54">
        <v>64033443802</v>
      </c>
      <c r="U217" s="54">
        <v>658880200</v>
      </c>
      <c r="V217" s="55">
        <v>0.9898151718899505</v>
      </c>
      <c r="W217" s="54">
        <v>63469010078</v>
      </c>
      <c r="X217" s="54">
        <v>564433724</v>
      </c>
      <c r="Y217" s="55">
        <v>8.8146707483874338E-3</v>
      </c>
      <c r="Z217" s="54">
        <v>63280472272</v>
      </c>
      <c r="AA217" s="54">
        <v>188537806</v>
      </c>
      <c r="AB217" s="55">
        <v>0.9882409646382867</v>
      </c>
    </row>
    <row r="218" spans="1:28" ht="24.95" customHeight="1">
      <c r="A218" s="32" t="e">
        <v>#REF!</v>
      </c>
      <c r="B218" s="56" t="s">
        <v>716</v>
      </c>
      <c r="C218" s="57" t="s">
        <v>167</v>
      </c>
      <c r="D218" s="57">
        <v>4103</v>
      </c>
      <c r="E218" s="57" t="s">
        <v>172</v>
      </c>
      <c r="F218" s="57">
        <v>22</v>
      </c>
      <c r="G218" s="57" t="s">
        <v>175</v>
      </c>
      <c r="H218" s="57" t="s">
        <v>221</v>
      </c>
      <c r="I218" s="57" t="s">
        <v>54</v>
      </c>
      <c r="J218" s="57">
        <v>13</v>
      </c>
      <c r="K218" s="58" t="s">
        <v>29</v>
      </c>
      <c r="L218" s="59" t="s">
        <v>178</v>
      </c>
      <c r="M218" s="60">
        <v>4796601848</v>
      </c>
      <c r="N218" s="60"/>
      <c r="O218" s="60"/>
      <c r="P218" s="60"/>
      <c r="Q218" s="60">
        <v>214271846</v>
      </c>
      <c r="R218" s="61">
        <v>0</v>
      </c>
      <c r="S218" s="60">
        <v>4582330002</v>
      </c>
      <c r="T218" s="60">
        <v>3923449802</v>
      </c>
      <c r="U218" s="60">
        <v>658880200</v>
      </c>
      <c r="V218" s="62">
        <v>0.85621284374708373</v>
      </c>
      <c r="W218" s="60">
        <v>3543947078</v>
      </c>
      <c r="X218" s="60">
        <v>379502724</v>
      </c>
      <c r="Y218" s="62">
        <v>9.6726794823919091E-2</v>
      </c>
      <c r="Z218" s="60">
        <v>3355409272</v>
      </c>
      <c r="AA218" s="60">
        <v>188537806</v>
      </c>
      <c r="AB218" s="62">
        <v>0.85521911616903112</v>
      </c>
    </row>
    <row r="219" spans="1:28" ht="24.95" customHeight="1">
      <c r="A219" s="32" t="e">
        <v>#REF!</v>
      </c>
      <c r="B219" s="56" t="s">
        <v>717</v>
      </c>
      <c r="C219" s="57" t="s">
        <v>167</v>
      </c>
      <c r="D219" s="57">
        <v>4103</v>
      </c>
      <c r="E219" s="57" t="s">
        <v>172</v>
      </c>
      <c r="F219" s="57">
        <v>22</v>
      </c>
      <c r="G219" s="57" t="s">
        <v>175</v>
      </c>
      <c r="H219" s="57" t="s">
        <v>221</v>
      </c>
      <c r="I219" s="57" t="s">
        <v>65</v>
      </c>
      <c r="J219" s="57">
        <v>13</v>
      </c>
      <c r="K219" s="58" t="s">
        <v>29</v>
      </c>
      <c r="L219" s="59" t="s">
        <v>127</v>
      </c>
      <c r="M219" s="60">
        <v>60109994000</v>
      </c>
      <c r="N219" s="60"/>
      <c r="O219" s="60"/>
      <c r="P219" s="60"/>
      <c r="Q219" s="60">
        <v>0</v>
      </c>
      <c r="R219" s="61">
        <v>0</v>
      </c>
      <c r="S219" s="60">
        <v>60109994000</v>
      </c>
      <c r="T219" s="60">
        <v>60109994000</v>
      </c>
      <c r="U219" s="60">
        <v>0</v>
      </c>
      <c r="V219" s="62">
        <v>1</v>
      </c>
      <c r="W219" s="60">
        <v>59925063000</v>
      </c>
      <c r="X219" s="60">
        <v>184931000</v>
      </c>
      <c r="Y219" s="62">
        <v>3.0765433115830954E-3</v>
      </c>
      <c r="Z219" s="60">
        <v>59925063000</v>
      </c>
      <c r="AA219" s="60">
        <v>0</v>
      </c>
      <c r="AB219" s="62">
        <v>0.99692345668841686</v>
      </c>
    </row>
    <row r="220" spans="1:28" ht="23.25" customHeight="1">
      <c r="A220" s="32" t="e">
        <v>#REF!</v>
      </c>
      <c r="B220" s="52" t="s">
        <v>718</v>
      </c>
      <c r="C220" s="52" t="s">
        <v>167</v>
      </c>
      <c r="D220" s="52">
        <v>4103</v>
      </c>
      <c r="E220" s="52" t="s">
        <v>172</v>
      </c>
      <c r="F220" s="52">
        <v>22</v>
      </c>
      <c r="G220" s="52" t="s">
        <v>175</v>
      </c>
      <c r="H220" s="52">
        <v>4103062</v>
      </c>
      <c r="I220" s="52"/>
      <c r="J220" s="53">
        <v>13</v>
      </c>
      <c r="K220" s="52" t="s">
        <v>29</v>
      </c>
      <c r="L220" s="52" t="s">
        <v>245</v>
      </c>
      <c r="M220" s="54">
        <v>62462607371</v>
      </c>
      <c r="N220" s="54">
        <v>0</v>
      </c>
      <c r="O220" s="743">
        <v>0</v>
      </c>
      <c r="P220" s="54">
        <v>3878589965</v>
      </c>
      <c r="Q220" s="743">
        <v>0</v>
      </c>
      <c r="R220" s="743">
        <v>0</v>
      </c>
      <c r="S220" s="54">
        <v>66341197336</v>
      </c>
      <c r="T220" s="54">
        <v>44079552407</v>
      </c>
      <c r="U220" s="54">
        <v>22261644929</v>
      </c>
      <c r="V220" s="55">
        <v>0.66443709455150679</v>
      </c>
      <c r="W220" s="54">
        <v>43767403657</v>
      </c>
      <c r="X220" s="54">
        <v>312148750</v>
      </c>
      <c r="Y220" s="55">
        <v>7.0814863798487572E-3</v>
      </c>
      <c r="Z220" s="54">
        <v>43767403657</v>
      </c>
      <c r="AA220" s="54">
        <v>0</v>
      </c>
      <c r="AB220" s="55">
        <v>0.99291851362015127</v>
      </c>
    </row>
    <row r="221" spans="1:28" ht="24.95" customHeight="1">
      <c r="A221" s="32" t="e">
        <v>#REF!</v>
      </c>
      <c r="B221" s="56" t="s">
        <v>719</v>
      </c>
      <c r="C221" s="57" t="s">
        <v>167</v>
      </c>
      <c r="D221" s="57">
        <v>4103</v>
      </c>
      <c r="E221" s="57" t="s">
        <v>172</v>
      </c>
      <c r="F221" s="57">
        <v>22</v>
      </c>
      <c r="G221" s="57" t="s">
        <v>175</v>
      </c>
      <c r="H221" s="57" t="s">
        <v>246</v>
      </c>
      <c r="I221" s="57" t="s">
        <v>54</v>
      </c>
      <c r="J221" s="57">
        <v>13</v>
      </c>
      <c r="K221" s="58" t="s">
        <v>29</v>
      </c>
      <c r="L221" s="59" t="s">
        <v>178</v>
      </c>
      <c r="M221" s="60">
        <v>6064335371</v>
      </c>
      <c r="N221" s="60"/>
      <c r="O221" s="60"/>
      <c r="P221" s="60">
        <v>981739965</v>
      </c>
      <c r="Q221" s="60">
        <v>0</v>
      </c>
      <c r="R221" s="61">
        <v>0</v>
      </c>
      <c r="S221" s="60">
        <v>7046075336</v>
      </c>
      <c r="T221" s="60">
        <v>4249430407</v>
      </c>
      <c r="U221" s="60">
        <v>2796644929</v>
      </c>
      <c r="V221" s="62">
        <v>0.60309182124248584</v>
      </c>
      <c r="W221" s="60">
        <v>4246554657</v>
      </c>
      <c r="X221" s="60">
        <v>2875750</v>
      </c>
      <c r="Y221" s="62">
        <v>6.767377564915137E-4</v>
      </c>
      <c r="Z221" s="60">
        <v>4246554657</v>
      </c>
      <c r="AA221" s="60">
        <v>0</v>
      </c>
      <c r="AB221" s="62">
        <v>0.99932326224350854</v>
      </c>
    </row>
    <row r="222" spans="1:28" ht="24.95" customHeight="1">
      <c r="A222" s="32" t="e">
        <v>#REF!</v>
      </c>
      <c r="B222" s="56" t="s">
        <v>720</v>
      </c>
      <c r="C222" s="57" t="s">
        <v>167</v>
      </c>
      <c r="D222" s="57">
        <v>4103</v>
      </c>
      <c r="E222" s="57" t="s">
        <v>172</v>
      </c>
      <c r="F222" s="57">
        <v>22</v>
      </c>
      <c r="G222" s="57" t="s">
        <v>175</v>
      </c>
      <c r="H222" s="57" t="s">
        <v>246</v>
      </c>
      <c r="I222" s="57" t="s">
        <v>65</v>
      </c>
      <c r="J222" s="57">
        <v>13</v>
      </c>
      <c r="K222" s="58" t="s">
        <v>29</v>
      </c>
      <c r="L222" s="59" t="s">
        <v>127</v>
      </c>
      <c r="M222" s="60">
        <v>56398272000</v>
      </c>
      <c r="N222" s="60"/>
      <c r="O222" s="60"/>
      <c r="P222" s="60">
        <v>2896850000</v>
      </c>
      <c r="Q222" s="60">
        <v>0</v>
      </c>
      <c r="R222" s="61">
        <v>0</v>
      </c>
      <c r="S222" s="60">
        <v>59295122000</v>
      </c>
      <c r="T222" s="60">
        <v>39830122000</v>
      </c>
      <c r="U222" s="60">
        <v>19465000000</v>
      </c>
      <c r="V222" s="62">
        <v>0.67172679061188201</v>
      </c>
      <c r="W222" s="60">
        <v>39520849000</v>
      </c>
      <c r="X222" s="60">
        <v>309273000</v>
      </c>
      <c r="Y222" s="62">
        <v>7.7648017246846491E-3</v>
      </c>
      <c r="Z222" s="60">
        <v>39520849000</v>
      </c>
      <c r="AA222" s="60">
        <v>0</v>
      </c>
      <c r="AB222" s="62">
        <v>0.99223519827531537</v>
      </c>
    </row>
    <row r="223" spans="1:28" ht="36" customHeight="1">
      <c r="A223" s="32"/>
      <c r="B223" s="48" t="s">
        <v>685</v>
      </c>
      <c r="C223" s="48" t="s">
        <v>167</v>
      </c>
      <c r="D223" s="48" t="s">
        <v>190</v>
      </c>
      <c r="E223" s="48" t="s">
        <v>172</v>
      </c>
      <c r="F223" s="48">
        <v>23</v>
      </c>
      <c r="G223" s="48"/>
      <c r="H223" s="48"/>
      <c r="I223" s="48"/>
      <c r="J223" s="49"/>
      <c r="K223" s="48"/>
      <c r="L223" s="48" t="s">
        <v>247</v>
      </c>
      <c r="M223" s="50">
        <v>1612279801419</v>
      </c>
      <c r="N223" s="50">
        <v>0</v>
      </c>
      <c r="O223" s="742">
        <v>0</v>
      </c>
      <c r="P223" s="50">
        <v>67826035802.349998</v>
      </c>
      <c r="Q223" s="50">
        <v>67826035802.349998</v>
      </c>
      <c r="R223" s="742">
        <v>0</v>
      </c>
      <c r="S223" s="50">
        <v>1612279801419</v>
      </c>
      <c r="T223" s="50">
        <v>1578205768372.21</v>
      </c>
      <c r="U223" s="50">
        <v>34074033046.790031</v>
      </c>
      <c r="V223" s="51">
        <v>0.97886593070458316</v>
      </c>
      <c r="W223" s="50">
        <v>1512033242728.4302</v>
      </c>
      <c r="X223" s="50">
        <v>66172525643.779999</v>
      </c>
      <c r="Y223" s="51">
        <v>4.1928959436025599E-2</v>
      </c>
      <c r="Z223" s="50">
        <v>1511965271627.4302</v>
      </c>
      <c r="AA223" s="50">
        <v>67971101</v>
      </c>
      <c r="AB223" s="51">
        <v>0.9580279719715501</v>
      </c>
    </row>
    <row r="224" spans="1:28" ht="33.75" customHeight="1">
      <c r="A224" s="32"/>
      <c r="B224" s="52" t="s">
        <v>721</v>
      </c>
      <c r="C224" s="52" t="s">
        <v>167</v>
      </c>
      <c r="D224" s="52" t="s">
        <v>190</v>
      </c>
      <c r="E224" s="52" t="s">
        <v>172</v>
      </c>
      <c r="F224" s="52">
        <v>23</v>
      </c>
      <c r="G224" s="52" t="s">
        <v>175</v>
      </c>
      <c r="H224" s="52">
        <v>4103065</v>
      </c>
      <c r="I224" s="52"/>
      <c r="J224" s="53">
        <v>11</v>
      </c>
      <c r="K224" s="52" t="s">
        <v>29</v>
      </c>
      <c r="L224" s="52" t="s">
        <v>248</v>
      </c>
      <c r="M224" s="54">
        <v>1612279801419</v>
      </c>
      <c r="N224" s="54">
        <v>0</v>
      </c>
      <c r="O224" s="743">
        <v>0</v>
      </c>
      <c r="P224" s="54">
        <v>67826035802.349998</v>
      </c>
      <c r="Q224" s="54">
        <v>67826035802.349998</v>
      </c>
      <c r="R224" s="743">
        <v>0</v>
      </c>
      <c r="S224" s="54">
        <v>1612279801419</v>
      </c>
      <c r="T224" s="54">
        <v>1578205768372.21</v>
      </c>
      <c r="U224" s="54">
        <v>34074033046.790031</v>
      </c>
      <c r="V224" s="55">
        <v>0.97886593070458316</v>
      </c>
      <c r="W224" s="54">
        <v>1512033242728.4302</v>
      </c>
      <c r="X224" s="54">
        <v>66172525643.779999</v>
      </c>
      <c r="Y224" s="55">
        <v>4.1928959436025599E-2</v>
      </c>
      <c r="Z224" s="54">
        <v>1511965271627.4302</v>
      </c>
      <c r="AA224" s="54">
        <v>67971101</v>
      </c>
      <c r="AB224" s="55">
        <v>0.9580279719715501</v>
      </c>
    </row>
    <row r="225" spans="1:51" ht="24.95" customHeight="1">
      <c r="A225" s="32"/>
      <c r="B225" s="56" t="s">
        <v>722</v>
      </c>
      <c r="C225" s="57" t="s">
        <v>167</v>
      </c>
      <c r="D225" s="57" t="s">
        <v>190</v>
      </c>
      <c r="E225" s="57" t="s">
        <v>172</v>
      </c>
      <c r="F225" s="57">
        <v>23</v>
      </c>
      <c r="G225" s="57" t="s">
        <v>175</v>
      </c>
      <c r="H225" s="57">
        <v>4103065</v>
      </c>
      <c r="I225" s="57" t="s">
        <v>54</v>
      </c>
      <c r="J225" s="57">
        <v>11</v>
      </c>
      <c r="K225" s="58" t="s">
        <v>29</v>
      </c>
      <c r="L225" s="59" t="s">
        <v>178</v>
      </c>
      <c r="M225" s="60">
        <v>54257058902</v>
      </c>
      <c r="N225" s="60"/>
      <c r="O225" s="60"/>
      <c r="P225" s="60">
        <v>27826035802.349998</v>
      </c>
      <c r="Q225" s="60">
        <v>36000000000</v>
      </c>
      <c r="R225" s="61">
        <v>0</v>
      </c>
      <c r="S225" s="60">
        <v>46083094704.350006</v>
      </c>
      <c r="T225" s="60">
        <v>45814501689.209999</v>
      </c>
      <c r="U225" s="60">
        <v>268593015.14000702</v>
      </c>
      <c r="V225" s="62">
        <v>0.99417154996071366</v>
      </c>
      <c r="W225" s="60">
        <v>34993527011.150002</v>
      </c>
      <c r="X225" s="60">
        <v>10820974678.059998</v>
      </c>
      <c r="Y225" s="62">
        <v>0.236191037315342</v>
      </c>
      <c r="Z225" s="60">
        <v>34925555910.150002</v>
      </c>
      <c r="AA225" s="60">
        <v>67971101</v>
      </c>
      <c r="AB225" s="62">
        <v>0.76232534726827539</v>
      </c>
    </row>
    <row r="226" spans="1:51" ht="24.95" customHeight="1">
      <c r="A226" s="32"/>
      <c r="B226" s="56" t="s">
        <v>723</v>
      </c>
      <c r="C226" s="57" t="s">
        <v>167</v>
      </c>
      <c r="D226" s="57" t="s">
        <v>190</v>
      </c>
      <c r="E226" s="57" t="s">
        <v>172</v>
      </c>
      <c r="F226" s="57">
        <v>23</v>
      </c>
      <c r="G226" s="57" t="s">
        <v>175</v>
      </c>
      <c r="H226" s="57">
        <v>4103065</v>
      </c>
      <c r="I226" s="57" t="s">
        <v>65</v>
      </c>
      <c r="J226" s="57">
        <v>11</v>
      </c>
      <c r="K226" s="58" t="s">
        <v>29</v>
      </c>
      <c r="L226" s="59" t="s">
        <v>127</v>
      </c>
      <c r="M226" s="60">
        <v>725205645648</v>
      </c>
      <c r="N226" s="60"/>
      <c r="O226" s="60"/>
      <c r="P226" s="60">
        <v>36000000000</v>
      </c>
      <c r="Q226" s="60">
        <v>27826035802.349998</v>
      </c>
      <c r="R226" s="61">
        <v>0</v>
      </c>
      <c r="S226" s="60">
        <v>733379609845.65002</v>
      </c>
      <c r="T226" s="60">
        <v>699782249814</v>
      </c>
      <c r="U226" s="60">
        <v>33597360031.650024</v>
      </c>
      <c r="V226" s="62">
        <v>0.95418830905495033</v>
      </c>
      <c r="W226" s="60">
        <v>699782249814</v>
      </c>
      <c r="X226" s="60">
        <v>0</v>
      </c>
      <c r="Y226" s="62">
        <v>0</v>
      </c>
      <c r="Z226" s="60">
        <v>699782249814</v>
      </c>
      <c r="AA226" s="60">
        <v>0</v>
      </c>
      <c r="AB226" s="62">
        <v>1</v>
      </c>
    </row>
    <row r="227" spans="1:51" ht="24.95" customHeight="1">
      <c r="A227" s="32"/>
      <c r="B227" s="56" t="s">
        <v>722</v>
      </c>
      <c r="C227" s="57" t="s">
        <v>167</v>
      </c>
      <c r="D227" s="57" t="s">
        <v>190</v>
      </c>
      <c r="E227" s="57" t="s">
        <v>172</v>
      </c>
      <c r="F227" s="57">
        <v>23</v>
      </c>
      <c r="G227" s="57" t="s">
        <v>175</v>
      </c>
      <c r="H227" s="57">
        <v>4103065</v>
      </c>
      <c r="I227" s="57" t="s">
        <v>54</v>
      </c>
      <c r="J227" s="57">
        <v>13</v>
      </c>
      <c r="K227" s="58" t="s">
        <v>29</v>
      </c>
      <c r="L227" s="59" t="s">
        <v>178</v>
      </c>
      <c r="M227" s="60">
        <v>0</v>
      </c>
      <c r="N227" s="60"/>
      <c r="O227" s="60"/>
      <c r="P227" s="60">
        <v>4000000000</v>
      </c>
      <c r="Q227" s="60">
        <v>0</v>
      </c>
      <c r="R227" s="61">
        <v>0</v>
      </c>
      <c r="S227" s="60">
        <v>4000000000</v>
      </c>
      <c r="T227" s="60">
        <v>4000000000</v>
      </c>
      <c r="U227" s="60">
        <v>0</v>
      </c>
      <c r="V227" s="62">
        <v>1</v>
      </c>
      <c r="W227" s="60">
        <v>1809465717.28</v>
      </c>
      <c r="X227" s="60">
        <v>2190534282.7200003</v>
      </c>
      <c r="Y227" s="62">
        <v>0.54763357068000007</v>
      </c>
      <c r="Z227" s="60">
        <v>1809465717.28</v>
      </c>
      <c r="AA227" s="60">
        <v>0</v>
      </c>
      <c r="AB227" s="62">
        <v>0.45236642931999999</v>
      </c>
    </row>
    <row r="228" spans="1:51" ht="24.95" customHeight="1">
      <c r="A228" s="32"/>
      <c r="B228" s="56" t="s">
        <v>723</v>
      </c>
      <c r="C228" s="57" t="s">
        <v>167</v>
      </c>
      <c r="D228" s="57" t="s">
        <v>190</v>
      </c>
      <c r="E228" s="57" t="s">
        <v>172</v>
      </c>
      <c r="F228" s="57">
        <v>23</v>
      </c>
      <c r="G228" s="57" t="s">
        <v>175</v>
      </c>
      <c r="H228" s="57">
        <v>4103065</v>
      </c>
      <c r="I228" s="57" t="s">
        <v>65</v>
      </c>
      <c r="J228" s="57">
        <v>13</v>
      </c>
      <c r="K228" s="58" t="s">
        <v>29</v>
      </c>
      <c r="L228" s="59" t="s">
        <v>127</v>
      </c>
      <c r="M228" s="60">
        <v>48925749186</v>
      </c>
      <c r="N228" s="60"/>
      <c r="O228" s="60"/>
      <c r="P228" s="60"/>
      <c r="Q228" s="60">
        <v>4000000000</v>
      </c>
      <c r="R228" s="61">
        <v>0</v>
      </c>
      <c r="S228" s="60">
        <v>44925749186</v>
      </c>
      <c r="T228" s="60">
        <v>44717669186</v>
      </c>
      <c r="U228" s="60">
        <v>208080000</v>
      </c>
      <c r="V228" s="62">
        <v>0.99536835770643439</v>
      </c>
      <c r="W228" s="60">
        <v>44717669186</v>
      </c>
      <c r="X228" s="60">
        <v>0</v>
      </c>
      <c r="Y228" s="62">
        <v>0</v>
      </c>
      <c r="Z228" s="60">
        <v>44717669186</v>
      </c>
      <c r="AA228" s="60">
        <v>0</v>
      </c>
      <c r="AB228" s="62">
        <v>1</v>
      </c>
    </row>
    <row r="229" spans="1:51" ht="24.95" customHeight="1">
      <c r="A229" s="32"/>
      <c r="B229" s="56" t="s">
        <v>723</v>
      </c>
      <c r="C229" s="57" t="s">
        <v>167</v>
      </c>
      <c r="D229" s="57" t="s">
        <v>190</v>
      </c>
      <c r="E229" s="57" t="s">
        <v>172</v>
      </c>
      <c r="F229" s="57">
        <v>23</v>
      </c>
      <c r="G229" s="57" t="s">
        <v>175</v>
      </c>
      <c r="H229" s="57">
        <v>4103065</v>
      </c>
      <c r="I229" s="57" t="s">
        <v>65</v>
      </c>
      <c r="J229" s="57">
        <v>16</v>
      </c>
      <c r="K229" s="58" t="s">
        <v>156</v>
      </c>
      <c r="L229" s="59" t="s">
        <v>127</v>
      </c>
      <c r="M229" s="60">
        <v>783891347683</v>
      </c>
      <c r="N229" s="60"/>
      <c r="O229" s="60"/>
      <c r="P229" s="60"/>
      <c r="Q229" s="60">
        <v>0</v>
      </c>
      <c r="R229" s="61">
        <v>0</v>
      </c>
      <c r="S229" s="60">
        <v>783891347683</v>
      </c>
      <c r="T229" s="60">
        <v>783891347683</v>
      </c>
      <c r="U229" s="60">
        <v>0</v>
      </c>
      <c r="V229" s="62">
        <v>1</v>
      </c>
      <c r="W229" s="60">
        <v>730730331000</v>
      </c>
      <c r="X229" s="60">
        <v>53161016683</v>
      </c>
      <c r="Y229" s="62">
        <v>6.7816817777274316E-2</v>
      </c>
      <c r="Z229" s="60">
        <v>730730331000</v>
      </c>
      <c r="AA229" s="60">
        <v>0</v>
      </c>
      <c r="AB229" s="62">
        <v>0.93218318222272567</v>
      </c>
    </row>
    <row r="230" spans="1:51" ht="36" customHeight="1">
      <c r="A230" s="32" t="e">
        <v>#REF!</v>
      </c>
      <c r="B230" s="48" t="s">
        <v>732</v>
      </c>
      <c r="C230" s="48" t="s">
        <v>167</v>
      </c>
      <c r="D230" s="48" t="s">
        <v>190</v>
      </c>
      <c r="E230" s="48" t="s">
        <v>172</v>
      </c>
      <c r="F230" s="48">
        <v>24</v>
      </c>
      <c r="G230" s="48"/>
      <c r="H230" s="48"/>
      <c r="I230" s="48"/>
      <c r="J230" s="49"/>
      <c r="K230" s="48"/>
      <c r="L230" s="48" t="s">
        <v>249</v>
      </c>
      <c r="M230" s="50">
        <v>7237101000000</v>
      </c>
      <c r="N230" s="50">
        <v>0</v>
      </c>
      <c r="O230" s="742">
        <v>0</v>
      </c>
      <c r="P230" s="50">
        <v>50896906720.830002</v>
      </c>
      <c r="Q230" s="50">
        <v>50896906720.830002</v>
      </c>
      <c r="R230" s="742">
        <v>0</v>
      </c>
      <c r="S230" s="50">
        <v>7237101000000</v>
      </c>
      <c r="T230" s="50">
        <v>6453729472917.4004</v>
      </c>
      <c r="U230" s="50">
        <v>783371527082.59998</v>
      </c>
      <c r="V230" s="51">
        <v>0.89175617044965938</v>
      </c>
      <c r="W230" s="50">
        <v>5448927471612.2803</v>
      </c>
      <c r="X230" s="50">
        <v>1004802001305.12</v>
      </c>
      <c r="Y230" s="51">
        <v>0.15569323218794612</v>
      </c>
      <c r="Z230" s="50">
        <v>5447410802407.2803</v>
      </c>
      <c r="AA230" s="50">
        <v>1516669205</v>
      </c>
      <c r="AB230" s="51">
        <v>0.84407176118350447</v>
      </c>
    </row>
    <row r="231" spans="1:51" ht="33.75" customHeight="1">
      <c r="A231" s="32" t="e">
        <v>#REF!</v>
      </c>
      <c r="B231" s="52" t="s">
        <v>733</v>
      </c>
      <c r="C231" s="52" t="s">
        <v>167</v>
      </c>
      <c r="D231" s="52" t="s">
        <v>190</v>
      </c>
      <c r="E231" s="52" t="s">
        <v>172</v>
      </c>
      <c r="F231" s="52">
        <v>24</v>
      </c>
      <c r="G231" s="52" t="s">
        <v>175</v>
      </c>
      <c r="H231" s="52">
        <v>4103061</v>
      </c>
      <c r="I231" s="52"/>
      <c r="J231" s="53">
        <v>13</v>
      </c>
      <c r="K231" s="52" t="s">
        <v>29</v>
      </c>
      <c r="L231" s="52" t="s">
        <v>231</v>
      </c>
      <c r="M231" s="54">
        <v>7237101000000</v>
      </c>
      <c r="N231" s="54">
        <v>0</v>
      </c>
      <c r="O231" s="743">
        <v>0</v>
      </c>
      <c r="P231" s="54">
        <v>50896906720.830002</v>
      </c>
      <c r="Q231" s="54">
        <v>50896906720.830002</v>
      </c>
      <c r="R231" s="743">
        <v>0</v>
      </c>
      <c r="S231" s="54">
        <v>7237101000000</v>
      </c>
      <c r="T231" s="54">
        <v>6453729472917.4004</v>
      </c>
      <c r="U231" s="54">
        <v>783371527082.59998</v>
      </c>
      <c r="V231" s="55">
        <v>0.89175617044965938</v>
      </c>
      <c r="W231" s="54">
        <v>5448927471612.2803</v>
      </c>
      <c r="X231" s="54">
        <v>1004802001305.12</v>
      </c>
      <c r="Y231" s="55">
        <v>0.15569323218794612</v>
      </c>
      <c r="Z231" s="54">
        <v>5447410802407.2803</v>
      </c>
      <c r="AA231" s="54">
        <v>1516669205</v>
      </c>
      <c r="AB231" s="55">
        <v>0.84407176118350447</v>
      </c>
    </row>
    <row r="232" spans="1:51" ht="24.95" customHeight="1">
      <c r="A232" s="32" t="e">
        <v>#REF!</v>
      </c>
      <c r="B232" s="56" t="s">
        <v>734</v>
      </c>
      <c r="C232" s="57" t="s">
        <v>167</v>
      </c>
      <c r="D232" s="57" t="s">
        <v>190</v>
      </c>
      <c r="E232" s="57" t="s">
        <v>172</v>
      </c>
      <c r="F232" s="57">
        <v>24</v>
      </c>
      <c r="G232" s="57" t="s">
        <v>175</v>
      </c>
      <c r="H232" s="57">
        <v>4103061</v>
      </c>
      <c r="I232" s="57" t="s">
        <v>54</v>
      </c>
      <c r="J232" s="57">
        <v>13</v>
      </c>
      <c r="K232" s="58" t="s">
        <v>29</v>
      </c>
      <c r="L232" s="59" t="s">
        <v>178</v>
      </c>
      <c r="M232" s="60">
        <v>99347732574</v>
      </c>
      <c r="N232" s="60"/>
      <c r="O232" s="60"/>
      <c r="P232" s="60">
        <v>832906720.83000004</v>
      </c>
      <c r="Q232" s="60">
        <v>50064000000</v>
      </c>
      <c r="R232" s="61">
        <v>0</v>
      </c>
      <c r="S232" s="60">
        <v>50116639294.830002</v>
      </c>
      <c r="T232" s="60">
        <v>39673699917.400002</v>
      </c>
      <c r="U232" s="60">
        <v>10442939377.43</v>
      </c>
      <c r="V232" s="62">
        <v>0.79162730134406101</v>
      </c>
      <c r="W232" s="60">
        <v>32884403612.279999</v>
      </c>
      <c r="X232" s="60">
        <v>6789296305.1200027</v>
      </c>
      <c r="Y232" s="62">
        <v>0.17112838780489864</v>
      </c>
      <c r="Z232" s="60">
        <v>31367734407.279999</v>
      </c>
      <c r="AA232" s="60">
        <v>1516669205</v>
      </c>
      <c r="AB232" s="62">
        <v>0.7906430323510818</v>
      </c>
    </row>
    <row r="233" spans="1:51" ht="24.95" customHeight="1">
      <c r="A233" s="32" t="e">
        <v>#REF!</v>
      </c>
      <c r="B233" s="56" t="s">
        <v>735</v>
      </c>
      <c r="C233" s="57" t="s">
        <v>167</v>
      </c>
      <c r="D233" s="57" t="s">
        <v>190</v>
      </c>
      <c r="E233" s="57" t="s">
        <v>172</v>
      </c>
      <c r="F233" s="57">
        <v>24</v>
      </c>
      <c r="G233" s="57" t="s">
        <v>175</v>
      </c>
      <c r="H233" s="57">
        <v>4103061</v>
      </c>
      <c r="I233" s="57" t="s">
        <v>65</v>
      </c>
      <c r="J233" s="57">
        <v>13</v>
      </c>
      <c r="K233" s="58" t="s">
        <v>29</v>
      </c>
      <c r="L233" s="59" t="s">
        <v>127</v>
      </c>
      <c r="M233" s="60">
        <v>7137753267426</v>
      </c>
      <c r="N233" s="60"/>
      <c r="O233" s="60"/>
      <c r="P233" s="60">
        <v>50064000000</v>
      </c>
      <c r="Q233" s="60">
        <v>832906720.83000004</v>
      </c>
      <c r="R233" s="61">
        <v>0</v>
      </c>
      <c r="S233" s="60">
        <v>7186984360705.1699</v>
      </c>
      <c r="T233" s="60">
        <v>6414055773000</v>
      </c>
      <c r="U233" s="60">
        <v>772928587705.16992</v>
      </c>
      <c r="V233" s="62">
        <v>0.89245439409453065</v>
      </c>
      <c r="W233" s="60">
        <v>5416043068000</v>
      </c>
      <c r="X233" s="60">
        <v>998012705000</v>
      </c>
      <c r="Y233" s="62">
        <v>0.15559775909669191</v>
      </c>
      <c r="Z233" s="60">
        <v>5416043068000</v>
      </c>
      <c r="AA233" s="60">
        <v>0</v>
      </c>
      <c r="AB233" s="62">
        <v>0.84440224090330807</v>
      </c>
    </row>
    <row r="234" spans="1:51" ht="24" customHeight="1">
      <c r="A234" s="32" t="e">
        <v>#REF!</v>
      </c>
      <c r="B234" s="38" t="s">
        <v>544</v>
      </c>
      <c r="C234" s="39" t="s">
        <v>167</v>
      </c>
      <c r="D234" s="39">
        <v>4199</v>
      </c>
      <c r="E234" s="39"/>
      <c r="F234" s="39"/>
      <c r="G234" s="39"/>
      <c r="H234" s="39"/>
      <c r="I234" s="39"/>
      <c r="J234" s="39"/>
      <c r="K234" s="40"/>
      <c r="L234" s="38" t="s">
        <v>250</v>
      </c>
      <c r="M234" s="41">
        <v>5000000000</v>
      </c>
      <c r="N234" s="41">
        <v>0</v>
      </c>
      <c r="O234" s="740">
        <v>0</v>
      </c>
      <c r="P234" s="740">
        <v>0</v>
      </c>
      <c r="Q234" s="740">
        <v>0</v>
      </c>
      <c r="R234" s="740">
        <v>0</v>
      </c>
      <c r="S234" s="41">
        <v>5000000000</v>
      </c>
      <c r="T234" s="41">
        <v>4461352189.6000004</v>
      </c>
      <c r="U234" s="41">
        <v>538647810.39999962</v>
      </c>
      <c r="V234" s="42">
        <v>0.89227043792000005</v>
      </c>
      <c r="W234" s="41">
        <v>3816560887.5999999</v>
      </c>
      <c r="X234" s="41">
        <v>644791302.00000048</v>
      </c>
      <c r="Y234" s="42">
        <v>0.14452822252031433</v>
      </c>
      <c r="Z234" s="41">
        <v>3816560887.5999999</v>
      </c>
      <c r="AA234" s="41">
        <v>0</v>
      </c>
      <c r="AB234" s="42">
        <v>0.85547177747968561</v>
      </c>
    </row>
    <row r="235" spans="1:51" ht="24" customHeight="1">
      <c r="A235" s="32" t="e">
        <v>#REF!</v>
      </c>
      <c r="B235" s="43" t="s">
        <v>300</v>
      </c>
      <c r="C235" s="44" t="s">
        <v>167</v>
      </c>
      <c r="D235" s="44">
        <v>4199</v>
      </c>
      <c r="E235" s="44">
        <v>1500</v>
      </c>
      <c r="F235" s="44"/>
      <c r="G235" s="44"/>
      <c r="H235" s="44"/>
      <c r="I235" s="44"/>
      <c r="J235" s="44"/>
      <c r="K235" s="45"/>
      <c r="L235" s="43" t="s">
        <v>170</v>
      </c>
      <c r="M235" s="46">
        <v>5000000000</v>
      </c>
      <c r="N235" s="46">
        <v>0</v>
      </c>
      <c r="O235" s="741">
        <v>0</v>
      </c>
      <c r="P235" s="741">
        <v>0</v>
      </c>
      <c r="Q235" s="741">
        <v>0</v>
      </c>
      <c r="R235" s="741">
        <v>0</v>
      </c>
      <c r="S235" s="46">
        <v>5000000000</v>
      </c>
      <c r="T235" s="46">
        <v>4461352189.6000004</v>
      </c>
      <c r="U235" s="46">
        <v>538647810.39999962</v>
      </c>
      <c r="V235" s="47">
        <v>0.89227043792000005</v>
      </c>
      <c r="W235" s="46">
        <v>3816560887.5999999</v>
      </c>
      <c r="X235" s="46">
        <v>644791302.00000048</v>
      </c>
      <c r="Y235" s="47">
        <v>0.14452822252031433</v>
      </c>
      <c r="Z235" s="46">
        <v>3816560887.5999999</v>
      </c>
      <c r="AA235" s="46">
        <v>0</v>
      </c>
      <c r="AB235" s="47">
        <v>0.85547177747968561</v>
      </c>
    </row>
    <row r="236" spans="1:51" ht="39" customHeight="1">
      <c r="A236" s="32" t="e">
        <v>#REF!</v>
      </c>
      <c r="B236" s="48" t="s">
        <v>547</v>
      </c>
      <c r="C236" s="48" t="s">
        <v>167</v>
      </c>
      <c r="D236" s="48" t="s">
        <v>251</v>
      </c>
      <c r="E236" s="48" t="s">
        <v>172</v>
      </c>
      <c r="F236" s="48" t="s">
        <v>252</v>
      </c>
      <c r="G236" s="48"/>
      <c r="H236" s="48"/>
      <c r="I236" s="48"/>
      <c r="J236" s="49"/>
      <c r="K236" s="48"/>
      <c r="L236" s="48" t="s">
        <v>253</v>
      </c>
      <c r="M236" s="50">
        <v>5000000000</v>
      </c>
      <c r="N236" s="50">
        <v>0</v>
      </c>
      <c r="O236" s="742">
        <v>0</v>
      </c>
      <c r="P236" s="742">
        <v>0</v>
      </c>
      <c r="Q236" s="742">
        <v>0</v>
      </c>
      <c r="R236" s="742">
        <v>0</v>
      </c>
      <c r="S236" s="50">
        <v>5000000000</v>
      </c>
      <c r="T236" s="50">
        <v>4461352189.6000004</v>
      </c>
      <c r="U236" s="50">
        <v>538647810.39999962</v>
      </c>
      <c r="V236" s="51">
        <v>0.89227043792000005</v>
      </c>
      <c r="W236" s="50">
        <v>3816560887.5999999</v>
      </c>
      <c r="X236" s="50">
        <v>644791302.00000048</v>
      </c>
      <c r="Y236" s="51">
        <v>0.14452822252031433</v>
      </c>
      <c r="Z236" s="50">
        <v>3816560887.5999999</v>
      </c>
      <c r="AA236" s="50">
        <v>0</v>
      </c>
      <c r="AB236" s="51">
        <v>0.85547177747968561</v>
      </c>
    </row>
    <row r="237" spans="1:51" ht="24" customHeight="1">
      <c r="A237" s="32" t="e">
        <v>#REF!</v>
      </c>
      <c r="B237" s="52" t="s">
        <v>548</v>
      </c>
      <c r="C237" s="52" t="s">
        <v>167</v>
      </c>
      <c r="D237" s="52" t="s">
        <v>251</v>
      </c>
      <c r="E237" s="52" t="s">
        <v>172</v>
      </c>
      <c r="F237" s="52" t="s">
        <v>252</v>
      </c>
      <c r="G237" s="52" t="s">
        <v>175</v>
      </c>
      <c r="H237" s="52" t="s">
        <v>254</v>
      </c>
      <c r="I237" s="52"/>
      <c r="J237" s="53">
        <v>13</v>
      </c>
      <c r="K237" s="52" t="s">
        <v>29</v>
      </c>
      <c r="L237" s="52" t="s">
        <v>255</v>
      </c>
      <c r="M237" s="54">
        <v>5000000000</v>
      </c>
      <c r="N237" s="54">
        <v>0</v>
      </c>
      <c r="O237" s="743">
        <v>0</v>
      </c>
      <c r="P237" s="743">
        <v>0</v>
      </c>
      <c r="Q237" s="743">
        <v>0</v>
      </c>
      <c r="R237" s="743">
        <v>0</v>
      </c>
      <c r="S237" s="54">
        <v>5000000000</v>
      </c>
      <c r="T237" s="54">
        <v>4461352189.6000004</v>
      </c>
      <c r="U237" s="54">
        <v>538647810.39999962</v>
      </c>
      <c r="V237" s="55">
        <v>0.89227043792000005</v>
      </c>
      <c r="W237" s="54">
        <v>3816560887.5999999</v>
      </c>
      <c r="X237" s="54">
        <v>644791302.00000048</v>
      </c>
      <c r="Y237" s="55">
        <v>0.14452822252031433</v>
      </c>
      <c r="Z237" s="54">
        <v>3816560887.5999999</v>
      </c>
      <c r="AA237" s="54">
        <v>0</v>
      </c>
      <c r="AB237" s="55">
        <v>0.85547177747968561</v>
      </c>
    </row>
    <row r="238" spans="1:51" ht="24.95" customHeight="1">
      <c r="A238" s="32" t="e">
        <v>#REF!</v>
      </c>
      <c r="B238" s="56" t="s">
        <v>549</v>
      </c>
      <c r="C238" s="57" t="s">
        <v>167</v>
      </c>
      <c r="D238" s="57" t="s">
        <v>251</v>
      </c>
      <c r="E238" s="57" t="s">
        <v>172</v>
      </c>
      <c r="F238" s="57" t="s">
        <v>252</v>
      </c>
      <c r="G238" s="57" t="s">
        <v>175</v>
      </c>
      <c r="H238" s="57" t="s">
        <v>254</v>
      </c>
      <c r="I238" s="57" t="s">
        <v>54</v>
      </c>
      <c r="J238" s="57">
        <v>13</v>
      </c>
      <c r="K238" s="58" t="s">
        <v>29</v>
      </c>
      <c r="L238" s="59" t="s">
        <v>178</v>
      </c>
      <c r="M238" s="60">
        <v>5000000000</v>
      </c>
      <c r="N238" s="60">
        <v>0</v>
      </c>
      <c r="O238" s="60">
        <v>0</v>
      </c>
      <c r="P238" s="60">
        <v>0</v>
      </c>
      <c r="Q238" s="60">
        <v>0</v>
      </c>
      <c r="R238" s="61">
        <v>0</v>
      </c>
      <c r="S238" s="60">
        <v>5000000000</v>
      </c>
      <c r="T238" s="60">
        <v>4461352189.6000004</v>
      </c>
      <c r="U238" s="60">
        <v>538647810.39999962</v>
      </c>
      <c r="V238" s="62">
        <v>0.89227043792000005</v>
      </c>
      <c r="W238" s="60">
        <v>3816560887.5999999</v>
      </c>
      <c r="X238" s="60">
        <v>644791302.00000048</v>
      </c>
      <c r="Y238" s="62">
        <v>0.14452822252031433</v>
      </c>
      <c r="Z238" s="60">
        <v>3816560887.5999999</v>
      </c>
      <c r="AA238" s="60">
        <v>0</v>
      </c>
      <c r="AB238" s="62">
        <v>0.85547177747968561</v>
      </c>
    </row>
    <row r="239" spans="1:51" ht="35.1" customHeight="1">
      <c r="A239" s="32"/>
      <c r="B239" s="33"/>
      <c r="C239" s="34"/>
      <c r="D239" s="35"/>
      <c r="E239" s="35"/>
      <c r="F239" s="35"/>
      <c r="G239" s="35"/>
      <c r="H239" s="35"/>
      <c r="I239" s="35"/>
      <c r="J239" s="34"/>
      <c r="K239" s="35"/>
      <c r="L239" s="33" t="s">
        <v>256</v>
      </c>
      <c r="M239" s="36">
        <v>13107834876291</v>
      </c>
      <c r="N239" s="36">
        <v>5269349000</v>
      </c>
      <c r="O239" s="36">
        <v>0</v>
      </c>
      <c r="P239" s="36">
        <v>236613433323.44998</v>
      </c>
      <c r="Q239" s="36">
        <v>236613433323.44998</v>
      </c>
      <c r="R239" s="36">
        <v>645629555</v>
      </c>
      <c r="S239" s="36">
        <v>13112458595736</v>
      </c>
      <c r="T239" s="36">
        <v>11647303531240.91</v>
      </c>
      <c r="U239" s="36">
        <v>1465155064495.0901</v>
      </c>
      <c r="V239" s="37">
        <v>0.88826236866276631</v>
      </c>
      <c r="W239" s="36">
        <v>10157379867361.311</v>
      </c>
      <c r="X239" s="36">
        <v>1489923663879.6001</v>
      </c>
      <c r="Y239" s="37">
        <v>0.12792005118465929</v>
      </c>
      <c r="Z239" s="36">
        <v>10144295999315.709</v>
      </c>
      <c r="AA239" s="36">
        <v>13083868045.600006</v>
      </c>
      <c r="AB239" s="37">
        <v>0.87095661000902325</v>
      </c>
    </row>
    <row r="240" spans="1:51" s="90" customFormat="1" ht="16.5">
      <c r="A240" s="32"/>
      <c r="B240" s="32"/>
      <c r="C240" s="82"/>
      <c r="D240" s="82"/>
      <c r="E240" s="82"/>
      <c r="F240" s="82"/>
      <c r="G240" s="82"/>
      <c r="H240" s="83"/>
      <c r="I240" s="84"/>
      <c r="J240" s="84"/>
      <c r="K240" s="85"/>
      <c r="L240" s="84"/>
      <c r="M240" s="86"/>
      <c r="N240" s="86"/>
      <c r="O240" s="86"/>
      <c r="P240" s="86"/>
      <c r="Q240" s="86"/>
      <c r="R240" s="86"/>
      <c r="S240" s="86"/>
      <c r="T240" s="86"/>
      <c r="U240" s="86"/>
      <c r="V240" s="87"/>
      <c r="W240" s="88"/>
      <c r="X240" s="86"/>
      <c r="Y240" s="87"/>
      <c r="Z240" s="86"/>
      <c r="AA240" s="86"/>
      <c r="AB240" s="89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</row>
    <row r="241" spans="1:51" s="755" customFormat="1" ht="16.5">
      <c r="A241" s="748" t="e">
        <v>#REF!</v>
      </c>
      <c r="B241" s="748"/>
      <c r="C241" s="749"/>
      <c r="D241" s="749"/>
      <c r="E241" s="749"/>
      <c r="F241" s="749"/>
      <c r="G241" s="749"/>
      <c r="H241" s="750"/>
      <c r="I241" s="751"/>
      <c r="J241" s="751"/>
      <c r="K241" s="752"/>
      <c r="L241" s="751"/>
      <c r="M241" s="753">
        <v>13107834876291</v>
      </c>
      <c r="N241" s="753">
        <v>5269349000</v>
      </c>
      <c r="O241" s="753">
        <v>0</v>
      </c>
      <c r="P241" s="753">
        <v>236613433323.45001</v>
      </c>
      <c r="Q241" s="753">
        <v>236613433323.45001</v>
      </c>
      <c r="R241" s="753">
        <v>645629555</v>
      </c>
      <c r="S241" s="753">
        <v>13112458595736</v>
      </c>
      <c r="T241" s="753">
        <v>11647303531240.9</v>
      </c>
      <c r="U241" s="753">
        <v>1465155064495.0898</v>
      </c>
      <c r="V241" s="754">
        <v>0.88826236866276631</v>
      </c>
      <c r="W241" s="753">
        <v>10157379867361.301</v>
      </c>
      <c r="X241" s="753">
        <v>1489923663879.5996</v>
      </c>
      <c r="Y241" s="754">
        <v>0.12792005118465929</v>
      </c>
      <c r="Z241" s="753">
        <v>10144295999315.699</v>
      </c>
      <c r="AA241" s="753">
        <v>13083868045.601563</v>
      </c>
      <c r="AB241" s="754">
        <v>0.87095661000902325</v>
      </c>
    </row>
    <row r="242" spans="1:51" s="755" customFormat="1" ht="16.5">
      <c r="A242" s="748"/>
      <c r="B242" s="748"/>
      <c r="C242" s="752"/>
      <c r="D242" s="751"/>
      <c r="E242" s="751"/>
      <c r="F242" s="751"/>
      <c r="G242" s="751"/>
      <c r="H242" s="751"/>
      <c r="I242" s="751"/>
      <c r="J242" s="751"/>
      <c r="K242" s="752"/>
      <c r="L242" s="756"/>
      <c r="M242" s="757">
        <v>0</v>
      </c>
      <c r="N242" s="757">
        <v>0</v>
      </c>
      <c r="O242" s="757">
        <v>0</v>
      </c>
      <c r="P242" s="757">
        <v>0</v>
      </c>
      <c r="Q242" s="757">
        <v>0</v>
      </c>
      <c r="R242" s="757">
        <v>0</v>
      </c>
      <c r="S242" s="757">
        <v>0</v>
      </c>
      <c r="T242" s="757">
        <v>0</v>
      </c>
      <c r="U242" s="757">
        <v>0</v>
      </c>
      <c r="V242" s="757"/>
      <c r="W242" s="757">
        <v>0</v>
      </c>
      <c r="X242" s="757">
        <v>0</v>
      </c>
      <c r="Y242" s="757"/>
      <c r="Z242" s="757">
        <v>0</v>
      </c>
      <c r="AA242" s="757">
        <v>-1.556396484375E-3</v>
      </c>
      <c r="AB242" s="757"/>
    </row>
    <row r="243" spans="1:51" s="108" customFormat="1" ht="16.5">
      <c r="A243" s="99"/>
      <c r="B243" s="100"/>
      <c r="C243" s="101"/>
      <c r="D243" s="102"/>
      <c r="E243" s="102"/>
      <c r="F243" s="102"/>
      <c r="G243" s="102"/>
      <c r="H243" s="102"/>
      <c r="I243" s="102"/>
      <c r="J243" s="102"/>
      <c r="K243" s="101"/>
      <c r="L243" s="103"/>
      <c r="M243" s="104"/>
      <c r="N243" s="104"/>
      <c r="O243" s="104"/>
      <c r="P243" s="104"/>
      <c r="Q243" s="104"/>
      <c r="R243" s="104"/>
      <c r="S243" s="104"/>
      <c r="T243" s="104"/>
      <c r="U243" s="104"/>
      <c r="V243" s="105"/>
      <c r="W243" s="104"/>
      <c r="X243" s="104"/>
      <c r="Y243" s="105"/>
      <c r="Z243" s="104"/>
      <c r="AA243" s="104"/>
      <c r="AB243" s="106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</row>
    <row r="244" spans="1:51" ht="18">
      <c r="A244" s="30"/>
      <c r="B244" s="31"/>
      <c r="C244" s="312"/>
      <c r="D244" s="317"/>
      <c r="E244" s="312"/>
      <c r="F244" s="312"/>
      <c r="G244" s="312"/>
      <c r="H244" s="312"/>
      <c r="I244" s="312"/>
      <c r="J244" s="312"/>
      <c r="K244" s="317"/>
      <c r="L244" s="312"/>
      <c r="M244" s="335"/>
      <c r="N244" s="364"/>
      <c r="O244" s="332"/>
      <c r="P244" s="332"/>
      <c r="Q244" s="758"/>
      <c r="R244" s="633"/>
      <c r="S244" s="359"/>
      <c r="T244" s="332"/>
      <c r="U244" s="332"/>
      <c r="V244" s="333"/>
      <c r="W244" s="332"/>
      <c r="X244" s="332"/>
      <c r="Y244" s="333"/>
      <c r="Z244" s="332"/>
      <c r="AA244" s="332"/>
      <c r="AB244" s="333"/>
    </row>
    <row r="245" spans="1:51" ht="18">
      <c r="A245" s="30"/>
      <c r="B245" s="31"/>
      <c r="C245" s="312"/>
      <c r="D245" s="317"/>
      <c r="E245" s="312"/>
      <c r="F245" s="312"/>
      <c r="G245" s="312"/>
      <c r="H245" s="312"/>
      <c r="I245" s="312"/>
      <c r="J245" s="312"/>
      <c r="K245" s="317"/>
      <c r="L245" s="312"/>
      <c r="M245" s="332"/>
      <c r="N245" s="632"/>
      <c r="O245" s="332"/>
      <c r="P245" s="359"/>
      <c r="Q245" s="633"/>
      <c r="R245" s="633"/>
      <c r="S245" s="332"/>
      <c r="T245" s="332"/>
      <c r="U245" s="332"/>
      <c r="V245" s="333"/>
      <c r="W245" s="332"/>
      <c r="X245" s="332"/>
      <c r="Y245" s="333"/>
      <c r="Z245" s="332"/>
      <c r="AA245" s="332"/>
      <c r="AB245" s="333"/>
    </row>
    <row r="246" spans="1:51" ht="18">
      <c r="A246" s="1"/>
      <c r="B246" s="2"/>
      <c r="C246" s="312"/>
      <c r="D246" s="312"/>
      <c r="E246" s="312"/>
      <c r="F246" s="312"/>
      <c r="G246" s="312"/>
      <c r="H246" s="312"/>
      <c r="I246" s="312"/>
      <c r="J246" s="312"/>
      <c r="K246" s="317"/>
      <c r="L246" s="312"/>
      <c r="M246" s="332"/>
      <c r="N246" s="632"/>
      <c r="O246" s="332"/>
      <c r="P246" s="332"/>
      <c r="Q246" s="332"/>
      <c r="R246" s="332"/>
      <c r="S246" s="332"/>
      <c r="T246" s="332"/>
      <c r="U246" s="332"/>
      <c r="V246" s="333"/>
      <c r="W246" s="332"/>
      <c r="X246" s="631"/>
      <c r="Y246" s="333"/>
      <c r="Z246" s="332"/>
      <c r="AA246" s="332"/>
      <c r="AB246" s="333"/>
      <c r="AC246" s="315"/>
    </row>
    <row r="247" spans="1:51" ht="30">
      <c r="A247" s="1"/>
      <c r="B247" s="2"/>
      <c r="C247" s="318"/>
      <c r="D247" s="318"/>
      <c r="E247" s="318"/>
      <c r="F247" s="318"/>
      <c r="G247" s="318"/>
      <c r="H247" s="318"/>
      <c r="I247" s="312"/>
      <c r="J247" s="312"/>
      <c r="K247" s="317"/>
      <c r="L247" s="336" t="s">
        <v>738</v>
      </c>
      <c r="M247" s="628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20"/>
      <c r="Z247" s="376"/>
      <c r="AA247" s="319"/>
      <c r="AB247" s="319"/>
    </row>
    <row r="248" spans="1:51" ht="30">
      <c r="A248" s="1"/>
      <c r="B248" s="2"/>
      <c r="C248" s="321"/>
      <c r="D248" s="322"/>
      <c r="E248" s="322"/>
      <c r="F248" s="322"/>
      <c r="G248" s="322"/>
      <c r="H248" s="322"/>
      <c r="I248" s="322"/>
      <c r="J248" s="322"/>
      <c r="K248" s="321"/>
      <c r="L248" s="337" t="s">
        <v>739</v>
      </c>
      <c r="M248" s="628"/>
      <c r="O248" s="323"/>
      <c r="P248" s="323"/>
      <c r="Q248" s="323"/>
      <c r="R248" s="323"/>
      <c r="S248" s="360"/>
      <c r="T248" s="323"/>
      <c r="U248" s="323"/>
      <c r="V248" s="323"/>
      <c r="W248" s="323"/>
      <c r="X248" s="323"/>
      <c r="Y248" s="324"/>
      <c r="Z248" s="323"/>
      <c r="AA248" s="323"/>
      <c r="AB248" s="323"/>
    </row>
    <row r="249" spans="1:51" ht="30">
      <c r="A249" s="325"/>
      <c r="B249" s="313"/>
      <c r="C249" s="308"/>
      <c r="D249" s="308"/>
      <c r="E249" s="308"/>
      <c r="F249" s="308"/>
      <c r="G249" s="308"/>
      <c r="H249" s="308"/>
      <c r="I249" s="308"/>
      <c r="J249" s="308"/>
      <c r="K249" s="336"/>
      <c r="L249" s="308"/>
      <c r="M249" s="628"/>
      <c r="O249" s="309"/>
      <c r="P249" s="746"/>
      <c r="Q249" s="630"/>
      <c r="R249" s="630"/>
      <c r="S249" s="334"/>
      <c r="T249" s="334"/>
      <c r="U249" s="629"/>
      <c r="V249" s="329"/>
      <c r="W249" s="329"/>
      <c r="X249" s="329"/>
      <c r="Y249" s="329"/>
    </row>
    <row r="250" spans="1:51" ht="16.5">
      <c r="M250" s="628"/>
      <c r="N250" s="628"/>
    </row>
    <row r="251" spans="1:51" ht="16.5">
      <c r="M251" s="628"/>
      <c r="N251" s="628"/>
    </row>
    <row r="252" spans="1:51" ht="16.5">
      <c r="M252" s="628"/>
    </row>
    <row r="253" spans="1:51" ht="16.5">
      <c r="M253" s="628"/>
    </row>
    <row r="254" spans="1:51" ht="16.5">
      <c r="M254" s="628"/>
    </row>
  </sheetData>
  <sheetProtection selectLockedCells="1" selectUnlockedCells="1"/>
  <autoFilter ref="A6:AB242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E97E9-8466-4AB2-97A3-A5438E202C16}">
  <sheetPr>
    <tabColor rgb="FF00B0F0"/>
    <pageSetUpPr fitToPage="1"/>
  </sheetPr>
  <dimension ref="A1:AS246"/>
  <sheetViews>
    <sheetView showGridLines="0" zoomScale="80" zoomScaleNormal="80" workbookViewId="0"/>
  </sheetViews>
  <sheetFormatPr baseColWidth="10" defaultColWidth="11.42578125" defaultRowHeight="12.75" outlineLevelRow="1" outlineLevelCol="1"/>
  <cols>
    <col min="1" max="1" width="1.28515625" style="109" customWidth="1"/>
    <col min="2" max="2" width="30.42578125" style="8" customWidth="1"/>
    <col min="3" max="3" width="11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9.85546875" style="9" customWidth="1" outlineLevel="1"/>
    <col min="9" max="9" width="5.28515625" style="9" customWidth="1" outlineLevel="1"/>
    <col min="10" max="10" width="5.140625" style="110" customWidth="1"/>
    <col min="11" max="11" width="7.42578125" style="111" customWidth="1"/>
    <col min="12" max="12" width="65.85546875" style="9" customWidth="1"/>
    <col min="13" max="13" width="23.7109375" style="13" customWidth="1"/>
    <col min="14" max="14" width="22" style="13" customWidth="1"/>
    <col min="15" max="15" width="12.85546875" style="13" customWidth="1"/>
    <col min="16" max="16" width="23.7109375" style="13" bestFit="1" customWidth="1"/>
    <col min="17" max="17" width="13.28515625" style="13" customWidth="1"/>
    <col min="18" max="18" width="22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5"/>
      <c r="R1" s="5">
        <v>16</v>
      </c>
      <c r="S1" s="7"/>
    </row>
    <row r="2" spans="1:19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307" t="s">
        <v>0</v>
      </c>
      <c r="M2" s="307"/>
      <c r="N2" s="307"/>
      <c r="O2" s="307"/>
      <c r="P2" s="307"/>
      <c r="Q2" s="307"/>
      <c r="R2" s="307"/>
      <c r="S2" s="307"/>
    </row>
    <row r="3" spans="1:19" ht="22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306" t="s">
        <v>1</v>
      </c>
      <c r="M3" s="306"/>
      <c r="N3" s="306"/>
      <c r="O3" s="306"/>
      <c r="P3" s="306"/>
      <c r="Q3" s="306"/>
      <c r="R3" s="306"/>
      <c r="S3" s="306"/>
    </row>
    <row r="4" spans="1:19" ht="9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0"/>
      <c r="R4" s="20"/>
      <c r="S4" s="21"/>
    </row>
    <row r="5" spans="1:19" s="25" customFormat="1" ht="27" customHeight="1">
      <c r="A5" s="22"/>
      <c r="B5" s="584" t="s">
        <v>2</v>
      </c>
      <c r="C5" s="837" t="s">
        <v>2</v>
      </c>
      <c r="D5" s="837"/>
      <c r="E5" s="837"/>
      <c r="F5" s="837"/>
      <c r="G5" s="837"/>
      <c r="H5" s="837"/>
      <c r="I5" s="837"/>
      <c r="J5" s="586" t="s">
        <v>3</v>
      </c>
      <c r="K5" s="24" t="s">
        <v>4</v>
      </c>
      <c r="L5" s="583" t="s">
        <v>5</v>
      </c>
      <c r="M5" s="581" t="s">
        <v>6</v>
      </c>
      <c r="N5" s="831" t="s">
        <v>7</v>
      </c>
      <c r="O5" s="832"/>
      <c r="P5" s="833" t="s">
        <v>8</v>
      </c>
      <c r="Q5" s="834"/>
      <c r="R5" s="831" t="s">
        <v>9</v>
      </c>
      <c r="S5" s="832"/>
    </row>
    <row r="6" spans="1:19" s="25" customFormat="1" ht="49.5" customHeight="1">
      <c r="A6" s="22"/>
      <c r="B6" s="585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586" t="s">
        <v>3</v>
      </c>
      <c r="K6" s="24" t="s">
        <v>17</v>
      </c>
      <c r="L6" s="583" t="s">
        <v>5</v>
      </c>
      <c r="M6" s="582" t="s">
        <v>6</v>
      </c>
      <c r="N6" s="23" t="s">
        <v>18</v>
      </c>
      <c r="O6" s="28" t="s">
        <v>19</v>
      </c>
      <c r="P6" s="23" t="s">
        <v>18</v>
      </c>
      <c r="Q6" s="29" t="s">
        <v>813</v>
      </c>
      <c r="R6" s="27" t="s">
        <v>18</v>
      </c>
      <c r="S6" s="29" t="s">
        <v>20</v>
      </c>
    </row>
    <row r="7" spans="1:19" ht="35.1" customHeight="1">
      <c r="A7" s="32" t="e">
        <v>#REF!</v>
      </c>
      <c r="B7" s="33" t="s">
        <v>23</v>
      </c>
      <c r="C7" s="34" t="s">
        <v>23</v>
      </c>
      <c r="D7" s="35"/>
      <c r="E7" s="35"/>
      <c r="F7" s="35"/>
      <c r="G7" s="35"/>
      <c r="H7" s="35"/>
      <c r="I7" s="35"/>
      <c r="J7" s="34"/>
      <c r="K7" s="35"/>
      <c r="L7" s="33" t="s">
        <v>24</v>
      </c>
      <c r="M7" s="36">
        <v>190558270445</v>
      </c>
      <c r="N7" s="36">
        <v>176554589344.47</v>
      </c>
      <c r="O7" s="37">
        <f>+N7/$M7</f>
        <v>0.92651234151197959</v>
      </c>
      <c r="P7" s="36">
        <v>174005341549.28</v>
      </c>
      <c r="Q7" s="37">
        <f>+P7/$M7</f>
        <v>0.91313455534065835</v>
      </c>
      <c r="R7" s="36">
        <v>173900823117.30002</v>
      </c>
      <c r="S7" s="37">
        <f>+R7/$M7</f>
        <v>0.91258606992600855</v>
      </c>
    </row>
    <row r="8" spans="1:19" ht="24" customHeight="1">
      <c r="A8" s="32" t="e">
        <v>#REF!</v>
      </c>
      <c r="B8" s="38" t="s">
        <v>303</v>
      </c>
      <c r="C8" s="39" t="s">
        <v>23</v>
      </c>
      <c r="D8" s="39" t="s">
        <v>25</v>
      </c>
      <c r="E8" s="39"/>
      <c r="F8" s="39"/>
      <c r="G8" s="39"/>
      <c r="H8" s="39"/>
      <c r="I8" s="39"/>
      <c r="J8" s="39"/>
      <c r="K8" s="40"/>
      <c r="L8" s="38" t="s">
        <v>26</v>
      </c>
      <c r="M8" s="41">
        <v>118340000000</v>
      </c>
      <c r="N8" s="41">
        <v>107501890081.39999</v>
      </c>
      <c r="O8" s="42">
        <f t="shared" ref="O8:Q71" si="0">+N8/$M8</f>
        <v>0.90841549840628688</v>
      </c>
      <c r="P8" s="41">
        <v>107501890081.39999</v>
      </c>
      <c r="Q8" s="42">
        <f t="shared" si="0"/>
        <v>0.90841549840628688</v>
      </c>
      <c r="R8" s="41">
        <v>107501890081.39999</v>
      </c>
      <c r="S8" s="42">
        <f t="shared" ref="S8" si="1">+R8/$M8</f>
        <v>0.90841549840628688</v>
      </c>
    </row>
    <row r="9" spans="1:19" ht="24" customHeight="1">
      <c r="A9" s="32" t="e">
        <v>#REF!</v>
      </c>
      <c r="B9" s="43" t="s">
        <v>305</v>
      </c>
      <c r="C9" s="44" t="s">
        <v>23</v>
      </c>
      <c r="D9" s="44" t="s">
        <v>25</v>
      </c>
      <c r="E9" s="44" t="s">
        <v>25</v>
      </c>
      <c r="F9" s="44"/>
      <c r="G9" s="44"/>
      <c r="H9" s="44"/>
      <c r="I9" s="44"/>
      <c r="J9" s="44"/>
      <c r="K9" s="45"/>
      <c r="L9" s="43" t="s">
        <v>27</v>
      </c>
      <c r="M9" s="46">
        <v>118340000000</v>
      </c>
      <c r="N9" s="46">
        <v>107501890081.39999</v>
      </c>
      <c r="O9" s="47">
        <f t="shared" si="0"/>
        <v>0.90841549840628688</v>
      </c>
      <c r="P9" s="46">
        <v>107501890081.39999</v>
      </c>
      <c r="Q9" s="47">
        <f t="shared" si="0"/>
        <v>0.90841549840628688</v>
      </c>
      <c r="R9" s="46">
        <v>107501890081.39999</v>
      </c>
      <c r="S9" s="47">
        <f t="shared" ref="S9" si="2">+R9/$M9</f>
        <v>0.90841549840628688</v>
      </c>
    </row>
    <row r="10" spans="1:19" ht="24" customHeight="1">
      <c r="A10" s="32" t="e">
        <v>#REF!</v>
      </c>
      <c r="B10" s="48" t="s">
        <v>307</v>
      </c>
      <c r="C10" s="48" t="s">
        <v>23</v>
      </c>
      <c r="D10" s="48" t="s">
        <v>25</v>
      </c>
      <c r="E10" s="48" t="s">
        <v>25</v>
      </c>
      <c r="F10" s="48" t="s">
        <v>25</v>
      </c>
      <c r="G10" s="48"/>
      <c r="H10" s="48"/>
      <c r="I10" s="48"/>
      <c r="J10" s="49" t="s">
        <v>28</v>
      </c>
      <c r="K10" s="48" t="s">
        <v>29</v>
      </c>
      <c r="L10" s="48" t="s">
        <v>30</v>
      </c>
      <c r="M10" s="50">
        <v>78484000000</v>
      </c>
      <c r="N10" s="50">
        <v>71984651420</v>
      </c>
      <c r="O10" s="51">
        <f t="shared" si="0"/>
        <v>0.91718887187197395</v>
      </c>
      <c r="P10" s="50">
        <v>71984651420</v>
      </c>
      <c r="Q10" s="51">
        <f t="shared" si="0"/>
        <v>0.91718887187197395</v>
      </c>
      <c r="R10" s="50">
        <v>71984651420</v>
      </c>
      <c r="S10" s="51">
        <f t="shared" ref="S10" si="3">+R10/$M10</f>
        <v>0.91718887187197395</v>
      </c>
    </row>
    <row r="11" spans="1:19" ht="24" customHeight="1">
      <c r="A11" s="32" t="e">
        <v>#REF!</v>
      </c>
      <c r="B11" s="52" t="s">
        <v>309</v>
      </c>
      <c r="C11" s="52" t="s">
        <v>23</v>
      </c>
      <c r="D11" s="52" t="s">
        <v>25</v>
      </c>
      <c r="E11" s="52" t="s">
        <v>25</v>
      </c>
      <c r="F11" s="52" t="s">
        <v>25</v>
      </c>
      <c r="G11" s="52" t="s">
        <v>31</v>
      </c>
      <c r="H11" s="52"/>
      <c r="I11" s="52"/>
      <c r="J11" s="53" t="s">
        <v>28</v>
      </c>
      <c r="K11" s="52" t="s">
        <v>29</v>
      </c>
      <c r="L11" s="52" t="s">
        <v>32</v>
      </c>
      <c r="M11" s="54">
        <v>78484000000</v>
      </c>
      <c r="N11" s="54">
        <v>71984651420</v>
      </c>
      <c r="O11" s="55">
        <f t="shared" si="0"/>
        <v>0.91718887187197395</v>
      </c>
      <c r="P11" s="54">
        <v>71984651420</v>
      </c>
      <c r="Q11" s="55">
        <f t="shared" si="0"/>
        <v>0.91718887187197395</v>
      </c>
      <c r="R11" s="54">
        <v>71984651420</v>
      </c>
      <c r="S11" s="55">
        <f t="shared" ref="S11" si="4">+R11/$M11</f>
        <v>0.91718887187197395</v>
      </c>
    </row>
    <row r="12" spans="1:19" ht="24.95" customHeight="1">
      <c r="A12" s="32" t="e">
        <v>#REF!</v>
      </c>
      <c r="B12" s="56" t="s">
        <v>311</v>
      </c>
      <c r="C12" s="57" t="s">
        <v>23</v>
      </c>
      <c r="D12" s="57" t="s">
        <v>25</v>
      </c>
      <c r="E12" s="57" t="s">
        <v>25</v>
      </c>
      <c r="F12" s="57" t="s">
        <v>25</v>
      </c>
      <c r="G12" s="57" t="s">
        <v>31</v>
      </c>
      <c r="H12" s="57" t="s">
        <v>31</v>
      </c>
      <c r="I12" s="57"/>
      <c r="J12" s="57" t="s">
        <v>28</v>
      </c>
      <c r="K12" s="58" t="s">
        <v>29</v>
      </c>
      <c r="L12" s="59" t="s">
        <v>33</v>
      </c>
      <c r="M12" s="60">
        <v>59815000000</v>
      </c>
      <c r="N12" s="60">
        <v>57225396393</v>
      </c>
      <c r="O12" s="62">
        <f t="shared" si="0"/>
        <v>0.95670645144194599</v>
      </c>
      <c r="P12" s="60">
        <v>57225396393</v>
      </c>
      <c r="Q12" s="62">
        <f t="shared" si="0"/>
        <v>0.95670645144194599</v>
      </c>
      <c r="R12" s="60">
        <v>57225396393</v>
      </c>
      <c r="S12" s="62">
        <f t="shared" ref="S12" si="5">+R12/$M12</f>
        <v>0.95670645144194599</v>
      </c>
    </row>
    <row r="13" spans="1:19" ht="24.95" customHeight="1">
      <c r="A13" s="32" t="e">
        <v>#REF!</v>
      </c>
      <c r="B13" s="56" t="s">
        <v>313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34</v>
      </c>
      <c r="I13" s="57"/>
      <c r="J13" s="57" t="s">
        <v>28</v>
      </c>
      <c r="K13" s="58" t="s">
        <v>29</v>
      </c>
      <c r="L13" s="59" t="s">
        <v>35</v>
      </c>
      <c r="M13" s="60">
        <v>298000000</v>
      </c>
      <c r="N13" s="60">
        <v>258651257</v>
      </c>
      <c r="O13" s="62">
        <f t="shared" si="0"/>
        <v>0.86795723825503357</v>
      </c>
      <c r="P13" s="60">
        <v>258651257</v>
      </c>
      <c r="Q13" s="62">
        <f t="shared" si="0"/>
        <v>0.86795723825503357</v>
      </c>
      <c r="R13" s="60">
        <v>258651257</v>
      </c>
      <c r="S13" s="62">
        <f t="shared" ref="S13" si="6">+R13/$M13</f>
        <v>0.86795723825503357</v>
      </c>
    </row>
    <row r="14" spans="1:19" ht="24.95" customHeight="1">
      <c r="A14" s="32" t="e">
        <v>#REF!</v>
      </c>
      <c r="B14" s="56" t="s">
        <v>315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36</v>
      </c>
      <c r="I14" s="57"/>
      <c r="J14" s="57" t="s">
        <v>28</v>
      </c>
      <c r="K14" s="58" t="s">
        <v>29</v>
      </c>
      <c r="L14" s="59" t="s">
        <v>37</v>
      </c>
      <c r="M14" s="60">
        <v>540000000</v>
      </c>
      <c r="N14" s="60">
        <v>461111365</v>
      </c>
      <c r="O14" s="62">
        <f t="shared" si="0"/>
        <v>0.85390993518518521</v>
      </c>
      <c r="P14" s="60">
        <v>461111365</v>
      </c>
      <c r="Q14" s="62">
        <f t="shared" si="0"/>
        <v>0.85390993518518521</v>
      </c>
      <c r="R14" s="60">
        <v>461111365</v>
      </c>
      <c r="S14" s="62">
        <f t="shared" ref="S14" si="7">+R14/$M14</f>
        <v>0.85390993518518521</v>
      </c>
    </row>
    <row r="15" spans="1:19" ht="24.95" customHeight="1">
      <c r="A15" s="32" t="e">
        <v>#REF!</v>
      </c>
      <c r="B15" s="56" t="s">
        <v>317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38</v>
      </c>
      <c r="I15" s="57"/>
      <c r="J15" s="57" t="s">
        <v>28</v>
      </c>
      <c r="K15" s="58" t="s">
        <v>29</v>
      </c>
      <c r="L15" s="59" t="s">
        <v>39</v>
      </c>
      <c r="M15" s="60">
        <v>96000000</v>
      </c>
      <c r="N15" s="60">
        <v>88284130</v>
      </c>
      <c r="O15" s="62">
        <f t="shared" si="0"/>
        <v>0.91962635416666672</v>
      </c>
      <c r="P15" s="60">
        <v>88284130</v>
      </c>
      <c r="Q15" s="62">
        <f t="shared" si="0"/>
        <v>0.91962635416666672</v>
      </c>
      <c r="R15" s="60">
        <v>88284130</v>
      </c>
      <c r="S15" s="62">
        <f t="shared" ref="S15" si="8">+R15/$M15</f>
        <v>0.91962635416666672</v>
      </c>
    </row>
    <row r="16" spans="1:19" ht="24.95" customHeight="1">
      <c r="A16" s="32" t="e">
        <v>#REF!</v>
      </c>
      <c r="B16" s="56" t="s">
        <v>319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40</v>
      </c>
      <c r="I16" s="57"/>
      <c r="J16" s="57" t="s">
        <v>28</v>
      </c>
      <c r="K16" s="58" t="s">
        <v>29</v>
      </c>
      <c r="L16" s="59" t="s">
        <v>41</v>
      </c>
      <c r="M16" s="60">
        <v>150000000</v>
      </c>
      <c r="N16" s="60">
        <v>121706025</v>
      </c>
      <c r="O16" s="62">
        <f t="shared" si="0"/>
        <v>0.81137349999999997</v>
      </c>
      <c r="P16" s="60">
        <v>121706025</v>
      </c>
      <c r="Q16" s="62">
        <f t="shared" si="0"/>
        <v>0.81137349999999997</v>
      </c>
      <c r="R16" s="60">
        <v>121706025</v>
      </c>
      <c r="S16" s="62">
        <f t="shared" ref="S16" si="9">+R16/$M16</f>
        <v>0.81137349999999997</v>
      </c>
    </row>
    <row r="17" spans="1:45" ht="24.95" customHeight="1">
      <c r="A17" s="32" t="e">
        <v>#REF!</v>
      </c>
      <c r="B17" s="56" t="s">
        <v>321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42</v>
      </c>
      <c r="I17" s="57"/>
      <c r="J17" s="57" t="s">
        <v>28</v>
      </c>
      <c r="K17" s="58" t="s">
        <v>29</v>
      </c>
      <c r="L17" s="59" t="s">
        <v>43</v>
      </c>
      <c r="M17" s="60">
        <v>3050000000</v>
      </c>
      <c r="N17" s="60">
        <v>2812999479</v>
      </c>
      <c r="O17" s="62">
        <f t="shared" si="0"/>
        <v>0.92229491114754103</v>
      </c>
      <c r="P17" s="60">
        <v>2812999479</v>
      </c>
      <c r="Q17" s="62">
        <f t="shared" si="0"/>
        <v>0.92229491114754103</v>
      </c>
      <c r="R17" s="60">
        <v>2812999479</v>
      </c>
      <c r="S17" s="62">
        <f t="shared" ref="S17" si="10">+R17/$M17</f>
        <v>0.92229491114754103</v>
      </c>
    </row>
    <row r="18" spans="1:45" ht="24.95" customHeight="1">
      <c r="A18" s="32" t="e">
        <v>#REF!</v>
      </c>
      <c r="B18" s="56" t="s">
        <v>323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44</v>
      </c>
      <c r="I18" s="57"/>
      <c r="J18" s="57" t="s">
        <v>28</v>
      </c>
      <c r="K18" s="58" t="s">
        <v>29</v>
      </c>
      <c r="L18" s="59" t="s">
        <v>45</v>
      </c>
      <c r="M18" s="60">
        <v>1930000000</v>
      </c>
      <c r="N18" s="60">
        <v>1908187839</v>
      </c>
      <c r="O18" s="62">
        <f t="shared" si="0"/>
        <v>0.9886983621761658</v>
      </c>
      <c r="P18" s="60">
        <v>1908187839</v>
      </c>
      <c r="Q18" s="62">
        <f t="shared" si="0"/>
        <v>0.9886983621761658</v>
      </c>
      <c r="R18" s="60">
        <v>1908187839</v>
      </c>
      <c r="S18" s="62">
        <f t="shared" ref="S18" si="11">+R18/$M18</f>
        <v>0.9886983621761658</v>
      </c>
    </row>
    <row r="19" spans="1:45" ht="24.95" customHeight="1">
      <c r="A19" s="32" t="e">
        <v>#REF!</v>
      </c>
      <c r="B19" s="56" t="s">
        <v>325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46</v>
      </c>
      <c r="I19" s="57"/>
      <c r="J19" s="57" t="s">
        <v>28</v>
      </c>
      <c r="K19" s="58" t="s">
        <v>29</v>
      </c>
      <c r="L19" s="59" t="s">
        <v>47</v>
      </c>
      <c r="M19" s="60">
        <v>170000000</v>
      </c>
      <c r="N19" s="60">
        <v>162640217</v>
      </c>
      <c r="O19" s="62">
        <f t="shared" si="0"/>
        <v>0.95670715882352941</v>
      </c>
      <c r="P19" s="60">
        <v>162640217</v>
      </c>
      <c r="Q19" s="62">
        <f t="shared" si="0"/>
        <v>0.95670715882352941</v>
      </c>
      <c r="R19" s="60">
        <v>162640217</v>
      </c>
      <c r="S19" s="62">
        <f t="shared" ref="S19" si="12">+R19/$M19</f>
        <v>0.95670715882352941</v>
      </c>
    </row>
    <row r="20" spans="1:45" ht="24.95" customHeight="1">
      <c r="A20" s="32" t="e">
        <v>#REF!</v>
      </c>
      <c r="B20" s="56" t="s">
        <v>327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48</v>
      </c>
      <c r="I20" s="57"/>
      <c r="J20" s="57" t="s">
        <v>28</v>
      </c>
      <c r="K20" s="58" t="s">
        <v>29</v>
      </c>
      <c r="L20" s="59" t="s">
        <v>49</v>
      </c>
      <c r="M20" s="60">
        <v>9100000000</v>
      </c>
      <c r="N20" s="60">
        <v>5875075922</v>
      </c>
      <c r="O20" s="62">
        <f t="shared" si="0"/>
        <v>0.64561273868131863</v>
      </c>
      <c r="P20" s="60">
        <v>5875075922</v>
      </c>
      <c r="Q20" s="62">
        <f t="shared" si="0"/>
        <v>0.64561273868131863</v>
      </c>
      <c r="R20" s="60">
        <v>5875075922</v>
      </c>
      <c r="S20" s="62">
        <f t="shared" ref="S20" si="13">+R20/$M20</f>
        <v>0.64561273868131863</v>
      </c>
    </row>
    <row r="21" spans="1:45" ht="24.95" customHeight="1">
      <c r="A21" s="32" t="e">
        <v>#REF!</v>
      </c>
      <c r="B21" s="56" t="s">
        <v>329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50</v>
      </c>
      <c r="I21" s="57"/>
      <c r="J21" s="57" t="s">
        <v>28</v>
      </c>
      <c r="K21" s="58" t="s">
        <v>29</v>
      </c>
      <c r="L21" s="59" t="s">
        <v>51</v>
      </c>
      <c r="M21" s="60">
        <v>3300000000</v>
      </c>
      <c r="N21" s="60">
        <v>3063595814</v>
      </c>
      <c r="O21" s="62">
        <f t="shared" si="0"/>
        <v>0.9283623678787879</v>
      </c>
      <c r="P21" s="60">
        <v>3063595814</v>
      </c>
      <c r="Q21" s="62">
        <f t="shared" si="0"/>
        <v>0.9283623678787879</v>
      </c>
      <c r="R21" s="60">
        <v>3063595814</v>
      </c>
      <c r="S21" s="62">
        <f t="shared" ref="S21" si="14">+R21/$M21</f>
        <v>0.9283623678787879</v>
      </c>
    </row>
    <row r="22" spans="1:45" s="64" customFormat="1" ht="24.95" customHeight="1">
      <c r="A22" s="32" t="e">
        <v>#REF!</v>
      </c>
      <c r="B22" s="56" t="s">
        <v>553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63" t="s">
        <v>52</v>
      </c>
      <c r="I22" s="57"/>
      <c r="J22" s="57" t="s">
        <v>28</v>
      </c>
      <c r="K22" s="58" t="s">
        <v>29</v>
      </c>
      <c r="L22" s="59" t="s">
        <v>53</v>
      </c>
      <c r="M22" s="60">
        <v>35000000</v>
      </c>
      <c r="N22" s="60">
        <v>7002979</v>
      </c>
      <c r="O22" s="62">
        <f t="shared" si="0"/>
        <v>0.20008511428571429</v>
      </c>
      <c r="P22" s="60">
        <v>7002979</v>
      </c>
      <c r="Q22" s="62">
        <f t="shared" si="0"/>
        <v>0.20008511428571429</v>
      </c>
      <c r="R22" s="60">
        <v>7002979</v>
      </c>
      <c r="S22" s="62">
        <f t="shared" ref="S22" si="15">+R22/$M22</f>
        <v>0.20008511428571429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ht="24" customHeight="1">
      <c r="A23" s="32" t="e">
        <v>#REF!</v>
      </c>
      <c r="B23" s="48" t="s">
        <v>331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9" t="s">
        <v>28</v>
      </c>
      <c r="K23" s="48" t="s">
        <v>29</v>
      </c>
      <c r="L23" s="48" t="s">
        <v>55</v>
      </c>
      <c r="M23" s="50">
        <v>29242000000</v>
      </c>
      <c r="N23" s="50">
        <v>26520048626</v>
      </c>
      <c r="O23" s="51">
        <f t="shared" si="0"/>
        <v>0.90691637459818075</v>
      </c>
      <c r="P23" s="50">
        <v>26520048626</v>
      </c>
      <c r="Q23" s="51">
        <f t="shared" si="0"/>
        <v>0.90691637459818075</v>
      </c>
      <c r="R23" s="50">
        <v>26520048626</v>
      </c>
      <c r="S23" s="51">
        <f t="shared" ref="S23" si="16">+R23/$M23</f>
        <v>0.90691637459818075</v>
      </c>
    </row>
    <row r="24" spans="1:45" ht="24.95" customHeight="1">
      <c r="A24" s="32" t="e">
        <v>#REF!</v>
      </c>
      <c r="B24" s="56" t="s">
        <v>333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8197400000</v>
      </c>
      <c r="N24" s="60">
        <v>7712700500</v>
      </c>
      <c r="O24" s="62">
        <f t="shared" si="0"/>
        <v>0.94087155683509405</v>
      </c>
      <c r="P24" s="60">
        <v>7712700500</v>
      </c>
      <c r="Q24" s="62">
        <f t="shared" si="0"/>
        <v>0.94087155683509405</v>
      </c>
      <c r="R24" s="60">
        <v>7712700500</v>
      </c>
      <c r="S24" s="62">
        <f t="shared" ref="S24" si="17">+R24/$M24</f>
        <v>0.94087155683509405</v>
      </c>
    </row>
    <row r="25" spans="1:45" ht="24.95" customHeight="1">
      <c r="A25" s="32" t="e">
        <v>#REF!</v>
      </c>
      <c r="B25" s="56" t="s">
        <v>335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6302400000</v>
      </c>
      <c r="N25" s="60">
        <v>5490306954</v>
      </c>
      <c r="O25" s="62">
        <f t="shared" si="0"/>
        <v>0.87114542936024375</v>
      </c>
      <c r="P25" s="60">
        <v>5490306954</v>
      </c>
      <c r="Q25" s="62">
        <f t="shared" si="0"/>
        <v>0.87114542936024375</v>
      </c>
      <c r="R25" s="60">
        <v>5490306954</v>
      </c>
      <c r="S25" s="62">
        <f t="shared" ref="S25" si="18">+R25/$M25</f>
        <v>0.87114542936024375</v>
      </c>
    </row>
    <row r="26" spans="1:45" ht="24.95" customHeight="1">
      <c r="A26" s="32" t="e">
        <v>#REF!</v>
      </c>
      <c r="B26" s="56" t="s">
        <v>337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6809700000</v>
      </c>
      <c r="N26" s="60">
        <v>6342320672</v>
      </c>
      <c r="O26" s="62">
        <f t="shared" si="0"/>
        <v>0.93136565076288236</v>
      </c>
      <c r="P26" s="60">
        <v>6342320672</v>
      </c>
      <c r="Q26" s="62">
        <f t="shared" si="0"/>
        <v>0.93136565076288236</v>
      </c>
      <c r="R26" s="60">
        <v>6342320672</v>
      </c>
      <c r="S26" s="62">
        <f t="shared" ref="S26" si="19">+R26/$M26</f>
        <v>0.93136565076288236</v>
      </c>
    </row>
    <row r="27" spans="1:45" ht="24.95" customHeight="1">
      <c r="A27" s="32" t="e">
        <v>#REF!</v>
      </c>
      <c r="B27" s="56" t="s">
        <v>339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3187700000</v>
      </c>
      <c r="N27" s="60">
        <v>2829976100</v>
      </c>
      <c r="O27" s="62">
        <f t="shared" si="0"/>
        <v>0.88777993537660382</v>
      </c>
      <c r="P27" s="60">
        <v>2829976100</v>
      </c>
      <c r="Q27" s="62">
        <f t="shared" si="0"/>
        <v>0.88777993537660382</v>
      </c>
      <c r="R27" s="60">
        <v>2829976100</v>
      </c>
      <c r="S27" s="62">
        <f t="shared" ref="S27" si="20">+R27/$M27</f>
        <v>0.88777993537660382</v>
      </c>
    </row>
    <row r="28" spans="1:45" ht="24.95" customHeight="1">
      <c r="A28" s="32" t="e">
        <v>#REF!</v>
      </c>
      <c r="B28" s="56" t="s">
        <v>341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720000000</v>
      </c>
      <c r="N28" s="60">
        <v>605708900</v>
      </c>
      <c r="O28" s="62">
        <f t="shared" si="0"/>
        <v>0.84126236111111108</v>
      </c>
      <c r="P28" s="60">
        <v>605708900</v>
      </c>
      <c r="Q28" s="62">
        <f t="shared" si="0"/>
        <v>0.84126236111111108</v>
      </c>
      <c r="R28" s="60">
        <v>605708900</v>
      </c>
      <c r="S28" s="62">
        <f t="shared" ref="S28" si="21">+R28/$M28</f>
        <v>0.84126236111111108</v>
      </c>
    </row>
    <row r="29" spans="1:45" ht="24.95" customHeight="1">
      <c r="A29" s="32" t="e">
        <v>#REF!</v>
      </c>
      <c r="B29" s="56" t="s">
        <v>343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2414800000</v>
      </c>
      <c r="N29" s="60">
        <v>2122574300</v>
      </c>
      <c r="O29" s="62">
        <f t="shared" si="0"/>
        <v>0.87898554745734636</v>
      </c>
      <c r="P29" s="60">
        <v>2122574300</v>
      </c>
      <c r="Q29" s="62">
        <f t="shared" si="0"/>
        <v>0.87898554745734636</v>
      </c>
      <c r="R29" s="60">
        <v>2122574300</v>
      </c>
      <c r="S29" s="62">
        <f t="shared" ref="S29" si="22">+R29/$M29</f>
        <v>0.87898554745734636</v>
      </c>
    </row>
    <row r="30" spans="1:45" ht="24.95" customHeight="1">
      <c r="A30" s="32" t="e">
        <v>#REF!</v>
      </c>
      <c r="B30" s="56" t="s">
        <v>345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402500000</v>
      </c>
      <c r="N30" s="60">
        <v>354246100</v>
      </c>
      <c r="O30" s="62">
        <f t="shared" si="0"/>
        <v>0.88011453416149066</v>
      </c>
      <c r="P30" s="60">
        <v>354246100</v>
      </c>
      <c r="Q30" s="62">
        <f t="shared" si="0"/>
        <v>0.88011453416149066</v>
      </c>
      <c r="R30" s="60">
        <v>354246100</v>
      </c>
      <c r="S30" s="62">
        <f t="shared" ref="S30" si="23">+R30/$M30</f>
        <v>0.88011453416149066</v>
      </c>
    </row>
    <row r="31" spans="1:45" ht="24.95" customHeight="1">
      <c r="A31" s="32" t="e">
        <v>#REF!</v>
      </c>
      <c r="B31" s="56" t="s">
        <v>347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402500000</v>
      </c>
      <c r="N31" s="60">
        <v>354246100</v>
      </c>
      <c r="O31" s="62">
        <f t="shared" si="0"/>
        <v>0.88011453416149066</v>
      </c>
      <c r="P31" s="60">
        <v>354246100</v>
      </c>
      <c r="Q31" s="62">
        <f t="shared" si="0"/>
        <v>0.88011453416149066</v>
      </c>
      <c r="R31" s="60">
        <v>354246100</v>
      </c>
      <c r="S31" s="62">
        <f t="shared" ref="S31" si="24">+R31/$M31</f>
        <v>0.88011453416149066</v>
      </c>
    </row>
    <row r="32" spans="1:45" ht="24.95" customHeight="1">
      <c r="A32" s="32" t="e">
        <v>#REF!</v>
      </c>
      <c r="B32" s="56" t="s">
        <v>349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805000000</v>
      </c>
      <c r="N32" s="60">
        <v>707969000</v>
      </c>
      <c r="O32" s="62">
        <f t="shared" si="0"/>
        <v>0.87946459627329188</v>
      </c>
      <c r="P32" s="60">
        <v>707969000</v>
      </c>
      <c r="Q32" s="62">
        <f t="shared" si="0"/>
        <v>0.87946459627329188</v>
      </c>
      <c r="R32" s="60">
        <v>707969000</v>
      </c>
      <c r="S32" s="62">
        <f t="shared" ref="S32" si="25">+R32/$M32</f>
        <v>0.87946459627329188</v>
      </c>
    </row>
    <row r="33" spans="1:19" ht="24" customHeight="1">
      <c r="A33" s="32" t="e">
        <v>#REF!</v>
      </c>
      <c r="B33" s="48" t="s">
        <v>351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9" t="s">
        <v>28</v>
      </c>
      <c r="K33" s="48" t="s">
        <v>29</v>
      </c>
      <c r="L33" s="48" t="s">
        <v>66</v>
      </c>
      <c r="M33" s="50">
        <v>10614000000</v>
      </c>
      <c r="N33" s="50">
        <v>8997190035.3999996</v>
      </c>
      <c r="O33" s="51">
        <f t="shared" si="0"/>
        <v>0.84767194605238361</v>
      </c>
      <c r="P33" s="50">
        <v>8997190035.3999996</v>
      </c>
      <c r="Q33" s="51">
        <f t="shared" si="0"/>
        <v>0.84767194605238361</v>
      </c>
      <c r="R33" s="50">
        <v>8997190035.3999996</v>
      </c>
      <c r="S33" s="51">
        <f t="shared" ref="S33" si="26">+R33/$M33</f>
        <v>0.84767194605238361</v>
      </c>
    </row>
    <row r="34" spans="1:19" ht="24" customHeight="1">
      <c r="A34" s="32" t="e">
        <v>#REF!</v>
      </c>
      <c r="B34" s="52" t="s">
        <v>353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3" t="s">
        <v>28</v>
      </c>
      <c r="K34" s="52" t="s">
        <v>29</v>
      </c>
      <c r="L34" s="52" t="s">
        <v>67</v>
      </c>
      <c r="M34" s="54">
        <v>5848304102</v>
      </c>
      <c r="N34" s="54">
        <v>4896660254</v>
      </c>
      <c r="O34" s="55">
        <f t="shared" si="0"/>
        <v>0.83727866550671382</v>
      </c>
      <c r="P34" s="54">
        <v>4896660254</v>
      </c>
      <c r="Q34" s="55">
        <f t="shared" si="0"/>
        <v>0.83727866550671382</v>
      </c>
      <c r="R34" s="54">
        <v>4896660254</v>
      </c>
      <c r="S34" s="55">
        <f t="shared" ref="S34" si="27">+R34/$M34</f>
        <v>0.83727866550671382</v>
      </c>
    </row>
    <row r="35" spans="1:19" ht="24.95" customHeight="1">
      <c r="A35" s="32" t="e">
        <v>#REF!</v>
      </c>
      <c r="B35" s="56" t="s">
        <v>355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4418792279</v>
      </c>
      <c r="N35" s="60">
        <v>3670257765</v>
      </c>
      <c r="O35" s="62">
        <f t="shared" si="0"/>
        <v>0.83060201368655462</v>
      </c>
      <c r="P35" s="60">
        <v>3670257765</v>
      </c>
      <c r="Q35" s="62">
        <f t="shared" si="0"/>
        <v>0.83060201368655462</v>
      </c>
      <c r="R35" s="60">
        <v>3670257765</v>
      </c>
      <c r="S35" s="62">
        <f t="shared" ref="S35" si="28">+R35/$M35</f>
        <v>0.83060201368655462</v>
      </c>
    </row>
    <row r="36" spans="1:19" ht="24.95" customHeight="1">
      <c r="A36" s="32" t="e">
        <v>#REF!</v>
      </c>
      <c r="B36" s="56" t="s">
        <v>357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1002484081</v>
      </c>
      <c r="N36" s="60">
        <v>852784350</v>
      </c>
      <c r="O36" s="62">
        <f t="shared" si="0"/>
        <v>0.85067121380055111</v>
      </c>
      <c r="P36" s="60">
        <v>852784350</v>
      </c>
      <c r="Q36" s="62">
        <f t="shared" si="0"/>
        <v>0.85067121380055111</v>
      </c>
      <c r="R36" s="60">
        <v>852784350</v>
      </c>
      <c r="S36" s="62">
        <f t="shared" ref="S36" si="29">+R36/$M36</f>
        <v>0.85067121380055111</v>
      </c>
    </row>
    <row r="37" spans="1:19" ht="24.95" customHeight="1">
      <c r="A37" s="32" t="e">
        <v>#REF!</v>
      </c>
      <c r="B37" s="56" t="s">
        <v>359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427027742</v>
      </c>
      <c r="N37" s="60">
        <v>373618139</v>
      </c>
      <c r="O37" s="62">
        <f t="shared" si="0"/>
        <v>0.87492708846068368</v>
      </c>
      <c r="P37" s="60">
        <v>373618139</v>
      </c>
      <c r="Q37" s="62">
        <f t="shared" si="0"/>
        <v>0.87492708846068368</v>
      </c>
      <c r="R37" s="60">
        <v>373618139</v>
      </c>
      <c r="S37" s="62">
        <f t="shared" ref="S37" si="30">+R37/$M37</f>
        <v>0.87492708846068368</v>
      </c>
    </row>
    <row r="38" spans="1:19" ht="24.95" customHeight="1">
      <c r="A38" s="32" t="e">
        <v>#REF!</v>
      </c>
      <c r="B38" s="56" t="s">
        <v>361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2953230851</v>
      </c>
      <c r="N38" s="60">
        <v>2603449377.4000001</v>
      </c>
      <c r="O38" s="62">
        <f t="shared" si="0"/>
        <v>0.88155972517977743</v>
      </c>
      <c r="P38" s="60">
        <v>2603449377.4000001</v>
      </c>
      <c r="Q38" s="62">
        <f t="shared" si="0"/>
        <v>0.88155972517977743</v>
      </c>
      <c r="R38" s="60">
        <v>2603449377.4000001</v>
      </c>
      <c r="S38" s="62">
        <f t="shared" ref="S38" si="31">+R38/$M38</f>
        <v>0.88155972517977743</v>
      </c>
    </row>
    <row r="39" spans="1:19" ht="24.95" customHeight="1">
      <c r="A39" s="32" t="e">
        <v>#REF!</v>
      </c>
      <c r="B39" s="56" t="s">
        <v>363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4350544</v>
      </c>
      <c r="N39" s="60">
        <v>4349560</v>
      </c>
      <c r="O39" s="62">
        <f t="shared" si="0"/>
        <v>0.99977382138877346</v>
      </c>
      <c r="P39" s="60">
        <v>4349560</v>
      </c>
      <c r="Q39" s="62">
        <f t="shared" si="0"/>
        <v>0.99977382138877346</v>
      </c>
      <c r="R39" s="60">
        <v>4349560</v>
      </c>
      <c r="S39" s="62">
        <f t="shared" ref="S39" si="32">+R39/$M39</f>
        <v>0.99977382138877346</v>
      </c>
    </row>
    <row r="40" spans="1:19" ht="24.95" customHeight="1">
      <c r="A40" s="32" t="e">
        <v>#REF!</v>
      </c>
      <c r="B40" s="56" t="s">
        <v>364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1015058</v>
      </c>
      <c r="N40" s="60">
        <v>1015058</v>
      </c>
      <c r="O40" s="62">
        <f t="shared" si="0"/>
        <v>1</v>
      </c>
      <c r="P40" s="60">
        <v>1015058</v>
      </c>
      <c r="Q40" s="62">
        <f t="shared" si="0"/>
        <v>1</v>
      </c>
      <c r="R40" s="60">
        <v>1015058</v>
      </c>
      <c r="S40" s="62">
        <f t="shared" ref="S40" si="33">+R40/$M40</f>
        <v>1</v>
      </c>
    </row>
    <row r="41" spans="1:19" ht="24.95" customHeight="1">
      <c r="A41" s="32" t="e">
        <v>#REF!</v>
      </c>
      <c r="B41" s="56" t="s">
        <v>366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30000000</v>
      </c>
      <c r="N41" s="60">
        <v>30000000</v>
      </c>
      <c r="O41" s="62">
        <f t="shared" si="0"/>
        <v>1</v>
      </c>
      <c r="P41" s="60">
        <v>30000000</v>
      </c>
      <c r="Q41" s="62">
        <f t="shared" si="0"/>
        <v>1</v>
      </c>
      <c r="R41" s="60">
        <v>30000000</v>
      </c>
      <c r="S41" s="62">
        <f t="shared" ref="S41" si="34">+R41/$M41</f>
        <v>1</v>
      </c>
    </row>
    <row r="42" spans="1:19" ht="24.95" customHeight="1">
      <c r="A42" s="32" t="e">
        <v>#REF!</v>
      </c>
      <c r="B42" s="56" t="s">
        <v>368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1010200000</v>
      </c>
      <c r="N42" s="60">
        <v>954108551</v>
      </c>
      <c r="O42" s="62">
        <f t="shared" si="0"/>
        <v>0.94447490694911895</v>
      </c>
      <c r="P42" s="60">
        <v>954108551</v>
      </c>
      <c r="Q42" s="62">
        <f t="shared" si="0"/>
        <v>0.94447490694911895</v>
      </c>
      <c r="R42" s="60">
        <v>954108551</v>
      </c>
      <c r="S42" s="62">
        <f t="shared" ref="S42" si="35">+R42/$M42</f>
        <v>0.94447490694911895</v>
      </c>
    </row>
    <row r="43" spans="1:19" ht="24.95" customHeight="1">
      <c r="A43" s="32" t="e">
        <v>#REF!</v>
      </c>
      <c r="B43" s="56" t="s">
        <v>370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766899445</v>
      </c>
      <c r="N43" s="60">
        <v>507607235</v>
      </c>
      <c r="O43" s="62">
        <f t="shared" si="0"/>
        <v>0.66189542619893282</v>
      </c>
      <c r="P43" s="60">
        <v>507607235</v>
      </c>
      <c r="Q43" s="62">
        <f t="shared" si="0"/>
        <v>0.66189542619893282</v>
      </c>
      <c r="R43" s="60">
        <v>507607235</v>
      </c>
      <c r="S43" s="62">
        <f t="shared" ref="S43" si="36">+R43/$M43</f>
        <v>0.66189542619893282</v>
      </c>
    </row>
    <row r="44" spans="1:19" ht="24" customHeight="1">
      <c r="A44" s="32" t="e">
        <v>#REF!</v>
      </c>
      <c r="B44" s="38" t="s">
        <v>372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39"/>
      <c r="K44" s="40"/>
      <c r="L44" s="38" t="s">
        <v>80</v>
      </c>
      <c r="M44" s="41">
        <v>40529785402</v>
      </c>
      <c r="N44" s="41">
        <v>37882731986.839989</v>
      </c>
      <c r="O44" s="42">
        <f t="shared" si="0"/>
        <v>0.93468868909852687</v>
      </c>
      <c r="P44" s="41">
        <v>35351144791.650002</v>
      </c>
      <c r="Q44" s="42">
        <f t="shared" si="0"/>
        <v>0.87222630075671581</v>
      </c>
      <c r="R44" s="41">
        <v>35246626359.669998</v>
      </c>
      <c r="S44" s="42">
        <f t="shared" ref="S44" si="37">+R44/$M44</f>
        <v>0.86964749529442864</v>
      </c>
    </row>
    <row r="45" spans="1:19" ht="24" customHeight="1">
      <c r="A45" s="32" t="e">
        <v>#REF!</v>
      </c>
      <c r="B45" s="43" t="s">
        <v>373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4"/>
      <c r="K45" s="45"/>
      <c r="L45" s="43" t="s">
        <v>81</v>
      </c>
      <c r="M45" s="46">
        <v>190000000</v>
      </c>
      <c r="N45" s="46">
        <v>0</v>
      </c>
      <c r="O45" s="47">
        <f t="shared" si="0"/>
        <v>0</v>
      </c>
      <c r="P45" s="46">
        <v>0</v>
      </c>
      <c r="Q45" s="47">
        <f t="shared" si="0"/>
        <v>0</v>
      </c>
      <c r="R45" s="46">
        <v>0</v>
      </c>
      <c r="S45" s="47">
        <f t="shared" ref="S45" si="38">+R45/$M45</f>
        <v>0</v>
      </c>
    </row>
    <row r="46" spans="1:19" ht="24" customHeight="1">
      <c r="A46" s="32" t="e">
        <v>#REF!</v>
      </c>
      <c r="B46" s="48" t="s">
        <v>374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9" t="s">
        <v>28</v>
      </c>
      <c r="K46" s="48" t="s">
        <v>29</v>
      </c>
      <c r="L46" s="48" t="s">
        <v>82</v>
      </c>
      <c r="M46" s="50">
        <v>190000000</v>
      </c>
      <c r="N46" s="50">
        <v>0</v>
      </c>
      <c r="O46" s="51">
        <f t="shared" si="0"/>
        <v>0</v>
      </c>
      <c r="P46" s="50">
        <v>0</v>
      </c>
      <c r="Q46" s="51">
        <f t="shared" si="0"/>
        <v>0</v>
      </c>
      <c r="R46" s="50">
        <v>0</v>
      </c>
      <c r="S46" s="51">
        <f t="shared" ref="S46" si="39">+R46/$M46</f>
        <v>0</v>
      </c>
    </row>
    <row r="47" spans="1:19" ht="24" customHeight="1">
      <c r="A47" s="32" t="e">
        <v>#REF!</v>
      </c>
      <c r="B47" s="52" t="s">
        <v>375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3" t="s">
        <v>28</v>
      </c>
      <c r="K47" s="52" t="s">
        <v>29</v>
      </c>
      <c r="L47" s="52" t="s">
        <v>83</v>
      </c>
      <c r="M47" s="54">
        <v>190000000</v>
      </c>
      <c r="N47" s="54">
        <v>0</v>
      </c>
      <c r="O47" s="55">
        <f t="shared" si="0"/>
        <v>0</v>
      </c>
      <c r="P47" s="54">
        <v>0</v>
      </c>
      <c r="Q47" s="55">
        <f t="shared" si="0"/>
        <v>0</v>
      </c>
      <c r="R47" s="54">
        <v>0</v>
      </c>
      <c r="S47" s="55">
        <f t="shared" ref="S47" si="40">+R47/$M47</f>
        <v>0</v>
      </c>
    </row>
    <row r="48" spans="1:19" ht="24.95" customHeight="1">
      <c r="A48" s="32" t="e">
        <v>#REF!</v>
      </c>
      <c r="B48" s="56" t="s">
        <v>724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57" t="s">
        <v>42</v>
      </c>
      <c r="I48" s="57"/>
      <c r="J48" s="57">
        <v>10</v>
      </c>
      <c r="K48" s="58" t="s">
        <v>29</v>
      </c>
      <c r="L48" s="59" t="s">
        <v>84</v>
      </c>
      <c r="M48" s="60">
        <v>100000000</v>
      </c>
      <c r="N48" s="60">
        <v>0</v>
      </c>
      <c r="O48" s="62">
        <f t="shared" si="0"/>
        <v>0</v>
      </c>
      <c r="P48" s="60">
        <v>0</v>
      </c>
      <c r="Q48" s="62">
        <f t="shared" si="0"/>
        <v>0</v>
      </c>
      <c r="R48" s="60">
        <v>0</v>
      </c>
      <c r="S48" s="62">
        <f t="shared" ref="S48" si="41">+R48/$M48</f>
        <v>0</v>
      </c>
    </row>
    <row r="49" spans="1:19" ht="24.95" customHeight="1">
      <c r="A49" s="32" t="e">
        <v>#REF!</v>
      </c>
      <c r="B49" s="56" t="s">
        <v>725</v>
      </c>
      <c r="C49" s="57" t="s">
        <v>23</v>
      </c>
      <c r="D49" s="57" t="s">
        <v>54</v>
      </c>
      <c r="E49" s="57" t="s">
        <v>25</v>
      </c>
      <c r="F49" s="57" t="s">
        <v>25</v>
      </c>
      <c r="G49" s="57" t="s">
        <v>38</v>
      </c>
      <c r="H49" s="63" t="s">
        <v>44</v>
      </c>
      <c r="I49" s="57"/>
      <c r="J49" s="57">
        <v>10</v>
      </c>
      <c r="K49" s="58" t="s">
        <v>29</v>
      </c>
      <c r="L49" s="59" t="s">
        <v>85</v>
      </c>
      <c r="M49" s="60">
        <v>90000000</v>
      </c>
      <c r="N49" s="60">
        <v>0</v>
      </c>
      <c r="O49" s="62">
        <f t="shared" si="0"/>
        <v>0</v>
      </c>
      <c r="P49" s="60">
        <v>0</v>
      </c>
      <c r="Q49" s="62">
        <f t="shared" si="0"/>
        <v>0</v>
      </c>
      <c r="R49" s="60">
        <v>0</v>
      </c>
      <c r="S49" s="62">
        <f t="shared" ref="S49" si="42">+R49/$M49</f>
        <v>0</v>
      </c>
    </row>
    <row r="50" spans="1:19" ht="24" customHeight="1">
      <c r="A50" s="32" t="e">
        <v>#REF!</v>
      </c>
      <c r="B50" s="43" t="s">
        <v>377</v>
      </c>
      <c r="C50" s="44" t="s">
        <v>23</v>
      </c>
      <c r="D50" s="44" t="s">
        <v>54</v>
      </c>
      <c r="E50" s="44" t="s">
        <v>54</v>
      </c>
      <c r="F50" s="44"/>
      <c r="G50" s="44"/>
      <c r="H50" s="44"/>
      <c r="I50" s="44"/>
      <c r="J50" s="44"/>
      <c r="K50" s="45"/>
      <c r="L50" s="43" t="s">
        <v>86</v>
      </c>
      <c r="M50" s="46">
        <v>40339785402</v>
      </c>
      <c r="N50" s="46">
        <v>37882731986.839989</v>
      </c>
      <c r="O50" s="47">
        <f t="shared" si="0"/>
        <v>0.93909106380525775</v>
      </c>
      <c r="P50" s="46">
        <v>35351144791.650002</v>
      </c>
      <c r="Q50" s="47">
        <f t="shared" si="0"/>
        <v>0.87633447821706389</v>
      </c>
      <c r="R50" s="46">
        <v>35246626359.669998</v>
      </c>
      <c r="S50" s="47">
        <f t="shared" ref="S50" si="43">+R50/$M50</f>
        <v>0.87374352660593257</v>
      </c>
    </row>
    <row r="51" spans="1:19" ht="24" customHeight="1">
      <c r="A51" s="32" t="e">
        <v>#REF!</v>
      </c>
      <c r="B51" s="48" t="s">
        <v>379</v>
      </c>
      <c r="C51" s="48" t="s">
        <v>23</v>
      </c>
      <c r="D51" s="48" t="s">
        <v>54</v>
      </c>
      <c r="E51" s="48" t="s">
        <v>54</v>
      </c>
      <c r="F51" s="48" t="s">
        <v>25</v>
      </c>
      <c r="G51" s="48"/>
      <c r="H51" s="48"/>
      <c r="I51" s="48"/>
      <c r="J51" s="49" t="s">
        <v>28</v>
      </c>
      <c r="K51" s="48" t="s">
        <v>29</v>
      </c>
      <c r="L51" s="48" t="s">
        <v>87</v>
      </c>
      <c r="M51" s="50">
        <v>1153889375.3899999</v>
      </c>
      <c r="N51" s="50">
        <v>931772495.88000011</v>
      </c>
      <c r="O51" s="51">
        <f t="shared" si="0"/>
        <v>0.8075059149973306</v>
      </c>
      <c r="P51" s="50">
        <v>784813052.41000009</v>
      </c>
      <c r="Q51" s="51">
        <f t="shared" si="0"/>
        <v>0.68014583472938495</v>
      </c>
      <c r="R51" s="50">
        <v>784493052.41000009</v>
      </c>
      <c r="S51" s="51">
        <f t="shared" ref="S51" si="44">+R51/$M51</f>
        <v>0.67986851178420071</v>
      </c>
    </row>
    <row r="52" spans="1:19" ht="24" customHeight="1">
      <c r="A52" s="32" t="e">
        <v>#REF!</v>
      </c>
      <c r="B52" s="52" t="s">
        <v>381</v>
      </c>
      <c r="C52" s="52" t="s">
        <v>23</v>
      </c>
      <c r="D52" s="52" t="s">
        <v>54</v>
      </c>
      <c r="E52" s="52" t="s">
        <v>54</v>
      </c>
      <c r="F52" s="52" t="s">
        <v>25</v>
      </c>
      <c r="G52" s="52" t="s">
        <v>31</v>
      </c>
      <c r="H52" s="52"/>
      <c r="I52" s="52"/>
      <c r="J52" s="53" t="s">
        <v>28</v>
      </c>
      <c r="K52" s="52" t="s">
        <v>29</v>
      </c>
      <c r="L52" s="52" t="s">
        <v>88</v>
      </c>
      <c r="M52" s="54">
        <v>26000000</v>
      </c>
      <c r="N52" s="54">
        <v>16670404</v>
      </c>
      <c r="O52" s="55">
        <f t="shared" si="0"/>
        <v>0.64116938461538464</v>
      </c>
      <c r="P52" s="54">
        <v>16670404</v>
      </c>
      <c r="Q52" s="55">
        <f t="shared" si="0"/>
        <v>0.64116938461538464</v>
      </c>
      <c r="R52" s="54">
        <v>16670404</v>
      </c>
      <c r="S52" s="55">
        <f t="shared" ref="S52" si="45">+R52/$M52</f>
        <v>0.64116938461538464</v>
      </c>
    </row>
    <row r="53" spans="1:19" ht="24.95" customHeight="1">
      <c r="A53" s="32" t="e">
        <v>#REF!</v>
      </c>
      <c r="B53" s="56" t="s">
        <v>555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40</v>
      </c>
      <c r="I53" s="57"/>
      <c r="J53" s="57">
        <v>10</v>
      </c>
      <c r="K53" s="58" t="s">
        <v>29</v>
      </c>
      <c r="L53" s="59" t="s">
        <v>89</v>
      </c>
      <c r="M53" s="60">
        <v>13000000</v>
      </c>
      <c r="N53" s="60">
        <v>8470404</v>
      </c>
      <c r="O53" s="62">
        <f t="shared" si="0"/>
        <v>0.65156953846153842</v>
      </c>
      <c r="P53" s="60">
        <v>8470404</v>
      </c>
      <c r="Q53" s="62">
        <f t="shared" si="0"/>
        <v>0.65156953846153842</v>
      </c>
      <c r="R53" s="60">
        <v>8470404</v>
      </c>
      <c r="S53" s="62">
        <f t="shared" ref="S53" si="46">+R53/$M53</f>
        <v>0.65156953846153842</v>
      </c>
    </row>
    <row r="54" spans="1:19" ht="24.95" customHeight="1">
      <c r="A54" s="32" t="e">
        <v>#REF!</v>
      </c>
      <c r="B54" s="56" t="s">
        <v>557</v>
      </c>
      <c r="C54" s="57" t="s">
        <v>23</v>
      </c>
      <c r="D54" s="57" t="s">
        <v>54</v>
      </c>
      <c r="E54" s="57" t="s">
        <v>54</v>
      </c>
      <c r="F54" s="57" t="s">
        <v>25</v>
      </c>
      <c r="G54" s="57" t="s">
        <v>31</v>
      </c>
      <c r="H54" s="57" t="s">
        <v>44</v>
      </c>
      <c r="I54" s="57"/>
      <c r="J54" s="57">
        <v>10</v>
      </c>
      <c r="K54" s="58" t="s">
        <v>29</v>
      </c>
      <c r="L54" s="59" t="s">
        <v>90</v>
      </c>
      <c r="M54" s="60">
        <v>13000000</v>
      </c>
      <c r="N54" s="60">
        <v>8200000</v>
      </c>
      <c r="O54" s="62">
        <f t="shared" si="0"/>
        <v>0.63076923076923075</v>
      </c>
      <c r="P54" s="60">
        <v>8200000</v>
      </c>
      <c r="Q54" s="62">
        <f t="shared" si="0"/>
        <v>0.63076923076923075</v>
      </c>
      <c r="R54" s="60">
        <v>8200000</v>
      </c>
      <c r="S54" s="62">
        <f t="shared" ref="S54" si="47">+R54/$M54</f>
        <v>0.63076923076923075</v>
      </c>
    </row>
    <row r="55" spans="1:19" ht="24" customHeight="1">
      <c r="A55" s="32" t="e">
        <v>#REF!</v>
      </c>
      <c r="B55" s="52" t="s">
        <v>383</v>
      </c>
      <c r="C55" s="52" t="s">
        <v>23</v>
      </c>
      <c r="D55" s="52" t="s">
        <v>54</v>
      </c>
      <c r="E55" s="52" t="s">
        <v>54</v>
      </c>
      <c r="F55" s="52" t="s">
        <v>25</v>
      </c>
      <c r="G55" s="52" t="s">
        <v>34</v>
      </c>
      <c r="H55" s="52"/>
      <c r="I55" s="52"/>
      <c r="J55" s="53" t="s">
        <v>28</v>
      </c>
      <c r="K55" s="52" t="s">
        <v>29</v>
      </c>
      <c r="L55" s="52" t="s">
        <v>91</v>
      </c>
      <c r="M55" s="54">
        <v>130000000</v>
      </c>
      <c r="N55" s="54">
        <v>92480000</v>
      </c>
      <c r="O55" s="55">
        <f t="shared" si="0"/>
        <v>0.71138461538461539</v>
      </c>
      <c r="P55" s="54">
        <v>92480000</v>
      </c>
      <c r="Q55" s="55">
        <f t="shared" si="0"/>
        <v>0.71138461538461539</v>
      </c>
      <c r="R55" s="54">
        <v>92160000</v>
      </c>
      <c r="S55" s="55">
        <f t="shared" ref="S55" si="48">+R55/$M55</f>
        <v>0.70892307692307688</v>
      </c>
    </row>
    <row r="56" spans="1:19" ht="24.95" customHeight="1">
      <c r="A56" s="32" t="e">
        <v>#REF!</v>
      </c>
      <c r="B56" s="56" t="s">
        <v>559</v>
      </c>
      <c r="C56" s="57" t="s">
        <v>23</v>
      </c>
      <c r="D56" s="57" t="s">
        <v>54</v>
      </c>
      <c r="E56" s="57" t="s">
        <v>54</v>
      </c>
      <c r="F56" s="57" t="s">
        <v>25</v>
      </c>
      <c r="G56" s="57" t="s">
        <v>34</v>
      </c>
      <c r="H56" s="57" t="s">
        <v>46</v>
      </c>
      <c r="I56" s="57"/>
      <c r="J56" s="57">
        <v>10</v>
      </c>
      <c r="K56" s="58" t="s">
        <v>29</v>
      </c>
      <c r="L56" s="59" t="s">
        <v>92</v>
      </c>
      <c r="M56" s="60">
        <v>130000000</v>
      </c>
      <c r="N56" s="60">
        <v>92480000</v>
      </c>
      <c r="O56" s="62">
        <f t="shared" si="0"/>
        <v>0.71138461538461539</v>
      </c>
      <c r="P56" s="60">
        <v>92480000</v>
      </c>
      <c r="Q56" s="62">
        <f t="shared" si="0"/>
        <v>0.71138461538461539</v>
      </c>
      <c r="R56" s="60">
        <v>92160000</v>
      </c>
      <c r="S56" s="62">
        <f t="shared" ref="S56" si="49">+R56/$M56</f>
        <v>0.70892307692307688</v>
      </c>
    </row>
    <row r="57" spans="1:19" ht="24" customHeight="1">
      <c r="A57" s="32" t="e">
        <v>#REF!</v>
      </c>
      <c r="B57" s="52" t="s">
        <v>385</v>
      </c>
      <c r="C57" s="52" t="s">
        <v>23</v>
      </c>
      <c r="D57" s="52" t="s">
        <v>54</v>
      </c>
      <c r="E57" s="52" t="s">
        <v>54</v>
      </c>
      <c r="F57" s="52" t="s">
        <v>25</v>
      </c>
      <c r="G57" s="52" t="s">
        <v>36</v>
      </c>
      <c r="H57" s="52"/>
      <c r="I57" s="52"/>
      <c r="J57" s="53" t="s">
        <v>28</v>
      </c>
      <c r="K57" s="52" t="s">
        <v>29</v>
      </c>
      <c r="L57" s="52" t="s">
        <v>93</v>
      </c>
      <c r="M57" s="54">
        <v>494578625</v>
      </c>
      <c r="N57" s="54">
        <v>475458310.94999999</v>
      </c>
      <c r="O57" s="55">
        <f t="shared" si="0"/>
        <v>0.9613401932806942</v>
      </c>
      <c r="P57" s="54">
        <v>432105367.48000002</v>
      </c>
      <c r="Q57" s="55">
        <f t="shared" si="0"/>
        <v>0.87368387074956999</v>
      </c>
      <c r="R57" s="54">
        <v>432105367.48000002</v>
      </c>
      <c r="S57" s="55">
        <f t="shared" ref="S57" si="50">+R57/$M57</f>
        <v>0.87368387074956999</v>
      </c>
    </row>
    <row r="58" spans="1:19" ht="24.95" customHeight="1">
      <c r="A58" s="32" t="e">
        <v>#REF!</v>
      </c>
      <c r="B58" s="56" t="s">
        <v>561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34</v>
      </c>
      <c r="I58" s="57"/>
      <c r="J58" s="57">
        <v>10</v>
      </c>
      <c r="K58" s="58" t="s">
        <v>29</v>
      </c>
      <c r="L58" s="59" t="s">
        <v>94</v>
      </c>
      <c r="M58" s="60">
        <v>313731067</v>
      </c>
      <c r="N58" s="60">
        <v>310151301.30000001</v>
      </c>
      <c r="O58" s="62">
        <f t="shared" si="0"/>
        <v>0.98858969966146204</v>
      </c>
      <c r="P58" s="60">
        <v>282760473.30000001</v>
      </c>
      <c r="Q58" s="62">
        <f t="shared" si="0"/>
        <v>0.90128298738103618</v>
      </c>
      <c r="R58" s="60">
        <v>282760473.30000001</v>
      </c>
      <c r="S58" s="62">
        <f t="shared" ref="S58" si="51">+R58/$M58</f>
        <v>0.90128298738103618</v>
      </c>
    </row>
    <row r="59" spans="1:19" ht="24.95" customHeight="1">
      <c r="A59" s="32" t="e">
        <v>#REF!</v>
      </c>
      <c r="B59" s="56" t="s">
        <v>563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36</v>
      </c>
      <c r="I59" s="57"/>
      <c r="J59" s="57">
        <v>10</v>
      </c>
      <c r="K59" s="58" t="s">
        <v>29</v>
      </c>
      <c r="L59" s="59" t="s">
        <v>95</v>
      </c>
      <c r="M59" s="60">
        <v>76250108</v>
      </c>
      <c r="N59" s="60">
        <v>71717809</v>
      </c>
      <c r="O59" s="62">
        <f t="shared" si="0"/>
        <v>0.94056009730504253</v>
      </c>
      <c r="P59" s="60">
        <v>65512693.530000001</v>
      </c>
      <c r="Q59" s="62">
        <f t="shared" si="0"/>
        <v>0.85918164902795946</v>
      </c>
      <c r="R59" s="60">
        <v>65512693.530000001</v>
      </c>
      <c r="S59" s="62">
        <f t="shared" ref="S59" si="52">+R59/$M59</f>
        <v>0.85918164902795946</v>
      </c>
    </row>
    <row r="60" spans="1:19" ht="24.95" customHeight="1">
      <c r="A60" s="32" t="e">
        <v>#REF!</v>
      </c>
      <c r="B60" s="56" t="s">
        <v>565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40</v>
      </c>
      <c r="I60" s="57"/>
      <c r="J60" s="57">
        <v>10</v>
      </c>
      <c r="K60" s="58" t="s">
        <v>29</v>
      </c>
      <c r="L60" s="59" t="s">
        <v>96</v>
      </c>
      <c r="M60" s="60">
        <v>7000000</v>
      </c>
      <c r="N60" s="60">
        <v>6910949</v>
      </c>
      <c r="O60" s="62">
        <f t="shared" si="0"/>
        <v>0.98727842857142856</v>
      </c>
      <c r="P60" s="60">
        <v>6910949</v>
      </c>
      <c r="Q60" s="62">
        <f t="shared" si="0"/>
        <v>0.98727842857142856</v>
      </c>
      <c r="R60" s="60">
        <v>6910949</v>
      </c>
      <c r="S60" s="62">
        <f t="shared" ref="S60" si="53">+R60/$M60</f>
        <v>0.98727842857142856</v>
      </c>
    </row>
    <row r="61" spans="1:19" ht="24.95" customHeight="1">
      <c r="A61" s="32" t="e">
        <v>#REF!</v>
      </c>
      <c r="B61" s="56" t="s">
        <v>567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42</v>
      </c>
      <c r="I61" s="57"/>
      <c r="J61" s="57">
        <v>10</v>
      </c>
      <c r="K61" s="58" t="s">
        <v>29</v>
      </c>
      <c r="L61" s="59" t="s">
        <v>97</v>
      </c>
      <c r="M61" s="60">
        <v>23000000</v>
      </c>
      <c r="N61" s="60">
        <v>22324802</v>
      </c>
      <c r="O61" s="62">
        <f t="shared" si="0"/>
        <v>0.97064356521739126</v>
      </c>
      <c r="P61" s="60">
        <v>22324802</v>
      </c>
      <c r="Q61" s="62">
        <f t="shared" si="0"/>
        <v>0.97064356521739126</v>
      </c>
      <c r="R61" s="60">
        <v>22324802</v>
      </c>
      <c r="S61" s="62">
        <f t="shared" ref="S61" si="54">+R61/$M61</f>
        <v>0.97064356521739126</v>
      </c>
    </row>
    <row r="62" spans="1:19" ht="24.95" customHeight="1">
      <c r="A62" s="32" t="e">
        <v>#REF!</v>
      </c>
      <c r="B62" s="56" t="s">
        <v>569</v>
      </c>
      <c r="C62" s="57" t="s">
        <v>23</v>
      </c>
      <c r="D62" s="57" t="s">
        <v>54</v>
      </c>
      <c r="E62" s="57" t="s">
        <v>54</v>
      </c>
      <c r="F62" s="57" t="s">
        <v>25</v>
      </c>
      <c r="G62" s="57" t="s">
        <v>36</v>
      </c>
      <c r="H62" s="63" t="s">
        <v>44</v>
      </c>
      <c r="I62" s="57"/>
      <c r="J62" s="57">
        <v>10</v>
      </c>
      <c r="K62" s="58" t="s">
        <v>29</v>
      </c>
      <c r="L62" s="59" t="s">
        <v>98</v>
      </c>
      <c r="M62" s="60">
        <v>11432000</v>
      </c>
      <c r="N62" s="60">
        <v>9757000</v>
      </c>
      <c r="O62" s="62">
        <f t="shared" si="0"/>
        <v>0.85348145556333099</v>
      </c>
      <c r="P62" s="60">
        <v>0</v>
      </c>
      <c r="Q62" s="62">
        <f t="shared" si="0"/>
        <v>0</v>
      </c>
      <c r="R62" s="60">
        <v>0</v>
      </c>
      <c r="S62" s="62">
        <f t="shared" ref="S62" si="55">+R62/$M62</f>
        <v>0</v>
      </c>
    </row>
    <row r="63" spans="1:19" ht="24.95" customHeight="1">
      <c r="A63" s="32" t="e">
        <v>#REF!</v>
      </c>
      <c r="B63" s="56" t="s">
        <v>571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36</v>
      </c>
      <c r="H63" s="57" t="s">
        <v>46</v>
      </c>
      <c r="I63" s="57"/>
      <c r="J63" s="57">
        <v>10</v>
      </c>
      <c r="K63" s="58" t="s">
        <v>29</v>
      </c>
      <c r="L63" s="59" t="s">
        <v>99</v>
      </c>
      <c r="M63" s="60">
        <v>63165450</v>
      </c>
      <c r="N63" s="60">
        <v>54596449.649999999</v>
      </c>
      <c r="O63" s="62">
        <f t="shared" si="0"/>
        <v>0.86434038940591729</v>
      </c>
      <c r="P63" s="60">
        <v>54596449.649999999</v>
      </c>
      <c r="Q63" s="62">
        <f t="shared" si="0"/>
        <v>0.86434038940591729</v>
      </c>
      <c r="R63" s="60">
        <v>54596449.649999999</v>
      </c>
      <c r="S63" s="62">
        <f t="shared" ref="S63" si="56">+R63/$M63</f>
        <v>0.86434038940591729</v>
      </c>
    </row>
    <row r="64" spans="1:19" ht="24" customHeight="1">
      <c r="A64" s="32" t="e">
        <v>#REF!</v>
      </c>
      <c r="B64" s="52" t="s">
        <v>387</v>
      </c>
      <c r="C64" s="52" t="s">
        <v>23</v>
      </c>
      <c r="D64" s="52" t="s">
        <v>54</v>
      </c>
      <c r="E64" s="52" t="s">
        <v>54</v>
      </c>
      <c r="F64" s="52" t="s">
        <v>25</v>
      </c>
      <c r="G64" s="52" t="s">
        <v>38</v>
      </c>
      <c r="H64" s="52"/>
      <c r="I64" s="52"/>
      <c r="J64" s="53" t="s">
        <v>28</v>
      </c>
      <c r="K64" s="52" t="s">
        <v>29</v>
      </c>
      <c r="L64" s="52" t="s">
        <v>100</v>
      </c>
      <c r="M64" s="54">
        <v>503310750.38999999</v>
      </c>
      <c r="N64" s="54">
        <v>347163780.93000001</v>
      </c>
      <c r="O64" s="55">
        <f t="shared" si="0"/>
        <v>0.68976031340676414</v>
      </c>
      <c r="P64" s="54">
        <v>243557280.93000001</v>
      </c>
      <c r="Q64" s="55">
        <f t="shared" si="0"/>
        <v>0.48391034910594494</v>
      </c>
      <c r="R64" s="54">
        <v>243557280.93000001</v>
      </c>
      <c r="S64" s="55">
        <f t="shared" ref="S64" si="57">+R64/$M64</f>
        <v>0.48391034910594494</v>
      </c>
    </row>
    <row r="65" spans="1:19" ht="24.95" customHeight="1">
      <c r="A65" s="32" t="e">
        <v>#REF!</v>
      </c>
      <c r="B65" s="56" t="s">
        <v>573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34</v>
      </c>
      <c r="I65" s="57"/>
      <c r="J65" s="57">
        <v>10</v>
      </c>
      <c r="K65" s="58" t="s">
        <v>29</v>
      </c>
      <c r="L65" s="59" t="s">
        <v>101</v>
      </c>
      <c r="M65" s="60">
        <v>28000000</v>
      </c>
      <c r="N65" s="60">
        <v>26300546</v>
      </c>
      <c r="O65" s="62">
        <f t="shared" si="0"/>
        <v>0.93930521428571434</v>
      </c>
      <c r="P65" s="60">
        <v>26300546</v>
      </c>
      <c r="Q65" s="62">
        <f t="shared" si="0"/>
        <v>0.93930521428571434</v>
      </c>
      <c r="R65" s="60">
        <v>26300546</v>
      </c>
      <c r="S65" s="62">
        <f t="shared" ref="S65" si="58">+R65/$M65</f>
        <v>0.93930521428571434</v>
      </c>
    </row>
    <row r="66" spans="1:19" ht="24.95" customHeight="1">
      <c r="A66" s="32" t="e">
        <v>#REF!</v>
      </c>
      <c r="B66" s="56" t="s">
        <v>575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40</v>
      </c>
      <c r="I66" s="57"/>
      <c r="J66" s="57">
        <v>10</v>
      </c>
      <c r="K66" s="58" t="s">
        <v>29</v>
      </c>
      <c r="L66" s="59" t="s">
        <v>102</v>
      </c>
      <c r="M66" s="60">
        <v>230000000</v>
      </c>
      <c r="N66" s="60">
        <v>161809504.93000001</v>
      </c>
      <c r="O66" s="62">
        <f t="shared" si="0"/>
        <v>0.70351958665217396</v>
      </c>
      <c r="P66" s="60">
        <v>161809504.93000001</v>
      </c>
      <c r="Q66" s="62">
        <f t="shared" si="0"/>
        <v>0.70351958665217396</v>
      </c>
      <c r="R66" s="60">
        <v>161809504.93000001</v>
      </c>
      <c r="S66" s="62">
        <f t="shared" ref="S66" si="59">+R66/$M66</f>
        <v>0.70351958665217396</v>
      </c>
    </row>
    <row r="67" spans="1:19" ht="24.95" customHeight="1">
      <c r="A67" s="32" t="e">
        <v>#REF!</v>
      </c>
      <c r="B67" s="56" t="s">
        <v>577</v>
      </c>
      <c r="C67" s="57" t="s">
        <v>23</v>
      </c>
      <c r="D67" s="57" t="s">
        <v>54</v>
      </c>
      <c r="E67" s="57" t="s">
        <v>54</v>
      </c>
      <c r="F67" s="57" t="s">
        <v>25</v>
      </c>
      <c r="G67" s="57" t="s">
        <v>38</v>
      </c>
      <c r="H67" s="57" t="s">
        <v>42</v>
      </c>
      <c r="I67" s="57"/>
      <c r="J67" s="57">
        <v>10</v>
      </c>
      <c r="K67" s="58" t="s">
        <v>29</v>
      </c>
      <c r="L67" s="59" t="s">
        <v>84</v>
      </c>
      <c r="M67" s="60">
        <v>78000000</v>
      </c>
      <c r="N67" s="60">
        <v>31571080</v>
      </c>
      <c r="O67" s="62">
        <f t="shared" si="0"/>
        <v>0.4047574358974359</v>
      </c>
      <c r="P67" s="60">
        <v>23571080</v>
      </c>
      <c r="Q67" s="62">
        <f t="shared" si="0"/>
        <v>0.30219333333333331</v>
      </c>
      <c r="R67" s="60">
        <v>23571080</v>
      </c>
      <c r="S67" s="62">
        <f t="shared" ref="S67" si="60">+R67/$M67</f>
        <v>0.30219333333333331</v>
      </c>
    </row>
    <row r="68" spans="1:19" ht="24.95" customHeight="1">
      <c r="A68" s="32" t="e">
        <v>#REF!</v>
      </c>
      <c r="B68" s="56" t="s">
        <v>579</v>
      </c>
      <c r="C68" s="57" t="s">
        <v>23</v>
      </c>
      <c r="D68" s="57" t="s">
        <v>54</v>
      </c>
      <c r="E68" s="57" t="s">
        <v>54</v>
      </c>
      <c r="F68" s="57" t="s">
        <v>25</v>
      </c>
      <c r="G68" s="57" t="s">
        <v>38</v>
      </c>
      <c r="H68" s="57" t="s">
        <v>44</v>
      </c>
      <c r="I68" s="57"/>
      <c r="J68" s="57">
        <v>10</v>
      </c>
      <c r="K68" s="58" t="s">
        <v>29</v>
      </c>
      <c r="L68" s="59" t="s">
        <v>85</v>
      </c>
      <c r="M68" s="60">
        <v>167310750.38999999</v>
      </c>
      <c r="N68" s="60">
        <v>127482650</v>
      </c>
      <c r="O68" s="62">
        <f t="shared" si="0"/>
        <v>0.761951337274138</v>
      </c>
      <c r="P68" s="60">
        <v>31876150</v>
      </c>
      <c r="Q68" s="62">
        <f t="shared" si="0"/>
        <v>0.19052063256961646</v>
      </c>
      <c r="R68" s="60">
        <v>31876150</v>
      </c>
      <c r="S68" s="62">
        <f t="shared" ref="S68" si="61">+R68/$M68</f>
        <v>0.19052063256961646</v>
      </c>
    </row>
    <row r="69" spans="1:19" ht="24" customHeight="1">
      <c r="A69" s="32" t="e">
        <v>#REF!</v>
      </c>
      <c r="B69" s="48" t="s">
        <v>389</v>
      </c>
      <c r="C69" s="48" t="s">
        <v>23</v>
      </c>
      <c r="D69" s="48" t="s">
        <v>54</v>
      </c>
      <c r="E69" s="48" t="s">
        <v>54</v>
      </c>
      <c r="F69" s="48" t="s">
        <v>54</v>
      </c>
      <c r="G69" s="48"/>
      <c r="H69" s="48"/>
      <c r="I69" s="48"/>
      <c r="J69" s="49" t="s">
        <v>28</v>
      </c>
      <c r="K69" s="48" t="s">
        <v>29</v>
      </c>
      <c r="L69" s="48" t="s">
        <v>103</v>
      </c>
      <c r="M69" s="50">
        <v>39185896026.610001</v>
      </c>
      <c r="N69" s="50">
        <v>36950959490.959991</v>
      </c>
      <c r="O69" s="51">
        <f t="shared" si="0"/>
        <v>0.9429657922296244</v>
      </c>
      <c r="P69" s="50">
        <v>34566331739.239998</v>
      </c>
      <c r="Q69" s="51">
        <f t="shared" si="0"/>
        <v>0.88211155656022278</v>
      </c>
      <c r="R69" s="50">
        <v>34462133307.259995</v>
      </c>
      <c r="S69" s="51">
        <f t="shared" ref="S69" si="62">+R69/$M69</f>
        <v>0.87945247657110515</v>
      </c>
    </row>
    <row r="70" spans="1:19" ht="24.75" customHeight="1">
      <c r="A70" s="32" t="e">
        <v>#REF!</v>
      </c>
      <c r="B70" s="52" t="s">
        <v>391</v>
      </c>
      <c r="C70" s="52" t="s">
        <v>23</v>
      </c>
      <c r="D70" s="52" t="s">
        <v>54</v>
      </c>
      <c r="E70" s="52" t="s">
        <v>54</v>
      </c>
      <c r="F70" s="52" t="s">
        <v>54</v>
      </c>
      <c r="G70" s="52" t="s">
        <v>42</v>
      </c>
      <c r="H70" s="52"/>
      <c r="I70" s="52"/>
      <c r="J70" s="53" t="s">
        <v>28</v>
      </c>
      <c r="K70" s="52" t="s">
        <v>29</v>
      </c>
      <c r="L70" s="52" t="s">
        <v>104</v>
      </c>
      <c r="M70" s="54">
        <v>7380953772</v>
      </c>
      <c r="N70" s="54">
        <v>7291229428.4099998</v>
      </c>
      <c r="O70" s="55">
        <f t="shared" si="0"/>
        <v>0.98784380090139923</v>
      </c>
      <c r="P70" s="54">
        <v>6532096418.4099998</v>
      </c>
      <c r="Q70" s="55">
        <f t="shared" si="0"/>
        <v>0.8849935415108301</v>
      </c>
      <c r="R70" s="54">
        <v>6461179218.4099998</v>
      </c>
      <c r="S70" s="55">
        <f t="shared" ref="S70" si="63">+R70/$M70</f>
        <v>0.87538540654742902</v>
      </c>
    </row>
    <row r="71" spans="1:19" ht="24.95" customHeight="1">
      <c r="A71" s="32" t="e">
        <v>#REF!</v>
      </c>
      <c r="B71" s="56" t="s">
        <v>583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36</v>
      </c>
      <c r="I71" s="57"/>
      <c r="J71" s="57">
        <v>10</v>
      </c>
      <c r="K71" s="58" t="s">
        <v>29</v>
      </c>
      <c r="L71" s="59" t="s">
        <v>105</v>
      </c>
      <c r="M71" s="60">
        <v>158730980</v>
      </c>
      <c r="N71" s="60">
        <v>138486794</v>
      </c>
      <c r="O71" s="62">
        <f t="shared" si="0"/>
        <v>0.8724622880801215</v>
      </c>
      <c r="P71" s="60">
        <v>138486794</v>
      </c>
      <c r="Q71" s="62">
        <f t="shared" si="0"/>
        <v>0.8724622880801215</v>
      </c>
      <c r="R71" s="60">
        <v>138486794</v>
      </c>
      <c r="S71" s="62">
        <f t="shared" ref="S71" si="64">+R71/$M71</f>
        <v>0.8724622880801215</v>
      </c>
    </row>
    <row r="72" spans="1:19" ht="24.95" customHeight="1">
      <c r="A72" s="32" t="e">
        <v>#REF!</v>
      </c>
      <c r="B72" s="56" t="s">
        <v>585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38</v>
      </c>
      <c r="I72" s="57"/>
      <c r="J72" s="57">
        <v>10</v>
      </c>
      <c r="K72" s="58" t="s">
        <v>29</v>
      </c>
      <c r="L72" s="59" t="s">
        <v>106</v>
      </c>
      <c r="M72" s="60">
        <v>3434836920</v>
      </c>
      <c r="N72" s="60">
        <v>3395190596</v>
      </c>
      <c r="O72" s="62">
        <f t="shared" ref="O72:Q135" si="65">+N72/$M72</f>
        <v>0.9884575818522412</v>
      </c>
      <c r="P72" s="60">
        <v>2858310248</v>
      </c>
      <c r="Q72" s="62">
        <f t="shared" si="65"/>
        <v>0.83215311660269453</v>
      </c>
      <c r="R72" s="60">
        <v>2787393048</v>
      </c>
      <c r="S72" s="62">
        <f t="shared" ref="S72" si="66">+R72/$M72</f>
        <v>0.81150666332071453</v>
      </c>
    </row>
    <row r="73" spans="1:19" ht="24.95" customHeight="1">
      <c r="A73" s="32" t="e">
        <v>#REF!</v>
      </c>
      <c r="B73" s="56" t="s">
        <v>587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40</v>
      </c>
      <c r="I73" s="57"/>
      <c r="J73" s="57">
        <v>10</v>
      </c>
      <c r="K73" s="58" t="s">
        <v>29</v>
      </c>
      <c r="L73" s="59" t="s">
        <v>107</v>
      </c>
      <c r="M73" s="60">
        <v>117385872</v>
      </c>
      <c r="N73" s="60">
        <v>110509587</v>
      </c>
      <c r="O73" s="62">
        <f t="shared" si="65"/>
        <v>0.94142152813755986</v>
      </c>
      <c r="P73" s="60">
        <v>56197187</v>
      </c>
      <c r="Q73" s="62">
        <f t="shared" si="65"/>
        <v>0.47873893205819523</v>
      </c>
      <c r="R73" s="60">
        <v>56197187</v>
      </c>
      <c r="S73" s="62">
        <f t="shared" ref="S73" si="67">+R73/$M73</f>
        <v>0.47873893205819523</v>
      </c>
    </row>
    <row r="74" spans="1:19" ht="24.95" customHeight="1">
      <c r="A74" s="32" t="e">
        <v>#REF!</v>
      </c>
      <c r="B74" s="56" t="s">
        <v>591</v>
      </c>
      <c r="C74" s="57" t="s">
        <v>23</v>
      </c>
      <c r="D74" s="57" t="s">
        <v>54</v>
      </c>
      <c r="E74" s="57" t="s">
        <v>54</v>
      </c>
      <c r="F74" s="57" t="s">
        <v>54</v>
      </c>
      <c r="G74" s="57" t="s">
        <v>42</v>
      </c>
      <c r="H74" s="57" t="s">
        <v>46</v>
      </c>
      <c r="I74" s="57"/>
      <c r="J74" s="57">
        <v>10</v>
      </c>
      <c r="K74" s="58" t="s">
        <v>29</v>
      </c>
      <c r="L74" s="59" t="s">
        <v>108</v>
      </c>
      <c r="M74" s="60">
        <v>2384500000</v>
      </c>
      <c r="N74" s="60">
        <v>2381132742</v>
      </c>
      <c r="O74" s="62">
        <f t="shared" si="65"/>
        <v>0.9985878557349549</v>
      </c>
      <c r="P74" s="60">
        <v>2213192480</v>
      </c>
      <c r="Q74" s="62">
        <f t="shared" si="65"/>
        <v>0.92815788634933949</v>
      </c>
      <c r="R74" s="60">
        <v>2213192480</v>
      </c>
      <c r="S74" s="62">
        <f t="shared" ref="S74" si="68">+R74/$M74</f>
        <v>0.92815788634933949</v>
      </c>
    </row>
    <row r="75" spans="1:19" ht="24.95" customHeight="1">
      <c r="A75" s="32" t="e">
        <v>#REF!</v>
      </c>
      <c r="B75" s="56" t="s">
        <v>593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42</v>
      </c>
      <c r="H75" s="57" t="s">
        <v>48</v>
      </c>
      <c r="I75" s="57"/>
      <c r="J75" s="57">
        <v>10</v>
      </c>
      <c r="K75" s="58" t="s">
        <v>29</v>
      </c>
      <c r="L75" s="59" t="s">
        <v>109</v>
      </c>
      <c r="M75" s="60">
        <v>1285500000</v>
      </c>
      <c r="N75" s="60">
        <v>1265909709.4100001</v>
      </c>
      <c r="O75" s="62">
        <f t="shared" si="65"/>
        <v>0.98476056741345785</v>
      </c>
      <c r="P75" s="60">
        <v>1265909709.4100001</v>
      </c>
      <c r="Q75" s="62">
        <f t="shared" si="65"/>
        <v>0.98476056741345785</v>
      </c>
      <c r="R75" s="60">
        <v>1265909709.4100001</v>
      </c>
      <c r="S75" s="62">
        <f t="shared" ref="S75" si="69">+R75/$M75</f>
        <v>0.98476056741345785</v>
      </c>
    </row>
    <row r="76" spans="1:19" ht="28.5" customHeight="1">
      <c r="A76" s="32" t="e">
        <v>#REF!</v>
      </c>
      <c r="B76" s="52" t="s">
        <v>393</v>
      </c>
      <c r="C76" s="52" t="s">
        <v>23</v>
      </c>
      <c r="D76" s="52" t="s">
        <v>54</v>
      </c>
      <c r="E76" s="52" t="s">
        <v>54</v>
      </c>
      <c r="F76" s="52" t="s">
        <v>54</v>
      </c>
      <c r="G76" s="52" t="s">
        <v>44</v>
      </c>
      <c r="H76" s="52"/>
      <c r="I76" s="52"/>
      <c r="J76" s="53" t="s">
        <v>28</v>
      </c>
      <c r="K76" s="52" t="s">
        <v>29</v>
      </c>
      <c r="L76" s="52" t="s">
        <v>110</v>
      </c>
      <c r="M76" s="54">
        <v>15347567363.48</v>
      </c>
      <c r="N76" s="54">
        <v>14617339063.469999</v>
      </c>
      <c r="O76" s="55">
        <f t="shared" si="65"/>
        <v>0.9524205834894981</v>
      </c>
      <c r="P76" s="54">
        <v>14523868690.969999</v>
      </c>
      <c r="Q76" s="55">
        <f t="shared" si="65"/>
        <v>0.94633034323928</v>
      </c>
      <c r="R76" s="54">
        <v>14520715918.969999</v>
      </c>
      <c r="S76" s="55">
        <f t="shared" ref="S76" si="70">+R76/$M76</f>
        <v>0.94612491837126456</v>
      </c>
    </row>
    <row r="77" spans="1:19" ht="24.95" customHeight="1">
      <c r="A77" s="32" t="e">
        <v>#REF!</v>
      </c>
      <c r="B77" s="56" t="s">
        <v>595</v>
      </c>
      <c r="C77" s="57" t="s">
        <v>23</v>
      </c>
      <c r="D77" s="57" t="s">
        <v>54</v>
      </c>
      <c r="E77" s="57" t="s">
        <v>54</v>
      </c>
      <c r="F77" s="57" t="s">
        <v>54</v>
      </c>
      <c r="G77" s="57" t="s">
        <v>44</v>
      </c>
      <c r="H77" s="57" t="s">
        <v>31</v>
      </c>
      <c r="I77" s="57"/>
      <c r="J77" s="57">
        <v>10</v>
      </c>
      <c r="K77" s="58" t="s">
        <v>29</v>
      </c>
      <c r="L77" s="59" t="s">
        <v>111</v>
      </c>
      <c r="M77" s="60">
        <v>59453757</v>
      </c>
      <c r="N77" s="60">
        <v>58856742</v>
      </c>
      <c r="O77" s="62">
        <f t="shared" si="65"/>
        <v>0.98995833013546986</v>
      </c>
      <c r="P77" s="60">
        <v>58856742</v>
      </c>
      <c r="Q77" s="62">
        <f t="shared" si="65"/>
        <v>0.98995833013546986</v>
      </c>
      <c r="R77" s="60">
        <v>58856742</v>
      </c>
      <c r="S77" s="62">
        <f t="shared" ref="S77" si="71">+R77/$M77</f>
        <v>0.98995833013546986</v>
      </c>
    </row>
    <row r="78" spans="1:19" ht="24.95" customHeight="1">
      <c r="A78" s="32" t="e">
        <v>#REF!</v>
      </c>
      <c r="B78" s="56" t="s">
        <v>597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44</v>
      </c>
      <c r="H78" s="57" t="s">
        <v>34</v>
      </c>
      <c r="I78" s="57"/>
      <c r="J78" s="57">
        <v>10</v>
      </c>
      <c r="K78" s="58" t="s">
        <v>29</v>
      </c>
      <c r="L78" s="59" t="s">
        <v>112</v>
      </c>
      <c r="M78" s="60">
        <v>15288113606.48</v>
      </c>
      <c r="N78" s="60">
        <v>14558482321.469999</v>
      </c>
      <c r="O78" s="62">
        <f t="shared" si="65"/>
        <v>0.95227460340818371</v>
      </c>
      <c r="P78" s="60">
        <v>14465011948.969999</v>
      </c>
      <c r="Q78" s="62">
        <f t="shared" si="65"/>
        <v>0.94616067889755073</v>
      </c>
      <c r="R78" s="60">
        <v>14461859176.969999</v>
      </c>
      <c r="S78" s="62">
        <f t="shared" ref="S78" si="72">+R78/$M78</f>
        <v>0.94595445515529231</v>
      </c>
    </row>
    <row r="79" spans="1:19" ht="27.75" customHeight="1">
      <c r="A79" s="32" t="e">
        <v>#REF!</v>
      </c>
      <c r="B79" s="52" t="s">
        <v>395</v>
      </c>
      <c r="C79" s="52" t="s">
        <v>23</v>
      </c>
      <c r="D79" s="52" t="s">
        <v>54</v>
      </c>
      <c r="E79" s="52" t="s">
        <v>54</v>
      </c>
      <c r="F79" s="52" t="s">
        <v>54</v>
      </c>
      <c r="G79" s="52" t="s">
        <v>46</v>
      </c>
      <c r="H79" s="52"/>
      <c r="I79" s="52"/>
      <c r="J79" s="53" t="s">
        <v>28</v>
      </c>
      <c r="K79" s="52" t="s">
        <v>29</v>
      </c>
      <c r="L79" s="52" t="s">
        <v>113</v>
      </c>
      <c r="M79" s="54">
        <v>14235090900.130001</v>
      </c>
      <c r="N79" s="54">
        <v>13127338567.379999</v>
      </c>
      <c r="O79" s="55">
        <f t="shared" si="65"/>
        <v>0.92218157646328158</v>
      </c>
      <c r="P79" s="54">
        <v>11711537768.16</v>
      </c>
      <c r="Q79" s="55">
        <f t="shared" si="65"/>
        <v>0.82272307569550152</v>
      </c>
      <c r="R79" s="54">
        <v>11681409308.179998</v>
      </c>
      <c r="S79" s="55">
        <f t="shared" ref="S79" si="73">+R79/$M79</f>
        <v>0.82060658341657089</v>
      </c>
    </row>
    <row r="80" spans="1:19" ht="24.95" customHeight="1">
      <c r="A80" s="32" t="e">
        <v>#REF!</v>
      </c>
      <c r="B80" s="56" t="s">
        <v>599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34</v>
      </c>
      <c r="I80" s="57"/>
      <c r="J80" s="57">
        <v>10</v>
      </c>
      <c r="K80" s="58" t="s">
        <v>29</v>
      </c>
      <c r="L80" s="59" t="s">
        <v>114</v>
      </c>
      <c r="M80" s="60">
        <v>39142800</v>
      </c>
      <c r="N80" s="60">
        <v>22479424</v>
      </c>
      <c r="O80" s="62">
        <f t="shared" si="65"/>
        <v>0.57429269239809111</v>
      </c>
      <c r="P80" s="60">
        <v>22479424</v>
      </c>
      <c r="Q80" s="62">
        <f t="shared" si="65"/>
        <v>0.57429269239809111</v>
      </c>
      <c r="R80" s="60">
        <v>22479424</v>
      </c>
      <c r="S80" s="62">
        <f t="shared" ref="S80" si="74">+R80/$M80</f>
        <v>0.57429269239809111</v>
      </c>
    </row>
    <row r="81" spans="1:19" ht="24.95" customHeight="1">
      <c r="A81" s="32" t="e">
        <v>#REF!</v>
      </c>
      <c r="B81" s="56" t="s">
        <v>601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36</v>
      </c>
      <c r="I81" s="57"/>
      <c r="J81" s="57">
        <v>10</v>
      </c>
      <c r="K81" s="58" t="s">
        <v>29</v>
      </c>
      <c r="L81" s="59" t="s">
        <v>115</v>
      </c>
      <c r="M81" s="60">
        <v>3584583046</v>
      </c>
      <c r="N81" s="60">
        <v>3248025289.5</v>
      </c>
      <c r="O81" s="62">
        <f t="shared" si="65"/>
        <v>0.9061096500817406</v>
      </c>
      <c r="P81" s="60">
        <v>3181537760.5</v>
      </c>
      <c r="Q81" s="62">
        <f t="shared" si="65"/>
        <v>0.88756145963761279</v>
      </c>
      <c r="R81" s="60">
        <v>3181537760.5</v>
      </c>
      <c r="S81" s="62">
        <f t="shared" ref="S81" si="75">+R81/$M81</f>
        <v>0.88756145963761279</v>
      </c>
    </row>
    <row r="82" spans="1:19" ht="24.95" customHeight="1">
      <c r="A82" s="32" t="e">
        <v>#REF!</v>
      </c>
      <c r="B82" s="56" t="s">
        <v>603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38</v>
      </c>
      <c r="I82" s="57"/>
      <c r="J82" s="57">
        <v>10</v>
      </c>
      <c r="K82" s="58" t="s">
        <v>29</v>
      </c>
      <c r="L82" s="59" t="s">
        <v>116</v>
      </c>
      <c r="M82" s="60">
        <v>2213583585.75</v>
      </c>
      <c r="N82" s="60">
        <v>2147395659.22</v>
      </c>
      <c r="O82" s="62">
        <f t="shared" si="65"/>
        <v>0.97009919708653136</v>
      </c>
      <c r="P82" s="60">
        <v>2136751002.22</v>
      </c>
      <c r="Q82" s="62">
        <f t="shared" si="65"/>
        <v>0.96529040781445452</v>
      </c>
      <c r="R82" s="60">
        <v>2132824002.22</v>
      </c>
      <c r="S82" s="62">
        <f t="shared" ref="S82" si="76">+R82/$M82</f>
        <v>0.96351636141056884</v>
      </c>
    </row>
    <row r="83" spans="1:19" ht="24.95" customHeight="1">
      <c r="A83" s="32" t="e">
        <v>#REF!</v>
      </c>
      <c r="B83" s="56" t="s">
        <v>605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40</v>
      </c>
      <c r="I83" s="57"/>
      <c r="J83" s="57">
        <v>10</v>
      </c>
      <c r="K83" s="58" t="s">
        <v>29</v>
      </c>
      <c r="L83" s="59" t="s">
        <v>117</v>
      </c>
      <c r="M83" s="60">
        <v>7164157691.7700005</v>
      </c>
      <c r="N83" s="60">
        <v>6741640528.9399996</v>
      </c>
      <c r="O83" s="62">
        <f t="shared" si="65"/>
        <v>0.94102346974922435</v>
      </c>
      <c r="P83" s="60">
        <v>5438236308.7200003</v>
      </c>
      <c r="Q83" s="62">
        <f t="shared" si="65"/>
        <v>0.75908942023530634</v>
      </c>
      <c r="R83" s="60">
        <v>5412034848.7399998</v>
      </c>
      <c r="S83" s="62">
        <f t="shared" ref="S83" si="77">+R83/$M83</f>
        <v>0.75543212218195666</v>
      </c>
    </row>
    <row r="84" spans="1:19" ht="24.75" customHeight="1">
      <c r="A84" s="32" t="e">
        <v>#REF!</v>
      </c>
      <c r="B84" s="56" t="s">
        <v>607</v>
      </c>
      <c r="C84" s="57" t="s">
        <v>23</v>
      </c>
      <c r="D84" s="57" t="s">
        <v>54</v>
      </c>
      <c r="E84" s="57" t="s">
        <v>54</v>
      </c>
      <c r="F84" s="57" t="s">
        <v>54</v>
      </c>
      <c r="G84" s="57" t="s">
        <v>46</v>
      </c>
      <c r="H84" s="57" t="s">
        <v>44</v>
      </c>
      <c r="I84" s="57"/>
      <c r="J84" s="57">
        <v>10</v>
      </c>
      <c r="K84" s="58" t="s">
        <v>29</v>
      </c>
      <c r="L84" s="59" t="s">
        <v>118</v>
      </c>
      <c r="M84" s="60">
        <v>865623776.61000013</v>
      </c>
      <c r="N84" s="60">
        <v>776220665.72000003</v>
      </c>
      <c r="O84" s="62">
        <f t="shared" si="65"/>
        <v>0.89671828188439429</v>
      </c>
      <c r="P84" s="60">
        <v>742163572.72000003</v>
      </c>
      <c r="Q84" s="62">
        <f t="shared" si="65"/>
        <v>0.85737429212780958</v>
      </c>
      <c r="R84" s="60">
        <v>742163572.72000003</v>
      </c>
      <c r="S84" s="62">
        <f t="shared" ref="S84" si="78">+R84/$M84</f>
        <v>0.85737429212780958</v>
      </c>
    </row>
    <row r="85" spans="1:19" ht="24.95" customHeight="1">
      <c r="A85" s="32" t="e">
        <v>#REF!</v>
      </c>
      <c r="B85" s="56" t="s">
        <v>609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46</v>
      </c>
      <c r="H85" s="57" t="s">
        <v>48</v>
      </c>
      <c r="I85" s="57"/>
      <c r="J85" s="57">
        <v>10</v>
      </c>
      <c r="K85" s="58" t="s">
        <v>29</v>
      </c>
      <c r="L85" s="59" t="s">
        <v>119</v>
      </c>
      <c r="M85" s="60">
        <v>368000000</v>
      </c>
      <c r="N85" s="60">
        <v>191577000</v>
      </c>
      <c r="O85" s="62">
        <f t="shared" si="65"/>
        <v>0.52058967391304345</v>
      </c>
      <c r="P85" s="60">
        <v>190369700</v>
      </c>
      <c r="Q85" s="62">
        <f t="shared" si="65"/>
        <v>0.51730896739130439</v>
      </c>
      <c r="R85" s="60">
        <v>190369700</v>
      </c>
      <c r="S85" s="62">
        <f t="shared" ref="S85" si="79">+R85/$M85</f>
        <v>0.51730896739130439</v>
      </c>
    </row>
    <row r="86" spans="1:19" ht="24" customHeight="1">
      <c r="A86" s="32" t="e">
        <v>#REF!</v>
      </c>
      <c r="B86" s="52" t="s">
        <v>397</v>
      </c>
      <c r="C86" s="52" t="s">
        <v>23</v>
      </c>
      <c r="D86" s="52" t="s">
        <v>54</v>
      </c>
      <c r="E86" s="52" t="s">
        <v>54</v>
      </c>
      <c r="F86" s="52" t="s">
        <v>54</v>
      </c>
      <c r="G86" s="52" t="s">
        <v>48</v>
      </c>
      <c r="H86" s="52"/>
      <c r="I86" s="52"/>
      <c r="J86" s="53" t="s">
        <v>28</v>
      </c>
      <c r="K86" s="52" t="s">
        <v>29</v>
      </c>
      <c r="L86" s="52" t="s">
        <v>120</v>
      </c>
      <c r="M86" s="54">
        <v>1250283991</v>
      </c>
      <c r="N86" s="54">
        <v>1027725877.7</v>
      </c>
      <c r="O86" s="55">
        <f t="shared" si="65"/>
        <v>0.82199395105267736</v>
      </c>
      <c r="P86" s="54">
        <v>920291965.70000005</v>
      </c>
      <c r="Q86" s="55">
        <f t="shared" si="65"/>
        <v>0.73606634358641487</v>
      </c>
      <c r="R86" s="54">
        <v>920291965.70000005</v>
      </c>
      <c r="S86" s="55">
        <f t="shared" ref="S86" si="80">+R86/$M86</f>
        <v>0.73606634358641487</v>
      </c>
    </row>
    <row r="87" spans="1:19" ht="24.95" customHeight="1">
      <c r="A87" s="32" t="e">
        <v>#REF!</v>
      </c>
      <c r="B87" s="56" t="s">
        <v>611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34</v>
      </c>
      <c r="I87" s="57"/>
      <c r="J87" s="57">
        <v>10</v>
      </c>
      <c r="K87" s="58" t="s">
        <v>29</v>
      </c>
      <c r="L87" s="59" t="s">
        <v>121</v>
      </c>
      <c r="M87" s="60">
        <v>500000000</v>
      </c>
      <c r="N87" s="60">
        <v>500000000</v>
      </c>
      <c r="O87" s="62">
        <f t="shared" si="65"/>
        <v>1</v>
      </c>
      <c r="P87" s="60">
        <v>500000000</v>
      </c>
      <c r="Q87" s="62">
        <f t="shared" si="65"/>
        <v>1</v>
      </c>
      <c r="R87" s="60">
        <v>500000000</v>
      </c>
      <c r="S87" s="62">
        <f t="shared" ref="S87" si="81">+R87/$M87</f>
        <v>1</v>
      </c>
    </row>
    <row r="88" spans="1:19" ht="24.95" customHeight="1">
      <c r="A88" s="32" t="e">
        <v>#REF!</v>
      </c>
      <c r="B88" s="56" t="s">
        <v>613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36</v>
      </c>
      <c r="I88" s="57"/>
      <c r="J88" s="57">
        <v>10</v>
      </c>
      <c r="K88" s="58" t="s">
        <v>29</v>
      </c>
      <c r="L88" s="59" t="s">
        <v>122</v>
      </c>
      <c r="M88" s="60">
        <v>222021366</v>
      </c>
      <c r="N88" s="60">
        <v>198100152</v>
      </c>
      <c r="O88" s="62">
        <f t="shared" si="65"/>
        <v>0.89225715330478594</v>
      </c>
      <c r="P88" s="60">
        <v>198100152</v>
      </c>
      <c r="Q88" s="62">
        <f t="shared" si="65"/>
        <v>0.89225715330478594</v>
      </c>
      <c r="R88" s="60">
        <v>198100152</v>
      </c>
      <c r="S88" s="62">
        <f t="shared" ref="S88" si="82">+R88/$M88</f>
        <v>0.89225715330478594</v>
      </c>
    </row>
    <row r="89" spans="1:19" ht="24.95" customHeight="1">
      <c r="A89" s="32" t="e">
        <v>#REF!</v>
      </c>
      <c r="B89" s="56" t="s">
        <v>615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38</v>
      </c>
      <c r="I89" s="57"/>
      <c r="J89" s="57">
        <v>10</v>
      </c>
      <c r="K89" s="58" t="s">
        <v>29</v>
      </c>
      <c r="L89" s="59" t="s">
        <v>123</v>
      </c>
      <c r="M89" s="60">
        <v>66000000</v>
      </c>
      <c r="N89" s="60">
        <v>64662764.700000003</v>
      </c>
      <c r="O89" s="62">
        <f t="shared" si="65"/>
        <v>0.97973885909090919</v>
      </c>
      <c r="P89" s="60">
        <v>64662764.700000003</v>
      </c>
      <c r="Q89" s="62">
        <f t="shared" si="65"/>
        <v>0.97973885909090919</v>
      </c>
      <c r="R89" s="60">
        <v>64662764.700000003</v>
      </c>
      <c r="S89" s="62">
        <f t="shared" ref="S89" si="83">+R89/$M89</f>
        <v>0.97973885909090919</v>
      </c>
    </row>
    <row r="90" spans="1:19" ht="24.95" customHeight="1">
      <c r="A90" s="32" t="e">
        <v>#REF!</v>
      </c>
      <c r="B90" s="56" t="s">
        <v>617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48</v>
      </c>
      <c r="H90" s="57" t="s">
        <v>42</v>
      </c>
      <c r="I90" s="57"/>
      <c r="J90" s="57">
        <v>10</v>
      </c>
      <c r="K90" s="58" t="s">
        <v>29</v>
      </c>
      <c r="L90" s="59" t="s">
        <v>124</v>
      </c>
      <c r="M90" s="60">
        <v>440829255</v>
      </c>
      <c r="N90" s="60">
        <v>250388269</v>
      </c>
      <c r="O90" s="62">
        <f t="shared" si="65"/>
        <v>0.5679937666568885</v>
      </c>
      <c r="P90" s="60">
        <v>157529049</v>
      </c>
      <c r="Q90" s="62">
        <f t="shared" si="65"/>
        <v>0.35734708441707208</v>
      </c>
      <c r="R90" s="60">
        <v>157529049</v>
      </c>
      <c r="S90" s="62">
        <f t="shared" ref="S90" si="84">+R90/$M90</f>
        <v>0.35734708441707208</v>
      </c>
    </row>
    <row r="91" spans="1:19" ht="24.95" customHeight="1">
      <c r="A91" s="32" t="e">
        <v>#REF!</v>
      </c>
      <c r="B91" s="56" t="s">
        <v>619</v>
      </c>
      <c r="C91" s="57" t="s">
        <v>23</v>
      </c>
      <c r="D91" s="57" t="s">
        <v>54</v>
      </c>
      <c r="E91" s="57" t="s">
        <v>54</v>
      </c>
      <c r="F91" s="57" t="s">
        <v>54</v>
      </c>
      <c r="G91" s="57" t="s">
        <v>48</v>
      </c>
      <c r="H91" s="57" t="s">
        <v>44</v>
      </c>
      <c r="I91" s="57"/>
      <c r="J91" s="57">
        <v>10</v>
      </c>
      <c r="K91" s="58" t="s">
        <v>29</v>
      </c>
      <c r="L91" s="59" t="s">
        <v>125</v>
      </c>
      <c r="M91" s="60">
        <v>21433370</v>
      </c>
      <c r="N91" s="60">
        <v>14574692</v>
      </c>
      <c r="O91" s="62">
        <f t="shared" si="65"/>
        <v>0.68000001866248749</v>
      </c>
      <c r="P91" s="60">
        <v>0</v>
      </c>
      <c r="Q91" s="62">
        <f t="shared" si="65"/>
        <v>0</v>
      </c>
      <c r="R91" s="60">
        <v>0</v>
      </c>
      <c r="S91" s="62">
        <f t="shared" ref="S91" si="85">+R91/$M91</f>
        <v>0</v>
      </c>
    </row>
    <row r="92" spans="1:19" ht="24.95" customHeight="1">
      <c r="A92" s="32" t="e">
        <v>#REF!</v>
      </c>
      <c r="B92" s="56" t="s">
        <v>399</v>
      </c>
      <c r="C92" s="57" t="s">
        <v>23</v>
      </c>
      <c r="D92" s="57" t="s">
        <v>54</v>
      </c>
      <c r="E92" s="57" t="s">
        <v>54</v>
      </c>
      <c r="F92" s="57" t="s">
        <v>54</v>
      </c>
      <c r="G92" s="57" t="s">
        <v>50</v>
      </c>
      <c r="H92" s="57"/>
      <c r="I92" s="57"/>
      <c r="J92" s="57" t="s">
        <v>28</v>
      </c>
      <c r="K92" s="58" t="s">
        <v>29</v>
      </c>
      <c r="L92" s="65" t="s">
        <v>126</v>
      </c>
      <c r="M92" s="66">
        <v>972000000</v>
      </c>
      <c r="N92" s="66">
        <v>887326554</v>
      </c>
      <c r="O92" s="67">
        <f t="shared" si="65"/>
        <v>0.91288740123456791</v>
      </c>
      <c r="P92" s="66">
        <v>878536896</v>
      </c>
      <c r="Q92" s="67">
        <f t="shared" si="65"/>
        <v>0.90384454320987651</v>
      </c>
      <c r="R92" s="66">
        <v>878536896</v>
      </c>
      <c r="S92" s="67">
        <f t="shared" ref="S92" si="86">+R92/$M92</f>
        <v>0.90384454320987651</v>
      </c>
    </row>
    <row r="93" spans="1:19" ht="24" customHeight="1">
      <c r="A93" s="32" t="e">
        <v>#REF!</v>
      </c>
      <c r="B93" s="38" t="s">
        <v>401</v>
      </c>
      <c r="C93" s="39" t="s">
        <v>23</v>
      </c>
      <c r="D93" s="39" t="s">
        <v>65</v>
      </c>
      <c r="E93" s="39"/>
      <c r="F93" s="39"/>
      <c r="G93" s="39"/>
      <c r="H93" s="39"/>
      <c r="I93" s="39"/>
      <c r="J93" s="39"/>
      <c r="K93" s="40"/>
      <c r="L93" s="38" t="s">
        <v>127</v>
      </c>
      <c r="M93" s="41">
        <v>3958214598</v>
      </c>
      <c r="N93" s="41">
        <v>3459301546.73</v>
      </c>
      <c r="O93" s="42">
        <f t="shared" si="65"/>
        <v>0.87395502721805685</v>
      </c>
      <c r="P93" s="41">
        <v>3459301546.73</v>
      </c>
      <c r="Q93" s="42">
        <f t="shared" si="65"/>
        <v>0.87395502721805685</v>
      </c>
      <c r="R93" s="41">
        <v>3459301546.73</v>
      </c>
      <c r="S93" s="42">
        <f t="shared" ref="S93" si="87">+R93/$M93</f>
        <v>0.87395502721805685</v>
      </c>
    </row>
    <row r="94" spans="1:19" ht="19.5" customHeight="1">
      <c r="A94" s="32" t="e">
        <v>#REF!</v>
      </c>
      <c r="B94" s="43" t="s">
        <v>621</v>
      </c>
      <c r="C94" s="44" t="s">
        <v>23</v>
      </c>
      <c r="D94" s="44" t="s">
        <v>65</v>
      </c>
      <c r="E94" s="44" t="s">
        <v>65</v>
      </c>
      <c r="F94" s="44"/>
      <c r="G94" s="44"/>
      <c r="H94" s="44"/>
      <c r="I94" s="44"/>
      <c r="J94" s="44"/>
      <c r="K94" s="45"/>
      <c r="L94" s="43" t="s">
        <v>128</v>
      </c>
      <c r="M94" s="46">
        <v>0</v>
      </c>
      <c r="N94" s="46">
        <v>0</v>
      </c>
      <c r="O94" s="47" t="e">
        <f t="shared" si="65"/>
        <v>#DIV/0!</v>
      </c>
      <c r="P94" s="46">
        <v>0</v>
      </c>
      <c r="Q94" s="47" t="e">
        <f t="shared" si="65"/>
        <v>#DIV/0!</v>
      </c>
      <c r="R94" s="46">
        <v>0</v>
      </c>
      <c r="S94" s="47" t="e">
        <f t="shared" ref="S94" si="88">+R94/$M94</f>
        <v>#DIV/0!</v>
      </c>
    </row>
    <row r="95" spans="1:19" ht="20.25" customHeight="1">
      <c r="A95" s="32" t="e">
        <v>#REF!</v>
      </c>
      <c r="B95" s="48" t="s">
        <v>623</v>
      </c>
      <c r="C95" s="48" t="s">
        <v>23</v>
      </c>
      <c r="D95" s="48" t="s">
        <v>65</v>
      </c>
      <c r="E95" s="48" t="s">
        <v>65</v>
      </c>
      <c r="F95" s="48" t="s">
        <v>25</v>
      </c>
      <c r="G95" s="48"/>
      <c r="H95" s="48"/>
      <c r="I95" s="48"/>
      <c r="J95" s="49"/>
      <c r="K95" s="48"/>
      <c r="L95" s="48" t="s">
        <v>129</v>
      </c>
      <c r="M95" s="50">
        <v>0</v>
      </c>
      <c r="N95" s="50">
        <v>0</v>
      </c>
      <c r="O95" s="51" t="e">
        <f t="shared" si="65"/>
        <v>#DIV/0!</v>
      </c>
      <c r="P95" s="50">
        <v>0</v>
      </c>
      <c r="Q95" s="51" t="e">
        <f t="shared" si="65"/>
        <v>#DIV/0!</v>
      </c>
      <c r="R95" s="50">
        <v>0</v>
      </c>
      <c r="S95" s="51" t="e">
        <f t="shared" ref="S95" si="89">+R95/$M95</f>
        <v>#DIV/0!</v>
      </c>
    </row>
    <row r="96" spans="1:19" ht="24.95" customHeight="1">
      <c r="A96" s="32" t="e">
        <v>#REF!</v>
      </c>
      <c r="B96" s="56" t="s">
        <v>625</v>
      </c>
      <c r="C96" s="57" t="s">
        <v>23</v>
      </c>
      <c r="D96" s="57" t="s">
        <v>65</v>
      </c>
      <c r="E96" s="57" t="s">
        <v>65</v>
      </c>
      <c r="F96" s="57" t="s">
        <v>25</v>
      </c>
      <c r="G96" s="57" t="s">
        <v>130</v>
      </c>
      <c r="H96" s="57"/>
      <c r="I96" s="57"/>
      <c r="J96" s="57">
        <v>54</v>
      </c>
      <c r="K96" s="58" t="s">
        <v>29</v>
      </c>
      <c r="L96" s="59" t="s">
        <v>131</v>
      </c>
      <c r="M96" s="60">
        <v>0</v>
      </c>
      <c r="N96" s="61"/>
      <c r="O96" s="62" t="e">
        <f t="shared" si="65"/>
        <v>#DIV/0!</v>
      </c>
      <c r="P96" s="60"/>
      <c r="Q96" s="62" t="e">
        <f t="shared" si="65"/>
        <v>#DIV/0!</v>
      </c>
      <c r="R96" s="60"/>
      <c r="S96" s="62" t="e">
        <f t="shared" ref="S96" si="90">+R96/$M96</f>
        <v>#DIV/0!</v>
      </c>
    </row>
    <row r="97" spans="1:21" ht="24.95" customHeight="1">
      <c r="A97" s="32" t="e">
        <v>#REF!</v>
      </c>
      <c r="B97" s="56" t="s">
        <v>625</v>
      </c>
      <c r="C97" s="57" t="s">
        <v>23</v>
      </c>
      <c r="D97" s="57" t="s">
        <v>65</v>
      </c>
      <c r="E97" s="57" t="s">
        <v>65</v>
      </c>
      <c r="F97" s="57" t="s">
        <v>25</v>
      </c>
      <c r="G97" s="57" t="s">
        <v>130</v>
      </c>
      <c r="H97" s="57"/>
      <c r="I97" s="57"/>
      <c r="J97" s="57">
        <v>54</v>
      </c>
      <c r="K97" s="58" t="s">
        <v>29</v>
      </c>
      <c r="L97" s="59" t="s">
        <v>132</v>
      </c>
      <c r="M97" s="60">
        <v>0</v>
      </c>
      <c r="N97" s="61"/>
      <c r="O97" s="62" t="e">
        <f t="shared" si="65"/>
        <v>#DIV/0!</v>
      </c>
      <c r="P97" s="60"/>
      <c r="Q97" s="62" t="e">
        <f t="shared" si="65"/>
        <v>#DIV/0!</v>
      </c>
      <c r="R97" s="60"/>
      <c r="S97" s="62" t="e">
        <f t="shared" ref="S97" si="91">+R97/$M97</f>
        <v>#DIV/0!</v>
      </c>
    </row>
    <row r="98" spans="1:21" ht="24.95" customHeight="1">
      <c r="A98" s="32" t="e">
        <v>#REF!</v>
      </c>
      <c r="B98" s="56" t="s">
        <v>625</v>
      </c>
      <c r="C98" s="57" t="s">
        <v>23</v>
      </c>
      <c r="D98" s="57" t="s">
        <v>65</v>
      </c>
      <c r="E98" s="57" t="s">
        <v>65</v>
      </c>
      <c r="F98" s="57" t="s">
        <v>25</v>
      </c>
      <c r="G98" s="57" t="s">
        <v>130</v>
      </c>
      <c r="H98" s="57"/>
      <c r="I98" s="57"/>
      <c r="J98" s="57">
        <v>54</v>
      </c>
      <c r="K98" s="58" t="s">
        <v>29</v>
      </c>
      <c r="L98" s="59" t="s">
        <v>133</v>
      </c>
      <c r="M98" s="60">
        <v>0</v>
      </c>
      <c r="N98" s="61"/>
      <c r="O98" s="62" t="e">
        <f t="shared" si="65"/>
        <v>#DIV/0!</v>
      </c>
      <c r="P98" s="60"/>
      <c r="Q98" s="62" t="e">
        <f t="shared" si="65"/>
        <v>#DIV/0!</v>
      </c>
      <c r="R98" s="60"/>
      <c r="S98" s="62" t="e">
        <f t="shared" ref="S98" si="92">+R98/$M98</f>
        <v>#DIV/0!</v>
      </c>
    </row>
    <row r="99" spans="1:21" ht="24.95" customHeight="1">
      <c r="A99" s="32" t="e">
        <v>#REF!</v>
      </c>
      <c r="B99" s="56" t="s">
        <v>627</v>
      </c>
      <c r="C99" s="57" t="s">
        <v>23</v>
      </c>
      <c r="D99" s="57" t="s">
        <v>65</v>
      </c>
      <c r="E99" s="57" t="s">
        <v>65</v>
      </c>
      <c r="F99" s="57" t="s">
        <v>25</v>
      </c>
      <c r="G99" s="57" t="s">
        <v>134</v>
      </c>
      <c r="H99" s="57"/>
      <c r="I99" s="57"/>
      <c r="J99" s="57" t="s">
        <v>28</v>
      </c>
      <c r="K99" s="58" t="s">
        <v>29</v>
      </c>
      <c r="L99" s="59" t="s">
        <v>135</v>
      </c>
      <c r="M99" s="60">
        <v>0</v>
      </c>
      <c r="N99" s="61">
        <v>0</v>
      </c>
      <c r="O99" s="62" t="e">
        <f t="shared" si="65"/>
        <v>#DIV/0!</v>
      </c>
      <c r="P99" s="60">
        <v>0</v>
      </c>
      <c r="Q99" s="62" t="e">
        <f t="shared" si="65"/>
        <v>#DIV/0!</v>
      </c>
      <c r="R99" s="60">
        <v>0</v>
      </c>
      <c r="S99" s="62" t="e">
        <f t="shared" ref="S99" si="93">+R99/$M99</f>
        <v>#DIV/0!</v>
      </c>
    </row>
    <row r="100" spans="1:21" ht="24.95" customHeight="1">
      <c r="A100" s="32" t="e">
        <v>#REF!</v>
      </c>
      <c r="B100" s="56" t="s">
        <v>627</v>
      </c>
      <c r="C100" s="57" t="s">
        <v>23</v>
      </c>
      <c r="D100" s="57" t="s">
        <v>65</v>
      </c>
      <c r="E100" s="57" t="s">
        <v>65</v>
      </c>
      <c r="F100" s="57" t="s">
        <v>25</v>
      </c>
      <c r="G100" s="57" t="s">
        <v>134</v>
      </c>
      <c r="H100" s="57"/>
      <c r="I100" s="57"/>
      <c r="J100" s="57">
        <v>11</v>
      </c>
      <c r="K100" s="58" t="s">
        <v>29</v>
      </c>
      <c r="L100" s="59" t="s">
        <v>135</v>
      </c>
      <c r="M100" s="60">
        <v>0</v>
      </c>
      <c r="N100" s="61"/>
      <c r="O100" s="62" t="e">
        <f t="shared" si="65"/>
        <v>#DIV/0!</v>
      </c>
      <c r="P100" s="60"/>
      <c r="Q100" s="62" t="e">
        <f t="shared" si="65"/>
        <v>#DIV/0!</v>
      </c>
      <c r="R100" s="60"/>
      <c r="S100" s="62" t="e">
        <f t="shared" ref="S100" si="94">+R100/$M100</f>
        <v>#DIV/0!</v>
      </c>
    </row>
    <row r="101" spans="1:21" ht="24" customHeight="1">
      <c r="A101" s="32" t="e">
        <v>#REF!</v>
      </c>
      <c r="B101" s="43" t="s">
        <v>403</v>
      </c>
      <c r="C101" s="44" t="s">
        <v>23</v>
      </c>
      <c r="D101" s="44" t="s">
        <v>65</v>
      </c>
      <c r="E101" s="44" t="s">
        <v>136</v>
      </c>
      <c r="F101" s="44"/>
      <c r="G101" s="44"/>
      <c r="H101" s="44"/>
      <c r="I101" s="44"/>
      <c r="J101" s="44"/>
      <c r="K101" s="45"/>
      <c r="L101" s="43" t="s">
        <v>137</v>
      </c>
      <c r="M101" s="46">
        <v>719000000</v>
      </c>
      <c r="N101" s="46">
        <v>251561202</v>
      </c>
      <c r="O101" s="47">
        <f t="shared" si="65"/>
        <v>0.34987649791376912</v>
      </c>
      <c r="P101" s="46">
        <v>251561202</v>
      </c>
      <c r="Q101" s="47">
        <f t="shared" si="65"/>
        <v>0.34987649791376912</v>
      </c>
      <c r="R101" s="46">
        <v>251561202</v>
      </c>
      <c r="S101" s="47">
        <f t="shared" ref="S101" si="95">+R101/$M101</f>
        <v>0.34987649791376912</v>
      </c>
    </row>
    <row r="102" spans="1:21" ht="21" customHeight="1">
      <c r="A102" s="32" t="e">
        <v>#REF!</v>
      </c>
      <c r="B102" s="48" t="s">
        <v>405</v>
      </c>
      <c r="C102" s="48" t="s">
        <v>23</v>
      </c>
      <c r="D102" s="48" t="s">
        <v>65</v>
      </c>
      <c r="E102" s="48" t="s">
        <v>136</v>
      </c>
      <c r="F102" s="48" t="s">
        <v>54</v>
      </c>
      <c r="G102" s="48"/>
      <c r="H102" s="48"/>
      <c r="I102" s="48"/>
      <c r="J102" s="49" t="s">
        <v>28</v>
      </c>
      <c r="K102" s="48" t="s">
        <v>29</v>
      </c>
      <c r="L102" s="48" t="s">
        <v>138</v>
      </c>
      <c r="M102" s="50">
        <v>719000000</v>
      </c>
      <c r="N102" s="50">
        <v>251561202</v>
      </c>
      <c r="O102" s="51">
        <f t="shared" si="65"/>
        <v>0.34987649791376912</v>
      </c>
      <c r="P102" s="50">
        <v>251561202</v>
      </c>
      <c r="Q102" s="51">
        <f t="shared" si="65"/>
        <v>0.34987649791376912</v>
      </c>
      <c r="R102" s="50">
        <v>251561202</v>
      </c>
      <c r="S102" s="51">
        <f t="shared" ref="S102" si="96">+R102/$M102</f>
        <v>0.34987649791376912</v>
      </c>
    </row>
    <row r="103" spans="1:21" ht="21" customHeight="1">
      <c r="A103" s="32" t="e">
        <v>#REF!</v>
      </c>
      <c r="B103" s="52" t="s">
        <v>407</v>
      </c>
      <c r="C103" s="52" t="s">
        <v>23</v>
      </c>
      <c r="D103" s="52" t="s">
        <v>65</v>
      </c>
      <c r="E103" s="52" t="s">
        <v>136</v>
      </c>
      <c r="F103" s="52" t="s">
        <v>54</v>
      </c>
      <c r="G103" s="52" t="s">
        <v>52</v>
      </c>
      <c r="H103" s="52"/>
      <c r="I103" s="52"/>
      <c r="J103" s="53" t="s">
        <v>28</v>
      </c>
      <c r="K103" s="52" t="s">
        <v>29</v>
      </c>
      <c r="L103" s="52" t="s">
        <v>139</v>
      </c>
      <c r="M103" s="54">
        <v>719000000</v>
      </c>
      <c r="N103" s="54">
        <v>251561202</v>
      </c>
      <c r="O103" s="55">
        <f t="shared" si="65"/>
        <v>0.34987649791376912</v>
      </c>
      <c r="P103" s="54">
        <v>251561202</v>
      </c>
      <c r="Q103" s="55">
        <f t="shared" si="65"/>
        <v>0.34987649791376912</v>
      </c>
      <c r="R103" s="54">
        <v>251561202</v>
      </c>
      <c r="S103" s="55">
        <f t="shared" ref="S103" si="97">+R103/$M103</f>
        <v>0.34987649791376912</v>
      </c>
    </row>
    <row r="104" spans="1:21" ht="24.95" customHeight="1">
      <c r="A104" s="32" t="e">
        <v>#REF!</v>
      </c>
      <c r="B104" s="56" t="s">
        <v>409</v>
      </c>
      <c r="C104" s="57" t="s">
        <v>23</v>
      </c>
      <c r="D104" s="57" t="s">
        <v>65</v>
      </c>
      <c r="E104" s="57" t="s">
        <v>136</v>
      </c>
      <c r="F104" s="57" t="s">
        <v>54</v>
      </c>
      <c r="G104" s="57" t="s">
        <v>52</v>
      </c>
      <c r="H104" s="57" t="s">
        <v>31</v>
      </c>
      <c r="I104" s="57"/>
      <c r="J104" s="57" t="s">
        <v>28</v>
      </c>
      <c r="K104" s="58" t="s">
        <v>29</v>
      </c>
      <c r="L104" s="59" t="s">
        <v>140</v>
      </c>
      <c r="M104" s="60">
        <v>381200000</v>
      </c>
      <c r="N104" s="60">
        <v>228950880</v>
      </c>
      <c r="O104" s="62">
        <f t="shared" si="65"/>
        <v>0.60060566631689405</v>
      </c>
      <c r="P104" s="60">
        <v>228950880</v>
      </c>
      <c r="Q104" s="62">
        <f t="shared" si="65"/>
        <v>0.60060566631689405</v>
      </c>
      <c r="R104" s="60">
        <v>228950880</v>
      </c>
      <c r="S104" s="62">
        <f t="shared" ref="S104" si="98">+R104/$M104</f>
        <v>0.60060566631689405</v>
      </c>
    </row>
    <row r="105" spans="1:21" ht="24.95" customHeight="1">
      <c r="A105" s="32" t="e">
        <v>#REF!</v>
      </c>
      <c r="B105" s="56" t="s">
        <v>411</v>
      </c>
      <c r="C105" s="57" t="s">
        <v>23</v>
      </c>
      <c r="D105" s="57" t="s">
        <v>65</v>
      </c>
      <c r="E105" s="57" t="s">
        <v>136</v>
      </c>
      <c r="F105" s="57" t="s">
        <v>54</v>
      </c>
      <c r="G105" s="57" t="s">
        <v>52</v>
      </c>
      <c r="H105" s="57" t="s">
        <v>34</v>
      </c>
      <c r="I105" s="57"/>
      <c r="J105" s="57" t="s">
        <v>28</v>
      </c>
      <c r="K105" s="58" t="s">
        <v>29</v>
      </c>
      <c r="L105" s="59" t="s">
        <v>141</v>
      </c>
      <c r="M105" s="60">
        <v>337800000</v>
      </c>
      <c r="N105" s="60">
        <v>22610322</v>
      </c>
      <c r="O105" s="62">
        <f t="shared" si="65"/>
        <v>6.6934049733570158E-2</v>
      </c>
      <c r="P105" s="60">
        <v>22610322</v>
      </c>
      <c r="Q105" s="62">
        <f t="shared" si="65"/>
        <v>6.6934049733570158E-2</v>
      </c>
      <c r="R105" s="60">
        <v>22610322</v>
      </c>
      <c r="S105" s="62">
        <f t="shared" ref="S105" si="99">+R105/$M105</f>
        <v>6.6934049733570158E-2</v>
      </c>
    </row>
    <row r="106" spans="1:21" ht="24.95" hidden="1" customHeight="1">
      <c r="A106" s="32" t="e">
        <v>#REF!</v>
      </c>
      <c r="B106" s="56"/>
      <c r="C106" s="57" t="s">
        <v>23</v>
      </c>
      <c r="D106" s="57" t="s">
        <v>65</v>
      </c>
      <c r="E106" s="57" t="s">
        <v>136</v>
      </c>
      <c r="F106" s="57" t="s">
        <v>54</v>
      </c>
      <c r="G106" s="57" t="s">
        <v>142</v>
      </c>
      <c r="H106" s="57"/>
      <c r="I106" s="57"/>
      <c r="J106" s="57" t="s">
        <v>28</v>
      </c>
      <c r="K106" s="58" t="s">
        <v>29</v>
      </c>
      <c r="L106" s="59"/>
      <c r="M106" s="60">
        <v>0</v>
      </c>
      <c r="N106" s="60">
        <v>0</v>
      </c>
      <c r="O106" s="62" t="e">
        <f t="shared" si="65"/>
        <v>#DIV/0!</v>
      </c>
      <c r="P106" s="60">
        <v>0</v>
      </c>
      <c r="Q106" s="62" t="e">
        <f t="shared" si="65"/>
        <v>#DIV/0!</v>
      </c>
      <c r="R106" s="60">
        <v>0</v>
      </c>
      <c r="S106" s="62" t="e">
        <f t="shared" ref="S106" si="100">+R106/$M106</f>
        <v>#DIV/0!</v>
      </c>
    </row>
    <row r="107" spans="1:21" ht="24" customHeight="1">
      <c r="A107" s="32" t="e">
        <v>#REF!</v>
      </c>
      <c r="B107" s="43" t="s">
        <v>415</v>
      </c>
      <c r="C107" s="44" t="s">
        <v>23</v>
      </c>
      <c r="D107" s="44" t="s">
        <v>65</v>
      </c>
      <c r="E107" s="44" t="s">
        <v>28</v>
      </c>
      <c r="F107" s="44"/>
      <c r="G107" s="44"/>
      <c r="H107" s="44"/>
      <c r="I107" s="44"/>
      <c r="J107" s="44"/>
      <c r="K107" s="45"/>
      <c r="L107" s="43" t="s">
        <v>143</v>
      </c>
      <c r="M107" s="46">
        <v>3239214598</v>
      </c>
      <c r="N107" s="46">
        <v>3207740344.73</v>
      </c>
      <c r="O107" s="47">
        <f t="shared" si="65"/>
        <v>0.99028336891003355</v>
      </c>
      <c r="P107" s="46">
        <v>3207740344.73</v>
      </c>
      <c r="Q107" s="47">
        <f t="shared" si="65"/>
        <v>0.99028336891003355</v>
      </c>
      <c r="R107" s="46">
        <v>3207740344.73</v>
      </c>
      <c r="S107" s="47">
        <f t="shared" ref="S107" si="101">+R107/$M107</f>
        <v>0.99028336891003355</v>
      </c>
    </row>
    <row r="108" spans="1:21" ht="21.75" customHeight="1">
      <c r="A108" s="32" t="e">
        <v>#REF!</v>
      </c>
      <c r="B108" s="48" t="s">
        <v>417</v>
      </c>
      <c r="C108" s="48" t="s">
        <v>23</v>
      </c>
      <c r="D108" s="48" t="s">
        <v>65</v>
      </c>
      <c r="E108" s="48" t="s">
        <v>28</v>
      </c>
      <c r="F108" s="48" t="s">
        <v>25</v>
      </c>
      <c r="G108" s="48"/>
      <c r="H108" s="48"/>
      <c r="I108" s="48"/>
      <c r="J108" s="49" t="s">
        <v>144</v>
      </c>
      <c r="K108" s="48" t="s">
        <v>29</v>
      </c>
      <c r="L108" s="48" t="s">
        <v>145</v>
      </c>
      <c r="M108" s="50">
        <v>3239214598</v>
      </c>
      <c r="N108" s="50">
        <v>3207740344.73</v>
      </c>
      <c r="O108" s="51">
        <f t="shared" si="65"/>
        <v>0.99028336891003355</v>
      </c>
      <c r="P108" s="50">
        <v>3207740344.73</v>
      </c>
      <c r="Q108" s="51">
        <f t="shared" si="65"/>
        <v>0.99028336891003355</v>
      </c>
      <c r="R108" s="50">
        <v>3207740344.73</v>
      </c>
      <c r="S108" s="51">
        <f t="shared" ref="S108" si="102">+R108/$M108</f>
        <v>0.99028336891003355</v>
      </c>
    </row>
    <row r="109" spans="1:21" ht="24.95" customHeight="1">
      <c r="A109" s="32" t="e">
        <v>#REF!</v>
      </c>
      <c r="B109" s="56" t="s">
        <v>418</v>
      </c>
      <c r="C109" s="57" t="s">
        <v>23</v>
      </c>
      <c r="D109" s="57" t="s">
        <v>65</v>
      </c>
      <c r="E109" s="57" t="s">
        <v>28</v>
      </c>
      <c r="F109" s="57" t="s">
        <v>25</v>
      </c>
      <c r="G109" s="57" t="s">
        <v>31</v>
      </c>
      <c r="H109" s="57"/>
      <c r="I109" s="57"/>
      <c r="J109" s="57">
        <v>10</v>
      </c>
      <c r="K109" s="58" t="s">
        <v>29</v>
      </c>
      <c r="L109" s="59" t="s">
        <v>146</v>
      </c>
      <c r="M109" s="60">
        <v>3219802005</v>
      </c>
      <c r="N109" s="60">
        <v>3188327751.73</v>
      </c>
      <c r="O109" s="62">
        <f t="shared" si="65"/>
        <v>0.99022478611382814</v>
      </c>
      <c r="P109" s="60">
        <v>3188327751.73</v>
      </c>
      <c r="Q109" s="62">
        <f t="shared" si="65"/>
        <v>0.99022478611382814</v>
      </c>
      <c r="R109" s="60">
        <v>3188327751.73</v>
      </c>
      <c r="S109" s="62">
        <f t="shared" ref="S109" si="103">+R109/$M109</f>
        <v>0.99022478611382814</v>
      </c>
    </row>
    <row r="110" spans="1:21" ht="24.95" customHeight="1">
      <c r="A110" s="32" t="e">
        <v>#REF!</v>
      </c>
      <c r="B110" s="56" t="s">
        <v>419</v>
      </c>
      <c r="C110" s="57" t="s">
        <v>23</v>
      </c>
      <c r="D110" s="57" t="s">
        <v>65</v>
      </c>
      <c r="E110" s="57" t="s">
        <v>28</v>
      </c>
      <c r="F110" s="57" t="s">
        <v>25</v>
      </c>
      <c r="G110" s="57" t="s">
        <v>34</v>
      </c>
      <c r="H110" s="57"/>
      <c r="I110" s="57"/>
      <c r="J110" s="57">
        <v>10</v>
      </c>
      <c r="K110" s="58" t="s">
        <v>29</v>
      </c>
      <c r="L110" s="59" t="s">
        <v>147</v>
      </c>
      <c r="M110" s="60">
        <v>19412593</v>
      </c>
      <c r="N110" s="60">
        <v>19412593</v>
      </c>
      <c r="O110" s="62">
        <f t="shared" si="65"/>
        <v>1</v>
      </c>
      <c r="P110" s="60">
        <v>19412593</v>
      </c>
      <c r="Q110" s="62">
        <f t="shared" si="65"/>
        <v>1</v>
      </c>
      <c r="R110" s="60">
        <v>19412593</v>
      </c>
      <c r="S110" s="62">
        <f t="shared" ref="S110" si="104">+R110/$M110</f>
        <v>1</v>
      </c>
    </row>
    <row r="111" spans="1:21" ht="24" customHeight="1">
      <c r="A111" s="32" t="e">
        <v>#REF!</v>
      </c>
      <c r="B111" s="38" t="s">
        <v>421</v>
      </c>
      <c r="C111" s="39" t="s">
        <v>23</v>
      </c>
      <c r="D111" s="39" t="s">
        <v>148</v>
      </c>
      <c r="E111" s="39"/>
      <c r="F111" s="39"/>
      <c r="G111" s="39"/>
      <c r="H111" s="39"/>
      <c r="I111" s="39"/>
      <c r="J111" s="39"/>
      <c r="K111" s="40"/>
      <c r="L111" s="38" t="s">
        <v>149</v>
      </c>
      <c r="M111" s="41">
        <v>27730270445</v>
      </c>
      <c r="N111" s="41">
        <v>27710665729.5</v>
      </c>
      <c r="O111" s="42">
        <f t="shared" si="65"/>
        <v>0.99929302112148943</v>
      </c>
      <c r="P111" s="41">
        <v>27693005129.5</v>
      </c>
      <c r="Q111" s="42">
        <f t="shared" si="65"/>
        <v>0.99865615030427091</v>
      </c>
      <c r="R111" s="41">
        <v>27693005129.5</v>
      </c>
      <c r="S111" s="42">
        <f t="shared" ref="S111" si="105">+R111/$M111</f>
        <v>0.99865615030427091</v>
      </c>
    </row>
    <row r="112" spans="1:21" ht="24" customHeight="1">
      <c r="A112" s="32" t="e">
        <v>#REF!</v>
      </c>
      <c r="B112" s="43" t="s">
        <v>423</v>
      </c>
      <c r="C112" s="44" t="s">
        <v>23</v>
      </c>
      <c r="D112" s="44" t="s">
        <v>148</v>
      </c>
      <c r="E112" s="44" t="s">
        <v>25</v>
      </c>
      <c r="F112" s="44"/>
      <c r="G112" s="44"/>
      <c r="H112" s="44"/>
      <c r="I112" s="44"/>
      <c r="J112" s="44"/>
      <c r="K112" s="45"/>
      <c r="L112" s="43" t="s">
        <v>150</v>
      </c>
      <c r="M112" s="46">
        <v>116900000</v>
      </c>
      <c r="N112" s="46">
        <v>101532684.5</v>
      </c>
      <c r="O112" s="47">
        <f t="shared" si="65"/>
        <v>0.86854306672369541</v>
      </c>
      <c r="P112" s="46">
        <v>99851684.5</v>
      </c>
      <c r="Q112" s="47">
        <f t="shared" si="65"/>
        <v>0.85416325491873391</v>
      </c>
      <c r="R112" s="46">
        <v>99851684.5</v>
      </c>
      <c r="S112" s="47">
        <f t="shared" ref="S112" si="106">+R112/$M112</f>
        <v>0.85416325491873391</v>
      </c>
    </row>
    <row r="113" spans="1:19" ht="24" customHeight="1">
      <c r="A113" s="32" t="e">
        <v>#REF!</v>
      </c>
      <c r="B113" s="48" t="s">
        <v>425</v>
      </c>
      <c r="C113" s="48" t="s">
        <v>23</v>
      </c>
      <c r="D113" s="48" t="s">
        <v>148</v>
      </c>
      <c r="E113" s="48" t="s">
        <v>25</v>
      </c>
      <c r="F113" s="48" t="s">
        <v>54</v>
      </c>
      <c r="G113" s="48"/>
      <c r="H113" s="48"/>
      <c r="I113" s="48"/>
      <c r="J113" s="49" t="s">
        <v>28</v>
      </c>
      <c r="K113" s="48" t="s">
        <v>29</v>
      </c>
      <c r="L113" s="48" t="s">
        <v>151</v>
      </c>
      <c r="M113" s="50">
        <v>116900000</v>
      </c>
      <c r="N113" s="50">
        <v>101532684.5</v>
      </c>
      <c r="O113" s="51">
        <f t="shared" si="65"/>
        <v>0.86854306672369541</v>
      </c>
      <c r="P113" s="50">
        <v>99851684.5</v>
      </c>
      <c r="Q113" s="51">
        <f t="shared" si="65"/>
        <v>0.85416325491873391</v>
      </c>
      <c r="R113" s="50">
        <v>99851684.5</v>
      </c>
      <c r="S113" s="51">
        <f t="shared" ref="S113" si="107">+R113/$M113</f>
        <v>0.85416325491873391</v>
      </c>
    </row>
    <row r="114" spans="1:19" ht="24.95" customHeight="1">
      <c r="A114" s="32" t="e">
        <v>#REF!</v>
      </c>
      <c r="B114" s="56" t="s">
        <v>427</v>
      </c>
      <c r="C114" s="57" t="s">
        <v>23</v>
      </c>
      <c r="D114" s="57" t="s">
        <v>148</v>
      </c>
      <c r="E114" s="57" t="s">
        <v>25</v>
      </c>
      <c r="F114" s="57" t="s">
        <v>54</v>
      </c>
      <c r="G114" s="57" t="s">
        <v>31</v>
      </c>
      <c r="H114" s="57"/>
      <c r="I114" s="57"/>
      <c r="J114" s="57" t="s">
        <v>28</v>
      </c>
      <c r="K114" s="58" t="s">
        <v>29</v>
      </c>
      <c r="L114" s="59" t="s">
        <v>152</v>
      </c>
      <c r="M114" s="60">
        <v>53800000</v>
      </c>
      <c r="N114" s="60">
        <v>46149614</v>
      </c>
      <c r="O114" s="62">
        <f t="shared" si="65"/>
        <v>0.85779951672862453</v>
      </c>
      <c r="P114" s="60">
        <v>46149614</v>
      </c>
      <c r="Q114" s="62">
        <f t="shared" si="65"/>
        <v>0.85779951672862453</v>
      </c>
      <c r="R114" s="60">
        <v>46149614</v>
      </c>
      <c r="S114" s="62">
        <f t="shared" ref="S114" si="108">+R114/$M114</f>
        <v>0.85779951672862453</v>
      </c>
    </row>
    <row r="115" spans="1:19" ht="24.95" customHeight="1">
      <c r="A115" s="32" t="e">
        <v>#REF!</v>
      </c>
      <c r="B115" s="56" t="s">
        <v>429</v>
      </c>
      <c r="C115" s="57" t="s">
        <v>23</v>
      </c>
      <c r="D115" s="57" t="s">
        <v>148</v>
      </c>
      <c r="E115" s="57" t="s">
        <v>25</v>
      </c>
      <c r="F115" s="57" t="s">
        <v>54</v>
      </c>
      <c r="G115" s="57" t="s">
        <v>38</v>
      </c>
      <c r="H115" s="57"/>
      <c r="I115" s="57"/>
      <c r="J115" s="57" t="s">
        <v>28</v>
      </c>
      <c r="K115" s="58" t="s">
        <v>29</v>
      </c>
      <c r="L115" s="59" t="s">
        <v>153</v>
      </c>
      <c r="M115" s="60">
        <v>50000000</v>
      </c>
      <c r="N115" s="60">
        <v>46604920.5</v>
      </c>
      <c r="O115" s="62">
        <f t="shared" si="65"/>
        <v>0.93209841000000004</v>
      </c>
      <c r="P115" s="60">
        <v>46604920.5</v>
      </c>
      <c r="Q115" s="62">
        <f t="shared" si="65"/>
        <v>0.93209841000000004</v>
      </c>
      <c r="R115" s="60">
        <v>46604920.5</v>
      </c>
      <c r="S115" s="62">
        <f t="shared" ref="S115" si="109">+R115/$M115</f>
        <v>0.93209841000000004</v>
      </c>
    </row>
    <row r="116" spans="1:19" ht="24.95" customHeight="1">
      <c r="A116" s="32" t="e">
        <v>#REF!</v>
      </c>
      <c r="B116" s="56" t="s">
        <v>431</v>
      </c>
      <c r="C116" s="57" t="s">
        <v>23</v>
      </c>
      <c r="D116" s="57" t="s">
        <v>148</v>
      </c>
      <c r="E116" s="57" t="s">
        <v>25</v>
      </c>
      <c r="F116" s="57" t="s">
        <v>54</v>
      </c>
      <c r="G116" s="57" t="s">
        <v>42</v>
      </c>
      <c r="H116" s="57"/>
      <c r="I116" s="57"/>
      <c r="J116" s="57" t="s">
        <v>28</v>
      </c>
      <c r="K116" s="58" t="s">
        <v>29</v>
      </c>
      <c r="L116" s="59" t="s">
        <v>154</v>
      </c>
      <c r="M116" s="60">
        <v>13100000</v>
      </c>
      <c r="N116" s="60">
        <v>8778150</v>
      </c>
      <c r="O116" s="62">
        <f t="shared" si="65"/>
        <v>0.67008778625954202</v>
      </c>
      <c r="P116" s="60">
        <v>7097150</v>
      </c>
      <c r="Q116" s="62">
        <f t="shared" si="65"/>
        <v>0.54176717557251908</v>
      </c>
      <c r="R116" s="60">
        <v>7097150</v>
      </c>
      <c r="S116" s="62">
        <f t="shared" ref="S116" si="110">+R116/$M116</f>
        <v>0.54176717557251908</v>
      </c>
    </row>
    <row r="117" spans="1:19" ht="24" customHeight="1">
      <c r="A117" s="32" t="e">
        <v>#REF!</v>
      </c>
      <c r="B117" s="43" t="s">
        <v>432</v>
      </c>
      <c r="C117" s="44" t="s">
        <v>23</v>
      </c>
      <c r="D117" s="44" t="s">
        <v>148</v>
      </c>
      <c r="E117" s="44" t="s">
        <v>136</v>
      </c>
      <c r="F117" s="44"/>
      <c r="G117" s="44"/>
      <c r="H117" s="44"/>
      <c r="I117" s="44"/>
      <c r="J117" s="44"/>
      <c r="K117" s="45"/>
      <c r="L117" s="43" t="s">
        <v>155</v>
      </c>
      <c r="M117" s="46">
        <v>27592370445</v>
      </c>
      <c r="N117" s="46">
        <v>27592370445</v>
      </c>
      <c r="O117" s="47">
        <f t="shared" si="65"/>
        <v>1</v>
      </c>
      <c r="P117" s="46">
        <v>27592370445</v>
      </c>
      <c r="Q117" s="47">
        <f t="shared" si="65"/>
        <v>1</v>
      </c>
      <c r="R117" s="46">
        <v>27592370445</v>
      </c>
      <c r="S117" s="47">
        <f t="shared" ref="S117" si="111">+R117/$M117</f>
        <v>1</v>
      </c>
    </row>
    <row r="118" spans="1:19" ht="24.95" customHeight="1">
      <c r="A118" s="32"/>
      <c r="B118" s="56" t="s">
        <v>434</v>
      </c>
      <c r="C118" s="57" t="s">
        <v>23</v>
      </c>
      <c r="D118" s="57" t="s">
        <v>148</v>
      </c>
      <c r="E118" s="57" t="s">
        <v>136</v>
      </c>
      <c r="F118" s="57" t="s">
        <v>25</v>
      </c>
      <c r="G118" s="57"/>
      <c r="H118" s="57"/>
      <c r="I118" s="57"/>
      <c r="J118" s="57">
        <v>10</v>
      </c>
      <c r="K118" s="58" t="s">
        <v>156</v>
      </c>
      <c r="L118" s="59" t="s">
        <v>157</v>
      </c>
      <c r="M118" s="60">
        <v>10624370445</v>
      </c>
      <c r="N118" s="60">
        <v>10624370445</v>
      </c>
      <c r="O118" s="62">
        <f t="shared" si="65"/>
        <v>1</v>
      </c>
      <c r="P118" s="60">
        <v>10624370445</v>
      </c>
      <c r="Q118" s="62">
        <f t="shared" si="65"/>
        <v>1</v>
      </c>
      <c r="R118" s="60">
        <v>10624370445</v>
      </c>
      <c r="S118" s="62">
        <f t="shared" ref="S118" si="112">+R118/$M118</f>
        <v>1</v>
      </c>
    </row>
    <row r="119" spans="1:19" ht="24.95" customHeight="1">
      <c r="A119" s="32" t="e">
        <v>#REF!</v>
      </c>
      <c r="B119" s="56" t="s">
        <v>434</v>
      </c>
      <c r="C119" s="57" t="s">
        <v>23</v>
      </c>
      <c r="D119" s="57" t="s">
        <v>148</v>
      </c>
      <c r="E119" s="57" t="s">
        <v>136</v>
      </c>
      <c r="F119" s="57" t="s">
        <v>25</v>
      </c>
      <c r="G119" s="57"/>
      <c r="H119" s="57"/>
      <c r="I119" s="57"/>
      <c r="J119" s="57" t="s">
        <v>144</v>
      </c>
      <c r="K119" s="58" t="s">
        <v>156</v>
      </c>
      <c r="L119" s="59" t="s">
        <v>157</v>
      </c>
      <c r="M119" s="60">
        <v>16968000000</v>
      </c>
      <c r="N119" s="61">
        <v>16968000000</v>
      </c>
      <c r="O119" s="62">
        <f t="shared" si="65"/>
        <v>1</v>
      </c>
      <c r="P119" s="60">
        <v>16968000000</v>
      </c>
      <c r="Q119" s="62">
        <f t="shared" si="65"/>
        <v>1</v>
      </c>
      <c r="R119" s="60">
        <v>16968000000</v>
      </c>
      <c r="S119" s="62">
        <f t="shared" ref="S119" si="113">+R119/$M119</f>
        <v>1</v>
      </c>
    </row>
    <row r="120" spans="1:19" ht="24" customHeight="1">
      <c r="A120" s="32" t="e">
        <v>#REF!</v>
      </c>
      <c r="B120" s="43" t="s">
        <v>726</v>
      </c>
      <c r="C120" s="44" t="s">
        <v>23</v>
      </c>
      <c r="D120" s="44" t="s">
        <v>148</v>
      </c>
      <c r="E120" s="68" t="s">
        <v>158</v>
      </c>
      <c r="F120" s="44"/>
      <c r="G120" s="44"/>
      <c r="H120" s="44"/>
      <c r="I120" s="44"/>
      <c r="J120" s="44"/>
      <c r="K120" s="45"/>
      <c r="L120" s="43" t="s">
        <v>159</v>
      </c>
      <c r="M120" s="46">
        <v>21000000</v>
      </c>
      <c r="N120" s="46">
        <v>16762600</v>
      </c>
      <c r="O120" s="47">
        <f t="shared" si="65"/>
        <v>0.79821904761904761</v>
      </c>
      <c r="P120" s="46">
        <v>783000</v>
      </c>
      <c r="Q120" s="47">
        <f t="shared" si="65"/>
        <v>3.7285714285714283E-2</v>
      </c>
      <c r="R120" s="46">
        <v>783000</v>
      </c>
      <c r="S120" s="47">
        <f t="shared" ref="S120" si="114">+R120/$M120</f>
        <v>3.7285714285714283E-2</v>
      </c>
    </row>
    <row r="121" spans="1:19" ht="24.95" customHeight="1">
      <c r="A121" s="32"/>
      <c r="B121" s="56" t="s">
        <v>727</v>
      </c>
      <c r="C121" s="57" t="s">
        <v>23</v>
      </c>
      <c r="D121" s="57" t="s">
        <v>148</v>
      </c>
      <c r="E121" s="57" t="s">
        <v>158</v>
      </c>
      <c r="F121" s="57" t="s">
        <v>25</v>
      </c>
      <c r="G121" s="57" t="s">
        <v>36</v>
      </c>
      <c r="H121" s="57"/>
      <c r="I121" s="57"/>
      <c r="J121" s="57" t="s">
        <v>28</v>
      </c>
      <c r="K121" s="58" t="s">
        <v>29</v>
      </c>
      <c r="L121" s="59" t="s">
        <v>160</v>
      </c>
      <c r="M121" s="60">
        <v>4000000</v>
      </c>
      <c r="N121" s="61">
        <v>3998600</v>
      </c>
      <c r="O121" s="62">
        <f t="shared" si="65"/>
        <v>0.99965000000000004</v>
      </c>
      <c r="P121" s="60">
        <v>780000</v>
      </c>
      <c r="Q121" s="62">
        <f t="shared" si="65"/>
        <v>0.19500000000000001</v>
      </c>
      <c r="R121" s="60">
        <v>780000</v>
      </c>
      <c r="S121" s="62">
        <f t="shared" ref="S121" si="115">+R121/$M121</f>
        <v>0.19500000000000001</v>
      </c>
    </row>
    <row r="122" spans="1:19" ht="24.95" customHeight="1">
      <c r="A122" s="32"/>
      <c r="B122" s="56" t="s">
        <v>728</v>
      </c>
      <c r="C122" s="57" t="s">
        <v>23</v>
      </c>
      <c r="D122" s="57" t="s">
        <v>148</v>
      </c>
      <c r="E122" s="57" t="s">
        <v>158</v>
      </c>
      <c r="F122" s="57" t="s">
        <v>54</v>
      </c>
      <c r="G122" s="57" t="s">
        <v>31</v>
      </c>
      <c r="H122" s="57"/>
      <c r="I122" s="57"/>
      <c r="J122" s="57" t="s">
        <v>28</v>
      </c>
      <c r="K122" s="58" t="s">
        <v>29</v>
      </c>
      <c r="L122" s="59" t="s">
        <v>161</v>
      </c>
      <c r="M122" s="60">
        <v>17000000</v>
      </c>
      <c r="N122" s="61">
        <v>12764000</v>
      </c>
      <c r="O122" s="62">
        <f t="shared" si="65"/>
        <v>0.75082352941176467</v>
      </c>
      <c r="P122" s="60">
        <v>3000</v>
      </c>
      <c r="Q122" s="62">
        <f t="shared" si="65"/>
        <v>1.7647058823529413E-4</v>
      </c>
      <c r="R122" s="60">
        <v>3000</v>
      </c>
      <c r="S122" s="62">
        <f t="shared" ref="S122" si="116">+R122/$M122</f>
        <v>1.7647058823529413E-4</v>
      </c>
    </row>
    <row r="123" spans="1:19" ht="35.1" customHeight="1">
      <c r="A123" s="32" t="e">
        <v>#REF!</v>
      </c>
      <c r="B123" s="33" t="s">
        <v>162</v>
      </c>
      <c r="C123" s="34" t="s">
        <v>162</v>
      </c>
      <c r="D123" s="35"/>
      <c r="E123" s="35"/>
      <c r="F123" s="35"/>
      <c r="G123" s="35"/>
      <c r="H123" s="35"/>
      <c r="I123" s="35"/>
      <c r="J123" s="34"/>
      <c r="K123" s="35"/>
      <c r="L123" s="33" t="s">
        <v>163</v>
      </c>
      <c r="M123" s="36">
        <v>381865302</v>
      </c>
      <c r="N123" s="36">
        <v>381865302</v>
      </c>
      <c r="O123" s="37">
        <f t="shared" si="65"/>
        <v>1</v>
      </c>
      <c r="P123" s="36">
        <v>381865302</v>
      </c>
      <c r="Q123" s="37">
        <f t="shared" si="65"/>
        <v>1</v>
      </c>
      <c r="R123" s="36">
        <v>381865302</v>
      </c>
      <c r="S123" s="37">
        <f t="shared" ref="S123" si="117">+R123/$M123</f>
        <v>1</v>
      </c>
    </row>
    <row r="124" spans="1:19" ht="24" customHeight="1">
      <c r="A124" s="32" t="e">
        <v>#REF!</v>
      </c>
      <c r="B124" s="38" t="s">
        <v>729</v>
      </c>
      <c r="C124" s="39" t="s">
        <v>162</v>
      </c>
      <c r="D124" s="39">
        <v>10</v>
      </c>
      <c r="E124" s="39"/>
      <c r="F124" s="39"/>
      <c r="G124" s="39"/>
      <c r="H124" s="39"/>
      <c r="I124" s="39"/>
      <c r="J124" s="39"/>
      <c r="K124" s="40"/>
      <c r="L124" s="38" t="s">
        <v>164</v>
      </c>
      <c r="M124" s="41">
        <v>381865302</v>
      </c>
      <c r="N124" s="41">
        <v>381865302</v>
      </c>
      <c r="O124" s="42">
        <f t="shared" si="65"/>
        <v>1</v>
      </c>
      <c r="P124" s="41">
        <v>381865302</v>
      </c>
      <c r="Q124" s="42">
        <f t="shared" si="65"/>
        <v>1</v>
      </c>
      <c r="R124" s="41">
        <v>381865302</v>
      </c>
      <c r="S124" s="42">
        <f t="shared" ref="S124" si="118">+R124/$M124</f>
        <v>1</v>
      </c>
    </row>
    <row r="125" spans="1:19" ht="24" customHeight="1">
      <c r="A125" s="32" t="e">
        <v>#REF!</v>
      </c>
      <c r="B125" s="43" t="s">
        <v>730</v>
      </c>
      <c r="C125" s="44" t="s">
        <v>162</v>
      </c>
      <c r="D125" s="44">
        <v>10</v>
      </c>
      <c r="E125" s="44" t="s">
        <v>136</v>
      </c>
      <c r="F125" s="44"/>
      <c r="G125" s="44"/>
      <c r="H125" s="44"/>
      <c r="I125" s="44"/>
      <c r="J125" s="44"/>
      <c r="K125" s="45"/>
      <c r="L125" s="43" t="s">
        <v>165</v>
      </c>
      <c r="M125" s="46">
        <v>381865302</v>
      </c>
      <c r="N125" s="46">
        <v>381865302</v>
      </c>
      <c r="O125" s="47">
        <f t="shared" si="65"/>
        <v>1</v>
      </c>
      <c r="P125" s="46">
        <v>381865302</v>
      </c>
      <c r="Q125" s="47">
        <f t="shared" si="65"/>
        <v>1</v>
      </c>
      <c r="R125" s="46">
        <v>381865302</v>
      </c>
      <c r="S125" s="47">
        <f t="shared" ref="S125" si="119">+R125/$M125</f>
        <v>1</v>
      </c>
    </row>
    <row r="126" spans="1:19" ht="24.95" customHeight="1">
      <c r="A126" s="32" t="e">
        <v>#REF!</v>
      </c>
      <c r="B126" s="56" t="s">
        <v>731</v>
      </c>
      <c r="C126" s="57" t="s">
        <v>162</v>
      </c>
      <c r="D126" s="57">
        <v>10</v>
      </c>
      <c r="E126" s="57" t="s">
        <v>136</v>
      </c>
      <c r="F126" s="57" t="s">
        <v>25</v>
      </c>
      <c r="G126" s="57"/>
      <c r="H126" s="57"/>
      <c r="I126" s="57"/>
      <c r="J126" s="57" t="s">
        <v>144</v>
      </c>
      <c r="K126" s="58" t="s">
        <v>29</v>
      </c>
      <c r="L126" s="59" t="s">
        <v>166</v>
      </c>
      <c r="M126" s="60">
        <v>381865302</v>
      </c>
      <c r="N126" s="61">
        <v>381865302</v>
      </c>
      <c r="O126" s="62">
        <f t="shared" si="65"/>
        <v>1</v>
      </c>
      <c r="P126" s="60">
        <v>381865302</v>
      </c>
      <c r="Q126" s="62">
        <f t="shared" si="65"/>
        <v>1</v>
      </c>
      <c r="R126" s="60">
        <v>381865302</v>
      </c>
      <c r="S126" s="62">
        <f t="shared" ref="S126" si="120">+R126/$M126</f>
        <v>1</v>
      </c>
    </row>
    <row r="127" spans="1:19" ht="35.1" customHeight="1">
      <c r="A127" s="32" t="e">
        <v>#REF!</v>
      </c>
      <c r="B127" s="33" t="s">
        <v>167</v>
      </c>
      <c r="C127" s="34" t="s">
        <v>167</v>
      </c>
      <c r="D127" s="35"/>
      <c r="E127" s="35"/>
      <c r="F127" s="35"/>
      <c r="G127" s="35"/>
      <c r="H127" s="35"/>
      <c r="I127" s="35"/>
      <c r="J127" s="34"/>
      <c r="K127" s="35"/>
      <c r="L127" s="33" t="s">
        <v>168</v>
      </c>
      <c r="M127" s="36">
        <v>13053258103989</v>
      </c>
      <c r="N127" s="36">
        <v>12951454518916.129</v>
      </c>
      <c r="O127" s="37">
        <f t="shared" si="65"/>
        <v>0.99220090614451573</v>
      </c>
      <c r="P127" s="36">
        <v>12739752695924</v>
      </c>
      <c r="Q127" s="37">
        <f t="shared" si="65"/>
        <v>0.97598259334432413</v>
      </c>
      <c r="R127" s="36">
        <v>12733005318565.582</v>
      </c>
      <c r="S127" s="37">
        <f t="shared" ref="S127" si="121">+R127/$M127</f>
        <v>0.97546568198743033</v>
      </c>
    </row>
    <row r="128" spans="1:19" ht="24" hidden="1" customHeight="1">
      <c r="A128" s="32" t="e">
        <v>#REF!</v>
      </c>
      <c r="B128" s="69" t="s">
        <v>437</v>
      </c>
      <c r="C128" s="70" t="s">
        <v>167</v>
      </c>
      <c r="D128" s="70">
        <v>4101</v>
      </c>
      <c r="E128" s="70"/>
      <c r="F128" s="70"/>
      <c r="G128" s="70"/>
      <c r="H128" s="70"/>
      <c r="I128" s="70"/>
      <c r="J128" s="70"/>
      <c r="K128" s="71"/>
      <c r="L128" s="69" t="s">
        <v>169</v>
      </c>
      <c r="M128" s="41">
        <v>0</v>
      </c>
      <c r="N128" s="41">
        <v>0</v>
      </c>
      <c r="O128" s="42" t="e">
        <f t="shared" si="65"/>
        <v>#DIV/0!</v>
      </c>
      <c r="P128" s="41">
        <v>0</v>
      </c>
      <c r="Q128" s="42" t="e">
        <f t="shared" si="65"/>
        <v>#DIV/0!</v>
      </c>
      <c r="R128" s="41">
        <v>0</v>
      </c>
      <c r="S128" s="42" t="e">
        <f t="shared" ref="S128" si="122">+R128/$M128</f>
        <v>#DIV/0!</v>
      </c>
    </row>
    <row r="129" spans="1:19" ht="24" hidden="1" customHeight="1">
      <c r="A129" s="32" t="e">
        <v>#REF!</v>
      </c>
      <c r="B129" s="72" t="s">
        <v>295</v>
      </c>
      <c r="C129" s="73" t="s">
        <v>167</v>
      </c>
      <c r="D129" s="73">
        <v>4101</v>
      </c>
      <c r="E129" s="73">
        <v>1500</v>
      </c>
      <c r="F129" s="73"/>
      <c r="G129" s="73"/>
      <c r="H129" s="73"/>
      <c r="I129" s="73"/>
      <c r="J129" s="73"/>
      <c r="K129" s="74"/>
      <c r="L129" s="72" t="s">
        <v>170</v>
      </c>
      <c r="M129" s="46"/>
      <c r="N129" s="46"/>
      <c r="O129" s="47" t="e">
        <f t="shared" si="65"/>
        <v>#DIV/0!</v>
      </c>
      <c r="P129" s="46"/>
      <c r="Q129" s="47" t="e">
        <f t="shared" si="65"/>
        <v>#DIV/0!</v>
      </c>
      <c r="R129" s="46"/>
      <c r="S129" s="47" t="e">
        <f t="shared" ref="S129" si="123">+R129/$M129</f>
        <v>#DIV/0!</v>
      </c>
    </row>
    <row r="130" spans="1:19" ht="60" hidden="1" customHeight="1">
      <c r="A130" s="32" t="e">
        <v>#REF!</v>
      </c>
      <c r="B130" s="75" t="s">
        <v>454</v>
      </c>
      <c r="C130" s="75" t="s">
        <v>167</v>
      </c>
      <c r="D130" s="75" t="s">
        <v>171</v>
      </c>
      <c r="E130" s="75" t="s">
        <v>172</v>
      </c>
      <c r="F130" s="75" t="s">
        <v>173</v>
      </c>
      <c r="G130" s="75"/>
      <c r="H130" s="75"/>
      <c r="I130" s="75"/>
      <c r="J130" s="76"/>
      <c r="K130" s="75"/>
      <c r="L130" s="75" t="s">
        <v>174</v>
      </c>
      <c r="M130" s="50">
        <v>0</v>
      </c>
      <c r="N130" s="50">
        <v>0</v>
      </c>
      <c r="O130" s="51" t="e">
        <f t="shared" si="65"/>
        <v>#DIV/0!</v>
      </c>
      <c r="P130" s="50">
        <v>0</v>
      </c>
      <c r="Q130" s="51" t="e">
        <f t="shared" si="65"/>
        <v>#DIV/0!</v>
      </c>
      <c r="R130" s="50">
        <v>0</v>
      </c>
      <c r="S130" s="51" t="e">
        <f t="shared" ref="S130" si="124">+R130/$M130</f>
        <v>#DIV/0!</v>
      </c>
    </row>
    <row r="131" spans="1:19" ht="24" hidden="1" customHeight="1">
      <c r="A131" s="32" t="e">
        <v>#REF!</v>
      </c>
      <c r="B131" s="77" t="s">
        <v>456</v>
      </c>
      <c r="C131" s="52" t="s">
        <v>167</v>
      </c>
      <c r="D131" s="52" t="s">
        <v>171</v>
      </c>
      <c r="E131" s="52" t="s">
        <v>172</v>
      </c>
      <c r="F131" s="52" t="s">
        <v>173</v>
      </c>
      <c r="G131" s="52" t="s">
        <v>175</v>
      </c>
      <c r="H131" s="52" t="s">
        <v>176</v>
      </c>
      <c r="I131" s="52"/>
      <c r="J131" s="53" t="s">
        <v>144</v>
      </c>
      <c r="K131" s="52" t="s">
        <v>29</v>
      </c>
      <c r="L131" s="77" t="s">
        <v>177</v>
      </c>
      <c r="M131" s="54">
        <v>0</v>
      </c>
      <c r="N131" s="54">
        <v>0</v>
      </c>
      <c r="O131" s="55" t="e">
        <f t="shared" si="65"/>
        <v>#DIV/0!</v>
      </c>
      <c r="P131" s="54">
        <v>0</v>
      </c>
      <c r="Q131" s="55" t="e">
        <f t="shared" si="65"/>
        <v>#DIV/0!</v>
      </c>
      <c r="R131" s="54">
        <v>0</v>
      </c>
      <c r="S131" s="55" t="e">
        <f t="shared" ref="S131" si="125">+R131/$M131</f>
        <v>#DIV/0!</v>
      </c>
    </row>
    <row r="132" spans="1:19" ht="24.95" hidden="1" customHeight="1">
      <c r="A132" s="32" t="e">
        <v>#REF!</v>
      </c>
      <c r="B132" s="78" t="s">
        <v>458</v>
      </c>
      <c r="C132" s="79" t="s">
        <v>167</v>
      </c>
      <c r="D132" s="79" t="s">
        <v>171</v>
      </c>
      <c r="E132" s="79" t="s">
        <v>172</v>
      </c>
      <c r="F132" s="79" t="s">
        <v>173</v>
      </c>
      <c r="G132" s="79" t="s">
        <v>175</v>
      </c>
      <c r="H132" s="79" t="s">
        <v>176</v>
      </c>
      <c r="I132" s="79" t="s">
        <v>54</v>
      </c>
      <c r="J132" s="79" t="s">
        <v>144</v>
      </c>
      <c r="K132" s="80" t="s">
        <v>29</v>
      </c>
      <c r="L132" s="59" t="s">
        <v>178</v>
      </c>
      <c r="M132" s="60">
        <v>0</v>
      </c>
      <c r="N132" s="60"/>
      <c r="O132" s="62" t="e">
        <f t="shared" si="65"/>
        <v>#DIV/0!</v>
      </c>
      <c r="P132" s="60"/>
      <c r="Q132" s="62" t="e">
        <f t="shared" si="65"/>
        <v>#DIV/0!</v>
      </c>
      <c r="R132" s="60"/>
      <c r="S132" s="62" t="e">
        <f t="shared" ref="S132" si="126">+R132/$M132</f>
        <v>#DIV/0!</v>
      </c>
    </row>
    <row r="133" spans="1:19" ht="33" hidden="1" customHeight="1">
      <c r="A133" s="32" t="e">
        <v>#REF!</v>
      </c>
      <c r="B133" s="77" t="s">
        <v>460</v>
      </c>
      <c r="C133" s="52" t="s">
        <v>167</v>
      </c>
      <c r="D133" s="52" t="s">
        <v>171</v>
      </c>
      <c r="E133" s="52" t="s">
        <v>172</v>
      </c>
      <c r="F133" s="52" t="s">
        <v>173</v>
      </c>
      <c r="G133" s="52" t="s">
        <v>175</v>
      </c>
      <c r="H133" s="52" t="s">
        <v>179</v>
      </c>
      <c r="I133" s="52"/>
      <c r="J133" s="53" t="s">
        <v>144</v>
      </c>
      <c r="K133" s="52" t="s">
        <v>29</v>
      </c>
      <c r="L133" s="77" t="s">
        <v>180</v>
      </c>
      <c r="M133" s="54">
        <v>0</v>
      </c>
      <c r="N133" s="54">
        <v>0</v>
      </c>
      <c r="O133" s="55" t="e">
        <f t="shared" si="65"/>
        <v>#DIV/0!</v>
      </c>
      <c r="P133" s="54">
        <v>0</v>
      </c>
      <c r="Q133" s="55" t="e">
        <f t="shared" si="65"/>
        <v>#DIV/0!</v>
      </c>
      <c r="R133" s="54">
        <v>0</v>
      </c>
      <c r="S133" s="55" t="e">
        <f t="shared" ref="S133" si="127">+R133/$M133</f>
        <v>#DIV/0!</v>
      </c>
    </row>
    <row r="134" spans="1:19" ht="24.95" hidden="1" customHeight="1">
      <c r="A134" s="32" t="e">
        <v>#REF!</v>
      </c>
      <c r="B134" s="78" t="s">
        <v>462</v>
      </c>
      <c r="C134" s="79" t="s">
        <v>167</v>
      </c>
      <c r="D134" s="79" t="s">
        <v>171</v>
      </c>
      <c r="E134" s="79" t="s">
        <v>172</v>
      </c>
      <c r="F134" s="79" t="s">
        <v>173</v>
      </c>
      <c r="G134" s="79" t="s">
        <v>175</v>
      </c>
      <c r="H134" s="79" t="s">
        <v>179</v>
      </c>
      <c r="I134" s="79" t="s">
        <v>54</v>
      </c>
      <c r="J134" s="79" t="s">
        <v>144</v>
      </c>
      <c r="K134" s="80" t="s">
        <v>29</v>
      </c>
      <c r="L134" s="59" t="s">
        <v>178</v>
      </c>
      <c r="M134" s="60">
        <v>0</v>
      </c>
      <c r="N134" s="60"/>
      <c r="O134" s="62" t="e">
        <f t="shared" si="65"/>
        <v>#DIV/0!</v>
      </c>
      <c r="P134" s="60"/>
      <c r="Q134" s="62" t="e">
        <f t="shared" si="65"/>
        <v>#DIV/0!</v>
      </c>
      <c r="R134" s="60"/>
      <c r="S134" s="62" t="e">
        <f t="shared" ref="S134" si="128">+R134/$M134</f>
        <v>#DIV/0!</v>
      </c>
    </row>
    <row r="135" spans="1:19" ht="43.5" hidden="1" customHeight="1">
      <c r="A135" s="32" t="e">
        <v>#REF!</v>
      </c>
      <c r="B135" s="77" t="s">
        <v>690</v>
      </c>
      <c r="C135" s="52" t="s">
        <v>167</v>
      </c>
      <c r="D135" s="52" t="s">
        <v>171</v>
      </c>
      <c r="E135" s="52" t="s">
        <v>172</v>
      </c>
      <c r="F135" s="52" t="s">
        <v>173</v>
      </c>
      <c r="G135" s="52" t="s">
        <v>175</v>
      </c>
      <c r="H135" s="52" t="s">
        <v>181</v>
      </c>
      <c r="I135" s="52"/>
      <c r="J135" s="53" t="s">
        <v>144</v>
      </c>
      <c r="K135" s="52" t="s">
        <v>29</v>
      </c>
      <c r="L135" s="77" t="s">
        <v>182</v>
      </c>
      <c r="M135" s="54">
        <v>0</v>
      </c>
      <c r="N135" s="54">
        <v>0</v>
      </c>
      <c r="O135" s="55" t="e">
        <f t="shared" si="65"/>
        <v>#DIV/0!</v>
      </c>
      <c r="P135" s="54">
        <v>0</v>
      </c>
      <c r="Q135" s="55" t="e">
        <f t="shared" si="65"/>
        <v>#DIV/0!</v>
      </c>
      <c r="R135" s="54">
        <v>0</v>
      </c>
      <c r="S135" s="55" t="e">
        <f t="shared" ref="S135" si="129">+R135/$M135</f>
        <v>#DIV/0!</v>
      </c>
    </row>
    <row r="136" spans="1:19" ht="24.95" hidden="1" customHeight="1">
      <c r="A136" s="32" t="e">
        <v>#REF!</v>
      </c>
      <c r="B136" s="78" t="s">
        <v>466</v>
      </c>
      <c r="C136" s="79" t="s">
        <v>167</v>
      </c>
      <c r="D136" s="79" t="s">
        <v>171</v>
      </c>
      <c r="E136" s="79" t="s">
        <v>172</v>
      </c>
      <c r="F136" s="79" t="s">
        <v>173</v>
      </c>
      <c r="G136" s="79" t="s">
        <v>175</v>
      </c>
      <c r="H136" s="79" t="s">
        <v>181</v>
      </c>
      <c r="I136" s="79" t="s">
        <v>54</v>
      </c>
      <c r="J136" s="79" t="s">
        <v>144</v>
      </c>
      <c r="K136" s="80" t="s">
        <v>29</v>
      </c>
      <c r="L136" s="59" t="s">
        <v>178</v>
      </c>
      <c r="M136" s="60">
        <v>0</v>
      </c>
      <c r="N136" s="60"/>
      <c r="O136" s="62" t="e">
        <f t="shared" ref="O136:Q199" si="130">+N136/$M136</f>
        <v>#DIV/0!</v>
      </c>
      <c r="P136" s="60"/>
      <c r="Q136" s="62" t="e">
        <f t="shared" si="130"/>
        <v>#DIV/0!</v>
      </c>
      <c r="R136" s="60"/>
      <c r="S136" s="62" t="e">
        <f t="shared" ref="S136" si="131">+R136/$M136</f>
        <v>#DIV/0!</v>
      </c>
    </row>
    <row r="137" spans="1:19" ht="45" hidden="1" customHeight="1">
      <c r="A137" s="32" t="e">
        <v>#REF!</v>
      </c>
      <c r="B137" s="77" t="s">
        <v>691</v>
      </c>
      <c r="C137" s="52" t="s">
        <v>167</v>
      </c>
      <c r="D137" s="52" t="s">
        <v>171</v>
      </c>
      <c r="E137" s="52" t="s">
        <v>172</v>
      </c>
      <c r="F137" s="52" t="s">
        <v>173</v>
      </c>
      <c r="G137" s="52" t="s">
        <v>175</v>
      </c>
      <c r="H137" s="52" t="s">
        <v>183</v>
      </c>
      <c r="I137" s="52"/>
      <c r="J137" s="53" t="s">
        <v>144</v>
      </c>
      <c r="K137" s="52" t="s">
        <v>29</v>
      </c>
      <c r="L137" s="77" t="s">
        <v>184</v>
      </c>
      <c r="M137" s="54">
        <v>0</v>
      </c>
      <c r="N137" s="54">
        <v>0</v>
      </c>
      <c r="O137" s="55" t="e">
        <f t="shared" si="130"/>
        <v>#DIV/0!</v>
      </c>
      <c r="P137" s="54">
        <v>0</v>
      </c>
      <c r="Q137" s="55" t="e">
        <f t="shared" si="130"/>
        <v>#DIV/0!</v>
      </c>
      <c r="R137" s="54">
        <v>0</v>
      </c>
      <c r="S137" s="55" t="e">
        <f t="shared" ref="S137" si="132">+R137/$M137</f>
        <v>#DIV/0!</v>
      </c>
    </row>
    <row r="138" spans="1:19" ht="24.95" hidden="1" customHeight="1">
      <c r="A138" s="32" t="e">
        <v>#REF!</v>
      </c>
      <c r="B138" s="78" t="s">
        <v>470</v>
      </c>
      <c r="C138" s="79" t="s">
        <v>167</v>
      </c>
      <c r="D138" s="79" t="s">
        <v>171</v>
      </c>
      <c r="E138" s="79" t="s">
        <v>172</v>
      </c>
      <c r="F138" s="79" t="s">
        <v>173</v>
      </c>
      <c r="G138" s="79" t="s">
        <v>175</v>
      </c>
      <c r="H138" s="79" t="s">
        <v>183</v>
      </c>
      <c r="I138" s="79" t="s">
        <v>54</v>
      </c>
      <c r="J138" s="79" t="s">
        <v>144</v>
      </c>
      <c r="K138" s="80" t="s">
        <v>29</v>
      </c>
      <c r="L138" s="59" t="s">
        <v>178</v>
      </c>
      <c r="M138" s="60">
        <v>0</v>
      </c>
      <c r="N138" s="60">
        <v>0</v>
      </c>
      <c r="O138" s="62" t="e">
        <f t="shared" si="130"/>
        <v>#DIV/0!</v>
      </c>
      <c r="P138" s="60">
        <v>0</v>
      </c>
      <c r="Q138" s="62" t="e">
        <f t="shared" si="130"/>
        <v>#DIV/0!</v>
      </c>
      <c r="R138" s="60">
        <v>0</v>
      </c>
      <c r="S138" s="62" t="e">
        <f t="shared" ref="S138" si="133">+R138/$M138</f>
        <v>#DIV/0!</v>
      </c>
    </row>
    <row r="139" spans="1:19" ht="33.75" hidden="1" customHeight="1">
      <c r="A139" s="32" t="e">
        <v>#REF!</v>
      </c>
      <c r="B139" s="77" t="s">
        <v>472</v>
      </c>
      <c r="C139" s="52" t="s">
        <v>167</v>
      </c>
      <c r="D139" s="52" t="s">
        <v>171</v>
      </c>
      <c r="E139" s="52" t="s">
        <v>172</v>
      </c>
      <c r="F139" s="52" t="s">
        <v>173</v>
      </c>
      <c r="G139" s="52" t="s">
        <v>175</v>
      </c>
      <c r="H139" s="52" t="s">
        <v>185</v>
      </c>
      <c r="I139" s="52"/>
      <c r="J139" s="53" t="s">
        <v>144</v>
      </c>
      <c r="K139" s="52" t="s">
        <v>29</v>
      </c>
      <c r="L139" s="77" t="s">
        <v>186</v>
      </c>
      <c r="M139" s="54">
        <v>0</v>
      </c>
      <c r="N139" s="54">
        <v>0</v>
      </c>
      <c r="O139" s="55" t="e">
        <f t="shared" si="130"/>
        <v>#DIV/0!</v>
      </c>
      <c r="P139" s="54">
        <v>0</v>
      </c>
      <c r="Q139" s="55" t="e">
        <f t="shared" si="130"/>
        <v>#DIV/0!</v>
      </c>
      <c r="R139" s="54">
        <v>0</v>
      </c>
      <c r="S139" s="55" t="e">
        <f t="shared" ref="S139" si="134">+R139/$M139</f>
        <v>#DIV/0!</v>
      </c>
    </row>
    <row r="140" spans="1:19" ht="24.95" hidden="1" customHeight="1">
      <c r="A140" s="32" t="e">
        <v>#REF!</v>
      </c>
      <c r="B140" s="78" t="s">
        <v>474</v>
      </c>
      <c r="C140" s="79" t="s">
        <v>167</v>
      </c>
      <c r="D140" s="79" t="s">
        <v>171</v>
      </c>
      <c r="E140" s="79" t="s">
        <v>172</v>
      </c>
      <c r="F140" s="79" t="s">
        <v>173</v>
      </c>
      <c r="G140" s="79" t="s">
        <v>175</v>
      </c>
      <c r="H140" s="79" t="s">
        <v>185</v>
      </c>
      <c r="I140" s="79" t="s">
        <v>54</v>
      </c>
      <c r="J140" s="79" t="s">
        <v>144</v>
      </c>
      <c r="K140" s="80" t="s">
        <v>29</v>
      </c>
      <c r="L140" s="59" t="s">
        <v>178</v>
      </c>
      <c r="M140" s="60">
        <v>0</v>
      </c>
      <c r="N140" s="60"/>
      <c r="O140" s="62" t="e">
        <f t="shared" si="130"/>
        <v>#DIV/0!</v>
      </c>
      <c r="P140" s="60"/>
      <c r="Q140" s="62" t="e">
        <f t="shared" si="130"/>
        <v>#DIV/0!</v>
      </c>
      <c r="R140" s="60"/>
      <c r="S140" s="62" t="e">
        <f t="shared" ref="S140" si="135">+R140/$M140</f>
        <v>#DIV/0!</v>
      </c>
    </row>
    <row r="141" spans="1:19" ht="24" hidden="1" customHeight="1">
      <c r="A141" s="32" t="e">
        <v>#REF!</v>
      </c>
      <c r="B141" s="77"/>
      <c r="C141" s="52" t="s">
        <v>167</v>
      </c>
      <c r="D141" s="52" t="s">
        <v>171</v>
      </c>
      <c r="E141" s="52" t="s">
        <v>172</v>
      </c>
      <c r="F141" s="52" t="s">
        <v>173</v>
      </c>
      <c r="G141" s="52" t="s">
        <v>175</v>
      </c>
      <c r="H141" s="52" t="s">
        <v>187</v>
      </c>
      <c r="I141" s="52"/>
      <c r="J141" s="53" t="s">
        <v>144</v>
      </c>
      <c r="K141" s="52" t="s">
        <v>29</v>
      </c>
      <c r="L141" s="77" t="s">
        <v>188</v>
      </c>
      <c r="M141" s="54">
        <v>0</v>
      </c>
      <c r="N141" s="54">
        <v>0</v>
      </c>
      <c r="O141" s="55" t="e">
        <f t="shared" si="130"/>
        <v>#DIV/0!</v>
      </c>
      <c r="P141" s="54">
        <v>0</v>
      </c>
      <c r="Q141" s="55" t="e">
        <f t="shared" si="130"/>
        <v>#DIV/0!</v>
      </c>
      <c r="R141" s="54">
        <v>0</v>
      </c>
      <c r="S141" s="55" t="e">
        <f t="shared" ref="S141" si="136">+R141/$M141</f>
        <v>#DIV/0!</v>
      </c>
    </row>
    <row r="142" spans="1:19" ht="24.95" hidden="1" customHeight="1">
      <c r="A142" s="32" t="e">
        <v>#REF!</v>
      </c>
      <c r="B142" s="78"/>
      <c r="C142" s="79" t="s">
        <v>167</v>
      </c>
      <c r="D142" s="79" t="s">
        <v>171</v>
      </c>
      <c r="E142" s="79" t="s">
        <v>172</v>
      </c>
      <c r="F142" s="79" t="s">
        <v>173</v>
      </c>
      <c r="G142" s="79" t="s">
        <v>175</v>
      </c>
      <c r="H142" s="79" t="s">
        <v>187</v>
      </c>
      <c r="I142" s="79" t="s">
        <v>54</v>
      </c>
      <c r="J142" s="79" t="s">
        <v>144</v>
      </c>
      <c r="K142" s="80" t="s">
        <v>29</v>
      </c>
      <c r="L142" s="59" t="s">
        <v>178</v>
      </c>
      <c r="M142" s="60">
        <v>0</v>
      </c>
      <c r="N142" s="60">
        <v>0</v>
      </c>
      <c r="O142" s="62" t="e">
        <f t="shared" si="130"/>
        <v>#DIV/0!</v>
      </c>
      <c r="P142" s="60">
        <v>0</v>
      </c>
      <c r="Q142" s="62" t="e">
        <f t="shared" si="130"/>
        <v>#DIV/0!</v>
      </c>
      <c r="R142" s="60">
        <v>0</v>
      </c>
      <c r="S142" s="62" t="e">
        <f t="shared" ref="S142" si="137">+R142/$M142</f>
        <v>#DIV/0!</v>
      </c>
    </row>
    <row r="143" spans="1:19" ht="24.95" hidden="1" customHeight="1">
      <c r="A143" s="32" t="e">
        <v>#REF!</v>
      </c>
      <c r="B143" s="78"/>
      <c r="C143" s="79" t="s">
        <v>167</v>
      </c>
      <c r="D143" s="79" t="s">
        <v>171</v>
      </c>
      <c r="E143" s="79" t="s">
        <v>172</v>
      </c>
      <c r="F143" s="79" t="s">
        <v>173</v>
      </c>
      <c r="G143" s="79" t="s">
        <v>175</v>
      </c>
      <c r="H143" s="79" t="s">
        <v>187</v>
      </c>
      <c r="I143" s="79" t="s">
        <v>65</v>
      </c>
      <c r="J143" s="79" t="s">
        <v>144</v>
      </c>
      <c r="K143" s="80" t="s">
        <v>29</v>
      </c>
      <c r="L143" s="59" t="s">
        <v>127</v>
      </c>
      <c r="M143" s="60">
        <v>0</v>
      </c>
      <c r="N143" s="60">
        <v>0</v>
      </c>
      <c r="O143" s="62" t="e">
        <f t="shared" si="130"/>
        <v>#DIV/0!</v>
      </c>
      <c r="P143" s="60">
        <v>0</v>
      </c>
      <c r="Q143" s="62" t="e">
        <f t="shared" si="130"/>
        <v>#DIV/0!</v>
      </c>
      <c r="R143" s="60">
        <v>0</v>
      </c>
      <c r="S143" s="62" t="e">
        <f t="shared" ref="S143" si="138">+R143/$M143</f>
        <v>#DIV/0!</v>
      </c>
    </row>
    <row r="144" spans="1:19" ht="31.5" customHeight="1" outlineLevel="1">
      <c r="A144" s="32" t="e">
        <v>#REF!</v>
      </c>
      <c r="B144" s="38" t="s">
        <v>482</v>
      </c>
      <c r="C144" s="39" t="s">
        <v>167</v>
      </c>
      <c r="D144" s="39">
        <v>4103</v>
      </c>
      <c r="E144" s="39"/>
      <c r="F144" s="39"/>
      <c r="G144" s="39"/>
      <c r="H144" s="39"/>
      <c r="I144" s="39"/>
      <c r="J144" s="39"/>
      <c r="K144" s="40"/>
      <c r="L144" s="38" t="s">
        <v>189</v>
      </c>
      <c r="M144" s="41">
        <v>13048258103989</v>
      </c>
      <c r="N144" s="41">
        <v>12946529814757.43</v>
      </c>
      <c r="O144" s="42">
        <f t="shared" si="130"/>
        <v>0.99220368815355742</v>
      </c>
      <c r="P144" s="41">
        <v>12735291343734.699</v>
      </c>
      <c r="Q144" s="42">
        <f t="shared" si="130"/>
        <v>0.97601467124882946</v>
      </c>
      <c r="R144" s="41">
        <v>12728543966376.281</v>
      </c>
      <c r="S144" s="42">
        <f t="shared" ref="S144" si="139">+R144/$M144</f>
        <v>0.97549756181516833</v>
      </c>
    </row>
    <row r="145" spans="1:19" ht="24" customHeight="1" outlineLevel="1">
      <c r="A145" s="32" t="e">
        <v>#REF!</v>
      </c>
      <c r="B145" s="43" t="s">
        <v>296</v>
      </c>
      <c r="C145" s="44" t="s">
        <v>167</v>
      </c>
      <c r="D145" s="44">
        <v>4103</v>
      </c>
      <c r="E145" s="44">
        <v>1500</v>
      </c>
      <c r="F145" s="44"/>
      <c r="G145" s="44"/>
      <c r="H145" s="44"/>
      <c r="I145" s="44"/>
      <c r="J145" s="44"/>
      <c r="K145" s="45"/>
      <c r="L145" s="43" t="s">
        <v>170</v>
      </c>
      <c r="M145" s="46">
        <v>13048258103989</v>
      </c>
      <c r="N145" s="46">
        <v>12946529814757.43</v>
      </c>
      <c r="O145" s="47">
        <f t="shared" si="130"/>
        <v>0.99220368815355742</v>
      </c>
      <c r="P145" s="46">
        <v>12735291343734.699</v>
      </c>
      <c r="Q145" s="47">
        <f t="shared" si="130"/>
        <v>0.97601467124882946</v>
      </c>
      <c r="R145" s="46">
        <v>12728543966376.281</v>
      </c>
      <c r="S145" s="47">
        <f t="shared" ref="S145" si="140">+R145/$M145</f>
        <v>0.97549756181516833</v>
      </c>
    </row>
    <row r="146" spans="1:19" ht="37.5" customHeight="1">
      <c r="A146" s="32" t="e">
        <v>#REF!</v>
      </c>
      <c r="B146" s="48" t="s">
        <v>297</v>
      </c>
      <c r="C146" s="48" t="s">
        <v>167</v>
      </c>
      <c r="D146" s="48" t="s">
        <v>190</v>
      </c>
      <c r="E146" s="48" t="s">
        <v>172</v>
      </c>
      <c r="F146" s="48" t="s">
        <v>191</v>
      </c>
      <c r="G146" s="48"/>
      <c r="H146" s="48"/>
      <c r="I146" s="48"/>
      <c r="J146" s="49"/>
      <c r="K146" s="48"/>
      <c r="L146" s="48" t="s">
        <v>192</v>
      </c>
      <c r="M146" s="50">
        <v>2481480404075</v>
      </c>
      <c r="N146" s="50">
        <v>2476627282904.1899</v>
      </c>
      <c r="O146" s="51">
        <f t="shared" si="130"/>
        <v>0.99804426375366884</v>
      </c>
      <c r="P146" s="50">
        <v>2466156953899.48</v>
      </c>
      <c r="Q146" s="51">
        <f t="shared" si="130"/>
        <v>0.99382487560636934</v>
      </c>
      <c r="R146" s="50">
        <v>2465551925035.48</v>
      </c>
      <c r="S146" s="51">
        <f t="shared" ref="S146" si="141">+R146/$M146</f>
        <v>0.99358105789859841</v>
      </c>
    </row>
    <row r="147" spans="1:19" ht="27.75" customHeight="1" outlineLevel="1">
      <c r="A147" s="32" t="e">
        <v>#REF!</v>
      </c>
      <c r="B147" s="52" t="s">
        <v>486</v>
      </c>
      <c r="C147" s="52" t="s">
        <v>167</v>
      </c>
      <c r="D147" s="52" t="s">
        <v>190</v>
      </c>
      <c r="E147" s="52" t="s">
        <v>172</v>
      </c>
      <c r="F147" s="52" t="s">
        <v>191</v>
      </c>
      <c r="G147" s="52" t="s">
        <v>175</v>
      </c>
      <c r="H147" s="52" t="s">
        <v>193</v>
      </c>
      <c r="I147" s="52"/>
      <c r="J147" s="53"/>
      <c r="K147" s="52"/>
      <c r="L147" s="52" t="s">
        <v>194</v>
      </c>
      <c r="M147" s="54">
        <v>2475442467555</v>
      </c>
      <c r="N147" s="54">
        <v>2470980286978.1899</v>
      </c>
      <c r="O147" s="55">
        <f t="shared" si="130"/>
        <v>0.99819742101248776</v>
      </c>
      <c r="P147" s="54">
        <v>2461415648451.48</v>
      </c>
      <c r="Q147" s="55">
        <f t="shared" si="130"/>
        <v>0.99433361134933818</v>
      </c>
      <c r="R147" s="54">
        <v>2460810619587.48</v>
      </c>
      <c r="S147" s="55">
        <f t="shared" ref="S147" si="142">+R147/$M147</f>
        <v>0.99408919893744419</v>
      </c>
    </row>
    <row r="148" spans="1:19" ht="24.95" customHeight="1" outlineLevel="1">
      <c r="A148" s="32" t="e">
        <v>#REF!</v>
      </c>
      <c r="B148" s="56" t="s">
        <v>488</v>
      </c>
      <c r="C148" s="57" t="s">
        <v>167</v>
      </c>
      <c r="D148" s="57" t="s">
        <v>190</v>
      </c>
      <c r="E148" s="57" t="s">
        <v>172</v>
      </c>
      <c r="F148" s="57" t="s">
        <v>191</v>
      </c>
      <c r="G148" s="57" t="s">
        <v>175</v>
      </c>
      <c r="H148" s="57" t="s">
        <v>193</v>
      </c>
      <c r="I148" s="57" t="s">
        <v>54</v>
      </c>
      <c r="J148" s="57">
        <v>11</v>
      </c>
      <c r="K148" s="58" t="s">
        <v>29</v>
      </c>
      <c r="L148" s="59" t="s">
        <v>178</v>
      </c>
      <c r="M148" s="81">
        <v>63342446171.709999</v>
      </c>
      <c r="N148" s="60">
        <v>61405728625.190002</v>
      </c>
      <c r="O148" s="62">
        <f t="shared" si="130"/>
        <v>0.96942464865865929</v>
      </c>
      <c r="P148" s="60">
        <v>51846265098.480003</v>
      </c>
      <c r="Q148" s="62">
        <f t="shared" si="130"/>
        <v>0.818507465877369</v>
      </c>
      <c r="R148" s="60">
        <v>51241236234.480003</v>
      </c>
      <c r="S148" s="62">
        <f t="shared" ref="S148" si="143">+R148/$M148</f>
        <v>0.80895575291762833</v>
      </c>
    </row>
    <row r="149" spans="1:19" ht="24.95" customHeight="1" outlineLevel="1">
      <c r="A149" s="32" t="e">
        <v>#REF!</v>
      </c>
      <c r="B149" s="56" t="s">
        <v>488</v>
      </c>
      <c r="C149" s="57" t="s">
        <v>167</v>
      </c>
      <c r="D149" s="57" t="s">
        <v>190</v>
      </c>
      <c r="E149" s="57" t="s">
        <v>172</v>
      </c>
      <c r="F149" s="57" t="s">
        <v>191</v>
      </c>
      <c r="G149" s="57" t="s">
        <v>175</v>
      </c>
      <c r="H149" s="57" t="s">
        <v>193</v>
      </c>
      <c r="I149" s="57" t="s">
        <v>54</v>
      </c>
      <c r="J149" s="57">
        <v>13</v>
      </c>
      <c r="K149" s="58" t="s">
        <v>29</v>
      </c>
      <c r="L149" s="59" t="s">
        <v>178</v>
      </c>
      <c r="M149" s="81">
        <v>104235000</v>
      </c>
      <c r="N149" s="60">
        <v>96875000</v>
      </c>
      <c r="O149" s="62">
        <f t="shared" si="130"/>
        <v>0.92939031995011268</v>
      </c>
      <c r="P149" s="60">
        <v>91700000</v>
      </c>
      <c r="Q149" s="62">
        <f t="shared" si="130"/>
        <v>0.87974288866503569</v>
      </c>
      <c r="R149" s="60">
        <v>91700000</v>
      </c>
      <c r="S149" s="62">
        <f t="shared" ref="S149" si="144">+R149/$M149</f>
        <v>0.87974288866503569</v>
      </c>
    </row>
    <row r="150" spans="1:19" ht="24.95" customHeight="1" outlineLevel="1">
      <c r="A150" s="32" t="e">
        <v>#REF!</v>
      </c>
      <c r="B150" s="56" t="s">
        <v>491</v>
      </c>
      <c r="C150" s="57" t="s">
        <v>167</v>
      </c>
      <c r="D150" s="57" t="s">
        <v>190</v>
      </c>
      <c r="E150" s="57" t="s">
        <v>172</v>
      </c>
      <c r="F150" s="57" t="s">
        <v>191</v>
      </c>
      <c r="G150" s="57" t="s">
        <v>175</v>
      </c>
      <c r="H150" s="57" t="s">
        <v>193</v>
      </c>
      <c r="I150" s="57" t="s">
        <v>65</v>
      </c>
      <c r="J150" s="57" t="s">
        <v>144</v>
      </c>
      <c r="K150" s="58" t="s">
        <v>29</v>
      </c>
      <c r="L150" s="59" t="s">
        <v>127</v>
      </c>
      <c r="M150" s="81">
        <v>288139613646.29004</v>
      </c>
      <c r="N150" s="60">
        <v>287507156716</v>
      </c>
      <c r="O150" s="62">
        <f t="shared" si="130"/>
        <v>0.99780503304531243</v>
      </c>
      <c r="P150" s="60">
        <v>287507156716</v>
      </c>
      <c r="Q150" s="62">
        <f t="shared" si="130"/>
        <v>0.99780503304531243</v>
      </c>
      <c r="R150" s="60">
        <v>287507156716</v>
      </c>
      <c r="S150" s="62">
        <f t="shared" ref="S150" si="145">+R150/$M150</f>
        <v>0.99780503304531243</v>
      </c>
    </row>
    <row r="151" spans="1:19" ht="24.95" customHeight="1" outlineLevel="1">
      <c r="A151" s="32" t="e">
        <v>#REF!</v>
      </c>
      <c r="B151" s="56" t="s">
        <v>491</v>
      </c>
      <c r="C151" s="57" t="s">
        <v>167</v>
      </c>
      <c r="D151" s="57" t="s">
        <v>190</v>
      </c>
      <c r="E151" s="57" t="s">
        <v>172</v>
      </c>
      <c r="F151" s="57" t="s">
        <v>191</v>
      </c>
      <c r="G151" s="57" t="s">
        <v>175</v>
      </c>
      <c r="H151" s="57" t="s">
        <v>193</v>
      </c>
      <c r="I151" s="57" t="s">
        <v>65</v>
      </c>
      <c r="J151" s="57">
        <v>13</v>
      </c>
      <c r="K151" s="58" t="s">
        <v>29</v>
      </c>
      <c r="L151" s="59" t="s">
        <v>127</v>
      </c>
      <c r="M151" s="60">
        <v>2123856172737</v>
      </c>
      <c r="N151" s="60">
        <v>2121970526637</v>
      </c>
      <c r="O151" s="62">
        <f t="shared" si="130"/>
        <v>0.99911215922989272</v>
      </c>
      <c r="P151" s="60">
        <v>2121970526637</v>
      </c>
      <c r="Q151" s="62">
        <f t="shared" si="130"/>
        <v>0.99911215922989272</v>
      </c>
      <c r="R151" s="60">
        <v>2121970526637</v>
      </c>
      <c r="S151" s="62">
        <f t="shared" ref="S151" si="146">+R151/$M151</f>
        <v>0.99911215922989272</v>
      </c>
    </row>
    <row r="152" spans="1:19" ht="28.5" customHeight="1" outlineLevel="1">
      <c r="A152" s="32" t="e">
        <v>#REF!</v>
      </c>
      <c r="B152" s="52" t="s">
        <v>494</v>
      </c>
      <c r="C152" s="52" t="s">
        <v>167</v>
      </c>
      <c r="D152" s="52" t="s">
        <v>190</v>
      </c>
      <c r="E152" s="52" t="s">
        <v>172</v>
      </c>
      <c r="F152" s="52" t="s">
        <v>191</v>
      </c>
      <c r="G152" s="52" t="s">
        <v>175</v>
      </c>
      <c r="H152" s="52">
        <v>4103009</v>
      </c>
      <c r="I152" s="52"/>
      <c r="J152" s="53"/>
      <c r="K152" s="52" t="s">
        <v>29</v>
      </c>
      <c r="L152" s="52" t="s">
        <v>195</v>
      </c>
      <c r="M152" s="54">
        <v>6037936520</v>
      </c>
      <c r="N152" s="54">
        <v>5646995926</v>
      </c>
      <c r="O152" s="55">
        <f t="shared" si="130"/>
        <v>0.93525261607089571</v>
      </c>
      <c r="P152" s="54">
        <v>4741305448</v>
      </c>
      <c r="Q152" s="55">
        <f t="shared" si="130"/>
        <v>0.78525261607089569</v>
      </c>
      <c r="R152" s="54">
        <v>4741305448</v>
      </c>
      <c r="S152" s="55">
        <f t="shared" ref="S152" si="147">+R152/$M152</f>
        <v>0.78525261607089569</v>
      </c>
    </row>
    <row r="153" spans="1:19" ht="24.95" customHeight="1" outlineLevel="1">
      <c r="A153" s="32" t="e">
        <v>#REF!</v>
      </c>
      <c r="B153" s="56" t="s">
        <v>496</v>
      </c>
      <c r="C153" s="57" t="s">
        <v>167</v>
      </c>
      <c r="D153" s="57" t="s">
        <v>190</v>
      </c>
      <c r="E153" s="57" t="s">
        <v>172</v>
      </c>
      <c r="F153" s="57" t="s">
        <v>191</v>
      </c>
      <c r="G153" s="57" t="s">
        <v>175</v>
      </c>
      <c r="H153" s="57">
        <v>4103009</v>
      </c>
      <c r="I153" s="57" t="s">
        <v>54</v>
      </c>
      <c r="J153" s="57">
        <v>11</v>
      </c>
      <c r="K153" s="58" t="s">
        <v>29</v>
      </c>
      <c r="L153" s="59" t="s">
        <v>178</v>
      </c>
      <c r="M153" s="81">
        <v>6037936520</v>
      </c>
      <c r="N153" s="60">
        <v>5646995926</v>
      </c>
      <c r="O153" s="62">
        <f t="shared" si="130"/>
        <v>0.93525261607089571</v>
      </c>
      <c r="P153" s="60">
        <v>4741305448</v>
      </c>
      <c r="Q153" s="62">
        <f t="shared" si="130"/>
        <v>0.78525261607089569</v>
      </c>
      <c r="R153" s="60">
        <v>4741305448</v>
      </c>
      <c r="S153" s="62">
        <f t="shared" ref="S153" si="148">+R153/$M153</f>
        <v>0.78525261607089569</v>
      </c>
    </row>
    <row r="154" spans="1:19" ht="27.75" customHeight="1" outlineLevel="1">
      <c r="A154" s="32" t="e">
        <v>#REF!</v>
      </c>
      <c r="B154" s="52" t="s">
        <v>497</v>
      </c>
      <c r="C154" s="52" t="s">
        <v>167</v>
      </c>
      <c r="D154" s="52" t="s">
        <v>190</v>
      </c>
      <c r="E154" s="52" t="s">
        <v>172</v>
      </c>
      <c r="F154" s="52" t="s">
        <v>191</v>
      </c>
      <c r="G154" s="52" t="s">
        <v>175</v>
      </c>
      <c r="H154" s="52">
        <v>4103047</v>
      </c>
      <c r="I154" s="52"/>
      <c r="J154" s="53">
        <v>11</v>
      </c>
      <c r="K154" s="52" t="s">
        <v>29</v>
      </c>
      <c r="L154" s="52" t="s">
        <v>195</v>
      </c>
      <c r="M154" s="54">
        <v>0</v>
      </c>
      <c r="N154" s="54">
        <v>0</v>
      </c>
      <c r="O154" s="55" t="e">
        <f t="shared" si="130"/>
        <v>#DIV/0!</v>
      </c>
      <c r="P154" s="54">
        <v>0</v>
      </c>
      <c r="Q154" s="55" t="e">
        <f t="shared" si="130"/>
        <v>#DIV/0!</v>
      </c>
      <c r="R154" s="54">
        <v>0</v>
      </c>
      <c r="S154" s="55" t="e">
        <f t="shared" ref="S154" si="149">+R154/$M154</f>
        <v>#DIV/0!</v>
      </c>
    </row>
    <row r="155" spans="1:19" ht="24.95" customHeight="1" outlineLevel="1">
      <c r="A155" s="32" t="e">
        <v>#REF!</v>
      </c>
      <c r="B155" s="56" t="s">
        <v>498</v>
      </c>
      <c r="C155" s="57" t="s">
        <v>167</v>
      </c>
      <c r="D155" s="57" t="s">
        <v>190</v>
      </c>
      <c r="E155" s="57" t="s">
        <v>172</v>
      </c>
      <c r="F155" s="57" t="s">
        <v>191</v>
      </c>
      <c r="G155" s="57" t="s">
        <v>175</v>
      </c>
      <c r="H155" s="57">
        <v>4103047</v>
      </c>
      <c r="I155" s="57" t="s">
        <v>54</v>
      </c>
      <c r="J155" s="57">
        <v>11</v>
      </c>
      <c r="K155" s="58" t="s">
        <v>29</v>
      </c>
      <c r="L155" s="59" t="s">
        <v>178</v>
      </c>
      <c r="M155" s="60">
        <v>0</v>
      </c>
      <c r="N155" s="60">
        <v>0</v>
      </c>
      <c r="O155" s="62" t="e">
        <f t="shared" si="130"/>
        <v>#DIV/0!</v>
      </c>
      <c r="P155" s="60">
        <v>0</v>
      </c>
      <c r="Q155" s="62" t="e">
        <f t="shared" si="130"/>
        <v>#DIV/0!</v>
      </c>
      <c r="R155" s="60">
        <v>0</v>
      </c>
      <c r="S155" s="62" t="e">
        <f t="shared" ref="S155" si="150">+R155/$M155</f>
        <v>#DIV/0!</v>
      </c>
    </row>
    <row r="156" spans="1:19" ht="34.5" customHeight="1">
      <c r="A156" s="32" t="e">
        <v>#REF!</v>
      </c>
      <c r="B156" s="48" t="s">
        <v>298</v>
      </c>
      <c r="C156" s="48" t="s">
        <v>167</v>
      </c>
      <c r="D156" s="48" t="s">
        <v>190</v>
      </c>
      <c r="E156" s="48" t="s">
        <v>172</v>
      </c>
      <c r="F156" s="48" t="s">
        <v>22</v>
      </c>
      <c r="G156" s="48"/>
      <c r="H156" s="48"/>
      <c r="I156" s="48"/>
      <c r="J156" s="49"/>
      <c r="K156" s="48"/>
      <c r="L156" s="48" t="s">
        <v>196</v>
      </c>
      <c r="M156" s="50">
        <v>126000000000</v>
      </c>
      <c r="N156" s="50">
        <v>121948749817.62</v>
      </c>
      <c r="O156" s="51">
        <f t="shared" si="130"/>
        <v>0.96784722077476182</v>
      </c>
      <c r="P156" s="50">
        <v>114016713163.62</v>
      </c>
      <c r="Q156" s="51">
        <f t="shared" si="130"/>
        <v>0.904894548917619</v>
      </c>
      <c r="R156" s="50">
        <v>111033814976.62</v>
      </c>
      <c r="S156" s="51">
        <f t="shared" ref="S156" si="151">+R156/$M156</f>
        <v>0.88122075378269837</v>
      </c>
    </row>
    <row r="157" spans="1:19" ht="27.75" customHeight="1" outlineLevel="1">
      <c r="A157" s="32" t="e">
        <v>#REF!</v>
      </c>
      <c r="B157" s="52" t="s">
        <v>500</v>
      </c>
      <c r="C157" s="52" t="s">
        <v>167</v>
      </c>
      <c r="D157" s="52" t="s">
        <v>190</v>
      </c>
      <c r="E157" s="52" t="s">
        <v>172</v>
      </c>
      <c r="F157" s="52" t="s">
        <v>22</v>
      </c>
      <c r="G157" s="52" t="s">
        <v>175</v>
      </c>
      <c r="H157" s="52" t="s">
        <v>197</v>
      </c>
      <c r="I157" s="52"/>
      <c r="J157" s="53">
        <v>13</v>
      </c>
      <c r="K157" s="52" t="s">
        <v>29</v>
      </c>
      <c r="L157" s="52" t="s">
        <v>198</v>
      </c>
      <c r="M157" s="54">
        <v>12543853246</v>
      </c>
      <c r="N157" s="54">
        <v>12278702828</v>
      </c>
      <c r="O157" s="55">
        <f t="shared" si="130"/>
        <v>0.97886212371907722</v>
      </c>
      <c r="P157" s="54">
        <v>12244454174</v>
      </c>
      <c r="Q157" s="55">
        <f t="shared" si="130"/>
        <v>0.97613181004844163</v>
      </c>
      <c r="R157" s="54">
        <v>12244454174</v>
      </c>
      <c r="S157" s="55">
        <f t="shared" ref="S157" si="152">+R157/$M157</f>
        <v>0.97613181004844163</v>
      </c>
    </row>
    <row r="158" spans="1:19" ht="24.95" customHeight="1" outlineLevel="1">
      <c r="A158" s="32" t="e">
        <v>#REF!</v>
      </c>
      <c r="B158" s="56" t="s">
        <v>501</v>
      </c>
      <c r="C158" s="57" t="s">
        <v>167</v>
      </c>
      <c r="D158" s="57" t="s">
        <v>190</v>
      </c>
      <c r="E158" s="57" t="s">
        <v>172</v>
      </c>
      <c r="F158" s="57" t="s">
        <v>22</v>
      </c>
      <c r="G158" s="57" t="s">
        <v>175</v>
      </c>
      <c r="H158" s="57" t="s">
        <v>197</v>
      </c>
      <c r="I158" s="57" t="s">
        <v>54</v>
      </c>
      <c r="J158" s="57">
        <v>13</v>
      </c>
      <c r="K158" s="58" t="s">
        <v>29</v>
      </c>
      <c r="L158" s="59" t="s">
        <v>178</v>
      </c>
      <c r="M158" s="81">
        <v>12543853246</v>
      </c>
      <c r="N158" s="60">
        <v>12278702828</v>
      </c>
      <c r="O158" s="62">
        <f t="shared" si="130"/>
        <v>0.97886212371907722</v>
      </c>
      <c r="P158" s="60">
        <v>12244454174</v>
      </c>
      <c r="Q158" s="62">
        <f t="shared" si="130"/>
        <v>0.97613181004844163</v>
      </c>
      <c r="R158" s="60">
        <v>12244454174</v>
      </c>
      <c r="S158" s="62">
        <f t="shared" ref="S158" si="153">+R158/$M158</f>
        <v>0.97613181004844163</v>
      </c>
    </row>
    <row r="159" spans="1:19" ht="27.75" customHeight="1" outlineLevel="1">
      <c r="A159" s="32" t="e">
        <v>#REF!</v>
      </c>
      <c r="B159" s="52" t="s">
        <v>502</v>
      </c>
      <c r="C159" s="52" t="s">
        <v>167</v>
      </c>
      <c r="D159" s="52" t="s">
        <v>190</v>
      </c>
      <c r="E159" s="52" t="s">
        <v>172</v>
      </c>
      <c r="F159" s="52" t="s">
        <v>22</v>
      </c>
      <c r="G159" s="52" t="s">
        <v>175</v>
      </c>
      <c r="H159" s="52" t="s">
        <v>199</v>
      </c>
      <c r="I159" s="52"/>
      <c r="J159" s="53">
        <v>13</v>
      </c>
      <c r="K159" s="52" t="s">
        <v>29</v>
      </c>
      <c r="L159" s="52" t="s">
        <v>200</v>
      </c>
      <c r="M159" s="54">
        <v>6747471657</v>
      </c>
      <c r="N159" s="54">
        <v>6450045652</v>
      </c>
      <c r="O159" s="55">
        <f t="shared" si="130"/>
        <v>0.95592037727324985</v>
      </c>
      <c r="P159" s="54">
        <v>5632124153</v>
      </c>
      <c r="Q159" s="55">
        <f t="shared" si="130"/>
        <v>0.83470141696069078</v>
      </c>
      <c r="R159" s="54">
        <v>5632124153</v>
      </c>
      <c r="S159" s="55">
        <f t="shared" ref="S159" si="154">+R159/$M159</f>
        <v>0.83470141696069078</v>
      </c>
    </row>
    <row r="160" spans="1:19" ht="24.95" customHeight="1" outlineLevel="1">
      <c r="A160" s="32" t="e">
        <v>#REF!</v>
      </c>
      <c r="B160" s="56" t="s">
        <v>503</v>
      </c>
      <c r="C160" s="57" t="s">
        <v>167</v>
      </c>
      <c r="D160" s="57" t="s">
        <v>190</v>
      </c>
      <c r="E160" s="57" t="s">
        <v>172</v>
      </c>
      <c r="F160" s="57" t="s">
        <v>22</v>
      </c>
      <c r="G160" s="57" t="s">
        <v>175</v>
      </c>
      <c r="H160" s="57" t="s">
        <v>199</v>
      </c>
      <c r="I160" s="57" t="s">
        <v>54</v>
      </c>
      <c r="J160" s="57">
        <v>13</v>
      </c>
      <c r="K160" s="58" t="s">
        <v>29</v>
      </c>
      <c r="L160" s="59" t="s">
        <v>178</v>
      </c>
      <c r="M160" s="60">
        <v>6747471657</v>
      </c>
      <c r="N160" s="60">
        <v>6450045652</v>
      </c>
      <c r="O160" s="62">
        <f t="shared" si="130"/>
        <v>0.95592037727324985</v>
      </c>
      <c r="P160" s="60">
        <v>5632124153</v>
      </c>
      <c r="Q160" s="62">
        <f t="shared" si="130"/>
        <v>0.83470141696069078</v>
      </c>
      <c r="R160" s="60">
        <v>5632124153</v>
      </c>
      <c r="S160" s="62">
        <f t="shared" ref="S160" si="155">+R160/$M160</f>
        <v>0.83470141696069078</v>
      </c>
    </row>
    <row r="161" spans="1:19" ht="43.5" customHeight="1" outlineLevel="1">
      <c r="A161" s="32" t="e">
        <v>#REF!</v>
      </c>
      <c r="B161" s="52" t="s">
        <v>504</v>
      </c>
      <c r="C161" s="52" t="s">
        <v>167</v>
      </c>
      <c r="D161" s="52" t="s">
        <v>190</v>
      </c>
      <c r="E161" s="52" t="s">
        <v>172</v>
      </c>
      <c r="F161" s="52" t="s">
        <v>22</v>
      </c>
      <c r="G161" s="52" t="s">
        <v>175</v>
      </c>
      <c r="H161" s="52" t="s">
        <v>201</v>
      </c>
      <c r="I161" s="52"/>
      <c r="J161" s="53">
        <v>13</v>
      </c>
      <c r="K161" s="52" t="s">
        <v>29</v>
      </c>
      <c r="L161" s="52" t="s">
        <v>202</v>
      </c>
      <c r="M161" s="54">
        <v>10231519737</v>
      </c>
      <c r="N161" s="54">
        <v>9651903505.6200008</v>
      </c>
      <c r="O161" s="55">
        <f t="shared" si="130"/>
        <v>0.9433499376164084</v>
      </c>
      <c r="P161" s="54">
        <v>8287674977.6199999</v>
      </c>
      <c r="Q161" s="55">
        <f t="shared" si="130"/>
        <v>0.81001407324167873</v>
      </c>
      <c r="R161" s="54">
        <v>8280903462.6199999</v>
      </c>
      <c r="S161" s="55">
        <f t="shared" ref="S161" si="156">+R161/$M161</f>
        <v>0.80935224438594067</v>
      </c>
    </row>
    <row r="162" spans="1:19" ht="24.95" customHeight="1" outlineLevel="1">
      <c r="A162" s="32" t="e">
        <v>#REF!</v>
      </c>
      <c r="B162" s="56" t="s">
        <v>505</v>
      </c>
      <c r="C162" s="57" t="s">
        <v>167</v>
      </c>
      <c r="D162" s="57" t="s">
        <v>190</v>
      </c>
      <c r="E162" s="57" t="s">
        <v>172</v>
      </c>
      <c r="F162" s="57" t="s">
        <v>22</v>
      </c>
      <c r="G162" s="57" t="s">
        <v>175</v>
      </c>
      <c r="H162" s="57" t="s">
        <v>201</v>
      </c>
      <c r="I162" s="57" t="s">
        <v>54</v>
      </c>
      <c r="J162" s="57">
        <v>13</v>
      </c>
      <c r="K162" s="58" t="s">
        <v>29</v>
      </c>
      <c r="L162" s="59" t="s">
        <v>178</v>
      </c>
      <c r="M162" s="60">
        <v>10231519737</v>
      </c>
      <c r="N162" s="60">
        <v>9651903505.6200008</v>
      </c>
      <c r="O162" s="62">
        <f t="shared" si="130"/>
        <v>0.9433499376164084</v>
      </c>
      <c r="P162" s="60">
        <v>8287674977.6199999</v>
      </c>
      <c r="Q162" s="62">
        <f t="shared" si="130"/>
        <v>0.81001407324167873</v>
      </c>
      <c r="R162" s="60">
        <v>8280903462.6199999</v>
      </c>
      <c r="S162" s="62">
        <f t="shared" ref="S162" si="157">+R162/$M162</f>
        <v>0.80935224438594067</v>
      </c>
    </row>
    <row r="163" spans="1:19" ht="44.25" customHeight="1" outlineLevel="1">
      <c r="A163" s="32" t="e">
        <v>#REF!</v>
      </c>
      <c r="B163" s="52" t="s">
        <v>506</v>
      </c>
      <c r="C163" s="52" t="s">
        <v>167</v>
      </c>
      <c r="D163" s="52" t="s">
        <v>190</v>
      </c>
      <c r="E163" s="52" t="s">
        <v>172</v>
      </c>
      <c r="F163" s="52" t="s">
        <v>22</v>
      </c>
      <c r="G163" s="52" t="s">
        <v>175</v>
      </c>
      <c r="H163" s="52" t="s">
        <v>203</v>
      </c>
      <c r="I163" s="52"/>
      <c r="J163" s="53">
        <v>13</v>
      </c>
      <c r="K163" s="52" t="s">
        <v>29</v>
      </c>
      <c r="L163" s="52" t="s">
        <v>204</v>
      </c>
      <c r="M163" s="54">
        <v>96477155360</v>
      </c>
      <c r="N163" s="54">
        <v>93568097832</v>
      </c>
      <c r="O163" s="55">
        <f t="shared" si="130"/>
        <v>0.96984718799859937</v>
      </c>
      <c r="P163" s="54">
        <v>87852459859</v>
      </c>
      <c r="Q163" s="55">
        <f t="shared" si="130"/>
        <v>0.91060375413415384</v>
      </c>
      <c r="R163" s="54">
        <v>84876333187</v>
      </c>
      <c r="S163" s="55">
        <f t="shared" ref="S163" si="158">+R163/$M163</f>
        <v>0.87975576052473692</v>
      </c>
    </row>
    <row r="164" spans="1:19" ht="24.95" customHeight="1" outlineLevel="1">
      <c r="A164" s="32" t="e">
        <v>#REF!</v>
      </c>
      <c r="B164" s="56" t="s">
        <v>507</v>
      </c>
      <c r="C164" s="57" t="s">
        <v>167</v>
      </c>
      <c r="D164" s="57" t="s">
        <v>190</v>
      </c>
      <c r="E164" s="57" t="s">
        <v>172</v>
      </c>
      <c r="F164" s="57" t="s">
        <v>22</v>
      </c>
      <c r="G164" s="57" t="s">
        <v>175</v>
      </c>
      <c r="H164" s="57" t="s">
        <v>203</v>
      </c>
      <c r="I164" s="57" t="s">
        <v>54</v>
      </c>
      <c r="J164" s="57">
        <v>13</v>
      </c>
      <c r="K164" s="58" t="s">
        <v>29</v>
      </c>
      <c r="L164" s="59" t="s">
        <v>178</v>
      </c>
      <c r="M164" s="60">
        <v>96477155360</v>
      </c>
      <c r="N164" s="60">
        <v>93568097832</v>
      </c>
      <c r="O164" s="62">
        <f t="shared" si="130"/>
        <v>0.96984718799859937</v>
      </c>
      <c r="P164" s="60">
        <v>87852459859</v>
      </c>
      <c r="Q164" s="62">
        <f t="shared" si="130"/>
        <v>0.91060375413415384</v>
      </c>
      <c r="R164" s="60">
        <v>84876333187</v>
      </c>
      <c r="S164" s="62">
        <f t="shared" ref="S164" si="159">+R164/$M164</f>
        <v>0.87975576052473692</v>
      </c>
    </row>
    <row r="165" spans="1:19" ht="45.75" customHeight="1">
      <c r="A165" s="32" t="e">
        <v>#REF!</v>
      </c>
      <c r="B165" s="48" t="s">
        <v>299</v>
      </c>
      <c r="C165" s="48" t="s">
        <v>167</v>
      </c>
      <c r="D165" s="48" t="s">
        <v>190</v>
      </c>
      <c r="E165" s="48" t="s">
        <v>172</v>
      </c>
      <c r="F165" s="48" t="s">
        <v>205</v>
      </c>
      <c r="G165" s="48"/>
      <c r="H165" s="48"/>
      <c r="I165" s="48"/>
      <c r="J165" s="49"/>
      <c r="K165" s="48"/>
      <c r="L165" s="48" t="s">
        <v>206</v>
      </c>
      <c r="M165" s="50">
        <v>294404046265</v>
      </c>
      <c r="N165" s="50">
        <v>211439247365.41</v>
      </c>
      <c r="O165" s="51">
        <f t="shared" si="130"/>
        <v>0.71819409429953474</v>
      </c>
      <c r="P165" s="50">
        <v>135658380003.35001</v>
      </c>
      <c r="Q165" s="51">
        <f t="shared" si="130"/>
        <v>0.46078979458468688</v>
      </c>
      <c r="R165" s="50">
        <v>132848253963.92999</v>
      </c>
      <c r="S165" s="51">
        <f t="shared" ref="S165" si="160">+R165/$M165</f>
        <v>0.45124466069447344</v>
      </c>
    </row>
    <row r="166" spans="1:19" ht="24" hidden="1" customHeight="1">
      <c r="A166" s="32"/>
      <c r="B166" s="52"/>
      <c r="C166" s="52"/>
      <c r="D166" s="52"/>
      <c r="E166" s="52"/>
      <c r="F166" s="52"/>
      <c r="G166" s="52"/>
      <c r="H166" s="52"/>
      <c r="I166" s="52"/>
      <c r="J166" s="53"/>
      <c r="K166" s="52"/>
      <c r="L166" s="52"/>
      <c r="M166" s="54">
        <v>0</v>
      </c>
      <c r="N166" s="54"/>
      <c r="O166" s="55" t="e">
        <f t="shared" si="130"/>
        <v>#DIV/0!</v>
      </c>
      <c r="P166" s="54"/>
      <c r="Q166" s="55" t="e">
        <f t="shared" si="130"/>
        <v>#DIV/0!</v>
      </c>
      <c r="R166" s="54"/>
      <c r="S166" s="55" t="e">
        <f t="shared" ref="S166" si="161">+R166/$M166</f>
        <v>#DIV/0!</v>
      </c>
    </row>
    <row r="167" spans="1:19" ht="30.75" customHeight="1" outlineLevel="1">
      <c r="A167" s="32" t="e">
        <v>#REF!</v>
      </c>
      <c r="B167" s="52" t="s">
        <v>510</v>
      </c>
      <c r="C167" s="52" t="s">
        <v>167</v>
      </c>
      <c r="D167" s="52" t="s">
        <v>190</v>
      </c>
      <c r="E167" s="52" t="s">
        <v>172</v>
      </c>
      <c r="F167" s="52" t="s">
        <v>205</v>
      </c>
      <c r="G167" s="52" t="s">
        <v>175</v>
      </c>
      <c r="H167" s="52" t="s">
        <v>207</v>
      </c>
      <c r="I167" s="52"/>
      <c r="J167" s="53"/>
      <c r="K167" s="52"/>
      <c r="L167" s="52" t="s">
        <v>208</v>
      </c>
      <c r="M167" s="54">
        <v>268667999892.81</v>
      </c>
      <c r="N167" s="54">
        <v>186732944851.59</v>
      </c>
      <c r="O167" s="55">
        <f t="shared" si="130"/>
        <v>0.69503232586720609</v>
      </c>
      <c r="P167" s="54">
        <v>112596740170.28</v>
      </c>
      <c r="Q167" s="55">
        <f t="shared" si="130"/>
        <v>0.41909248669436822</v>
      </c>
      <c r="R167" s="54">
        <v>109798532090.86</v>
      </c>
      <c r="S167" s="55">
        <f t="shared" ref="S167" si="162">+R167/$M167</f>
        <v>0.40867737182941821</v>
      </c>
    </row>
    <row r="168" spans="1:19" ht="24.95" customHeight="1" outlineLevel="1">
      <c r="A168" s="32" t="e">
        <v>#REF!</v>
      </c>
      <c r="B168" s="56" t="s">
        <v>511</v>
      </c>
      <c r="C168" s="57" t="s">
        <v>167</v>
      </c>
      <c r="D168" s="57" t="s">
        <v>190</v>
      </c>
      <c r="E168" s="57" t="s">
        <v>172</v>
      </c>
      <c r="F168" s="57" t="s">
        <v>205</v>
      </c>
      <c r="G168" s="57" t="s">
        <v>175</v>
      </c>
      <c r="H168" s="57" t="s">
        <v>207</v>
      </c>
      <c r="I168" s="57" t="s">
        <v>54</v>
      </c>
      <c r="J168" s="57">
        <v>13</v>
      </c>
      <c r="K168" s="58" t="s">
        <v>29</v>
      </c>
      <c r="L168" s="59" t="s">
        <v>178</v>
      </c>
      <c r="M168" s="81">
        <v>19357937227.559998</v>
      </c>
      <c r="N168" s="60">
        <v>11997783720.18</v>
      </c>
      <c r="O168" s="62">
        <f t="shared" si="130"/>
        <v>0.61978627056909208</v>
      </c>
      <c r="P168" s="60">
        <v>7367381885.9899998</v>
      </c>
      <c r="Q168" s="62">
        <f t="shared" si="130"/>
        <v>0.38058713588041909</v>
      </c>
      <c r="R168" s="60">
        <v>7367381885.9899998</v>
      </c>
      <c r="S168" s="62">
        <f t="shared" ref="S168" si="163">+R168/$M168</f>
        <v>0.38058713588041909</v>
      </c>
    </row>
    <row r="169" spans="1:19" ht="24.95" customHeight="1" outlineLevel="1">
      <c r="A169" s="32" t="e">
        <v>#REF!</v>
      </c>
      <c r="B169" s="56" t="s">
        <v>514</v>
      </c>
      <c r="C169" s="57" t="s">
        <v>167</v>
      </c>
      <c r="D169" s="57" t="s">
        <v>190</v>
      </c>
      <c r="E169" s="57" t="s">
        <v>172</v>
      </c>
      <c r="F169" s="57" t="s">
        <v>205</v>
      </c>
      <c r="G169" s="57" t="s">
        <v>175</v>
      </c>
      <c r="H169" s="57" t="s">
        <v>207</v>
      </c>
      <c r="I169" s="57" t="s">
        <v>65</v>
      </c>
      <c r="J169" s="57">
        <v>13</v>
      </c>
      <c r="K169" s="58" t="s">
        <v>29</v>
      </c>
      <c r="L169" s="59" t="s">
        <v>127</v>
      </c>
      <c r="M169" s="81">
        <v>249310062665.25</v>
      </c>
      <c r="N169" s="60">
        <v>174735161131.41</v>
      </c>
      <c r="O169" s="62">
        <f t="shared" si="130"/>
        <v>0.70087488352216198</v>
      </c>
      <c r="P169" s="60">
        <v>105229358284.28999</v>
      </c>
      <c r="Q169" s="62">
        <f t="shared" si="130"/>
        <v>0.42208227441498031</v>
      </c>
      <c r="R169" s="60">
        <v>102431150204.87</v>
      </c>
      <c r="S169" s="62">
        <f t="shared" ref="S169" si="164">+R169/$M169</f>
        <v>0.41085846720276537</v>
      </c>
    </row>
    <row r="170" spans="1:19" ht="27.75" customHeight="1" outlineLevel="1">
      <c r="A170" s="32" t="e">
        <v>#REF!</v>
      </c>
      <c r="B170" s="52" t="s">
        <v>516</v>
      </c>
      <c r="C170" s="52" t="s">
        <v>167</v>
      </c>
      <c r="D170" s="52" t="s">
        <v>190</v>
      </c>
      <c r="E170" s="52" t="s">
        <v>172</v>
      </c>
      <c r="F170" s="52" t="s">
        <v>205</v>
      </c>
      <c r="G170" s="52" t="s">
        <v>175</v>
      </c>
      <c r="H170" s="52" t="s">
        <v>209</v>
      </c>
      <c r="I170" s="52"/>
      <c r="J170" s="53">
        <v>11</v>
      </c>
      <c r="K170" s="52" t="s">
        <v>29</v>
      </c>
      <c r="L170" s="52" t="s">
        <v>210</v>
      </c>
      <c r="M170" s="54">
        <v>25736046372.189999</v>
      </c>
      <c r="N170" s="54">
        <v>24706302513.82</v>
      </c>
      <c r="O170" s="55">
        <f t="shared" si="130"/>
        <v>0.95998826535055026</v>
      </c>
      <c r="P170" s="54">
        <v>23061639833.07</v>
      </c>
      <c r="Q170" s="55">
        <f t="shared" si="130"/>
        <v>0.89608324058624933</v>
      </c>
      <c r="R170" s="54">
        <v>23049721873.07</v>
      </c>
      <c r="S170" s="55">
        <f t="shared" ref="S170" si="165">+R170/$M170</f>
        <v>0.89562015624813285</v>
      </c>
    </row>
    <row r="171" spans="1:19" ht="24.95" customHeight="1" outlineLevel="1">
      <c r="A171" s="32" t="e">
        <v>#REF!</v>
      </c>
      <c r="B171" s="56" t="s">
        <v>517</v>
      </c>
      <c r="C171" s="57" t="s">
        <v>167</v>
      </c>
      <c r="D171" s="57" t="s">
        <v>190</v>
      </c>
      <c r="E171" s="57" t="s">
        <v>172</v>
      </c>
      <c r="F171" s="57" t="s">
        <v>205</v>
      </c>
      <c r="G171" s="57" t="s">
        <v>175</v>
      </c>
      <c r="H171" s="57" t="s">
        <v>209</v>
      </c>
      <c r="I171" s="57" t="s">
        <v>54</v>
      </c>
      <c r="J171" s="57">
        <v>11</v>
      </c>
      <c r="K171" s="58" t="s">
        <v>29</v>
      </c>
      <c r="L171" s="59" t="s">
        <v>178</v>
      </c>
      <c r="M171" s="81">
        <v>17100849100</v>
      </c>
      <c r="N171" s="60">
        <v>16519521025</v>
      </c>
      <c r="O171" s="62">
        <f t="shared" si="130"/>
        <v>0.96600589411668458</v>
      </c>
      <c r="P171" s="60">
        <v>16519521025</v>
      </c>
      <c r="Q171" s="62">
        <f t="shared" si="130"/>
        <v>0.96600589411668458</v>
      </c>
      <c r="R171" s="60">
        <v>16519521025</v>
      </c>
      <c r="S171" s="62">
        <f t="shared" ref="S171" si="166">+R171/$M171</f>
        <v>0.96600589411668458</v>
      </c>
    </row>
    <row r="172" spans="1:19" ht="24.95" customHeight="1" outlineLevel="1">
      <c r="A172" s="32" t="e">
        <v>#REF!</v>
      </c>
      <c r="B172" s="56" t="s">
        <v>517</v>
      </c>
      <c r="C172" s="57" t="s">
        <v>167</v>
      </c>
      <c r="D172" s="57" t="s">
        <v>190</v>
      </c>
      <c r="E172" s="57" t="s">
        <v>172</v>
      </c>
      <c r="F172" s="57" t="s">
        <v>205</v>
      </c>
      <c r="G172" s="57" t="s">
        <v>175</v>
      </c>
      <c r="H172" s="57" t="s">
        <v>209</v>
      </c>
      <c r="I172" s="57" t="s">
        <v>54</v>
      </c>
      <c r="J172" s="57">
        <v>13</v>
      </c>
      <c r="K172" s="58" t="s">
        <v>29</v>
      </c>
      <c r="L172" s="59" t="s">
        <v>178</v>
      </c>
      <c r="M172" s="81">
        <v>8635197272.1899986</v>
      </c>
      <c r="N172" s="60">
        <v>8186781488.8199997</v>
      </c>
      <c r="O172" s="62">
        <f t="shared" si="130"/>
        <v>0.94807115932207597</v>
      </c>
      <c r="P172" s="60">
        <v>6542118808.0699997</v>
      </c>
      <c r="Q172" s="62">
        <f t="shared" si="130"/>
        <v>0.75761081094686245</v>
      </c>
      <c r="R172" s="60">
        <v>6530200848.0699997</v>
      </c>
      <c r="S172" s="62">
        <f t="shared" ref="S172" si="167">+R172/$M172</f>
        <v>0.75623065023665126</v>
      </c>
    </row>
    <row r="173" spans="1:19" ht="36" customHeight="1">
      <c r="A173" s="32" t="e">
        <v>#REF!</v>
      </c>
      <c r="B173" s="48" t="s">
        <v>520</v>
      </c>
      <c r="C173" s="48" t="s">
        <v>167</v>
      </c>
      <c r="D173" s="48" t="s">
        <v>190</v>
      </c>
      <c r="E173" s="48" t="s">
        <v>172</v>
      </c>
      <c r="F173" s="48" t="s">
        <v>211</v>
      </c>
      <c r="G173" s="48"/>
      <c r="H173" s="48"/>
      <c r="I173" s="48"/>
      <c r="J173" s="49"/>
      <c r="K173" s="48"/>
      <c r="L173" s="48" t="s">
        <v>212</v>
      </c>
      <c r="M173" s="50">
        <v>0</v>
      </c>
      <c r="N173" s="50">
        <v>0</v>
      </c>
      <c r="O173" s="51" t="e">
        <f t="shared" si="130"/>
        <v>#DIV/0!</v>
      </c>
      <c r="P173" s="50">
        <v>0</v>
      </c>
      <c r="Q173" s="51" t="e">
        <f t="shared" si="130"/>
        <v>#DIV/0!</v>
      </c>
      <c r="R173" s="50">
        <v>0</v>
      </c>
      <c r="S173" s="51" t="e">
        <f t="shared" ref="S173" si="168">+R173/$M173</f>
        <v>#DIV/0!</v>
      </c>
    </row>
    <row r="174" spans="1:19" ht="28.5" customHeight="1" outlineLevel="1">
      <c r="A174" s="32" t="e">
        <v>#REF!</v>
      </c>
      <c r="B174" s="52" t="s">
        <v>522</v>
      </c>
      <c r="C174" s="52" t="s">
        <v>167</v>
      </c>
      <c r="D174" s="52" t="s">
        <v>190</v>
      </c>
      <c r="E174" s="52" t="s">
        <v>172</v>
      </c>
      <c r="F174" s="52" t="s">
        <v>211</v>
      </c>
      <c r="G174" s="52" t="s">
        <v>175</v>
      </c>
      <c r="H174" s="52" t="s">
        <v>213</v>
      </c>
      <c r="I174" s="52"/>
      <c r="J174" s="53" t="s">
        <v>144</v>
      </c>
      <c r="K174" s="52" t="s">
        <v>29</v>
      </c>
      <c r="L174" s="52" t="s">
        <v>214</v>
      </c>
      <c r="M174" s="54">
        <v>0</v>
      </c>
      <c r="N174" s="54">
        <v>0</v>
      </c>
      <c r="O174" s="55" t="e">
        <f t="shared" si="130"/>
        <v>#DIV/0!</v>
      </c>
      <c r="P174" s="54">
        <v>0</v>
      </c>
      <c r="Q174" s="55" t="e">
        <f t="shared" si="130"/>
        <v>#DIV/0!</v>
      </c>
      <c r="R174" s="54">
        <v>0</v>
      </c>
      <c r="S174" s="55" t="e">
        <f t="shared" ref="S174" si="169">+R174/$M174</f>
        <v>#DIV/0!</v>
      </c>
    </row>
    <row r="175" spans="1:19" ht="24.95" customHeight="1" outlineLevel="1">
      <c r="A175" s="32" t="e">
        <v>#REF!</v>
      </c>
      <c r="B175" s="56" t="s">
        <v>524</v>
      </c>
      <c r="C175" s="57" t="s">
        <v>167</v>
      </c>
      <c r="D175" s="57" t="s">
        <v>190</v>
      </c>
      <c r="E175" s="57" t="s">
        <v>172</v>
      </c>
      <c r="F175" s="57" t="s">
        <v>211</v>
      </c>
      <c r="G175" s="57" t="s">
        <v>175</v>
      </c>
      <c r="H175" s="57" t="s">
        <v>213</v>
      </c>
      <c r="I175" s="57" t="s">
        <v>54</v>
      </c>
      <c r="J175" s="57">
        <v>13</v>
      </c>
      <c r="K175" s="58" t="s">
        <v>29</v>
      </c>
      <c r="L175" s="59" t="s">
        <v>178</v>
      </c>
      <c r="M175" s="60">
        <v>0</v>
      </c>
      <c r="N175" s="60">
        <v>0</v>
      </c>
      <c r="O175" s="62" t="e">
        <f t="shared" si="130"/>
        <v>#DIV/0!</v>
      </c>
      <c r="P175" s="60">
        <v>0</v>
      </c>
      <c r="Q175" s="62" t="e">
        <f t="shared" si="130"/>
        <v>#DIV/0!</v>
      </c>
      <c r="R175" s="60">
        <v>0</v>
      </c>
      <c r="S175" s="62" t="e">
        <f t="shared" ref="S175" si="170">+R175/$M175</f>
        <v>#DIV/0!</v>
      </c>
    </row>
    <row r="176" spans="1:19" ht="24" customHeight="1" outlineLevel="1">
      <c r="A176" s="32" t="e">
        <v>#REF!</v>
      </c>
      <c r="B176" s="52" t="s">
        <v>526</v>
      </c>
      <c r="C176" s="52" t="s">
        <v>167</v>
      </c>
      <c r="D176" s="52" t="s">
        <v>190</v>
      </c>
      <c r="E176" s="52" t="s">
        <v>172</v>
      </c>
      <c r="F176" s="52" t="s">
        <v>211</v>
      </c>
      <c r="G176" s="52" t="s">
        <v>175</v>
      </c>
      <c r="H176" s="52" t="s">
        <v>215</v>
      </c>
      <c r="I176" s="52"/>
      <c r="J176" s="53" t="s">
        <v>144</v>
      </c>
      <c r="K176" s="52" t="s">
        <v>29</v>
      </c>
      <c r="L176" s="52" t="s">
        <v>216</v>
      </c>
      <c r="M176" s="54">
        <v>0</v>
      </c>
      <c r="N176" s="54">
        <v>0</v>
      </c>
      <c r="O176" s="55" t="e">
        <f t="shared" si="130"/>
        <v>#DIV/0!</v>
      </c>
      <c r="P176" s="54">
        <v>0</v>
      </c>
      <c r="Q176" s="55" t="e">
        <f t="shared" si="130"/>
        <v>#DIV/0!</v>
      </c>
      <c r="R176" s="54">
        <v>0</v>
      </c>
      <c r="S176" s="55" t="e">
        <f t="shared" ref="S176" si="171">+R176/$M176</f>
        <v>#DIV/0!</v>
      </c>
    </row>
    <row r="177" spans="1:19" ht="24.95" customHeight="1" outlineLevel="1">
      <c r="A177" s="32" t="e">
        <v>#REF!</v>
      </c>
      <c r="B177" s="56" t="s">
        <v>528</v>
      </c>
      <c r="C177" s="57" t="s">
        <v>167</v>
      </c>
      <c r="D177" s="57" t="s">
        <v>190</v>
      </c>
      <c r="E177" s="57" t="s">
        <v>172</v>
      </c>
      <c r="F177" s="57" t="s">
        <v>211</v>
      </c>
      <c r="G177" s="57" t="s">
        <v>175</v>
      </c>
      <c r="H177" s="57" t="s">
        <v>215</v>
      </c>
      <c r="I177" s="57" t="s">
        <v>54</v>
      </c>
      <c r="J177" s="57">
        <v>13</v>
      </c>
      <c r="K177" s="58" t="s">
        <v>29</v>
      </c>
      <c r="L177" s="59" t="s">
        <v>178</v>
      </c>
      <c r="M177" s="60">
        <v>0</v>
      </c>
      <c r="N177" s="60">
        <v>0</v>
      </c>
      <c r="O177" s="62" t="e">
        <f t="shared" si="130"/>
        <v>#DIV/0!</v>
      </c>
      <c r="P177" s="60">
        <v>0</v>
      </c>
      <c r="Q177" s="62" t="e">
        <f t="shared" si="130"/>
        <v>#DIV/0!</v>
      </c>
      <c r="R177" s="60">
        <v>0</v>
      </c>
      <c r="S177" s="62" t="e">
        <f t="shared" ref="S177" si="172">+R177/$M177</f>
        <v>#DIV/0!</v>
      </c>
    </row>
    <row r="178" spans="1:19" ht="50.25" customHeight="1">
      <c r="A178" s="32" t="e">
        <v>#REF!</v>
      </c>
      <c r="B178" s="48" t="s">
        <v>530</v>
      </c>
      <c r="C178" s="48" t="s">
        <v>167</v>
      </c>
      <c r="D178" s="48" t="s">
        <v>190</v>
      </c>
      <c r="E178" s="48" t="s">
        <v>172</v>
      </c>
      <c r="F178" s="48" t="s">
        <v>217</v>
      </c>
      <c r="G178" s="48"/>
      <c r="H178" s="48"/>
      <c r="I178" s="48"/>
      <c r="J178" s="49"/>
      <c r="K178" s="48"/>
      <c r="L178" s="48" t="s">
        <v>218</v>
      </c>
      <c r="M178" s="50">
        <v>18552530935</v>
      </c>
      <c r="N178" s="50">
        <v>17503823604.5</v>
      </c>
      <c r="O178" s="51">
        <f t="shared" si="130"/>
        <v>0.94347362447882643</v>
      </c>
      <c r="P178" s="50">
        <v>7853669156.5</v>
      </c>
      <c r="Q178" s="51">
        <f t="shared" si="130"/>
        <v>0.42332063393484376</v>
      </c>
      <c r="R178" s="50">
        <v>7853669156.5</v>
      </c>
      <c r="S178" s="51">
        <f t="shared" ref="S178" si="173">+R178/$M178</f>
        <v>0.42332063393484376</v>
      </c>
    </row>
    <row r="179" spans="1:19" ht="24" customHeight="1" outlineLevel="1">
      <c r="A179" s="32" t="e">
        <v>#REF!</v>
      </c>
      <c r="B179" s="52" t="s">
        <v>531</v>
      </c>
      <c r="C179" s="52" t="s">
        <v>167</v>
      </c>
      <c r="D179" s="52" t="s">
        <v>190</v>
      </c>
      <c r="E179" s="52" t="s">
        <v>172</v>
      </c>
      <c r="F179" s="52" t="s">
        <v>217</v>
      </c>
      <c r="G179" s="52" t="s">
        <v>175</v>
      </c>
      <c r="H179" s="52" t="s">
        <v>219</v>
      </c>
      <c r="I179" s="52"/>
      <c r="J179" s="53">
        <v>11</v>
      </c>
      <c r="K179" s="52" t="s">
        <v>29</v>
      </c>
      <c r="L179" s="52" t="s">
        <v>220</v>
      </c>
      <c r="M179" s="54">
        <v>2951446102</v>
      </c>
      <c r="N179" s="54">
        <v>2771875611.5</v>
      </c>
      <c r="O179" s="55">
        <f t="shared" si="130"/>
        <v>0.93915847205262637</v>
      </c>
      <c r="P179" s="54">
        <v>886146274.5</v>
      </c>
      <c r="Q179" s="55">
        <f t="shared" si="130"/>
        <v>0.30024138807736223</v>
      </c>
      <c r="R179" s="54">
        <v>886146274.5</v>
      </c>
      <c r="S179" s="55">
        <f t="shared" ref="S179" si="174">+R179/$M179</f>
        <v>0.30024138807736223</v>
      </c>
    </row>
    <row r="180" spans="1:19" ht="24.95" customHeight="1" outlineLevel="1">
      <c r="A180" s="32" t="e">
        <v>#REF!</v>
      </c>
      <c r="B180" s="56" t="s">
        <v>532</v>
      </c>
      <c r="C180" s="57" t="s">
        <v>167</v>
      </c>
      <c r="D180" s="57" t="s">
        <v>190</v>
      </c>
      <c r="E180" s="57" t="s">
        <v>172</v>
      </c>
      <c r="F180" s="57" t="s">
        <v>217</v>
      </c>
      <c r="G180" s="57" t="s">
        <v>175</v>
      </c>
      <c r="H180" s="57" t="s">
        <v>219</v>
      </c>
      <c r="I180" s="57" t="s">
        <v>54</v>
      </c>
      <c r="J180" s="57">
        <v>13</v>
      </c>
      <c r="K180" s="58" t="s">
        <v>29</v>
      </c>
      <c r="L180" s="59" t="s">
        <v>178</v>
      </c>
      <c r="M180" s="60">
        <v>2951446102</v>
      </c>
      <c r="N180" s="60">
        <v>2771875611.5</v>
      </c>
      <c r="O180" s="62">
        <f t="shared" si="130"/>
        <v>0.93915847205262637</v>
      </c>
      <c r="P180" s="60">
        <v>886146274.5</v>
      </c>
      <c r="Q180" s="62">
        <f t="shared" si="130"/>
        <v>0.30024138807736223</v>
      </c>
      <c r="R180" s="60">
        <v>886146274.5</v>
      </c>
      <c r="S180" s="62">
        <f t="shared" ref="S180" si="175">+R180/$M180</f>
        <v>0.30024138807736223</v>
      </c>
    </row>
    <row r="181" spans="1:19" ht="28.5" customHeight="1" outlineLevel="1">
      <c r="A181" s="32" t="e">
        <v>#REF!</v>
      </c>
      <c r="B181" s="52" t="s">
        <v>533</v>
      </c>
      <c r="C181" s="52" t="s">
        <v>167</v>
      </c>
      <c r="D181" s="52" t="s">
        <v>190</v>
      </c>
      <c r="E181" s="52" t="s">
        <v>172</v>
      </c>
      <c r="F181" s="52" t="s">
        <v>217</v>
      </c>
      <c r="G181" s="52" t="s">
        <v>175</v>
      </c>
      <c r="H181" s="52" t="s">
        <v>221</v>
      </c>
      <c r="I181" s="52"/>
      <c r="J181" s="53">
        <v>11</v>
      </c>
      <c r="K181" s="52" t="s">
        <v>29</v>
      </c>
      <c r="L181" s="52" t="s">
        <v>222</v>
      </c>
      <c r="M181" s="54">
        <v>15601084833</v>
      </c>
      <c r="N181" s="54">
        <v>14731947993</v>
      </c>
      <c r="O181" s="55">
        <f t="shared" si="130"/>
        <v>0.94428997410734095</v>
      </c>
      <c r="P181" s="54">
        <v>6967522882</v>
      </c>
      <c r="Q181" s="55">
        <f t="shared" si="130"/>
        <v>0.44660502500839133</v>
      </c>
      <c r="R181" s="54">
        <v>6967522882</v>
      </c>
      <c r="S181" s="55">
        <f t="shared" ref="S181" si="176">+R181/$M181</f>
        <v>0.44660502500839133</v>
      </c>
    </row>
    <row r="182" spans="1:19" ht="24.95" customHeight="1" outlineLevel="1">
      <c r="A182" s="32" t="e">
        <v>#REF!</v>
      </c>
      <c r="B182" s="56" t="s">
        <v>534</v>
      </c>
      <c r="C182" s="57" t="s">
        <v>167</v>
      </c>
      <c r="D182" s="57" t="s">
        <v>190</v>
      </c>
      <c r="E182" s="57" t="s">
        <v>172</v>
      </c>
      <c r="F182" s="57" t="s">
        <v>217</v>
      </c>
      <c r="G182" s="57" t="s">
        <v>175</v>
      </c>
      <c r="H182" s="57" t="s">
        <v>221</v>
      </c>
      <c r="I182" s="57" t="s">
        <v>54</v>
      </c>
      <c r="J182" s="57">
        <v>13</v>
      </c>
      <c r="K182" s="58" t="s">
        <v>29</v>
      </c>
      <c r="L182" s="59" t="s">
        <v>178</v>
      </c>
      <c r="M182" s="60">
        <v>15601084833</v>
      </c>
      <c r="N182" s="60">
        <v>14731947993</v>
      </c>
      <c r="O182" s="62">
        <f t="shared" si="130"/>
        <v>0.94428997410734095</v>
      </c>
      <c r="P182" s="60">
        <v>6967522882</v>
      </c>
      <c r="Q182" s="62">
        <f t="shared" si="130"/>
        <v>0.44660502500839133</v>
      </c>
      <c r="R182" s="60">
        <v>6967522882</v>
      </c>
      <c r="S182" s="62">
        <f t="shared" ref="S182" si="177">+R182/$M182</f>
        <v>0.44660502500839133</v>
      </c>
    </row>
    <row r="183" spans="1:19" ht="30" customHeight="1" outlineLevel="1">
      <c r="A183" s="32" t="e">
        <v>#REF!</v>
      </c>
      <c r="B183" s="52" t="s">
        <v>536</v>
      </c>
      <c r="C183" s="52" t="s">
        <v>167</v>
      </c>
      <c r="D183" s="52" t="s">
        <v>190</v>
      </c>
      <c r="E183" s="52" t="s">
        <v>172</v>
      </c>
      <c r="F183" s="52" t="s">
        <v>217</v>
      </c>
      <c r="G183" s="52" t="s">
        <v>175</v>
      </c>
      <c r="H183" s="52" t="s">
        <v>223</v>
      </c>
      <c r="I183" s="52"/>
      <c r="J183" s="53">
        <v>11</v>
      </c>
      <c r="K183" s="52" t="s">
        <v>29</v>
      </c>
      <c r="L183" s="52" t="s">
        <v>224</v>
      </c>
      <c r="M183" s="54">
        <v>0</v>
      </c>
      <c r="N183" s="54">
        <v>0</v>
      </c>
      <c r="O183" s="55" t="e">
        <f t="shared" si="130"/>
        <v>#DIV/0!</v>
      </c>
      <c r="P183" s="54">
        <v>0</v>
      </c>
      <c r="Q183" s="55" t="e">
        <f t="shared" si="130"/>
        <v>#DIV/0!</v>
      </c>
      <c r="R183" s="54">
        <v>0</v>
      </c>
      <c r="S183" s="55" t="e">
        <f t="shared" ref="S183" si="178">+R183/$M183</f>
        <v>#DIV/0!</v>
      </c>
    </row>
    <row r="184" spans="1:19" ht="24.95" customHeight="1" outlineLevel="1">
      <c r="A184" s="32" t="e">
        <v>#REF!</v>
      </c>
      <c r="B184" s="56" t="s">
        <v>537</v>
      </c>
      <c r="C184" s="57" t="s">
        <v>167</v>
      </c>
      <c r="D184" s="57" t="s">
        <v>190</v>
      </c>
      <c r="E184" s="57" t="s">
        <v>172</v>
      </c>
      <c r="F184" s="57" t="s">
        <v>217</v>
      </c>
      <c r="G184" s="57" t="s">
        <v>175</v>
      </c>
      <c r="H184" s="57" t="s">
        <v>223</v>
      </c>
      <c r="I184" s="57" t="s">
        <v>54</v>
      </c>
      <c r="J184" s="57">
        <v>11</v>
      </c>
      <c r="K184" s="58" t="s">
        <v>29</v>
      </c>
      <c r="L184" s="59" t="s">
        <v>178</v>
      </c>
      <c r="M184" s="60">
        <v>0</v>
      </c>
      <c r="N184" s="60"/>
      <c r="O184" s="62" t="e">
        <f t="shared" si="130"/>
        <v>#DIV/0!</v>
      </c>
      <c r="P184" s="60"/>
      <c r="Q184" s="62" t="e">
        <f t="shared" si="130"/>
        <v>#DIV/0!</v>
      </c>
      <c r="R184" s="60"/>
      <c r="S184" s="62" t="e">
        <f t="shared" ref="S184" si="179">+R184/$M184</f>
        <v>#DIV/0!</v>
      </c>
    </row>
    <row r="185" spans="1:19" ht="24.95" customHeight="1" outlineLevel="1">
      <c r="A185" s="32" t="e">
        <v>#REF!</v>
      </c>
      <c r="B185" s="56" t="s">
        <v>539</v>
      </c>
      <c r="C185" s="57" t="s">
        <v>167</v>
      </c>
      <c r="D185" s="57" t="s">
        <v>190</v>
      </c>
      <c r="E185" s="57" t="s">
        <v>172</v>
      </c>
      <c r="F185" s="57" t="s">
        <v>217</v>
      </c>
      <c r="G185" s="57" t="s">
        <v>175</v>
      </c>
      <c r="H185" s="57" t="s">
        <v>223</v>
      </c>
      <c r="I185" s="57" t="s">
        <v>65</v>
      </c>
      <c r="J185" s="57">
        <v>11</v>
      </c>
      <c r="K185" s="58" t="s">
        <v>29</v>
      </c>
      <c r="L185" s="59" t="s">
        <v>127</v>
      </c>
      <c r="M185" s="60">
        <v>0</v>
      </c>
      <c r="N185" s="60"/>
      <c r="O185" s="62" t="e">
        <f t="shared" si="130"/>
        <v>#DIV/0!</v>
      </c>
      <c r="P185" s="60"/>
      <c r="Q185" s="62" t="e">
        <f t="shared" si="130"/>
        <v>#DIV/0!</v>
      </c>
      <c r="R185" s="60"/>
      <c r="S185" s="62" t="e">
        <f t="shared" ref="S185" si="180">+R185/$M185</f>
        <v>#DIV/0!</v>
      </c>
    </row>
    <row r="186" spans="1:19" ht="30" customHeight="1" outlineLevel="1">
      <c r="A186" s="32" t="e">
        <v>#REF!</v>
      </c>
      <c r="B186" s="52" t="s">
        <v>540</v>
      </c>
      <c r="C186" s="52" t="s">
        <v>167</v>
      </c>
      <c r="D186" s="52" t="s">
        <v>190</v>
      </c>
      <c r="E186" s="52" t="s">
        <v>172</v>
      </c>
      <c r="F186" s="52" t="s">
        <v>217</v>
      </c>
      <c r="G186" s="52" t="s">
        <v>175</v>
      </c>
      <c r="H186" s="52" t="s">
        <v>225</v>
      </c>
      <c r="I186" s="52"/>
      <c r="J186" s="53">
        <v>11</v>
      </c>
      <c r="K186" s="52" t="s">
        <v>29</v>
      </c>
      <c r="L186" s="52" t="s">
        <v>226</v>
      </c>
      <c r="M186" s="54">
        <v>0</v>
      </c>
      <c r="N186" s="54">
        <v>0</v>
      </c>
      <c r="O186" s="55" t="e">
        <f t="shared" si="130"/>
        <v>#DIV/0!</v>
      </c>
      <c r="P186" s="54">
        <v>0</v>
      </c>
      <c r="Q186" s="55" t="e">
        <f t="shared" si="130"/>
        <v>#DIV/0!</v>
      </c>
      <c r="R186" s="54">
        <v>0</v>
      </c>
      <c r="S186" s="55" t="e">
        <f t="shared" ref="S186" si="181">+R186/$M186</f>
        <v>#DIV/0!</v>
      </c>
    </row>
    <row r="187" spans="1:19" ht="24.95" customHeight="1" outlineLevel="1">
      <c r="A187" s="32" t="e">
        <v>#REF!</v>
      </c>
      <c r="B187" s="56" t="s">
        <v>541</v>
      </c>
      <c r="C187" s="57" t="s">
        <v>167</v>
      </c>
      <c r="D187" s="57" t="s">
        <v>190</v>
      </c>
      <c r="E187" s="57" t="s">
        <v>172</v>
      </c>
      <c r="F187" s="57" t="s">
        <v>217</v>
      </c>
      <c r="G187" s="57" t="s">
        <v>175</v>
      </c>
      <c r="H187" s="57" t="s">
        <v>225</v>
      </c>
      <c r="I187" s="57" t="s">
        <v>54</v>
      </c>
      <c r="J187" s="57">
        <v>11</v>
      </c>
      <c r="K187" s="58" t="s">
        <v>29</v>
      </c>
      <c r="L187" s="59" t="s">
        <v>178</v>
      </c>
      <c r="M187" s="60">
        <v>0</v>
      </c>
      <c r="N187" s="60"/>
      <c r="O187" s="62" t="e">
        <f t="shared" si="130"/>
        <v>#DIV/0!</v>
      </c>
      <c r="P187" s="60"/>
      <c r="Q187" s="62" t="e">
        <f t="shared" si="130"/>
        <v>#DIV/0!</v>
      </c>
      <c r="R187" s="60"/>
      <c r="S187" s="62" t="e">
        <f t="shared" ref="S187" si="182">+R187/$M187</f>
        <v>#DIV/0!</v>
      </c>
    </row>
    <row r="188" spans="1:19" ht="33" customHeight="1">
      <c r="A188" s="32" t="e">
        <v>#REF!</v>
      </c>
      <c r="B188" s="48" t="s">
        <v>664</v>
      </c>
      <c r="C188" s="48" t="s">
        <v>167</v>
      </c>
      <c r="D188" s="48" t="s">
        <v>190</v>
      </c>
      <c r="E188" s="48" t="s">
        <v>172</v>
      </c>
      <c r="F188" s="48">
        <v>19</v>
      </c>
      <c r="G188" s="48"/>
      <c r="H188" s="48"/>
      <c r="I188" s="48"/>
      <c r="J188" s="49"/>
      <c r="K188" s="48"/>
      <c r="L188" s="48" t="s">
        <v>227</v>
      </c>
      <c r="M188" s="50">
        <v>18069349000</v>
      </c>
      <c r="N188" s="50">
        <v>17524470177.950001</v>
      </c>
      <c r="O188" s="51">
        <f t="shared" si="130"/>
        <v>0.96984513265807204</v>
      </c>
      <c r="P188" s="50">
        <v>7792626329.9700003</v>
      </c>
      <c r="Q188" s="51">
        <f t="shared" si="130"/>
        <v>0.43126215172278759</v>
      </c>
      <c r="R188" s="50">
        <v>7788644264.9700003</v>
      </c>
      <c r="S188" s="51">
        <f t="shared" ref="S188" si="183">+R188/$M188</f>
        <v>0.43104177493998264</v>
      </c>
    </row>
    <row r="189" spans="1:19" ht="30" customHeight="1" outlineLevel="1">
      <c r="A189" s="32" t="e">
        <v>#REF!</v>
      </c>
      <c r="B189" s="52" t="s">
        <v>666</v>
      </c>
      <c r="C189" s="52" t="s">
        <v>167</v>
      </c>
      <c r="D189" s="52" t="s">
        <v>190</v>
      </c>
      <c r="E189" s="52" t="s">
        <v>172</v>
      </c>
      <c r="F189" s="52">
        <v>19</v>
      </c>
      <c r="G189" s="52" t="s">
        <v>175</v>
      </c>
      <c r="H189" s="52">
        <v>4103049</v>
      </c>
      <c r="I189" s="52"/>
      <c r="J189" s="53">
        <v>13</v>
      </c>
      <c r="K189" s="52" t="s">
        <v>29</v>
      </c>
      <c r="L189" s="52" t="s">
        <v>228</v>
      </c>
      <c r="M189" s="54">
        <v>321785352</v>
      </c>
      <c r="N189" s="54">
        <v>282728646</v>
      </c>
      <c r="O189" s="55">
        <f t="shared" si="130"/>
        <v>0.87862497233870362</v>
      </c>
      <c r="P189" s="54">
        <v>275728646</v>
      </c>
      <c r="Q189" s="55">
        <f t="shared" si="130"/>
        <v>0.85687134074393789</v>
      </c>
      <c r="R189" s="54">
        <v>275728646</v>
      </c>
      <c r="S189" s="55">
        <f t="shared" ref="S189" si="184">+R189/$M189</f>
        <v>0.85687134074393789</v>
      </c>
    </row>
    <row r="190" spans="1:19" ht="24.95" customHeight="1" outlineLevel="1">
      <c r="A190" s="32" t="e">
        <v>#REF!</v>
      </c>
      <c r="B190" s="56" t="s">
        <v>668</v>
      </c>
      <c r="C190" s="57" t="s">
        <v>167</v>
      </c>
      <c r="D190" s="57" t="s">
        <v>190</v>
      </c>
      <c r="E190" s="57" t="s">
        <v>172</v>
      </c>
      <c r="F190" s="57">
        <v>19</v>
      </c>
      <c r="G190" s="57" t="s">
        <v>175</v>
      </c>
      <c r="H190" s="57">
        <v>4103049</v>
      </c>
      <c r="I190" s="57" t="s">
        <v>54</v>
      </c>
      <c r="J190" s="57">
        <v>13</v>
      </c>
      <c r="K190" s="58" t="s">
        <v>29</v>
      </c>
      <c r="L190" s="59" t="s">
        <v>178</v>
      </c>
      <c r="M190" s="60">
        <v>321785352</v>
      </c>
      <c r="N190" s="60">
        <v>282728646</v>
      </c>
      <c r="O190" s="62">
        <f t="shared" si="130"/>
        <v>0.87862497233870362</v>
      </c>
      <c r="P190" s="60">
        <v>275728646</v>
      </c>
      <c r="Q190" s="62">
        <f t="shared" si="130"/>
        <v>0.85687134074393789</v>
      </c>
      <c r="R190" s="60">
        <v>275728646</v>
      </c>
      <c r="S190" s="62">
        <f t="shared" ref="S190" si="185">+R190/$M190</f>
        <v>0.85687134074393789</v>
      </c>
    </row>
    <row r="191" spans="1:19" ht="30" customHeight="1" outlineLevel="1">
      <c r="A191" s="32" t="e">
        <v>#REF!</v>
      </c>
      <c r="B191" s="52" t="s">
        <v>670</v>
      </c>
      <c r="C191" s="52" t="s">
        <v>167</v>
      </c>
      <c r="D191" s="52" t="s">
        <v>190</v>
      </c>
      <c r="E191" s="52" t="s">
        <v>172</v>
      </c>
      <c r="F191" s="52">
        <v>19</v>
      </c>
      <c r="G191" s="52" t="s">
        <v>175</v>
      </c>
      <c r="H191" s="52">
        <v>4103052</v>
      </c>
      <c r="I191" s="52"/>
      <c r="J191" s="53">
        <v>13</v>
      </c>
      <c r="K191" s="52" t="s">
        <v>29</v>
      </c>
      <c r="L191" s="52" t="s">
        <v>229</v>
      </c>
      <c r="M191" s="54">
        <v>12478214648</v>
      </c>
      <c r="N191" s="54">
        <v>11972392531.950001</v>
      </c>
      <c r="O191" s="55">
        <f t="shared" si="130"/>
        <v>0.95946358270643528</v>
      </c>
      <c r="P191" s="54">
        <v>7516897683.9700003</v>
      </c>
      <c r="Q191" s="55">
        <f t="shared" si="130"/>
        <v>0.60240169735938975</v>
      </c>
      <c r="R191" s="54">
        <v>7512915618.9700003</v>
      </c>
      <c r="S191" s="55">
        <f t="shared" ref="S191" si="186">+R191/$M191</f>
        <v>0.60208257598567316</v>
      </c>
    </row>
    <row r="192" spans="1:19" ht="24.95" customHeight="1" outlineLevel="1">
      <c r="A192" s="32" t="e">
        <v>#REF!</v>
      </c>
      <c r="B192" s="56" t="s">
        <v>672</v>
      </c>
      <c r="C192" s="57" t="s">
        <v>167</v>
      </c>
      <c r="D192" s="57" t="s">
        <v>190</v>
      </c>
      <c r="E192" s="57" t="s">
        <v>172</v>
      </c>
      <c r="F192" s="57">
        <v>19</v>
      </c>
      <c r="G192" s="57" t="s">
        <v>175</v>
      </c>
      <c r="H192" s="57">
        <v>4103052</v>
      </c>
      <c r="I192" s="57" t="s">
        <v>54</v>
      </c>
      <c r="J192" s="57">
        <v>13</v>
      </c>
      <c r="K192" s="58" t="s">
        <v>29</v>
      </c>
      <c r="L192" s="59" t="s">
        <v>178</v>
      </c>
      <c r="M192" s="60">
        <v>12478214648</v>
      </c>
      <c r="N192" s="60">
        <v>11972392531.950001</v>
      </c>
      <c r="O192" s="62">
        <f t="shared" si="130"/>
        <v>0.95946358270643528</v>
      </c>
      <c r="P192" s="60">
        <v>7516897683.9700003</v>
      </c>
      <c r="Q192" s="62">
        <f t="shared" si="130"/>
        <v>0.60240169735938975</v>
      </c>
      <c r="R192" s="60">
        <v>7512915618.9700003</v>
      </c>
      <c r="S192" s="62">
        <f t="shared" ref="S192" si="187">+R192/$M192</f>
        <v>0.60208257598567316</v>
      </c>
    </row>
    <row r="193" spans="1:19" ht="27.75" customHeight="1" outlineLevel="1">
      <c r="A193" s="32" t="e">
        <v>#REF!</v>
      </c>
      <c r="B193" s="52" t="s">
        <v>670</v>
      </c>
      <c r="C193" s="52" t="s">
        <v>167</v>
      </c>
      <c r="D193" s="52" t="s">
        <v>190</v>
      </c>
      <c r="E193" s="52" t="s">
        <v>172</v>
      </c>
      <c r="F193" s="52">
        <v>19</v>
      </c>
      <c r="G193" s="52" t="s">
        <v>175</v>
      </c>
      <c r="H193" s="52">
        <v>4103052</v>
      </c>
      <c r="I193" s="52"/>
      <c r="J193" s="53">
        <v>15</v>
      </c>
      <c r="K193" s="52" t="s">
        <v>29</v>
      </c>
      <c r="L193" s="52" t="s">
        <v>229</v>
      </c>
      <c r="M193" s="54">
        <v>5269349000</v>
      </c>
      <c r="N193" s="54">
        <v>5269349000</v>
      </c>
      <c r="O193" s="55">
        <f t="shared" si="130"/>
        <v>1</v>
      </c>
      <c r="P193" s="54">
        <v>0</v>
      </c>
      <c r="Q193" s="55">
        <f t="shared" si="130"/>
        <v>0</v>
      </c>
      <c r="R193" s="54">
        <v>0</v>
      </c>
      <c r="S193" s="55">
        <f t="shared" ref="S193" si="188">+R193/$M193</f>
        <v>0</v>
      </c>
    </row>
    <row r="194" spans="1:19" ht="24.95" customHeight="1" outlineLevel="1">
      <c r="A194" s="32" t="e">
        <v>#REF!</v>
      </c>
      <c r="B194" s="56" t="s">
        <v>672</v>
      </c>
      <c r="C194" s="57" t="s">
        <v>167</v>
      </c>
      <c r="D194" s="57" t="s">
        <v>190</v>
      </c>
      <c r="E194" s="57" t="s">
        <v>172</v>
      </c>
      <c r="F194" s="57">
        <v>19</v>
      </c>
      <c r="G194" s="57" t="s">
        <v>175</v>
      </c>
      <c r="H194" s="57">
        <v>4103052</v>
      </c>
      <c r="I194" s="57" t="s">
        <v>54</v>
      </c>
      <c r="J194" s="57">
        <v>15</v>
      </c>
      <c r="K194" s="58" t="s">
        <v>29</v>
      </c>
      <c r="L194" s="59" t="s">
        <v>178</v>
      </c>
      <c r="M194" s="60">
        <v>5269349000</v>
      </c>
      <c r="N194" s="60">
        <v>5269349000</v>
      </c>
      <c r="O194" s="62">
        <f t="shared" si="130"/>
        <v>1</v>
      </c>
      <c r="P194" s="60">
        <v>0</v>
      </c>
      <c r="Q194" s="62">
        <f t="shared" si="130"/>
        <v>0</v>
      </c>
      <c r="R194" s="60">
        <v>0</v>
      </c>
      <c r="S194" s="62">
        <f t="shared" ref="S194" si="189">+R194/$M194</f>
        <v>0</v>
      </c>
    </row>
    <row r="195" spans="1:19" ht="39.75" customHeight="1">
      <c r="A195" s="32" t="e">
        <v>#REF!</v>
      </c>
      <c r="B195" s="48" t="s">
        <v>678</v>
      </c>
      <c r="C195" s="48" t="s">
        <v>167</v>
      </c>
      <c r="D195" s="48" t="s">
        <v>190</v>
      </c>
      <c r="E195" s="48" t="s">
        <v>172</v>
      </c>
      <c r="F195" s="48">
        <v>20</v>
      </c>
      <c r="G195" s="48"/>
      <c r="H195" s="48"/>
      <c r="I195" s="48"/>
      <c r="J195" s="49"/>
      <c r="K195" s="48"/>
      <c r="L195" s="48" t="s">
        <v>230</v>
      </c>
      <c r="M195" s="50">
        <v>971454000000</v>
      </c>
      <c r="N195" s="50">
        <v>971167931012.59998</v>
      </c>
      <c r="O195" s="51">
        <f t="shared" si="130"/>
        <v>0.99970552492717102</v>
      </c>
      <c r="P195" s="50">
        <v>955835006023.56006</v>
      </c>
      <c r="Q195" s="51">
        <f t="shared" si="130"/>
        <v>0.98392204471190614</v>
      </c>
      <c r="R195" s="50">
        <v>955777417014.56006</v>
      </c>
      <c r="S195" s="51">
        <f t="shared" ref="S195" si="190">+R195/$M195</f>
        <v>0.98386276346029766</v>
      </c>
    </row>
    <row r="196" spans="1:19" ht="30.75" customHeight="1" outlineLevel="1">
      <c r="A196" s="32" t="e">
        <v>#REF!</v>
      </c>
      <c r="B196" s="52" t="s">
        <v>680</v>
      </c>
      <c r="C196" s="52" t="s">
        <v>167</v>
      </c>
      <c r="D196" s="52" t="s">
        <v>190</v>
      </c>
      <c r="E196" s="52" t="s">
        <v>172</v>
      </c>
      <c r="F196" s="52">
        <v>20</v>
      </c>
      <c r="G196" s="52" t="s">
        <v>175</v>
      </c>
      <c r="H196" s="52">
        <v>4103061</v>
      </c>
      <c r="I196" s="52"/>
      <c r="J196" s="53">
        <v>11</v>
      </c>
      <c r="K196" s="52" t="s">
        <v>29</v>
      </c>
      <c r="L196" s="52" t="s">
        <v>231</v>
      </c>
      <c r="M196" s="54">
        <v>971454000000</v>
      </c>
      <c r="N196" s="54">
        <v>971167931012.59998</v>
      </c>
      <c r="O196" s="55">
        <f t="shared" si="130"/>
        <v>0.99970552492717102</v>
      </c>
      <c r="P196" s="54">
        <v>955835006023.56006</v>
      </c>
      <c r="Q196" s="55">
        <f t="shared" si="130"/>
        <v>0.98392204471190614</v>
      </c>
      <c r="R196" s="54">
        <v>955777417014.56006</v>
      </c>
      <c r="S196" s="55">
        <f t="shared" ref="S196" si="191">+R196/$M196</f>
        <v>0.98386276346029766</v>
      </c>
    </row>
    <row r="197" spans="1:19" ht="24.95" customHeight="1" outlineLevel="1">
      <c r="A197" s="32" t="e">
        <v>#REF!</v>
      </c>
      <c r="B197" s="56" t="s">
        <v>682</v>
      </c>
      <c r="C197" s="57" t="s">
        <v>167</v>
      </c>
      <c r="D197" s="57" t="s">
        <v>190</v>
      </c>
      <c r="E197" s="57" t="s">
        <v>172</v>
      </c>
      <c r="F197" s="57">
        <v>20</v>
      </c>
      <c r="G197" s="57" t="s">
        <v>175</v>
      </c>
      <c r="H197" s="57">
        <v>4103061</v>
      </c>
      <c r="I197" s="57" t="s">
        <v>54</v>
      </c>
      <c r="J197" s="57">
        <v>11</v>
      </c>
      <c r="K197" s="58" t="s">
        <v>29</v>
      </c>
      <c r="L197" s="59" t="s">
        <v>178</v>
      </c>
      <c r="M197" s="60">
        <v>30759332717.139999</v>
      </c>
      <c r="N197" s="60">
        <v>30473823729.740002</v>
      </c>
      <c r="O197" s="62">
        <f t="shared" si="130"/>
        <v>0.99071797200461031</v>
      </c>
      <c r="P197" s="60">
        <v>24133890023.560001</v>
      </c>
      <c r="Q197" s="62">
        <f t="shared" si="130"/>
        <v>0.78460382237459569</v>
      </c>
      <c r="R197" s="60">
        <v>24076301014.560001</v>
      </c>
      <c r="S197" s="62">
        <f t="shared" ref="S197" si="192">+R197/$M197</f>
        <v>0.78273157730577114</v>
      </c>
    </row>
    <row r="198" spans="1:19" ht="24.95" customHeight="1" outlineLevel="1">
      <c r="A198" s="32" t="e">
        <v>#REF!</v>
      </c>
      <c r="B198" s="56" t="s">
        <v>684</v>
      </c>
      <c r="C198" s="57" t="s">
        <v>167</v>
      </c>
      <c r="D198" s="57" t="s">
        <v>190</v>
      </c>
      <c r="E198" s="57" t="s">
        <v>172</v>
      </c>
      <c r="F198" s="57">
        <v>20</v>
      </c>
      <c r="G198" s="57" t="s">
        <v>175</v>
      </c>
      <c r="H198" s="57">
        <v>4103061</v>
      </c>
      <c r="I198" s="57" t="s">
        <v>65</v>
      </c>
      <c r="J198" s="57">
        <v>11</v>
      </c>
      <c r="K198" s="58" t="s">
        <v>29</v>
      </c>
      <c r="L198" s="59" t="s">
        <v>127</v>
      </c>
      <c r="M198" s="60">
        <v>322474667282.85999</v>
      </c>
      <c r="N198" s="60">
        <v>322474667282.85999</v>
      </c>
      <c r="O198" s="62">
        <f t="shared" si="130"/>
        <v>1</v>
      </c>
      <c r="P198" s="60">
        <v>313481676000</v>
      </c>
      <c r="Q198" s="62">
        <f t="shared" si="130"/>
        <v>0.97211256512446687</v>
      </c>
      <c r="R198" s="60">
        <v>313481676000</v>
      </c>
      <c r="S198" s="62">
        <f t="shared" ref="S198" si="193">+R198/$M198</f>
        <v>0.97211256512446687</v>
      </c>
    </row>
    <row r="199" spans="1:19" ht="24.95" customHeight="1" outlineLevel="1">
      <c r="A199" s="32" t="e">
        <v>#REF!</v>
      </c>
      <c r="B199" s="56" t="s">
        <v>684</v>
      </c>
      <c r="C199" s="57" t="s">
        <v>167</v>
      </c>
      <c r="D199" s="57" t="s">
        <v>190</v>
      </c>
      <c r="E199" s="57" t="s">
        <v>172</v>
      </c>
      <c r="F199" s="57">
        <v>20</v>
      </c>
      <c r="G199" s="57" t="s">
        <v>175</v>
      </c>
      <c r="H199" s="57">
        <v>4103061</v>
      </c>
      <c r="I199" s="57" t="s">
        <v>65</v>
      </c>
      <c r="J199" s="57">
        <v>13</v>
      </c>
      <c r="K199" s="58" t="s">
        <v>29</v>
      </c>
      <c r="L199" s="59" t="s">
        <v>127</v>
      </c>
      <c r="M199" s="60">
        <v>618220000000</v>
      </c>
      <c r="N199" s="60">
        <v>618219440000</v>
      </c>
      <c r="O199" s="62">
        <f t="shared" si="130"/>
        <v>0.99999909417359512</v>
      </c>
      <c r="P199" s="60">
        <v>618219440000</v>
      </c>
      <c r="Q199" s="62">
        <f t="shared" si="130"/>
        <v>0.99999909417359512</v>
      </c>
      <c r="R199" s="60">
        <v>618219440000</v>
      </c>
      <c r="S199" s="62">
        <f t="shared" ref="S199" si="194">+R199/$M199</f>
        <v>0.99999909417359512</v>
      </c>
    </row>
    <row r="200" spans="1:19" ht="36" customHeight="1">
      <c r="A200" s="32" t="e">
        <v>#REF!</v>
      </c>
      <c r="B200" s="48" t="s">
        <v>692</v>
      </c>
      <c r="C200" s="48" t="s">
        <v>167</v>
      </c>
      <c r="D200" s="48">
        <v>4103</v>
      </c>
      <c r="E200" s="48" t="s">
        <v>172</v>
      </c>
      <c r="F200" s="48">
        <v>21</v>
      </c>
      <c r="G200" s="48"/>
      <c r="H200" s="48"/>
      <c r="I200" s="48"/>
      <c r="J200" s="49"/>
      <c r="K200" s="48"/>
      <c r="L200" s="48" t="s">
        <v>232</v>
      </c>
      <c r="M200" s="50">
        <v>24570411400</v>
      </c>
      <c r="N200" s="50">
        <v>24563511961.900002</v>
      </c>
      <c r="O200" s="51">
        <f t="shared" ref="O200:Q242" si="195">+N200/$M200</f>
        <v>0.99971919729028236</v>
      </c>
      <c r="P200" s="50">
        <v>19633280251.900002</v>
      </c>
      <c r="Q200" s="51">
        <f t="shared" si="195"/>
        <v>0.79906192583735092</v>
      </c>
      <c r="R200" s="50">
        <v>19633280251.900002</v>
      </c>
      <c r="S200" s="51">
        <f t="shared" ref="S200" si="196">+R200/$M200</f>
        <v>0.79906192583735092</v>
      </c>
    </row>
    <row r="201" spans="1:19" ht="30" customHeight="1" outlineLevel="1">
      <c r="A201" s="32" t="e">
        <v>#REF!</v>
      </c>
      <c r="B201" s="52" t="s">
        <v>693</v>
      </c>
      <c r="C201" s="52" t="s">
        <v>167</v>
      </c>
      <c r="D201" s="52">
        <v>4103</v>
      </c>
      <c r="E201" s="52" t="s">
        <v>172</v>
      </c>
      <c r="F201" s="52">
        <v>21</v>
      </c>
      <c r="G201" s="52" t="s">
        <v>175</v>
      </c>
      <c r="H201" s="52" t="s">
        <v>219</v>
      </c>
      <c r="I201" s="52"/>
      <c r="J201" s="53">
        <v>13</v>
      </c>
      <c r="K201" s="52" t="s">
        <v>29</v>
      </c>
      <c r="L201" s="52" t="s">
        <v>233</v>
      </c>
      <c r="M201" s="54">
        <v>1779672321</v>
      </c>
      <c r="N201" s="54">
        <v>1779672321</v>
      </c>
      <c r="O201" s="55">
        <f t="shared" si="195"/>
        <v>1</v>
      </c>
      <c r="P201" s="54">
        <v>1779672321</v>
      </c>
      <c r="Q201" s="55">
        <f t="shared" si="195"/>
        <v>1</v>
      </c>
      <c r="R201" s="54">
        <v>1779672321</v>
      </c>
      <c r="S201" s="55">
        <f t="shared" ref="S201" si="197">+R201/$M201</f>
        <v>1</v>
      </c>
    </row>
    <row r="202" spans="1:19" ht="24.95" customHeight="1" outlineLevel="1">
      <c r="A202" s="32" t="e">
        <v>#REF!</v>
      </c>
      <c r="B202" s="56" t="s">
        <v>694</v>
      </c>
      <c r="C202" s="57" t="s">
        <v>167</v>
      </c>
      <c r="D202" s="57">
        <v>4103</v>
      </c>
      <c r="E202" s="57" t="s">
        <v>172</v>
      </c>
      <c r="F202" s="57">
        <v>21</v>
      </c>
      <c r="G202" s="57" t="s">
        <v>175</v>
      </c>
      <c r="H202" s="57" t="s">
        <v>219</v>
      </c>
      <c r="I202" s="57" t="s">
        <v>54</v>
      </c>
      <c r="J202" s="57">
        <v>13</v>
      </c>
      <c r="K202" s="58" t="s">
        <v>29</v>
      </c>
      <c r="L202" s="59" t="s">
        <v>178</v>
      </c>
      <c r="M202" s="60">
        <v>1779672321</v>
      </c>
      <c r="N202" s="60">
        <v>1779672321</v>
      </c>
      <c r="O202" s="62">
        <f t="shared" si="195"/>
        <v>1</v>
      </c>
      <c r="P202" s="60">
        <v>1779672321</v>
      </c>
      <c r="Q202" s="62">
        <f t="shared" si="195"/>
        <v>1</v>
      </c>
      <c r="R202" s="60">
        <v>1779672321</v>
      </c>
      <c r="S202" s="62">
        <f t="shared" ref="S202" si="198">+R202/$M202</f>
        <v>1</v>
      </c>
    </row>
    <row r="203" spans="1:19" ht="30" customHeight="1" outlineLevel="1">
      <c r="A203" s="32" t="e">
        <v>#REF!</v>
      </c>
      <c r="B203" s="52" t="s">
        <v>695</v>
      </c>
      <c r="C203" s="52" t="s">
        <v>167</v>
      </c>
      <c r="D203" s="52">
        <v>4103</v>
      </c>
      <c r="E203" s="52" t="s">
        <v>172</v>
      </c>
      <c r="F203" s="52">
        <v>21</v>
      </c>
      <c r="G203" s="52" t="s">
        <v>175</v>
      </c>
      <c r="H203" s="52" t="s">
        <v>234</v>
      </c>
      <c r="I203" s="52"/>
      <c r="J203" s="53">
        <v>13</v>
      </c>
      <c r="K203" s="52" t="s">
        <v>29</v>
      </c>
      <c r="L203" s="52" t="s">
        <v>235</v>
      </c>
      <c r="M203" s="54">
        <v>1177258904</v>
      </c>
      <c r="N203" s="54">
        <v>1177258904</v>
      </c>
      <c r="O203" s="55">
        <f t="shared" si="195"/>
        <v>1</v>
      </c>
      <c r="P203" s="54">
        <v>1177258904</v>
      </c>
      <c r="Q203" s="55">
        <f t="shared" si="195"/>
        <v>1</v>
      </c>
      <c r="R203" s="54">
        <v>1177258904</v>
      </c>
      <c r="S203" s="55">
        <f t="shared" ref="S203" si="199">+R203/$M203</f>
        <v>1</v>
      </c>
    </row>
    <row r="204" spans="1:19" ht="24.95" customHeight="1" outlineLevel="1">
      <c r="A204" s="32" t="e">
        <v>#REF!</v>
      </c>
      <c r="B204" s="56" t="s">
        <v>696</v>
      </c>
      <c r="C204" s="57" t="s">
        <v>167</v>
      </c>
      <c r="D204" s="57">
        <v>4103</v>
      </c>
      <c r="E204" s="57" t="s">
        <v>172</v>
      </c>
      <c r="F204" s="57">
        <v>21</v>
      </c>
      <c r="G204" s="57" t="s">
        <v>175</v>
      </c>
      <c r="H204" s="57" t="s">
        <v>234</v>
      </c>
      <c r="I204" s="57" t="s">
        <v>54</v>
      </c>
      <c r="J204" s="57">
        <v>13</v>
      </c>
      <c r="K204" s="58" t="s">
        <v>29</v>
      </c>
      <c r="L204" s="59" t="s">
        <v>178</v>
      </c>
      <c r="M204" s="60">
        <v>1177258904</v>
      </c>
      <c r="N204" s="60">
        <v>1177258904</v>
      </c>
      <c r="O204" s="62">
        <f t="shared" si="195"/>
        <v>1</v>
      </c>
      <c r="P204" s="60">
        <v>1177258904</v>
      </c>
      <c r="Q204" s="62">
        <f t="shared" si="195"/>
        <v>1</v>
      </c>
      <c r="R204" s="60">
        <v>1177258904</v>
      </c>
      <c r="S204" s="62">
        <f t="shared" ref="S204" si="200">+R204/$M204</f>
        <v>1</v>
      </c>
    </row>
    <row r="205" spans="1:19" ht="30" customHeight="1" outlineLevel="1">
      <c r="A205" s="32" t="e">
        <v>#REF!</v>
      </c>
      <c r="B205" s="52" t="s">
        <v>697</v>
      </c>
      <c r="C205" s="52" t="s">
        <v>167</v>
      </c>
      <c r="D205" s="52">
        <v>4103</v>
      </c>
      <c r="E205" s="52" t="s">
        <v>172</v>
      </c>
      <c r="F205" s="52">
        <v>21</v>
      </c>
      <c r="G205" s="52" t="s">
        <v>175</v>
      </c>
      <c r="H205" s="52" t="s">
        <v>197</v>
      </c>
      <c r="I205" s="52"/>
      <c r="J205" s="53">
        <v>13</v>
      </c>
      <c r="K205" s="52" t="s">
        <v>29</v>
      </c>
      <c r="L205" s="52" t="s">
        <v>236</v>
      </c>
      <c r="M205" s="54">
        <v>1120901355</v>
      </c>
      <c r="N205" s="54">
        <v>1120901355</v>
      </c>
      <c r="O205" s="55">
        <f t="shared" si="195"/>
        <v>1</v>
      </c>
      <c r="P205" s="54">
        <v>1120901355</v>
      </c>
      <c r="Q205" s="55">
        <f t="shared" si="195"/>
        <v>1</v>
      </c>
      <c r="R205" s="54">
        <v>1120901355</v>
      </c>
      <c r="S205" s="55">
        <f t="shared" ref="S205" si="201">+R205/$M205</f>
        <v>1</v>
      </c>
    </row>
    <row r="206" spans="1:19" ht="24.95" customHeight="1" outlineLevel="1">
      <c r="A206" s="32" t="e">
        <v>#REF!</v>
      </c>
      <c r="B206" s="56" t="s">
        <v>698</v>
      </c>
      <c r="C206" s="57" t="s">
        <v>167</v>
      </c>
      <c r="D206" s="57">
        <v>4103</v>
      </c>
      <c r="E206" s="57" t="s">
        <v>172</v>
      </c>
      <c r="F206" s="57">
        <v>21</v>
      </c>
      <c r="G206" s="57" t="s">
        <v>175</v>
      </c>
      <c r="H206" s="57" t="s">
        <v>197</v>
      </c>
      <c r="I206" s="57" t="s">
        <v>54</v>
      </c>
      <c r="J206" s="57">
        <v>13</v>
      </c>
      <c r="K206" s="58" t="s">
        <v>29</v>
      </c>
      <c r="L206" s="59" t="s">
        <v>178</v>
      </c>
      <c r="M206" s="60">
        <v>1120901355</v>
      </c>
      <c r="N206" s="60">
        <v>1120901355</v>
      </c>
      <c r="O206" s="62">
        <f t="shared" si="195"/>
        <v>1</v>
      </c>
      <c r="P206" s="60">
        <v>1120901355</v>
      </c>
      <c r="Q206" s="62">
        <f t="shared" si="195"/>
        <v>1</v>
      </c>
      <c r="R206" s="60">
        <v>1120901355</v>
      </c>
      <c r="S206" s="62">
        <f t="shared" ref="S206" si="202">+R206/$M206</f>
        <v>1</v>
      </c>
    </row>
    <row r="207" spans="1:19" ht="30" customHeight="1" outlineLevel="1">
      <c r="A207" s="32" t="e">
        <v>#REF!</v>
      </c>
      <c r="B207" s="52" t="s">
        <v>699</v>
      </c>
      <c r="C207" s="52" t="s">
        <v>167</v>
      </c>
      <c r="D207" s="52">
        <v>4103</v>
      </c>
      <c r="E207" s="52" t="s">
        <v>172</v>
      </c>
      <c r="F207" s="52">
        <v>21</v>
      </c>
      <c r="G207" s="52" t="s">
        <v>175</v>
      </c>
      <c r="H207" s="52" t="s">
        <v>203</v>
      </c>
      <c r="I207" s="52"/>
      <c r="J207" s="53">
        <v>13</v>
      </c>
      <c r="K207" s="52" t="s">
        <v>29</v>
      </c>
      <c r="L207" s="52" t="s">
        <v>237</v>
      </c>
      <c r="M207" s="54">
        <v>4772677041</v>
      </c>
      <c r="N207" s="54">
        <v>4772677041</v>
      </c>
      <c r="O207" s="55">
        <f t="shared" si="195"/>
        <v>1</v>
      </c>
      <c r="P207" s="54">
        <v>4772677041</v>
      </c>
      <c r="Q207" s="55">
        <f t="shared" si="195"/>
        <v>1</v>
      </c>
      <c r="R207" s="54">
        <v>4772677041</v>
      </c>
      <c r="S207" s="55">
        <f t="shared" ref="S207" si="203">+R207/$M207</f>
        <v>1</v>
      </c>
    </row>
    <row r="208" spans="1:19" ht="24.95" customHeight="1" outlineLevel="1">
      <c r="A208" s="32" t="e">
        <v>#REF!</v>
      </c>
      <c r="B208" s="56" t="s">
        <v>700</v>
      </c>
      <c r="C208" s="57" t="s">
        <v>167</v>
      </c>
      <c r="D208" s="57">
        <v>4103</v>
      </c>
      <c r="E208" s="57" t="s">
        <v>172</v>
      </c>
      <c r="F208" s="57">
        <v>21</v>
      </c>
      <c r="G208" s="57" t="s">
        <v>175</v>
      </c>
      <c r="H208" s="57" t="s">
        <v>203</v>
      </c>
      <c r="I208" s="57" t="s">
        <v>54</v>
      </c>
      <c r="J208" s="57">
        <v>13</v>
      </c>
      <c r="K208" s="58" t="s">
        <v>29</v>
      </c>
      <c r="L208" s="59" t="s">
        <v>178</v>
      </c>
      <c r="M208" s="60">
        <v>4772677041</v>
      </c>
      <c r="N208" s="60">
        <v>4772677041</v>
      </c>
      <c r="O208" s="62">
        <f t="shared" si="195"/>
        <v>1</v>
      </c>
      <c r="P208" s="60">
        <v>4772677041</v>
      </c>
      <c r="Q208" s="62">
        <f t="shared" si="195"/>
        <v>1</v>
      </c>
      <c r="R208" s="60">
        <v>4772677041</v>
      </c>
      <c r="S208" s="62">
        <f t="shared" ref="S208" si="204">+R208/$M208</f>
        <v>1</v>
      </c>
    </row>
    <row r="209" spans="1:19" ht="30" customHeight="1" outlineLevel="1">
      <c r="A209" s="32" t="e">
        <v>#REF!</v>
      </c>
      <c r="B209" s="52" t="s">
        <v>701</v>
      </c>
      <c r="C209" s="52" t="s">
        <v>167</v>
      </c>
      <c r="D209" s="52">
        <v>4103</v>
      </c>
      <c r="E209" s="52" t="s">
        <v>172</v>
      </c>
      <c r="F209" s="52">
        <v>21</v>
      </c>
      <c r="G209" s="52" t="s">
        <v>175</v>
      </c>
      <c r="H209" s="52" t="s">
        <v>223</v>
      </c>
      <c r="I209" s="52"/>
      <c r="J209" s="53">
        <v>13</v>
      </c>
      <c r="K209" s="52" t="s">
        <v>29</v>
      </c>
      <c r="L209" s="52" t="s">
        <v>238</v>
      </c>
      <c r="M209" s="54">
        <v>15719901779</v>
      </c>
      <c r="N209" s="54">
        <v>15713002340.9</v>
      </c>
      <c r="O209" s="55">
        <f t="shared" si="195"/>
        <v>0.99956110170426016</v>
      </c>
      <c r="P209" s="54">
        <v>10782770630.9</v>
      </c>
      <c r="Q209" s="55">
        <f t="shared" si="195"/>
        <v>0.68593117072172516</v>
      </c>
      <c r="R209" s="54">
        <v>10782770630.9</v>
      </c>
      <c r="S209" s="55">
        <f t="shared" ref="S209" si="205">+R209/$M209</f>
        <v>0.68593117072172516</v>
      </c>
    </row>
    <row r="210" spans="1:19" ht="24.95" customHeight="1" outlineLevel="1">
      <c r="A210" s="32" t="e">
        <v>#REF!</v>
      </c>
      <c r="B210" s="56" t="s">
        <v>702</v>
      </c>
      <c r="C210" s="57" t="s">
        <v>167</v>
      </c>
      <c r="D210" s="57">
        <v>4103</v>
      </c>
      <c r="E210" s="57" t="s">
        <v>172</v>
      </c>
      <c r="F210" s="57">
        <v>21</v>
      </c>
      <c r="G210" s="57" t="s">
        <v>175</v>
      </c>
      <c r="H210" s="57" t="s">
        <v>223</v>
      </c>
      <c r="I210" s="57" t="s">
        <v>54</v>
      </c>
      <c r="J210" s="57">
        <v>13</v>
      </c>
      <c r="K210" s="58" t="s">
        <v>29</v>
      </c>
      <c r="L210" s="59" t="s">
        <v>178</v>
      </c>
      <c r="M210" s="60">
        <v>15719901779</v>
      </c>
      <c r="N210" s="60">
        <v>15713002340.9</v>
      </c>
      <c r="O210" s="62">
        <f t="shared" si="195"/>
        <v>0.99956110170426016</v>
      </c>
      <c r="P210" s="60">
        <v>10782770630.9</v>
      </c>
      <c r="Q210" s="62">
        <f t="shared" si="195"/>
        <v>0.68593117072172516</v>
      </c>
      <c r="R210" s="60">
        <v>10782770630.9</v>
      </c>
      <c r="S210" s="62">
        <f t="shared" ref="S210" si="206">+R210/$M210</f>
        <v>0.68593117072172516</v>
      </c>
    </row>
    <row r="211" spans="1:19" ht="45.75" customHeight="1" outlineLevel="1">
      <c r="A211" s="32" t="e">
        <v>#REF!</v>
      </c>
      <c r="B211" s="48" t="s">
        <v>704</v>
      </c>
      <c r="C211" s="48" t="s">
        <v>167</v>
      </c>
      <c r="D211" s="48">
        <v>4103</v>
      </c>
      <c r="E211" s="48" t="s">
        <v>172</v>
      </c>
      <c r="F211" s="48">
        <v>22</v>
      </c>
      <c r="G211" s="48"/>
      <c r="H211" s="48"/>
      <c r="I211" s="48"/>
      <c r="J211" s="49"/>
      <c r="K211" s="48"/>
      <c r="L211" s="48" t="s">
        <v>239</v>
      </c>
      <c r="M211" s="50">
        <v>168712588600</v>
      </c>
      <c r="N211" s="50">
        <v>168614858424.52002</v>
      </c>
      <c r="O211" s="51">
        <f t="shared" si="195"/>
        <v>0.99942072979680441</v>
      </c>
      <c r="P211" s="50">
        <v>134526176799.52</v>
      </c>
      <c r="Q211" s="51">
        <f t="shared" si="195"/>
        <v>0.79736893326002822</v>
      </c>
      <c r="R211" s="50">
        <v>134525870369.52</v>
      </c>
      <c r="S211" s="51">
        <f t="shared" ref="S211" si="207">+R211/$M211</f>
        <v>0.7973671169758817</v>
      </c>
    </row>
    <row r="212" spans="1:19" ht="30" customHeight="1" outlineLevel="1">
      <c r="A212" s="32" t="e">
        <v>#REF!</v>
      </c>
      <c r="B212" s="52" t="s">
        <v>705</v>
      </c>
      <c r="C212" s="52" t="s">
        <v>167</v>
      </c>
      <c r="D212" s="52">
        <v>4103</v>
      </c>
      <c r="E212" s="52" t="s">
        <v>172</v>
      </c>
      <c r="F212" s="52">
        <v>22</v>
      </c>
      <c r="G212" s="52" t="s">
        <v>175</v>
      </c>
      <c r="H212" s="52" t="s">
        <v>219</v>
      </c>
      <c r="I212" s="52"/>
      <c r="J212" s="53">
        <v>13</v>
      </c>
      <c r="K212" s="52" t="s">
        <v>29</v>
      </c>
      <c r="L212" s="52" t="s">
        <v>240</v>
      </c>
      <c r="M212" s="54">
        <v>6436224091</v>
      </c>
      <c r="N212" s="54">
        <v>6436224091</v>
      </c>
      <c r="O212" s="55">
        <f t="shared" si="195"/>
        <v>1</v>
      </c>
      <c r="P212" s="54">
        <v>3919643191</v>
      </c>
      <c r="Q212" s="55">
        <f t="shared" si="195"/>
        <v>0.60899731513092836</v>
      </c>
      <c r="R212" s="54">
        <v>3919643191</v>
      </c>
      <c r="S212" s="55">
        <f t="shared" ref="S212" si="208">+R212/$M212</f>
        <v>0.60899731513092836</v>
      </c>
    </row>
    <row r="213" spans="1:19" ht="24.95" customHeight="1" outlineLevel="1">
      <c r="A213" s="32" t="e">
        <v>#REF!</v>
      </c>
      <c r="B213" s="56" t="s">
        <v>706</v>
      </c>
      <c r="C213" s="57" t="s">
        <v>167</v>
      </c>
      <c r="D213" s="57">
        <v>4103</v>
      </c>
      <c r="E213" s="57" t="s">
        <v>172</v>
      </c>
      <c r="F213" s="57">
        <v>22</v>
      </c>
      <c r="G213" s="57" t="s">
        <v>175</v>
      </c>
      <c r="H213" s="57" t="s">
        <v>219</v>
      </c>
      <c r="I213" s="57" t="s">
        <v>54</v>
      </c>
      <c r="J213" s="57">
        <v>13</v>
      </c>
      <c r="K213" s="58" t="s">
        <v>29</v>
      </c>
      <c r="L213" s="59" t="s">
        <v>178</v>
      </c>
      <c r="M213" s="60">
        <v>6436224091</v>
      </c>
      <c r="N213" s="60">
        <v>6436224091</v>
      </c>
      <c r="O213" s="62">
        <f t="shared" si="195"/>
        <v>1</v>
      </c>
      <c r="P213" s="60">
        <v>3919643191</v>
      </c>
      <c r="Q213" s="62">
        <f t="shared" si="195"/>
        <v>0.60899731513092836</v>
      </c>
      <c r="R213" s="60">
        <v>3919643191</v>
      </c>
      <c r="S213" s="62">
        <f t="shared" ref="S213" si="209">+R213/$M213</f>
        <v>0.60899731513092836</v>
      </c>
    </row>
    <row r="214" spans="1:19" ht="26.25" customHeight="1" outlineLevel="1">
      <c r="A214" s="32" t="e">
        <v>#REF!</v>
      </c>
      <c r="B214" s="52" t="s">
        <v>707</v>
      </c>
      <c r="C214" s="52" t="s">
        <v>167</v>
      </c>
      <c r="D214" s="52">
        <v>4103</v>
      </c>
      <c r="E214" s="52" t="s">
        <v>172</v>
      </c>
      <c r="F214" s="52">
        <v>22</v>
      </c>
      <c r="G214" s="52" t="s">
        <v>175</v>
      </c>
      <c r="H214" s="52" t="s">
        <v>234</v>
      </c>
      <c r="I214" s="52"/>
      <c r="J214" s="53">
        <v>13</v>
      </c>
      <c r="K214" s="52" t="s">
        <v>29</v>
      </c>
      <c r="L214" s="52" t="s">
        <v>241</v>
      </c>
      <c r="M214" s="54">
        <v>21359683278</v>
      </c>
      <c r="N214" s="54">
        <v>21359676039.52</v>
      </c>
      <c r="O214" s="55">
        <f t="shared" si="195"/>
        <v>0.9999996611148253</v>
      </c>
      <c r="P214" s="54">
        <v>18219550781.52</v>
      </c>
      <c r="Q214" s="55">
        <f t="shared" si="195"/>
        <v>0.85298787179516533</v>
      </c>
      <c r="R214" s="54">
        <v>18219550781.52</v>
      </c>
      <c r="S214" s="55">
        <f t="shared" ref="S214" si="210">+R214/$M214</f>
        <v>0.85298787179516533</v>
      </c>
    </row>
    <row r="215" spans="1:19" ht="24.95" customHeight="1" outlineLevel="1">
      <c r="A215" s="32" t="e">
        <v>#REF!</v>
      </c>
      <c r="B215" s="56" t="s">
        <v>708</v>
      </c>
      <c r="C215" s="57" t="s">
        <v>167</v>
      </c>
      <c r="D215" s="57">
        <v>4103</v>
      </c>
      <c r="E215" s="57" t="s">
        <v>172</v>
      </c>
      <c r="F215" s="57">
        <v>22</v>
      </c>
      <c r="G215" s="57" t="s">
        <v>175</v>
      </c>
      <c r="H215" s="57" t="s">
        <v>234</v>
      </c>
      <c r="I215" s="57" t="s">
        <v>54</v>
      </c>
      <c r="J215" s="57">
        <v>13</v>
      </c>
      <c r="K215" s="58" t="s">
        <v>29</v>
      </c>
      <c r="L215" s="59" t="s">
        <v>178</v>
      </c>
      <c r="M215" s="60">
        <v>21359683278</v>
      </c>
      <c r="N215" s="60">
        <v>21359676039.52</v>
      </c>
      <c r="O215" s="62">
        <f t="shared" si="195"/>
        <v>0.9999996611148253</v>
      </c>
      <c r="P215" s="60">
        <v>18219550781.52</v>
      </c>
      <c r="Q215" s="62">
        <f t="shared" si="195"/>
        <v>0.85298787179516533</v>
      </c>
      <c r="R215" s="60">
        <v>18219550781.52</v>
      </c>
      <c r="S215" s="62">
        <f t="shared" ref="S215" si="211">+R215/$M215</f>
        <v>0.85298787179516533</v>
      </c>
    </row>
    <row r="216" spans="1:19" ht="24.75" customHeight="1" outlineLevel="1">
      <c r="A216" s="32" t="e">
        <v>#REF!</v>
      </c>
      <c r="B216" s="52" t="s">
        <v>710</v>
      </c>
      <c r="C216" s="52" t="s">
        <v>167</v>
      </c>
      <c r="D216" s="52">
        <v>4103</v>
      </c>
      <c r="E216" s="52" t="s">
        <v>172</v>
      </c>
      <c r="F216" s="52">
        <v>22</v>
      </c>
      <c r="G216" s="52" t="s">
        <v>175</v>
      </c>
      <c r="H216" s="52">
        <v>4103051</v>
      </c>
      <c r="I216" s="52"/>
      <c r="J216" s="53">
        <v>13</v>
      </c>
      <c r="K216" s="52" t="s">
        <v>29</v>
      </c>
      <c r="L216" s="52" t="s">
        <v>242</v>
      </c>
      <c r="M216" s="54">
        <v>7771853837</v>
      </c>
      <c r="N216" s="54">
        <v>7768253837</v>
      </c>
      <c r="O216" s="55">
        <f t="shared" si="195"/>
        <v>0.99953679005350549</v>
      </c>
      <c r="P216" s="54">
        <v>3941710447</v>
      </c>
      <c r="Q216" s="55">
        <f t="shared" si="195"/>
        <v>0.50717763479215572</v>
      </c>
      <c r="R216" s="54">
        <v>3941710447</v>
      </c>
      <c r="S216" s="55">
        <f t="shared" ref="S216" si="212">+R216/$M216</f>
        <v>0.50717763479215572</v>
      </c>
    </row>
    <row r="217" spans="1:19" ht="24.95" customHeight="1" outlineLevel="1">
      <c r="A217" s="32" t="e">
        <v>#REF!</v>
      </c>
      <c r="B217" s="56" t="s">
        <v>711</v>
      </c>
      <c r="C217" s="57" t="s">
        <v>167</v>
      </c>
      <c r="D217" s="57">
        <v>4103</v>
      </c>
      <c r="E217" s="57" t="s">
        <v>172</v>
      </c>
      <c r="F217" s="57">
        <v>22</v>
      </c>
      <c r="G217" s="57" t="s">
        <v>175</v>
      </c>
      <c r="H217" s="57">
        <v>4103051</v>
      </c>
      <c r="I217" s="57" t="s">
        <v>54</v>
      </c>
      <c r="J217" s="57">
        <v>13</v>
      </c>
      <c r="K217" s="58" t="s">
        <v>29</v>
      </c>
      <c r="L217" s="59" t="s">
        <v>178</v>
      </c>
      <c r="M217" s="60">
        <v>7771853837</v>
      </c>
      <c r="N217" s="60">
        <v>7768253837</v>
      </c>
      <c r="O217" s="62">
        <f t="shared" si="195"/>
        <v>0.99953679005350549</v>
      </c>
      <c r="P217" s="60">
        <v>3941710447</v>
      </c>
      <c r="Q217" s="62">
        <f t="shared" si="195"/>
        <v>0.50717763479215572</v>
      </c>
      <c r="R217" s="60">
        <v>3941710447</v>
      </c>
      <c r="S217" s="62">
        <f t="shared" ref="S217" si="213">+R217/$M217</f>
        <v>0.50717763479215572</v>
      </c>
    </row>
    <row r="218" spans="1:19" ht="26.25" customHeight="1" outlineLevel="1">
      <c r="A218" s="32" t="e">
        <v>#REF!</v>
      </c>
      <c r="B218" s="52" t="s">
        <v>712</v>
      </c>
      <c r="C218" s="52" t="s">
        <v>167</v>
      </c>
      <c r="D218" s="52">
        <v>4103</v>
      </c>
      <c r="E218" s="52" t="s">
        <v>172</v>
      </c>
      <c r="F218" s="52">
        <v>22</v>
      </c>
      <c r="G218" s="52" t="s">
        <v>175</v>
      </c>
      <c r="H218" s="52">
        <v>4103055</v>
      </c>
      <c r="I218" s="52"/>
      <c r="J218" s="53">
        <v>13</v>
      </c>
      <c r="K218" s="52" t="s">
        <v>29</v>
      </c>
      <c r="L218" s="52" t="s">
        <v>243</v>
      </c>
      <c r="M218" s="54">
        <v>931717456</v>
      </c>
      <c r="N218" s="54">
        <v>931717456</v>
      </c>
      <c r="O218" s="55">
        <f t="shared" si="195"/>
        <v>1</v>
      </c>
      <c r="P218" s="54">
        <v>894550970</v>
      </c>
      <c r="Q218" s="55">
        <f t="shared" si="195"/>
        <v>0.96010970304285037</v>
      </c>
      <c r="R218" s="54">
        <v>894550970</v>
      </c>
      <c r="S218" s="55">
        <f t="shared" ref="S218" si="214">+R218/$M218</f>
        <v>0.96010970304285037</v>
      </c>
    </row>
    <row r="219" spans="1:19" ht="24.95" customHeight="1" outlineLevel="1">
      <c r="A219" s="32" t="e">
        <v>#REF!</v>
      </c>
      <c r="B219" s="56" t="s">
        <v>713</v>
      </c>
      <c r="C219" s="57" t="s">
        <v>167</v>
      </c>
      <c r="D219" s="57">
        <v>4103</v>
      </c>
      <c r="E219" s="57" t="s">
        <v>172</v>
      </c>
      <c r="F219" s="57">
        <v>22</v>
      </c>
      <c r="G219" s="57" t="s">
        <v>175</v>
      </c>
      <c r="H219" s="57" t="s">
        <v>203</v>
      </c>
      <c r="I219" s="57" t="s">
        <v>54</v>
      </c>
      <c r="J219" s="57">
        <v>13</v>
      </c>
      <c r="K219" s="58" t="s">
        <v>29</v>
      </c>
      <c r="L219" s="59" t="s">
        <v>178</v>
      </c>
      <c r="M219" s="60">
        <v>931717456</v>
      </c>
      <c r="N219" s="60">
        <v>931717456</v>
      </c>
      <c r="O219" s="62">
        <f t="shared" si="195"/>
        <v>1</v>
      </c>
      <c r="P219" s="60">
        <v>894550970</v>
      </c>
      <c r="Q219" s="62">
        <f t="shared" si="195"/>
        <v>0.96010970304285037</v>
      </c>
      <c r="R219" s="60">
        <v>894550970</v>
      </c>
      <c r="S219" s="62">
        <f t="shared" ref="S219" si="215">+R219/$M219</f>
        <v>0.96010970304285037</v>
      </c>
    </row>
    <row r="220" spans="1:19" ht="27.75" customHeight="1" outlineLevel="1">
      <c r="A220" s="32" t="e">
        <v>#REF!</v>
      </c>
      <c r="B220" s="52" t="s">
        <v>715</v>
      </c>
      <c r="C220" s="52" t="s">
        <v>167</v>
      </c>
      <c r="D220" s="52">
        <v>4103</v>
      </c>
      <c r="E220" s="52" t="s">
        <v>172</v>
      </c>
      <c r="F220" s="52">
        <v>22</v>
      </c>
      <c r="G220" s="52" t="s">
        <v>175</v>
      </c>
      <c r="H220" s="52">
        <v>4103057</v>
      </c>
      <c r="I220" s="52"/>
      <c r="J220" s="53">
        <v>13</v>
      </c>
      <c r="K220" s="52" t="s">
        <v>29</v>
      </c>
      <c r="L220" s="52" t="s">
        <v>244</v>
      </c>
      <c r="M220" s="54">
        <v>64692324002</v>
      </c>
      <c r="N220" s="54">
        <v>64601076815</v>
      </c>
      <c r="O220" s="55">
        <f t="shared" si="195"/>
        <v>0.9985895206516745</v>
      </c>
      <c r="P220" s="54">
        <v>63802119753</v>
      </c>
      <c r="Q220" s="55">
        <f t="shared" si="195"/>
        <v>0.9862394146023804</v>
      </c>
      <c r="R220" s="54">
        <v>63801813323</v>
      </c>
      <c r="S220" s="55">
        <f t="shared" ref="S220" si="216">+R220/$M220</f>
        <v>0.98623467787349128</v>
      </c>
    </row>
    <row r="221" spans="1:19" ht="24.95" customHeight="1" outlineLevel="1">
      <c r="A221" s="32" t="e">
        <v>#REF!</v>
      </c>
      <c r="B221" s="56" t="s">
        <v>716</v>
      </c>
      <c r="C221" s="57" t="s">
        <v>167</v>
      </c>
      <c r="D221" s="57">
        <v>4103</v>
      </c>
      <c r="E221" s="57" t="s">
        <v>172</v>
      </c>
      <c r="F221" s="57">
        <v>22</v>
      </c>
      <c r="G221" s="57" t="s">
        <v>175</v>
      </c>
      <c r="H221" s="57" t="s">
        <v>221</v>
      </c>
      <c r="I221" s="57" t="s">
        <v>54</v>
      </c>
      <c r="J221" s="57">
        <v>13</v>
      </c>
      <c r="K221" s="58" t="s">
        <v>29</v>
      </c>
      <c r="L221" s="59" t="s">
        <v>178</v>
      </c>
      <c r="M221" s="60">
        <v>4582330002</v>
      </c>
      <c r="N221" s="60">
        <v>4491082815</v>
      </c>
      <c r="O221" s="62">
        <f t="shared" si="195"/>
        <v>0.98008716374417071</v>
      </c>
      <c r="P221" s="60">
        <v>3877056753</v>
      </c>
      <c r="Q221" s="62">
        <f t="shared" si="195"/>
        <v>0.84608850766047472</v>
      </c>
      <c r="R221" s="60">
        <v>3876750323</v>
      </c>
      <c r="S221" s="62">
        <f t="shared" ref="S221" si="217">+R221/$M221</f>
        <v>0.84602163556704923</v>
      </c>
    </row>
    <row r="222" spans="1:19" ht="24.95" customHeight="1" outlineLevel="1">
      <c r="A222" s="32" t="e">
        <v>#REF!</v>
      </c>
      <c r="B222" s="56" t="s">
        <v>717</v>
      </c>
      <c r="C222" s="57" t="s">
        <v>167</v>
      </c>
      <c r="D222" s="57">
        <v>4103</v>
      </c>
      <c r="E222" s="57" t="s">
        <v>172</v>
      </c>
      <c r="F222" s="57">
        <v>22</v>
      </c>
      <c r="G222" s="57" t="s">
        <v>175</v>
      </c>
      <c r="H222" s="57" t="s">
        <v>221</v>
      </c>
      <c r="I222" s="57" t="s">
        <v>65</v>
      </c>
      <c r="J222" s="57">
        <v>13</v>
      </c>
      <c r="K222" s="58" t="s">
        <v>29</v>
      </c>
      <c r="L222" s="59" t="s">
        <v>127</v>
      </c>
      <c r="M222" s="60">
        <v>60109994000</v>
      </c>
      <c r="N222" s="60">
        <v>60109994000</v>
      </c>
      <c r="O222" s="62">
        <f t="shared" si="195"/>
        <v>1</v>
      </c>
      <c r="P222" s="60">
        <v>59925063000</v>
      </c>
      <c r="Q222" s="62">
        <f t="shared" si="195"/>
        <v>0.99692345668841686</v>
      </c>
      <c r="R222" s="60">
        <v>59925063000</v>
      </c>
      <c r="S222" s="62">
        <f t="shared" ref="S222" si="218">+R222/$M222</f>
        <v>0.99692345668841686</v>
      </c>
    </row>
    <row r="223" spans="1:19" ht="23.25" customHeight="1" outlineLevel="1">
      <c r="A223" s="32" t="e">
        <v>#REF!</v>
      </c>
      <c r="B223" s="52" t="s">
        <v>718</v>
      </c>
      <c r="C223" s="52" t="s">
        <v>167</v>
      </c>
      <c r="D223" s="52">
        <v>4103</v>
      </c>
      <c r="E223" s="52" t="s">
        <v>172</v>
      </c>
      <c r="F223" s="52">
        <v>22</v>
      </c>
      <c r="G223" s="52" t="s">
        <v>175</v>
      </c>
      <c r="H223" s="52">
        <v>4103062</v>
      </c>
      <c r="I223" s="52"/>
      <c r="J223" s="53">
        <v>13</v>
      </c>
      <c r="K223" s="52" t="s">
        <v>29</v>
      </c>
      <c r="L223" s="52" t="s">
        <v>245</v>
      </c>
      <c r="M223" s="54">
        <v>67520785936</v>
      </c>
      <c r="N223" s="54">
        <v>67517910186</v>
      </c>
      <c r="O223" s="55">
        <f t="shared" si="195"/>
        <v>0.99995740941163325</v>
      </c>
      <c r="P223" s="54">
        <v>43748601657</v>
      </c>
      <c r="Q223" s="55">
        <f t="shared" si="195"/>
        <v>0.64792790916959087</v>
      </c>
      <c r="R223" s="54">
        <v>43748601657</v>
      </c>
      <c r="S223" s="55">
        <f t="shared" ref="S223" si="219">+R223/$M223</f>
        <v>0.64792790916959087</v>
      </c>
    </row>
    <row r="224" spans="1:19" ht="24.95" customHeight="1" outlineLevel="1">
      <c r="A224" s="32" t="e">
        <v>#REF!</v>
      </c>
      <c r="B224" s="56" t="s">
        <v>719</v>
      </c>
      <c r="C224" s="57" t="s">
        <v>167</v>
      </c>
      <c r="D224" s="57">
        <v>4103</v>
      </c>
      <c r="E224" s="57" t="s">
        <v>172</v>
      </c>
      <c r="F224" s="57">
        <v>22</v>
      </c>
      <c r="G224" s="57" t="s">
        <v>175</v>
      </c>
      <c r="H224" s="57" t="s">
        <v>246</v>
      </c>
      <c r="I224" s="57" t="s">
        <v>54</v>
      </c>
      <c r="J224" s="57">
        <v>13</v>
      </c>
      <c r="K224" s="58" t="s">
        <v>29</v>
      </c>
      <c r="L224" s="59" t="s">
        <v>178</v>
      </c>
      <c r="M224" s="60">
        <v>7046075336</v>
      </c>
      <c r="N224" s="60">
        <v>7043199586</v>
      </c>
      <c r="O224" s="62">
        <f t="shared" si="195"/>
        <v>0.99959186499393393</v>
      </c>
      <c r="P224" s="60">
        <v>4246554657</v>
      </c>
      <c r="Q224" s="62">
        <f t="shared" si="195"/>
        <v>0.60268368623641977</v>
      </c>
      <c r="R224" s="60">
        <v>4246554657</v>
      </c>
      <c r="S224" s="62">
        <f t="shared" ref="S224" si="220">+R224/$M224</f>
        <v>0.60268368623641977</v>
      </c>
    </row>
    <row r="225" spans="1:19" ht="24.95" customHeight="1" outlineLevel="1">
      <c r="A225" s="32" t="e">
        <v>#REF!</v>
      </c>
      <c r="B225" s="56" t="s">
        <v>720</v>
      </c>
      <c r="C225" s="57" t="s">
        <v>167</v>
      </c>
      <c r="D225" s="57">
        <v>4103</v>
      </c>
      <c r="E225" s="57" t="s">
        <v>172</v>
      </c>
      <c r="F225" s="57">
        <v>22</v>
      </c>
      <c r="G225" s="57" t="s">
        <v>175</v>
      </c>
      <c r="H225" s="57" t="s">
        <v>246</v>
      </c>
      <c r="I225" s="57" t="s">
        <v>65</v>
      </c>
      <c r="J225" s="57">
        <v>13</v>
      </c>
      <c r="K225" s="58" t="s">
        <v>29</v>
      </c>
      <c r="L225" s="59" t="s">
        <v>127</v>
      </c>
      <c r="M225" s="60">
        <v>60474710600</v>
      </c>
      <c r="N225" s="60">
        <v>60474710600</v>
      </c>
      <c r="O225" s="62">
        <f t="shared" si="195"/>
        <v>1</v>
      </c>
      <c r="P225" s="60">
        <v>39502047000</v>
      </c>
      <c r="Q225" s="62">
        <f t="shared" si="195"/>
        <v>0.65319943837813088</v>
      </c>
      <c r="R225" s="60">
        <v>39502047000</v>
      </c>
      <c r="S225" s="62">
        <f t="shared" ref="S225" si="221">+R225/$M225</f>
        <v>0.65319943837813088</v>
      </c>
    </row>
    <row r="226" spans="1:19" ht="36" customHeight="1">
      <c r="A226" s="32"/>
      <c r="B226" s="48" t="s">
        <v>685</v>
      </c>
      <c r="C226" s="48" t="s">
        <v>167</v>
      </c>
      <c r="D226" s="48" t="s">
        <v>190</v>
      </c>
      <c r="E226" s="48" t="s">
        <v>172</v>
      </c>
      <c r="F226" s="48">
        <v>23</v>
      </c>
      <c r="G226" s="48"/>
      <c r="H226" s="48"/>
      <c r="I226" s="48"/>
      <c r="J226" s="49"/>
      <c r="K226" s="48"/>
      <c r="L226" s="48" t="s">
        <v>247</v>
      </c>
      <c r="M226" s="50">
        <v>1679579801419</v>
      </c>
      <c r="N226" s="50">
        <v>1679070299731.8799</v>
      </c>
      <c r="O226" s="51">
        <f t="shared" si="195"/>
        <v>0.9996966493127093</v>
      </c>
      <c r="P226" s="50">
        <v>1649833709802.4302</v>
      </c>
      <c r="Q226" s="51">
        <f t="shared" si="195"/>
        <v>0.9822895633827945</v>
      </c>
      <c r="R226" s="50">
        <v>1649802610311.4302</v>
      </c>
      <c r="S226" s="51">
        <f t="shared" ref="S226" si="222">+R226/$M226</f>
        <v>0.98227104714976188</v>
      </c>
    </row>
    <row r="227" spans="1:19" ht="33.75" customHeight="1" outlineLevel="1">
      <c r="A227" s="32"/>
      <c r="B227" s="52" t="s">
        <v>721</v>
      </c>
      <c r="C227" s="52" t="s">
        <v>167</v>
      </c>
      <c r="D227" s="52" t="s">
        <v>190</v>
      </c>
      <c r="E227" s="52" t="s">
        <v>172</v>
      </c>
      <c r="F227" s="52">
        <v>23</v>
      </c>
      <c r="G227" s="52" t="s">
        <v>175</v>
      </c>
      <c r="H227" s="52">
        <v>4103065</v>
      </c>
      <c r="I227" s="52"/>
      <c r="J227" s="53">
        <v>11</v>
      </c>
      <c r="K227" s="52" t="s">
        <v>29</v>
      </c>
      <c r="L227" s="52" t="s">
        <v>248</v>
      </c>
      <c r="M227" s="54">
        <v>1679579801419</v>
      </c>
      <c r="N227" s="54">
        <v>1679070299731.8799</v>
      </c>
      <c r="O227" s="55">
        <f t="shared" si="195"/>
        <v>0.9996966493127093</v>
      </c>
      <c r="P227" s="54">
        <v>1649833709802.4302</v>
      </c>
      <c r="Q227" s="55">
        <f t="shared" si="195"/>
        <v>0.9822895633827945</v>
      </c>
      <c r="R227" s="54">
        <v>1649802610311.4302</v>
      </c>
      <c r="S227" s="55">
        <f t="shared" ref="S227" si="223">+R227/$M227</f>
        <v>0.98227104714976188</v>
      </c>
    </row>
    <row r="228" spans="1:19" ht="24.95" customHeight="1" outlineLevel="1">
      <c r="A228" s="32"/>
      <c r="B228" s="56" t="s">
        <v>722</v>
      </c>
      <c r="C228" s="57" t="s">
        <v>167</v>
      </c>
      <c r="D228" s="57" t="s">
        <v>190</v>
      </c>
      <c r="E228" s="57" t="s">
        <v>172</v>
      </c>
      <c r="F228" s="57">
        <v>23</v>
      </c>
      <c r="G228" s="57" t="s">
        <v>175</v>
      </c>
      <c r="H228" s="57">
        <v>4103065</v>
      </c>
      <c r="I228" s="57" t="s">
        <v>54</v>
      </c>
      <c r="J228" s="57">
        <v>11</v>
      </c>
      <c r="K228" s="58" t="s">
        <v>29</v>
      </c>
      <c r="L228" s="59" t="s">
        <v>178</v>
      </c>
      <c r="M228" s="60">
        <v>46083094704.350006</v>
      </c>
      <c r="N228" s="60">
        <v>45838889352.949997</v>
      </c>
      <c r="O228" s="62">
        <f t="shared" si="195"/>
        <v>0.99470076059416734</v>
      </c>
      <c r="P228" s="60">
        <v>42574742296.150002</v>
      </c>
      <c r="Q228" s="62">
        <f t="shared" si="195"/>
        <v>0.92386899294181224</v>
      </c>
      <c r="R228" s="60">
        <v>42545082805.150002</v>
      </c>
      <c r="S228" s="62">
        <f t="shared" ref="S228" si="224">+R228/$M228</f>
        <v>0.92322538401775278</v>
      </c>
    </row>
    <row r="229" spans="1:19" ht="24.95" customHeight="1" outlineLevel="1">
      <c r="A229" s="32"/>
      <c r="B229" s="56" t="s">
        <v>723</v>
      </c>
      <c r="C229" s="57" t="s">
        <v>167</v>
      </c>
      <c r="D229" s="57" t="s">
        <v>190</v>
      </c>
      <c r="E229" s="57" t="s">
        <v>172</v>
      </c>
      <c r="F229" s="57">
        <v>23</v>
      </c>
      <c r="G229" s="57" t="s">
        <v>175</v>
      </c>
      <c r="H229" s="57">
        <v>4103065</v>
      </c>
      <c r="I229" s="57" t="s">
        <v>65</v>
      </c>
      <c r="J229" s="57">
        <v>11</v>
      </c>
      <c r="K229" s="58" t="s">
        <v>29</v>
      </c>
      <c r="L229" s="59" t="s">
        <v>127</v>
      </c>
      <c r="M229" s="60">
        <v>733379609845.65002</v>
      </c>
      <c r="N229" s="60">
        <v>733323049845.65002</v>
      </c>
      <c r="O229" s="62">
        <f t="shared" si="195"/>
        <v>0.99992287759403087</v>
      </c>
      <c r="P229" s="60">
        <v>714530433131</v>
      </c>
      <c r="Q229" s="62">
        <f t="shared" si="195"/>
        <v>0.97429819910234883</v>
      </c>
      <c r="R229" s="60">
        <v>714528993131</v>
      </c>
      <c r="S229" s="62">
        <f t="shared" ref="S229" si="225">+R229/$M229</f>
        <v>0.97429623558989131</v>
      </c>
    </row>
    <row r="230" spans="1:19" ht="24.95" customHeight="1" outlineLevel="1">
      <c r="A230" s="32"/>
      <c r="B230" s="56" t="s">
        <v>722</v>
      </c>
      <c r="C230" s="57" t="s">
        <v>167</v>
      </c>
      <c r="D230" s="57" t="s">
        <v>190</v>
      </c>
      <c r="E230" s="57" t="s">
        <v>172</v>
      </c>
      <c r="F230" s="57">
        <v>23</v>
      </c>
      <c r="G230" s="57" t="s">
        <v>175</v>
      </c>
      <c r="H230" s="57">
        <v>4103065</v>
      </c>
      <c r="I230" s="57" t="s">
        <v>54</v>
      </c>
      <c r="J230" s="57">
        <v>13</v>
      </c>
      <c r="K230" s="58" t="s">
        <v>29</v>
      </c>
      <c r="L230" s="59" t="s">
        <v>178</v>
      </c>
      <c r="M230" s="60">
        <v>4000000000</v>
      </c>
      <c r="N230" s="60">
        <v>3999343664.2800002</v>
      </c>
      <c r="O230" s="62">
        <f t="shared" si="195"/>
        <v>0.99983591607</v>
      </c>
      <c r="P230" s="60">
        <v>3202207506.2800002</v>
      </c>
      <c r="Q230" s="62">
        <f t="shared" si="195"/>
        <v>0.80055187657000004</v>
      </c>
      <c r="R230" s="60">
        <v>3202207506.2800002</v>
      </c>
      <c r="S230" s="62">
        <f t="shared" ref="S230" si="226">+R230/$M230</f>
        <v>0.80055187657000004</v>
      </c>
    </row>
    <row r="231" spans="1:19" ht="24.95" customHeight="1" outlineLevel="1">
      <c r="A231" s="32"/>
      <c r="B231" s="56" t="s">
        <v>723</v>
      </c>
      <c r="C231" s="57" t="s">
        <v>167</v>
      </c>
      <c r="D231" s="57" t="s">
        <v>190</v>
      </c>
      <c r="E231" s="57" t="s">
        <v>172</v>
      </c>
      <c r="F231" s="57">
        <v>23</v>
      </c>
      <c r="G231" s="57" t="s">
        <v>175</v>
      </c>
      <c r="H231" s="57">
        <v>4103065</v>
      </c>
      <c r="I231" s="57" t="s">
        <v>65</v>
      </c>
      <c r="J231" s="57">
        <v>13</v>
      </c>
      <c r="K231" s="58" t="s">
        <v>29</v>
      </c>
      <c r="L231" s="59" t="s">
        <v>127</v>
      </c>
      <c r="M231" s="60">
        <v>112225749186</v>
      </c>
      <c r="N231" s="60">
        <v>112017669186</v>
      </c>
      <c r="O231" s="62">
        <f t="shared" si="195"/>
        <v>0.99814588005418314</v>
      </c>
      <c r="P231" s="60">
        <v>112017669186</v>
      </c>
      <c r="Q231" s="62">
        <f t="shared" si="195"/>
        <v>0.99814588005418314</v>
      </c>
      <c r="R231" s="60">
        <v>112017669186</v>
      </c>
      <c r="S231" s="62">
        <f t="shared" ref="S231" si="227">+R231/$M231</f>
        <v>0.99814588005418314</v>
      </c>
    </row>
    <row r="232" spans="1:19" ht="24.95" customHeight="1" outlineLevel="1">
      <c r="A232" s="32"/>
      <c r="B232" s="56" t="s">
        <v>723</v>
      </c>
      <c r="C232" s="57" t="s">
        <v>167</v>
      </c>
      <c r="D232" s="57" t="s">
        <v>190</v>
      </c>
      <c r="E232" s="57" t="s">
        <v>172</v>
      </c>
      <c r="F232" s="57">
        <v>23</v>
      </c>
      <c r="G232" s="57" t="s">
        <v>175</v>
      </c>
      <c r="H232" s="57">
        <v>4103065</v>
      </c>
      <c r="I232" s="57" t="s">
        <v>65</v>
      </c>
      <c r="J232" s="57">
        <v>16</v>
      </c>
      <c r="K232" s="58" t="s">
        <v>156</v>
      </c>
      <c r="L232" s="59" t="s">
        <v>127</v>
      </c>
      <c r="M232" s="60">
        <v>783891347683</v>
      </c>
      <c r="N232" s="60">
        <v>783891347683</v>
      </c>
      <c r="O232" s="62">
        <f t="shared" si="195"/>
        <v>1</v>
      </c>
      <c r="P232" s="60">
        <v>777508657683</v>
      </c>
      <c r="Q232" s="62">
        <f t="shared" si="195"/>
        <v>0.99185768535541852</v>
      </c>
      <c r="R232" s="60">
        <v>777508657683</v>
      </c>
      <c r="S232" s="62">
        <f t="shared" ref="S232" si="228">+R232/$M232</f>
        <v>0.99185768535541852</v>
      </c>
    </row>
    <row r="233" spans="1:19" ht="36" customHeight="1">
      <c r="A233" s="32" t="e">
        <v>#REF!</v>
      </c>
      <c r="B233" s="48" t="s">
        <v>732</v>
      </c>
      <c r="C233" s="48" t="s">
        <v>167</v>
      </c>
      <c r="D233" s="48" t="s">
        <v>190</v>
      </c>
      <c r="E233" s="48" t="s">
        <v>172</v>
      </c>
      <c r="F233" s="48">
        <v>24</v>
      </c>
      <c r="G233" s="48"/>
      <c r="H233" s="48"/>
      <c r="I233" s="48"/>
      <c r="J233" s="49"/>
      <c r="K233" s="48"/>
      <c r="L233" s="48" t="s">
        <v>249</v>
      </c>
      <c r="M233" s="50">
        <v>7265434972295</v>
      </c>
      <c r="N233" s="50">
        <v>7258069639756.8604</v>
      </c>
      <c r="O233" s="51">
        <f t="shared" si="195"/>
        <v>0.9989862502979896</v>
      </c>
      <c r="P233" s="50">
        <v>7243984828304.3701</v>
      </c>
      <c r="Q233" s="51">
        <f t="shared" si="195"/>
        <v>0.9970476449004877</v>
      </c>
      <c r="R233" s="50">
        <v>7243728481031.3701</v>
      </c>
      <c r="S233" s="51">
        <f t="shared" ref="S233" si="229">+R233/$M233</f>
        <v>0.9970123617723643</v>
      </c>
    </row>
    <row r="234" spans="1:19" ht="33.75" customHeight="1" outlineLevel="1">
      <c r="A234" s="32" t="e">
        <v>#REF!</v>
      </c>
      <c r="B234" s="52" t="s">
        <v>733</v>
      </c>
      <c r="C234" s="52" t="s">
        <v>167</v>
      </c>
      <c r="D234" s="52" t="s">
        <v>190</v>
      </c>
      <c r="E234" s="52" t="s">
        <v>172</v>
      </c>
      <c r="F234" s="52">
        <v>24</v>
      </c>
      <c r="G234" s="52" t="s">
        <v>175</v>
      </c>
      <c r="H234" s="52">
        <v>4103061</v>
      </c>
      <c r="I234" s="52"/>
      <c r="J234" s="53">
        <v>13</v>
      </c>
      <c r="K234" s="52" t="s">
        <v>29</v>
      </c>
      <c r="L234" s="52" t="s">
        <v>231</v>
      </c>
      <c r="M234" s="54">
        <v>7265434972295</v>
      </c>
      <c r="N234" s="54">
        <v>7258069639756.8604</v>
      </c>
      <c r="O234" s="55">
        <f t="shared" si="195"/>
        <v>0.9989862502979896</v>
      </c>
      <c r="P234" s="54">
        <v>7243984828304.3701</v>
      </c>
      <c r="Q234" s="55">
        <f t="shared" si="195"/>
        <v>0.9970476449004877</v>
      </c>
      <c r="R234" s="54">
        <v>7243728481031.3701</v>
      </c>
      <c r="S234" s="55">
        <f t="shared" ref="S234" si="230">+R234/$M234</f>
        <v>0.9970123617723643</v>
      </c>
    </row>
    <row r="235" spans="1:19" ht="24.95" customHeight="1" outlineLevel="1">
      <c r="A235" s="32" t="e">
        <v>#REF!</v>
      </c>
      <c r="B235" s="56" t="s">
        <v>734</v>
      </c>
      <c r="C235" s="57" t="s">
        <v>167</v>
      </c>
      <c r="D235" s="57" t="s">
        <v>190</v>
      </c>
      <c r="E235" s="57" t="s">
        <v>172</v>
      </c>
      <c r="F235" s="57">
        <v>24</v>
      </c>
      <c r="G235" s="57" t="s">
        <v>175</v>
      </c>
      <c r="H235" s="57">
        <v>4103061</v>
      </c>
      <c r="I235" s="57" t="s">
        <v>54</v>
      </c>
      <c r="J235" s="57">
        <v>13</v>
      </c>
      <c r="K235" s="58" t="s">
        <v>29</v>
      </c>
      <c r="L235" s="59" t="s">
        <v>178</v>
      </c>
      <c r="M235" s="60">
        <v>50116639294.830002</v>
      </c>
      <c r="N235" s="60">
        <v>43051341756.860001</v>
      </c>
      <c r="O235" s="62">
        <f t="shared" si="195"/>
        <v>0.85902291858786206</v>
      </c>
      <c r="P235" s="60">
        <v>34985750304.370003</v>
      </c>
      <c r="Q235" s="62">
        <f t="shared" si="195"/>
        <v>0.69808651969963809</v>
      </c>
      <c r="R235" s="60">
        <v>34729403031.370003</v>
      </c>
      <c r="S235" s="62">
        <f t="shared" ref="S235" si="231">+R235/$M235</f>
        <v>0.69297150647036032</v>
      </c>
    </row>
    <row r="236" spans="1:19" ht="24.95" customHeight="1" outlineLevel="1">
      <c r="A236" s="32" t="e">
        <v>#REF!</v>
      </c>
      <c r="B236" s="56" t="s">
        <v>735</v>
      </c>
      <c r="C236" s="57" t="s">
        <v>167</v>
      </c>
      <c r="D236" s="57" t="s">
        <v>190</v>
      </c>
      <c r="E236" s="57" t="s">
        <v>172</v>
      </c>
      <c r="F236" s="57">
        <v>24</v>
      </c>
      <c r="G236" s="57" t="s">
        <v>175</v>
      </c>
      <c r="H236" s="57">
        <v>4103061</v>
      </c>
      <c r="I236" s="57" t="s">
        <v>65</v>
      </c>
      <c r="J236" s="57">
        <v>13</v>
      </c>
      <c r="K236" s="58" t="s">
        <v>29</v>
      </c>
      <c r="L236" s="59" t="s">
        <v>127</v>
      </c>
      <c r="M236" s="60">
        <v>7215318333000.1699</v>
      </c>
      <c r="N236" s="60">
        <v>7215018298000</v>
      </c>
      <c r="O236" s="62">
        <f t="shared" si="195"/>
        <v>0.99995841694207754</v>
      </c>
      <c r="P236" s="60">
        <v>7208999078000</v>
      </c>
      <c r="Q236" s="62">
        <f t="shared" si="195"/>
        <v>0.99912418902278111</v>
      </c>
      <c r="R236" s="60">
        <v>7208999078000</v>
      </c>
      <c r="S236" s="62">
        <f t="shared" ref="S236" si="232">+R236/$M236</f>
        <v>0.99912418902278111</v>
      </c>
    </row>
    <row r="237" spans="1:19" ht="24" customHeight="1" outlineLevel="1">
      <c r="A237" s="32" t="e">
        <v>#REF!</v>
      </c>
      <c r="B237" s="38" t="s">
        <v>544</v>
      </c>
      <c r="C237" s="39" t="s">
        <v>167</v>
      </c>
      <c r="D237" s="39">
        <v>4199</v>
      </c>
      <c r="E237" s="39"/>
      <c r="F237" s="39"/>
      <c r="G237" s="39"/>
      <c r="H237" s="39"/>
      <c r="I237" s="39"/>
      <c r="J237" s="39"/>
      <c r="K237" s="40"/>
      <c r="L237" s="38" t="s">
        <v>250</v>
      </c>
      <c r="M237" s="41">
        <v>5000000000</v>
      </c>
      <c r="N237" s="41">
        <v>4924704158.6999998</v>
      </c>
      <c r="O237" s="42">
        <f t="shared" si="195"/>
        <v>0.98494083173999991</v>
      </c>
      <c r="P237" s="41">
        <v>4461352189.3000002</v>
      </c>
      <c r="Q237" s="42">
        <f t="shared" si="195"/>
        <v>0.89227043786000004</v>
      </c>
      <c r="R237" s="41">
        <v>4461352189.3000002</v>
      </c>
      <c r="S237" s="42">
        <f t="shared" ref="S237" si="233">+R237/$M237</f>
        <v>0.89227043786000004</v>
      </c>
    </row>
    <row r="238" spans="1:19" ht="24" customHeight="1" outlineLevel="1">
      <c r="A238" s="32" t="e">
        <v>#REF!</v>
      </c>
      <c r="B238" s="43" t="s">
        <v>300</v>
      </c>
      <c r="C238" s="44" t="s">
        <v>167</v>
      </c>
      <c r="D238" s="44">
        <v>4199</v>
      </c>
      <c r="E238" s="44">
        <v>1500</v>
      </c>
      <c r="F238" s="44"/>
      <c r="G238" s="44"/>
      <c r="H238" s="44"/>
      <c r="I238" s="44"/>
      <c r="J238" s="44"/>
      <c r="K238" s="45"/>
      <c r="L238" s="43" t="s">
        <v>170</v>
      </c>
      <c r="M238" s="46">
        <v>5000000000</v>
      </c>
      <c r="N238" s="46">
        <v>4924704158.6999998</v>
      </c>
      <c r="O238" s="47">
        <f t="shared" si="195"/>
        <v>0.98494083173999991</v>
      </c>
      <c r="P238" s="46">
        <v>4461352189.3000002</v>
      </c>
      <c r="Q238" s="47">
        <f t="shared" si="195"/>
        <v>0.89227043786000004</v>
      </c>
      <c r="R238" s="46">
        <v>4461352189.3000002</v>
      </c>
      <c r="S238" s="47">
        <f t="shared" ref="S238" si="234">+R238/$M238</f>
        <v>0.89227043786000004</v>
      </c>
    </row>
    <row r="239" spans="1:19" ht="39" customHeight="1">
      <c r="A239" s="32" t="e">
        <v>#REF!</v>
      </c>
      <c r="B239" s="48" t="s">
        <v>547</v>
      </c>
      <c r="C239" s="48" t="s">
        <v>167</v>
      </c>
      <c r="D239" s="48" t="s">
        <v>251</v>
      </c>
      <c r="E239" s="48" t="s">
        <v>172</v>
      </c>
      <c r="F239" s="48" t="s">
        <v>252</v>
      </c>
      <c r="G239" s="48"/>
      <c r="H239" s="48"/>
      <c r="I239" s="48"/>
      <c r="J239" s="49"/>
      <c r="K239" s="48"/>
      <c r="L239" s="48" t="s">
        <v>253</v>
      </c>
      <c r="M239" s="50">
        <v>5000000000</v>
      </c>
      <c r="N239" s="50">
        <v>4924704158.6999998</v>
      </c>
      <c r="O239" s="51">
        <f t="shared" si="195"/>
        <v>0.98494083173999991</v>
      </c>
      <c r="P239" s="50">
        <v>4461352189.3000002</v>
      </c>
      <c r="Q239" s="51">
        <f t="shared" si="195"/>
        <v>0.89227043786000004</v>
      </c>
      <c r="R239" s="50">
        <v>4461352189.3000002</v>
      </c>
      <c r="S239" s="51">
        <f t="shared" ref="S239" si="235">+R239/$M239</f>
        <v>0.89227043786000004</v>
      </c>
    </row>
    <row r="240" spans="1:19" ht="24" customHeight="1">
      <c r="A240" s="32" t="e">
        <v>#REF!</v>
      </c>
      <c r="B240" s="52" t="s">
        <v>548</v>
      </c>
      <c r="C240" s="52" t="s">
        <v>167</v>
      </c>
      <c r="D240" s="52" t="s">
        <v>251</v>
      </c>
      <c r="E240" s="52" t="s">
        <v>172</v>
      </c>
      <c r="F240" s="52" t="s">
        <v>252</v>
      </c>
      <c r="G240" s="52" t="s">
        <v>175</v>
      </c>
      <c r="H240" s="52" t="s">
        <v>254</v>
      </c>
      <c r="I240" s="52"/>
      <c r="J240" s="53">
        <v>13</v>
      </c>
      <c r="K240" s="52" t="s">
        <v>29</v>
      </c>
      <c r="L240" s="52" t="s">
        <v>255</v>
      </c>
      <c r="M240" s="54">
        <v>5000000000</v>
      </c>
      <c r="N240" s="54">
        <v>4924704158.6999998</v>
      </c>
      <c r="O240" s="55">
        <f t="shared" si="195"/>
        <v>0.98494083173999991</v>
      </c>
      <c r="P240" s="54">
        <v>4461352189.3000002</v>
      </c>
      <c r="Q240" s="55">
        <f t="shared" si="195"/>
        <v>0.89227043786000004</v>
      </c>
      <c r="R240" s="54">
        <v>4461352189.3000002</v>
      </c>
      <c r="S240" s="55">
        <f t="shared" ref="S240" si="236">+R240/$M240</f>
        <v>0.89227043786000004</v>
      </c>
    </row>
    <row r="241" spans="1:42" ht="24.95" customHeight="1">
      <c r="A241" s="32" t="e">
        <v>#REF!</v>
      </c>
      <c r="B241" s="56" t="s">
        <v>549</v>
      </c>
      <c r="C241" s="57" t="s">
        <v>167</v>
      </c>
      <c r="D241" s="57" t="s">
        <v>251</v>
      </c>
      <c r="E241" s="57" t="s">
        <v>172</v>
      </c>
      <c r="F241" s="57" t="s">
        <v>252</v>
      </c>
      <c r="G241" s="57" t="s">
        <v>175</v>
      </c>
      <c r="H241" s="57" t="s">
        <v>254</v>
      </c>
      <c r="I241" s="57" t="s">
        <v>54</v>
      </c>
      <c r="J241" s="57">
        <v>13</v>
      </c>
      <c r="K241" s="58" t="s">
        <v>29</v>
      </c>
      <c r="L241" s="59" t="s">
        <v>178</v>
      </c>
      <c r="M241" s="60">
        <v>5000000000</v>
      </c>
      <c r="N241" s="60">
        <v>4924704158.6999998</v>
      </c>
      <c r="O241" s="62">
        <f t="shared" si="195"/>
        <v>0.98494083173999991</v>
      </c>
      <c r="P241" s="60">
        <v>4461352189.3000002</v>
      </c>
      <c r="Q241" s="62">
        <f t="shared" si="195"/>
        <v>0.89227043786000004</v>
      </c>
      <c r="R241" s="60">
        <v>4461352189.3000002</v>
      </c>
      <c r="S241" s="62">
        <f t="shared" ref="S241" si="237">+R241/$M241</f>
        <v>0.89227043786000004</v>
      </c>
    </row>
    <row r="242" spans="1:42" ht="35.1" customHeight="1">
      <c r="A242" s="32"/>
      <c r="B242" s="33"/>
      <c r="C242" s="34"/>
      <c r="D242" s="35"/>
      <c r="E242" s="35"/>
      <c r="F242" s="35"/>
      <c r="G242" s="35"/>
      <c r="H242" s="35"/>
      <c r="I242" s="35"/>
      <c r="J242" s="34"/>
      <c r="K242" s="35"/>
      <c r="L242" s="33" t="s">
        <v>256</v>
      </c>
      <c r="M242" s="36">
        <v>13244198239736</v>
      </c>
      <c r="N242" s="36">
        <v>13128390973562.6</v>
      </c>
      <c r="O242" s="37">
        <f t="shared" si="195"/>
        <v>0.99125600024424665</v>
      </c>
      <c r="P242" s="36">
        <v>12914139902775.279</v>
      </c>
      <c r="Q242" s="37">
        <f t="shared" si="195"/>
        <v>0.97507902471812447</v>
      </c>
      <c r="R242" s="36">
        <v>12907288006984.883</v>
      </c>
      <c r="S242" s="37">
        <f t="shared" ref="S242" si="238">+R242/$M242</f>
        <v>0.97456167397583193</v>
      </c>
    </row>
    <row r="243" spans="1:42" s="90" customFormat="1" ht="16.5">
      <c r="A243" s="32"/>
      <c r="B243" s="32"/>
      <c r="C243" s="82"/>
      <c r="D243" s="82"/>
      <c r="E243" s="82"/>
      <c r="F243" s="82"/>
      <c r="G243" s="82"/>
      <c r="H243" s="83"/>
      <c r="I243" s="84"/>
      <c r="J243" s="84"/>
      <c r="K243" s="85"/>
      <c r="L243" s="84"/>
      <c r="M243" s="86"/>
      <c r="N243" s="86"/>
      <c r="O243" s="87"/>
      <c r="P243" s="88"/>
      <c r="Q243" s="88"/>
      <c r="R243" s="86"/>
      <c r="S243" s="89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</row>
    <row r="244" spans="1:42" s="8" customFormat="1" ht="16.5">
      <c r="A244" s="32" t="e">
        <v>#REF!</v>
      </c>
      <c r="B244" s="32"/>
      <c r="C244" s="91"/>
      <c r="D244" s="91"/>
      <c r="E244" s="91"/>
      <c r="F244" s="91"/>
      <c r="G244" s="91"/>
      <c r="H244" s="92"/>
      <c r="I244" s="93"/>
      <c r="J244" s="93"/>
      <c r="K244" s="94"/>
      <c r="L244" s="93"/>
      <c r="M244" s="364">
        <f>+M242-'VIG_2021-IVTrim'!M244</f>
        <v>-1125962556144</v>
      </c>
      <c r="N244" s="95">
        <v>13128390973562.6</v>
      </c>
      <c r="O244" s="96">
        <v>0.99125600024424665</v>
      </c>
      <c r="P244" s="95">
        <v>12914139902775.281</v>
      </c>
      <c r="Q244" s="95"/>
      <c r="R244" s="95">
        <v>12907288006984.881</v>
      </c>
      <c r="S244" s="96">
        <v>0.98315841088043732</v>
      </c>
    </row>
    <row r="245" spans="1:42" s="8" customFormat="1" ht="16.5">
      <c r="A245" s="32"/>
      <c r="B245" s="32"/>
      <c r="C245" s="94"/>
      <c r="D245" s="93"/>
      <c r="E245" s="93"/>
      <c r="F245" s="93"/>
      <c r="G245" s="93"/>
      <c r="H245" s="93"/>
      <c r="I245" s="93"/>
      <c r="J245" s="93"/>
      <c r="K245" s="94"/>
      <c r="L245" s="97"/>
      <c r="M245" s="558"/>
      <c r="N245" s="98">
        <v>0</v>
      </c>
      <c r="O245" s="98"/>
      <c r="P245" s="98">
        <v>0</v>
      </c>
      <c r="Q245" s="98"/>
      <c r="R245" s="98">
        <v>0</v>
      </c>
      <c r="S245" s="98"/>
    </row>
    <row r="246" spans="1:42" s="108" customFormat="1" ht="16.5">
      <c r="A246" s="99"/>
      <c r="B246" s="100"/>
      <c r="C246" s="101"/>
      <c r="D246" s="102"/>
      <c r="E246" s="102"/>
      <c r="F246" s="102"/>
      <c r="G246" s="102"/>
      <c r="H246" s="102"/>
      <c r="I246" s="102"/>
      <c r="J246" s="102"/>
      <c r="K246" s="101"/>
      <c r="L246" s="103"/>
      <c r="M246" s="104"/>
      <c r="N246" s="104"/>
      <c r="O246" s="105"/>
      <c r="P246" s="104"/>
      <c r="Q246" s="104"/>
      <c r="R246" s="104"/>
      <c r="S246" s="106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</sheetData>
  <sheetProtection selectLockedCells="1" selectUnlockedCells="1"/>
  <autoFilter ref="A6:S245" xr:uid="{00000000-0009-0000-0000-000002000000}"/>
  <mergeCells count="4">
    <mergeCell ref="N5:O5"/>
    <mergeCell ref="P5:Q5"/>
    <mergeCell ref="R5:S5"/>
    <mergeCell ref="C5:I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352D6-82A2-4330-934C-528D7608CA38}">
  <sheetPr>
    <tabColor rgb="FF00B0F0"/>
    <pageSetUpPr fitToPage="1"/>
  </sheetPr>
  <dimension ref="A1:BB212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4.42578125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56" style="9" customWidth="1"/>
    <col min="14" max="14" width="20" style="13" bestFit="1" customWidth="1"/>
    <col min="15" max="15" width="16.85546875" style="13" bestFit="1" customWidth="1"/>
    <col min="16" max="16" width="18.42578125" style="13" customWidth="1"/>
    <col min="17" max="17" width="20.42578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21.7109375" style="13" customWidth="1"/>
    <col min="26" max="26" width="14.140625" style="13" customWidth="1"/>
    <col min="27" max="27" width="19.5703125" style="13" bestFit="1" customWidth="1"/>
    <col min="28" max="28" width="22.140625" style="13" customWidth="1"/>
    <col min="29" max="29" width="13.42578125" style="13" customWidth="1"/>
    <col min="30" max="30" width="11.42578125" style="13"/>
    <col min="31" max="31" width="18.28515625" style="291" bestFit="1" customWidth="1"/>
    <col min="32" max="32" width="27.7109375" style="13" bestFit="1" customWidth="1"/>
    <col min="33" max="33" width="13.85546875" style="13" customWidth="1"/>
    <col min="34" max="16384" width="11.42578125" style="13"/>
  </cols>
  <sheetData>
    <row r="1" spans="1:32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  <c r="AE1" s="290"/>
    </row>
    <row r="2" spans="1:32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32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901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32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32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784" t="s">
        <v>7</v>
      </c>
      <c r="V5" s="785"/>
      <c r="W5" s="786"/>
      <c r="X5" s="776" t="s">
        <v>8</v>
      </c>
      <c r="Y5" s="777"/>
      <c r="Z5" s="778"/>
      <c r="AA5" s="779" t="s">
        <v>9</v>
      </c>
      <c r="AB5" s="780"/>
      <c r="AC5" s="781"/>
      <c r="AE5" s="292"/>
    </row>
    <row r="6" spans="1:32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  <c r="AE6" s="292"/>
    </row>
    <row r="7" spans="1:32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32" ht="35.1" customHeight="1" thickBot="1">
      <c r="A8" s="32" t="str">
        <f>+CONCATENATE(B8,"=",K8)</f>
        <v>A=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f t="shared" ref="N8:V8" si="0">+N9+N43+N88+N101</f>
        <v>162991000000</v>
      </c>
      <c r="O8" s="186">
        <f t="shared" si="0"/>
        <v>0</v>
      </c>
      <c r="P8" s="186">
        <f t="shared" si="0"/>
        <v>0</v>
      </c>
      <c r="Q8" s="186">
        <f t="shared" si="0"/>
        <v>2760551358.1499996</v>
      </c>
      <c r="R8" s="186">
        <f t="shared" si="0"/>
        <v>2760551358.1500001</v>
      </c>
      <c r="S8" s="186">
        <f t="shared" si="0"/>
        <v>11791000000</v>
      </c>
      <c r="T8" s="186">
        <f t="shared" si="0"/>
        <v>151200000000</v>
      </c>
      <c r="U8" s="186">
        <f t="shared" si="0"/>
        <v>74511877620</v>
      </c>
      <c r="V8" s="186">
        <f t="shared" si="0"/>
        <v>76688122380</v>
      </c>
      <c r="W8" s="187">
        <f t="shared" ref="W8:W13" si="1">+IF(T8&gt;0,U8/T8,0)</f>
        <v>0.49280342341269839</v>
      </c>
      <c r="X8" s="186">
        <f t="shared" ref="X8:Y8" si="2">+X9+X43+X88+X101</f>
        <v>39403728615.339996</v>
      </c>
      <c r="Y8" s="186">
        <f t="shared" si="2"/>
        <v>35108149004.660004</v>
      </c>
      <c r="Z8" s="187">
        <f t="shared" ref="Z8:Z23" si="3">+IF(U8&gt;0,Y8/U8,0)</f>
        <v>0.47117520221013059</v>
      </c>
      <c r="AA8" s="186">
        <f t="shared" ref="AA8:AB8" si="4">+AA9+AA43+AA88+AA101</f>
        <v>39403407785.339996</v>
      </c>
      <c r="AB8" s="186">
        <f t="shared" si="4"/>
        <v>320830</v>
      </c>
      <c r="AC8" s="187">
        <f>+IF(U8&gt;0,(AA8/U8),0)</f>
        <v>0.5288204920333881</v>
      </c>
      <c r="AE8" s="13"/>
    </row>
    <row r="9" spans="1:32" ht="35.1" customHeight="1">
      <c r="A9" s="32" t="str">
        <f t="shared" ref="A9:A74" si="5">+CONCATENATE(B9,"=",K9)</f>
        <v>A-01=</v>
      </c>
      <c r="B9" s="188" t="str">
        <f>CONCATENATE(C9,"-",D9)</f>
        <v>A-01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f>+N10</f>
        <v>99738000000</v>
      </c>
      <c r="O9" s="194">
        <f t="shared" ref="O9:AB9" si="6">+O10</f>
        <v>0</v>
      </c>
      <c r="P9" s="194">
        <f t="shared" si="6"/>
        <v>0</v>
      </c>
      <c r="Q9" s="194">
        <f>+Q10</f>
        <v>0</v>
      </c>
      <c r="R9" s="194">
        <f t="shared" si="6"/>
        <v>0</v>
      </c>
      <c r="S9" s="194">
        <f t="shared" si="6"/>
        <v>0</v>
      </c>
      <c r="T9" s="194">
        <f t="shared" si="6"/>
        <v>99738000000</v>
      </c>
      <c r="U9" s="194">
        <f t="shared" si="6"/>
        <v>43508688377</v>
      </c>
      <c r="V9" s="194">
        <f t="shared" si="6"/>
        <v>56229311623</v>
      </c>
      <c r="W9" s="195">
        <f t="shared" si="1"/>
        <v>0.43622980586135673</v>
      </c>
      <c r="X9" s="194">
        <f t="shared" si="6"/>
        <v>28551408111</v>
      </c>
      <c r="Y9" s="194">
        <f t="shared" si="6"/>
        <v>14957280266</v>
      </c>
      <c r="Z9" s="195">
        <f t="shared" si="3"/>
        <v>0.34377685983995021</v>
      </c>
      <c r="AA9" s="194">
        <f t="shared" si="6"/>
        <v>28551316111</v>
      </c>
      <c r="AB9" s="194">
        <f t="shared" si="6"/>
        <v>92000</v>
      </c>
      <c r="AC9" s="195">
        <f t="shared" ref="AC9:AC74" si="7">+IF(U9&gt;0,(AA9/U9),0)</f>
        <v>0.65622102563986007</v>
      </c>
      <c r="AE9" s="13"/>
    </row>
    <row r="10" spans="1:32" ht="24.95" customHeight="1">
      <c r="A10" s="32" t="str">
        <f t="shared" si="5"/>
        <v>A-01-01=</v>
      </c>
      <c r="B10" s="196" t="str">
        <f>CONCATENATE(C10,"-",D10,"-",E10)</f>
        <v>A-01-01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f>+N11+N23+N33</f>
        <v>99738000000</v>
      </c>
      <c r="O10" s="201">
        <f t="shared" ref="O10:V10" si="8">+O11+O23+O33</f>
        <v>0</v>
      </c>
      <c r="P10" s="201">
        <f t="shared" si="8"/>
        <v>0</v>
      </c>
      <c r="Q10" s="201">
        <f t="shared" si="8"/>
        <v>0</v>
      </c>
      <c r="R10" s="201">
        <f t="shared" si="8"/>
        <v>0</v>
      </c>
      <c r="S10" s="201">
        <f t="shared" si="8"/>
        <v>0</v>
      </c>
      <c r="T10" s="201">
        <f t="shared" si="8"/>
        <v>99738000000</v>
      </c>
      <c r="U10" s="201">
        <f t="shared" si="8"/>
        <v>43508688377</v>
      </c>
      <c r="V10" s="201">
        <f t="shared" si="8"/>
        <v>56229311623</v>
      </c>
      <c r="W10" s="202">
        <f t="shared" si="1"/>
        <v>0.43622980586135673</v>
      </c>
      <c r="X10" s="201">
        <f t="shared" ref="X10:AB10" si="9">+X11+X23+X33</f>
        <v>28551408111</v>
      </c>
      <c r="Y10" s="201">
        <f t="shared" si="9"/>
        <v>14957280266</v>
      </c>
      <c r="Z10" s="202">
        <f t="shared" si="3"/>
        <v>0.34377685983995021</v>
      </c>
      <c r="AA10" s="201">
        <f t="shared" si="9"/>
        <v>28551316111</v>
      </c>
      <c r="AB10" s="201">
        <f t="shared" si="9"/>
        <v>92000</v>
      </c>
      <c r="AC10" s="202">
        <f t="shared" si="7"/>
        <v>0.65622102563986007</v>
      </c>
      <c r="AE10" s="13"/>
      <c r="AF10" s="293"/>
    </row>
    <row r="11" spans="1:32" ht="24.95" customHeight="1">
      <c r="A11" s="32" t="str">
        <f t="shared" si="5"/>
        <v>A-01-01-01=10</v>
      </c>
      <c r="B11" s="203" t="str">
        <f>CONCATENATE(C11,"-",D11,"-",E11,"-",F11)</f>
        <v>A-01-01-01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f>SUM(N12)</f>
        <v>68019000000</v>
      </c>
      <c r="O11" s="208">
        <f t="shared" ref="O11:AB11" si="10">SUM(O12)</f>
        <v>0</v>
      </c>
      <c r="P11" s="208">
        <f t="shared" si="10"/>
        <v>0</v>
      </c>
      <c r="Q11" s="208">
        <f t="shared" si="10"/>
        <v>0</v>
      </c>
      <c r="R11" s="208">
        <f t="shared" si="10"/>
        <v>0</v>
      </c>
      <c r="S11" s="208">
        <f t="shared" si="10"/>
        <v>0</v>
      </c>
      <c r="T11" s="208">
        <f t="shared" si="10"/>
        <v>68019000000</v>
      </c>
      <c r="U11" s="208">
        <f t="shared" si="10"/>
        <v>19566525272</v>
      </c>
      <c r="V11" s="208">
        <f t="shared" si="10"/>
        <v>48452474728</v>
      </c>
      <c r="W11" s="209">
        <f t="shared" si="1"/>
        <v>0.2876626423793352</v>
      </c>
      <c r="X11" s="208">
        <f t="shared" si="10"/>
        <v>19566525272</v>
      </c>
      <c r="Y11" s="208">
        <f t="shared" si="10"/>
        <v>0</v>
      </c>
      <c r="Z11" s="209">
        <f t="shared" si="3"/>
        <v>0</v>
      </c>
      <c r="AA11" s="208">
        <f t="shared" si="10"/>
        <v>19566525272</v>
      </c>
      <c r="AB11" s="208">
        <f t="shared" si="10"/>
        <v>0</v>
      </c>
      <c r="AC11" s="209">
        <f t="shared" si="7"/>
        <v>1</v>
      </c>
      <c r="AE11" s="13"/>
      <c r="AF11" s="293"/>
    </row>
    <row r="12" spans="1:32" ht="24.95" customHeight="1">
      <c r="A12" s="32" t="str">
        <f t="shared" si="5"/>
        <v>A-01-01-01-001=10</v>
      </c>
      <c r="B12" s="210" t="str">
        <f>CONCATENATE(C12,"-",D12,"-",E12,"-",F12,"-",G12)</f>
        <v>A-01-01-01-001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f>SUM(N13:N22)</f>
        <v>68019000000</v>
      </c>
      <c r="O12" s="215">
        <f t="shared" ref="O12:V12" si="11">SUM(O13:O22)</f>
        <v>0</v>
      </c>
      <c r="P12" s="215">
        <f t="shared" si="11"/>
        <v>0</v>
      </c>
      <c r="Q12" s="215">
        <f t="shared" si="11"/>
        <v>0</v>
      </c>
      <c r="R12" s="215">
        <f t="shared" si="11"/>
        <v>0</v>
      </c>
      <c r="S12" s="215">
        <f t="shared" si="11"/>
        <v>0</v>
      </c>
      <c r="T12" s="215">
        <f t="shared" si="11"/>
        <v>68019000000</v>
      </c>
      <c r="U12" s="215">
        <f t="shared" si="11"/>
        <v>19566525272</v>
      </c>
      <c r="V12" s="215">
        <f t="shared" si="11"/>
        <v>48452474728</v>
      </c>
      <c r="W12" s="216">
        <f t="shared" si="1"/>
        <v>0.2876626423793352</v>
      </c>
      <c r="X12" s="215">
        <f t="shared" ref="X12:AB12" si="12">SUM(X13:X22)</f>
        <v>19566525272</v>
      </c>
      <c r="Y12" s="215">
        <f t="shared" si="12"/>
        <v>0</v>
      </c>
      <c r="Z12" s="216">
        <f t="shared" si="3"/>
        <v>0</v>
      </c>
      <c r="AA12" s="215">
        <f t="shared" si="12"/>
        <v>19566525272</v>
      </c>
      <c r="AB12" s="215">
        <f t="shared" si="12"/>
        <v>0</v>
      </c>
      <c r="AC12" s="216">
        <f t="shared" si="7"/>
        <v>1</v>
      </c>
      <c r="AE12" s="13"/>
      <c r="AF12" s="293"/>
    </row>
    <row r="13" spans="1:32" ht="24.95" customHeight="1">
      <c r="A13" s="32" t="str">
        <f t="shared" si="5"/>
        <v>A-01-01-01-001-001=10</v>
      </c>
      <c r="B13" s="217" t="str">
        <f>CONCATENATE(C13,"-",D13,"-",E13,"-",F13,"-",G13,"-",H13)</f>
        <v>A-01-01-01-001-001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f t="shared" ref="T13:T22" si="13">+N13-S13+O13-P13+Q13-R13</f>
        <v>54858000000</v>
      </c>
      <c r="U13" s="222">
        <v>18122417336</v>
      </c>
      <c r="V13" s="222">
        <f t="shared" ref="V13:V108" si="14">+T13-U13</f>
        <v>36735582664</v>
      </c>
      <c r="W13" s="224">
        <f t="shared" si="1"/>
        <v>0.33035140428014148</v>
      </c>
      <c r="X13" s="222">
        <v>18122417336</v>
      </c>
      <c r="Y13" s="222">
        <f>+U13-X13</f>
        <v>0</v>
      </c>
      <c r="Z13" s="224">
        <f t="shared" si="3"/>
        <v>0</v>
      </c>
      <c r="AA13" s="222">
        <v>18122417336</v>
      </c>
      <c r="AB13" s="222">
        <f t="shared" ref="AB13:AB108" si="15">+X13-AA13</f>
        <v>0</v>
      </c>
      <c r="AC13" s="224">
        <f t="shared" si="7"/>
        <v>1</v>
      </c>
      <c r="AE13" s="13"/>
      <c r="AF13" s="293"/>
    </row>
    <row r="14" spans="1:32" ht="24.95" customHeight="1">
      <c r="A14" s="32" t="str">
        <f t="shared" si="5"/>
        <v>A-01-01-01-001-002=10</v>
      </c>
      <c r="B14" s="217" t="str">
        <f t="shared" ref="B14:B22" si="16">CONCATENATE(C14,"-",D14,"-",E14,"-",F14,"-",G14,"-",H14)</f>
        <v>A-01-01-01-001-002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f t="shared" si="13"/>
        <v>263000000</v>
      </c>
      <c r="U14" s="222">
        <v>91927042</v>
      </c>
      <c r="V14" s="222">
        <f t="shared" si="14"/>
        <v>171072958</v>
      </c>
      <c r="W14" s="224">
        <f>+IF(T14&gt;0,U14/T14,0)</f>
        <v>0.3495324790874525</v>
      </c>
      <c r="X14" s="222">
        <v>91927042</v>
      </c>
      <c r="Y14" s="222">
        <f t="shared" ref="Y14:Y114" si="17">+U14-X14</f>
        <v>0</v>
      </c>
      <c r="Z14" s="224">
        <f t="shared" si="3"/>
        <v>0</v>
      </c>
      <c r="AA14" s="222">
        <v>91927042</v>
      </c>
      <c r="AB14" s="222">
        <f t="shared" si="15"/>
        <v>0</v>
      </c>
      <c r="AC14" s="224">
        <f t="shared" si="7"/>
        <v>1</v>
      </c>
      <c r="AE14" s="13"/>
      <c r="AF14" s="293"/>
    </row>
    <row r="15" spans="1:32" ht="24.95" customHeight="1">
      <c r="A15" s="32" t="str">
        <f t="shared" si="5"/>
        <v>A-01-01-01-001-003=10</v>
      </c>
      <c r="B15" s="217" t="str">
        <f t="shared" si="16"/>
        <v>A-01-01-01-001-003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f t="shared" si="13"/>
        <v>550000000</v>
      </c>
      <c r="U15" s="222">
        <v>184044951</v>
      </c>
      <c r="V15" s="222">
        <f t="shared" si="14"/>
        <v>365955049</v>
      </c>
      <c r="W15" s="224">
        <f t="shared" ref="W15:W80" si="18">+IF(T15&gt;0,U15/T15,0)</f>
        <v>0.33462718363636362</v>
      </c>
      <c r="X15" s="222">
        <v>184044951</v>
      </c>
      <c r="Y15" s="222">
        <f t="shared" si="17"/>
        <v>0</v>
      </c>
      <c r="Z15" s="224">
        <f t="shared" si="3"/>
        <v>0</v>
      </c>
      <c r="AA15" s="222">
        <v>184044951</v>
      </c>
      <c r="AB15" s="222">
        <f t="shared" si="15"/>
        <v>0</v>
      </c>
      <c r="AC15" s="224">
        <f t="shared" si="7"/>
        <v>1</v>
      </c>
      <c r="AE15" s="13"/>
      <c r="AF15" s="293"/>
    </row>
    <row r="16" spans="1:32" ht="24.95" customHeight="1">
      <c r="A16" s="32" t="str">
        <f t="shared" si="5"/>
        <v>A-01-01-01-001-004=10</v>
      </c>
      <c r="B16" s="217" t="str">
        <f t="shared" si="16"/>
        <v>A-01-01-01-001-004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f t="shared" si="13"/>
        <v>100000000</v>
      </c>
      <c r="U16" s="222">
        <v>30969915</v>
      </c>
      <c r="V16" s="222">
        <f t="shared" si="14"/>
        <v>69030085</v>
      </c>
      <c r="W16" s="224">
        <f t="shared" si="18"/>
        <v>0.30969914999999998</v>
      </c>
      <c r="X16" s="222">
        <v>30969915</v>
      </c>
      <c r="Y16" s="222">
        <f t="shared" si="17"/>
        <v>0</v>
      </c>
      <c r="Z16" s="224">
        <f t="shared" si="3"/>
        <v>0</v>
      </c>
      <c r="AA16" s="222">
        <v>30969915</v>
      </c>
      <c r="AB16" s="222">
        <f t="shared" si="15"/>
        <v>0</v>
      </c>
      <c r="AC16" s="224">
        <f t="shared" si="7"/>
        <v>1</v>
      </c>
      <c r="AE16" s="13"/>
      <c r="AF16" s="293"/>
    </row>
    <row r="17" spans="1:32" ht="24.95" customHeight="1">
      <c r="A17" s="32" t="str">
        <f t="shared" si="5"/>
        <v>A-01-01-01-001-005=10</v>
      </c>
      <c r="B17" s="217" t="str">
        <f t="shared" si="16"/>
        <v>A-01-01-01-001-005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f t="shared" si="13"/>
        <v>98000000</v>
      </c>
      <c r="U17" s="222">
        <v>35467482</v>
      </c>
      <c r="V17" s="222">
        <f t="shared" si="14"/>
        <v>62532518</v>
      </c>
      <c r="W17" s="224">
        <f t="shared" si="18"/>
        <v>0.36191308163265307</v>
      </c>
      <c r="X17" s="222">
        <v>35467482</v>
      </c>
      <c r="Y17" s="222">
        <f t="shared" si="17"/>
        <v>0</v>
      </c>
      <c r="Z17" s="224">
        <f t="shared" si="3"/>
        <v>0</v>
      </c>
      <c r="AA17" s="222">
        <v>35467482</v>
      </c>
      <c r="AB17" s="222">
        <f t="shared" si="15"/>
        <v>0</v>
      </c>
      <c r="AC17" s="224">
        <f t="shared" si="7"/>
        <v>1</v>
      </c>
      <c r="AE17" s="13"/>
      <c r="AF17" s="293"/>
    </row>
    <row r="18" spans="1:32" ht="24.95" customHeight="1">
      <c r="A18" s="32" t="str">
        <f t="shared" si="5"/>
        <v>A-01-01-01-001-006=10</v>
      </c>
      <c r="B18" s="217" t="str">
        <f t="shared" si="16"/>
        <v>A-01-01-01-001-006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/>
      <c r="R18" s="222"/>
      <c r="S18" s="222"/>
      <c r="T18" s="222">
        <f t="shared" si="13"/>
        <v>2500000000</v>
      </c>
      <c r="U18" s="222">
        <v>21451910</v>
      </c>
      <c r="V18" s="222">
        <f t="shared" si="14"/>
        <v>2478548090</v>
      </c>
      <c r="W18" s="224">
        <f t="shared" si="18"/>
        <v>8.5807639999999994E-3</v>
      </c>
      <c r="X18" s="222">
        <v>21451910</v>
      </c>
      <c r="Y18" s="222">
        <f t="shared" si="17"/>
        <v>0</v>
      </c>
      <c r="Z18" s="224">
        <f t="shared" si="3"/>
        <v>0</v>
      </c>
      <c r="AA18" s="222">
        <v>21451910</v>
      </c>
      <c r="AB18" s="222">
        <f t="shared" si="15"/>
        <v>0</v>
      </c>
      <c r="AC18" s="224">
        <f t="shared" si="7"/>
        <v>1</v>
      </c>
      <c r="AE18" s="13"/>
      <c r="AF18" s="293"/>
    </row>
    <row r="19" spans="1:32" ht="24.95" customHeight="1">
      <c r="A19" s="32" t="str">
        <f t="shared" si="5"/>
        <v>A-01-01-01-001-007=10</v>
      </c>
      <c r="B19" s="217" t="str">
        <f t="shared" si="16"/>
        <v>A-01-01-01-001-007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f t="shared" si="13"/>
        <v>1800000000</v>
      </c>
      <c r="U19" s="222">
        <v>615288655</v>
      </c>
      <c r="V19" s="222">
        <f t="shared" si="14"/>
        <v>1184711345</v>
      </c>
      <c r="W19" s="224">
        <f t="shared" si="18"/>
        <v>0.34182703055555558</v>
      </c>
      <c r="X19" s="222">
        <v>615288655</v>
      </c>
      <c r="Y19" s="222">
        <f t="shared" si="17"/>
        <v>0</v>
      </c>
      <c r="Z19" s="224">
        <f t="shared" si="3"/>
        <v>0</v>
      </c>
      <c r="AA19" s="222">
        <v>615288655</v>
      </c>
      <c r="AB19" s="222">
        <f t="shared" si="15"/>
        <v>0</v>
      </c>
      <c r="AC19" s="224">
        <f t="shared" si="7"/>
        <v>1</v>
      </c>
      <c r="AE19" s="13"/>
      <c r="AF19" s="293"/>
    </row>
    <row r="20" spans="1:32" ht="24.95" customHeight="1">
      <c r="A20" s="32" t="str">
        <f t="shared" si="5"/>
        <v>A-01-01-01-001-008=10</v>
      </c>
      <c r="B20" s="217" t="str">
        <f t="shared" si="16"/>
        <v>A-01-01-01-001-008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f t="shared" si="13"/>
        <v>250000000</v>
      </c>
      <c r="U20" s="222">
        <v>32532013</v>
      </c>
      <c r="V20" s="222">
        <f t="shared" si="14"/>
        <v>217467987</v>
      </c>
      <c r="W20" s="224">
        <f t="shared" si="18"/>
        <v>0.13012805199999999</v>
      </c>
      <c r="X20" s="222">
        <v>32532013</v>
      </c>
      <c r="Y20" s="222">
        <f t="shared" si="17"/>
        <v>0</v>
      </c>
      <c r="Z20" s="224">
        <f t="shared" si="3"/>
        <v>0</v>
      </c>
      <c r="AA20" s="222">
        <v>32532013</v>
      </c>
      <c r="AB20" s="222">
        <f t="shared" si="15"/>
        <v>0</v>
      </c>
      <c r="AC20" s="224">
        <f t="shared" si="7"/>
        <v>1</v>
      </c>
      <c r="AE20" s="13"/>
      <c r="AF20" s="293"/>
    </row>
    <row r="21" spans="1:32" ht="24.95" customHeight="1">
      <c r="A21" s="32" t="str">
        <f t="shared" si="5"/>
        <v>A-01-01-01-001-009=10</v>
      </c>
      <c r="B21" s="217" t="str">
        <f t="shared" si="16"/>
        <v>A-01-01-01-001-009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f t="shared" si="13"/>
        <v>5000000000</v>
      </c>
      <c r="U21" s="222">
        <v>10031633</v>
      </c>
      <c r="V21" s="222">
        <f t="shared" si="14"/>
        <v>4989968367</v>
      </c>
      <c r="W21" s="224">
        <f t="shared" si="18"/>
        <v>2.0063265999999999E-3</v>
      </c>
      <c r="X21" s="222">
        <v>10031633</v>
      </c>
      <c r="Y21" s="222">
        <f t="shared" si="17"/>
        <v>0</v>
      </c>
      <c r="Z21" s="224">
        <f t="shared" si="3"/>
        <v>0</v>
      </c>
      <c r="AA21" s="222">
        <v>10031633</v>
      </c>
      <c r="AB21" s="222">
        <f t="shared" si="15"/>
        <v>0</v>
      </c>
      <c r="AC21" s="224">
        <f t="shared" si="7"/>
        <v>1</v>
      </c>
      <c r="AE21" s="13"/>
      <c r="AF21" s="293"/>
    </row>
    <row r="22" spans="1:32" ht="24.95" customHeight="1">
      <c r="A22" s="32" t="str">
        <f t="shared" si="5"/>
        <v>A-01-01-01-001-010=10</v>
      </c>
      <c r="B22" s="217" t="str">
        <f t="shared" si="16"/>
        <v>A-01-01-01-001-010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/>
      <c r="S22" s="222"/>
      <c r="T22" s="222">
        <f t="shared" si="13"/>
        <v>2600000000</v>
      </c>
      <c r="U22" s="222">
        <v>422394335</v>
      </c>
      <c r="V22" s="222">
        <f t="shared" si="14"/>
        <v>2177605665</v>
      </c>
      <c r="W22" s="224">
        <f t="shared" si="18"/>
        <v>0.1624593596153846</v>
      </c>
      <c r="X22" s="222">
        <v>422394335</v>
      </c>
      <c r="Y22" s="222">
        <f t="shared" si="17"/>
        <v>0</v>
      </c>
      <c r="Z22" s="224">
        <f t="shared" si="3"/>
        <v>0</v>
      </c>
      <c r="AA22" s="222">
        <v>422394335</v>
      </c>
      <c r="AB22" s="222">
        <f t="shared" si="15"/>
        <v>0</v>
      </c>
      <c r="AC22" s="224">
        <f t="shared" si="7"/>
        <v>1</v>
      </c>
      <c r="AE22" s="13"/>
      <c r="AF22" s="293"/>
    </row>
    <row r="23" spans="1:32" ht="24.95" customHeight="1">
      <c r="A23" s="32" t="str">
        <f t="shared" si="5"/>
        <v>A-01-01-02=10</v>
      </c>
      <c r="B23" s="226" t="str">
        <f>CONCATENATE(C23,"-",D23,"-",E23,"-",F23)</f>
        <v>A-01-01-02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f>SUM(N24:N32)</f>
        <v>24735000000</v>
      </c>
      <c r="O23" s="232">
        <f t="shared" ref="O23:S23" si="19">SUM(O24:O32)</f>
        <v>0</v>
      </c>
      <c r="P23" s="232">
        <f t="shared" si="19"/>
        <v>0</v>
      </c>
      <c r="Q23" s="232">
        <f t="shared" si="19"/>
        <v>0</v>
      </c>
      <c r="R23" s="232">
        <f t="shared" si="19"/>
        <v>0</v>
      </c>
      <c r="S23" s="232">
        <f t="shared" si="19"/>
        <v>0</v>
      </c>
      <c r="T23" s="232">
        <f>SUM(T24:T32)</f>
        <v>24735000000</v>
      </c>
      <c r="U23" s="232">
        <f t="shared" ref="U23:V23" si="20">SUM(U24:U32)</f>
        <v>22257548000</v>
      </c>
      <c r="V23" s="232">
        <f t="shared" si="20"/>
        <v>2477452000</v>
      </c>
      <c r="W23" s="233">
        <f t="shared" si="18"/>
        <v>0.89984022639983829</v>
      </c>
      <c r="X23" s="232">
        <f t="shared" ref="X23:AB23" si="21">SUM(X24:X32)</f>
        <v>7300267734</v>
      </c>
      <c r="Y23" s="232">
        <f t="shared" si="21"/>
        <v>14957280266</v>
      </c>
      <c r="Z23" s="233">
        <f t="shared" si="3"/>
        <v>0.67200934559368353</v>
      </c>
      <c r="AA23" s="232">
        <f t="shared" si="21"/>
        <v>7300175734</v>
      </c>
      <c r="AB23" s="232">
        <f t="shared" si="21"/>
        <v>92000</v>
      </c>
      <c r="AC23" s="233">
        <f t="shared" si="7"/>
        <v>0.3279865209770636</v>
      </c>
      <c r="AE23" s="13"/>
      <c r="AF23" s="293"/>
    </row>
    <row r="24" spans="1:32" ht="24.95" customHeight="1">
      <c r="A24" s="32" t="str">
        <f t="shared" si="5"/>
        <v>A-01-01-02-001=10</v>
      </c>
      <c r="B24" s="217" t="str">
        <f t="shared" ref="B24:B32" si="22">CONCATENATE(C24,"-",D24,"-",E24,"-",F24,"-",G24)</f>
        <v>A-01-01-02-001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7000000000</v>
      </c>
      <c r="O24" s="222"/>
      <c r="P24" s="222"/>
      <c r="Q24" s="222"/>
      <c r="R24" s="222"/>
      <c r="S24" s="222"/>
      <c r="T24" s="222">
        <f t="shared" ref="T24:T32" si="23">+N24-S24+O24-P24+Q24-R24</f>
        <v>7000000000</v>
      </c>
      <c r="U24" s="222">
        <v>6261000000</v>
      </c>
      <c r="V24" s="222">
        <f t="shared" si="14"/>
        <v>739000000</v>
      </c>
      <c r="W24" s="224">
        <f t="shared" si="18"/>
        <v>0.89442857142857146</v>
      </c>
      <c r="X24" s="222">
        <v>2237656058</v>
      </c>
      <c r="Y24" s="222">
        <f t="shared" si="17"/>
        <v>4023343942</v>
      </c>
      <c r="Z24" s="224">
        <f>+IF(U24&gt;0,Y24/U24,0)</f>
        <v>0.64260404759623069</v>
      </c>
      <c r="AA24" s="222">
        <v>2237656058</v>
      </c>
      <c r="AB24" s="222">
        <f t="shared" si="15"/>
        <v>0</v>
      </c>
      <c r="AC24" s="224">
        <f t="shared" si="7"/>
        <v>0.35739595240376937</v>
      </c>
      <c r="AE24" s="13"/>
      <c r="AF24" s="293"/>
    </row>
    <row r="25" spans="1:32" ht="24.95" customHeight="1">
      <c r="A25" s="32" t="str">
        <f t="shared" si="5"/>
        <v>A-01-01-02-002=10</v>
      </c>
      <c r="B25" s="217" t="str">
        <f t="shared" si="22"/>
        <v>A-01-01-02-002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6000000000</v>
      </c>
      <c r="O25" s="222"/>
      <c r="P25" s="222"/>
      <c r="Q25" s="222"/>
      <c r="R25" s="222"/>
      <c r="S25" s="222"/>
      <c r="T25" s="222">
        <f t="shared" si="23"/>
        <v>6000000000</v>
      </c>
      <c r="U25" s="222">
        <v>5476480000</v>
      </c>
      <c r="V25" s="222">
        <f t="shared" si="14"/>
        <v>523520000</v>
      </c>
      <c r="W25" s="224">
        <f t="shared" si="18"/>
        <v>0.91274666666666671</v>
      </c>
      <c r="X25" s="222">
        <v>1583365958</v>
      </c>
      <c r="Y25" s="222">
        <f t="shared" si="17"/>
        <v>3893114042</v>
      </c>
      <c r="Z25" s="224">
        <f t="shared" ref="Z25:Z90" si="24">+IF(U25&gt;0,Y25/U25,0)</f>
        <v>0.71087889337676757</v>
      </c>
      <c r="AA25" s="222">
        <v>1583365958</v>
      </c>
      <c r="AB25" s="222">
        <f t="shared" si="15"/>
        <v>0</v>
      </c>
      <c r="AC25" s="224">
        <f t="shared" si="7"/>
        <v>0.28912110662323243</v>
      </c>
      <c r="AE25" s="13"/>
      <c r="AF25" s="293"/>
    </row>
    <row r="26" spans="1:32" ht="24.95" customHeight="1">
      <c r="A26" s="32" t="str">
        <f t="shared" si="5"/>
        <v>A-01-01-02-003=10</v>
      </c>
      <c r="B26" s="217" t="str">
        <f t="shared" si="22"/>
        <v>A-01-01-02-003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5555000000</v>
      </c>
      <c r="O26" s="222"/>
      <c r="P26" s="222"/>
      <c r="Q26" s="222"/>
      <c r="R26" s="222"/>
      <c r="S26" s="222"/>
      <c r="T26" s="222">
        <f t="shared" si="23"/>
        <v>5555000000</v>
      </c>
      <c r="U26" s="222">
        <v>4950300000</v>
      </c>
      <c r="V26" s="222">
        <f t="shared" si="14"/>
        <v>604700000</v>
      </c>
      <c r="W26" s="224">
        <f t="shared" si="18"/>
        <v>0.89114311431143112</v>
      </c>
      <c r="X26" s="222">
        <v>1643514318</v>
      </c>
      <c r="Y26" s="222">
        <f t="shared" si="17"/>
        <v>3306785682</v>
      </c>
      <c r="Z26" s="224">
        <f t="shared" si="24"/>
        <v>0.6679970268468578</v>
      </c>
      <c r="AA26" s="222">
        <v>1643514318</v>
      </c>
      <c r="AB26" s="222">
        <f t="shared" si="15"/>
        <v>0</v>
      </c>
      <c r="AC26" s="224">
        <f t="shared" si="7"/>
        <v>0.33200297315314226</v>
      </c>
      <c r="AE26" s="13"/>
      <c r="AF26" s="293"/>
    </row>
    <row r="27" spans="1:32" ht="24.95" customHeight="1">
      <c r="A27" s="32" t="str">
        <f t="shared" si="5"/>
        <v>A-01-01-02-004=10</v>
      </c>
      <c r="B27" s="217" t="str">
        <f t="shared" si="22"/>
        <v>A-01-01-02-004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2500000000</v>
      </c>
      <c r="O27" s="222"/>
      <c r="P27" s="222"/>
      <c r="Q27" s="222"/>
      <c r="R27" s="222"/>
      <c r="S27" s="222"/>
      <c r="T27" s="222">
        <f t="shared" si="23"/>
        <v>2500000000</v>
      </c>
      <c r="U27" s="222">
        <v>2243000000</v>
      </c>
      <c r="V27" s="222">
        <f t="shared" si="14"/>
        <v>257000000</v>
      </c>
      <c r="W27" s="224">
        <f t="shared" si="18"/>
        <v>0.8972</v>
      </c>
      <c r="X27" s="222">
        <v>737076000</v>
      </c>
      <c r="Y27" s="222">
        <f t="shared" si="17"/>
        <v>1505924000</v>
      </c>
      <c r="Z27" s="224">
        <f t="shared" si="24"/>
        <v>0.67138831921533659</v>
      </c>
      <c r="AA27" s="222">
        <v>737076000</v>
      </c>
      <c r="AB27" s="222">
        <f t="shared" si="15"/>
        <v>0</v>
      </c>
      <c r="AC27" s="224">
        <f t="shared" si="7"/>
        <v>0.32861168078466341</v>
      </c>
      <c r="AE27" s="13"/>
      <c r="AF27" s="293"/>
    </row>
    <row r="28" spans="1:32" ht="24.95" customHeight="1">
      <c r="A28" s="32" t="str">
        <f t="shared" si="5"/>
        <v>A-01-01-02-005=10</v>
      </c>
      <c r="B28" s="217" t="str">
        <f t="shared" si="22"/>
        <v>A-01-01-02-005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500000000</v>
      </c>
      <c r="O28" s="222"/>
      <c r="P28" s="222"/>
      <c r="Q28" s="222"/>
      <c r="R28" s="222"/>
      <c r="S28" s="222"/>
      <c r="T28" s="222">
        <f t="shared" si="23"/>
        <v>500000000</v>
      </c>
      <c r="U28" s="222">
        <v>467850000</v>
      </c>
      <c r="V28" s="222">
        <f t="shared" si="14"/>
        <v>32150000</v>
      </c>
      <c r="W28" s="224">
        <f t="shared" si="18"/>
        <v>0.93569999999999998</v>
      </c>
      <c r="X28" s="222">
        <v>176756600</v>
      </c>
      <c r="Y28" s="222">
        <f t="shared" si="17"/>
        <v>291093400</v>
      </c>
      <c r="Z28" s="224">
        <f t="shared" si="24"/>
        <v>0.62219386555519929</v>
      </c>
      <c r="AA28" s="222">
        <v>176664600</v>
      </c>
      <c r="AB28" s="222">
        <f t="shared" si="15"/>
        <v>92000</v>
      </c>
      <c r="AC28" s="224">
        <f t="shared" si="7"/>
        <v>0.37760949022122475</v>
      </c>
      <c r="AE28" s="13"/>
      <c r="AF28" s="293"/>
    </row>
    <row r="29" spans="1:32" ht="24.95" customHeight="1">
      <c r="A29" s="32" t="str">
        <f t="shared" si="5"/>
        <v>A-01-01-02-006=10</v>
      </c>
      <c r="B29" s="217" t="str">
        <f t="shared" si="22"/>
        <v>A-01-01-02-006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/>
      <c r="P29" s="222"/>
      <c r="Q29" s="222"/>
      <c r="R29" s="222"/>
      <c r="S29" s="222"/>
      <c r="T29" s="222">
        <f t="shared" si="23"/>
        <v>1890000000</v>
      </c>
      <c r="U29" s="222">
        <v>1697400000</v>
      </c>
      <c r="V29" s="222">
        <f t="shared" si="14"/>
        <v>192600000</v>
      </c>
      <c r="W29" s="224">
        <f t="shared" si="18"/>
        <v>0.89809523809523806</v>
      </c>
      <c r="X29" s="222">
        <v>552872800</v>
      </c>
      <c r="Y29" s="222">
        <f t="shared" si="17"/>
        <v>1144527200</v>
      </c>
      <c r="Z29" s="224">
        <f t="shared" si="24"/>
        <v>0.67428254978201951</v>
      </c>
      <c r="AA29" s="222">
        <v>552872800</v>
      </c>
      <c r="AB29" s="222">
        <f t="shared" si="15"/>
        <v>0</v>
      </c>
      <c r="AC29" s="224">
        <f t="shared" si="7"/>
        <v>0.32571745021798043</v>
      </c>
      <c r="AE29" s="13"/>
      <c r="AF29" s="293"/>
    </row>
    <row r="30" spans="1:32" ht="24.95" customHeight="1">
      <c r="A30" s="32" t="str">
        <f t="shared" si="5"/>
        <v>A-01-01-02-007=10</v>
      </c>
      <c r="B30" s="217" t="str">
        <f t="shared" si="22"/>
        <v>A-01-01-02-007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/>
      <c r="P30" s="222"/>
      <c r="Q30" s="222"/>
      <c r="R30" s="222"/>
      <c r="S30" s="222"/>
      <c r="T30" s="222">
        <f t="shared" si="23"/>
        <v>320000000</v>
      </c>
      <c r="U30" s="222">
        <v>287880000</v>
      </c>
      <c r="V30" s="222">
        <f t="shared" si="14"/>
        <v>32120000</v>
      </c>
      <c r="W30" s="224">
        <f t="shared" si="18"/>
        <v>0.89962500000000001</v>
      </c>
      <c r="X30" s="222">
        <v>92297200</v>
      </c>
      <c r="Y30" s="222">
        <f t="shared" si="17"/>
        <v>195582800</v>
      </c>
      <c r="Z30" s="224">
        <f t="shared" si="24"/>
        <v>0.67939002362095313</v>
      </c>
      <c r="AA30" s="222">
        <v>92297200</v>
      </c>
      <c r="AB30" s="222">
        <f t="shared" si="15"/>
        <v>0</v>
      </c>
      <c r="AC30" s="224">
        <f t="shared" si="7"/>
        <v>0.32060997637904681</v>
      </c>
      <c r="AE30" s="13"/>
      <c r="AF30" s="293"/>
    </row>
    <row r="31" spans="1:32" ht="24.95" customHeight="1">
      <c r="A31" s="32" t="str">
        <f t="shared" si="5"/>
        <v>A-01-01-02-008=10</v>
      </c>
      <c r="B31" s="217" t="str">
        <f t="shared" si="22"/>
        <v>A-01-01-02-008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/>
      <c r="P31" s="222"/>
      <c r="Q31" s="222"/>
      <c r="R31" s="222"/>
      <c r="S31" s="222"/>
      <c r="T31" s="222">
        <f t="shared" si="23"/>
        <v>320000000</v>
      </c>
      <c r="U31" s="222">
        <v>287880000</v>
      </c>
      <c r="V31" s="222">
        <f t="shared" si="14"/>
        <v>32120000</v>
      </c>
      <c r="W31" s="224">
        <f t="shared" si="18"/>
        <v>0.89962500000000001</v>
      </c>
      <c r="X31" s="222">
        <v>92297200</v>
      </c>
      <c r="Y31" s="222">
        <f t="shared" si="17"/>
        <v>195582800</v>
      </c>
      <c r="Z31" s="224">
        <f t="shared" si="24"/>
        <v>0.67939002362095313</v>
      </c>
      <c r="AA31" s="222">
        <v>92297200</v>
      </c>
      <c r="AB31" s="222">
        <f t="shared" si="15"/>
        <v>0</v>
      </c>
      <c r="AC31" s="224">
        <f t="shared" si="7"/>
        <v>0.32060997637904681</v>
      </c>
      <c r="AE31" s="13"/>
      <c r="AF31" s="293"/>
    </row>
    <row r="32" spans="1:32" ht="24.95" customHeight="1">
      <c r="A32" s="32" t="str">
        <f t="shared" si="5"/>
        <v>A-01-01-02-009=10</v>
      </c>
      <c r="B32" s="217" t="str">
        <f t="shared" si="22"/>
        <v>A-01-01-02-009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/>
      <c r="P32" s="222"/>
      <c r="Q32" s="222"/>
      <c r="R32" s="222"/>
      <c r="S32" s="222"/>
      <c r="T32" s="222">
        <f t="shared" si="23"/>
        <v>650000000</v>
      </c>
      <c r="U32" s="222">
        <v>585758000</v>
      </c>
      <c r="V32" s="222">
        <f t="shared" si="14"/>
        <v>64242000</v>
      </c>
      <c r="W32" s="224">
        <f t="shared" si="18"/>
        <v>0.90116615384615384</v>
      </c>
      <c r="X32" s="222">
        <v>184431600</v>
      </c>
      <c r="Y32" s="222">
        <f t="shared" si="17"/>
        <v>401326400</v>
      </c>
      <c r="Z32" s="224">
        <f t="shared" si="24"/>
        <v>0.68514027977424119</v>
      </c>
      <c r="AA32" s="222">
        <v>184431600</v>
      </c>
      <c r="AB32" s="222">
        <f t="shared" si="15"/>
        <v>0</v>
      </c>
      <c r="AC32" s="224">
        <f t="shared" si="7"/>
        <v>0.31485972022575875</v>
      </c>
      <c r="AE32" s="13"/>
      <c r="AF32" s="293"/>
    </row>
    <row r="33" spans="1:32" ht="24.95" customHeight="1">
      <c r="A33" s="32" t="str">
        <f t="shared" si="5"/>
        <v>A-01-01-03=10</v>
      </c>
      <c r="B33" s="226" t="str">
        <f>CONCATENATE(C33,"-",D33,"-",E33,"-",F33)</f>
        <v>A-01-01-03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f>+N34+N38+N39+N40+N41+N42</f>
        <v>6984000000</v>
      </c>
      <c r="O33" s="232">
        <f t="shared" ref="O33:AB33" si="25">+O34+O38+O39+O40+O41+O42</f>
        <v>0</v>
      </c>
      <c r="P33" s="232">
        <f t="shared" si="25"/>
        <v>0</v>
      </c>
      <c r="Q33" s="232">
        <f t="shared" si="25"/>
        <v>0</v>
      </c>
      <c r="R33" s="232">
        <f t="shared" si="25"/>
        <v>0</v>
      </c>
      <c r="S33" s="232">
        <f t="shared" si="25"/>
        <v>0</v>
      </c>
      <c r="T33" s="232">
        <f t="shared" si="25"/>
        <v>6984000000</v>
      </c>
      <c r="U33" s="232">
        <f t="shared" si="25"/>
        <v>1684615105</v>
      </c>
      <c r="V33" s="232">
        <f t="shared" si="25"/>
        <v>5299384895</v>
      </c>
      <c r="W33" s="233">
        <f t="shared" si="18"/>
        <v>0.24121063931844217</v>
      </c>
      <c r="X33" s="232">
        <f t="shared" si="25"/>
        <v>1684615105</v>
      </c>
      <c r="Y33" s="232">
        <f t="shared" si="25"/>
        <v>0</v>
      </c>
      <c r="Z33" s="233">
        <f t="shared" si="24"/>
        <v>0</v>
      </c>
      <c r="AA33" s="232">
        <f t="shared" si="25"/>
        <v>1684615105</v>
      </c>
      <c r="AB33" s="232">
        <f t="shared" si="25"/>
        <v>0</v>
      </c>
      <c r="AC33" s="233">
        <f t="shared" si="7"/>
        <v>1</v>
      </c>
      <c r="AE33" s="13"/>
      <c r="AF33" s="293"/>
    </row>
    <row r="34" spans="1:32" ht="24.95" customHeight="1">
      <c r="A34" s="32" t="str">
        <f t="shared" si="5"/>
        <v>A-01-01-03-001=10</v>
      </c>
      <c r="B34" s="210" t="str">
        <f>CONCATENATE(C34,"-",D34,"-",E34,"-",F34,"-",G34)</f>
        <v>A-01-01-03-001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f>SUM(N35:N37)</f>
        <v>3400000000</v>
      </c>
      <c r="O34" s="215">
        <f t="shared" ref="O34:S34" si="26">SUM(O35:O37)</f>
        <v>0</v>
      </c>
      <c r="P34" s="215">
        <f t="shared" si="26"/>
        <v>0</v>
      </c>
      <c r="Q34" s="215">
        <f>SUM(Q35:Q37)</f>
        <v>0</v>
      </c>
      <c r="R34" s="215">
        <f t="shared" si="26"/>
        <v>0</v>
      </c>
      <c r="S34" s="215">
        <f t="shared" si="26"/>
        <v>0</v>
      </c>
      <c r="T34" s="215">
        <f>SUM(T35:T37)</f>
        <v>3400000000</v>
      </c>
      <c r="U34" s="215">
        <f t="shared" ref="U34:AB34" si="27">SUM(U35:U37)</f>
        <v>673753613</v>
      </c>
      <c r="V34" s="215">
        <f t="shared" si="27"/>
        <v>2726246387</v>
      </c>
      <c r="W34" s="216">
        <f t="shared" si="18"/>
        <v>0.19816282735294119</v>
      </c>
      <c r="X34" s="215">
        <f t="shared" si="27"/>
        <v>673753613</v>
      </c>
      <c r="Y34" s="215">
        <f t="shared" si="27"/>
        <v>0</v>
      </c>
      <c r="Z34" s="216">
        <f t="shared" si="24"/>
        <v>0</v>
      </c>
      <c r="AA34" s="215">
        <f t="shared" si="27"/>
        <v>673753613</v>
      </c>
      <c r="AB34" s="215">
        <f t="shared" si="27"/>
        <v>0</v>
      </c>
      <c r="AC34" s="216">
        <f t="shared" si="7"/>
        <v>1</v>
      </c>
      <c r="AE34" s="13"/>
      <c r="AF34" s="293"/>
    </row>
    <row r="35" spans="1:32" ht="24.95" customHeight="1">
      <c r="A35" s="32" t="str">
        <f t="shared" si="5"/>
        <v>A-01-01-03-001-001=10</v>
      </c>
      <c r="B35" s="217" t="str">
        <f>CONCATENATE(C35,"-",D35,"-",E35,"-",F35,"-",G35,"-",H35)</f>
        <v>A-01-01-03-001-001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2580000000</v>
      </c>
      <c r="O35" s="222"/>
      <c r="P35" s="222"/>
      <c r="Q35" s="223"/>
      <c r="R35" s="222"/>
      <c r="S35" s="222"/>
      <c r="T35" s="222">
        <f t="shared" ref="T35:T42" si="28">+N35-S35+O35-P35+Q35-R35</f>
        <v>2580000000</v>
      </c>
      <c r="U35" s="222">
        <v>519267685</v>
      </c>
      <c r="V35" s="222">
        <f t="shared" si="14"/>
        <v>2060732315</v>
      </c>
      <c r="W35" s="224">
        <f t="shared" si="18"/>
        <v>0.2012665445736434</v>
      </c>
      <c r="X35" s="222">
        <v>519267685</v>
      </c>
      <c r="Y35" s="222">
        <f t="shared" si="17"/>
        <v>0</v>
      </c>
      <c r="Z35" s="224">
        <f t="shared" si="24"/>
        <v>0</v>
      </c>
      <c r="AA35" s="222">
        <v>519267685</v>
      </c>
      <c r="AB35" s="222">
        <f t="shared" si="15"/>
        <v>0</v>
      </c>
      <c r="AC35" s="224">
        <f t="shared" si="7"/>
        <v>1</v>
      </c>
      <c r="AE35" s="13"/>
      <c r="AF35" s="293"/>
    </row>
    <row r="36" spans="1:32" ht="24.95" customHeight="1">
      <c r="A36" s="32" t="str">
        <f t="shared" si="5"/>
        <v>A-01-01-03-001-002=10</v>
      </c>
      <c r="B36" s="217" t="str">
        <f>CONCATENATE(C36,"-",D36,"-",E36,"-",F36,"-",G36,"-",H36)</f>
        <v>A-01-01-03-001-002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500000000</v>
      </c>
      <c r="O36" s="222"/>
      <c r="P36" s="222"/>
      <c r="Q36" s="223"/>
      <c r="R36" s="222"/>
      <c r="S36" s="222"/>
      <c r="T36" s="222">
        <f t="shared" si="28"/>
        <v>500000000</v>
      </c>
      <c r="U36" s="222">
        <v>102180863</v>
      </c>
      <c r="V36" s="222">
        <f t="shared" si="14"/>
        <v>397819137</v>
      </c>
      <c r="W36" s="224">
        <f t="shared" si="18"/>
        <v>0.20436172599999999</v>
      </c>
      <c r="X36" s="222">
        <v>102180863</v>
      </c>
      <c r="Y36" s="222">
        <f t="shared" si="17"/>
        <v>0</v>
      </c>
      <c r="Z36" s="224">
        <f t="shared" si="24"/>
        <v>0</v>
      </c>
      <c r="AA36" s="222">
        <v>102180863</v>
      </c>
      <c r="AB36" s="222">
        <f t="shared" si="15"/>
        <v>0</v>
      </c>
      <c r="AC36" s="224">
        <f t="shared" si="7"/>
        <v>1</v>
      </c>
      <c r="AE36" s="13"/>
      <c r="AF36" s="293"/>
    </row>
    <row r="37" spans="1:32" ht="24.95" customHeight="1">
      <c r="A37" s="32" t="str">
        <f t="shared" si="5"/>
        <v>A-01-01-03-001-003=10</v>
      </c>
      <c r="B37" s="234" t="str">
        <f>CONCATENATE(C37,"-",D37,"-",E37,"-",F37,"-",G37,"-",H37)</f>
        <v>A-01-01-03-001-003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320000000</v>
      </c>
      <c r="O37" s="239"/>
      <c r="P37" s="239"/>
      <c r="Q37" s="639"/>
      <c r="R37" s="239"/>
      <c r="S37" s="239"/>
      <c r="T37" s="239">
        <f t="shared" si="28"/>
        <v>320000000</v>
      </c>
      <c r="U37" s="239">
        <v>52305065</v>
      </c>
      <c r="V37" s="239">
        <f t="shared" si="14"/>
        <v>267694935</v>
      </c>
      <c r="W37" s="240">
        <f t="shared" si="18"/>
        <v>0.16345332812499999</v>
      </c>
      <c r="X37" s="239">
        <v>52305065</v>
      </c>
      <c r="Y37" s="239">
        <f t="shared" si="17"/>
        <v>0</v>
      </c>
      <c r="Z37" s="240">
        <f t="shared" si="24"/>
        <v>0</v>
      </c>
      <c r="AA37" s="239">
        <v>52305065</v>
      </c>
      <c r="AB37" s="239">
        <f t="shared" si="15"/>
        <v>0</v>
      </c>
      <c r="AC37" s="240">
        <f t="shared" si="7"/>
        <v>1</v>
      </c>
      <c r="AE37" s="13"/>
      <c r="AF37" s="293"/>
    </row>
    <row r="38" spans="1:32" ht="24.95" customHeight="1">
      <c r="A38" s="32" t="str">
        <f t="shared" si="5"/>
        <v>A-01-01-03-002=10</v>
      </c>
      <c r="B38" s="217" t="str">
        <f t="shared" ref="B38:B42" si="29">CONCATENATE(C38,"-",D38,"-",E38,"-",F38,"-",G38)</f>
        <v>A-01-01-03-002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/>
      <c r="P38" s="222"/>
      <c r="Q38" s="223"/>
      <c r="R38" s="223"/>
      <c r="S38" s="223"/>
      <c r="T38" s="222">
        <f t="shared" si="28"/>
        <v>2160000000</v>
      </c>
      <c r="U38" s="222">
        <v>730512206</v>
      </c>
      <c r="V38" s="222">
        <f t="shared" si="14"/>
        <v>1429487794</v>
      </c>
      <c r="W38" s="224">
        <f t="shared" si="18"/>
        <v>0.33820009537037038</v>
      </c>
      <c r="X38" s="222">
        <v>730512206</v>
      </c>
      <c r="Y38" s="222">
        <f t="shared" si="17"/>
        <v>0</v>
      </c>
      <c r="Z38" s="224">
        <f t="shared" si="24"/>
        <v>0</v>
      </c>
      <c r="AA38" s="222">
        <v>730512206</v>
      </c>
      <c r="AB38" s="222">
        <f t="shared" si="15"/>
        <v>0</v>
      </c>
      <c r="AC38" s="224">
        <f t="shared" si="7"/>
        <v>1</v>
      </c>
      <c r="AE38" s="13"/>
      <c r="AF38" s="293"/>
    </row>
    <row r="39" spans="1:32" ht="24.95" customHeight="1">
      <c r="A39" s="32" t="str">
        <f t="shared" si="5"/>
        <v>A-01-01-03-005=10</v>
      </c>
      <c r="B39" s="217" t="str">
        <f t="shared" si="29"/>
        <v>A-01-01-03-005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24000000</v>
      </c>
      <c r="O39" s="222"/>
      <c r="P39" s="222"/>
      <c r="Q39" s="223"/>
      <c r="R39" s="223"/>
      <c r="S39" s="223"/>
      <c r="T39" s="222">
        <f t="shared" si="28"/>
        <v>24000000</v>
      </c>
      <c r="U39" s="222">
        <v>1393804</v>
      </c>
      <c r="V39" s="222">
        <f t="shared" si="14"/>
        <v>22606196</v>
      </c>
      <c r="W39" s="224">
        <f t="shared" si="18"/>
        <v>5.8075166666666664E-2</v>
      </c>
      <c r="X39" s="222">
        <v>1393804</v>
      </c>
      <c r="Y39" s="222">
        <f t="shared" si="17"/>
        <v>0</v>
      </c>
      <c r="Z39" s="224">
        <f t="shared" si="24"/>
        <v>0</v>
      </c>
      <c r="AA39" s="222">
        <v>1393804</v>
      </c>
      <c r="AB39" s="222">
        <f t="shared" si="15"/>
        <v>0</v>
      </c>
      <c r="AC39" s="224">
        <f t="shared" si="7"/>
        <v>1</v>
      </c>
      <c r="AE39" s="13"/>
      <c r="AF39" s="293"/>
    </row>
    <row r="40" spans="1:32" ht="24.95" customHeight="1">
      <c r="A40" s="32" t="str">
        <f t="shared" si="5"/>
        <v>A-01-01-03-013=10</v>
      </c>
      <c r="B40" s="217" t="str">
        <f t="shared" si="29"/>
        <v>A-01-01-03-013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/>
      <c r="P40" s="222"/>
      <c r="Q40" s="223"/>
      <c r="R40" s="223"/>
      <c r="S40" s="223"/>
      <c r="T40" s="222">
        <f t="shared" si="28"/>
        <v>30000000</v>
      </c>
      <c r="U40" s="222">
        <v>0</v>
      </c>
      <c r="V40" s="222">
        <f t="shared" si="14"/>
        <v>30000000</v>
      </c>
      <c r="W40" s="224">
        <f t="shared" si="18"/>
        <v>0</v>
      </c>
      <c r="X40" s="222">
        <v>0</v>
      </c>
      <c r="Y40" s="222">
        <f t="shared" si="17"/>
        <v>0</v>
      </c>
      <c r="Z40" s="224">
        <f t="shared" si="24"/>
        <v>0</v>
      </c>
      <c r="AA40" s="222">
        <v>0</v>
      </c>
      <c r="AB40" s="222">
        <f t="shared" si="15"/>
        <v>0</v>
      </c>
      <c r="AC40" s="224">
        <f t="shared" si="7"/>
        <v>0</v>
      </c>
      <c r="AE40" s="13"/>
      <c r="AF40" s="293"/>
    </row>
    <row r="41" spans="1:32" ht="24.95" customHeight="1">
      <c r="A41" s="32" t="str">
        <f t="shared" si="5"/>
        <v>A-01-01-03-016=10</v>
      </c>
      <c r="B41" s="217" t="str">
        <f t="shared" si="29"/>
        <v>A-01-01-03-016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770000000</v>
      </c>
      <c r="O41" s="222"/>
      <c r="P41" s="222"/>
      <c r="Q41" s="223"/>
      <c r="R41" s="223"/>
      <c r="S41" s="223"/>
      <c r="T41" s="222">
        <f t="shared" si="28"/>
        <v>770000000</v>
      </c>
      <c r="U41" s="222">
        <v>273207812</v>
      </c>
      <c r="V41" s="222">
        <f t="shared" si="14"/>
        <v>496792188</v>
      </c>
      <c r="W41" s="224">
        <f t="shared" si="18"/>
        <v>0.35481534025974026</v>
      </c>
      <c r="X41" s="222">
        <v>273207812</v>
      </c>
      <c r="Y41" s="222">
        <f t="shared" si="17"/>
        <v>0</v>
      </c>
      <c r="Z41" s="224">
        <f t="shared" si="24"/>
        <v>0</v>
      </c>
      <c r="AA41" s="222">
        <v>273207812</v>
      </c>
      <c r="AB41" s="222">
        <f t="shared" si="15"/>
        <v>0</v>
      </c>
      <c r="AC41" s="224">
        <f t="shared" si="7"/>
        <v>1</v>
      </c>
      <c r="AE41" s="13"/>
      <c r="AF41" s="293"/>
    </row>
    <row r="42" spans="1:32" ht="24.95" customHeight="1">
      <c r="A42" s="32" t="str">
        <f t="shared" si="5"/>
        <v>A-01-01-03-030=10</v>
      </c>
      <c r="B42" s="217" t="str">
        <f t="shared" si="29"/>
        <v>A-01-01-03-030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600000000</v>
      </c>
      <c r="O42" s="222"/>
      <c r="P42" s="222"/>
      <c r="Q42" s="223"/>
      <c r="R42" s="223"/>
      <c r="S42" s="223"/>
      <c r="T42" s="222">
        <f t="shared" si="28"/>
        <v>600000000</v>
      </c>
      <c r="U42" s="222">
        <v>5747670</v>
      </c>
      <c r="V42" s="222">
        <f t="shared" si="14"/>
        <v>594252330</v>
      </c>
      <c r="W42" s="224">
        <f t="shared" si="18"/>
        <v>9.5794499999999998E-3</v>
      </c>
      <c r="X42" s="222">
        <v>5747670</v>
      </c>
      <c r="Y42" s="222">
        <f t="shared" si="17"/>
        <v>0</v>
      </c>
      <c r="Z42" s="224">
        <f t="shared" si="24"/>
        <v>0</v>
      </c>
      <c r="AA42" s="222">
        <v>5747670</v>
      </c>
      <c r="AB42" s="222">
        <f t="shared" si="15"/>
        <v>0</v>
      </c>
      <c r="AC42" s="224">
        <f t="shared" si="7"/>
        <v>1</v>
      </c>
      <c r="AE42" s="13"/>
      <c r="AF42" s="293"/>
    </row>
    <row r="43" spans="1:32" ht="35.1" customHeight="1">
      <c r="A43" s="32" t="str">
        <f t="shared" si="5"/>
        <v>A-02=</v>
      </c>
      <c r="B43" s="188" t="str">
        <f>CONCATENATE(C43,"-",D43)</f>
        <v>A-02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f>+N44</f>
        <v>42289000000</v>
      </c>
      <c r="O43" s="194">
        <f t="shared" ref="O43:V43" si="30">+O44</f>
        <v>0</v>
      </c>
      <c r="P43" s="194">
        <f t="shared" si="30"/>
        <v>0</v>
      </c>
      <c r="Q43" s="194">
        <f t="shared" si="30"/>
        <v>2724551358.1499996</v>
      </c>
      <c r="R43" s="194">
        <f t="shared" si="30"/>
        <v>2724551358.1500001</v>
      </c>
      <c r="S43" s="194">
        <f t="shared" si="30"/>
        <v>0</v>
      </c>
      <c r="T43" s="194">
        <f t="shared" si="30"/>
        <v>42289000000</v>
      </c>
      <c r="U43" s="194">
        <f t="shared" si="30"/>
        <v>30654689949.720001</v>
      </c>
      <c r="V43" s="194">
        <f t="shared" si="30"/>
        <v>11634310050.280001</v>
      </c>
      <c r="W43" s="195">
        <f t="shared" si="18"/>
        <v>0.72488566647875341</v>
      </c>
      <c r="X43" s="194">
        <f t="shared" ref="X43:Y43" si="31">+X44</f>
        <v>10521062317.060001</v>
      </c>
      <c r="Y43" s="194">
        <f t="shared" si="31"/>
        <v>20133627632.660004</v>
      </c>
      <c r="Z43" s="195">
        <f t="shared" si="24"/>
        <v>0.65678784113241062</v>
      </c>
      <c r="AA43" s="194">
        <f t="shared" ref="AA43:AB43" si="32">+AA44</f>
        <v>10520833487.060001</v>
      </c>
      <c r="AB43" s="194">
        <f t="shared" si="32"/>
        <v>228830</v>
      </c>
      <c r="AC43" s="195">
        <f t="shared" si="7"/>
        <v>0.34320469410443666</v>
      </c>
      <c r="AE43" s="13"/>
      <c r="AF43" s="293"/>
    </row>
    <row r="44" spans="1:32" ht="24.95" customHeight="1">
      <c r="A44" s="32" t="str">
        <f t="shared" si="5"/>
        <v>A-02-02=</v>
      </c>
      <c r="B44" s="196" t="str">
        <f>CONCATENATE(C44,"-",D44,"-",E44)</f>
        <v>A-02-02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f t="shared" ref="N44:V44" si="33">+N45+N63</f>
        <v>42289000000</v>
      </c>
      <c r="O44" s="201">
        <f t="shared" si="33"/>
        <v>0</v>
      </c>
      <c r="P44" s="201">
        <f t="shared" si="33"/>
        <v>0</v>
      </c>
      <c r="Q44" s="201">
        <f t="shared" si="33"/>
        <v>2724551358.1499996</v>
      </c>
      <c r="R44" s="201">
        <f t="shared" si="33"/>
        <v>2724551358.1500001</v>
      </c>
      <c r="S44" s="201">
        <f t="shared" si="33"/>
        <v>0</v>
      </c>
      <c r="T44" s="201">
        <f t="shared" si="33"/>
        <v>42289000000</v>
      </c>
      <c r="U44" s="201">
        <f t="shared" si="33"/>
        <v>30654689949.720001</v>
      </c>
      <c r="V44" s="201">
        <f t="shared" si="33"/>
        <v>11634310050.280001</v>
      </c>
      <c r="W44" s="202">
        <f t="shared" si="18"/>
        <v>0.72488566647875341</v>
      </c>
      <c r="X44" s="201">
        <f t="shared" ref="X44:Y44" si="34">+X45+X63</f>
        <v>10521062317.060001</v>
      </c>
      <c r="Y44" s="201">
        <f t="shared" si="34"/>
        <v>20133627632.660004</v>
      </c>
      <c r="Z44" s="202">
        <f t="shared" si="24"/>
        <v>0.65678784113241062</v>
      </c>
      <c r="AA44" s="201">
        <f t="shared" ref="AA44:AB44" si="35">+AA45+AA63</f>
        <v>10520833487.060001</v>
      </c>
      <c r="AB44" s="201">
        <f t="shared" si="35"/>
        <v>228830</v>
      </c>
      <c r="AC44" s="202">
        <f t="shared" si="7"/>
        <v>0.34320469410443666</v>
      </c>
      <c r="AE44" s="13"/>
      <c r="AF44" s="293"/>
    </row>
    <row r="45" spans="1:32" ht="24.95" customHeight="1">
      <c r="A45" s="32" t="str">
        <f t="shared" si="5"/>
        <v>A-02-02-01=10</v>
      </c>
      <c r="B45" s="203" t="str">
        <f>CONCATENATE(C45,"-",D45,"-",E45,"-",F45)</f>
        <v>A-02-02-01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f>+N46+N49+N51+N58</f>
        <v>862264202</v>
      </c>
      <c r="O45" s="208">
        <f t="shared" ref="O45:V45" si="36">+O46+O49+O51+O58</f>
        <v>0</v>
      </c>
      <c r="P45" s="208">
        <f t="shared" si="36"/>
        <v>0</v>
      </c>
      <c r="Q45" s="208">
        <f t="shared" si="36"/>
        <v>112000000</v>
      </c>
      <c r="R45" s="208">
        <f t="shared" si="36"/>
        <v>155435566</v>
      </c>
      <c r="S45" s="208">
        <f t="shared" si="36"/>
        <v>0</v>
      </c>
      <c r="T45" s="208">
        <f t="shared" si="36"/>
        <v>818828636</v>
      </c>
      <c r="U45" s="208">
        <f t="shared" si="36"/>
        <v>198534772.57999998</v>
      </c>
      <c r="V45" s="208">
        <f t="shared" si="36"/>
        <v>620293863.42000008</v>
      </c>
      <c r="W45" s="209">
        <f t="shared" si="18"/>
        <v>0.24246193141198347</v>
      </c>
      <c r="X45" s="208">
        <f t="shared" ref="X45:Y45" si="37">+X46+X49+X51+X58</f>
        <v>59440257</v>
      </c>
      <c r="Y45" s="208">
        <f t="shared" si="37"/>
        <v>139094515.57999998</v>
      </c>
      <c r="Z45" s="209">
        <f t="shared" si="24"/>
        <v>0.70060530844263857</v>
      </c>
      <c r="AA45" s="208">
        <f t="shared" ref="AA45:AB45" si="38">+AA46+AA49+AA51+AA58</f>
        <v>59440257</v>
      </c>
      <c r="AB45" s="208">
        <f t="shared" si="38"/>
        <v>0</v>
      </c>
      <c r="AC45" s="209">
        <f t="shared" si="7"/>
        <v>0.29939469155736148</v>
      </c>
      <c r="AE45" s="13"/>
      <c r="AF45" s="293"/>
    </row>
    <row r="46" spans="1:32" ht="24.95" customHeight="1">
      <c r="A46" s="32" t="str">
        <f t="shared" si="5"/>
        <v>A-02-02-01-001=10</v>
      </c>
      <c r="B46" s="210" t="str">
        <f>CONCATENATE(C46,"-",D46,"-",E46,"-",F46,"-",G46)</f>
        <v>A-02-02-01-001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f>SUM(N47:N48)</f>
        <v>69000000</v>
      </c>
      <c r="O46" s="215">
        <f t="shared" ref="O46:V46" si="39">SUM(O47:O48)</f>
        <v>0</v>
      </c>
      <c r="P46" s="215">
        <f t="shared" si="39"/>
        <v>0</v>
      </c>
      <c r="Q46" s="215">
        <f t="shared" si="39"/>
        <v>0</v>
      </c>
      <c r="R46" s="215">
        <f t="shared" si="39"/>
        <v>10000000</v>
      </c>
      <c r="S46" s="215">
        <f t="shared" si="39"/>
        <v>0</v>
      </c>
      <c r="T46" s="215">
        <f t="shared" si="39"/>
        <v>59000000</v>
      </c>
      <c r="U46" s="215">
        <f t="shared" si="39"/>
        <v>0</v>
      </c>
      <c r="V46" s="215">
        <f t="shared" si="39"/>
        <v>59000000</v>
      </c>
      <c r="W46" s="216">
        <f t="shared" si="18"/>
        <v>0</v>
      </c>
      <c r="X46" s="215">
        <f t="shared" ref="X46:Y46" si="40">SUM(X47:X48)</f>
        <v>0</v>
      </c>
      <c r="Y46" s="215">
        <f t="shared" si="40"/>
        <v>0</v>
      </c>
      <c r="Z46" s="216">
        <f t="shared" si="24"/>
        <v>0</v>
      </c>
      <c r="AA46" s="215">
        <f t="shared" ref="AA46:AB46" si="41">SUM(AA47:AA48)</f>
        <v>0</v>
      </c>
      <c r="AB46" s="215">
        <f t="shared" si="41"/>
        <v>0</v>
      </c>
      <c r="AC46" s="216">
        <f t="shared" si="7"/>
        <v>0</v>
      </c>
      <c r="AE46" s="13"/>
      <c r="AF46" s="293"/>
    </row>
    <row r="47" spans="1:32" ht="24.95" customHeight="1">
      <c r="A47" s="32" t="str">
        <f t="shared" si="5"/>
        <v>A-02-02-01-001-005=10</v>
      </c>
      <c r="B47" s="217" t="str">
        <f>CONCATENATE(C47,"-",D47,"-",E47,"-",F47,"-",G47,"-",H47)</f>
        <v>A-02-02-01-001-005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51000000</v>
      </c>
      <c r="O47" s="222"/>
      <c r="P47" s="222"/>
      <c r="Q47" s="222"/>
      <c r="R47" s="223">
        <v>10000000</v>
      </c>
      <c r="S47" s="223"/>
      <c r="T47" s="222">
        <f>+N47-S47+O47-P47+Q47-R47</f>
        <v>41000000</v>
      </c>
      <c r="U47" s="222">
        <v>0</v>
      </c>
      <c r="V47" s="222">
        <f t="shared" si="14"/>
        <v>41000000</v>
      </c>
      <c r="W47" s="224">
        <f t="shared" si="18"/>
        <v>0</v>
      </c>
      <c r="X47" s="222">
        <v>0</v>
      </c>
      <c r="Y47" s="222">
        <f t="shared" ref="Y47:Y48" si="42">+U47-X47</f>
        <v>0</v>
      </c>
      <c r="Z47" s="224">
        <f t="shared" si="24"/>
        <v>0</v>
      </c>
      <c r="AA47" s="222">
        <v>0</v>
      </c>
      <c r="AB47" s="222">
        <f t="shared" si="15"/>
        <v>0</v>
      </c>
      <c r="AC47" s="224">
        <f t="shared" si="7"/>
        <v>0</v>
      </c>
      <c r="AE47" s="13"/>
      <c r="AF47" s="293"/>
    </row>
    <row r="48" spans="1:32" ht="24.95" customHeight="1">
      <c r="A48" s="32" t="str">
        <f t="shared" si="5"/>
        <v>A-02-02-01-001-007=10</v>
      </c>
      <c r="B48" s="217" t="str">
        <f>CONCATENATE(C48,"-",D48,"-",E48,"-",F48,"-",G48,"-",H48)</f>
        <v>A-02-02-01-001-007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18000000</v>
      </c>
      <c r="O48" s="222"/>
      <c r="P48" s="222"/>
      <c r="Q48" s="222"/>
      <c r="R48" s="223"/>
      <c r="S48" s="223"/>
      <c r="T48" s="222">
        <f>+N48-S48+O48-P48+Q48-R48</f>
        <v>18000000</v>
      </c>
      <c r="U48" s="222">
        <v>0</v>
      </c>
      <c r="V48" s="222">
        <f t="shared" si="14"/>
        <v>18000000</v>
      </c>
      <c r="W48" s="224">
        <f t="shared" si="18"/>
        <v>0</v>
      </c>
      <c r="X48" s="222">
        <v>0</v>
      </c>
      <c r="Y48" s="222">
        <f t="shared" si="42"/>
        <v>0</v>
      </c>
      <c r="Z48" s="224">
        <f t="shared" si="24"/>
        <v>0</v>
      </c>
      <c r="AA48" s="222">
        <v>0</v>
      </c>
      <c r="AB48" s="222">
        <f t="shared" si="15"/>
        <v>0</v>
      </c>
      <c r="AC48" s="224">
        <f t="shared" si="7"/>
        <v>0</v>
      </c>
      <c r="AE48" s="13"/>
      <c r="AF48" s="293"/>
    </row>
    <row r="49" spans="1:54" ht="33">
      <c r="A49" s="32" t="str">
        <f t="shared" si="5"/>
        <v>A-02-02-01-002=10</v>
      </c>
      <c r="B49" s="210" t="str">
        <f>CONCATENATE(C49,"-",D49,"-",E49,"-",F49,"-",G49)</f>
        <v>A-02-02-01-002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f>SUM(N50:N50)</f>
        <v>140000000</v>
      </c>
      <c r="O49" s="215">
        <f t="shared" ref="O49:AB49" si="43">SUM(O50:O50)</f>
        <v>0</v>
      </c>
      <c r="P49" s="215">
        <f t="shared" si="43"/>
        <v>0</v>
      </c>
      <c r="Q49" s="215">
        <f t="shared" si="43"/>
        <v>0</v>
      </c>
      <c r="R49" s="215">
        <f t="shared" si="43"/>
        <v>0</v>
      </c>
      <c r="S49" s="215">
        <f t="shared" si="43"/>
        <v>0</v>
      </c>
      <c r="T49" s="215">
        <f t="shared" si="43"/>
        <v>140000000</v>
      </c>
      <c r="U49" s="215">
        <f t="shared" si="43"/>
        <v>0</v>
      </c>
      <c r="V49" s="215">
        <f t="shared" si="43"/>
        <v>140000000</v>
      </c>
      <c r="W49" s="216">
        <f t="shared" si="18"/>
        <v>0</v>
      </c>
      <c r="X49" s="215">
        <f t="shared" si="43"/>
        <v>0</v>
      </c>
      <c r="Y49" s="215">
        <f t="shared" si="43"/>
        <v>0</v>
      </c>
      <c r="Z49" s="216">
        <f t="shared" si="24"/>
        <v>0</v>
      </c>
      <c r="AA49" s="215">
        <f t="shared" si="43"/>
        <v>0</v>
      </c>
      <c r="AB49" s="215">
        <f t="shared" si="43"/>
        <v>0</v>
      </c>
      <c r="AC49" s="216">
        <f t="shared" si="7"/>
        <v>0</v>
      </c>
      <c r="AE49" s="13"/>
      <c r="AF49" s="293"/>
    </row>
    <row r="50" spans="1:54" ht="24.95" customHeight="1">
      <c r="A50" s="32" t="str">
        <f t="shared" si="5"/>
        <v>A-02-02-01-002-008=10</v>
      </c>
      <c r="B50" s="217" t="str">
        <f>CONCATENATE(C50,"-",D50,"-",E50,"-",F50,"-",G50,"-",H50)</f>
        <v>A-02-02-01-002-008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140000000</v>
      </c>
      <c r="O50" s="222"/>
      <c r="P50" s="222"/>
      <c r="Q50" s="222"/>
      <c r="R50" s="223"/>
      <c r="S50" s="223"/>
      <c r="T50" s="222">
        <f>+N50-S50+O50-P50+Q50-R50</f>
        <v>140000000</v>
      </c>
      <c r="U50" s="222">
        <v>0</v>
      </c>
      <c r="V50" s="222">
        <f t="shared" si="14"/>
        <v>140000000</v>
      </c>
      <c r="W50" s="224">
        <f t="shared" si="18"/>
        <v>0</v>
      </c>
      <c r="X50" s="222">
        <v>0</v>
      </c>
      <c r="Y50" s="222">
        <f t="shared" si="17"/>
        <v>0</v>
      </c>
      <c r="Z50" s="224">
        <f t="shared" si="24"/>
        <v>0</v>
      </c>
      <c r="AA50" s="222">
        <v>0</v>
      </c>
      <c r="AB50" s="222">
        <f t="shared" si="15"/>
        <v>0</v>
      </c>
      <c r="AC50" s="224">
        <f t="shared" si="7"/>
        <v>0</v>
      </c>
      <c r="AE50" s="13"/>
      <c r="AF50" s="293"/>
    </row>
    <row r="51" spans="1:54" ht="33">
      <c r="A51" s="32" t="str">
        <f t="shared" si="5"/>
        <v>A-02-02-01-003=10</v>
      </c>
      <c r="B51" s="210" t="str">
        <f>CONCATENATE(C51,"-",D51,"-",E51,"-",F51,"-",G51)</f>
        <v>A-02-02-01-003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f>SUM(N52:N57)</f>
        <v>355264202</v>
      </c>
      <c r="O51" s="215">
        <f t="shared" ref="O51:AB51" si="44">SUM(O52:O57)</f>
        <v>0</v>
      </c>
      <c r="P51" s="215">
        <f t="shared" si="44"/>
        <v>0</v>
      </c>
      <c r="Q51" s="215">
        <f t="shared" si="44"/>
        <v>0</v>
      </c>
      <c r="R51" s="215">
        <f t="shared" si="44"/>
        <v>11200000</v>
      </c>
      <c r="S51" s="215">
        <f t="shared" si="44"/>
        <v>0</v>
      </c>
      <c r="T51" s="215">
        <f t="shared" si="44"/>
        <v>344064202</v>
      </c>
      <c r="U51" s="215">
        <f t="shared" si="44"/>
        <v>156770338.57999998</v>
      </c>
      <c r="V51" s="215">
        <f t="shared" si="44"/>
        <v>187293863.42000002</v>
      </c>
      <c r="W51" s="216">
        <f t="shared" si="18"/>
        <v>0.4556426901395571</v>
      </c>
      <c r="X51" s="215">
        <f t="shared" si="44"/>
        <v>17675823</v>
      </c>
      <c r="Y51" s="215">
        <f t="shared" si="44"/>
        <v>139094515.57999998</v>
      </c>
      <c r="Z51" s="216">
        <f t="shared" si="24"/>
        <v>0.88725020842523716</v>
      </c>
      <c r="AA51" s="215">
        <f t="shared" si="44"/>
        <v>17675823</v>
      </c>
      <c r="AB51" s="215">
        <f t="shared" si="44"/>
        <v>0</v>
      </c>
      <c r="AC51" s="216">
        <f t="shared" si="7"/>
        <v>0.11274979157476284</v>
      </c>
      <c r="AE51" s="13"/>
      <c r="AF51" s="293"/>
    </row>
    <row r="52" spans="1:54" ht="33">
      <c r="A52" s="32" t="str">
        <f t="shared" si="5"/>
        <v>A-02-02-01-003-002=10</v>
      </c>
      <c r="B52" s="217" t="str">
        <f>CONCATENATE(C52,"-",D52,"-",E52,"-",F52,"-",G52,"-",H52)</f>
        <v>A-02-02-01-003-002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106000000</v>
      </c>
      <c r="O52" s="222"/>
      <c r="P52" s="222"/>
      <c r="Q52" s="222"/>
      <c r="R52" s="223"/>
      <c r="S52" s="223"/>
      <c r="T52" s="222">
        <f t="shared" ref="T52:T57" si="45">+N52-S52+O52-P52+Q52-R52</f>
        <v>106000000</v>
      </c>
      <c r="U52" s="222">
        <v>500000</v>
      </c>
      <c r="V52" s="222">
        <f t="shared" si="14"/>
        <v>105500000</v>
      </c>
      <c r="W52" s="224">
        <f t="shared" si="18"/>
        <v>4.7169811320754715E-3</v>
      </c>
      <c r="X52" s="222">
        <v>500000</v>
      </c>
      <c r="Y52" s="222">
        <f t="shared" si="17"/>
        <v>0</v>
      </c>
      <c r="Z52" s="224">
        <f t="shared" si="24"/>
        <v>0</v>
      </c>
      <c r="AA52" s="222">
        <v>500000</v>
      </c>
      <c r="AB52" s="222">
        <f t="shared" ref="AB52:AB57" si="46">+X52-AA52</f>
        <v>0</v>
      </c>
      <c r="AC52" s="224">
        <f t="shared" si="7"/>
        <v>1</v>
      </c>
      <c r="AE52" s="13"/>
      <c r="AF52" s="293"/>
    </row>
    <row r="53" spans="1:54" ht="33">
      <c r="A53" s="32" t="str">
        <f t="shared" si="5"/>
        <v>A-02-02-01-003-003=10</v>
      </c>
      <c r="B53" s="217" t="str">
        <f t="shared" ref="B53:B57" si="47">CONCATENATE(C53,"-",D53,"-",E53,"-",F53,"-",G53,"-",H53)</f>
        <v>A-02-02-01-003-003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107264202</v>
      </c>
      <c r="O53" s="222"/>
      <c r="P53" s="222"/>
      <c r="Q53" s="222"/>
      <c r="R53" s="223">
        <v>9200000</v>
      </c>
      <c r="S53" s="223"/>
      <c r="T53" s="222">
        <f t="shared" si="45"/>
        <v>98064202</v>
      </c>
      <c r="U53" s="222">
        <v>98064202</v>
      </c>
      <c r="V53" s="222">
        <f t="shared" si="14"/>
        <v>0</v>
      </c>
      <c r="W53" s="224">
        <f t="shared" si="18"/>
        <v>1</v>
      </c>
      <c r="X53" s="222">
        <v>16675823</v>
      </c>
      <c r="Y53" s="222">
        <f t="shared" si="17"/>
        <v>81388379</v>
      </c>
      <c r="Z53" s="224">
        <f t="shared" si="24"/>
        <v>0.82994994442518377</v>
      </c>
      <c r="AA53" s="222">
        <v>16675823</v>
      </c>
      <c r="AB53" s="222">
        <f t="shared" si="46"/>
        <v>0</v>
      </c>
      <c r="AC53" s="224">
        <f t="shared" si="7"/>
        <v>0.17005005557481617</v>
      </c>
      <c r="AE53" s="13"/>
      <c r="AF53" s="293"/>
    </row>
    <row r="54" spans="1:54" ht="33">
      <c r="A54" s="32" t="str">
        <f t="shared" si="5"/>
        <v>A-02-02-01-003-005=10</v>
      </c>
      <c r="B54" s="217" t="str">
        <f t="shared" si="47"/>
        <v>A-02-02-01-003-005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6000000</v>
      </c>
      <c r="O54" s="222"/>
      <c r="P54" s="222"/>
      <c r="Q54" s="222"/>
      <c r="R54" s="223"/>
      <c r="S54" s="223"/>
      <c r="T54" s="222">
        <f t="shared" si="45"/>
        <v>6000000</v>
      </c>
      <c r="U54" s="222">
        <v>0</v>
      </c>
      <c r="V54" s="222">
        <f t="shared" si="14"/>
        <v>6000000</v>
      </c>
      <c r="W54" s="224">
        <f t="shared" si="18"/>
        <v>0</v>
      </c>
      <c r="X54" s="222">
        <v>0</v>
      </c>
      <c r="Y54" s="222">
        <f t="shared" si="17"/>
        <v>0</v>
      </c>
      <c r="Z54" s="224">
        <f t="shared" si="24"/>
        <v>0</v>
      </c>
      <c r="AA54" s="222">
        <v>0</v>
      </c>
      <c r="AB54" s="222">
        <f t="shared" si="46"/>
        <v>0</v>
      </c>
      <c r="AC54" s="224">
        <f t="shared" si="7"/>
        <v>0</v>
      </c>
      <c r="AE54" s="13"/>
      <c r="AF54" s="293"/>
    </row>
    <row r="55" spans="1:54" ht="24.95" customHeight="1">
      <c r="A55" s="32" t="str">
        <f t="shared" si="5"/>
        <v>A-02-02-01-003-006=10</v>
      </c>
      <c r="B55" s="217" t="str">
        <f t="shared" si="47"/>
        <v>A-02-02-01-003-006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18000000</v>
      </c>
      <c r="O55" s="222"/>
      <c r="P55" s="222"/>
      <c r="Q55" s="222"/>
      <c r="R55" s="223">
        <v>2000000</v>
      </c>
      <c r="S55" s="223"/>
      <c r="T55" s="222">
        <f t="shared" si="45"/>
        <v>16000000</v>
      </c>
      <c r="U55" s="222">
        <v>0</v>
      </c>
      <c r="V55" s="222">
        <f t="shared" si="14"/>
        <v>16000000</v>
      </c>
      <c r="W55" s="224">
        <f t="shared" si="18"/>
        <v>0</v>
      </c>
      <c r="X55" s="222">
        <v>0</v>
      </c>
      <c r="Y55" s="222">
        <f t="shared" si="17"/>
        <v>0</v>
      </c>
      <c r="Z55" s="224">
        <f t="shared" si="24"/>
        <v>0</v>
      </c>
      <c r="AA55" s="222">
        <v>0</v>
      </c>
      <c r="AB55" s="222">
        <f t="shared" si="46"/>
        <v>0</v>
      </c>
      <c r="AC55" s="224">
        <f t="shared" si="7"/>
        <v>0</v>
      </c>
      <c r="AE55" s="13"/>
      <c r="AF55" s="293"/>
    </row>
    <row r="56" spans="1:54" ht="33">
      <c r="A56" s="32" t="str">
        <f t="shared" si="5"/>
        <v>A-02-02-01-003-007=10</v>
      </c>
      <c r="B56" s="217" t="str">
        <f t="shared" si="47"/>
        <v>A-02-02-01-003-007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8000000</v>
      </c>
      <c r="O56" s="222"/>
      <c r="P56" s="222"/>
      <c r="Q56" s="222"/>
      <c r="R56" s="223"/>
      <c r="S56" s="223"/>
      <c r="T56" s="222">
        <f t="shared" si="45"/>
        <v>8000000</v>
      </c>
      <c r="U56" s="222">
        <v>0</v>
      </c>
      <c r="V56" s="222">
        <f t="shared" si="14"/>
        <v>8000000</v>
      </c>
      <c r="W56" s="224">
        <f t="shared" si="18"/>
        <v>0</v>
      </c>
      <c r="X56" s="222">
        <v>0</v>
      </c>
      <c r="Y56" s="222">
        <f t="shared" si="17"/>
        <v>0</v>
      </c>
      <c r="Z56" s="224">
        <f t="shared" si="24"/>
        <v>0</v>
      </c>
      <c r="AA56" s="222">
        <v>0</v>
      </c>
      <c r="AB56" s="222">
        <f t="shared" si="46"/>
        <v>0</v>
      </c>
      <c r="AC56" s="224">
        <f t="shared" si="7"/>
        <v>0</v>
      </c>
      <c r="AE56" s="13"/>
      <c r="AF56" s="293"/>
    </row>
    <row r="57" spans="1:54" ht="24.95" customHeight="1">
      <c r="A57" s="32" t="str">
        <f t="shared" si="5"/>
        <v>A-02-02-01-003-008=10</v>
      </c>
      <c r="B57" s="217" t="str">
        <f t="shared" si="47"/>
        <v>A-02-02-01-003-008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110000000</v>
      </c>
      <c r="O57" s="222"/>
      <c r="P57" s="222"/>
      <c r="Q57" s="222"/>
      <c r="R57" s="223"/>
      <c r="S57" s="223"/>
      <c r="T57" s="222">
        <f t="shared" si="45"/>
        <v>110000000</v>
      </c>
      <c r="U57" s="222">
        <v>58206136.579999998</v>
      </c>
      <c r="V57" s="222">
        <f t="shared" si="14"/>
        <v>51793863.420000002</v>
      </c>
      <c r="W57" s="224">
        <f t="shared" si="18"/>
        <v>0.5291466961818182</v>
      </c>
      <c r="X57" s="222">
        <v>500000</v>
      </c>
      <c r="Y57" s="222">
        <f t="shared" si="17"/>
        <v>57706136.579999998</v>
      </c>
      <c r="Z57" s="224">
        <f t="shared" si="24"/>
        <v>0.99140984045019398</v>
      </c>
      <c r="AA57" s="222">
        <v>500000</v>
      </c>
      <c r="AB57" s="222">
        <f t="shared" si="46"/>
        <v>0</v>
      </c>
      <c r="AC57" s="224">
        <f t="shared" si="7"/>
        <v>8.5901595498060115E-3</v>
      </c>
      <c r="AE57" s="13"/>
      <c r="AF57" s="293"/>
    </row>
    <row r="58" spans="1:54" ht="24.95" customHeight="1">
      <c r="A58" s="32" t="str">
        <f t="shared" si="5"/>
        <v>A-02-02-01-004=10</v>
      </c>
      <c r="B58" s="210" t="str">
        <f>CONCATENATE(C58,"-",D58,"-",E58,"-",F58,"-",G58)</f>
        <v>A-02-02-01-004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f>SUM(N59:N62)</f>
        <v>298000000</v>
      </c>
      <c r="O58" s="215">
        <f t="shared" ref="O58:AB58" si="48">SUM(O59:O62)</f>
        <v>0</v>
      </c>
      <c r="P58" s="215">
        <f t="shared" si="48"/>
        <v>0</v>
      </c>
      <c r="Q58" s="215">
        <f t="shared" si="48"/>
        <v>112000000</v>
      </c>
      <c r="R58" s="215">
        <f t="shared" si="48"/>
        <v>134235566</v>
      </c>
      <c r="S58" s="215">
        <f t="shared" si="48"/>
        <v>0</v>
      </c>
      <c r="T58" s="215">
        <f t="shared" si="48"/>
        <v>275764434</v>
      </c>
      <c r="U58" s="215">
        <f t="shared" si="48"/>
        <v>41764434</v>
      </c>
      <c r="V58" s="215">
        <f t="shared" si="48"/>
        <v>234000000</v>
      </c>
      <c r="W58" s="216">
        <f t="shared" si="18"/>
        <v>0.15144967534138212</v>
      </c>
      <c r="X58" s="215">
        <f t="shared" si="48"/>
        <v>41764434</v>
      </c>
      <c r="Y58" s="215">
        <f t="shared" si="48"/>
        <v>0</v>
      </c>
      <c r="Z58" s="216">
        <f t="shared" si="24"/>
        <v>0</v>
      </c>
      <c r="AA58" s="215">
        <f t="shared" si="48"/>
        <v>41764434</v>
      </c>
      <c r="AB58" s="215">
        <f t="shared" si="48"/>
        <v>0</v>
      </c>
      <c r="AC58" s="216">
        <f t="shared" si="7"/>
        <v>1</v>
      </c>
      <c r="AE58" s="13"/>
      <c r="AF58" s="293"/>
    </row>
    <row r="59" spans="1:54" ht="24.95" customHeight="1">
      <c r="A59" s="32" t="str">
        <f t="shared" si="5"/>
        <v>A-02-02-01-004-002=10</v>
      </c>
      <c r="B59" s="217" t="str">
        <f>CONCATENATE(C59,"-",D59,"-",E59,"-",F59,"-",G59,"-",H59)</f>
        <v>A-02-02-01-004-002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37000000</v>
      </c>
      <c r="O59" s="222"/>
      <c r="P59" s="222"/>
      <c r="Q59" s="222"/>
      <c r="R59" s="223"/>
      <c r="S59" s="223"/>
      <c r="T59" s="222">
        <f>+N59-S59+O59-P59+Q59-R59</f>
        <v>37000000</v>
      </c>
      <c r="U59" s="222">
        <v>0</v>
      </c>
      <c r="V59" s="222">
        <f t="shared" si="14"/>
        <v>37000000</v>
      </c>
      <c r="W59" s="224">
        <f t="shared" si="18"/>
        <v>0</v>
      </c>
      <c r="X59" s="222">
        <v>0</v>
      </c>
      <c r="Y59" s="222">
        <f t="shared" si="17"/>
        <v>0</v>
      </c>
      <c r="Z59" s="224">
        <f t="shared" si="24"/>
        <v>0</v>
      </c>
      <c r="AA59" s="222">
        <v>0</v>
      </c>
      <c r="AB59" s="222">
        <f t="shared" ref="AB59:AB62" si="49">+X59-AA59</f>
        <v>0</v>
      </c>
      <c r="AC59" s="224">
        <f t="shared" si="7"/>
        <v>0</v>
      </c>
      <c r="AE59" s="13"/>
      <c r="AF59" s="293"/>
    </row>
    <row r="60" spans="1:54" s="64" customFormat="1" ht="24.95" customHeight="1">
      <c r="A60" s="32" t="str">
        <f t="shared" si="5"/>
        <v>A-02-02-01-004-005=10</v>
      </c>
      <c r="B60" s="217" t="str">
        <f>CONCATENATE(C60,"-",D60,"-",E60,"-",F60,"-",G60,"-",H60)</f>
        <v>A-02-02-01-004-005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f>VLOOKUP($A60,[3]Vigencia!$L$5:$AA$128,N$1,FALSE)</f>
        <v>0</v>
      </c>
      <c r="O60" s="222"/>
      <c r="P60" s="222"/>
      <c r="Q60" s="222">
        <v>82000000</v>
      </c>
      <c r="R60" s="223"/>
      <c r="S60" s="223"/>
      <c r="T60" s="222">
        <f t="shared" ref="T60:T61" si="50">+N60+O60-P60+Q60-R60-S60</f>
        <v>82000000</v>
      </c>
      <c r="U60" s="222">
        <v>0</v>
      </c>
      <c r="V60" s="222">
        <f t="shared" si="14"/>
        <v>82000000</v>
      </c>
      <c r="W60" s="224">
        <f t="shared" si="18"/>
        <v>0</v>
      </c>
      <c r="X60" s="222">
        <v>0</v>
      </c>
      <c r="Y60" s="222">
        <f t="shared" si="17"/>
        <v>0</v>
      </c>
      <c r="Z60" s="224">
        <f t="shared" si="24"/>
        <v>0</v>
      </c>
      <c r="AA60" s="222">
        <v>0</v>
      </c>
      <c r="AB60" s="222">
        <f t="shared" si="49"/>
        <v>0</v>
      </c>
      <c r="AC60" s="224">
        <f t="shared" si="7"/>
        <v>0</v>
      </c>
      <c r="AD60" s="13"/>
      <c r="AE60" s="13"/>
      <c r="AF60" s="29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</row>
    <row r="61" spans="1:54" s="64" customFormat="1" ht="24.95" customHeight="1">
      <c r="A61" s="32" t="str">
        <f t="shared" si="5"/>
        <v>A-02-02-01-004-006=10</v>
      </c>
      <c r="B61" s="217" t="str">
        <f>CONCATENATE(C61,"-",D61,"-",E61,"-",F61,"-",G61,"-",H61)</f>
        <v>A-02-02-01-004-006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f>VLOOKUP($A61,[3]Vigencia!$L$5:$AA$128,N$1,FALSE)</f>
        <v>0</v>
      </c>
      <c r="O61" s="222"/>
      <c r="P61" s="222"/>
      <c r="Q61" s="222">
        <v>30000000</v>
      </c>
      <c r="R61" s="223"/>
      <c r="S61" s="223"/>
      <c r="T61" s="222">
        <f t="shared" si="50"/>
        <v>30000000</v>
      </c>
      <c r="U61" s="222">
        <v>0</v>
      </c>
      <c r="V61" s="222">
        <f t="shared" si="14"/>
        <v>30000000</v>
      </c>
      <c r="W61" s="224">
        <f t="shared" si="18"/>
        <v>0</v>
      </c>
      <c r="X61" s="222">
        <v>0</v>
      </c>
      <c r="Y61" s="222">
        <f t="shared" si="17"/>
        <v>0</v>
      </c>
      <c r="Z61" s="224">
        <f t="shared" si="24"/>
        <v>0</v>
      </c>
      <c r="AA61" s="222">
        <v>0</v>
      </c>
      <c r="AB61" s="222">
        <f t="shared" si="49"/>
        <v>0</v>
      </c>
      <c r="AC61" s="224">
        <f t="shared" si="7"/>
        <v>0</v>
      </c>
      <c r="AD61" s="13"/>
      <c r="AE61" s="13"/>
      <c r="AF61" s="29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</row>
    <row r="62" spans="1:54" ht="24.95" customHeight="1">
      <c r="A62" s="32" t="str">
        <f t="shared" si="5"/>
        <v>A-02-02-01-004-007=10</v>
      </c>
      <c r="B62" s="217" t="str">
        <f>CONCATENATE(C62,"-",D62,"-",E62,"-",F62,"-",G62,"-",H62)</f>
        <v>A-02-02-01-004-007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261000000</v>
      </c>
      <c r="O62" s="222"/>
      <c r="P62" s="222"/>
      <c r="Q62" s="222"/>
      <c r="R62" s="222">
        <f>82000000+30000000+22235566</f>
        <v>134235566</v>
      </c>
      <c r="S62" s="223"/>
      <c r="T62" s="222">
        <f>+N62-S62+O62-P62+Q62-R62</f>
        <v>126764434</v>
      </c>
      <c r="U62" s="222">
        <v>41764434</v>
      </c>
      <c r="V62" s="222">
        <f t="shared" si="14"/>
        <v>85000000</v>
      </c>
      <c r="W62" s="224">
        <f t="shared" si="18"/>
        <v>0.32946491915863402</v>
      </c>
      <c r="X62" s="222">
        <v>41764434</v>
      </c>
      <c r="Y62" s="222">
        <f t="shared" si="17"/>
        <v>0</v>
      </c>
      <c r="Z62" s="224">
        <f t="shared" si="24"/>
        <v>0</v>
      </c>
      <c r="AA62" s="222">
        <v>41764434</v>
      </c>
      <c r="AB62" s="222">
        <f t="shared" si="49"/>
        <v>0</v>
      </c>
      <c r="AC62" s="224">
        <f t="shared" si="7"/>
        <v>1</v>
      </c>
      <c r="AE62" s="13"/>
      <c r="AF62" s="293"/>
    </row>
    <row r="63" spans="1:54" ht="24.95" customHeight="1">
      <c r="A63" s="32" t="str">
        <f t="shared" si="5"/>
        <v>A-02-02-02=10</v>
      </c>
      <c r="B63" s="203" t="str">
        <f>CONCATENATE(C63,"-",D63,"-",E63,"-",F63)</f>
        <v>A-02-02-02</v>
      </c>
      <c r="C63" s="204" t="s">
        <v>23</v>
      </c>
      <c r="D63" s="205" t="s">
        <v>54</v>
      </c>
      <c r="E63" s="205" t="s">
        <v>54</v>
      </c>
      <c r="F63" s="205" t="s">
        <v>54</v>
      </c>
      <c r="G63" s="205"/>
      <c r="H63" s="205"/>
      <c r="I63" s="205"/>
      <c r="J63" s="205"/>
      <c r="K63" s="206" t="s">
        <v>28</v>
      </c>
      <c r="L63" s="207" t="s">
        <v>29</v>
      </c>
      <c r="M63" s="203" t="s">
        <v>103</v>
      </c>
      <c r="N63" s="208">
        <f>+N64+N71+N74+N81+N87</f>
        <v>41426735798</v>
      </c>
      <c r="O63" s="208">
        <f t="shared" ref="O63:V63" si="51">+O64+O71+O74+O81+O87</f>
        <v>0</v>
      </c>
      <c r="P63" s="208">
        <f t="shared" si="51"/>
        <v>0</v>
      </c>
      <c r="Q63" s="208">
        <f t="shared" si="51"/>
        <v>2612551358.1499996</v>
      </c>
      <c r="R63" s="208">
        <f t="shared" si="51"/>
        <v>2569115792.1500001</v>
      </c>
      <c r="S63" s="208">
        <f t="shared" si="51"/>
        <v>0</v>
      </c>
      <c r="T63" s="208">
        <f t="shared" si="51"/>
        <v>41470171364</v>
      </c>
      <c r="U63" s="208">
        <f t="shared" si="51"/>
        <v>30456155177.139999</v>
      </c>
      <c r="V63" s="208">
        <f t="shared" si="51"/>
        <v>11014016186.860001</v>
      </c>
      <c r="W63" s="209">
        <f t="shared" si="18"/>
        <v>0.73441112431907629</v>
      </c>
      <c r="X63" s="208">
        <f t="shared" ref="X63:AB63" si="52">+X64+X71+X74+X81+X87</f>
        <v>10461622060.060001</v>
      </c>
      <c r="Y63" s="208">
        <f t="shared" si="52"/>
        <v>19994533117.080002</v>
      </c>
      <c r="Z63" s="209">
        <f t="shared" si="24"/>
        <v>0.65650220787184732</v>
      </c>
      <c r="AA63" s="208">
        <f t="shared" si="52"/>
        <v>10461393230.060001</v>
      </c>
      <c r="AB63" s="208">
        <f t="shared" si="52"/>
        <v>228830</v>
      </c>
      <c r="AC63" s="209">
        <f t="shared" si="7"/>
        <v>0.34349027870439108</v>
      </c>
      <c r="AE63" s="13"/>
      <c r="AF63" s="293"/>
    </row>
    <row r="64" spans="1:54" ht="49.5">
      <c r="A64" s="32" t="str">
        <f t="shared" si="5"/>
        <v>A-02-02-02-006=10</v>
      </c>
      <c r="B64" s="210" t="str">
        <f>CONCATENATE(C64,"-",D64,"-",E64,"-",F64,"-",G64)</f>
        <v>A-02-02-02-006</v>
      </c>
      <c r="C64" s="211" t="s">
        <v>23</v>
      </c>
      <c r="D64" s="212" t="s">
        <v>54</v>
      </c>
      <c r="E64" s="212" t="s">
        <v>54</v>
      </c>
      <c r="F64" s="212" t="s">
        <v>54</v>
      </c>
      <c r="G64" s="212" t="s">
        <v>42</v>
      </c>
      <c r="H64" s="212"/>
      <c r="I64" s="212"/>
      <c r="J64" s="212"/>
      <c r="K64" s="213" t="s">
        <v>28</v>
      </c>
      <c r="L64" s="214" t="s">
        <v>29</v>
      </c>
      <c r="M64" s="210" t="s">
        <v>104</v>
      </c>
      <c r="N64" s="215">
        <f>SUM(N65:N70)</f>
        <v>7757163474</v>
      </c>
      <c r="O64" s="215">
        <f t="shared" ref="O64:V64" si="53">SUM(O65:O70)</f>
        <v>0</v>
      </c>
      <c r="P64" s="215">
        <f t="shared" si="53"/>
        <v>0</v>
      </c>
      <c r="Q64" s="215">
        <f t="shared" si="53"/>
        <v>10000000</v>
      </c>
      <c r="R64" s="215">
        <f t="shared" si="53"/>
        <v>132793073</v>
      </c>
      <c r="S64" s="215">
        <f t="shared" si="53"/>
        <v>0</v>
      </c>
      <c r="T64" s="215">
        <f t="shared" si="53"/>
        <v>7634370401</v>
      </c>
      <c r="U64" s="215">
        <f t="shared" si="53"/>
        <v>4639009889.1999998</v>
      </c>
      <c r="V64" s="215">
        <f t="shared" si="53"/>
        <v>2995360511.8000002</v>
      </c>
      <c r="W64" s="216">
        <f t="shared" si="18"/>
        <v>0.60764799787450074</v>
      </c>
      <c r="X64" s="215">
        <f t="shared" ref="X64:AB64" si="54">SUM(X65:X70)</f>
        <v>1829791048.2</v>
      </c>
      <c r="Y64" s="215">
        <f t="shared" si="54"/>
        <v>2809218841</v>
      </c>
      <c r="Z64" s="216">
        <f t="shared" si="24"/>
        <v>0.60556431395847954</v>
      </c>
      <c r="AA64" s="215">
        <f t="shared" si="54"/>
        <v>1829709507.2</v>
      </c>
      <c r="AB64" s="215">
        <f t="shared" si="54"/>
        <v>81541</v>
      </c>
      <c r="AC64" s="216">
        <f t="shared" si="7"/>
        <v>0.39441810879940475</v>
      </c>
      <c r="AE64" s="13"/>
      <c r="AF64" s="293"/>
    </row>
    <row r="65" spans="1:54" ht="24.95" customHeight="1">
      <c r="A65" s="32" t="str">
        <f t="shared" si="5"/>
        <v>A-02-02-02-006-003=10</v>
      </c>
      <c r="B65" s="217" t="str">
        <f>CONCATENATE(C65,"-",D65,"-",E65,"-",F65,"-",G65,"-",H65)</f>
        <v>A-02-02-02-006-003</v>
      </c>
      <c r="C65" s="248" t="s">
        <v>23</v>
      </c>
      <c r="D65" s="249" t="s">
        <v>54</v>
      </c>
      <c r="E65" s="249" t="s">
        <v>54</v>
      </c>
      <c r="F65" s="249" t="s">
        <v>54</v>
      </c>
      <c r="G65" s="249" t="s">
        <v>42</v>
      </c>
      <c r="H65" s="225" t="s">
        <v>36</v>
      </c>
      <c r="I65" s="219"/>
      <c r="J65" s="219"/>
      <c r="K65" s="220">
        <v>10</v>
      </c>
      <c r="L65" s="221" t="s">
        <v>29</v>
      </c>
      <c r="M65" s="217" t="s">
        <v>105</v>
      </c>
      <c r="N65" s="222">
        <v>12000000</v>
      </c>
      <c r="O65" s="222"/>
      <c r="P65" s="222"/>
      <c r="Q65" s="223"/>
      <c r="R65" s="223"/>
      <c r="S65" s="223"/>
      <c r="T65" s="222">
        <f t="shared" ref="T65:T70" si="55">+N65-S65+O65-P65+Q65-R65</f>
        <v>12000000</v>
      </c>
      <c r="U65" s="222">
        <v>2261895</v>
      </c>
      <c r="V65" s="222">
        <f t="shared" si="14"/>
        <v>9738105</v>
      </c>
      <c r="W65" s="224">
        <f t="shared" si="18"/>
        <v>0.18849125</v>
      </c>
      <c r="X65" s="222">
        <v>2261895</v>
      </c>
      <c r="Y65" s="222">
        <f t="shared" si="17"/>
        <v>0</v>
      </c>
      <c r="Z65" s="224">
        <f t="shared" si="24"/>
        <v>0</v>
      </c>
      <c r="AA65" s="222">
        <v>2261895</v>
      </c>
      <c r="AB65" s="222">
        <f t="shared" ref="AB65:AB70" si="56">+X65-AA65</f>
        <v>0</v>
      </c>
      <c r="AC65" s="224">
        <f t="shared" si="7"/>
        <v>1</v>
      </c>
      <c r="AE65" s="13"/>
      <c r="AF65" s="293"/>
    </row>
    <row r="66" spans="1:54" ht="24.95" customHeight="1">
      <c r="A66" s="32" t="str">
        <f t="shared" si="5"/>
        <v>A-02-02-02-006-004=10</v>
      </c>
      <c r="B66" s="217" t="str">
        <f t="shared" ref="B66:B86" si="57">CONCATENATE(C66,"-",D66,"-",E66,"-",F66,"-",G66,"-",H66)</f>
        <v>A-02-02-02-006-004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38</v>
      </c>
      <c r="I66" s="219"/>
      <c r="J66" s="219"/>
      <c r="K66" s="220">
        <v>10</v>
      </c>
      <c r="L66" s="221" t="s">
        <v>29</v>
      </c>
      <c r="M66" s="217" t="s">
        <v>106</v>
      </c>
      <c r="N66" s="222">
        <v>4851925294</v>
      </c>
      <c r="O66" s="222"/>
      <c r="P66" s="222"/>
      <c r="Q66" s="223">
        <v>2400000</v>
      </c>
      <c r="R66" s="223">
        <f>27793073+52000000</f>
        <v>79793073</v>
      </c>
      <c r="S66" s="223"/>
      <c r="T66" s="222">
        <f t="shared" si="55"/>
        <v>4774532221</v>
      </c>
      <c r="U66" s="222">
        <v>2471958287</v>
      </c>
      <c r="V66" s="222">
        <f t="shared" si="14"/>
        <v>2302573934</v>
      </c>
      <c r="W66" s="224">
        <f t="shared" si="18"/>
        <v>0.51773831918601265</v>
      </c>
      <c r="X66" s="222">
        <v>1250086932</v>
      </c>
      <c r="Y66" s="222">
        <f t="shared" si="17"/>
        <v>1221871355</v>
      </c>
      <c r="Z66" s="224">
        <f t="shared" si="24"/>
        <v>0.49429286951394258</v>
      </c>
      <c r="AA66" s="222">
        <v>1250086932</v>
      </c>
      <c r="AB66" s="222">
        <f t="shared" si="56"/>
        <v>0</v>
      </c>
      <c r="AC66" s="224">
        <f t="shared" si="7"/>
        <v>0.50570713048605742</v>
      </c>
      <c r="AE66" s="13"/>
      <c r="AF66" s="293"/>
    </row>
    <row r="67" spans="1:54" ht="24.95" customHeight="1">
      <c r="A67" s="32" t="str">
        <f t="shared" si="5"/>
        <v>A-02-02-02-006-005=10</v>
      </c>
      <c r="B67" s="217" t="str">
        <f t="shared" si="57"/>
        <v>A-02-02-02-006-005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40</v>
      </c>
      <c r="I67" s="219"/>
      <c r="J67" s="219"/>
      <c r="K67" s="220">
        <v>10</v>
      </c>
      <c r="L67" s="221" t="s">
        <v>29</v>
      </c>
      <c r="M67" s="217" t="s">
        <v>107</v>
      </c>
      <c r="N67" s="222">
        <v>100000000</v>
      </c>
      <c r="O67" s="222"/>
      <c r="P67" s="222"/>
      <c r="Q67" s="223">
        <v>7600000</v>
      </c>
      <c r="R67" s="223">
        <v>13000000</v>
      </c>
      <c r="S67" s="223"/>
      <c r="T67" s="222">
        <f t="shared" si="55"/>
        <v>94600000</v>
      </c>
      <c r="U67" s="222">
        <v>91279990</v>
      </c>
      <c r="V67" s="222">
        <f t="shared" si="14"/>
        <v>3320010</v>
      </c>
      <c r="W67" s="224">
        <f t="shared" si="18"/>
        <v>0.96490475687103594</v>
      </c>
      <c r="X67" s="222">
        <v>4279990</v>
      </c>
      <c r="Y67" s="222">
        <f t="shared" si="17"/>
        <v>87000000</v>
      </c>
      <c r="Z67" s="224">
        <f t="shared" si="24"/>
        <v>0.95311141028827895</v>
      </c>
      <c r="AA67" s="222">
        <v>4279990</v>
      </c>
      <c r="AB67" s="222">
        <f t="shared" si="56"/>
        <v>0</v>
      </c>
      <c r="AC67" s="224">
        <f t="shared" si="7"/>
        <v>4.6888589711721045E-2</v>
      </c>
      <c r="AE67" s="13"/>
      <c r="AF67" s="293"/>
    </row>
    <row r="68" spans="1:54" ht="24.95" customHeight="1">
      <c r="A68" s="32" t="str">
        <f t="shared" si="5"/>
        <v>A-02-02-02-006-006=10</v>
      </c>
      <c r="B68" s="217" t="str">
        <f t="shared" si="57"/>
        <v>A-02-02-02-006-006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42</v>
      </c>
      <c r="I68" s="219"/>
      <c r="J68" s="219"/>
      <c r="K68" s="220">
        <v>10</v>
      </c>
      <c r="L68" s="221" t="s">
        <v>29</v>
      </c>
      <c r="M68" s="217" t="s">
        <v>259</v>
      </c>
      <c r="N68" s="222">
        <v>10000000</v>
      </c>
      <c r="O68" s="222"/>
      <c r="P68" s="222"/>
      <c r="Q68" s="223"/>
      <c r="R68" s="223">
        <v>10000000</v>
      </c>
      <c r="S68" s="223"/>
      <c r="T68" s="222">
        <f t="shared" si="55"/>
        <v>0</v>
      </c>
      <c r="U68" s="222">
        <v>0</v>
      </c>
      <c r="V68" s="222">
        <f t="shared" si="14"/>
        <v>0</v>
      </c>
      <c r="W68" s="224">
        <f t="shared" si="18"/>
        <v>0</v>
      </c>
      <c r="X68" s="222">
        <v>0</v>
      </c>
      <c r="Y68" s="222">
        <f t="shared" si="17"/>
        <v>0</v>
      </c>
      <c r="Z68" s="224">
        <f t="shared" si="24"/>
        <v>0</v>
      </c>
      <c r="AA68" s="222">
        <v>0</v>
      </c>
      <c r="AB68" s="222">
        <f t="shared" si="56"/>
        <v>0</v>
      </c>
      <c r="AC68" s="224">
        <f t="shared" si="7"/>
        <v>0</v>
      </c>
      <c r="AE68" s="13"/>
      <c r="AF68" s="293"/>
    </row>
    <row r="69" spans="1:54" ht="24.95" customHeight="1">
      <c r="A69" s="32" t="str">
        <f t="shared" si="5"/>
        <v>A-02-02-02-006-008=10</v>
      </c>
      <c r="B69" s="217" t="str">
        <f t="shared" si="57"/>
        <v>A-02-02-02-006-008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46</v>
      </c>
      <c r="I69" s="219"/>
      <c r="J69" s="219"/>
      <c r="K69" s="220">
        <v>10</v>
      </c>
      <c r="L69" s="221" t="s">
        <v>29</v>
      </c>
      <c r="M69" s="217" t="s">
        <v>108</v>
      </c>
      <c r="N69" s="222">
        <v>2053178180</v>
      </c>
      <c r="O69" s="222"/>
      <c r="P69" s="222"/>
      <c r="Q69" s="223"/>
      <c r="R69" s="223">
        <v>30000000</v>
      </c>
      <c r="S69" s="223"/>
      <c r="T69" s="222">
        <f t="shared" si="55"/>
        <v>2023178180</v>
      </c>
      <c r="U69" s="222">
        <v>1847770380</v>
      </c>
      <c r="V69" s="222">
        <f t="shared" si="14"/>
        <v>175407800</v>
      </c>
      <c r="W69" s="224">
        <f t="shared" si="18"/>
        <v>0.91330086408899491</v>
      </c>
      <c r="X69" s="222">
        <v>347436778</v>
      </c>
      <c r="Y69" s="222">
        <f t="shared" si="17"/>
        <v>1500333602</v>
      </c>
      <c r="Z69" s="224">
        <f t="shared" si="24"/>
        <v>0.8119697221253217</v>
      </c>
      <c r="AA69" s="222">
        <v>347436778</v>
      </c>
      <c r="AB69" s="222">
        <f t="shared" si="56"/>
        <v>0</v>
      </c>
      <c r="AC69" s="224">
        <f t="shared" si="7"/>
        <v>0.18803027787467835</v>
      </c>
      <c r="AE69" s="13"/>
      <c r="AF69" s="293"/>
    </row>
    <row r="70" spans="1:54" ht="33">
      <c r="A70" s="32" t="str">
        <f t="shared" si="5"/>
        <v>A-02-02-02-006-009=10</v>
      </c>
      <c r="B70" s="217" t="str">
        <f t="shared" si="57"/>
        <v>A-02-02-02-006-009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48</v>
      </c>
      <c r="I70" s="219"/>
      <c r="J70" s="219"/>
      <c r="K70" s="220">
        <v>10</v>
      </c>
      <c r="L70" s="221" t="s">
        <v>29</v>
      </c>
      <c r="M70" s="217" t="s">
        <v>109</v>
      </c>
      <c r="N70" s="222">
        <v>730060000</v>
      </c>
      <c r="O70" s="222"/>
      <c r="P70" s="222"/>
      <c r="Q70" s="223"/>
      <c r="R70" s="223"/>
      <c r="S70" s="223"/>
      <c r="T70" s="222">
        <f t="shared" si="55"/>
        <v>730060000</v>
      </c>
      <c r="U70" s="222">
        <v>225739337.19999999</v>
      </c>
      <c r="V70" s="222">
        <f t="shared" si="14"/>
        <v>504320662.80000001</v>
      </c>
      <c r="W70" s="224">
        <f t="shared" si="18"/>
        <v>0.30920655452976464</v>
      </c>
      <c r="X70" s="222">
        <v>225725453.19999999</v>
      </c>
      <c r="Y70" s="222">
        <f t="shared" si="17"/>
        <v>13884</v>
      </c>
      <c r="Z70" s="224">
        <f t="shared" si="24"/>
        <v>6.1504566161187443E-5</v>
      </c>
      <c r="AA70" s="222">
        <v>225643912.19999999</v>
      </c>
      <c r="AB70" s="222">
        <f t="shared" si="56"/>
        <v>81541</v>
      </c>
      <c r="AC70" s="224">
        <f t="shared" si="7"/>
        <v>0.99957727792956419</v>
      </c>
      <c r="AE70" s="13"/>
      <c r="AF70" s="293"/>
    </row>
    <row r="71" spans="1:54" ht="33">
      <c r="A71" s="32" t="str">
        <f t="shared" si="5"/>
        <v>A-02-02-02-007=10</v>
      </c>
      <c r="B71" s="210" t="str">
        <f>CONCATENATE(C71,"-",D71,"-",E71,"-",F71,"-",G71)</f>
        <v>A-02-02-02-007</v>
      </c>
      <c r="C71" s="211" t="s">
        <v>23</v>
      </c>
      <c r="D71" s="212" t="s">
        <v>54</v>
      </c>
      <c r="E71" s="212" t="s">
        <v>54</v>
      </c>
      <c r="F71" s="212" t="s">
        <v>54</v>
      </c>
      <c r="G71" s="212" t="s">
        <v>44</v>
      </c>
      <c r="H71" s="212"/>
      <c r="I71" s="212"/>
      <c r="J71" s="212"/>
      <c r="K71" s="213" t="s">
        <v>28</v>
      </c>
      <c r="L71" s="214" t="s">
        <v>29</v>
      </c>
      <c r="M71" s="210" t="s">
        <v>110</v>
      </c>
      <c r="N71" s="215">
        <f>SUM(N72:N73)</f>
        <v>12770333207</v>
      </c>
      <c r="O71" s="215">
        <f t="shared" ref="O71:AB71" si="58">SUM(O72:O73)</f>
        <v>0</v>
      </c>
      <c r="P71" s="215">
        <f t="shared" si="58"/>
        <v>0</v>
      </c>
      <c r="Q71" s="215">
        <f t="shared" si="58"/>
        <v>0</v>
      </c>
      <c r="R71" s="215">
        <f t="shared" si="58"/>
        <v>1058222129</v>
      </c>
      <c r="S71" s="215">
        <f t="shared" si="58"/>
        <v>0</v>
      </c>
      <c r="T71" s="215">
        <f t="shared" si="58"/>
        <v>11712111078</v>
      </c>
      <c r="U71" s="215">
        <f t="shared" si="58"/>
        <v>11557739891</v>
      </c>
      <c r="V71" s="215">
        <f t="shared" si="58"/>
        <v>154371187</v>
      </c>
      <c r="W71" s="216">
        <f t="shared" si="18"/>
        <v>0.98681952502226777</v>
      </c>
      <c r="X71" s="215">
        <f t="shared" si="58"/>
        <v>4654321989</v>
      </c>
      <c r="Y71" s="215">
        <f t="shared" si="58"/>
        <v>6903417902</v>
      </c>
      <c r="Z71" s="216">
        <f t="shared" si="24"/>
        <v>0.59729825788653401</v>
      </c>
      <c r="AA71" s="215">
        <f t="shared" si="58"/>
        <v>4654321989</v>
      </c>
      <c r="AB71" s="215">
        <f t="shared" si="58"/>
        <v>0</v>
      </c>
      <c r="AC71" s="216">
        <f t="shared" si="7"/>
        <v>0.40270174211346593</v>
      </c>
      <c r="AE71" s="13"/>
      <c r="AF71" s="293"/>
    </row>
    <row r="72" spans="1:54" ht="24.95" customHeight="1">
      <c r="A72" s="32" t="str">
        <f t="shared" si="5"/>
        <v>A-02-02-02-007-001=10</v>
      </c>
      <c r="B72" s="217" t="str">
        <f t="shared" si="57"/>
        <v>A-02-02-02-007-001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44</v>
      </c>
      <c r="H72" s="225" t="s">
        <v>31</v>
      </c>
      <c r="I72" s="219"/>
      <c r="J72" s="219"/>
      <c r="K72" s="220">
        <v>10</v>
      </c>
      <c r="L72" s="221" t="s">
        <v>29</v>
      </c>
      <c r="M72" s="217" t="s">
        <v>111</v>
      </c>
      <c r="N72" s="222">
        <v>25000000</v>
      </c>
      <c r="O72" s="222"/>
      <c r="P72" s="222"/>
      <c r="Q72" s="223"/>
      <c r="R72" s="223">
        <v>1459150</v>
      </c>
      <c r="S72" s="223"/>
      <c r="T72" s="222">
        <f>+N72-S72+O72-P72+Q72-R72</f>
        <v>23540850</v>
      </c>
      <c r="U72" s="222">
        <v>8409000</v>
      </c>
      <c r="V72" s="222">
        <f t="shared" si="14"/>
        <v>15131850</v>
      </c>
      <c r="W72" s="224">
        <f t="shared" si="18"/>
        <v>0.35720885184689594</v>
      </c>
      <c r="X72" s="222">
        <v>8409000</v>
      </c>
      <c r="Y72" s="222">
        <f t="shared" si="17"/>
        <v>0</v>
      </c>
      <c r="Z72" s="224">
        <f t="shared" si="24"/>
        <v>0</v>
      </c>
      <c r="AA72" s="222">
        <v>8409000</v>
      </c>
      <c r="AB72" s="222">
        <f t="shared" ref="AB72:AB73" si="59">+X72-AA72</f>
        <v>0</v>
      </c>
      <c r="AC72" s="224">
        <f t="shared" si="7"/>
        <v>1</v>
      </c>
      <c r="AE72" s="13"/>
      <c r="AF72" s="293"/>
    </row>
    <row r="73" spans="1:54" ht="24.95" customHeight="1">
      <c r="A73" s="32" t="str">
        <f t="shared" si="5"/>
        <v>A-02-02-02-007-002=10</v>
      </c>
      <c r="B73" s="217" t="str">
        <f t="shared" si="57"/>
        <v>A-02-02-02-007-002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34</v>
      </c>
      <c r="I73" s="219"/>
      <c r="J73" s="219"/>
      <c r="K73" s="220">
        <v>10</v>
      </c>
      <c r="L73" s="221" t="s">
        <v>29</v>
      </c>
      <c r="M73" s="217" t="s">
        <v>112</v>
      </c>
      <c r="N73" s="222">
        <v>12745333207</v>
      </c>
      <c r="O73" s="222"/>
      <c r="P73" s="222"/>
      <c r="Q73" s="223"/>
      <c r="R73" s="223">
        <v>1056762979</v>
      </c>
      <c r="S73" s="223"/>
      <c r="T73" s="222">
        <f>+N73-S73+O73-P73+Q73-R73</f>
        <v>11688570228</v>
      </c>
      <c r="U73" s="222">
        <v>11549330891</v>
      </c>
      <c r="V73" s="222">
        <f t="shared" si="14"/>
        <v>139239337</v>
      </c>
      <c r="W73" s="224">
        <f t="shared" si="18"/>
        <v>0.98808756466497061</v>
      </c>
      <c r="X73" s="222">
        <v>4645912989</v>
      </c>
      <c r="Y73" s="222">
        <f t="shared" si="17"/>
        <v>6903417902</v>
      </c>
      <c r="Z73" s="224">
        <f t="shared" si="24"/>
        <v>0.5977331472405556</v>
      </c>
      <c r="AA73" s="222">
        <v>4645912989</v>
      </c>
      <c r="AB73" s="222">
        <f t="shared" si="59"/>
        <v>0</v>
      </c>
      <c r="AC73" s="224">
        <f t="shared" si="7"/>
        <v>0.4022668527594444</v>
      </c>
      <c r="AE73" s="13"/>
      <c r="AF73" s="293"/>
    </row>
    <row r="74" spans="1:54" ht="24.95" customHeight="1">
      <c r="A74" s="32" t="str">
        <f t="shared" si="5"/>
        <v>A-02-02-02-008=10</v>
      </c>
      <c r="B74" s="210" t="str">
        <f>CONCATENATE(C74,"-",D74,"-",E74,"-",F74,"-",G74)</f>
        <v>A-02-02-02-008</v>
      </c>
      <c r="C74" s="211" t="s">
        <v>23</v>
      </c>
      <c r="D74" s="212" t="s">
        <v>54</v>
      </c>
      <c r="E74" s="212" t="s">
        <v>54</v>
      </c>
      <c r="F74" s="212" t="s">
        <v>54</v>
      </c>
      <c r="G74" s="212" t="s">
        <v>46</v>
      </c>
      <c r="H74" s="212"/>
      <c r="I74" s="212"/>
      <c r="J74" s="212"/>
      <c r="K74" s="213" t="s">
        <v>28</v>
      </c>
      <c r="L74" s="214" t="s">
        <v>29</v>
      </c>
      <c r="M74" s="210" t="s">
        <v>113</v>
      </c>
      <c r="N74" s="215">
        <f>SUM(N75:N80)</f>
        <v>17318293047</v>
      </c>
      <c r="O74" s="215">
        <f t="shared" ref="O74:V74" si="60">SUM(O75:O80)</f>
        <v>0</v>
      </c>
      <c r="P74" s="215">
        <f t="shared" si="60"/>
        <v>0</v>
      </c>
      <c r="Q74" s="215">
        <f t="shared" si="60"/>
        <v>2602551358.1499996</v>
      </c>
      <c r="R74" s="215">
        <f t="shared" si="60"/>
        <v>1374166090.1500001</v>
      </c>
      <c r="S74" s="215">
        <f t="shared" si="60"/>
        <v>0</v>
      </c>
      <c r="T74" s="215">
        <f t="shared" si="60"/>
        <v>18546678315</v>
      </c>
      <c r="U74" s="215">
        <f t="shared" si="60"/>
        <v>13763333515.08</v>
      </c>
      <c r="V74" s="215">
        <f t="shared" si="60"/>
        <v>4783344799.9200001</v>
      </c>
      <c r="W74" s="216">
        <f t="shared" si="18"/>
        <v>0.74209156385424691</v>
      </c>
      <c r="X74" s="215">
        <f t="shared" ref="X74:AB74" si="61">SUM(X75:X80)</f>
        <v>3706061387</v>
      </c>
      <c r="Y74" s="215">
        <f t="shared" si="61"/>
        <v>10057272128.08</v>
      </c>
      <c r="Z74" s="216">
        <f t="shared" si="24"/>
        <v>0.73072937722976783</v>
      </c>
      <c r="AA74" s="215">
        <f t="shared" si="61"/>
        <v>3705984037</v>
      </c>
      <c r="AB74" s="215">
        <f t="shared" si="61"/>
        <v>77350</v>
      </c>
      <c r="AC74" s="216">
        <f t="shared" si="7"/>
        <v>0.26926500276546256</v>
      </c>
      <c r="AE74" s="13"/>
      <c r="AF74" s="293"/>
    </row>
    <row r="75" spans="1:54" ht="24.95" customHeight="1">
      <c r="A75" s="32" t="str">
        <f t="shared" ref="A75:A139" si="62">+CONCATENATE(B75,"=",K75)</f>
        <v>A-02-02-02-008-002=10</v>
      </c>
      <c r="B75" s="217" t="str">
        <f t="shared" si="57"/>
        <v>A-02-02-02-008-002</v>
      </c>
      <c r="C75" s="218" t="s">
        <v>23</v>
      </c>
      <c r="D75" s="249" t="s">
        <v>54</v>
      </c>
      <c r="E75" s="249" t="s">
        <v>54</v>
      </c>
      <c r="F75" s="249" t="s">
        <v>54</v>
      </c>
      <c r="G75" s="249" t="s">
        <v>46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114</v>
      </c>
      <c r="N75" s="222">
        <v>172000000</v>
      </c>
      <c r="O75" s="222"/>
      <c r="P75" s="222"/>
      <c r="Q75" s="223"/>
      <c r="R75" s="223"/>
      <c r="S75" s="223"/>
      <c r="T75" s="222">
        <f t="shared" ref="T75:T80" si="63">+N75-S75+O75-P75+Q75-R75</f>
        <v>172000000</v>
      </c>
      <c r="U75" s="222">
        <v>30256280</v>
      </c>
      <c r="V75" s="222">
        <f t="shared" si="14"/>
        <v>141743720</v>
      </c>
      <c r="W75" s="224">
        <f t="shared" si="18"/>
        <v>0.17590860465116279</v>
      </c>
      <c r="X75" s="222">
        <v>600000</v>
      </c>
      <c r="Y75" s="222">
        <f t="shared" si="17"/>
        <v>29656280</v>
      </c>
      <c r="Z75" s="224">
        <f t="shared" si="24"/>
        <v>0.9801694061530366</v>
      </c>
      <c r="AA75" s="222">
        <v>600000</v>
      </c>
      <c r="AB75" s="222">
        <f t="shared" ref="AB75:AB80" si="64">+X75-AA75</f>
        <v>0</v>
      </c>
      <c r="AC75" s="224">
        <f t="shared" ref="AC75:AC139" si="65">+IF(U75&gt;0,(AA75/U75),0)</f>
        <v>1.983059384696334E-2</v>
      </c>
      <c r="AE75" s="13"/>
      <c r="AF75" s="293"/>
    </row>
    <row r="76" spans="1:54" ht="24.95" customHeight="1">
      <c r="A76" s="32" t="str">
        <f t="shared" si="62"/>
        <v>A-02-02-02-008-003=10</v>
      </c>
      <c r="B76" s="217" t="str">
        <f t="shared" si="57"/>
        <v>A-02-02-02-008-003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36</v>
      </c>
      <c r="I76" s="219"/>
      <c r="J76" s="219"/>
      <c r="K76" s="220">
        <v>10</v>
      </c>
      <c r="L76" s="221" t="s">
        <v>29</v>
      </c>
      <c r="M76" s="217" t="s">
        <v>115</v>
      </c>
      <c r="N76" s="222">
        <v>9548931993</v>
      </c>
      <c r="O76" s="222"/>
      <c r="P76" s="222"/>
      <c r="Q76" s="223"/>
      <c r="R76" s="223">
        <f>3000000+120491795.37+520000000+43341522</f>
        <v>686833317.37</v>
      </c>
      <c r="S76" s="223"/>
      <c r="T76" s="222">
        <f t="shared" si="63"/>
        <v>8862098675.6299992</v>
      </c>
      <c r="U76" s="222">
        <v>7221444965</v>
      </c>
      <c r="V76" s="222">
        <f t="shared" si="14"/>
        <v>1640653710.6299992</v>
      </c>
      <c r="W76" s="224">
        <f t="shared" si="18"/>
        <v>0.81486848988246385</v>
      </c>
      <c r="X76" s="222">
        <v>1492411524</v>
      </c>
      <c r="Y76" s="222">
        <f t="shared" si="17"/>
        <v>5729033441</v>
      </c>
      <c r="Z76" s="224">
        <f t="shared" si="24"/>
        <v>0.79333616315941835</v>
      </c>
      <c r="AA76" s="222">
        <v>1492411524</v>
      </c>
      <c r="AB76" s="222">
        <f t="shared" si="64"/>
        <v>0</v>
      </c>
      <c r="AC76" s="224">
        <f t="shared" si="65"/>
        <v>0.20666383684058168</v>
      </c>
      <c r="AE76" s="13"/>
      <c r="AF76" s="293"/>
    </row>
    <row r="77" spans="1:54" ht="33">
      <c r="A77" s="32" t="str">
        <f t="shared" si="62"/>
        <v>A-02-02-02-008-004=10</v>
      </c>
      <c r="B77" s="217" t="str">
        <f t="shared" si="57"/>
        <v>A-02-02-02-008-004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38</v>
      </c>
      <c r="I77" s="219"/>
      <c r="J77" s="219"/>
      <c r="K77" s="220">
        <v>10</v>
      </c>
      <c r="L77" s="221" t="s">
        <v>29</v>
      </c>
      <c r="M77" s="217" t="s">
        <v>116</v>
      </c>
      <c r="N77" s="222">
        <v>2298000000</v>
      </c>
      <c r="O77" s="222"/>
      <c r="P77" s="222"/>
      <c r="Q77" s="223">
        <f>120491795.37+311197103+27793073+52000000</f>
        <v>511481971.37</v>
      </c>
      <c r="R77" s="223">
        <f>244065701+109801250.78</f>
        <v>353866951.77999997</v>
      </c>
      <c r="S77" s="223"/>
      <c r="T77" s="222">
        <f t="shared" si="63"/>
        <v>2455615019.5900002</v>
      </c>
      <c r="U77" s="222">
        <v>1153818277.8499999</v>
      </c>
      <c r="V77" s="222">
        <f t="shared" si="14"/>
        <v>1301796741.7400002</v>
      </c>
      <c r="W77" s="224">
        <f t="shared" si="18"/>
        <v>0.46986936822150821</v>
      </c>
      <c r="X77" s="222">
        <v>665259687</v>
      </c>
      <c r="Y77" s="222">
        <f t="shared" si="17"/>
        <v>488558590.8499999</v>
      </c>
      <c r="Z77" s="224">
        <f t="shared" si="24"/>
        <v>0.42342767507580953</v>
      </c>
      <c r="AA77" s="222">
        <v>665182337</v>
      </c>
      <c r="AB77" s="222">
        <f t="shared" si="64"/>
        <v>77350</v>
      </c>
      <c r="AC77" s="224">
        <f t="shared" si="65"/>
        <v>0.57650528663793266</v>
      </c>
      <c r="AE77" s="13"/>
      <c r="AF77" s="293"/>
    </row>
    <row r="78" spans="1:54" ht="24.95" customHeight="1">
      <c r="A78" s="32" t="str">
        <f t="shared" si="62"/>
        <v>A-02-02-02-008-005=10</v>
      </c>
      <c r="B78" s="217" t="str">
        <f t="shared" si="57"/>
        <v>A-02-02-02-008-005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40</v>
      </c>
      <c r="I78" s="219"/>
      <c r="J78" s="219"/>
      <c r="K78" s="220">
        <v>10</v>
      </c>
      <c r="L78" s="221" t="s">
        <v>29</v>
      </c>
      <c r="M78" s="217" t="s">
        <v>117</v>
      </c>
      <c r="N78" s="222">
        <v>3859335661</v>
      </c>
      <c r="O78" s="222"/>
      <c r="P78" s="222"/>
      <c r="Q78" s="223">
        <f>3000000+1658656629+9968718+43341522</f>
        <v>1714966869</v>
      </c>
      <c r="R78" s="223"/>
      <c r="S78" s="223"/>
      <c r="T78" s="222">
        <f t="shared" si="63"/>
        <v>5574302530</v>
      </c>
      <c r="U78" s="222">
        <v>4663790099.2299995</v>
      </c>
      <c r="V78" s="222">
        <f t="shared" si="14"/>
        <v>910512430.77000046</v>
      </c>
      <c r="W78" s="224">
        <f t="shared" si="18"/>
        <v>0.83665894955112874</v>
      </c>
      <c r="X78" s="222">
        <v>986264783</v>
      </c>
      <c r="Y78" s="222">
        <f t="shared" si="17"/>
        <v>3677525316.2299995</v>
      </c>
      <c r="Z78" s="224">
        <f t="shared" si="24"/>
        <v>0.78852719311642383</v>
      </c>
      <c r="AA78" s="222">
        <v>986264783</v>
      </c>
      <c r="AB78" s="222">
        <f t="shared" si="64"/>
        <v>0</v>
      </c>
      <c r="AC78" s="224">
        <f t="shared" si="65"/>
        <v>0.21147280688357611</v>
      </c>
      <c r="AE78" s="13"/>
      <c r="AF78" s="293"/>
    </row>
    <row r="79" spans="1:54" ht="33">
      <c r="A79" s="32" t="str">
        <f t="shared" si="62"/>
        <v>A-02-02-02-008-007=10</v>
      </c>
      <c r="B79" s="217" t="str">
        <f t="shared" si="57"/>
        <v>A-02-02-02-008-007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44</v>
      </c>
      <c r="I79" s="219"/>
      <c r="J79" s="219"/>
      <c r="K79" s="220">
        <v>10</v>
      </c>
      <c r="L79" s="221" t="s">
        <v>29</v>
      </c>
      <c r="M79" s="217" t="s">
        <v>118</v>
      </c>
      <c r="N79" s="222">
        <v>1363025393</v>
      </c>
      <c r="O79" s="222"/>
      <c r="P79" s="222"/>
      <c r="Q79" s="223">
        <f>244065701+132036816.78</f>
        <v>376102517.77999997</v>
      </c>
      <c r="R79" s="223">
        <f>12300000+311197103+9968718</f>
        <v>333465821</v>
      </c>
      <c r="S79" s="223"/>
      <c r="T79" s="222">
        <f t="shared" si="63"/>
        <v>1405662089.78</v>
      </c>
      <c r="U79" s="222">
        <v>648725393</v>
      </c>
      <c r="V79" s="222">
        <f t="shared" si="14"/>
        <v>756936696.77999997</v>
      </c>
      <c r="W79" s="224">
        <f t="shared" si="18"/>
        <v>0.46150877776146892</v>
      </c>
      <c r="X79" s="222">
        <v>561025393</v>
      </c>
      <c r="Y79" s="222">
        <f t="shared" si="17"/>
        <v>87700000</v>
      </c>
      <c r="Z79" s="224">
        <f t="shared" si="24"/>
        <v>0.13518817198512223</v>
      </c>
      <c r="AA79" s="222">
        <v>561025393</v>
      </c>
      <c r="AB79" s="222">
        <f t="shared" si="64"/>
        <v>0</v>
      </c>
      <c r="AC79" s="224">
        <f t="shared" si="65"/>
        <v>0.86481182801487777</v>
      </c>
      <c r="AE79" s="13"/>
      <c r="AF79" s="293"/>
    </row>
    <row r="80" spans="1:54" s="250" customFormat="1" ht="49.5">
      <c r="A80" s="32" t="str">
        <f t="shared" si="62"/>
        <v>A-02-02-02-008-009=10</v>
      </c>
      <c r="B80" s="217" t="str">
        <f t="shared" si="57"/>
        <v>A-02-02-02-008-009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48</v>
      </c>
      <c r="I80" s="219"/>
      <c r="J80" s="219"/>
      <c r="K80" s="220">
        <v>10</v>
      </c>
      <c r="L80" s="221" t="s">
        <v>29</v>
      </c>
      <c r="M80" s="217" t="s">
        <v>119</v>
      </c>
      <c r="N80" s="222">
        <v>77000000</v>
      </c>
      <c r="O80" s="222"/>
      <c r="P80" s="222"/>
      <c r="Q80" s="223"/>
      <c r="R80" s="223"/>
      <c r="S80" s="223"/>
      <c r="T80" s="222">
        <f t="shared" si="63"/>
        <v>77000000</v>
      </c>
      <c r="U80" s="222">
        <v>45298500</v>
      </c>
      <c r="V80" s="222">
        <f t="shared" si="14"/>
        <v>31701500</v>
      </c>
      <c r="W80" s="224">
        <f t="shared" si="18"/>
        <v>0.58829220779220781</v>
      </c>
      <c r="X80" s="222">
        <v>500000</v>
      </c>
      <c r="Y80" s="222">
        <f t="shared" si="17"/>
        <v>44798500</v>
      </c>
      <c r="Z80" s="224">
        <f t="shared" si="24"/>
        <v>0.98896210691303243</v>
      </c>
      <c r="AA80" s="222">
        <v>500000</v>
      </c>
      <c r="AB80" s="222">
        <f t="shared" si="64"/>
        <v>0</v>
      </c>
      <c r="AC80" s="224">
        <f t="shared" si="65"/>
        <v>1.103789308696756E-2</v>
      </c>
      <c r="AD80" s="13"/>
      <c r="AE80" s="13"/>
      <c r="AF80" s="29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</row>
    <row r="81" spans="1:54" ht="24.95" customHeight="1">
      <c r="A81" s="32" t="str">
        <f t="shared" si="62"/>
        <v>A-02-02-02-009=10</v>
      </c>
      <c r="B81" s="210" t="str">
        <f>CONCATENATE(C81,"-",D81,"-",E81,"-",F81,"-",G81)</f>
        <v>A-02-02-02-009</v>
      </c>
      <c r="C81" s="211" t="s">
        <v>23</v>
      </c>
      <c r="D81" s="212" t="s">
        <v>54</v>
      </c>
      <c r="E81" s="212" t="s">
        <v>54</v>
      </c>
      <c r="F81" s="212" t="s">
        <v>54</v>
      </c>
      <c r="G81" s="212" t="s">
        <v>48</v>
      </c>
      <c r="H81" s="212"/>
      <c r="I81" s="212"/>
      <c r="J81" s="212"/>
      <c r="K81" s="213" t="s">
        <v>28</v>
      </c>
      <c r="L81" s="214" t="s">
        <v>29</v>
      </c>
      <c r="M81" s="210" t="s">
        <v>120</v>
      </c>
      <c r="N81" s="215">
        <f>SUM(N82:N86)</f>
        <v>2410636000</v>
      </c>
      <c r="O81" s="215">
        <f t="shared" ref="O81:AB81" si="66">SUM(O82:O86)</f>
        <v>0</v>
      </c>
      <c r="P81" s="215">
        <f t="shared" si="66"/>
        <v>0</v>
      </c>
      <c r="Q81" s="215">
        <f t="shared" si="66"/>
        <v>0</v>
      </c>
      <c r="R81" s="215">
        <f t="shared" si="66"/>
        <v>3934500</v>
      </c>
      <c r="S81" s="215">
        <f t="shared" si="66"/>
        <v>0</v>
      </c>
      <c r="T81" s="215">
        <f t="shared" si="66"/>
        <v>2406701500</v>
      </c>
      <c r="U81" s="215">
        <f t="shared" si="66"/>
        <v>224502320.86000001</v>
      </c>
      <c r="V81" s="215">
        <f t="shared" si="66"/>
        <v>2182199179.1399999</v>
      </c>
      <c r="W81" s="216">
        <f t="shared" ref="W81:W145" si="67">+IF(T81&gt;0,U81/T81,0)</f>
        <v>9.3282162686149486E-2</v>
      </c>
      <c r="X81" s="215">
        <f t="shared" si="66"/>
        <v>27074671.859999999</v>
      </c>
      <c r="Y81" s="215">
        <f t="shared" si="66"/>
        <v>197427649</v>
      </c>
      <c r="Z81" s="216">
        <f t="shared" si="24"/>
        <v>0.87940137208254598</v>
      </c>
      <c r="AA81" s="215">
        <f t="shared" si="66"/>
        <v>27004732.859999999</v>
      </c>
      <c r="AB81" s="215">
        <f t="shared" si="66"/>
        <v>69939</v>
      </c>
      <c r="AC81" s="216">
        <f t="shared" si="65"/>
        <v>0.12028709884402572</v>
      </c>
      <c r="AE81" s="13"/>
      <c r="AF81" s="293"/>
    </row>
    <row r="82" spans="1:54" ht="24.95" customHeight="1">
      <c r="A82" s="32" t="str">
        <f t="shared" si="62"/>
        <v>A-02-02-02-009-002=10</v>
      </c>
      <c r="B82" s="217" t="str">
        <f t="shared" si="57"/>
        <v>A-02-02-02-009-002</v>
      </c>
      <c r="C82" s="218" t="s">
        <v>23</v>
      </c>
      <c r="D82" s="219" t="s">
        <v>54</v>
      </c>
      <c r="E82" s="219" t="s">
        <v>54</v>
      </c>
      <c r="F82" s="219" t="s">
        <v>54</v>
      </c>
      <c r="G82" s="219" t="s">
        <v>48</v>
      </c>
      <c r="H82" s="225" t="s">
        <v>34</v>
      </c>
      <c r="I82" s="219"/>
      <c r="J82" s="219"/>
      <c r="K82" s="220">
        <v>10</v>
      </c>
      <c r="L82" s="221" t="s">
        <v>29</v>
      </c>
      <c r="M82" s="217" t="s">
        <v>121</v>
      </c>
      <c r="N82" s="222">
        <v>730000000</v>
      </c>
      <c r="O82" s="222"/>
      <c r="P82" s="222"/>
      <c r="Q82" s="223"/>
      <c r="R82" s="223"/>
      <c r="S82" s="223"/>
      <c r="T82" s="222">
        <f>+N82-S82+O82-P82+Q82-R82</f>
        <v>730000000</v>
      </c>
      <c r="U82" s="222">
        <v>0</v>
      </c>
      <c r="V82" s="222">
        <f t="shared" si="14"/>
        <v>730000000</v>
      </c>
      <c r="W82" s="224">
        <f t="shared" si="67"/>
        <v>0</v>
      </c>
      <c r="X82" s="222">
        <v>0</v>
      </c>
      <c r="Y82" s="222">
        <f t="shared" si="17"/>
        <v>0</v>
      </c>
      <c r="Z82" s="224">
        <f t="shared" si="24"/>
        <v>0</v>
      </c>
      <c r="AA82" s="222">
        <v>0</v>
      </c>
      <c r="AB82" s="222">
        <f t="shared" ref="AB82:AB87" si="68">+X82-AA82</f>
        <v>0</v>
      </c>
      <c r="AC82" s="224">
        <f t="shared" si="65"/>
        <v>0</v>
      </c>
      <c r="AE82" s="13"/>
      <c r="AF82" s="293"/>
    </row>
    <row r="83" spans="1:54" ht="34.5" customHeight="1">
      <c r="A83" s="32" t="str">
        <f t="shared" si="62"/>
        <v>A-02-02-02-009-003=10</v>
      </c>
      <c r="B83" s="217" t="str">
        <f t="shared" si="57"/>
        <v>A-02-02-02-009-003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36</v>
      </c>
      <c r="I83" s="219"/>
      <c r="J83" s="219"/>
      <c r="K83" s="220">
        <v>10</v>
      </c>
      <c r="L83" s="221" t="s">
        <v>29</v>
      </c>
      <c r="M83" s="217" t="s">
        <v>122</v>
      </c>
      <c r="N83" s="222">
        <v>365636000</v>
      </c>
      <c r="O83" s="222"/>
      <c r="P83" s="222"/>
      <c r="Q83" s="223"/>
      <c r="R83" s="223"/>
      <c r="S83" s="223"/>
      <c r="T83" s="222">
        <f>+N83-S83+O83-P83+Q83-R83</f>
        <v>365636000</v>
      </c>
      <c r="U83" s="222">
        <v>130658154</v>
      </c>
      <c r="V83" s="222">
        <f t="shared" si="14"/>
        <v>234977846</v>
      </c>
      <c r="W83" s="224">
        <f t="shared" si="67"/>
        <v>0.35734488398297759</v>
      </c>
      <c r="X83" s="222">
        <v>16162000</v>
      </c>
      <c r="Y83" s="222">
        <f t="shared" si="17"/>
        <v>114496154</v>
      </c>
      <c r="Z83" s="224">
        <f t="shared" si="24"/>
        <v>0.87630316589349644</v>
      </c>
      <c r="AA83" s="222">
        <v>16162000</v>
      </c>
      <c r="AB83" s="222">
        <f t="shared" si="68"/>
        <v>0</v>
      </c>
      <c r="AC83" s="224">
        <f t="shared" si="65"/>
        <v>0.1236968341065036</v>
      </c>
      <c r="AE83" s="13"/>
      <c r="AF83" s="293"/>
    </row>
    <row r="84" spans="1:54" ht="49.5">
      <c r="A84" s="32" t="str">
        <f t="shared" si="62"/>
        <v>A-02-02-02-009-004=10</v>
      </c>
      <c r="B84" s="217" t="str">
        <f t="shared" si="57"/>
        <v>A-02-02-02-009-004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38</v>
      </c>
      <c r="I84" s="219"/>
      <c r="J84" s="219"/>
      <c r="K84" s="220">
        <v>10</v>
      </c>
      <c r="L84" s="221" t="s">
        <v>29</v>
      </c>
      <c r="M84" s="217" t="s">
        <v>123</v>
      </c>
      <c r="N84" s="222">
        <v>55000000</v>
      </c>
      <c r="O84" s="222"/>
      <c r="P84" s="222"/>
      <c r="Q84" s="223"/>
      <c r="R84" s="223"/>
      <c r="S84" s="223"/>
      <c r="T84" s="222">
        <f>+N84-S84+O84-P84+Q84-R84</f>
        <v>55000000</v>
      </c>
      <c r="U84" s="222">
        <v>10967666.859999999</v>
      </c>
      <c r="V84" s="222">
        <f t="shared" si="14"/>
        <v>44032333.140000001</v>
      </c>
      <c r="W84" s="224">
        <f t="shared" si="67"/>
        <v>0.19941212472727271</v>
      </c>
      <c r="X84" s="222">
        <v>10847171.859999999</v>
      </c>
      <c r="Y84" s="222">
        <f t="shared" si="17"/>
        <v>120495</v>
      </c>
      <c r="Z84" s="224">
        <f t="shared" si="24"/>
        <v>1.0986384026620589E-2</v>
      </c>
      <c r="AA84" s="222">
        <v>10777232.859999999</v>
      </c>
      <c r="AB84" s="222">
        <f t="shared" si="68"/>
        <v>69939</v>
      </c>
      <c r="AC84" s="224">
        <f t="shared" si="65"/>
        <v>0.98263678114672426</v>
      </c>
      <c r="AE84" s="13"/>
      <c r="AF84" s="293"/>
    </row>
    <row r="85" spans="1:54" ht="24.95" customHeight="1">
      <c r="A85" s="32" t="str">
        <f t="shared" si="62"/>
        <v>A-02-02-02-009-006=10</v>
      </c>
      <c r="B85" s="217" t="str">
        <f t="shared" si="57"/>
        <v>A-02-02-02-009-006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42</v>
      </c>
      <c r="I85" s="219"/>
      <c r="J85" s="219"/>
      <c r="K85" s="220">
        <v>10</v>
      </c>
      <c r="L85" s="221" t="s">
        <v>29</v>
      </c>
      <c r="M85" s="217" t="s">
        <v>124</v>
      </c>
      <c r="N85" s="222">
        <v>1160000000</v>
      </c>
      <c r="O85" s="222"/>
      <c r="P85" s="222"/>
      <c r="Q85" s="223"/>
      <c r="R85" s="223"/>
      <c r="S85" s="223"/>
      <c r="T85" s="222">
        <f>+N85-S85+O85-P85+Q85-R85</f>
        <v>1160000000</v>
      </c>
      <c r="U85" s="222">
        <v>82811000</v>
      </c>
      <c r="V85" s="222">
        <f t="shared" si="14"/>
        <v>1077189000</v>
      </c>
      <c r="W85" s="224">
        <f t="shared" si="67"/>
        <v>7.138879310344827E-2</v>
      </c>
      <c r="X85" s="222">
        <v>0</v>
      </c>
      <c r="Y85" s="222">
        <f t="shared" si="17"/>
        <v>82811000</v>
      </c>
      <c r="Z85" s="224">
        <f t="shared" si="24"/>
        <v>1</v>
      </c>
      <c r="AA85" s="222">
        <v>0</v>
      </c>
      <c r="AB85" s="222">
        <f t="shared" si="68"/>
        <v>0</v>
      </c>
      <c r="AC85" s="224">
        <f t="shared" si="65"/>
        <v>0</v>
      </c>
      <c r="AE85" s="13"/>
      <c r="AF85" s="293"/>
    </row>
    <row r="86" spans="1:54" ht="24.95" customHeight="1">
      <c r="A86" s="32" t="str">
        <f t="shared" si="62"/>
        <v>A-02-02-02-009-007=10</v>
      </c>
      <c r="B86" s="217" t="str">
        <f t="shared" si="57"/>
        <v>A-02-02-02-009-007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44</v>
      </c>
      <c r="I86" s="219"/>
      <c r="J86" s="219"/>
      <c r="K86" s="220">
        <v>10</v>
      </c>
      <c r="L86" s="221" t="s">
        <v>29</v>
      </c>
      <c r="M86" s="217" t="s">
        <v>125</v>
      </c>
      <c r="N86" s="222">
        <v>100000000</v>
      </c>
      <c r="O86" s="222"/>
      <c r="P86" s="222"/>
      <c r="Q86" s="223"/>
      <c r="R86" s="223">
        <v>3934500</v>
      </c>
      <c r="S86" s="223"/>
      <c r="T86" s="222">
        <f>+N86-S86+O86-P86+Q86-R86</f>
        <v>96065500</v>
      </c>
      <c r="U86" s="222">
        <v>65500</v>
      </c>
      <c r="V86" s="222">
        <f t="shared" si="14"/>
        <v>96000000</v>
      </c>
      <c r="W86" s="224">
        <f t="shared" si="67"/>
        <v>6.818264621534266E-4</v>
      </c>
      <c r="X86" s="222">
        <v>65500</v>
      </c>
      <c r="Y86" s="222">
        <f t="shared" si="17"/>
        <v>0</v>
      </c>
      <c r="Z86" s="224">
        <f t="shared" si="24"/>
        <v>0</v>
      </c>
      <c r="AA86" s="222">
        <v>65500</v>
      </c>
      <c r="AB86" s="222">
        <f t="shared" si="68"/>
        <v>0</v>
      </c>
      <c r="AC86" s="224">
        <f t="shared" si="65"/>
        <v>1</v>
      </c>
      <c r="AE86" s="13"/>
      <c r="AF86" s="293"/>
    </row>
    <row r="87" spans="1:54" ht="24.95" customHeight="1">
      <c r="A87" s="32" t="str">
        <f t="shared" si="62"/>
        <v>A-02-02-02-010=10</v>
      </c>
      <c r="B87" s="210" t="str">
        <f>CONCATENATE(C87,"-",D87,"-",E87,"-",F87,"-",G87)</f>
        <v>A-02-02-02-010</v>
      </c>
      <c r="C87" s="211" t="s">
        <v>23</v>
      </c>
      <c r="D87" s="212" t="s">
        <v>54</v>
      </c>
      <c r="E87" s="212" t="s">
        <v>54</v>
      </c>
      <c r="F87" s="212" t="s">
        <v>54</v>
      </c>
      <c r="G87" s="212" t="s">
        <v>50</v>
      </c>
      <c r="H87" s="212"/>
      <c r="I87" s="212"/>
      <c r="J87" s="212"/>
      <c r="K87" s="213" t="s">
        <v>28</v>
      </c>
      <c r="L87" s="214" t="s">
        <v>29</v>
      </c>
      <c r="M87" s="210" t="s">
        <v>126</v>
      </c>
      <c r="N87" s="215">
        <f>VLOOKUP($A87,[4]Vigencia!$L$5:$AA$125,N$1,FALSE)</f>
        <v>1170310070</v>
      </c>
      <c r="O87" s="215"/>
      <c r="P87" s="215"/>
      <c r="Q87" s="215"/>
      <c r="R87" s="215"/>
      <c r="S87" s="215"/>
      <c r="T87" s="215">
        <f>+N87+O87-P87+Q87-R87</f>
        <v>1170310070</v>
      </c>
      <c r="U87" s="215">
        <v>271569561</v>
      </c>
      <c r="V87" s="215">
        <f t="shared" si="14"/>
        <v>898740509</v>
      </c>
      <c r="W87" s="216">
        <f t="shared" si="67"/>
        <v>0.23204923888247839</v>
      </c>
      <c r="X87" s="215">
        <v>244372964</v>
      </c>
      <c r="Y87" s="215">
        <f t="shared" si="17"/>
        <v>27196597</v>
      </c>
      <c r="Z87" s="216">
        <f t="shared" si="24"/>
        <v>0.10014596959929541</v>
      </c>
      <c r="AA87" s="215">
        <v>244372964</v>
      </c>
      <c r="AB87" s="215">
        <f t="shared" si="68"/>
        <v>0</v>
      </c>
      <c r="AC87" s="216">
        <f t="shared" si="65"/>
        <v>0.89985403040070455</v>
      </c>
      <c r="AE87" s="13"/>
      <c r="AF87" s="293"/>
    </row>
    <row r="88" spans="1:54" ht="35.1" customHeight="1">
      <c r="A88" s="32" t="str">
        <f t="shared" si="62"/>
        <v>A-03=</v>
      </c>
      <c r="B88" s="188" t="str">
        <f>CONCATENATE(C88,"-",D88)</f>
        <v>A-03</v>
      </c>
      <c r="C88" s="189" t="s">
        <v>23</v>
      </c>
      <c r="D88" s="191" t="s">
        <v>65</v>
      </c>
      <c r="E88" s="191"/>
      <c r="F88" s="191"/>
      <c r="G88" s="191"/>
      <c r="H88" s="191"/>
      <c r="I88" s="191"/>
      <c r="J88" s="191"/>
      <c r="K88" s="192"/>
      <c r="L88" s="193"/>
      <c r="M88" s="188" t="s">
        <v>127</v>
      </c>
      <c r="N88" s="194">
        <f>+N89+N92+N98</f>
        <v>15140000000</v>
      </c>
      <c r="O88" s="194">
        <f t="shared" ref="O88:V88" si="69">+O89+O92+O98</f>
        <v>0</v>
      </c>
      <c r="P88" s="194">
        <f t="shared" si="69"/>
        <v>0</v>
      </c>
      <c r="Q88" s="194">
        <f t="shared" si="69"/>
        <v>36000000</v>
      </c>
      <c r="R88" s="194">
        <f t="shared" si="69"/>
        <v>36000000</v>
      </c>
      <c r="S88" s="194">
        <f t="shared" si="69"/>
        <v>11791000000</v>
      </c>
      <c r="T88" s="194">
        <f t="shared" si="69"/>
        <v>3349000000</v>
      </c>
      <c r="U88" s="194">
        <f t="shared" si="69"/>
        <v>272939056</v>
      </c>
      <c r="V88" s="194">
        <f t="shared" si="69"/>
        <v>3076060944</v>
      </c>
      <c r="W88" s="195">
        <f t="shared" si="67"/>
        <v>8.1498673036727379E-2</v>
      </c>
      <c r="X88" s="194">
        <f t="shared" ref="X88:Y88" si="70">+X89+X92+X98</f>
        <v>255697950</v>
      </c>
      <c r="Y88" s="194">
        <f t="shared" si="70"/>
        <v>17241106</v>
      </c>
      <c r="Z88" s="195">
        <f t="shared" si="24"/>
        <v>6.3168336011244941E-2</v>
      </c>
      <c r="AA88" s="194">
        <f t="shared" ref="AA88:AB88" si="71">+AA89+AA92+AA98</f>
        <v>255697950</v>
      </c>
      <c r="AB88" s="194">
        <f t="shared" si="71"/>
        <v>0</v>
      </c>
      <c r="AC88" s="195">
        <f t="shared" si="65"/>
        <v>0.93683166398875506</v>
      </c>
      <c r="AE88" s="13"/>
      <c r="AF88" s="293"/>
    </row>
    <row r="89" spans="1:54" ht="24.95" customHeight="1">
      <c r="A89" s="32" t="str">
        <f t="shared" si="62"/>
        <v>A-03-03=</v>
      </c>
      <c r="B89" s="196" t="str">
        <f>CONCATENATE(C89,"-",D89,"-",E89)</f>
        <v>A-03-03</v>
      </c>
      <c r="C89" s="197" t="s">
        <v>23</v>
      </c>
      <c r="D89" s="198" t="s">
        <v>65</v>
      </c>
      <c r="E89" s="198" t="s">
        <v>65</v>
      </c>
      <c r="F89" s="198"/>
      <c r="G89" s="198"/>
      <c r="H89" s="198"/>
      <c r="I89" s="198"/>
      <c r="J89" s="198"/>
      <c r="K89" s="199"/>
      <c r="L89" s="200"/>
      <c r="M89" s="196" t="s">
        <v>128</v>
      </c>
      <c r="N89" s="201">
        <f>+N90</f>
        <v>11791000000</v>
      </c>
      <c r="O89" s="201">
        <f t="shared" ref="O89:V90" si="72">+O90</f>
        <v>0</v>
      </c>
      <c r="P89" s="201">
        <f t="shared" si="72"/>
        <v>0</v>
      </c>
      <c r="Q89" s="201">
        <f t="shared" si="72"/>
        <v>0</v>
      </c>
      <c r="R89" s="201">
        <f t="shared" si="72"/>
        <v>0</v>
      </c>
      <c r="S89" s="201">
        <f t="shared" si="72"/>
        <v>11791000000</v>
      </c>
      <c r="T89" s="201">
        <f t="shared" si="72"/>
        <v>0</v>
      </c>
      <c r="U89" s="201">
        <f t="shared" si="72"/>
        <v>0</v>
      </c>
      <c r="V89" s="201">
        <f t="shared" si="72"/>
        <v>0</v>
      </c>
      <c r="W89" s="202">
        <f t="shared" si="67"/>
        <v>0</v>
      </c>
      <c r="X89" s="201">
        <f t="shared" ref="X89:Y90" si="73">+X90</f>
        <v>0</v>
      </c>
      <c r="Y89" s="201">
        <f t="shared" si="73"/>
        <v>0</v>
      </c>
      <c r="Z89" s="202">
        <f t="shared" si="24"/>
        <v>0</v>
      </c>
      <c r="AA89" s="201">
        <f t="shared" ref="AA89:AB90" si="74">+AA90</f>
        <v>0</v>
      </c>
      <c r="AB89" s="201">
        <f t="shared" si="74"/>
        <v>0</v>
      </c>
      <c r="AC89" s="202">
        <f t="shared" si="65"/>
        <v>0</v>
      </c>
      <c r="AE89" s="13"/>
      <c r="AF89" s="293"/>
    </row>
    <row r="90" spans="1:54" ht="24.95" customHeight="1">
      <c r="A90" s="32" t="str">
        <f t="shared" si="62"/>
        <v>A-03-03-01=10</v>
      </c>
      <c r="B90" s="203" t="str">
        <f>CONCATENATE(C90,"-",D90,"-",E90,"-",F90)</f>
        <v>A-03-03-01</v>
      </c>
      <c r="C90" s="204" t="s">
        <v>23</v>
      </c>
      <c r="D90" s="205" t="s">
        <v>65</v>
      </c>
      <c r="E90" s="205" t="s">
        <v>65</v>
      </c>
      <c r="F90" s="256" t="s">
        <v>25</v>
      </c>
      <c r="G90" s="205"/>
      <c r="H90" s="205"/>
      <c r="I90" s="205"/>
      <c r="J90" s="205"/>
      <c r="K90" s="206">
        <v>10</v>
      </c>
      <c r="L90" s="207" t="s">
        <v>29</v>
      </c>
      <c r="M90" s="203" t="s">
        <v>129</v>
      </c>
      <c r="N90" s="208">
        <f>+N91</f>
        <v>11791000000</v>
      </c>
      <c r="O90" s="208">
        <f t="shared" si="72"/>
        <v>0</v>
      </c>
      <c r="P90" s="208">
        <f t="shared" si="72"/>
        <v>0</v>
      </c>
      <c r="Q90" s="208">
        <f t="shared" si="72"/>
        <v>0</v>
      </c>
      <c r="R90" s="208">
        <f t="shared" si="72"/>
        <v>0</v>
      </c>
      <c r="S90" s="208">
        <f t="shared" si="72"/>
        <v>11791000000</v>
      </c>
      <c r="T90" s="208">
        <f t="shared" si="72"/>
        <v>0</v>
      </c>
      <c r="U90" s="208">
        <f t="shared" si="72"/>
        <v>0</v>
      </c>
      <c r="V90" s="208">
        <f t="shared" si="72"/>
        <v>0</v>
      </c>
      <c r="W90" s="209">
        <f t="shared" si="67"/>
        <v>0</v>
      </c>
      <c r="X90" s="208">
        <f t="shared" si="73"/>
        <v>0</v>
      </c>
      <c r="Y90" s="208">
        <f t="shared" si="73"/>
        <v>0</v>
      </c>
      <c r="Z90" s="209">
        <f t="shared" si="24"/>
        <v>0</v>
      </c>
      <c r="AA90" s="208">
        <f t="shared" si="74"/>
        <v>0</v>
      </c>
      <c r="AB90" s="208">
        <f t="shared" si="74"/>
        <v>0</v>
      </c>
      <c r="AC90" s="209">
        <f t="shared" si="65"/>
        <v>0</v>
      </c>
      <c r="AE90" s="13"/>
      <c r="AF90" s="293"/>
    </row>
    <row r="91" spans="1:54" ht="24.95" customHeight="1">
      <c r="A91" s="32" t="str">
        <f t="shared" si="62"/>
        <v>A-03-03-01-999=10</v>
      </c>
      <c r="B91" s="217" t="str">
        <f>CONCATENATE(C91,"-",D91,"-",E91,"-",F91,"-",G91)</f>
        <v>A-03-03-01-999</v>
      </c>
      <c r="C91" s="218" t="s">
        <v>23</v>
      </c>
      <c r="D91" s="219" t="s">
        <v>65</v>
      </c>
      <c r="E91" s="219" t="s">
        <v>65</v>
      </c>
      <c r="F91" s="219" t="s">
        <v>25</v>
      </c>
      <c r="G91" s="219" t="s">
        <v>134</v>
      </c>
      <c r="H91" s="219"/>
      <c r="I91" s="219"/>
      <c r="J91" s="219"/>
      <c r="K91" s="220" t="s">
        <v>28</v>
      </c>
      <c r="L91" s="221" t="s">
        <v>29</v>
      </c>
      <c r="M91" s="217" t="s">
        <v>135</v>
      </c>
      <c r="N91" s="222">
        <v>11791000000</v>
      </c>
      <c r="O91" s="222"/>
      <c r="P91" s="222"/>
      <c r="Q91" s="222"/>
      <c r="R91" s="222"/>
      <c r="S91" s="222">
        <v>11791000000</v>
      </c>
      <c r="T91" s="222">
        <f>+N91-S91+O91-P91+Q91-R91</f>
        <v>0</v>
      </c>
      <c r="U91" s="222">
        <v>0</v>
      </c>
      <c r="V91" s="222">
        <f t="shared" ref="V91" si="75">+T91-U91</f>
        <v>0</v>
      </c>
      <c r="W91" s="224">
        <f t="shared" si="67"/>
        <v>0</v>
      </c>
      <c r="X91" s="222">
        <v>0</v>
      </c>
      <c r="Y91" s="222">
        <f t="shared" ref="Y91" si="76">+U91-X91</f>
        <v>0</v>
      </c>
      <c r="Z91" s="224">
        <f t="shared" ref="Z91:Z155" si="77">+IF(U91&gt;0,Y91/U91,0)</f>
        <v>0</v>
      </c>
      <c r="AA91" s="222">
        <v>0</v>
      </c>
      <c r="AB91" s="222">
        <f t="shared" ref="AB91" si="78">+X91-AA91</f>
        <v>0</v>
      </c>
      <c r="AC91" s="224">
        <f t="shared" si="65"/>
        <v>0</v>
      </c>
      <c r="AE91" s="13"/>
      <c r="AF91" s="293"/>
    </row>
    <row r="92" spans="1:54" ht="24.95" customHeight="1">
      <c r="A92" s="32" t="str">
        <f t="shared" si="62"/>
        <v>A-03-04=</v>
      </c>
      <c r="B92" s="196" t="str">
        <f>CONCATENATE(C92,"-",D92,"-",E92)</f>
        <v>A-03-04</v>
      </c>
      <c r="C92" s="197" t="s">
        <v>23</v>
      </c>
      <c r="D92" s="198" t="s">
        <v>65</v>
      </c>
      <c r="E92" s="198" t="s">
        <v>136</v>
      </c>
      <c r="F92" s="198"/>
      <c r="G92" s="198"/>
      <c r="H92" s="198"/>
      <c r="I92" s="198"/>
      <c r="J92" s="198"/>
      <c r="K92" s="199"/>
      <c r="L92" s="200"/>
      <c r="M92" s="196" t="s">
        <v>137</v>
      </c>
      <c r="N92" s="201">
        <f>+N93</f>
        <v>752000000</v>
      </c>
      <c r="O92" s="201">
        <f t="shared" ref="O92:AB93" si="79">+O93</f>
        <v>0</v>
      </c>
      <c r="P92" s="201">
        <f t="shared" si="79"/>
        <v>0</v>
      </c>
      <c r="Q92" s="201">
        <f t="shared" si="79"/>
        <v>36000000</v>
      </c>
      <c r="R92" s="201">
        <f t="shared" si="79"/>
        <v>36000000</v>
      </c>
      <c r="S92" s="201">
        <f t="shared" si="79"/>
        <v>0</v>
      </c>
      <c r="T92" s="201">
        <f t="shared" si="79"/>
        <v>752000000</v>
      </c>
      <c r="U92" s="201">
        <f t="shared" si="79"/>
        <v>272939056</v>
      </c>
      <c r="V92" s="201">
        <f t="shared" si="79"/>
        <v>479060944</v>
      </c>
      <c r="W92" s="202">
        <f t="shared" si="67"/>
        <v>0.36295087234042556</v>
      </c>
      <c r="X92" s="201">
        <f t="shared" si="79"/>
        <v>255697950</v>
      </c>
      <c r="Y92" s="201">
        <f t="shared" si="79"/>
        <v>17241106</v>
      </c>
      <c r="Z92" s="202">
        <f t="shared" si="77"/>
        <v>6.3168336011244941E-2</v>
      </c>
      <c r="AA92" s="201">
        <f t="shared" si="79"/>
        <v>255697950</v>
      </c>
      <c r="AB92" s="201">
        <f t="shared" si="79"/>
        <v>0</v>
      </c>
      <c r="AC92" s="202">
        <f t="shared" si="65"/>
        <v>0.93683166398875506</v>
      </c>
      <c r="AE92" s="13"/>
      <c r="AF92" s="293"/>
    </row>
    <row r="93" spans="1:54" ht="24.95" customHeight="1">
      <c r="A93" s="32" t="str">
        <f t="shared" si="62"/>
        <v>A-03-04-02=10</v>
      </c>
      <c r="B93" s="203" t="str">
        <f>CONCATENATE(C93,"-",D93,"-",E93,"-",F93)</f>
        <v>A-03-04-02</v>
      </c>
      <c r="C93" s="204" t="s">
        <v>23</v>
      </c>
      <c r="D93" s="205" t="s">
        <v>65</v>
      </c>
      <c r="E93" s="205" t="s">
        <v>136</v>
      </c>
      <c r="F93" s="205" t="s">
        <v>54</v>
      </c>
      <c r="G93" s="205"/>
      <c r="H93" s="205"/>
      <c r="I93" s="205"/>
      <c r="J93" s="205"/>
      <c r="K93" s="206" t="s">
        <v>28</v>
      </c>
      <c r="L93" s="207" t="s">
        <v>29</v>
      </c>
      <c r="M93" s="203" t="s">
        <v>138</v>
      </c>
      <c r="N93" s="208">
        <f>+N94</f>
        <v>752000000</v>
      </c>
      <c r="O93" s="208">
        <f t="shared" si="79"/>
        <v>0</v>
      </c>
      <c r="P93" s="208">
        <f t="shared" si="79"/>
        <v>0</v>
      </c>
      <c r="Q93" s="208">
        <f t="shared" si="79"/>
        <v>36000000</v>
      </c>
      <c r="R93" s="208">
        <f t="shared" si="79"/>
        <v>36000000</v>
      </c>
      <c r="S93" s="208">
        <f t="shared" si="79"/>
        <v>0</v>
      </c>
      <c r="T93" s="208">
        <f t="shared" si="79"/>
        <v>752000000</v>
      </c>
      <c r="U93" s="208">
        <f t="shared" si="79"/>
        <v>272939056</v>
      </c>
      <c r="V93" s="208">
        <f t="shared" si="79"/>
        <v>479060944</v>
      </c>
      <c r="W93" s="209">
        <f t="shared" si="67"/>
        <v>0.36295087234042556</v>
      </c>
      <c r="X93" s="208">
        <f t="shared" si="79"/>
        <v>255697950</v>
      </c>
      <c r="Y93" s="208">
        <f t="shared" si="79"/>
        <v>17241106</v>
      </c>
      <c r="Z93" s="209">
        <f t="shared" si="77"/>
        <v>6.3168336011244941E-2</v>
      </c>
      <c r="AA93" s="208">
        <f t="shared" si="79"/>
        <v>255697950</v>
      </c>
      <c r="AB93" s="208">
        <f t="shared" si="79"/>
        <v>0</v>
      </c>
      <c r="AC93" s="209">
        <f t="shared" si="65"/>
        <v>0.93683166398875506</v>
      </c>
      <c r="AE93" s="13"/>
      <c r="AF93" s="293"/>
    </row>
    <row r="94" spans="1:54" s="64" customFormat="1" ht="24.95" customHeight="1">
      <c r="A94" s="32" t="str">
        <f t="shared" si="62"/>
        <v>A-03-04-02-012=10</v>
      </c>
      <c r="B94" s="210" t="str">
        <f>CONCATENATE(C94,"-",D94,"-",E94,"-",F94,"-",G94)</f>
        <v>A-03-04-02-012</v>
      </c>
      <c r="C94" s="211" t="s">
        <v>23</v>
      </c>
      <c r="D94" s="212" t="s">
        <v>65</v>
      </c>
      <c r="E94" s="212" t="s">
        <v>136</v>
      </c>
      <c r="F94" s="212" t="s">
        <v>54</v>
      </c>
      <c r="G94" s="212" t="s">
        <v>52</v>
      </c>
      <c r="H94" s="212"/>
      <c r="I94" s="212"/>
      <c r="J94" s="212"/>
      <c r="K94" s="213" t="s">
        <v>28</v>
      </c>
      <c r="L94" s="214" t="s">
        <v>29</v>
      </c>
      <c r="M94" s="210" t="s">
        <v>139</v>
      </c>
      <c r="N94" s="215">
        <f>SUM(N95:N97)</f>
        <v>752000000</v>
      </c>
      <c r="O94" s="215">
        <f t="shared" ref="O94:V94" si="80">SUM(O95:O97)</f>
        <v>0</v>
      </c>
      <c r="P94" s="215">
        <f t="shared" si="80"/>
        <v>0</v>
      </c>
      <c r="Q94" s="215">
        <f t="shared" si="80"/>
        <v>36000000</v>
      </c>
      <c r="R94" s="215">
        <f t="shared" si="80"/>
        <v>36000000</v>
      </c>
      <c r="S94" s="215">
        <f t="shared" si="80"/>
        <v>0</v>
      </c>
      <c r="T94" s="215">
        <f t="shared" si="80"/>
        <v>752000000</v>
      </c>
      <c r="U94" s="215">
        <f t="shared" si="80"/>
        <v>272939056</v>
      </c>
      <c r="V94" s="215">
        <f t="shared" si="80"/>
        <v>479060944</v>
      </c>
      <c r="W94" s="216">
        <f t="shared" si="67"/>
        <v>0.36295087234042556</v>
      </c>
      <c r="X94" s="215">
        <f t="shared" ref="X94:Y94" si="81">SUM(X95:X97)</f>
        <v>255697950</v>
      </c>
      <c r="Y94" s="215">
        <f t="shared" si="81"/>
        <v>17241106</v>
      </c>
      <c r="Z94" s="216">
        <f t="shared" si="77"/>
        <v>6.3168336011244941E-2</v>
      </c>
      <c r="AA94" s="215">
        <f t="shared" ref="AA94:AB94" si="82">SUM(AA95:AA97)</f>
        <v>255697950</v>
      </c>
      <c r="AB94" s="215">
        <f t="shared" si="82"/>
        <v>0</v>
      </c>
      <c r="AC94" s="216">
        <f t="shared" si="65"/>
        <v>0.93683166398875506</v>
      </c>
      <c r="AD94" s="13"/>
      <c r="AE94" s="13"/>
      <c r="AF94" s="29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</row>
    <row r="95" spans="1:54" ht="24.95" customHeight="1">
      <c r="A95" s="32" t="str">
        <f t="shared" si="62"/>
        <v>A-03-04-02-012-001=10</v>
      </c>
      <c r="B95" s="217" t="str">
        <f>CONCATENATE(C95,"-",D95,"-",E95,"-",F95,"-",G95,"-",H95)</f>
        <v>A-03-04-02-012-001</v>
      </c>
      <c r="C95" s="218" t="s">
        <v>23</v>
      </c>
      <c r="D95" s="219" t="s">
        <v>65</v>
      </c>
      <c r="E95" s="219" t="s">
        <v>136</v>
      </c>
      <c r="F95" s="219" t="s">
        <v>54</v>
      </c>
      <c r="G95" s="219" t="s">
        <v>52</v>
      </c>
      <c r="H95" s="219" t="s">
        <v>31</v>
      </c>
      <c r="I95" s="219"/>
      <c r="J95" s="219"/>
      <c r="K95" s="220" t="s">
        <v>28</v>
      </c>
      <c r="L95" s="221" t="s">
        <v>29</v>
      </c>
      <c r="M95" s="217" t="s">
        <v>140</v>
      </c>
      <c r="N95" s="222">
        <v>402000000</v>
      </c>
      <c r="O95" s="222"/>
      <c r="P95" s="222"/>
      <c r="Q95" s="222"/>
      <c r="R95" s="222"/>
      <c r="S95" s="222"/>
      <c r="T95" s="222">
        <f>+N95-S95+O95-P95+Q95-R95</f>
        <v>402000000</v>
      </c>
      <c r="U95" s="222">
        <v>197402308</v>
      </c>
      <c r="V95" s="222">
        <f t="shared" si="14"/>
        <v>204597692</v>
      </c>
      <c r="W95" s="224">
        <f t="shared" si="67"/>
        <v>0.49105051741293532</v>
      </c>
      <c r="X95" s="222">
        <v>180161202</v>
      </c>
      <c r="Y95" s="222">
        <f t="shared" si="17"/>
        <v>17241106</v>
      </c>
      <c r="Z95" s="224">
        <f t="shared" si="77"/>
        <v>8.733994133442452E-2</v>
      </c>
      <c r="AA95" s="222">
        <v>180161202</v>
      </c>
      <c r="AB95" s="222">
        <f t="shared" si="15"/>
        <v>0</v>
      </c>
      <c r="AC95" s="224">
        <f t="shared" si="65"/>
        <v>0.91266005866557554</v>
      </c>
      <c r="AE95" s="13"/>
      <c r="AF95" s="293"/>
    </row>
    <row r="96" spans="1:54" ht="24.95" customHeight="1">
      <c r="A96" s="32" t="str">
        <f t="shared" si="62"/>
        <v>A-03-04-02-012-002=10</v>
      </c>
      <c r="B96" s="217" t="str">
        <f>CONCATENATE(C96,"-",D96,"-",E96,"-",F96,"-",G96,"-",H96)</f>
        <v>A-03-04-02-012-002</v>
      </c>
      <c r="C96" s="218" t="s">
        <v>23</v>
      </c>
      <c r="D96" s="219" t="s">
        <v>65</v>
      </c>
      <c r="E96" s="219" t="s">
        <v>136</v>
      </c>
      <c r="F96" s="219" t="s">
        <v>54</v>
      </c>
      <c r="G96" s="219" t="s">
        <v>52</v>
      </c>
      <c r="H96" s="219" t="s">
        <v>34</v>
      </c>
      <c r="I96" s="219"/>
      <c r="J96" s="219"/>
      <c r="K96" s="220" t="s">
        <v>28</v>
      </c>
      <c r="L96" s="221" t="s">
        <v>29</v>
      </c>
      <c r="M96" s="217" t="s">
        <v>141</v>
      </c>
      <c r="N96" s="222">
        <v>350000000</v>
      </c>
      <c r="O96" s="222"/>
      <c r="P96" s="222"/>
      <c r="Q96" s="223"/>
      <c r="R96" s="223">
        <v>36000000</v>
      </c>
      <c r="S96" s="223"/>
      <c r="T96" s="222">
        <f>+N96-S96+O96-P96+Q96-R96</f>
        <v>314000000</v>
      </c>
      <c r="U96" s="222">
        <v>39545874</v>
      </c>
      <c r="V96" s="222">
        <f t="shared" si="14"/>
        <v>274454126</v>
      </c>
      <c r="W96" s="224">
        <f t="shared" si="67"/>
        <v>0.12594227388535031</v>
      </c>
      <c r="X96" s="222">
        <v>39545874</v>
      </c>
      <c r="Y96" s="222">
        <f t="shared" si="17"/>
        <v>0</v>
      </c>
      <c r="Z96" s="224">
        <f t="shared" si="77"/>
        <v>0</v>
      </c>
      <c r="AA96" s="222">
        <v>39545874</v>
      </c>
      <c r="AB96" s="222">
        <f t="shared" si="15"/>
        <v>0</v>
      </c>
      <c r="AC96" s="224">
        <f t="shared" si="65"/>
        <v>1</v>
      </c>
      <c r="AE96" s="13"/>
      <c r="AF96" s="293"/>
    </row>
    <row r="97" spans="1:54" s="64" customFormat="1" ht="24.95" customHeight="1">
      <c r="A97" s="32" t="str">
        <f t="shared" si="62"/>
        <v>A-03-04-02-025=10</v>
      </c>
      <c r="B97" s="217" t="str">
        <f>CONCATENATE(C97,"-",D97,"-",E97,"-",F97,"-",G97)</f>
        <v>A-03-04-02-025</v>
      </c>
      <c r="C97" s="218" t="s">
        <v>23</v>
      </c>
      <c r="D97" s="219" t="s">
        <v>65</v>
      </c>
      <c r="E97" s="219" t="s">
        <v>136</v>
      </c>
      <c r="F97" s="219" t="s">
        <v>54</v>
      </c>
      <c r="G97" s="225" t="s">
        <v>142</v>
      </c>
      <c r="H97" s="219"/>
      <c r="I97" s="219"/>
      <c r="J97" s="219"/>
      <c r="K97" s="220" t="s">
        <v>28</v>
      </c>
      <c r="L97" s="221" t="s">
        <v>29</v>
      </c>
      <c r="M97" s="217" t="s">
        <v>260</v>
      </c>
      <c r="N97" s="222">
        <f>VLOOKUP($A97,[3]Vigencia!$L$5:$AA$128,N$1,FALSE)</f>
        <v>0</v>
      </c>
      <c r="O97" s="222"/>
      <c r="P97" s="222"/>
      <c r="Q97" s="223">
        <v>36000000</v>
      </c>
      <c r="R97" s="223"/>
      <c r="S97" s="223"/>
      <c r="T97" s="222">
        <f t="shared" ref="T97" si="83">+N97+O97-P97+Q97-R97-S97</f>
        <v>36000000</v>
      </c>
      <c r="U97" s="222">
        <v>35990874</v>
      </c>
      <c r="V97" s="222">
        <f t="shared" si="14"/>
        <v>9126</v>
      </c>
      <c r="W97" s="224">
        <f t="shared" si="67"/>
        <v>0.99974649999999998</v>
      </c>
      <c r="X97" s="222">
        <v>35990874</v>
      </c>
      <c r="Y97" s="222">
        <f t="shared" si="17"/>
        <v>0</v>
      </c>
      <c r="Z97" s="224">
        <f t="shared" si="77"/>
        <v>0</v>
      </c>
      <c r="AA97" s="222">
        <v>35990874</v>
      </c>
      <c r="AB97" s="222">
        <f t="shared" si="15"/>
        <v>0</v>
      </c>
      <c r="AC97" s="224">
        <f t="shared" si="65"/>
        <v>1</v>
      </c>
      <c r="AD97" s="13"/>
      <c r="AE97" s="13"/>
      <c r="AF97" s="29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</row>
    <row r="98" spans="1:54" ht="24.95" customHeight="1">
      <c r="A98" s="32" t="str">
        <f t="shared" si="62"/>
        <v>A-03-10=</v>
      </c>
      <c r="B98" s="196" t="str">
        <f>CONCATENATE(C98,"-",D98,"-",E98)</f>
        <v>A-03-10</v>
      </c>
      <c r="C98" s="197" t="s">
        <v>23</v>
      </c>
      <c r="D98" s="198" t="s">
        <v>65</v>
      </c>
      <c r="E98" s="198" t="s">
        <v>28</v>
      </c>
      <c r="F98" s="198"/>
      <c r="G98" s="198"/>
      <c r="H98" s="198"/>
      <c r="I98" s="198"/>
      <c r="J98" s="198"/>
      <c r="K98" s="199"/>
      <c r="L98" s="200"/>
      <c r="M98" s="196" t="s">
        <v>143</v>
      </c>
      <c r="N98" s="201">
        <f>+N99</f>
        <v>2597000000</v>
      </c>
      <c r="O98" s="201">
        <f t="shared" ref="O98:V98" si="84">+O99</f>
        <v>0</v>
      </c>
      <c r="P98" s="201">
        <f t="shared" si="84"/>
        <v>0</v>
      </c>
      <c r="Q98" s="201">
        <f t="shared" si="84"/>
        <v>0</v>
      </c>
      <c r="R98" s="201">
        <f t="shared" si="84"/>
        <v>0</v>
      </c>
      <c r="S98" s="201">
        <f t="shared" si="84"/>
        <v>0</v>
      </c>
      <c r="T98" s="201">
        <f t="shared" si="84"/>
        <v>2597000000</v>
      </c>
      <c r="U98" s="201">
        <f t="shared" si="84"/>
        <v>0</v>
      </c>
      <c r="V98" s="201">
        <f t="shared" si="84"/>
        <v>2597000000</v>
      </c>
      <c r="W98" s="202">
        <f t="shared" si="67"/>
        <v>0</v>
      </c>
      <c r="X98" s="201">
        <f t="shared" ref="X98:AB98" si="85">+X99</f>
        <v>0</v>
      </c>
      <c r="Y98" s="201">
        <f t="shared" si="85"/>
        <v>0</v>
      </c>
      <c r="Z98" s="202">
        <f t="shared" si="77"/>
        <v>0</v>
      </c>
      <c r="AA98" s="201">
        <f t="shared" si="85"/>
        <v>0</v>
      </c>
      <c r="AB98" s="201">
        <f t="shared" si="85"/>
        <v>0</v>
      </c>
      <c r="AC98" s="202">
        <f t="shared" si="65"/>
        <v>0</v>
      </c>
      <c r="AE98" s="13"/>
      <c r="AF98" s="293"/>
    </row>
    <row r="99" spans="1:54" ht="16.5">
      <c r="A99" s="32" t="str">
        <f t="shared" si="62"/>
        <v>A-03-10-01=11</v>
      </c>
      <c r="B99" s="203" t="str">
        <f>CONCATENATE(C99,"-",D99,"-",E99,"-",F99)</f>
        <v>A-03-10-01</v>
      </c>
      <c r="C99" s="204" t="s">
        <v>23</v>
      </c>
      <c r="D99" s="205" t="s">
        <v>65</v>
      </c>
      <c r="E99" s="205" t="s">
        <v>28</v>
      </c>
      <c r="F99" s="205" t="s">
        <v>25</v>
      </c>
      <c r="G99" s="205"/>
      <c r="H99" s="205"/>
      <c r="I99" s="205"/>
      <c r="J99" s="205"/>
      <c r="K99" s="206" t="s">
        <v>144</v>
      </c>
      <c r="L99" s="207" t="s">
        <v>29</v>
      </c>
      <c r="M99" s="203" t="s">
        <v>145</v>
      </c>
      <c r="N99" s="208">
        <f t="shared" ref="N99:V99" si="86">SUM(N100:N100)</f>
        <v>2597000000</v>
      </c>
      <c r="O99" s="208">
        <f t="shared" si="86"/>
        <v>0</v>
      </c>
      <c r="P99" s="208">
        <f t="shared" si="86"/>
        <v>0</v>
      </c>
      <c r="Q99" s="208">
        <f t="shared" si="86"/>
        <v>0</v>
      </c>
      <c r="R99" s="208">
        <f t="shared" si="86"/>
        <v>0</v>
      </c>
      <c r="S99" s="208">
        <f t="shared" si="86"/>
        <v>0</v>
      </c>
      <c r="T99" s="208">
        <f t="shared" si="86"/>
        <v>2597000000</v>
      </c>
      <c r="U99" s="208">
        <f t="shared" si="86"/>
        <v>0</v>
      </c>
      <c r="V99" s="208">
        <f t="shared" si="86"/>
        <v>2597000000</v>
      </c>
      <c r="W99" s="209">
        <f t="shared" si="67"/>
        <v>0</v>
      </c>
      <c r="X99" s="208">
        <f t="shared" ref="X99:Y99" si="87">SUM(X100:X100)</f>
        <v>0</v>
      </c>
      <c r="Y99" s="208">
        <f t="shared" si="87"/>
        <v>0</v>
      </c>
      <c r="Z99" s="209">
        <f t="shared" si="77"/>
        <v>0</v>
      </c>
      <c r="AA99" s="208">
        <f t="shared" ref="AA99:AB99" si="88">SUM(AA100:AA100)</f>
        <v>0</v>
      </c>
      <c r="AB99" s="208">
        <f t="shared" si="88"/>
        <v>0</v>
      </c>
      <c r="AC99" s="209">
        <f t="shared" si="65"/>
        <v>0</v>
      </c>
      <c r="AE99" s="13"/>
      <c r="AF99" s="293"/>
    </row>
    <row r="100" spans="1:54" ht="24.95" customHeight="1">
      <c r="A100" s="32" t="str">
        <f t="shared" si="62"/>
        <v>A-03-10-01-001=10</v>
      </c>
      <c r="B100" s="217" t="str">
        <f>CONCATENATE(C100,"-",D100,"-",E100,"-",F100,"-",G100)</f>
        <v>A-03-10-01-001</v>
      </c>
      <c r="C100" s="218" t="s">
        <v>23</v>
      </c>
      <c r="D100" s="219" t="s">
        <v>65</v>
      </c>
      <c r="E100" s="219" t="s">
        <v>28</v>
      </c>
      <c r="F100" s="219" t="s">
        <v>25</v>
      </c>
      <c r="G100" s="219" t="s">
        <v>31</v>
      </c>
      <c r="H100" s="219"/>
      <c r="I100" s="219"/>
      <c r="J100" s="219"/>
      <c r="K100" s="220">
        <v>10</v>
      </c>
      <c r="L100" s="221" t="s">
        <v>29</v>
      </c>
      <c r="M100" s="259" t="s">
        <v>146</v>
      </c>
      <c r="N100" s="222">
        <v>2597000000</v>
      </c>
      <c r="O100" s="222"/>
      <c r="P100" s="222"/>
      <c r="Q100" s="222"/>
      <c r="R100" s="222"/>
      <c r="S100" s="222"/>
      <c r="T100" s="222">
        <f>+N100-S100+O100-P100+Q100-R100</f>
        <v>2597000000</v>
      </c>
      <c r="U100" s="222">
        <v>0</v>
      </c>
      <c r="V100" s="222">
        <f t="shared" si="14"/>
        <v>2597000000</v>
      </c>
      <c r="W100" s="224">
        <f t="shared" si="67"/>
        <v>0</v>
      </c>
      <c r="X100" s="222">
        <v>0</v>
      </c>
      <c r="Y100" s="222">
        <f t="shared" si="17"/>
        <v>0</v>
      </c>
      <c r="Z100" s="224">
        <f t="shared" si="77"/>
        <v>0</v>
      </c>
      <c r="AA100" s="222">
        <v>0</v>
      </c>
      <c r="AB100" s="222">
        <f t="shared" si="15"/>
        <v>0</v>
      </c>
      <c r="AC100" s="224">
        <f t="shared" si="65"/>
        <v>0</v>
      </c>
      <c r="AE100" s="13"/>
      <c r="AF100" s="293"/>
    </row>
    <row r="101" spans="1:54" ht="35.1" customHeight="1">
      <c r="A101" s="32" t="str">
        <f t="shared" si="62"/>
        <v>A-08=</v>
      </c>
      <c r="B101" s="188" t="str">
        <f>CONCATENATE(C101,"-",D101)</f>
        <v>A-08</v>
      </c>
      <c r="C101" s="189" t="s">
        <v>23</v>
      </c>
      <c r="D101" s="191" t="s">
        <v>148</v>
      </c>
      <c r="E101" s="191"/>
      <c r="F101" s="191"/>
      <c r="G101" s="191"/>
      <c r="H101" s="191"/>
      <c r="I101" s="191"/>
      <c r="J101" s="191"/>
      <c r="K101" s="192"/>
      <c r="L101" s="193"/>
      <c r="M101" s="188" t="s">
        <v>149</v>
      </c>
      <c r="N101" s="194">
        <f>+N102+N107</f>
        <v>5824000000</v>
      </c>
      <c r="O101" s="194">
        <f t="shared" ref="O101:V101" si="89">+O102+O107</f>
        <v>0</v>
      </c>
      <c r="P101" s="194">
        <f t="shared" si="89"/>
        <v>0</v>
      </c>
      <c r="Q101" s="194">
        <f t="shared" si="89"/>
        <v>0</v>
      </c>
      <c r="R101" s="194">
        <f t="shared" si="89"/>
        <v>0</v>
      </c>
      <c r="S101" s="194">
        <f t="shared" si="89"/>
        <v>0</v>
      </c>
      <c r="T101" s="194">
        <f t="shared" si="89"/>
        <v>5824000000</v>
      </c>
      <c r="U101" s="194">
        <f t="shared" si="89"/>
        <v>75560237.280000001</v>
      </c>
      <c r="V101" s="194">
        <f t="shared" si="89"/>
        <v>5748439762.7200003</v>
      </c>
      <c r="W101" s="195">
        <f t="shared" si="67"/>
        <v>1.297394184065934E-2</v>
      </c>
      <c r="X101" s="194">
        <f t="shared" ref="X101:AB101" si="90">+X102+X107</f>
        <v>75560237.280000001</v>
      </c>
      <c r="Y101" s="194">
        <f t="shared" si="90"/>
        <v>0</v>
      </c>
      <c r="Z101" s="195">
        <f t="shared" si="77"/>
        <v>0</v>
      </c>
      <c r="AA101" s="194">
        <f t="shared" si="90"/>
        <v>75560237.280000001</v>
      </c>
      <c r="AB101" s="194">
        <f t="shared" si="90"/>
        <v>0</v>
      </c>
      <c r="AC101" s="195">
        <f t="shared" si="65"/>
        <v>1</v>
      </c>
      <c r="AE101" s="13"/>
      <c r="AF101" s="293"/>
    </row>
    <row r="102" spans="1:54" ht="24.95" customHeight="1">
      <c r="A102" s="32" t="str">
        <f t="shared" si="62"/>
        <v>A-08-01=</v>
      </c>
      <c r="B102" s="196" t="str">
        <f>CONCATENATE(C102,"-",D102,"-",E102)</f>
        <v>A-08-01</v>
      </c>
      <c r="C102" s="197" t="s">
        <v>23</v>
      </c>
      <c r="D102" s="198" t="s">
        <v>148</v>
      </c>
      <c r="E102" s="198" t="s">
        <v>25</v>
      </c>
      <c r="F102" s="198"/>
      <c r="G102" s="198"/>
      <c r="H102" s="198"/>
      <c r="I102" s="198"/>
      <c r="J102" s="198"/>
      <c r="K102" s="199"/>
      <c r="L102" s="200"/>
      <c r="M102" s="196" t="s">
        <v>150</v>
      </c>
      <c r="N102" s="201">
        <f>+N103</f>
        <v>84000000</v>
      </c>
      <c r="O102" s="201">
        <f t="shared" ref="O102:AB102" si="91">+O103</f>
        <v>0</v>
      </c>
      <c r="P102" s="201">
        <f t="shared" si="91"/>
        <v>0</v>
      </c>
      <c r="Q102" s="201">
        <f t="shared" si="91"/>
        <v>0</v>
      </c>
      <c r="R102" s="201">
        <f t="shared" si="91"/>
        <v>0</v>
      </c>
      <c r="S102" s="201">
        <f t="shared" si="91"/>
        <v>0</v>
      </c>
      <c r="T102" s="201">
        <f t="shared" si="91"/>
        <v>84000000</v>
      </c>
      <c r="U102" s="201">
        <f t="shared" si="91"/>
        <v>71441473.210000008</v>
      </c>
      <c r="V102" s="201">
        <f t="shared" si="91"/>
        <v>12558526.789999999</v>
      </c>
      <c r="W102" s="202">
        <f t="shared" si="67"/>
        <v>0.85049372869047624</v>
      </c>
      <c r="X102" s="201">
        <f t="shared" si="91"/>
        <v>71441473.210000008</v>
      </c>
      <c r="Y102" s="201">
        <f t="shared" si="91"/>
        <v>0</v>
      </c>
      <c r="Z102" s="202">
        <f t="shared" si="77"/>
        <v>0</v>
      </c>
      <c r="AA102" s="201">
        <f t="shared" si="91"/>
        <v>71441473.210000008</v>
      </c>
      <c r="AB102" s="201">
        <f t="shared" si="91"/>
        <v>0</v>
      </c>
      <c r="AC102" s="202">
        <f t="shared" si="65"/>
        <v>1</v>
      </c>
      <c r="AE102" s="13"/>
      <c r="AF102" s="293"/>
    </row>
    <row r="103" spans="1:54" ht="16.5">
      <c r="A103" s="32" t="str">
        <f t="shared" si="62"/>
        <v>A-08-01-02=10</v>
      </c>
      <c r="B103" s="203" t="str">
        <f>CONCATENATE(C103,"-",D103,"-",E103,"-",F103)</f>
        <v>A-08-01-02</v>
      </c>
      <c r="C103" s="204" t="s">
        <v>23</v>
      </c>
      <c r="D103" s="205" t="s">
        <v>148</v>
      </c>
      <c r="E103" s="205" t="s">
        <v>25</v>
      </c>
      <c r="F103" s="205" t="s">
        <v>54</v>
      </c>
      <c r="G103" s="205"/>
      <c r="H103" s="205"/>
      <c r="I103" s="205"/>
      <c r="J103" s="205"/>
      <c r="K103" s="206" t="s">
        <v>28</v>
      </c>
      <c r="L103" s="207" t="s">
        <v>29</v>
      </c>
      <c r="M103" s="203" t="s">
        <v>151</v>
      </c>
      <c r="N103" s="208">
        <f>SUM(N104:N106)</f>
        <v>84000000</v>
      </c>
      <c r="O103" s="208">
        <f t="shared" ref="O103:V103" si="92">SUM(O104:O106)</f>
        <v>0</v>
      </c>
      <c r="P103" s="208">
        <f t="shared" si="92"/>
        <v>0</v>
      </c>
      <c r="Q103" s="208">
        <f t="shared" si="92"/>
        <v>0</v>
      </c>
      <c r="R103" s="208">
        <f t="shared" si="92"/>
        <v>0</v>
      </c>
      <c r="S103" s="208">
        <f t="shared" si="92"/>
        <v>0</v>
      </c>
      <c r="T103" s="208">
        <f t="shared" si="92"/>
        <v>84000000</v>
      </c>
      <c r="U103" s="208">
        <f t="shared" si="92"/>
        <v>71441473.210000008</v>
      </c>
      <c r="V103" s="208">
        <f t="shared" si="92"/>
        <v>12558526.789999999</v>
      </c>
      <c r="W103" s="209">
        <f t="shared" si="67"/>
        <v>0.85049372869047624</v>
      </c>
      <c r="X103" s="208">
        <f t="shared" ref="X103:AB103" si="93">SUM(X104:X106)</f>
        <v>71441473.210000008</v>
      </c>
      <c r="Y103" s="208">
        <f t="shared" si="93"/>
        <v>0</v>
      </c>
      <c r="Z103" s="209">
        <f t="shared" si="77"/>
        <v>0</v>
      </c>
      <c r="AA103" s="208">
        <f t="shared" si="93"/>
        <v>71441473.210000008</v>
      </c>
      <c r="AB103" s="208">
        <f t="shared" si="93"/>
        <v>0</v>
      </c>
      <c r="AC103" s="209">
        <f t="shared" si="65"/>
        <v>1</v>
      </c>
      <c r="AE103" s="13"/>
      <c r="AF103" s="293"/>
    </row>
    <row r="104" spans="1:54" ht="24.95" customHeight="1">
      <c r="A104" s="32" t="str">
        <f t="shared" si="62"/>
        <v>A-08-01-02-001=10</v>
      </c>
      <c r="B104" s="217" t="str">
        <f>CONCATENATE(C104,"-",D104,"-",E104,"-",F104,"-",G104)</f>
        <v>A-08-01-02-001</v>
      </c>
      <c r="C104" s="218" t="s">
        <v>23</v>
      </c>
      <c r="D104" s="219" t="s">
        <v>148</v>
      </c>
      <c r="E104" s="219" t="s">
        <v>25</v>
      </c>
      <c r="F104" s="219" t="s">
        <v>54</v>
      </c>
      <c r="G104" s="219" t="s">
        <v>31</v>
      </c>
      <c r="H104" s="219"/>
      <c r="I104" s="219"/>
      <c r="J104" s="219"/>
      <c r="K104" s="220" t="s">
        <v>28</v>
      </c>
      <c r="L104" s="221" t="s">
        <v>29</v>
      </c>
      <c r="M104" s="259" t="s">
        <v>152</v>
      </c>
      <c r="N104" s="222">
        <v>51000000</v>
      </c>
      <c r="O104" s="222"/>
      <c r="P104" s="222"/>
      <c r="Q104" s="222"/>
      <c r="R104" s="222"/>
      <c r="S104" s="222"/>
      <c r="T104" s="222">
        <f>+N104-S104+O104-P104+Q104-R104</f>
        <v>51000000</v>
      </c>
      <c r="U104" s="222">
        <v>49978748</v>
      </c>
      <c r="V104" s="222">
        <f t="shared" si="14"/>
        <v>1021252</v>
      </c>
      <c r="W104" s="224">
        <f t="shared" si="67"/>
        <v>0.97997545098039218</v>
      </c>
      <c r="X104" s="222">
        <v>49978748</v>
      </c>
      <c r="Y104" s="222">
        <f t="shared" si="17"/>
        <v>0</v>
      </c>
      <c r="Z104" s="224">
        <f t="shared" si="77"/>
        <v>0</v>
      </c>
      <c r="AA104" s="222">
        <v>49978748</v>
      </c>
      <c r="AB104" s="222">
        <f t="shared" si="15"/>
        <v>0</v>
      </c>
      <c r="AC104" s="224">
        <f t="shared" si="65"/>
        <v>1</v>
      </c>
      <c r="AE104" s="13"/>
      <c r="AF104" s="293"/>
    </row>
    <row r="105" spans="1:54" ht="24.95" customHeight="1">
      <c r="A105" s="32" t="str">
        <f t="shared" si="62"/>
        <v>A-08-01-02-004=10</v>
      </c>
      <c r="B105" s="217" t="str">
        <f>CONCATENATE(C105,"-",D105,"-",E105,"-",F105,"-",G105)</f>
        <v>A-08-01-02-004</v>
      </c>
      <c r="C105" s="218" t="s">
        <v>23</v>
      </c>
      <c r="D105" s="219" t="s">
        <v>148</v>
      </c>
      <c r="E105" s="219" t="s">
        <v>25</v>
      </c>
      <c r="F105" s="219" t="s">
        <v>54</v>
      </c>
      <c r="G105" s="219" t="s">
        <v>38</v>
      </c>
      <c r="H105" s="219"/>
      <c r="I105" s="219"/>
      <c r="J105" s="219"/>
      <c r="K105" s="220" t="s">
        <v>28</v>
      </c>
      <c r="L105" s="221" t="s">
        <v>29</v>
      </c>
      <c r="M105" s="259" t="s">
        <v>153</v>
      </c>
      <c r="N105" s="222">
        <v>26000000</v>
      </c>
      <c r="O105" s="223"/>
      <c r="P105" s="222"/>
      <c r="Q105" s="222"/>
      <c r="R105" s="222"/>
      <c r="S105" s="222"/>
      <c r="T105" s="222">
        <f>+N105-S105+O105-P105+Q105-R105</f>
        <v>26000000</v>
      </c>
      <c r="U105" s="222">
        <v>15135625.210000001</v>
      </c>
      <c r="V105" s="222">
        <f t="shared" si="14"/>
        <v>10864374.789999999</v>
      </c>
      <c r="W105" s="224">
        <f t="shared" si="67"/>
        <v>0.58213943115384614</v>
      </c>
      <c r="X105" s="222">
        <v>15135625.210000001</v>
      </c>
      <c r="Y105" s="222">
        <f t="shared" si="17"/>
        <v>0</v>
      </c>
      <c r="Z105" s="224">
        <f t="shared" si="77"/>
        <v>0</v>
      </c>
      <c r="AA105" s="222">
        <v>15135625.210000001</v>
      </c>
      <c r="AB105" s="222">
        <f t="shared" si="15"/>
        <v>0</v>
      </c>
      <c r="AC105" s="224">
        <f t="shared" si="65"/>
        <v>1</v>
      </c>
      <c r="AE105" s="13"/>
      <c r="AF105" s="293"/>
    </row>
    <row r="106" spans="1:54" ht="24.95" customHeight="1">
      <c r="A106" s="32" t="str">
        <f t="shared" si="62"/>
        <v>A-08-01-02-006=10</v>
      </c>
      <c r="B106" s="217" t="str">
        <f>CONCATENATE(C106,"-",D106,"-",E106,"-",F106,"-",G106)</f>
        <v>A-08-01-02-006</v>
      </c>
      <c r="C106" s="218" t="s">
        <v>23</v>
      </c>
      <c r="D106" s="219" t="s">
        <v>148</v>
      </c>
      <c r="E106" s="219" t="s">
        <v>25</v>
      </c>
      <c r="F106" s="219" t="s">
        <v>54</v>
      </c>
      <c r="G106" s="219" t="s">
        <v>42</v>
      </c>
      <c r="H106" s="219"/>
      <c r="I106" s="219"/>
      <c r="J106" s="219"/>
      <c r="K106" s="220" t="s">
        <v>28</v>
      </c>
      <c r="L106" s="221" t="s">
        <v>29</v>
      </c>
      <c r="M106" s="259" t="s">
        <v>154</v>
      </c>
      <c r="N106" s="222">
        <v>7000000</v>
      </c>
      <c r="O106" s="222"/>
      <c r="P106" s="222"/>
      <c r="Q106" s="222"/>
      <c r="R106" s="222"/>
      <c r="S106" s="222"/>
      <c r="T106" s="222">
        <f>+N106-S106+O106-P106+Q106-R106</f>
        <v>7000000</v>
      </c>
      <c r="U106" s="222">
        <v>6327100</v>
      </c>
      <c r="V106" s="222">
        <f t="shared" si="14"/>
        <v>672900</v>
      </c>
      <c r="W106" s="224">
        <f t="shared" si="67"/>
        <v>0.90387142857142855</v>
      </c>
      <c r="X106" s="222">
        <v>6327100</v>
      </c>
      <c r="Y106" s="222">
        <f t="shared" si="17"/>
        <v>0</v>
      </c>
      <c r="Z106" s="224">
        <f t="shared" si="77"/>
        <v>0</v>
      </c>
      <c r="AA106" s="222">
        <v>6327100</v>
      </c>
      <c r="AB106" s="222">
        <f t="shared" si="15"/>
        <v>0</v>
      </c>
      <c r="AC106" s="224">
        <f t="shared" si="65"/>
        <v>1</v>
      </c>
      <c r="AE106" s="13"/>
      <c r="AF106" s="293"/>
    </row>
    <row r="107" spans="1:54" ht="24.95" customHeight="1">
      <c r="A107" s="32" t="str">
        <f t="shared" si="62"/>
        <v>A-08-04=</v>
      </c>
      <c r="B107" s="196" t="str">
        <f>CONCATENATE(C107,"-",D107,"-",E107)</f>
        <v>A-08-04</v>
      </c>
      <c r="C107" s="197" t="s">
        <v>23</v>
      </c>
      <c r="D107" s="198" t="s">
        <v>148</v>
      </c>
      <c r="E107" s="198" t="s">
        <v>136</v>
      </c>
      <c r="F107" s="198"/>
      <c r="G107" s="198"/>
      <c r="H107" s="198"/>
      <c r="I107" s="198"/>
      <c r="J107" s="198"/>
      <c r="K107" s="199"/>
      <c r="L107" s="200"/>
      <c r="M107" s="196" t="s">
        <v>155</v>
      </c>
      <c r="N107" s="201">
        <f>+N108</f>
        <v>5740000000</v>
      </c>
      <c r="O107" s="201">
        <f t="shared" ref="O107:AB107" si="94">+O108</f>
        <v>0</v>
      </c>
      <c r="P107" s="201">
        <f t="shared" si="94"/>
        <v>0</v>
      </c>
      <c r="Q107" s="201">
        <f t="shared" si="94"/>
        <v>0</v>
      </c>
      <c r="R107" s="201">
        <f t="shared" si="94"/>
        <v>0</v>
      </c>
      <c r="S107" s="201">
        <f t="shared" si="94"/>
        <v>0</v>
      </c>
      <c r="T107" s="201">
        <f t="shared" si="94"/>
        <v>5740000000</v>
      </c>
      <c r="U107" s="201">
        <f t="shared" si="94"/>
        <v>4118764.07</v>
      </c>
      <c r="V107" s="201">
        <f t="shared" si="94"/>
        <v>5735881235.9300003</v>
      </c>
      <c r="W107" s="202">
        <f t="shared" si="67"/>
        <v>7.1755471602787449E-4</v>
      </c>
      <c r="X107" s="201">
        <f t="shared" si="94"/>
        <v>4118764.07</v>
      </c>
      <c r="Y107" s="201">
        <f t="shared" si="94"/>
        <v>0</v>
      </c>
      <c r="Z107" s="202">
        <f t="shared" si="77"/>
        <v>0</v>
      </c>
      <c r="AA107" s="201">
        <f t="shared" si="94"/>
        <v>4118764.07</v>
      </c>
      <c r="AB107" s="201">
        <f t="shared" si="94"/>
        <v>0</v>
      </c>
      <c r="AC107" s="202">
        <f t="shared" si="65"/>
        <v>1</v>
      </c>
      <c r="AE107" s="13"/>
      <c r="AF107" s="293"/>
    </row>
    <row r="108" spans="1:54" ht="24.95" customHeight="1" thickBot="1">
      <c r="A108" s="32" t="str">
        <f t="shared" si="62"/>
        <v>A-08-04-01=11</v>
      </c>
      <c r="B108" s="217" t="str">
        <f>CONCATENATE(C108,"-",D108,"-",E108,"-",F108)</f>
        <v>A-08-04-01</v>
      </c>
      <c r="C108" s="218" t="s">
        <v>23</v>
      </c>
      <c r="D108" s="219" t="s">
        <v>148</v>
      </c>
      <c r="E108" s="219" t="s">
        <v>136</v>
      </c>
      <c r="F108" s="219" t="s">
        <v>25</v>
      </c>
      <c r="G108" s="219"/>
      <c r="H108" s="219"/>
      <c r="I108" s="219"/>
      <c r="J108" s="219"/>
      <c r="K108" s="220" t="s">
        <v>144</v>
      </c>
      <c r="L108" s="221" t="s">
        <v>156</v>
      </c>
      <c r="M108" s="259" t="s">
        <v>157</v>
      </c>
      <c r="N108" s="222">
        <v>5740000000</v>
      </c>
      <c r="O108" s="223"/>
      <c r="P108" s="222"/>
      <c r="Q108" s="222"/>
      <c r="R108" s="222"/>
      <c r="S108" s="222"/>
      <c r="T108" s="222">
        <f>+N108-S108+O108-P108+Q108-R108</f>
        <v>5740000000</v>
      </c>
      <c r="U108" s="222">
        <v>4118764.07</v>
      </c>
      <c r="V108" s="222">
        <f t="shared" si="14"/>
        <v>5735881235.9300003</v>
      </c>
      <c r="W108" s="224">
        <f t="shared" si="67"/>
        <v>7.1755471602787449E-4</v>
      </c>
      <c r="X108" s="222">
        <v>4118764.07</v>
      </c>
      <c r="Y108" s="222">
        <f t="shared" si="17"/>
        <v>0</v>
      </c>
      <c r="Z108" s="224">
        <f t="shared" si="77"/>
        <v>0</v>
      </c>
      <c r="AA108" s="222">
        <v>4118764.07</v>
      </c>
      <c r="AB108" s="222">
        <f t="shared" si="15"/>
        <v>0</v>
      </c>
      <c r="AC108" s="224">
        <f t="shared" si="65"/>
        <v>1</v>
      </c>
      <c r="AE108" s="13"/>
      <c r="AF108" s="293"/>
    </row>
    <row r="109" spans="1:54" ht="35.1" customHeight="1" thickBot="1">
      <c r="A109" s="32" t="str">
        <f t="shared" si="62"/>
        <v>C
=</v>
      </c>
      <c r="B109" s="260" t="s">
        <v>278</v>
      </c>
      <c r="C109" s="261" t="s">
        <v>167</v>
      </c>
      <c r="D109" s="262"/>
      <c r="E109" s="262"/>
      <c r="F109" s="262"/>
      <c r="G109" s="262"/>
      <c r="H109" s="262"/>
      <c r="I109" s="262"/>
      <c r="J109" s="262"/>
      <c r="K109" s="263"/>
      <c r="L109" s="264"/>
      <c r="M109" s="260" t="s">
        <v>168</v>
      </c>
      <c r="N109" s="265">
        <f t="shared" ref="N109:V109" si="95">+N110+N139+N192</f>
        <v>3485582139470</v>
      </c>
      <c r="O109" s="265">
        <f t="shared" si="95"/>
        <v>0</v>
      </c>
      <c r="P109" s="265">
        <f t="shared" si="95"/>
        <v>0</v>
      </c>
      <c r="Q109" s="265">
        <f t="shared" si="95"/>
        <v>338988901054.64001</v>
      </c>
      <c r="R109" s="265">
        <f t="shared" si="95"/>
        <v>338988901054.64001</v>
      </c>
      <c r="S109" s="265">
        <f t="shared" si="95"/>
        <v>580000000000</v>
      </c>
      <c r="T109" s="265">
        <f t="shared" si="95"/>
        <v>2905582139470</v>
      </c>
      <c r="U109" s="265">
        <f t="shared" si="95"/>
        <v>2562586752268.5195</v>
      </c>
      <c r="V109" s="265">
        <f t="shared" si="95"/>
        <v>342995387201.47998</v>
      </c>
      <c r="W109" s="187">
        <f t="shared" si="67"/>
        <v>0.88195295443822996</v>
      </c>
      <c r="X109" s="265">
        <f>+X110+X139+X192</f>
        <v>1180916508897.2998</v>
      </c>
      <c r="Y109" s="265">
        <f>+Y110+Y139+Y192</f>
        <v>1381670243371.22</v>
      </c>
      <c r="Z109" s="187">
        <f t="shared" si="77"/>
        <v>0.53917013429812743</v>
      </c>
      <c r="AA109" s="265">
        <f>+AA110+AA139+AA192</f>
        <v>1086046976897.2999</v>
      </c>
      <c r="AB109" s="265">
        <f>+AB110+AB139+AB192</f>
        <v>94869532000</v>
      </c>
      <c r="AC109" s="187">
        <f t="shared" si="65"/>
        <v>0.42380886264079887</v>
      </c>
      <c r="AE109" s="13"/>
      <c r="AF109" s="293"/>
    </row>
    <row r="110" spans="1:54" ht="35.1" customHeight="1">
      <c r="A110" s="32" t="str">
        <f t="shared" si="62"/>
        <v>C-4101=</v>
      </c>
      <c r="B110" s="188" t="str">
        <f>CONCATENATE(C110,"-",D110)</f>
        <v>C-4101</v>
      </c>
      <c r="C110" s="189" t="s">
        <v>167</v>
      </c>
      <c r="D110" s="191">
        <v>4101</v>
      </c>
      <c r="E110" s="191"/>
      <c r="F110" s="191"/>
      <c r="G110" s="191"/>
      <c r="H110" s="191"/>
      <c r="I110" s="191"/>
      <c r="J110" s="191"/>
      <c r="K110" s="192"/>
      <c r="L110" s="193"/>
      <c r="M110" s="188" t="s">
        <v>169</v>
      </c>
      <c r="N110" s="194">
        <f>+N111</f>
        <v>184499832863</v>
      </c>
      <c r="O110" s="194">
        <f t="shared" ref="O110:AB110" si="96">+O111</f>
        <v>0</v>
      </c>
      <c r="P110" s="194">
        <f t="shared" si="96"/>
        <v>0</v>
      </c>
      <c r="Q110" s="194">
        <f t="shared" si="96"/>
        <v>0</v>
      </c>
      <c r="R110" s="194">
        <f t="shared" si="96"/>
        <v>0</v>
      </c>
      <c r="S110" s="194">
        <f t="shared" si="96"/>
        <v>0</v>
      </c>
      <c r="T110" s="194">
        <f t="shared" si="96"/>
        <v>184499832863</v>
      </c>
      <c r="U110" s="194">
        <f t="shared" si="96"/>
        <v>168522239606</v>
      </c>
      <c r="V110" s="194">
        <f t="shared" si="96"/>
        <v>15977593257</v>
      </c>
      <c r="W110" s="195">
        <f t="shared" si="67"/>
        <v>0.91340050010308615</v>
      </c>
      <c r="X110" s="194">
        <f t="shared" si="96"/>
        <v>8632721036</v>
      </c>
      <c r="Y110" s="194">
        <f t="shared" si="96"/>
        <v>159889518570</v>
      </c>
      <c r="Z110" s="195">
        <f t="shared" si="77"/>
        <v>0.94877399531252937</v>
      </c>
      <c r="AA110" s="194">
        <f t="shared" si="96"/>
        <v>8632721036</v>
      </c>
      <c r="AB110" s="194">
        <f t="shared" si="96"/>
        <v>0</v>
      </c>
      <c r="AC110" s="195">
        <f t="shared" si="65"/>
        <v>5.12260046874706E-2</v>
      </c>
      <c r="AE110" s="13"/>
      <c r="AF110" s="293"/>
    </row>
    <row r="111" spans="1:54" ht="24.95" customHeight="1">
      <c r="A111" s="32" t="str">
        <f t="shared" si="62"/>
        <v>C-4101-1500=</v>
      </c>
      <c r="B111" s="196" t="str">
        <f>CONCATENATE(C111,"-",D111,"-",E111)</f>
        <v>C-4101-1500</v>
      </c>
      <c r="C111" s="197" t="s">
        <v>167</v>
      </c>
      <c r="D111" s="198">
        <v>4101</v>
      </c>
      <c r="E111" s="198">
        <v>1500</v>
      </c>
      <c r="F111" s="198"/>
      <c r="G111" s="198"/>
      <c r="H111" s="198"/>
      <c r="I111" s="198"/>
      <c r="J111" s="198"/>
      <c r="K111" s="199"/>
      <c r="L111" s="200"/>
      <c r="M111" s="196" t="s">
        <v>170</v>
      </c>
      <c r="N111" s="201">
        <f t="shared" ref="N111:V111" si="97">+N112+N125</f>
        <v>184499832863</v>
      </c>
      <c r="O111" s="201">
        <f t="shared" si="97"/>
        <v>0</v>
      </c>
      <c r="P111" s="201">
        <f t="shared" si="97"/>
        <v>0</v>
      </c>
      <c r="Q111" s="201">
        <f t="shared" si="97"/>
        <v>0</v>
      </c>
      <c r="R111" s="201">
        <f t="shared" si="97"/>
        <v>0</v>
      </c>
      <c r="S111" s="201">
        <f t="shared" si="97"/>
        <v>0</v>
      </c>
      <c r="T111" s="201">
        <f t="shared" si="97"/>
        <v>184499832863</v>
      </c>
      <c r="U111" s="201">
        <f t="shared" si="97"/>
        <v>168522239606</v>
      </c>
      <c r="V111" s="201">
        <f t="shared" si="97"/>
        <v>15977593257</v>
      </c>
      <c r="W111" s="202">
        <f t="shared" si="67"/>
        <v>0.91340050010308615</v>
      </c>
      <c r="X111" s="201">
        <f t="shared" ref="X111:Y111" si="98">+X112+X125</f>
        <v>8632721036</v>
      </c>
      <c r="Y111" s="201">
        <f t="shared" si="98"/>
        <v>159889518570</v>
      </c>
      <c r="Z111" s="202">
        <f t="shared" si="77"/>
        <v>0.94877399531252937</v>
      </c>
      <c r="AA111" s="201">
        <f t="shared" ref="AA111:AB111" si="99">+AA112+AA125</f>
        <v>8632721036</v>
      </c>
      <c r="AB111" s="201">
        <f t="shared" si="99"/>
        <v>0</v>
      </c>
      <c r="AC111" s="202">
        <f t="shared" si="65"/>
        <v>5.12260046874706E-2</v>
      </c>
      <c r="AE111" s="13"/>
      <c r="AF111" s="293"/>
    </row>
    <row r="112" spans="1:54" ht="49.5">
      <c r="A112" s="32" t="str">
        <f t="shared" si="62"/>
        <v>C-4101-1500-5=</v>
      </c>
      <c r="B112" s="203" t="str">
        <f>CONCATENATE(C112,"-",D112,"-",E112,"-",F112)</f>
        <v>C-4101-1500-5</v>
      </c>
      <c r="C112" s="227" t="s">
        <v>167</v>
      </c>
      <c r="D112" s="228" t="s">
        <v>171</v>
      </c>
      <c r="E112" s="228" t="s">
        <v>172</v>
      </c>
      <c r="F112" s="228" t="s">
        <v>261</v>
      </c>
      <c r="G112" s="228"/>
      <c r="H112" s="228"/>
      <c r="I112" s="228"/>
      <c r="J112" s="228"/>
      <c r="K112" s="229"/>
      <c r="L112" s="230"/>
      <c r="M112" s="231" t="s">
        <v>279</v>
      </c>
      <c r="N112" s="232">
        <f t="shared" ref="N112:V112" si="100">+N113+N115+N117+N119+N121+N123</f>
        <v>66398074900</v>
      </c>
      <c r="O112" s="232">
        <f t="shared" si="100"/>
        <v>0</v>
      </c>
      <c r="P112" s="232">
        <f t="shared" si="100"/>
        <v>0</v>
      </c>
      <c r="Q112" s="232">
        <f t="shared" si="100"/>
        <v>0</v>
      </c>
      <c r="R112" s="232">
        <f t="shared" si="100"/>
        <v>0</v>
      </c>
      <c r="S112" s="232">
        <f t="shared" si="100"/>
        <v>0</v>
      </c>
      <c r="T112" s="232">
        <f t="shared" si="100"/>
        <v>66398074900</v>
      </c>
      <c r="U112" s="232">
        <f t="shared" si="100"/>
        <v>61261319404</v>
      </c>
      <c r="V112" s="232">
        <f t="shared" si="100"/>
        <v>5136755496</v>
      </c>
      <c r="W112" s="233">
        <f t="shared" si="67"/>
        <v>0.92263698151284801</v>
      </c>
      <c r="X112" s="232">
        <f t="shared" ref="X112:Y112" si="101">+X113+X115+X117+X119+X121+X123</f>
        <v>110021841</v>
      </c>
      <c r="Y112" s="232">
        <f t="shared" si="101"/>
        <v>61151297563</v>
      </c>
      <c r="Z112" s="233">
        <f t="shared" si="77"/>
        <v>0.99820405694702008</v>
      </c>
      <c r="AA112" s="232">
        <f t="shared" ref="AA112:AB112" si="102">+AA113+AA115+AA117+AA119+AA121+AA123</f>
        <v>110021841</v>
      </c>
      <c r="AB112" s="232">
        <f t="shared" si="102"/>
        <v>0</v>
      </c>
      <c r="AC112" s="233">
        <f t="shared" si="65"/>
        <v>1.7959430529799563E-3</v>
      </c>
      <c r="AE112" s="13"/>
      <c r="AF112" s="293"/>
    </row>
    <row r="113" spans="1:32" ht="24.95" customHeight="1">
      <c r="A113" s="32" t="str">
        <f t="shared" si="62"/>
        <v>C-4101-1500-5-0-4101073=11</v>
      </c>
      <c r="B113" s="210" t="str">
        <f>CONCATENATE(C113,"-",D113,"-",E113,"-",F113,"-",G113,"-",H113)</f>
        <v>C-4101-1500-5-0-4101073</v>
      </c>
      <c r="C113" s="211" t="s">
        <v>167</v>
      </c>
      <c r="D113" s="212" t="s">
        <v>171</v>
      </c>
      <c r="E113" s="212" t="s">
        <v>172</v>
      </c>
      <c r="F113" s="212" t="s">
        <v>261</v>
      </c>
      <c r="G113" s="212" t="s">
        <v>175</v>
      </c>
      <c r="H113" s="212" t="s">
        <v>176</v>
      </c>
      <c r="I113" s="212"/>
      <c r="J113" s="212"/>
      <c r="K113" s="213">
        <v>11</v>
      </c>
      <c r="L113" s="214" t="s">
        <v>29</v>
      </c>
      <c r="M113" s="210" t="s">
        <v>177</v>
      </c>
      <c r="N113" s="215">
        <f>+N114</f>
        <v>37511369742</v>
      </c>
      <c r="O113" s="215">
        <f t="shared" ref="O113:AB113" si="103">+O114</f>
        <v>0</v>
      </c>
      <c r="P113" s="215">
        <f t="shared" si="103"/>
        <v>0</v>
      </c>
      <c r="Q113" s="215">
        <f t="shared" si="103"/>
        <v>0</v>
      </c>
      <c r="R113" s="215">
        <f t="shared" si="103"/>
        <v>0</v>
      </c>
      <c r="S113" s="215">
        <f t="shared" si="103"/>
        <v>0</v>
      </c>
      <c r="T113" s="215">
        <f t="shared" si="103"/>
        <v>37511369742</v>
      </c>
      <c r="U113" s="215">
        <f t="shared" si="103"/>
        <v>34622400000</v>
      </c>
      <c r="V113" s="215">
        <f t="shared" si="103"/>
        <v>2888969742</v>
      </c>
      <c r="W113" s="216">
        <f t="shared" si="67"/>
        <v>0.92298415755356078</v>
      </c>
      <c r="X113" s="215">
        <f t="shared" si="103"/>
        <v>0</v>
      </c>
      <c r="Y113" s="215">
        <f t="shared" si="103"/>
        <v>34622400000</v>
      </c>
      <c r="Z113" s="216">
        <f t="shared" si="77"/>
        <v>1</v>
      </c>
      <c r="AA113" s="215">
        <f t="shared" si="103"/>
        <v>0</v>
      </c>
      <c r="AB113" s="215">
        <f t="shared" si="103"/>
        <v>0</v>
      </c>
      <c r="AC113" s="216">
        <f t="shared" si="65"/>
        <v>0</v>
      </c>
      <c r="AE113" s="13"/>
      <c r="AF113" s="293"/>
    </row>
    <row r="114" spans="1:32" ht="24.95" customHeight="1">
      <c r="A114" s="32" t="str">
        <f t="shared" si="62"/>
        <v>C-4101-1500-5-0-4101073-02=11</v>
      </c>
      <c r="B114" s="217" t="str">
        <f>CONCATENATE(C114,"-",D114,"-",E114,"-",F114,"-",G114,"-",H114,"-",I114)</f>
        <v>C-4101-1500-5-0-4101073-02</v>
      </c>
      <c r="C114" s="218" t="s">
        <v>167</v>
      </c>
      <c r="D114" s="219" t="s">
        <v>171</v>
      </c>
      <c r="E114" s="219" t="s">
        <v>172</v>
      </c>
      <c r="F114" s="219" t="s">
        <v>261</v>
      </c>
      <c r="G114" s="219" t="s">
        <v>175</v>
      </c>
      <c r="H114" s="219" t="s">
        <v>176</v>
      </c>
      <c r="I114" s="219" t="s">
        <v>54</v>
      </c>
      <c r="J114" s="219"/>
      <c r="K114" s="220">
        <v>11</v>
      </c>
      <c r="L114" s="221" t="s">
        <v>29</v>
      </c>
      <c r="M114" s="217" t="s">
        <v>178</v>
      </c>
      <c r="N114" s="222">
        <v>37511369742</v>
      </c>
      <c r="O114" s="222"/>
      <c r="P114" s="222"/>
      <c r="Q114" s="222"/>
      <c r="R114" s="222"/>
      <c r="S114" s="222"/>
      <c r="T114" s="222">
        <f>+N114-S114+O114-P114+Q114-R114</f>
        <v>37511369742</v>
      </c>
      <c r="U114" s="222">
        <v>34622400000</v>
      </c>
      <c r="V114" s="222">
        <f t="shared" ref="V114:V177" si="104">+T114-U114</f>
        <v>2888969742</v>
      </c>
      <c r="W114" s="224">
        <f t="shared" si="67"/>
        <v>0.92298415755356078</v>
      </c>
      <c r="X114" s="222">
        <v>0</v>
      </c>
      <c r="Y114" s="222">
        <f t="shared" si="17"/>
        <v>34622400000</v>
      </c>
      <c r="Z114" s="224">
        <f t="shared" si="77"/>
        <v>1</v>
      </c>
      <c r="AA114" s="222">
        <v>0</v>
      </c>
      <c r="AB114" s="222">
        <f t="shared" ref="AB114:AB177" si="105">+X114-AA114</f>
        <v>0</v>
      </c>
      <c r="AC114" s="224">
        <f t="shared" si="65"/>
        <v>0</v>
      </c>
      <c r="AE114" s="13"/>
      <c r="AF114" s="293"/>
    </row>
    <row r="115" spans="1:32" ht="49.5">
      <c r="A115" s="32" t="str">
        <f t="shared" si="62"/>
        <v>C-4101-1500-5-0-4101074=11</v>
      </c>
      <c r="B115" s="210" t="str">
        <f>CONCATENATE(C115,"-",D115,"-",E115,"-",F115,"-",G115,"-",H115)</f>
        <v>C-4101-1500-5-0-4101074</v>
      </c>
      <c r="C115" s="211" t="s">
        <v>167</v>
      </c>
      <c r="D115" s="212" t="s">
        <v>171</v>
      </c>
      <c r="E115" s="212" t="s">
        <v>172</v>
      </c>
      <c r="F115" s="212" t="s">
        <v>261</v>
      </c>
      <c r="G115" s="212" t="s">
        <v>175</v>
      </c>
      <c r="H115" s="212" t="s">
        <v>179</v>
      </c>
      <c r="I115" s="212"/>
      <c r="J115" s="212"/>
      <c r="K115" s="213">
        <v>11</v>
      </c>
      <c r="L115" s="214" t="s">
        <v>29</v>
      </c>
      <c r="M115" s="210" t="s">
        <v>180</v>
      </c>
      <c r="N115" s="215">
        <f>+N116</f>
        <v>8799663116</v>
      </c>
      <c r="O115" s="215">
        <f t="shared" ref="O115:AB115" si="106">+O116</f>
        <v>0</v>
      </c>
      <c r="P115" s="215">
        <f t="shared" si="106"/>
        <v>0</v>
      </c>
      <c r="Q115" s="215">
        <f t="shared" si="106"/>
        <v>0</v>
      </c>
      <c r="R115" s="215">
        <f t="shared" si="106"/>
        <v>0</v>
      </c>
      <c r="S115" s="215">
        <f t="shared" si="106"/>
        <v>0</v>
      </c>
      <c r="T115" s="215">
        <f t="shared" si="106"/>
        <v>8799663116</v>
      </c>
      <c r="U115" s="215">
        <f t="shared" si="106"/>
        <v>8799663116</v>
      </c>
      <c r="V115" s="215">
        <f t="shared" si="106"/>
        <v>0</v>
      </c>
      <c r="W115" s="216">
        <f t="shared" si="67"/>
        <v>1</v>
      </c>
      <c r="X115" s="215">
        <f t="shared" si="106"/>
        <v>0</v>
      </c>
      <c r="Y115" s="215">
        <f t="shared" si="106"/>
        <v>8799663116</v>
      </c>
      <c r="Z115" s="216">
        <f t="shared" si="77"/>
        <v>1</v>
      </c>
      <c r="AA115" s="215">
        <f t="shared" si="106"/>
        <v>0</v>
      </c>
      <c r="AB115" s="215">
        <f t="shared" si="106"/>
        <v>0</v>
      </c>
      <c r="AC115" s="216">
        <f t="shared" si="65"/>
        <v>0</v>
      </c>
      <c r="AE115" s="13"/>
      <c r="AF115" s="293"/>
    </row>
    <row r="116" spans="1:32" ht="24.95" customHeight="1">
      <c r="A116" s="32" t="str">
        <f t="shared" si="62"/>
        <v>C-4101-1500-5-0-4101074-02=11</v>
      </c>
      <c r="B116" s="217" t="str">
        <f>CONCATENATE(C116,"-",D116,"-",E116,"-",F116,"-",G116,"-",H116,"-",I116)</f>
        <v>C-4101-1500-5-0-4101074-02</v>
      </c>
      <c r="C116" s="218" t="s">
        <v>167</v>
      </c>
      <c r="D116" s="219" t="s">
        <v>171</v>
      </c>
      <c r="E116" s="219" t="s">
        <v>172</v>
      </c>
      <c r="F116" s="219">
        <v>5</v>
      </c>
      <c r="G116" s="219" t="s">
        <v>175</v>
      </c>
      <c r="H116" s="219" t="s">
        <v>179</v>
      </c>
      <c r="I116" s="219" t="s">
        <v>54</v>
      </c>
      <c r="J116" s="219"/>
      <c r="K116" s="220">
        <v>11</v>
      </c>
      <c r="L116" s="221" t="s">
        <v>29</v>
      </c>
      <c r="M116" s="259" t="s">
        <v>178</v>
      </c>
      <c r="N116" s="222">
        <v>8799663116</v>
      </c>
      <c r="O116" s="222"/>
      <c r="P116" s="222"/>
      <c r="Q116" s="222"/>
      <c r="R116" s="636"/>
      <c r="S116" s="636"/>
      <c r="T116" s="222">
        <f>+N116-S116+O116-P116+Q116-R116</f>
        <v>8799663116</v>
      </c>
      <c r="U116" s="222">
        <v>8799663116</v>
      </c>
      <c r="V116" s="222">
        <f t="shared" ref="V116" si="107">+T116-U116</f>
        <v>0</v>
      </c>
      <c r="W116" s="224">
        <f t="shared" si="67"/>
        <v>1</v>
      </c>
      <c r="X116" s="222">
        <v>0</v>
      </c>
      <c r="Y116" s="222">
        <f t="shared" ref="Y116" si="108">+U116-X116</f>
        <v>8799663116</v>
      </c>
      <c r="Z116" s="224">
        <f t="shared" si="77"/>
        <v>1</v>
      </c>
      <c r="AA116" s="222">
        <v>0</v>
      </c>
      <c r="AB116" s="222">
        <f t="shared" ref="AB116" si="109">+X116-AA116</f>
        <v>0</v>
      </c>
      <c r="AC116" s="224">
        <f t="shared" si="65"/>
        <v>0</v>
      </c>
      <c r="AE116" s="13"/>
      <c r="AF116" s="293"/>
    </row>
    <row r="117" spans="1:32" ht="49.5">
      <c r="A117" s="32" t="str">
        <f t="shared" si="62"/>
        <v>C-4101-1500-5-0-4101077=11</v>
      </c>
      <c r="B117" s="210" t="str">
        <f>CONCATENATE(C117,"-",D117,"-",E117,"-",F117,"-",G117,"-",H117)</f>
        <v>C-4101-1500-5-0-4101077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181</v>
      </c>
      <c r="I117" s="212"/>
      <c r="J117" s="212"/>
      <c r="K117" s="213">
        <v>11</v>
      </c>
      <c r="L117" s="214" t="s">
        <v>29</v>
      </c>
      <c r="M117" s="210" t="s">
        <v>182</v>
      </c>
      <c r="N117" s="215">
        <f t="shared" ref="N117:V117" si="110">SUM(N118:N118)</f>
        <v>4325174580</v>
      </c>
      <c r="O117" s="215">
        <f t="shared" si="110"/>
        <v>0</v>
      </c>
      <c r="P117" s="215">
        <f t="shared" si="110"/>
        <v>0</v>
      </c>
      <c r="Q117" s="215">
        <f t="shared" si="110"/>
        <v>0</v>
      </c>
      <c r="R117" s="215">
        <f t="shared" si="110"/>
        <v>0</v>
      </c>
      <c r="S117" s="215">
        <f t="shared" si="110"/>
        <v>0</v>
      </c>
      <c r="T117" s="215">
        <f t="shared" si="110"/>
        <v>4325174580</v>
      </c>
      <c r="U117" s="215">
        <f t="shared" si="110"/>
        <v>3022087127</v>
      </c>
      <c r="V117" s="215">
        <f t="shared" si="110"/>
        <v>1303087453</v>
      </c>
      <c r="W117" s="216">
        <f t="shared" si="67"/>
        <v>0.698720264604903</v>
      </c>
      <c r="X117" s="215">
        <f t="shared" ref="X117:Y117" si="111">SUM(X118:X118)</f>
        <v>110021841</v>
      </c>
      <c r="Y117" s="215">
        <f t="shared" si="111"/>
        <v>2912065286</v>
      </c>
      <c r="Z117" s="216">
        <f t="shared" si="77"/>
        <v>0.96359408700793558</v>
      </c>
      <c r="AA117" s="215">
        <f t="shared" ref="AA117:AB117" si="112">SUM(AA118:AA118)</f>
        <v>110021841</v>
      </c>
      <c r="AB117" s="215">
        <f t="shared" si="112"/>
        <v>0</v>
      </c>
      <c r="AC117" s="216">
        <f t="shared" si="65"/>
        <v>3.6405912992064443E-2</v>
      </c>
      <c r="AE117" s="13"/>
      <c r="AF117" s="293"/>
    </row>
    <row r="118" spans="1:32" ht="24.95" customHeight="1">
      <c r="A118" s="32" t="str">
        <f t="shared" si="62"/>
        <v>C-4101-1500-5-0-4101077-02=11</v>
      </c>
      <c r="B118" s="217" t="str">
        <f>CONCATENATE(C118,"-",D118,"-",E118,"-",F118,"-",G118,"-",H118,"-",I118)</f>
        <v>C-4101-1500-5-0-4101077-02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181</v>
      </c>
      <c r="I118" s="225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4325174580</v>
      </c>
      <c r="O118" s="222"/>
      <c r="P118" s="222"/>
      <c r="Q118" s="222"/>
      <c r="R118" s="222"/>
      <c r="S118" s="222"/>
      <c r="T118" s="222">
        <f>+N118-S118+O118-P118+Q118-R118</f>
        <v>4325174580</v>
      </c>
      <c r="U118" s="222">
        <v>3022087127</v>
      </c>
      <c r="V118" s="222">
        <f t="shared" si="104"/>
        <v>1303087453</v>
      </c>
      <c r="W118" s="224">
        <f t="shared" si="67"/>
        <v>0.698720264604903</v>
      </c>
      <c r="X118" s="222">
        <v>110021841</v>
      </c>
      <c r="Y118" s="222">
        <f t="shared" ref="Y118:Y177" si="113">+U118-X118</f>
        <v>2912065286</v>
      </c>
      <c r="Z118" s="224">
        <f t="shared" si="77"/>
        <v>0.96359408700793558</v>
      </c>
      <c r="AA118" s="222">
        <v>110021841</v>
      </c>
      <c r="AB118" s="222">
        <f t="shared" si="105"/>
        <v>0</v>
      </c>
      <c r="AC118" s="224">
        <f t="shared" si="65"/>
        <v>3.6405912992064443E-2</v>
      </c>
      <c r="AE118" s="13"/>
      <c r="AF118" s="293"/>
    </row>
    <row r="119" spans="1:32" ht="49.5">
      <c r="A119" s="32" t="str">
        <f t="shared" si="62"/>
        <v>C-4101-1500-5-0-4101078=11</v>
      </c>
      <c r="B119" s="210" t="str">
        <f>CONCATENATE(C119,"-",D119,"-",E119,"-",F119,"-",G119,"-",H119)</f>
        <v>C-4101-1500-5-0-4101078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183</v>
      </c>
      <c r="I119" s="212"/>
      <c r="J119" s="212"/>
      <c r="K119" s="213">
        <v>11</v>
      </c>
      <c r="L119" s="214" t="s">
        <v>29</v>
      </c>
      <c r="M119" s="210" t="s">
        <v>184</v>
      </c>
      <c r="N119" s="215">
        <f>+N120</f>
        <v>7972098301</v>
      </c>
      <c r="O119" s="215">
        <f t="shared" ref="O119:AB119" si="114">+O120</f>
        <v>0</v>
      </c>
      <c r="P119" s="215">
        <f t="shared" si="114"/>
        <v>0</v>
      </c>
      <c r="Q119" s="215">
        <f t="shared" si="114"/>
        <v>0</v>
      </c>
      <c r="R119" s="215">
        <f t="shared" si="114"/>
        <v>0</v>
      </c>
      <c r="S119" s="215">
        <f t="shared" si="114"/>
        <v>0</v>
      </c>
      <c r="T119" s="215">
        <f t="shared" si="114"/>
        <v>7972098301</v>
      </c>
      <c r="U119" s="215">
        <f t="shared" si="114"/>
        <v>7027400000</v>
      </c>
      <c r="V119" s="215">
        <f t="shared" si="114"/>
        <v>944698301</v>
      </c>
      <c r="W119" s="216">
        <f t="shared" si="67"/>
        <v>0.8814994164232145</v>
      </c>
      <c r="X119" s="215">
        <f t="shared" si="114"/>
        <v>0</v>
      </c>
      <c r="Y119" s="215">
        <f t="shared" si="114"/>
        <v>7027400000</v>
      </c>
      <c r="Z119" s="216">
        <f t="shared" si="77"/>
        <v>1</v>
      </c>
      <c r="AA119" s="215">
        <f t="shared" si="114"/>
        <v>0</v>
      </c>
      <c r="AB119" s="215">
        <f t="shared" si="114"/>
        <v>0</v>
      </c>
      <c r="AC119" s="216">
        <f t="shared" si="65"/>
        <v>0</v>
      </c>
      <c r="AE119" s="13"/>
      <c r="AF119" s="293"/>
    </row>
    <row r="120" spans="1:32" ht="24.95" customHeight="1">
      <c r="A120" s="32" t="str">
        <f t="shared" si="62"/>
        <v>C-4101-1500-5-0-4101078-02=11</v>
      </c>
      <c r="B120" s="217" t="str">
        <f>CONCATENATE(C120,"-",D120,"-",E120,"-",F120,"-",G120,"-",H120,"-",I120)</f>
        <v>C-4101-1500-5-0-4101078-02</v>
      </c>
      <c r="C120" s="218" t="s">
        <v>167</v>
      </c>
      <c r="D120" s="219" t="s">
        <v>171</v>
      </c>
      <c r="E120" s="219" t="s">
        <v>172</v>
      </c>
      <c r="F120" s="219" t="s">
        <v>261</v>
      </c>
      <c r="G120" s="219" t="s">
        <v>175</v>
      </c>
      <c r="H120" s="219" t="s">
        <v>183</v>
      </c>
      <c r="I120" s="219" t="s">
        <v>54</v>
      </c>
      <c r="J120" s="219"/>
      <c r="K120" s="220">
        <v>11</v>
      </c>
      <c r="L120" s="221" t="s">
        <v>29</v>
      </c>
      <c r="M120" s="217" t="s">
        <v>178</v>
      </c>
      <c r="N120" s="222">
        <v>7972098301</v>
      </c>
      <c r="O120" s="222"/>
      <c r="P120" s="222"/>
      <c r="Q120" s="222"/>
      <c r="R120" s="222"/>
      <c r="S120" s="222"/>
      <c r="T120" s="223">
        <f>+N120-S120+O120-P120+Q120-R120</f>
        <v>7972098301</v>
      </c>
      <c r="U120" s="222">
        <v>7027400000</v>
      </c>
      <c r="V120" s="222">
        <f t="shared" si="104"/>
        <v>944698301</v>
      </c>
      <c r="W120" s="224">
        <f t="shared" si="67"/>
        <v>0.8814994164232145</v>
      </c>
      <c r="X120" s="222">
        <v>0</v>
      </c>
      <c r="Y120" s="222">
        <f t="shared" si="113"/>
        <v>7027400000</v>
      </c>
      <c r="Z120" s="224">
        <f t="shared" si="77"/>
        <v>1</v>
      </c>
      <c r="AA120" s="222">
        <v>0</v>
      </c>
      <c r="AB120" s="222">
        <f t="shared" si="105"/>
        <v>0</v>
      </c>
      <c r="AC120" s="224">
        <f t="shared" si="65"/>
        <v>0</v>
      </c>
      <c r="AE120" s="13"/>
      <c r="AF120" s="293"/>
    </row>
    <row r="121" spans="1:32" ht="24.95" customHeight="1">
      <c r="A121" s="32" t="str">
        <f t="shared" si="62"/>
        <v>C-4101-1500-5-0-4101080=11</v>
      </c>
      <c r="B121" s="210" t="str">
        <f>CONCATENATE(C121,"-",D121,"-",E121,"-",F121,"-",G121,"-",H121)</f>
        <v>C-4101-1500-5-0-4101080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185</v>
      </c>
      <c r="I121" s="212"/>
      <c r="J121" s="212"/>
      <c r="K121" s="213">
        <v>11</v>
      </c>
      <c r="L121" s="214" t="s">
        <v>29</v>
      </c>
      <c r="M121" s="210" t="s">
        <v>186</v>
      </c>
      <c r="N121" s="215">
        <f>+N122</f>
        <v>5196200000</v>
      </c>
      <c r="O121" s="215">
        <f t="shared" ref="O121:AB121" si="115">+O122</f>
        <v>0</v>
      </c>
      <c r="P121" s="215">
        <f t="shared" si="115"/>
        <v>0</v>
      </c>
      <c r="Q121" s="215">
        <f t="shared" si="115"/>
        <v>0</v>
      </c>
      <c r="R121" s="215">
        <f t="shared" si="115"/>
        <v>0</v>
      </c>
      <c r="S121" s="215">
        <f t="shared" si="115"/>
        <v>0</v>
      </c>
      <c r="T121" s="215">
        <f t="shared" si="115"/>
        <v>5196200000</v>
      </c>
      <c r="U121" s="215">
        <f t="shared" si="115"/>
        <v>5196200000</v>
      </c>
      <c r="V121" s="215">
        <f t="shared" si="115"/>
        <v>0</v>
      </c>
      <c r="W121" s="216">
        <f t="shared" si="67"/>
        <v>1</v>
      </c>
      <c r="X121" s="215">
        <f t="shared" si="115"/>
        <v>0</v>
      </c>
      <c r="Y121" s="215">
        <f t="shared" si="115"/>
        <v>5196200000</v>
      </c>
      <c r="Z121" s="216">
        <f t="shared" si="77"/>
        <v>1</v>
      </c>
      <c r="AA121" s="215">
        <f t="shared" si="115"/>
        <v>0</v>
      </c>
      <c r="AB121" s="215">
        <f t="shared" si="115"/>
        <v>0</v>
      </c>
      <c r="AC121" s="216">
        <f t="shared" si="65"/>
        <v>0</v>
      </c>
      <c r="AE121" s="13"/>
      <c r="AF121" s="293"/>
    </row>
    <row r="122" spans="1:32" ht="24.95" customHeight="1">
      <c r="A122" s="32" t="str">
        <f t="shared" si="62"/>
        <v>C-4101-1500-5-0-4101080-02=11</v>
      </c>
      <c r="B122" s="217" t="str">
        <f>CONCATENATE(C122,"-",D122,"-",E122,"-",F122,"-",G122,"-",H122,"-",I122)</f>
        <v>C-4101-1500-5-0-4101080-02</v>
      </c>
      <c r="C122" s="218" t="s">
        <v>167</v>
      </c>
      <c r="D122" s="219" t="s">
        <v>171</v>
      </c>
      <c r="E122" s="219" t="s">
        <v>172</v>
      </c>
      <c r="F122" s="219">
        <v>5</v>
      </c>
      <c r="G122" s="219" t="s">
        <v>175</v>
      </c>
      <c r="H122" s="219" t="s">
        <v>185</v>
      </c>
      <c r="I122" s="219" t="s">
        <v>54</v>
      </c>
      <c r="J122" s="219"/>
      <c r="K122" s="220">
        <v>11</v>
      </c>
      <c r="L122" s="221" t="s">
        <v>29</v>
      </c>
      <c r="M122" s="259" t="s">
        <v>178</v>
      </c>
      <c r="N122" s="222">
        <v>5196200000</v>
      </c>
      <c r="O122" s="222"/>
      <c r="P122" s="222"/>
      <c r="Q122" s="222"/>
      <c r="R122" s="222"/>
      <c r="S122" s="222"/>
      <c r="T122" s="222">
        <f>+N122-S122+O122-P122+Q122-R122</f>
        <v>5196200000</v>
      </c>
      <c r="U122" s="222">
        <v>5196200000</v>
      </c>
      <c r="V122" s="222">
        <f t="shared" ref="V122" si="116">+T122-U122</f>
        <v>0</v>
      </c>
      <c r="W122" s="224">
        <f t="shared" si="67"/>
        <v>1</v>
      </c>
      <c r="X122" s="222">
        <v>0</v>
      </c>
      <c r="Y122" s="222">
        <f t="shared" ref="Y122" si="117">+U122-X122</f>
        <v>5196200000</v>
      </c>
      <c r="Z122" s="224">
        <f t="shared" si="77"/>
        <v>1</v>
      </c>
      <c r="AA122" s="222">
        <v>0</v>
      </c>
      <c r="AB122" s="222">
        <f t="shared" ref="AB122" si="118">+X122-AA122</f>
        <v>0</v>
      </c>
      <c r="AC122" s="224">
        <f t="shared" si="65"/>
        <v>0</v>
      </c>
      <c r="AE122" s="13"/>
      <c r="AF122" s="293"/>
    </row>
    <row r="123" spans="1:32" ht="49.5">
      <c r="A123" s="32" t="str">
        <f t="shared" si="62"/>
        <v>C-4101-1500-5-0-4101081=11</v>
      </c>
      <c r="B123" s="210" t="str">
        <f>CONCATENATE(C123,"-",D123,"-",E123,"-",F123,"-",G123,"-",H123)</f>
        <v>C-4101-1500-5-0-4101081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187</v>
      </c>
      <c r="I123" s="212"/>
      <c r="J123" s="212"/>
      <c r="K123" s="213">
        <v>11</v>
      </c>
      <c r="L123" s="214" t="s">
        <v>29</v>
      </c>
      <c r="M123" s="210" t="s">
        <v>188</v>
      </c>
      <c r="N123" s="215">
        <f>+N124</f>
        <v>2593569161</v>
      </c>
      <c r="O123" s="215">
        <f t="shared" ref="O123:AB123" si="119">+O124</f>
        <v>0</v>
      </c>
      <c r="P123" s="215">
        <f t="shared" si="119"/>
        <v>0</v>
      </c>
      <c r="Q123" s="215">
        <f t="shared" si="119"/>
        <v>0</v>
      </c>
      <c r="R123" s="215">
        <f t="shared" si="119"/>
        <v>0</v>
      </c>
      <c r="S123" s="215">
        <f t="shared" si="119"/>
        <v>0</v>
      </c>
      <c r="T123" s="215">
        <f t="shared" si="119"/>
        <v>2593569161</v>
      </c>
      <c r="U123" s="215">
        <f t="shared" si="119"/>
        <v>2593569161</v>
      </c>
      <c r="V123" s="215">
        <f t="shared" si="119"/>
        <v>0</v>
      </c>
      <c r="W123" s="216">
        <f t="shared" si="67"/>
        <v>1</v>
      </c>
      <c r="X123" s="215">
        <f t="shared" si="119"/>
        <v>0</v>
      </c>
      <c r="Y123" s="215">
        <f t="shared" si="119"/>
        <v>2593569161</v>
      </c>
      <c r="Z123" s="216">
        <f t="shared" si="77"/>
        <v>1</v>
      </c>
      <c r="AA123" s="215">
        <f t="shared" si="119"/>
        <v>0</v>
      </c>
      <c r="AB123" s="215">
        <f t="shared" si="119"/>
        <v>0</v>
      </c>
      <c r="AC123" s="216">
        <f t="shared" si="65"/>
        <v>0</v>
      </c>
      <c r="AE123" s="13"/>
      <c r="AF123" s="293"/>
    </row>
    <row r="124" spans="1:32" ht="24.95" customHeight="1">
      <c r="A124" s="32" t="str">
        <f t="shared" si="62"/>
        <v>C-4101-1500-5-0-4101081-02=11</v>
      </c>
      <c r="B124" s="217" t="str">
        <f>CONCATENATE(C124,"-",D124,"-",E124,"-",F124,"-",G124,"-",H124,"-",I124)</f>
        <v>C-4101-1500-5-0-4101081-02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187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2593569161</v>
      </c>
      <c r="O124" s="222"/>
      <c r="P124" s="222"/>
      <c r="Q124" s="222"/>
      <c r="R124" s="222"/>
      <c r="S124" s="222"/>
      <c r="T124" s="222">
        <f>+N124-S124+O124-P124+Q124-R124</f>
        <v>2593569161</v>
      </c>
      <c r="U124" s="222">
        <v>2593569161</v>
      </c>
      <c r="V124" s="222">
        <f t="shared" si="104"/>
        <v>0</v>
      </c>
      <c r="W124" s="224">
        <f t="shared" si="67"/>
        <v>1</v>
      </c>
      <c r="X124" s="222">
        <v>0</v>
      </c>
      <c r="Y124" s="222">
        <f t="shared" si="113"/>
        <v>2593569161</v>
      </c>
      <c r="Z124" s="224">
        <f t="shared" si="77"/>
        <v>1</v>
      </c>
      <c r="AA124" s="222">
        <v>0</v>
      </c>
      <c r="AB124" s="222">
        <f t="shared" si="105"/>
        <v>0</v>
      </c>
      <c r="AC124" s="224">
        <f t="shared" si="65"/>
        <v>0</v>
      </c>
      <c r="AE124" s="13"/>
      <c r="AF124" s="293"/>
    </row>
    <row r="125" spans="1:32" ht="66">
      <c r="A125" s="32" t="str">
        <f t="shared" si="62"/>
        <v>C-4101-1500-6=</v>
      </c>
      <c r="B125" s="226" t="str">
        <f>CONCATENATE(C125,"-",D125,"-",E125,"-",F125)</f>
        <v>C-4101-1500-6</v>
      </c>
      <c r="C125" s="227" t="s">
        <v>167</v>
      </c>
      <c r="D125" s="228" t="s">
        <v>171</v>
      </c>
      <c r="E125" s="228" t="s">
        <v>172</v>
      </c>
      <c r="F125" s="228" t="s">
        <v>173</v>
      </c>
      <c r="G125" s="228"/>
      <c r="H125" s="228"/>
      <c r="I125" s="228"/>
      <c r="J125" s="228"/>
      <c r="K125" s="229"/>
      <c r="L125" s="230"/>
      <c r="M125" s="231" t="s">
        <v>174</v>
      </c>
      <c r="N125" s="232">
        <f>+N130+N132+N134+N136+N126+N128</f>
        <v>118101757963</v>
      </c>
      <c r="O125" s="232">
        <f t="shared" ref="O125:V125" si="120">+O130+O132+O134+O136+O126+O128</f>
        <v>0</v>
      </c>
      <c r="P125" s="232">
        <f t="shared" si="120"/>
        <v>0</v>
      </c>
      <c r="Q125" s="232">
        <f t="shared" si="120"/>
        <v>0</v>
      </c>
      <c r="R125" s="232">
        <f t="shared" si="120"/>
        <v>0</v>
      </c>
      <c r="S125" s="232">
        <f t="shared" si="120"/>
        <v>0</v>
      </c>
      <c r="T125" s="232">
        <f t="shared" si="120"/>
        <v>118101757963</v>
      </c>
      <c r="U125" s="232">
        <f t="shared" si="120"/>
        <v>107260920202</v>
      </c>
      <c r="V125" s="232">
        <f t="shared" si="120"/>
        <v>10840837761</v>
      </c>
      <c r="W125" s="233">
        <f t="shared" si="67"/>
        <v>0.90820765119858493</v>
      </c>
      <c r="X125" s="232">
        <f t="shared" ref="X125:AB125" si="121">+X130+X132+X134+X136+X126+X128</f>
        <v>8522699195</v>
      </c>
      <c r="Y125" s="232">
        <f t="shared" si="121"/>
        <v>98738221007</v>
      </c>
      <c r="Z125" s="233">
        <f t="shared" si="77"/>
        <v>0.9205423636218153</v>
      </c>
      <c r="AA125" s="232">
        <f t="shared" si="121"/>
        <v>8522699195</v>
      </c>
      <c r="AB125" s="232">
        <f t="shared" si="121"/>
        <v>0</v>
      </c>
      <c r="AC125" s="233">
        <f t="shared" si="65"/>
        <v>7.945763637818469E-2</v>
      </c>
      <c r="AE125" s="13"/>
      <c r="AF125" s="293"/>
    </row>
    <row r="126" spans="1:32" ht="24.95" customHeight="1">
      <c r="A126" s="32" t="str">
        <f t="shared" si="62"/>
        <v>C-4101-1500-6-0-4101073=11</v>
      </c>
      <c r="B126" s="210" t="str">
        <f>CONCATENATE(C126,"-",D126,"-",E126,"-",F126,"-",G126,"-",H126)</f>
        <v>C-4101-1500-6-0-4101073</v>
      </c>
      <c r="C126" s="211" t="s">
        <v>167</v>
      </c>
      <c r="D126" s="212" t="s">
        <v>171</v>
      </c>
      <c r="E126" s="212" t="s">
        <v>172</v>
      </c>
      <c r="F126" s="212" t="s">
        <v>173</v>
      </c>
      <c r="G126" s="212" t="s">
        <v>175</v>
      </c>
      <c r="H126" s="212" t="s">
        <v>176</v>
      </c>
      <c r="I126" s="212"/>
      <c r="J126" s="212"/>
      <c r="K126" s="213" t="s">
        <v>144</v>
      </c>
      <c r="L126" s="214" t="s">
        <v>29</v>
      </c>
      <c r="M126" s="210" t="s">
        <v>177</v>
      </c>
      <c r="N126" s="215">
        <f t="shared" ref="N126:V126" si="122">SUM(N127:N127)</f>
        <v>4947405600</v>
      </c>
      <c r="O126" s="215">
        <f t="shared" si="122"/>
        <v>0</v>
      </c>
      <c r="P126" s="215">
        <f t="shared" si="122"/>
        <v>0</v>
      </c>
      <c r="Q126" s="215">
        <f t="shared" si="122"/>
        <v>0</v>
      </c>
      <c r="R126" s="215">
        <f t="shared" si="122"/>
        <v>0</v>
      </c>
      <c r="S126" s="215">
        <f t="shared" si="122"/>
        <v>0</v>
      </c>
      <c r="T126" s="215">
        <f t="shared" si="122"/>
        <v>4947405600</v>
      </c>
      <c r="U126" s="215">
        <f t="shared" si="122"/>
        <v>1947405600</v>
      </c>
      <c r="V126" s="215">
        <f t="shared" si="122"/>
        <v>3000000000</v>
      </c>
      <c r="W126" s="216">
        <f t="shared" si="67"/>
        <v>0.39362157814592763</v>
      </c>
      <c r="X126" s="215">
        <f t="shared" ref="X126:Y126" si="123">SUM(X127:X127)</f>
        <v>623536251</v>
      </c>
      <c r="Y126" s="215">
        <f t="shared" si="123"/>
        <v>1323869349</v>
      </c>
      <c r="Z126" s="216">
        <f t="shared" si="77"/>
        <v>0.67981182194402645</v>
      </c>
      <c r="AA126" s="215">
        <f t="shared" ref="AA126:AB126" si="124">SUM(AA127:AA127)</f>
        <v>623536251</v>
      </c>
      <c r="AB126" s="215">
        <f t="shared" si="124"/>
        <v>0</v>
      </c>
      <c r="AC126" s="216">
        <f t="shared" si="65"/>
        <v>0.32018817805597355</v>
      </c>
      <c r="AE126" s="13"/>
      <c r="AF126" s="293"/>
    </row>
    <row r="127" spans="1:32" ht="24.95" customHeight="1">
      <c r="A127" s="32" t="str">
        <f t="shared" si="62"/>
        <v>C-4101-1500-6-0-4101073-02=11</v>
      </c>
      <c r="B127" s="217" t="str">
        <f>CONCATENATE(C127,"-",D127,"-",E127,"-",F127,"-",G127,"-",H127,"-",I127)</f>
        <v>C-4101-1500-6-0-4101073-02</v>
      </c>
      <c r="C127" s="218" t="s">
        <v>167</v>
      </c>
      <c r="D127" s="219" t="s">
        <v>171</v>
      </c>
      <c r="E127" s="219" t="s">
        <v>172</v>
      </c>
      <c r="F127" s="219" t="s">
        <v>173</v>
      </c>
      <c r="G127" s="219" t="s">
        <v>175</v>
      </c>
      <c r="H127" s="219" t="s">
        <v>176</v>
      </c>
      <c r="I127" s="219" t="s">
        <v>54</v>
      </c>
      <c r="J127" s="219"/>
      <c r="K127" s="220" t="s">
        <v>144</v>
      </c>
      <c r="L127" s="221" t="s">
        <v>29</v>
      </c>
      <c r="M127" s="259" t="s">
        <v>178</v>
      </c>
      <c r="N127" s="222">
        <v>4947405600</v>
      </c>
      <c r="O127" s="222"/>
      <c r="P127" s="222"/>
      <c r="Q127" s="222"/>
      <c r="R127" s="222"/>
      <c r="S127" s="222"/>
      <c r="T127" s="222">
        <f>+N127-S127+O127-P127+Q127-R127</f>
        <v>4947405600</v>
      </c>
      <c r="U127" s="222">
        <v>1947405600</v>
      </c>
      <c r="V127" s="222">
        <f t="shared" si="104"/>
        <v>3000000000</v>
      </c>
      <c r="W127" s="224">
        <f t="shared" si="67"/>
        <v>0.39362157814592763</v>
      </c>
      <c r="X127" s="222">
        <v>623536251</v>
      </c>
      <c r="Y127" s="222">
        <f t="shared" si="113"/>
        <v>1323869349</v>
      </c>
      <c r="Z127" s="224">
        <f t="shared" si="77"/>
        <v>0.67981182194402645</v>
      </c>
      <c r="AA127" s="222">
        <v>623536251</v>
      </c>
      <c r="AB127" s="222">
        <f t="shared" si="105"/>
        <v>0</v>
      </c>
      <c r="AC127" s="224">
        <f t="shared" si="65"/>
        <v>0.32018817805597355</v>
      </c>
      <c r="AE127" s="13"/>
      <c r="AF127" s="293"/>
    </row>
    <row r="128" spans="1:32" ht="49.5">
      <c r="A128" s="32" t="str">
        <f t="shared" si="62"/>
        <v>C-4101-1500-6-0-4101074=11</v>
      </c>
      <c r="B128" s="210" t="str">
        <f>CONCATENATE(C128,"-",D128,"-",E128,"-",F128,"-",G128,"-",H128)</f>
        <v>C-4101-1500-6-0-4101074</v>
      </c>
      <c r="C128" s="211" t="s">
        <v>167</v>
      </c>
      <c r="D128" s="212" t="s">
        <v>171</v>
      </c>
      <c r="E128" s="212" t="s">
        <v>172</v>
      </c>
      <c r="F128" s="212" t="s">
        <v>173</v>
      </c>
      <c r="G128" s="212" t="s">
        <v>175</v>
      </c>
      <c r="H128" s="212" t="s">
        <v>179</v>
      </c>
      <c r="I128" s="212"/>
      <c r="J128" s="212"/>
      <c r="K128" s="213" t="s">
        <v>144</v>
      </c>
      <c r="L128" s="214" t="s">
        <v>29</v>
      </c>
      <c r="M128" s="210" t="s">
        <v>180</v>
      </c>
      <c r="N128" s="215">
        <f>+N129</f>
        <v>27420887861</v>
      </c>
      <c r="O128" s="215">
        <f t="shared" ref="O128:AB128" si="125">+O129</f>
        <v>0</v>
      </c>
      <c r="P128" s="215">
        <f t="shared" si="125"/>
        <v>0</v>
      </c>
      <c r="Q128" s="215">
        <f t="shared" si="125"/>
        <v>0</v>
      </c>
      <c r="R128" s="215">
        <f t="shared" si="125"/>
        <v>0</v>
      </c>
      <c r="S128" s="215">
        <f t="shared" si="125"/>
        <v>0</v>
      </c>
      <c r="T128" s="215">
        <f t="shared" si="125"/>
        <v>27420887861</v>
      </c>
      <c r="U128" s="215">
        <f t="shared" si="125"/>
        <v>27306887861</v>
      </c>
      <c r="V128" s="215">
        <f t="shared" si="125"/>
        <v>114000000</v>
      </c>
      <c r="W128" s="216">
        <f t="shared" si="67"/>
        <v>0.99584258538316195</v>
      </c>
      <c r="X128" s="215">
        <f t="shared" si="125"/>
        <v>7696085751</v>
      </c>
      <c r="Y128" s="215">
        <f t="shared" si="125"/>
        <v>19610802110</v>
      </c>
      <c r="Z128" s="216">
        <f t="shared" si="77"/>
        <v>0.7181632051892799</v>
      </c>
      <c r="AA128" s="215">
        <f t="shared" si="125"/>
        <v>7696085751</v>
      </c>
      <c r="AB128" s="215">
        <f t="shared" si="125"/>
        <v>0</v>
      </c>
      <c r="AC128" s="216">
        <f t="shared" si="65"/>
        <v>0.2818367948107201</v>
      </c>
      <c r="AE128" s="13"/>
      <c r="AF128" s="293"/>
    </row>
    <row r="129" spans="1:54" ht="24.95" customHeight="1">
      <c r="A129" s="32" t="str">
        <f t="shared" si="62"/>
        <v>C-4101-1500-6-0-4101074-02=11</v>
      </c>
      <c r="B129" s="217" t="str">
        <f>CONCATENATE(C129,"-",D129,"-",E129,"-",F129,"-",G129,"-",H129,"-",I129)</f>
        <v>C-4101-1500-6-0-4101074-02</v>
      </c>
      <c r="C129" s="218" t="s">
        <v>167</v>
      </c>
      <c r="D129" s="219" t="s">
        <v>171</v>
      </c>
      <c r="E129" s="219" t="s">
        <v>172</v>
      </c>
      <c r="F129" s="219" t="s">
        <v>173</v>
      </c>
      <c r="G129" s="219" t="s">
        <v>175</v>
      </c>
      <c r="H129" s="219" t="s">
        <v>179</v>
      </c>
      <c r="I129" s="219" t="s">
        <v>54</v>
      </c>
      <c r="J129" s="219"/>
      <c r="K129" s="220" t="s">
        <v>144</v>
      </c>
      <c r="L129" s="221" t="s">
        <v>29</v>
      </c>
      <c r="M129" s="259" t="s">
        <v>178</v>
      </c>
      <c r="N129" s="222">
        <v>27420887861</v>
      </c>
      <c r="O129" s="222"/>
      <c r="P129" s="222"/>
      <c r="Q129" s="222"/>
      <c r="R129" s="222"/>
      <c r="S129" s="222"/>
      <c r="T129" s="222">
        <f>+N129-S129+O129-P129+Q129-R129</f>
        <v>27420887861</v>
      </c>
      <c r="U129" s="222">
        <v>27306887861</v>
      </c>
      <c r="V129" s="222">
        <f t="shared" si="104"/>
        <v>114000000</v>
      </c>
      <c r="W129" s="224">
        <f t="shared" si="67"/>
        <v>0.99584258538316195</v>
      </c>
      <c r="X129" s="222">
        <v>7696085751</v>
      </c>
      <c r="Y129" s="222">
        <f t="shared" si="113"/>
        <v>19610802110</v>
      </c>
      <c r="Z129" s="224">
        <f t="shared" si="77"/>
        <v>0.7181632051892799</v>
      </c>
      <c r="AA129" s="222">
        <v>7696085751</v>
      </c>
      <c r="AB129" s="222">
        <f t="shared" si="105"/>
        <v>0</v>
      </c>
      <c r="AC129" s="224">
        <f t="shared" si="65"/>
        <v>0.2818367948107201</v>
      </c>
      <c r="AE129" s="13"/>
      <c r="AF129" s="293"/>
    </row>
    <row r="130" spans="1:54" ht="49.5">
      <c r="A130" s="32" t="str">
        <f t="shared" si="62"/>
        <v>C-4101-1500-6-0-4101077=11</v>
      </c>
      <c r="B130" s="210" t="str">
        <f>CONCATENATE(C130,"-",D130,"-",E130,"-",F130,"-",G130,"-",H130)</f>
        <v>C-4101-1500-6-0-4101077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181</v>
      </c>
      <c r="I130" s="212"/>
      <c r="J130" s="212"/>
      <c r="K130" s="213" t="s">
        <v>144</v>
      </c>
      <c r="L130" s="214" t="s">
        <v>29</v>
      </c>
      <c r="M130" s="210" t="s">
        <v>182</v>
      </c>
      <c r="N130" s="215">
        <f>+N131</f>
        <v>17722088000</v>
      </c>
      <c r="O130" s="215">
        <f t="shared" ref="O130:AB130" si="126">+O131</f>
        <v>0</v>
      </c>
      <c r="P130" s="215">
        <f t="shared" si="126"/>
        <v>0</v>
      </c>
      <c r="Q130" s="215">
        <f t="shared" si="126"/>
        <v>0</v>
      </c>
      <c r="R130" s="215">
        <f t="shared" si="126"/>
        <v>0</v>
      </c>
      <c r="S130" s="215">
        <f t="shared" si="126"/>
        <v>0</v>
      </c>
      <c r="T130" s="215">
        <f t="shared" si="126"/>
        <v>17722088000</v>
      </c>
      <c r="U130" s="215">
        <f t="shared" si="126"/>
        <v>17722088000</v>
      </c>
      <c r="V130" s="215">
        <f t="shared" si="126"/>
        <v>0</v>
      </c>
      <c r="W130" s="216">
        <f t="shared" si="67"/>
        <v>1</v>
      </c>
      <c r="X130" s="215">
        <f t="shared" si="126"/>
        <v>0</v>
      </c>
      <c r="Y130" s="215">
        <f t="shared" si="126"/>
        <v>17722088000</v>
      </c>
      <c r="Z130" s="216">
        <f t="shared" si="77"/>
        <v>1</v>
      </c>
      <c r="AA130" s="215">
        <f t="shared" si="126"/>
        <v>0</v>
      </c>
      <c r="AB130" s="215">
        <f t="shared" si="126"/>
        <v>0</v>
      </c>
      <c r="AC130" s="216">
        <f t="shared" si="65"/>
        <v>0</v>
      </c>
      <c r="AE130" s="13"/>
      <c r="AF130" s="293"/>
    </row>
    <row r="131" spans="1:54" ht="24.95" customHeight="1">
      <c r="A131" s="32" t="str">
        <f t="shared" si="62"/>
        <v>C-4101-1500-6-0-4101077-02=11</v>
      </c>
      <c r="B131" s="217" t="str">
        <f>CONCATENATE(C131,"-",D131,"-",E131,"-",F131,"-",G131,"-",H131,"-",I131)</f>
        <v>C-4101-1500-6-0-4101077-02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181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17722088000</v>
      </c>
      <c r="O131" s="222"/>
      <c r="P131" s="222"/>
      <c r="Q131" s="222"/>
      <c r="R131" s="222"/>
      <c r="S131" s="222"/>
      <c r="T131" s="222">
        <f>+N131-S131+O131-P131+Q131-R131</f>
        <v>17722088000</v>
      </c>
      <c r="U131" s="222">
        <v>17722088000</v>
      </c>
      <c r="V131" s="222">
        <f t="shared" si="104"/>
        <v>0</v>
      </c>
      <c r="W131" s="224">
        <f t="shared" si="67"/>
        <v>1</v>
      </c>
      <c r="X131" s="222">
        <v>0</v>
      </c>
      <c r="Y131" s="222">
        <f t="shared" si="113"/>
        <v>17722088000</v>
      </c>
      <c r="Z131" s="224">
        <f t="shared" si="77"/>
        <v>1</v>
      </c>
      <c r="AA131" s="222">
        <v>0</v>
      </c>
      <c r="AB131" s="222">
        <f t="shared" si="105"/>
        <v>0</v>
      </c>
      <c r="AC131" s="224">
        <f t="shared" si="65"/>
        <v>0</v>
      </c>
      <c r="AE131" s="13"/>
      <c r="AF131" s="293"/>
    </row>
    <row r="132" spans="1:54" ht="49.5">
      <c r="A132" s="32" t="str">
        <f t="shared" si="62"/>
        <v>C-4101-1500-6-0-4101078=11</v>
      </c>
      <c r="B132" s="210" t="str">
        <f>CONCATENATE(C132,"-",D132,"-",E132,"-",F132,"-",G132,"-",H132)</f>
        <v>C-4101-1500-6-0-4101078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183</v>
      </c>
      <c r="I132" s="212"/>
      <c r="J132" s="212"/>
      <c r="K132" s="213" t="s">
        <v>144</v>
      </c>
      <c r="L132" s="214" t="s">
        <v>29</v>
      </c>
      <c r="M132" s="210" t="s">
        <v>184</v>
      </c>
      <c r="N132" s="215">
        <f t="shared" ref="N132:V132" si="127">SUM(N133:N133)</f>
        <v>16276997084</v>
      </c>
      <c r="O132" s="215">
        <f t="shared" si="127"/>
        <v>0</v>
      </c>
      <c r="P132" s="215">
        <f t="shared" si="127"/>
        <v>0</v>
      </c>
      <c r="Q132" s="215">
        <f t="shared" si="127"/>
        <v>0</v>
      </c>
      <c r="R132" s="215">
        <f t="shared" si="127"/>
        <v>0</v>
      </c>
      <c r="S132" s="215">
        <f t="shared" si="127"/>
        <v>0</v>
      </c>
      <c r="T132" s="215">
        <f t="shared" si="127"/>
        <v>16276997084</v>
      </c>
      <c r="U132" s="215">
        <f t="shared" si="127"/>
        <v>15618747737</v>
      </c>
      <c r="V132" s="215">
        <f t="shared" si="127"/>
        <v>658249347</v>
      </c>
      <c r="W132" s="216">
        <f t="shared" si="67"/>
        <v>0.95955953400968241</v>
      </c>
      <c r="X132" s="215">
        <f t="shared" ref="X132:Y132" si="128">SUM(X133:X133)</f>
        <v>203077193</v>
      </c>
      <c r="Y132" s="215">
        <f t="shared" si="128"/>
        <v>15415670544</v>
      </c>
      <c r="Z132" s="216">
        <f t="shared" si="77"/>
        <v>0.98699785690763664</v>
      </c>
      <c r="AA132" s="215">
        <f t="shared" ref="AA132:AB132" si="129">SUM(AA133:AA133)</f>
        <v>203077193</v>
      </c>
      <c r="AB132" s="215">
        <f t="shared" si="129"/>
        <v>0</v>
      </c>
      <c r="AC132" s="216">
        <f t="shared" si="65"/>
        <v>1.3002143092363333E-2</v>
      </c>
      <c r="AE132" s="13"/>
      <c r="AF132" s="293"/>
    </row>
    <row r="133" spans="1:54" ht="24.95" customHeight="1">
      <c r="A133" s="32" t="str">
        <f t="shared" si="62"/>
        <v>C-4101-1500-6-0-4101078-02=11</v>
      </c>
      <c r="B133" s="217" t="str">
        <f>CONCATENATE(C133,"-",D133,"-",E133,"-",F133,"-",G133,"-",H133,"-",I133)</f>
        <v>C-4101-1500-6-0-4101078-02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183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16276997084</v>
      </c>
      <c r="O133" s="222"/>
      <c r="P133" s="222"/>
      <c r="Q133" s="222"/>
      <c r="R133" s="222"/>
      <c r="S133" s="222"/>
      <c r="T133" s="222">
        <f>+N133-S133+O133-P133+Q133-R133</f>
        <v>16276997084</v>
      </c>
      <c r="U133" s="222">
        <v>15618747737</v>
      </c>
      <c r="V133" s="222">
        <f t="shared" si="104"/>
        <v>658249347</v>
      </c>
      <c r="W133" s="224">
        <f t="shared" si="67"/>
        <v>0.95955953400968241</v>
      </c>
      <c r="X133" s="222">
        <v>203077193</v>
      </c>
      <c r="Y133" s="222">
        <f t="shared" si="113"/>
        <v>15415670544</v>
      </c>
      <c r="Z133" s="224">
        <f t="shared" si="77"/>
        <v>0.98699785690763664</v>
      </c>
      <c r="AA133" s="222">
        <v>203077193</v>
      </c>
      <c r="AB133" s="222">
        <f t="shared" si="105"/>
        <v>0</v>
      </c>
      <c r="AC133" s="224">
        <f t="shared" si="65"/>
        <v>1.3002143092363333E-2</v>
      </c>
      <c r="AE133" s="13"/>
      <c r="AF133" s="293"/>
    </row>
    <row r="134" spans="1:54" ht="24.95" customHeight="1">
      <c r="A134" s="32" t="str">
        <f t="shared" si="62"/>
        <v>C-4101-1500-6-0-4101080=11</v>
      </c>
      <c r="B134" s="210" t="str">
        <f>CONCATENATE(C134,"-",D134,"-",E134,"-",F134,"-",G134,"-",H134)</f>
        <v>C-4101-1500-6-0-4101080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185</v>
      </c>
      <c r="I134" s="212"/>
      <c r="J134" s="212"/>
      <c r="K134" s="213" t="s">
        <v>144</v>
      </c>
      <c r="L134" s="214" t="s">
        <v>29</v>
      </c>
      <c r="M134" s="210" t="s">
        <v>186</v>
      </c>
      <c r="N134" s="215">
        <f>+N135</f>
        <v>30467075662</v>
      </c>
      <c r="O134" s="215">
        <f t="shared" ref="O134:AB134" si="130">+O135</f>
        <v>0</v>
      </c>
      <c r="P134" s="215">
        <f t="shared" si="130"/>
        <v>0</v>
      </c>
      <c r="Q134" s="215">
        <f t="shared" si="130"/>
        <v>0</v>
      </c>
      <c r="R134" s="215">
        <f t="shared" si="130"/>
        <v>0</v>
      </c>
      <c r="S134" s="215">
        <f t="shared" si="130"/>
        <v>0</v>
      </c>
      <c r="T134" s="215">
        <f t="shared" si="130"/>
        <v>30467075662</v>
      </c>
      <c r="U134" s="215">
        <f t="shared" si="130"/>
        <v>23398487248</v>
      </c>
      <c r="V134" s="215">
        <f t="shared" si="130"/>
        <v>7068588414</v>
      </c>
      <c r="W134" s="216">
        <f t="shared" si="67"/>
        <v>0.76799255391562626</v>
      </c>
      <c r="X134" s="215">
        <f t="shared" si="130"/>
        <v>0</v>
      </c>
      <c r="Y134" s="215">
        <f t="shared" si="130"/>
        <v>23398487248</v>
      </c>
      <c r="Z134" s="216">
        <f t="shared" si="77"/>
        <v>1</v>
      </c>
      <c r="AA134" s="215">
        <f t="shared" si="130"/>
        <v>0</v>
      </c>
      <c r="AB134" s="215">
        <f t="shared" si="130"/>
        <v>0</v>
      </c>
      <c r="AC134" s="216">
        <f t="shared" si="65"/>
        <v>0</v>
      </c>
      <c r="AE134" s="13"/>
      <c r="AF134" s="293"/>
    </row>
    <row r="135" spans="1:54" ht="24.95" customHeight="1">
      <c r="A135" s="32" t="str">
        <f t="shared" si="62"/>
        <v>C-4101-1500-6-0-4101080-02=11</v>
      </c>
      <c r="B135" s="217" t="str">
        <f>CONCATENATE(C135,"-",D135,"-",E135,"-",F135,"-",G135,"-",H135,"-",I135)</f>
        <v>C-4101-1500-6-0-4101080-02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185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30467075662</v>
      </c>
      <c r="O135" s="222"/>
      <c r="P135" s="222"/>
      <c r="Q135" s="222"/>
      <c r="R135" s="222"/>
      <c r="S135" s="222"/>
      <c r="T135" s="222">
        <f>+N135-S135+O135-P135+Q135-R135</f>
        <v>30467075662</v>
      </c>
      <c r="U135" s="222">
        <v>23398487248</v>
      </c>
      <c r="V135" s="222">
        <f t="shared" si="104"/>
        <v>7068588414</v>
      </c>
      <c r="W135" s="224">
        <f t="shared" si="67"/>
        <v>0.76799255391562626</v>
      </c>
      <c r="X135" s="222">
        <v>0</v>
      </c>
      <c r="Y135" s="222">
        <f t="shared" si="113"/>
        <v>23398487248</v>
      </c>
      <c r="Z135" s="224">
        <f t="shared" si="77"/>
        <v>1</v>
      </c>
      <c r="AA135" s="222">
        <v>0</v>
      </c>
      <c r="AB135" s="222">
        <f t="shared" si="105"/>
        <v>0</v>
      </c>
      <c r="AC135" s="224">
        <f t="shared" si="65"/>
        <v>0</v>
      </c>
      <c r="AE135" s="13"/>
      <c r="AF135" s="293"/>
    </row>
    <row r="136" spans="1:54" ht="49.5">
      <c r="A136" s="32" t="str">
        <f t="shared" si="62"/>
        <v>C-4101-1500-6-0-4101081=11</v>
      </c>
      <c r="B136" s="210" t="str">
        <f>CONCATENATE(C136,"-",D136,"-",E136,"-",F136,"-",G136,"-",H136)</f>
        <v>C-4101-1500-6-0-4101081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187</v>
      </c>
      <c r="I136" s="212"/>
      <c r="J136" s="212"/>
      <c r="K136" s="213" t="s">
        <v>144</v>
      </c>
      <c r="L136" s="214" t="s">
        <v>29</v>
      </c>
      <c r="M136" s="210" t="s">
        <v>188</v>
      </c>
      <c r="N136" s="215">
        <f>SUM(N137:N138)</f>
        <v>21267303756</v>
      </c>
      <c r="O136" s="215">
        <f t="shared" ref="O136:AB136" si="131">SUM(O137:O138)</f>
        <v>0</v>
      </c>
      <c r="P136" s="215">
        <f t="shared" si="131"/>
        <v>0</v>
      </c>
      <c r="Q136" s="215">
        <f t="shared" si="131"/>
        <v>0</v>
      </c>
      <c r="R136" s="215">
        <f t="shared" si="131"/>
        <v>0</v>
      </c>
      <c r="S136" s="215">
        <f t="shared" si="131"/>
        <v>0</v>
      </c>
      <c r="T136" s="215">
        <f t="shared" si="131"/>
        <v>21267303756</v>
      </c>
      <c r="U136" s="215">
        <f t="shared" si="131"/>
        <v>21267303756</v>
      </c>
      <c r="V136" s="215">
        <f t="shared" si="131"/>
        <v>0</v>
      </c>
      <c r="W136" s="216">
        <f t="shared" si="67"/>
        <v>1</v>
      </c>
      <c r="X136" s="215">
        <f t="shared" si="131"/>
        <v>0</v>
      </c>
      <c r="Y136" s="215">
        <f t="shared" si="131"/>
        <v>21267303756</v>
      </c>
      <c r="Z136" s="216">
        <f t="shared" si="77"/>
        <v>1</v>
      </c>
      <c r="AA136" s="215">
        <f t="shared" si="131"/>
        <v>0</v>
      </c>
      <c r="AB136" s="215">
        <f t="shared" si="131"/>
        <v>0</v>
      </c>
      <c r="AC136" s="216">
        <f t="shared" si="65"/>
        <v>0</v>
      </c>
      <c r="AE136" s="13"/>
      <c r="AF136" s="293"/>
    </row>
    <row r="137" spans="1:54" ht="24.95" customHeight="1">
      <c r="A137" s="32" t="str">
        <f t="shared" si="62"/>
        <v>C-4101-1500-6-0-4101081-02=11</v>
      </c>
      <c r="B137" s="217" t="str">
        <f>CONCATENATE(C137,"-",D137,"-",E137,"-",F137,"-",G137,"-",H137,"-",I137)</f>
        <v>C-4101-1500-6-0-4101081-02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187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4435143756</v>
      </c>
      <c r="O137" s="222"/>
      <c r="P137" s="222"/>
      <c r="Q137" s="222"/>
      <c r="R137" s="222"/>
      <c r="S137" s="222"/>
      <c r="T137" s="222">
        <f>+N137-S137+O137-P137+Q137-R137</f>
        <v>4435143756</v>
      </c>
      <c r="U137" s="222">
        <v>4435143756</v>
      </c>
      <c r="V137" s="222">
        <f t="shared" si="104"/>
        <v>0</v>
      </c>
      <c r="W137" s="224">
        <f t="shared" si="67"/>
        <v>1</v>
      </c>
      <c r="X137" s="222">
        <v>0</v>
      </c>
      <c r="Y137" s="222">
        <f t="shared" si="113"/>
        <v>4435143756</v>
      </c>
      <c r="Z137" s="224">
        <f t="shared" si="77"/>
        <v>1</v>
      </c>
      <c r="AA137" s="222">
        <v>0</v>
      </c>
      <c r="AB137" s="222">
        <f t="shared" si="105"/>
        <v>0</v>
      </c>
      <c r="AC137" s="224">
        <f t="shared" si="65"/>
        <v>0</v>
      </c>
      <c r="AE137" s="13"/>
      <c r="AF137" s="293"/>
    </row>
    <row r="138" spans="1:54" ht="24.95" customHeight="1">
      <c r="A138" s="32" t="str">
        <f t="shared" si="62"/>
        <v>C-4101-1500-6-0-4101081-03=11</v>
      </c>
      <c r="B138" s="217" t="str">
        <f>CONCATENATE(C138,"-",D138,"-",E138,"-",F138,"-",G138,"-",H138,"-",I138)</f>
        <v>C-4101-1500-6-0-4101081-03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187</v>
      </c>
      <c r="I138" s="225" t="s">
        <v>65</v>
      </c>
      <c r="J138" s="219"/>
      <c r="K138" s="220" t="s">
        <v>144</v>
      </c>
      <c r="L138" s="221" t="s">
        <v>29</v>
      </c>
      <c r="M138" s="259" t="s">
        <v>127</v>
      </c>
      <c r="N138" s="222">
        <v>16832160000</v>
      </c>
      <c r="O138" s="222"/>
      <c r="P138" s="222"/>
      <c r="Q138" s="222"/>
      <c r="R138" s="222"/>
      <c r="S138" s="222"/>
      <c r="T138" s="222">
        <f>+N138-S138+O138-P138+Q138-R138</f>
        <v>16832160000</v>
      </c>
      <c r="U138" s="222">
        <v>16832160000</v>
      </c>
      <c r="V138" s="222">
        <f t="shared" si="104"/>
        <v>0</v>
      </c>
      <c r="W138" s="224">
        <f t="shared" si="67"/>
        <v>1</v>
      </c>
      <c r="X138" s="222">
        <v>0</v>
      </c>
      <c r="Y138" s="222">
        <f t="shared" si="113"/>
        <v>16832160000</v>
      </c>
      <c r="Z138" s="224">
        <f t="shared" si="77"/>
        <v>1</v>
      </c>
      <c r="AA138" s="222">
        <v>0</v>
      </c>
      <c r="AB138" s="222">
        <f t="shared" si="105"/>
        <v>0</v>
      </c>
      <c r="AC138" s="224">
        <f t="shared" si="65"/>
        <v>0</v>
      </c>
      <c r="AE138" s="13"/>
      <c r="AF138" s="293"/>
    </row>
    <row r="139" spans="1:54" ht="35.1" customHeight="1">
      <c r="A139" s="32" t="str">
        <f t="shared" si="62"/>
        <v>C-4103=</v>
      </c>
      <c r="B139" s="188" t="str">
        <f>CONCATENATE(C139,"-",D139)</f>
        <v>C-4103</v>
      </c>
      <c r="C139" s="189" t="s">
        <v>167</v>
      </c>
      <c r="D139" s="191">
        <v>4103</v>
      </c>
      <c r="E139" s="191"/>
      <c r="F139" s="191"/>
      <c r="G139" s="191"/>
      <c r="H139" s="191"/>
      <c r="I139" s="191"/>
      <c r="J139" s="191"/>
      <c r="K139" s="192"/>
      <c r="L139" s="193"/>
      <c r="M139" s="188" t="s">
        <v>189</v>
      </c>
      <c r="N139" s="194">
        <f>+N140</f>
        <v>3297855758141</v>
      </c>
      <c r="O139" s="194">
        <f t="shared" ref="O139:V139" si="132">+O140</f>
        <v>0</v>
      </c>
      <c r="P139" s="194">
        <f t="shared" si="132"/>
        <v>0</v>
      </c>
      <c r="Q139" s="194">
        <f t="shared" si="132"/>
        <v>338988901054.64001</v>
      </c>
      <c r="R139" s="194">
        <f t="shared" si="132"/>
        <v>338988901054.64001</v>
      </c>
      <c r="S139" s="194">
        <f t="shared" si="132"/>
        <v>580000000000</v>
      </c>
      <c r="T139" s="194">
        <f t="shared" si="132"/>
        <v>2717855758141</v>
      </c>
      <c r="U139" s="194">
        <f t="shared" si="132"/>
        <v>2392046503728.3896</v>
      </c>
      <c r="V139" s="194">
        <f t="shared" si="132"/>
        <v>325809254412.60999</v>
      </c>
      <c r="W139" s="195">
        <f t="shared" si="67"/>
        <v>0.88012268368669344</v>
      </c>
      <c r="X139" s="194">
        <f t="shared" ref="X139:Y139" si="133">+X140</f>
        <v>1170862567852.2998</v>
      </c>
      <c r="Y139" s="194">
        <f t="shared" si="133"/>
        <v>1221183935876.0901</v>
      </c>
      <c r="Z139" s="195">
        <f t="shared" si="77"/>
        <v>0.51051847611351964</v>
      </c>
      <c r="AA139" s="194">
        <f t="shared" ref="AA139:AB139" si="134">+AA140</f>
        <v>1075993035852.2999</v>
      </c>
      <c r="AB139" s="194">
        <f t="shared" si="134"/>
        <v>94869532000</v>
      </c>
      <c r="AC139" s="195">
        <f t="shared" si="65"/>
        <v>0.44982111935332009</v>
      </c>
      <c r="AE139" s="13"/>
      <c r="AF139" s="293"/>
    </row>
    <row r="140" spans="1:54" ht="24.95" customHeight="1">
      <c r="A140" s="32" t="str">
        <f t="shared" ref="A140:A196" si="135">+CONCATENATE(B140,"=",K140)</f>
        <v>C-4103-1500=</v>
      </c>
      <c r="B140" s="196" t="str">
        <f>CONCATENATE(C140,"-",D140,"-",E140)</f>
        <v>C-4103-1500</v>
      </c>
      <c r="C140" s="197" t="s">
        <v>167</v>
      </c>
      <c r="D140" s="198">
        <v>4103</v>
      </c>
      <c r="E140" s="198">
        <v>1500</v>
      </c>
      <c r="F140" s="198"/>
      <c r="G140" s="198"/>
      <c r="H140" s="198"/>
      <c r="I140" s="198"/>
      <c r="J140" s="198"/>
      <c r="K140" s="199"/>
      <c r="L140" s="200"/>
      <c r="M140" s="196" t="s">
        <v>170</v>
      </c>
      <c r="N140" s="201">
        <f t="shared" ref="N140:V140" si="136">+N141+N148+N157+N164+N169+N178+N181+N188</f>
        <v>3297855758141</v>
      </c>
      <c r="O140" s="201">
        <f t="shared" si="136"/>
        <v>0</v>
      </c>
      <c r="P140" s="201">
        <f t="shared" si="136"/>
        <v>0</v>
      </c>
      <c r="Q140" s="201">
        <f t="shared" si="136"/>
        <v>338988901054.64001</v>
      </c>
      <c r="R140" s="201">
        <f t="shared" si="136"/>
        <v>338988901054.64001</v>
      </c>
      <c r="S140" s="201">
        <f t="shared" si="136"/>
        <v>580000000000</v>
      </c>
      <c r="T140" s="201">
        <f t="shared" si="136"/>
        <v>2717855758141</v>
      </c>
      <c r="U140" s="201">
        <f t="shared" si="136"/>
        <v>2392046503728.3896</v>
      </c>
      <c r="V140" s="201">
        <f t="shared" si="136"/>
        <v>325809254412.60999</v>
      </c>
      <c r="W140" s="202">
        <f t="shared" si="67"/>
        <v>0.88012268368669344</v>
      </c>
      <c r="X140" s="201">
        <f>+X141+X148+X157+X164+X169+X178+X181+X188</f>
        <v>1170862567852.2998</v>
      </c>
      <c r="Y140" s="201">
        <f>+Y141+Y148+Y157+Y164+Y169+Y178+Y181+Y188</f>
        <v>1221183935876.0901</v>
      </c>
      <c r="Z140" s="202">
        <f t="shared" si="77"/>
        <v>0.51051847611351964</v>
      </c>
      <c r="AA140" s="201">
        <f>+AA141+AA148+AA157+AA164+AA169+AA178+AA181+AA188</f>
        <v>1075993035852.2999</v>
      </c>
      <c r="AB140" s="201">
        <f t="shared" ref="AB140" si="137">+AB141+AB148+AB157+AB164+AB169+AB178+AB181</f>
        <v>94869532000</v>
      </c>
      <c r="AC140" s="202">
        <f t="shared" ref="AC140:AC197" si="138">+IF(U140&gt;0,(AA140/U140),0)</f>
        <v>0.44982111935332009</v>
      </c>
      <c r="AE140" s="13"/>
      <c r="AF140" s="293"/>
    </row>
    <row r="141" spans="1:54" ht="49.5">
      <c r="A141" s="32" t="str">
        <f t="shared" si="135"/>
        <v>C-4103-1500-12=</v>
      </c>
      <c r="B141" s="203" t="str">
        <f>CONCATENATE(C141,"-",D141,"-",E141,"-",F141)</f>
        <v>C-4103-1500-12</v>
      </c>
      <c r="C141" s="227" t="s">
        <v>167</v>
      </c>
      <c r="D141" s="228" t="s">
        <v>190</v>
      </c>
      <c r="E141" s="228" t="s">
        <v>172</v>
      </c>
      <c r="F141" s="228" t="s">
        <v>191</v>
      </c>
      <c r="G141" s="228"/>
      <c r="H141" s="228"/>
      <c r="I141" s="228"/>
      <c r="J141" s="228"/>
      <c r="K141" s="229"/>
      <c r="L141" s="230"/>
      <c r="M141" s="231" t="s">
        <v>280</v>
      </c>
      <c r="N141" s="232">
        <f>+N142+N146</f>
        <v>1879080064351</v>
      </c>
      <c r="O141" s="232">
        <f t="shared" ref="O141:V141" si="139">+O142+O146</f>
        <v>0</v>
      </c>
      <c r="P141" s="232">
        <f t="shared" si="139"/>
        <v>0</v>
      </c>
      <c r="Q141" s="232">
        <f t="shared" si="139"/>
        <v>4660008249</v>
      </c>
      <c r="R141" s="232">
        <f t="shared" si="139"/>
        <v>4660008249</v>
      </c>
      <c r="S141" s="232">
        <f t="shared" si="139"/>
        <v>60000000000</v>
      </c>
      <c r="T141" s="232">
        <f t="shared" si="139"/>
        <v>1819080064351</v>
      </c>
      <c r="U141" s="232">
        <f t="shared" si="139"/>
        <v>1763672899876.6699</v>
      </c>
      <c r="V141" s="232">
        <f t="shared" si="139"/>
        <v>55407164474.330017</v>
      </c>
      <c r="W141" s="233">
        <f t="shared" si="67"/>
        <v>0.96954110731014032</v>
      </c>
      <c r="X141" s="232">
        <f t="shared" ref="X141:Y141" si="140">+X142+X146</f>
        <v>1060181860437.96</v>
      </c>
      <c r="Y141" s="232">
        <f t="shared" si="140"/>
        <v>703491039438.70996</v>
      </c>
      <c r="Z141" s="233">
        <f t="shared" si="77"/>
        <v>0.39887840851209067</v>
      </c>
      <c r="AA141" s="232">
        <f t="shared" ref="AA141:AB141" si="141">+AA142+AA146</f>
        <v>965312328437.95996</v>
      </c>
      <c r="AB141" s="232">
        <f t="shared" si="141"/>
        <v>94869532000</v>
      </c>
      <c r="AC141" s="233">
        <f t="shared" si="138"/>
        <v>0.54733070316239607</v>
      </c>
      <c r="AE141" s="13"/>
      <c r="AF141" s="293"/>
    </row>
    <row r="142" spans="1:54" ht="33">
      <c r="A142" s="32" t="str">
        <f t="shared" si="135"/>
        <v>C-4103-1500-12-0-4103006=</v>
      </c>
      <c r="B142" s="210" t="str">
        <f>CONCATENATE(C142,"-",D142,"-",E142,"-",F142,"-",G142,"-",H142)</f>
        <v>C-4103-1500-12-0-4103006</v>
      </c>
      <c r="C142" s="211" t="s">
        <v>167</v>
      </c>
      <c r="D142" s="212" t="s">
        <v>190</v>
      </c>
      <c r="E142" s="212" t="s">
        <v>172</v>
      </c>
      <c r="F142" s="212" t="s">
        <v>191</v>
      </c>
      <c r="G142" s="212" t="s">
        <v>175</v>
      </c>
      <c r="H142" s="212" t="s">
        <v>193</v>
      </c>
      <c r="I142" s="212"/>
      <c r="J142" s="212"/>
      <c r="K142" s="213"/>
      <c r="L142" s="214"/>
      <c r="M142" s="210" t="s">
        <v>194</v>
      </c>
      <c r="N142" s="215">
        <f t="shared" ref="N142" si="142">SUM(N143:N145)</f>
        <v>1873368757333</v>
      </c>
      <c r="O142" s="215">
        <f t="shared" ref="O142:V142" si="143">SUM(O143:O145)</f>
        <v>0</v>
      </c>
      <c r="P142" s="215">
        <f t="shared" si="143"/>
        <v>0</v>
      </c>
      <c r="Q142" s="215">
        <f t="shared" si="143"/>
        <v>4660008249</v>
      </c>
      <c r="R142" s="215">
        <f t="shared" si="143"/>
        <v>4660008249</v>
      </c>
      <c r="S142" s="215">
        <f t="shared" si="143"/>
        <v>60000000000</v>
      </c>
      <c r="T142" s="215">
        <f t="shared" si="143"/>
        <v>1813368757333</v>
      </c>
      <c r="U142" s="215">
        <f t="shared" si="143"/>
        <v>1758561592858.6699</v>
      </c>
      <c r="V142" s="215">
        <f t="shared" si="143"/>
        <v>54807164474.330017</v>
      </c>
      <c r="W142" s="216">
        <f t="shared" si="67"/>
        <v>0.9697760512015563</v>
      </c>
      <c r="X142" s="215">
        <f t="shared" ref="X142:Y142" si="144">SUM(X143:X145)</f>
        <v>1059613937437.96</v>
      </c>
      <c r="Y142" s="215">
        <f t="shared" si="144"/>
        <v>698947655420.70996</v>
      </c>
      <c r="Z142" s="216">
        <f t="shared" si="77"/>
        <v>0.3974541797450038</v>
      </c>
      <c r="AA142" s="215">
        <f t="shared" ref="AA142:AB142" si="145">SUM(AA143:AA145)</f>
        <v>964744405437.95996</v>
      </c>
      <c r="AB142" s="215">
        <f t="shared" si="145"/>
        <v>94869532000</v>
      </c>
      <c r="AC142" s="216">
        <f t="shared" si="138"/>
        <v>0.54859858725203803</v>
      </c>
      <c r="AE142" s="13"/>
      <c r="AF142" s="293"/>
    </row>
    <row r="143" spans="1:54" s="64" customFormat="1" ht="24.95" customHeight="1">
      <c r="A143" s="32" t="str">
        <f t="shared" si="135"/>
        <v>C-4103-1500-12-0-4103006-02=10</v>
      </c>
      <c r="B143" s="217" t="str">
        <f>CONCATENATE(C143,"-",D143,"-",E143,"-",F143,"-",G143,"-",H143,"-",I143)</f>
        <v>C-4103-1500-12-0-4103006-02</v>
      </c>
      <c r="C143" s="266" t="s">
        <v>167</v>
      </c>
      <c r="D143" s="267" t="s">
        <v>190</v>
      </c>
      <c r="E143" s="267" t="s">
        <v>172</v>
      </c>
      <c r="F143" s="267" t="s">
        <v>191</v>
      </c>
      <c r="G143" s="267" t="s">
        <v>175</v>
      </c>
      <c r="H143" s="267" t="s">
        <v>193</v>
      </c>
      <c r="I143" s="267" t="s">
        <v>54</v>
      </c>
      <c r="J143" s="219"/>
      <c r="K143" s="220">
        <v>10</v>
      </c>
      <c r="L143" s="221" t="s">
        <v>29</v>
      </c>
      <c r="M143" s="259" t="s">
        <v>178</v>
      </c>
      <c r="N143" s="222">
        <v>170514008840.17001</v>
      </c>
      <c r="O143" s="637"/>
      <c r="P143" s="638"/>
      <c r="Q143" s="223"/>
      <c r="R143" s="223">
        <v>4660008249</v>
      </c>
      <c r="S143" s="223"/>
      <c r="T143" s="222">
        <f>+N143-S143+O143-P143+Q143-R143</f>
        <v>165854000591.17001</v>
      </c>
      <c r="U143" s="222">
        <v>111069192816.84</v>
      </c>
      <c r="V143" s="222">
        <f>+T143-U143</f>
        <v>54784807774.330017</v>
      </c>
      <c r="W143" s="224">
        <f t="shared" si="67"/>
        <v>0.66968051672522189</v>
      </c>
      <c r="X143" s="222">
        <v>21568140237.959999</v>
      </c>
      <c r="Y143" s="222">
        <f>+U143-X143</f>
        <v>89501052578.880005</v>
      </c>
      <c r="Z143" s="224">
        <f t="shared" si="77"/>
        <v>0.80581347814846194</v>
      </c>
      <c r="AA143" s="222">
        <v>21568140237.959999</v>
      </c>
      <c r="AB143" s="222">
        <f>+X143-AA143</f>
        <v>0</v>
      </c>
      <c r="AC143" s="224">
        <f t="shared" si="138"/>
        <v>0.19418652185153812</v>
      </c>
      <c r="AD143" s="13"/>
      <c r="AE143" s="13"/>
      <c r="AF143" s="29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</row>
    <row r="144" spans="1:54" ht="24.95" customHeight="1">
      <c r="A144" s="32" t="str">
        <f t="shared" si="135"/>
        <v>C-4103-1500-12-0-4103006-03=10</v>
      </c>
      <c r="B144" s="217" t="str">
        <f>CONCATENATE(C144,"-",D144,"-",E144,"-",F144,"-",G144,"-",H144,"-",I144)</f>
        <v>C-4103-1500-12-0-4103006-03</v>
      </c>
      <c r="C144" s="266" t="s">
        <v>167</v>
      </c>
      <c r="D144" s="267" t="s">
        <v>190</v>
      </c>
      <c r="E144" s="267" t="s">
        <v>172</v>
      </c>
      <c r="F144" s="267" t="s">
        <v>191</v>
      </c>
      <c r="G144" s="267" t="s">
        <v>175</v>
      </c>
      <c r="H144" s="267" t="s">
        <v>193</v>
      </c>
      <c r="I144" s="267" t="s">
        <v>65</v>
      </c>
      <c r="J144" s="219"/>
      <c r="K144" s="220">
        <v>10</v>
      </c>
      <c r="L144" s="221" t="s">
        <v>29</v>
      </c>
      <c r="M144" s="259" t="s">
        <v>127</v>
      </c>
      <c r="N144" s="222">
        <v>11682690576.83</v>
      </c>
      <c r="O144" s="637"/>
      <c r="P144" s="638"/>
      <c r="Q144" s="223">
        <v>4660008249</v>
      </c>
      <c r="R144" s="223"/>
      <c r="S144" s="223"/>
      <c r="T144" s="222">
        <f>+N144-S144+O144-P144+Q144-R144</f>
        <v>16342698825.83</v>
      </c>
      <c r="U144" s="222">
        <v>16320342125.83</v>
      </c>
      <c r="V144" s="222">
        <f>+T144-U144</f>
        <v>22356700</v>
      </c>
      <c r="W144" s="224">
        <f t="shared" si="67"/>
        <v>0.99863200685282993</v>
      </c>
      <c r="X144" s="222">
        <v>16320342125</v>
      </c>
      <c r="Y144" s="222">
        <f>+U144-X144</f>
        <v>0.82999992370605469</v>
      </c>
      <c r="Z144" s="224">
        <f t="shared" si="77"/>
        <v>5.0856772321728736E-11</v>
      </c>
      <c r="AA144" s="222">
        <v>16320342125</v>
      </c>
      <c r="AB144" s="222">
        <f t="shared" ref="AB144:AB145" si="146">+X144-AA144</f>
        <v>0</v>
      </c>
      <c r="AC144" s="224">
        <f t="shared" si="138"/>
        <v>0.99999999994914324</v>
      </c>
      <c r="AE144" s="13"/>
      <c r="AF144" s="293"/>
    </row>
    <row r="145" spans="1:54" ht="24.95" customHeight="1">
      <c r="A145" s="32" t="str">
        <f t="shared" si="135"/>
        <v>C-4103-1500-12-0-4103006-03=11</v>
      </c>
      <c r="B145" s="217" t="str">
        <f>CONCATENATE(C145,"-",D145,"-",E145,"-",F145,"-",G145,"-",H145,"-",I145)</f>
        <v>C-4103-1500-12-0-4103006-03</v>
      </c>
      <c r="C145" s="266" t="s">
        <v>167</v>
      </c>
      <c r="D145" s="267" t="s">
        <v>190</v>
      </c>
      <c r="E145" s="267" t="s">
        <v>172</v>
      </c>
      <c r="F145" s="267" t="s">
        <v>191</v>
      </c>
      <c r="G145" s="267" t="s">
        <v>175</v>
      </c>
      <c r="H145" s="267" t="s">
        <v>193</v>
      </c>
      <c r="I145" s="267" t="s">
        <v>65</v>
      </c>
      <c r="J145" s="267"/>
      <c r="K145" s="268" t="s">
        <v>144</v>
      </c>
      <c r="L145" s="269" t="s">
        <v>29</v>
      </c>
      <c r="M145" s="259" t="s">
        <v>127</v>
      </c>
      <c r="N145" s="222">
        <v>1691172057916</v>
      </c>
      <c r="O145" s="637"/>
      <c r="P145" s="638"/>
      <c r="Q145" s="223"/>
      <c r="R145" s="223"/>
      <c r="S145" s="223">
        <v>60000000000</v>
      </c>
      <c r="T145" s="222">
        <f>+N145-S145+O145-P145+Q145-R145</f>
        <v>1631172057916</v>
      </c>
      <c r="U145" s="222">
        <v>1631172057916</v>
      </c>
      <c r="V145" s="222">
        <f>+T145-U145</f>
        <v>0</v>
      </c>
      <c r="W145" s="224">
        <f t="shared" si="67"/>
        <v>1</v>
      </c>
      <c r="X145" s="222">
        <v>1021725455075</v>
      </c>
      <c r="Y145" s="222">
        <f>+U145-X145</f>
        <v>609446602841</v>
      </c>
      <c r="Z145" s="224">
        <f t="shared" si="77"/>
        <v>0.37362496487319335</v>
      </c>
      <c r="AA145" s="222">
        <v>926855923075</v>
      </c>
      <c r="AB145" s="222">
        <f t="shared" si="146"/>
        <v>94869532000</v>
      </c>
      <c r="AC145" s="224">
        <f t="shared" si="138"/>
        <v>0.5682146886816829</v>
      </c>
      <c r="AE145" s="13"/>
      <c r="AF145" s="293"/>
    </row>
    <row r="146" spans="1:54" ht="49.5">
      <c r="A146" s="32" t="str">
        <f t="shared" si="135"/>
        <v>C-4103-1500-12-0-4103009=10</v>
      </c>
      <c r="B146" s="210" t="str">
        <f>CONCATENATE(C146,"-",D146,"-",E146,"-",F146,"-",G146,"-",H146)</f>
        <v>C-4103-1500-12-0-4103009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>
        <v>4103009</v>
      </c>
      <c r="I146" s="212"/>
      <c r="J146" s="212"/>
      <c r="K146" s="252">
        <v>10</v>
      </c>
      <c r="L146" s="214" t="s">
        <v>29</v>
      </c>
      <c r="M146" s="210" t="s">
        <v>195</v>
      </c>
      <c r="N146" s="215">
        <f>+N147</f>
        <v>5711307018</v>
      </c>
      <c r="O146" s="215">
        <f>+O147</f>
        <v>0</v>
      </c>
      <c r="P146" s="215">
        <f t="shared" ref="P146:AB146" si="147">+P147</f>
        <v>0</v>
      </c>
      <c r="Q146" s="215">
        <f t="shared" si="147"/>
        <v>0</v>
      </c>
      <c r="R146" s="215">
        <f t="shared" si="147"/>
        <v>0</v>
      </c>
      <c r="S146" s="215">
        <f t="shared" si="147"/>
        <v>0</v>
      </c>
      <c r="T146" s="215">
        <f t="shared" si="147"/>
        <v>5711307018</v>
      </c>
      <c r="U146" s="215">
        <f t="shared" si="147"/>
        <v>5111307018</v>
      </c>
      <c r="V146" s="215">
        <f t="shared" si="147"/>
        <v>600000000</v>
      </c>
      <c r="W146" s="216">
        <f t="shared" ref="W146:W197" si="148">+IF(T146&gt;0,U146/T146,0)</f>
        <v>0.89494523790981395</v>
      </c>
      <c r="X146" s="215">
        <f t="shared" si="147"/>
        <v>567923000</v>
      </c>
      <c r="Y146" s="215">
        <f t="shared" si="147"/>
        <v>4543384018</v>
      </c>
      <c r="Z146" s="216">
        <f t="shared" si="77"/>
        <v>0.88888888928017828</v>
      </c>
      <c r="AA146" s="215">
        <f t="shared" si="147"/>
        <v>567923000</v>
      </c>
      <c r="AB146" s="215">
        <f t="shared" si="147"/>
        <v>0</v>
      </c>
      <c r="AC146" s="216">
        <f t="shared" si="138"/>
        <v>0.11111111071982176</v>
      </c>
      <c r="AE146" s="13"/>
      <c r="AF146" s="293"/>
    </row>
    <row r="147" spans="1:54" ht="24.95" customHeight="1">
      <c r="A147" s="32" t="str">
        <f t="shared" si="135"/>
        <v>C-4103-1500-12-0-4103009-02=10</v>
      </c>
      <c r="B147" s="217" t="str">
        <f>CONCATENATE(C147,"-",D147,"-",E147,"-",F147,"-",G147,"-",H147,"-",I147)</f>
        <v>C-4103-1500-12-0-4103009-02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>
        <v>4103009</v>
      </c>
      <c r="I147" s="267" t="s">
        <v>54</v>
      </c>
      <c r="J147" s="219"/>
      <c r="K147" s="270">
        <v>10</v>
      </c>
      <c r="L147" s="221" t="s">
        <v>29</v>
      </c>
      <c r="M147" s="259" t="s">
        <v>178</v>
      </c>
      <c r="N147" s="222">
        <v>5711307018</v>
      </c>
      <c r="O147" s="222"/>
      <c r="P147" s="636"/>
      <c r="Q147" s="222"/>
      <c r="R147" s="222"/>
      <c r="S147" s="222"/>
      <c r="T147" s="222">
        <f>+N147-S147+O147-P147+Q147-R147</f>
        <v>5711307018</v>
      </c>
      <c r="U147" s="222">
        <v>5111307018</v>
      </c>
      <c r="V147" s="222">
        <f>+T147-U147</f>
        <v>600000000</v>
      </c>
      <c r="W147" s="224">
        <f t="shared" si="148"/>
        <v>0.89494523790981395</v>
      </c>
      <c r="X147" s="222">
        <v>567923000</v>
      </c>
      <c r="Y147" s="222">
        <f>+U147-X147</f>
        <v>4543384018</v>
      </c>
      <c r="Z147" s="224">
        <f t="shared" si="77"/>
        <v>0.88888888928017828</v>
      </c>
      <c r="AA147" s="222">
        <v>567923000</v>
      </c>
      <c r="AB147" s="222">
        <f t="shared" ref="AB147" si="149">+X147-AA147</f>
        <v>0</v>
      </c>
      <c r="AC147" s="224">
        <f t="shared" si="138"/>
        <v>0.11111111071982176</v>
      </c>
      <c r="AE147" s="13"/>
      <c r="AF147" s="293"/>
    </row>
    <row r="148" spans="1:54" s="64" customFormat="1" ht="49.5">
      <c r="A148" s="32" t="str">
        <f t="shared" si="135"/>
        <v>C-4103-1500-13=</v>
      </c>
      <c r="B148" s="226" t="str">
        <f>CONCATENATE(C148,"-",D148,"-",E148,"-",F148)</f>
        <v>C-4103-1500-13</v>
      </c>
      <c r="C148" s="227" t="s">
        <v>167</v>
      </c>
      <c r="D148" s="228" t="s">
        <v>190</v>
      </c>
      <c r="E148" s="228" t="s">
        <v>172</v>
      </c>
      <c r="F148" s="228" t="s">
        <v>22</v>
      </c>
      <c r="G148" s="228"/>
      <c r="H148" s="228"/>
      <c r="I148" s="228"/>
      <c r="J148" s="228"/>
      <c r="K148" s="229"/>
      <c r="L148" s="230"/>
      <c r="M148" s="231" t="s">
        <v>264</v>
      </c>
      <c r="N148" s="232">
        <f>+N149+N151+N153+N155</f>
        <v>25903028858</v>
      </c>
      <c r="O148" s="232">
        <f t="shared" ref="O148:AB148" si="150">+O149+O151+O153+O155</f>
        <v>0</v>
      </c>
      <c r="P148" s="232">
        <f t="shared" si="150"/>
        <v>0</v>
      </c>
      <c r="Q148" s="232">
        <f t="shared" si="150"/>
        <v>0</v>
      </c>
      <c r="R148" s="232">
        <f t="shared" si="150"/>
        <v>0</v>
      </c>
      <c r="S148" s="232">
        <f t="shared" si="150"/>
        <v>0</v>
      </c>
      <c r="T148" s="232">
        <f t="shared" si="150"/>
        <v>25903028858</v>
      </c>
      <c r="U148" s="232">
        <f t="shared" si="150"/>
        <v>15244091281</v>
      </c>
      <c r="V148" s="232">
        <f t="shared" si="150"/>
        <v>10658937577</v>
      </c>
      <c r="W148" s="233">
        <f t="shared" si="148"/>
        <v>0.58850613048257294</v>
      </c>
      <c r="X148" s="232">
        <f t="shared" si="150"/>
        <v>141428948</v>
      </c>
      <c r="Y148" s="232">
        <f t="shared" si="150"/>
        <v>15102662333</v>
      </c>
      <c r="Z148" s="233">
        <f t="shared" si="77"/>
        <v>0.9907223759427185</v>
      </c>
      <c r="AA148" s="232">
        <f t="shared" si="150"/>
        <v>141428948</v>
      </c>
      <c r="AB148" s="232">
        <f t="shared" si="150"/>
        <v>0</v>
      </c>
      <c r="AC148" s="233">
        <f t="shared" si="138"/>
        <v>9.2776240572814504E-3</v>
      </c>
      <c r="AD148" s="13"/>
      <c r="AE148" s="13"/>
      <c r="AF148" s="29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</row>
    <row r="149" spans="1:54" ht="33">
      <c r="A149" s="32" t="str">
        <f t="shared" si="135"/>
        <v>C-4103-1500-13-0-4103051=11</v>
      </c>
      <c r="B149" s="210" t="str">
        <f>CONCATENATE(C149,"-",D149,"-",E149,"-",F149,"-",G149,"-",H149)</f>
        <v>C-4103-1500-13-0-4103051</v>
      </c>
      <c r="C149" s="211" t="s">
        <v>167</v>
      </c>
      <c r="D149" s="212" t="s">
        <v>190</v>
      </c>
      <c r="E149" s="212" t="s">
        <v>172</v>
      </c>
      <c r="F149" s="212" t="s">
        <v>22</v>
      </c>
      <c r="G149" s="212" t="s">
        <v>175</v>
      </c>
      <c r="H149" s="212" t="s">
        <v>197</v>
      </c>
      <c r="I149" s="212"/>
      <c r="J149" s="212"/>
      <c r="K149" s="213">
        <v>11</v>
      </c>
      <c r="L149" s="214" t="s">
        <v>29</v>
      </c>
      <c r="M149" s="210" t="s">
        <v>198</v>
      </c>
      <c r="N149" s="215">
        <f>+N150</f>
        <v>7218669145</v>
      </c>
      <c r="O149" s="215">
        <f t="shared" ref="O149:AB149" si="151">+O150</f>
        <v>0</v>
      </c>
      <c r="P149" s="215">
        <f t="shared" si="151"/>
        <v>0</v>
      </c>
      <c r="Q149" s="215">
        <f t="shared" si="151"/>
        <v>0</v>
      </c>
      <c r="R149" s="215">
        <f t="shared" si="151"/>
        <v>0</v>
      </c>
      <c r="S149" s="215">
        <f t="shared" si="151"/>
        <v>0</v>
      </c>
      <c r="T149" s="215">
        <f t="shared" si="151"/>
        <v>7218669145</v>
      </c>
      <c r="U149" s="215">
        <f t="shared" si="151"/>
        <v>4406021511</v>
      </c>
      <c r="V149" s="215">
        <f t="shared" si="151"/>
        <v>2812647634</v>
      </c>
      <c r="W149" s="216">
        <f t="shared" si="148"/>
        <v>0.61036479474223082</v>
      </c>
      <c r="X149" s="215">
        <f t="shared" si="151"/>
        <v>0</v>
      </c>
      <c r="Y149" s="215">
        <f t="shared" si="151"/>
        <v>4406021511</v>
      </c>
      <c r="Z149" s="216">
        <f t="shared" si="77"/>
        <v>1</v>
      </c>
      <c r="AA149" s="215">
        <f t="shared" si="151"/>
        <v>0</v>
      </c>
      <c r="AB149" s="215">
        <f t="shared" si="151"/>
        <v>0</v>
      </c>
      <c r="AC149" s="216">
        <f t="shared" si="138"/>
        <v>0</v>
      </c>
      <c r="AE149" s="13"/>
      <c r="AF149" s="293"/>
    </row>
    <row r="150" spans="1:54" ht="24.95" customHeight="1">
      <c r="A150" s="32" t="str">
        <f t="shared" si="135"/>
        <v>C-4103-1500-13-0-4103051-02=11</v>
      </c>
      <c r="B150" s="217" t="str">
        <f>CONCATENATE(C150,"-",D150,"-",E150,"-",F150,"-",G150,"-",H150,"-",I150)</f>
        <v>C-4103-1500-13-0-4103051-02</v>
      </c>
      <c r="C150" s="218" t="s">
        <v>167</v>
      </c>
      <c r="D150" s="219" t="s">
        <v>190</v>
      </c>
      <c r="E150" s="219" t="s">
        <v>172</v>
      </c>
      <c r="F150" s="219" t="s">
        <v>22</v>
      </c>
      <c r="G150" s="219" t="s">
        <v>175</v>
      </c>
      <c r="H150" s="219" t="s">
        <v>197</v>
      </c>
      <c r="I150" s="219" t="s">
        <v>54</v>
      </c>
      <c r="J150" s="219"/>
      <c r="K150" s="220">
        <v>11</v>
      </c>
      <c r="L150" s="221" t="s">
        <v>29</v>
      </c>
      <c r="M150" s="259" t="s">
        <v>178</v>
      </c>
      <c r="N150" s="222">
        <v>7218669145</v>
      </c>
      <c r="O150" s="222"/>
      <c r="P150" s="222"/>
      <c r="Q150" s="222"/>
      <c r="R150" s="222"/>
      <c r="S150" s="222"/>
      <c r="T150" s="222">
        <f>+N150-S150+O150-P150+Q150-R150</f>
        <v>7218669145</v>
      </c>
      <c r="U150" s="222">
        <v>4406021511</v>
      </c>
      <c r="V150" s="222">
        <f t="shared" si="104"/>
        <v>2812647634</v>
      </c>
      <c r="W150" s="224">
        <f t="shared" si="148"/>
        <v>0.61036479474223082</v>
      </c>
      <c r="X150" s="222">
        <v>0</v>
      </c>
      <c r="Y150" s="222">
        <f t="shared" si="113"/>
        <v>4406021511</v>
      </c>
      <c r="Z150" s="224">
        <f t="shared" si="77"/>
        <v>1</v>
      </c>
      <c r="AA150" s="222">
        <v>0</v>
      </c>
      <c r="AB150" s="222">
        <f t="shared" si="105"/>
        <v>0</v>
      </c>
      <c r="AC150" s="224">
        <f t="shared" si="138"/>
        <v>0</v>
      </c>
      <c r="AE150" s="13"/>
      <c r="AF150" s="293"/>
    </row>
    <row r="151" spans="1:54" ht="33">
      <c r="A151" s="32" t="str">
        <f t="shared" si="135"/>
        <v>C-4103-1500-13-0-4103053=11</v>
      </c>
      <c r="B151" s="210" t="str">
        <f>CONCATENATE(C151,"-",D151,"-",E151,"-",F151,"-",G151,"-",H151)</f>
        <v>C-4103-1500-13-0-4103053</v>
      </c>
      <c r="C151" s="211" t="s">
        <v>167</v>
      </c>
      <c r="D151" s="212" t="s">
        <v>190</v>
      </c>
      <c r="E151" s="212" t="s">
        <v>172</v>
      </c>
      <c r="F151" s="212" t="s">
        <v>22</v>
      </c>
      <c r="G151" s="212" t="s">
        <v>175</v>
      </c>
      <c r="H151" s="212" t="s">
        <v>199</v>
      </c>
      <c r="I151" s="212"/>
      <c r="J151" s="212"/>
      <c r="K151" s="213">
        <v>11</v>
      </c>
      <c r="L151" s="214" t="s">
        <v>29</v>
      </c>
      <c r="M151" s="210" t="s">
        <v>200</v>
      </c>
      <c r="N151" s="215">
        <f>+N152</f>
        <v>4348087590</v>
      </c>
      <c r="O151" s="215">
        <f t="shared" ref="O151:AB151" si="152">+O152</f>
        <v>0</v>
      </c>
      <c r="P151" s="215">
        <f t="shared" si="152"/>
        <v>0</v>
      </c>
      <c r="Q151" s="215">
        <f t="shared" si="152"/>
        <v>0</v>
      </c>
      <c r="R151" s="215">
        <f t="shared" si="152"/>
        <v>0</v>
      </c>
      <c r="S151" s="215">
        <f t="shared" si="152"/>
        <v>0</v>
      </c>
      <c r="T151" s="215">
        <f t="shared" si="152"/>
        <v>4348087590</v>
      </c>
      <c r="U151" s="215">
        <f t="shared" si="152"/>
        <v>2653919568</v>
      </c>
      <c r="V151" s="215">
        <f t="shared" si="152"/>
        <v>1694168022</v>
      </c>
      <c r="W151" s="216">
        <f t="shared" si="148"/>
        <v>0.61036478982246078</v>
      </c>
      <c r="X151" s="215">
        <f t="shared" si="152"/>
        <v>0</v>
      </c>
      <c r="Y151" s="215">
        <f t="shared" si="152"/>
        <v>2653919568</v>
      </c>
      <c r="Z151" s="216">
        <f t="shared" si="77"/>
        <v>1</v>
      </c>
      <c r="AA151" s="215">
        <f t="shared" si="152"/>
        <v>0</v>
      </c>
      <c r="AB151" s="215">
        <f t="shared" si="152"/>
        <v>0</v>
      </c>
      <c r="AC151" s="216">
        <f t="shared" si="138"/>
        <v>0</v>
      </c>
      <c r="AE151" s="13"/>
      <c r="AF151" s="293"/>
    </row>
    <row r="152" spans="1:54" ht="24.95" customHeight="1">
      <c r="A152" s="32" t="str">
        <f t="shared" si="135"/>
        <v>C-4103-1500-13-0-4103053-02=11</v>
      </c>
      <c r="B152" s="217" t="str">
        <f>CONCATENATE(C152,"-",D152,"-",E152,"-",F152,"-",G152,"-",H152,"-",I152)</f>
        <v>C-4103-1500-13-0-4103053-02</v>
      </c>
      <c r="C152" s="218" t="s">
        <v>167</v>
      </c>
      <c r="D152" s="219" t="s">
        <v>190</v>
      </c>
      <c r="E152" s="219" t="s">
        <v>172</v>
      </c>
      <c r="F152" s="219" t="s">
        <v>22</v>
      </c>
      <c r="G152" s="219" t="s">
        <v>175</v>
      </c>
      <c r="H152" s="219" t="s">
        <v>199</v>
      </c>
      <c r="I152" s="219" t="s">
        <v>54</v>
      </c>
      <c r="J152" s="219"/>
      <c r="K152" s="220">
        <v>11</v>
      </c>
      <c r="L152" s="221" t="s">
        <v>29</v>
      </c>
      <c r="M152" s="259" t="s">
        <v>178</v>
      </c>
      <c r="N152" s="222">
        <v>4348087590</v>
      </c>
      <c r="O152" s="222"/>
      <c r="P152" s="222"/>
      <c r="Q152" s="222"/>
      <c r="R152" s="222"/>
      <c r="S152" s="222"/>
      <c r="T152" s="222">
        <f>+N152-S152+O152-P152+Q152-R152</f>
        <v>4348087590</v>
      </c>
      <c r="U152" s="222">
        <v>2653919568</v>
      </c>
      <c r="V152" s="222">
        <f t="shared" si="104"/>
        <v>1694168022</v>
      </c>
      <c r="W152" s="224">
        <f t="shared" si="148"/>
        <v>0.61036478982246078</v>
      </c>
      <c r="X152" s="222">
        <v>0</v>
      </c>
      <c r="Y152" s="222">
        <f t="shared" si="113"/>
        <v>2653919568</v>
      </c>
      <c r="Z152" s="224">
        <f t="shared" si="77"/>
        <v>1</v>
      </c>
      <c r="AA152" s="222">
        <v>0</v>
      </c>
      <c r="AB152" s="222">
        <f t="shared" si="105"/>
        <v>0</v>
      </c>
      <c r="AC152" s="224">
        <f t="shared" si="138"/>
        <v>0</v>
      </c>
      <c r="AE152" s="13"/>
      <c r="AF152" s="293"/>
    </row>
    <row r="153" spans="1:54" ht="66">
      <c r="A153" s="32" t="str">
        <f t="shared" si="135"/>
        <v>C-4103-1500-13-0-4103054=11</v>
      </c>
      <c r="B153" s="210" t="str">
        <f>CONCATENATE(C153,"-",D153,"-",E153,"-",F153,"-",G153,"-",H153)</f>
        <v>C-4103-1500-13-0-4103054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201</v>
      </c>
      <c r="I153" s="212"/>
      <c r="J153" s="212"/>
      <c r="K153" s="213">
        <v>11</v>
      </c>
      <c r="L153" s="214" t="s">
        <v>29</v>
      </c>
      <c r="M153" s="210" t="s">
        <v>202</v>
      </c>
      <c r="N153" s="215">
        <f>+N154</f>
        <v>2171371771</v>
      </c>
      <c r="O153" s="215">
        <f t="shared" ref="O153:AB153" si="153">+O154</f>
        <v>0</v>
      </c>
      <c r="P153" s="215">
        <f t="shared" si="153"/>
        <v>0</v>
      </c>
      <c r="Q153" s="215">
        <f t="shared" si="153"/>
        <v>0</v>
      </c>
      <c r="R153" s="215">
        <f t="shared" si="153"/>
        <v>0</v>
      </c>
      <c r="S153" s="215">
        <f t="shared" si="153"/>
        <v>0</v>
      </c>
      <c r="T153" s="215">
        <f t="shared" si="153"/>
        <v>2171371771</v>
      </c>
      <c r="U153" s="215">
        <f t="shared" si="153"/>
        <v>726723383</v>
      </c>
      <c r="V153" s="215">
        <f t="shared" si="153"/>
        <v>1444648388</v>
      </c>
      <c r="W153" s="216">
        <f t="shared" si="148"/>
        <v>0.3346839968658688</v>
      </c>
      <c r="X153" s="215">
        <f t="shared" si="153"/>
        <v>141428948</v>
      </c>
      <c r="Y153" s="215">
        <f t="shared" si="153"/>
        <v>585294435</v>
      </c>
      <c r="Z153" s="216">
        <f t="shared" si="77"/>
        <v>0.80538819679069007</v>
      </c>
      <c r="AA153" s="215">
        <f t="shared" si="153"/>
        <v>141428948</v>
      </c>
      <c r="AB153" s="215">
        <f t="shared" si="153"/>
        <v>0</v>
      </c>
      <c r="AC153" s="216">
        <f t="shared" si="138"/>
        <v>0.19461180320930999</v>
      </c>
      <c r="AE153" s="13"/>
      <c r="AF153" s="293"/>
    </row>
    <row r="154" spans="1:54" ht="24.95" customHeight="1">
      <c r="A154" s="32" t="str">
        <f t="shared" si="135"/>
        <v>C-4103-1500-13-0-4103054-02=11</v>
      </c>
      <c r="B154" s="217" t="str">
        <f>CONCATENATE(C154,"-",D154,"-",E154,"-",F154,"-",G154,"-",H154,"-",I154)</f>
        <v>C-4103-1500-13-0-4103054-02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201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2171371771</v>
      </c>
      <c r="O154" s="222"/>
      <c r="P154" s="222"/>
      <c r="Q154" s="222"/>
      <c r="R154" s="222"/>
      <c r="S154" s="222"/>
      <c r="T154" s="222">
        <f>+N154-S154+O154-P154+Q154-R154</f>
        <v>2171371771</v>
      </c>
      <c r="U154" s="222">
        <v>726723383</v>
      </c>
      <c r="V154" s="222">
        <f t="shared" si="104"/>
        <v>1444648388</v>
      </c>
      <c r="W154" s="224">
        <f t="shared" si="148"/>
        <v>0.3346839968658688</v>
      </c>
      <c r="X154" s="222">
        <v>141428948</v>
      </c>
      <c r="Y154" s="222">
        <f t="shared" si="113"/>
        <v>585294435</v>
      </c>
      <c r="Z154" s="224">
        <f t="shared" si="77"/>
        <v>0.80538819679069007</v>
      </c>
      <c r="AA154" s="222">
        <v>141428948</v>
      </c>
      <c r="AB154" s="222">
        <f t="shared" si="105"/>
        <v>0</v>
      </c>
      <c r="AC154" s="224">
        <f t="shared" si="138"/>
        <v>0.19461180320930999</v>
      </c>
      <c r="AE154" s="13"/>
      <c r="AF154" s="293"/>
    </row>
    <row r="155" spans="1:54" ht="49.5">
      <c r="A155" s="32" t="str">
        <f t="shared" si="135"/>
        <v>C-4103-1500-13-0-4103055=11</v>
      </c>
      <c r="B155" s="210" t="str">
        <f>CONCATENATE(C155,"-",D155,"-",E155,"-",F155,"-",G155,"-",H155)</f>
        <v>C-4103-1500-13-0-4103055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203</v>
      </c>
      <c r="I155" s="212"/>
      <c r="J155" s="212"/>
      <c r="K155" s="213">
        <v>11</v>
      </c>
      <c r="L155" s="214" t="s">
        <v>29</v>
      </c>
      <c r="M155" s="210" t="s">
        <v>204</v>
      </c>
      <c r="N155" s="215">
        <f t="shared" ref="N155:V155" si="154">SUM(N156:N156)</f>
        <v>12164900352</v>
      </c>
      <c r="O155" s="215">
        <f t="shared" si="154"/>
        <v>0</v>
      </c>
      <c r="P155" s="215">
        <f t="shared" si="154"/>
        <v>0</v>
      </c>
      <c r="Q155" s="215">
        <f t="shared" si="154"/>
        <v>0</v>
      </c>
      <c r="R155" s="215">
        <f t="shared" si="154"/>
        <v>0</v>
      </c>
      <c r="S155" s="215">
        <f t="shared" si="154"/>
        <v>0</v>
      </c>
      <c r="T155" s="215">
        <f t="shared" si="154"/>
        <v>12164900352</v>
      </c>
      <c r="U155" s="215">
        <f t="shared" si="154"/>
        <v>7457426819</v>
      </c>
      <c r="V155" s="215">
        <f t="shared" si="154"/>
        <v>4707473533</v>
      </c>
      <c r="W155" s="216">
        <f t="shared" si="148"/>
        <v>0.61302818791885494</v>
      </c>
      <c r="X155" s="215">
        <f t="shared" ref="X155:Y155" si="155">SUM(X156:X156)</f>
        <v>0</v>
      </c>
      <c r="Y155" s="215">
        <f t="shared" si="155"/>
        <v>7457426819</v>
      </c>
      <c r="Z155" s="216">
        <f t="shared" si="77"/>
        <v>1</v>
      </c>
      <c r="AA155" s="215">
        <f t="shared" ref="AA155:AB155" si="156">SUM(AA156:AA156)</f>
        <v>0</v>
      </c>
      <c r="AB155" s="215">
        <f t="shared" si="156"/>
        <v>0</v>
      </c>
      <c r="AC155" s="216">
        <f t="shared" si="138"/>
        <v>0</v>
      </c>
      <c r="AE155" s="13"/>
      <c r="AF155" s="293"/>
    </row>
    <row r="156" spans="1:54" ht="24.95" customHeight="1">
      <c r="A156" s="32" t="str">
        <f t="shared" si="135"/>
        <v>C-4103-1500-13-0-4103055-02=11</v>
      </c>
      <c r="B156" s="217" t="str">
        <f>CONCATENATE(C156,"-",D156,"-",E156,"-",F156,"-",G156,"-",H156,"-",I156)</f>
        <v>C-4103-1500-13-0-4103055-02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203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12164900352</v>
      </c>
      <c r="O156" s="222"/>
      <c r="P156" s="222"/>
      <c r="Q156" s="222"/>
      <c r="R156" s="222"/>
      <c r="S156" s="222"/>
      <c r="T156" s="222">
        <f>+N156-S156+O156-P156+Q156-R156</f>
        <v>12164900352</v>
      </c>
      <c r="U156" s="222">
        <v>7457426819</v>
      </c>
      <c r="V156" s="222">
        <f t="shared" si="104"/>
        <v>4707473533</v>
      </c>
      <c r="W156" s="224">
        <f t="shared" si="148"/>
        <v>0.61302818791885494</v>
      </c>
      <c r="X156" s="222">
        <v>0</v>
      </c>
      <c r="Y156" s="222">
        <f t="shared" si="113"/>
        <v>7457426819</v>
      </c>
      <c r="Z156" s="224">
        <f t="shared" ref="Z156:Z197" si="157">+IF(U156&gt;0,Y156/U156,0)</f>
        <v>1</v>
      </c>
      <c r="AA156" s="222">
        <v>0</v>
      </c>
      <c r="AB156" s="222">
        <f t="shared" si="105"/>
        <v>0</v>
      </c>
      <c r="AC156" s="224">
        <f t="shared" si="138"/>
        <v>0</v>
      </c>
      <c r="AE156" s="13"/>
      <c r="AF156" s="293"/>
    </row>
    <row r="157" spans="1:54" ht="49.5">
      <c r="A157" s="32" t="str">
        <f t="shared" si="135"/>
        <v>C-4103-1500-14=</v>
      </c>
      <c r="B157" s="226" t="str">
        <f>CONCATENATE(C157,"-",D157,"-",E157,"-",F157)</f>
        <v>C-4103-1500-14</v>
      </c>
      <c r="C157" s="227" t="s">
        <v>167</v>
      </c>
      <c r="D157" s="228" t="s">
        <v>190</v>
      </c>
      <c r="E157" s="228" t="s">
        <v>172</v>
      </c>
      <c r="F157" s="228" t="s">
        <v>205</v>
      </c>
      <c r="G157" s="228"/>
      <c r="H157" s="228"/>
      <c r="I157" s="228"/>
      <c r="J157" s="228"/>
      <c r="K157" s="229"/>
      <c r="L157" s="230"/>
      <c r="M157" s="231" t="s">
        <v>281</v>
      </c>
      <c r="N157" s="232">
        <f>+N158+N162</f>
        <v>1226882227478</v>
      </c>
      <c r="O157" s="232">
        <f t="shared" ref="O157:V157" si="158">+O158+O162</f>
        <v>0</v>
      </c>
      <c r="P157" s="232">
        <f t="shared" si="158"/>
        <v>0</v>
      </c>
      <c r="Q157" s="232">
        <f t="shared" si="158"/>
        <v>48368092805.639999</v>
      </c>
      <c r="R157" s="232">
        <f t="shared" si="158"/>
        <v>328368092805.64001</v>
      </c>
      <c r="S157" s="232">
        <f t="shared" si="158"/>
        <v>420000000000</v>
      </c>
      <c r="T157" s="232">
        <f t="shared" si="158"/>
        <v>526882227478</v>
      </c>
      <c r="U157" s="232">
        <f t="shared" si="158"/>
        <v>500501062293.75</v>
      </c>
      <c r="V157" s="232">
        <f t="shared" si="158"/>
        <v>26381165184.249977</v>
      </c>
      <c r="W157" s="233">
        <f t="shared" si="148"/>
        <v>0.94992967344803536</v>
      </c>
      <c r="X157" s="232">
        <f t="shared" ref="X157:Y157" si="159">+X158+X162</f>
        <v>54519494871.959999</v>
      </c>
      <c r="Y157" s="232">
        <f t="shared" si="159"/>
        <v>445981567421.78998</v>
      </c>
      <c r="Z157" s="233">
        <f t="shared" si="157"/>
        <v>0.89107017151551637</v>
      </c>
      <c r="AA157" s="232">
        <f t="shared" ref="AA157:AB157" si="160">+AA158+AA162</f>
        <v>54519494871.959999</v>
      </c>
      <c r="AB157" s="232">
        <f t="shared" si="160"/>
        <v>0</v>
      </c>
      <c r="AC157" s="233">
        <f t="shared" si="138"/>
        <v>0.10892982848448354</v>
      </c>
      <c r="AE157" s="13"/>
      <c r="AF157" s="293"/>
    </row>
    <row r="158" spans="1:54" ht="33">
      <c r="A158" s="32" t="str">
        <f t="shared" si="135"/>
        <v>C-4103-1500-14-0-4103016=</v>
      </c>
      <c r="B158" s="210" t="str">
        <f>CONCATENATE(C158,"-",D158,"-",E158,"-",F158,"-",G158,"-",H158)</f>
        <v>C-4103-1500-14-0-4103016</v>
      </c>
      <c r="C158" s="211" t="s">
        <v>167</v>
      </c>
      <c r="D158" s="212" t="s">
        <v>190</v>
      </c>
      <c r="E158" s="212" t="s">
        <v>172</v>
      </c>
      <c r="F158" s="212" t="s">
        <v>205</v>
      </c>
      <c r="G158" s="212" t="s">
        <v>175</v>
      </c>
      <c r="H158" s="212" t="s">
        <v>207</v>
      </c>
      <c r="I158" s="212"/>
      <c r="J158" s="212"/>
      <c r="K158" s="213"/>
      <c r="L158" s="214"/>
      <c r="M158" s="210" t="s">
        <v>208</v>
      </c>
      <c r="N158" s="215">
        <f>SUM(N159:N161)</f>
        <v>1205215344888.79</v>
      </c>
      <c r="O158" s="215">
        <f t="shared" ref="O158:V158" si="161">SUM(O159:O161)</f>
        <v>0</v>
      </c>
      <c r="P158" s="215">
        <f t="shared" si="161"/>
        <v>0</v>
      </c>
      <c r="Q158" s="215">
        <f t="shared" si="161"/>
        <v>47668092805.639999</v>
      </c>
      <c r="R158" s="215">
        <f t="shared" si="161"/>
        <v>328368092805.64001</v>
      </c>
      <c r="S158" s="215">
        <f t="shared" si="161"/>
        <v>420000000000</v>
      </c>
      <c r="T158" s="215">
        <f t="shared" si="161"/>
        <v>504515344888.78998</v>
      </c>
      <c r="U158" s="215">
        <f t="shared" si="161"/>
        <v>491124189525.75</v>
      </c>
      <c r="V158" s="215">
        <f t="shared" si="161"/>
        <v>13391155363.039978</v>
      </c>
      <c r="W158" s="216">
        <f t="shared" si="148"/>
        <v>0.97345738737442811</v>
      </c>
      <c r="X158" s="215">
        <f t="shared" ref="X158:Y158" si="162">SUM(X159:X161)</f>
        <v>52961478173.959999</v>
      </c>
      <c r="Y158" s="215">
        <f t="shared" si="162"/>
        <v>438162711351.78998</v>
      </c>
      <c r="Z158" s="216">
        <f t="shared" si="157"/>
        <v>0.89216275780449372</v>
      </c>
      <c r="AA158" s="215">
        <f t="shared" ref="AA158:AB158" si="163">SUM(AA159:AA161)</f>
        <v>52961478173.959999</v>
      </c>
      <c r="AB158" s="215">
        <f t="shared" si="163"/>
        <v>0</v>
      </c>
      <c r="AC158" s="216">
        <f t="shared" si="138"/>
        <v>0.10783724219550621</v>
      </c>
      <c r="AE158" s="13"/>
      <c r="AF158" s="293"/>
    </row>
    <row r="159" spans="1:54" ht="24.95" customHeight="1">
      <c r="A159" s="32" t="str">
        <f t="shared" si="135"/>
        <v>C-4103-1500-14-0-4103016-02=11</v>
      </c>
      <c r="B159" s="217" t="str">
        <f>CONCATENATE(C159,"-",D159,"-",E159,"-",F159,"-",G159,"-",H159,"-",I159)</f>
        <v>C-4103-1500-14-0-4103016-02</v>
      </c>
      <c r="C159" s="266" t="s">
        <v>167</v>
      </c>
      <c r="D159" s="267" t="s">
        <v>190</v>
      </c>
      <c r="E159" s="267" t="s">
        <v>172</v>
      </c>
      <c r="F159" s="267" t="s">
        <v>205</v>
      </c>
      <c r="G159" s="267" t="s">
        <v>175</v>
      </c>
      <c r="H159" s="267" t="s">
        <v>207</v>
      </c>
      <c r="I159" s="267" t="s">
        <v>54</v>
      </c>
      <c r="J159" s="267"/>
      <c r="K159" s="268">
        <v>11</v>
      </c>
      <c r="L159" s="269" t="s">
        <v>29</v>
      </c>
      <c r="M159" s="259" t="s">
        <v>178</v>
      </c>
      <c r="N159" s="222">
        <v>358903207165.07001</v>
      </c>
      <c r="O159" s="222"/>
      <c r="P159" s="222"/>
      <c r="Q159" s="222">
        <f>44314848063+1863454320+1489790422.64</f>
        <v>47668092805.639999</v>
      </c>
      <c r="R159" s="223">
        <v>280000000000</v>
      </c>
      <c r="S159" s="223">
        <f>366968373082.07-280000000000</f>
        <v>86968373082.070007</v>
      </c>
      <c r="T159" s="222">
        <f>+N159-S159+O159-P159+Q159-R159</f>
        <v>39602926888.640015</v>
      </c>
      <c r="U159" s="222">
        <v>36249682146</v>
      </c>
      <c r="V159" s="222">
        <f t="shared" ref="V159" si="164">+T159-U159</f>
        <v>3353244742.6400146</v>
      </c>
      <c r="W159" s="224">
        <f t="shared" si="148"/>
        <v>0.91532836065200318</v>
      </c>
      <c r="X159" s="222">
        <v>0</v>
      </c>
      <c r="Y159" s="222">
        <f t="shared" ref="Y159" si="165">+U159-X159</f>
        <v>36249682146</v>
      </c>
      <c r="Z159" s="224">
        <f t="shared" si="157"/>
        <v>1</v>
      </c>
      <c r="AA159" s="222">
        <v>0</v>
      </c>
      <c r="AB159" s="222">
        <f t="shared" ref="AB159" si="166">+X159-AA159</f>
        <v>0</v>
      </c>
      <c r="AC159" s="224">
        <f t="shared" si="138"/>
        <v>0</v>
      </c>
      <c r="AE159" s="13"/>
      <c r="AF159" s="293"/>
    </row>
    <row r="160" spans="1:54" ht="24.95" customHeight="1">
      <c r="A160" s="32" t="str">
        <f t="shared" si="135"/>
        <v>C-4103-1500-14-0-4103016-03=10</v>
      </c>
      <c r="B160" s="217" t="str">
        <f>CONCATENATE(C160,"-",D160,"-",E160,"-",F160,"-",G160,"-",H160,"-",I160)</f>
        <v>C-4103-1500-14-0-4103016-03</v>
      </c>
      <c r="C160" s="266" t="s">
        <v>167</v>
      </c>
      <c r="D160" s="267" t="s">
        <v>190</v>
      </c>
      <c r="E160" s="267" t="s">
        <v>172</v>
      </c>
      <c r="F160" s="267" t="s">
        <v>205</v>
      </c>
      <c r="G160" s="267" t="s">
        <v>175</v>
      </c>
      <c r="H160" s="267" t="s">
        <v>207</v>
      </c>
      <c r="I160" s="267" t="s">
        <v>65</v>
      </c>
      <c r="J160" s="267"/>
      <c r="K160" s="271" t="s">
        <v>28</v>
      </c>
      <c r="L160" s="269" t="s">
        <v>29</v>
      </c>
      <c r="M160" s="259" t="s">
        <v>127</v>
      </c>
      <c r="N160" s="222">
        <v>50000000000</v>
      </c>
      <c r="O160" s="222"/>
      <c r="P160" s="222"/>
      <c r="Q160" s="223"/>
      <c r="R160" s="223"/>
      <c r="S160" s="223">
        <v>50000000000</v>
      </c>
      <c r="T160" s="222">
        <f>+N160-S160+O160-P160+Q160-R160</f>
        <v>0</v>
      </c>
      <c r="U160" s="222">
        <v>0</v>
      </c>
      <c r="V160" s="222">
        <f t="shared" si="104"/>
        <v>0</v>
      </c>
      <c r="W160" s="224">
        <f t="shared" si="148"/>
        <v>0</v>
      </c>
      <c r="X160" s="222">
        <v>0</v>
      </c>
      <c r="Y160" s="222">
        <f t="shared" si="113"/>
        <v>0</v>
      </c>
      <c r="Z160" s="224">
        <f t="shared" si="157"/>
        <v>0</v>
      </c>
      <c r="AA160" s="222">
        <v>0</v>
      </c>
      <c r="AB160" s="222">
        <f t="shared" si="105"/>
        <v>0</v>
      </c>
      <c r="AC160" s="224">
        <f t="shared" si="138"/>
        <v>0</v>
      </c>
      <c r="AE160" s="13"/>
      <c r="AF160" s="293"/>
    </row>
    <row r="161" spans="1:54" ht="24.95" customHeight="1">
      <c r="A161" s="32" t="str">
        <f t="shared" si="135"/>
        <v>C-4103-1500-14-0-4103016-03=11</v>
      </c>
      <c r="B161" s="217" t="str">
        <f>CONCATENATE(C161,"-",D161,"-",E161,"-",F161,"-",G161,"-",H161,"-",I161)</f>
        <v>C-4103-1500-14-0-4103016-03</v>
      </c>
      <c r="C161" s="266" t="s">
        <v>167</v>
      </c>
      <c r="D161" s="267" t="s">
        <v>190</v>
      </c>
      <c r="E161" s="267" t="s">
        <v>172</v>
      </c>
      <c r="F161" s="267" t="s">
        <v>205</v>
      </c>
      <c r="G161" s="267" t="s">
        <v>175</v>
      </c>
      <c r="H161" s="267" t="s">
        <v>207</v>
      </c>
      <c r="I161" s="272" t="s">
        <v>65</v>
      </c>
      <c r="J161" s="273"/>
      <c r="K161" s="268">
        <v>11</v>
      </c>
      <c r="L161" s="269" t="s">
        <v>29</v>
      </c>
      <c r="M161" s="259" t="s">
        <v>127</v>
      </c>
      <c r="N161" s="222">
        <v>796312137723.71997</v>
      </c>
      <c r="O161" s="222"/>
      <c r="P161" s="222"/>
      <c r="Q161" s="223"/>
      <c r="R161" s="222">
        <f>44314848063+700000000+1863454320+1489790422.64</f>
        <v>48368092805.639999</v>
      </c>
      <c r="S161" s="222">
        <f>283031626917.93</f>
        <v>283031626917.92999</v>
      </c>
      <c r="T161" s="222">
        <f>+N161-S161+O161-P161+Q161-R161</f>
        <v>464912418000.14996</v>
      </c>
      <c r="U161" s="222">
        <v>454874507379.75</v>
      </c>
      <c r="V161" s="222">
        <f t="shared" si="104"/>
        <v>10037910620.399963</v>
      </c>
      <c r="W161" s="224">
        <f t="shared" si="148"/>
        <v>0.97840902881540859</v>
      </c>
      <c r="X161" s="222">
        <v>52961478173.959999</v>
      </c>
      <c r="Y161" s="222">
        <f t="shared" si="113"/>
        <v>401913029205.78998</v>
      </c>
      <c r="Z161" s="224">
        <f t="shared" si="157"/>
        <v>0.88356903428367917</v>
      </c>
      <c r="AA161" s="222">
        <v>52961478173.959999</v>
      </c>
      <c r="AB161" s="222">
        <f t="shared" si="105"/>
        <v>0</v>
      </c>
      <c r="AC161" s="224">
        <f t="shared" si="138"/>
        <v>0.11643096571632083</v>
      </c>
      <c r="AE161" s="13"/>
      <c r="AF161" s="293"/>
    </row>
    <row r="162" spans="1:54" ht="33">
      <c r="A162" s="32" t="str">
        <f t="shared" si="135"/>
        <v>C-4103-1500-14-0-4103048=11</v>
      </c>
      <c r="B162" s="210" t="str">
        <f>CONCATENATE(C162,"-",D162,"-",E162,"-",F162,"-",G162,"-",H162)</f>
        <v>C-4103-1500-14-0-4103048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209</v>
      </c>
      <c r="I162" s="212"/>
      <c r="J162" s="212"/>
      <c r="K162" s="213">
        <v>11</v>
      </c>
      <c r="L162" s="214" t="s">
        <v>29</v>
      </c>
      <c r="M162" s="210" t="s">
        <v>210</v>
      </c>
      <c r="N162" s="215">
        <f t="shared" ref="N162:V162" si="167">SUM(N163:N163)</f>
        <v>21666882589.209999</v>
      </c>
      <c r="O162" s="215">
        <f t="shared" si="167"/>
        <v>0</v>
      </c>
      <c r="P162" s="215">
        <f t="shared" si="167"/>
        <v>0</v>
      </c>
      <c r="Q162" s="215">
        <f t="shared" si="167"/>
        <v>700000000</v>
      </c>
      <c r="R162" s="215">
        <f t="shared" si="167"/>
        <v>0</v>
      </c>
      <c r="S162" s="215">
        <f t="shared" si="167"/>
        <v>0</v>
      </c>
      <c r="T162" s="215">
        <f t="shared" si="167"/>
        <v>22366882589.209999</v>
      </c>
      <c r="U162" s="215">
        <f t="shared" si="167"/>
        <v>9376872768</v>
      </c>
      <c r="V162" s="215">
        <f t="shared" si="167"/>
        <v>12990009821.209999</v>
      </c>
      <c r="W162" s="216">
        <f t="shared" si="148"/>
        <v>0.41923020477263534</v>
      </c>
      <c r="X162" s="215">
        <f t="shared" ref="X162:Y162" si="168">SUM(X163:X163)</f>
        <v>1558016698</v>
      </c>
      <c r="Y162" s="215">
        <f t="shared" si="168"/>
        <v>7818856070</v>
      </c>
      <c r="Z162" s="216">
        <f t="shared" si="157"/>
        <v>0.83384474370634865</v>
      </c>
      <c r="AA162" s="215">
        <f t="shared" ref="AA162:AB162" si="169">SUM(AA163:AA163)</f>
        <v>1558016698</v>
      </c>
      <c r="AB162" s="215">
        <f t="shared" si="169"/>
        <v>0</v>
      </c>
      <c r="AC162" s="216">
        <f t="shared" si="138"/>
        <v>0.16615525629365135</v>
      </c>
      <c r="AE162" s="13"/>
      <c r="AF162" s="293"/>
    </row>
    <row r="163" spans="1:54" ht="24.95" customHeight="1">
      <c r="A163" s="32" t="str">
        <f t="shared" si="135"/>
        <v>C-4103-1500-14-0-4103048-02=11</v>
      </c>
      <c r="B163" s="217" t="str">
        <f>CONCATENATE(C163,"-",D163,"-",E163,"-",F163,"-",G163,"-",H163,"-",I163)</f>
        <v>C-4103-1500-14-0-4103048-02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209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21666882589.209999</v>
      </c>
      <c r="O163" s="222"/>
      <c r="P163" s="222"/>
      <c r="Q163" s="222">
        <v>700000000</v>
      </c>
      <c r="R163" s="222"/>
      <c r="S163" s="222"/>
      <c r="T163" s="222">
        <f>+N163-S163+O163-P163+Q163-R163</f>
        <v>22366882589.209999</v>
      </c>
      <c r="U163" s="222">
        <v>9376872768</v>
      </c>
      <c r="V163" s="222">
        <f t="shared" ref="V163" si="170">+T163-U163</f>
        <v>12990009821.209999</v>
      </c>
      <c r="W163" s="224">
        <f t="shared" si="148"/>
        <v>0.41923020477263534</v>
      </c>
      <c r="X163" s="222">
        <v>1558016698</v>
      </c>
      <c r="Y163" s="222">
        <f t="shared" ref="Y163" si="171">+U163-X163</f>
        <v>7818856070</v>
      </c>
      <c r="Z163" s="224">
        <f t="shared" si="157"/>
        <v>0.83384474370634865</v>
      </c>
      <c r="AA163" s="222">
        <v>1558016698</v>
      </c>
      <c r="AB163" s="222">
        <f t="shared" ref="AB163" si="172">+X163-AA163</f>
        <v>0</v>
      </c>
      <c r="AC163" s="224">
        <f t="shared" si="138"/>
        <v>0.16615525629365135</v>
      </c>
      <c r="AE163" s="13"/>
      <c r="AF163" s="293"/>
    </row>
    <row r="164" spans="1:54" ht="33">
      <c r="A164" s="32" t="str">
        <f t="shared" si="135"/>
        <v>C-4103-1500-16=</v>
      </c>
      <c r="B164" s="226" t="str">
        <f>CONCATENATE(C164,"-",D164,"-",E164,"-",F164)</f>
        <v>C-4103-1500-16</v>
      </c>
      <c r="C164" s="227" t="s">
        <v>167</v>
      </c>
      <c r="D164" s="228" t="s">
        <v>190</v>
      </c>
      <c r="E164" s="228" t="s">
        <v>172</v>
      </c>
      <c r="F164" s="228" t="s">
        <v>211</v>
      </c>
      <c r="G164" s="228"/>
      <c r="H164" s="228"/>
      <c r="I164" s="228"/>
      <c r="J164" s="228"/>
      <c r="K164" s="229"/>
      <c r="L164" s="230"/>
      <c r="M164" s="231" t="s">
        <v>282</v>
      </c>
      <c r="N164" s="232">
        <f>+N165+N167</f>
        <v>1000000000</v>
      </c>
      <c r="O164" s="232">
        <f t="shared" ref="O164:V164" si="173">+O165+O167</f>
        <v>0</v>
      </c>
      <c r="P164" s="232">
        <f t="shared" si="173"/>
        <v>0</v>
      </c>
      <c r="Q164" s="232">
        <f t="shared" si="173"/>
        <v>0</v>
      </c>
      <c r="R164" s="232">
        <f t="shared" si="173"/>
        <v>0</v>
      </c>
      <c r="S164" s="232">
        <f t="shared" si="173"/>
        <v>0</v>
      </c>
      <c r="T164" s="232">
        <f t="shared" si="173"/>
        <v>1000000000</v>
      </c>
      <c r="U164" s="232">
        <f t="shared" si="173"/>
        <v>0</v>
      </c>
      <c r="V164" s="232">
        <f t="shared" si="173"/>
        <v>1000000000</v>
      </c>
      <c r="W164" s="233">
        <f t="shared" si="148"/>
        <v>0</v>
      </c>
      <c r="X164" s="232">
        <f t="shared" ref="X164:AB164" si="174">+X165+X167</f>
        <v>0</v>
      </c>
      <c r="Y164" s="232">
        <f t="shared" si="174"/>
        <v>0</v>
      </c>
      <c r="Z164" s="233">
        <f t="shared" si="157"/>
        <v>0</v>
      </c>
      <c r="AA164" s="232">
        <f t="shared" si="174"/>
        <v>0</v>
      </c>
      <c r="AB164" s="232">
        <f t="shared" si="174"/>
        <v>0</v>
      </c>
      <c r="AC164" s="233">
        <f t="shared" si="138"/>
        <v>0</v>
      </c>
      <c r="AE164" s="13"/>
      <c r="AF164" s="293"/>
    </row>
    <row r="165" spans="1:54" s="90" customFormat="1" ht="33">
      <c r="A165" s="32" t="str">
        <f t="shared" si="135"/>
        <v>C-4103-1500-16-0-4103056=11</v>
      </c>
      <c r="B165" s="210" t="str">
        <f>CONCATENATE(C165,"-",D165,"-",E165,"-",F165,"-",G165,"-",H165)</f>
        <v>C-4103-1500-16-0-4103056</v>
      </c>
      <c r="C165" s="211" t="s">
        <v>167</v>
      </c>
      <c r="D165" s="212" t="s">
        <v>190</v>
      </c>
      <c r="E165" s="212" t="s">
        <v>172</v>
      </c>
      <c r="F165" s="212" t="s">
        <v>211</v>
      </c>
      <c r="G165" s="212" t="s">
        <v>175</v>
      </c>
      <c r="H165" s="212" t="s">
        <v>213</v>
      </c>
      <c r="I165" s="212"/>
      <c r="J165" s="212"/>
      <c r="K165" s="213" t="s">
        <v>144</v>
      </c>
      <c r="L165" s="214" t="s">
        <v>29</v>
      </c>
      <c r="M165" s="210" t="s">
        <v>214</v>
      </c>
      <c r="N165" s="215">
        <f>+N166</f>
        <v>730000000</v>
      </c>
      <c r="O165" s="215">
        <f t="shared" ref="O165:AB165" si="175">+O166</f>
        <v>0</v>
      </c>
      <c r="P165" s="215">
        <f t="shared" si="175"/>
        <v>0</v>
      </c>
      <c r="Q165" s="215">
        <f t="shared" si="175"/>
        <v>0</v>
      </c>
      <c r="R165" s="215">
        <f t="shared" si="175"/>
        <v>0</v>
      </c>
      <c r="S165" s="215">
        <f t="shared" si="175"/>
        <v>0</v>
      </c>
      <c r="T165" s="215">
        <f t="shared" si="175"/>
        <v>730000000</v>
      </c>
      <c r="U165" s="215">
        <f t="shared" si="175"/>
        <v>0</v>
      </c>
      <c r="V165" s="215">
        <f t="shared" si="175"/>
        <v>730000000</v>
      </c>
      <c r="W165" s="216">
        <f t="shared" si="148"/>
        <v>0</v>
      </c>
      <c r="X165" s="215">
        <f t="shared" si="175"/>
        <v>0</v>
      </c>
      <c r="Y165" s="215">
        <f t="shared" si="175"/>
        <v>0</v>
      </c>
      <c r="Z165" s="216">
        <f t="shared" si="157"/>
        <v>0</v>
      </c>
      <c r="AA165" s="215">
        <f t="shared" si="175"/>
        <v>0</v>
      </c>
      <c r="AB165" s="215">
        <f t="shared" si="175"/>
        <v>0</v>
      </c>
      <c r="AC165" s="216">
        <f t="shared" si="138"/>
        <v>0</v>
      </c>
      <c r="AD165" s="13"/>
      <c r="AE165" s="13"/>
      <c r="AF165" s="29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</row>
    <row r="166" spans="1:54" s="90" customFormat="1" ht="24.95" customHeight="1">
      <c r="A166" s="32" t="str">
        <f t="shared" si="135"/>
        <v>C-4103-1500-16-0-4103056-02=11</v>
      </c>
      <c r="B166" s="217" t="str">
        <f>CONCATENATE(C166,"-",D166,"-",E166,"-",F166,"-",G166,"-",H166,"-",I166)</f>
        <v>C-4103-1500-16-0-4103056-02</v>
      </c>
      <c r="C166" s="218" t="s">
        <v>167</v>
      </c>
      <c r="D166" s="219" t="s">
        <v>190</v>
      </c>
      <c r="E166" s="219" t="s">
        <v>172</v>
      </c>
      <c r="F166" s="219" t="s">
        <v>211</v>
      </c>
      <c r="G166" s="219" t="s">
        <v>175</v>
      </c>
      <c r="H166" s="219" t="s">
        <v>213</v>
      </c>
      <c r="I166" s="219" t="s">
        <v>54</v>
      </c>
      <c r="J166" s="219"/>
      <c r="K166" s="220" t="s">
        <v>144</v>
      </c>
      <c r="L166" s="221" t="s">
        <v>29</v>
      </c>
      <c r="M166" s="259" t="s">
        <v>178</v>
      </c>
      <c r="N166" s="222">
        <v>730000000</v>
      </c>
      <c r="O166" s="222"/>
      <c r="P166" s="222"/>
      <c r="Q166" s="222"/>
      <c r="R166" s="222"/>
      <c r="S166" s="222"/>
      <c r="T166" s="222">
        <f>+N166-S166+O166-P166+Q166-R166</f>
        <v>730000000</v>
      </c>
      <c r="U166" s="222">
        <v>0</v>
      </c>
      <c r="V166" s="222">
        <f t="shared" si="104"/>
        <v>730000000</v>
      </c>
      <c r="W166" s="224">
        <f t="shared" si="148"/>
        <v>0</v>
      </c>
      <c r="X166" s="222">
        <v>0</v>
      </c>
      <c r="Y166" s="222">
        <f t="shared" si="113"/>
        <v>0</v>
      </c>
      <c r="Z166" s="224">
        <f t="shared" si="157"/>
        <v>0</v>
      </c>
      <c r="AA166" s="222">
        <v>0</v>
      </c>
      <c r="AB166" s="222">
        <f t="shared" si="105"/>
        <v>0</v>
      </c>
      <c r="AC166" s="224">
        <f t="shared" si="138"/>
        <v>0</v>
      </c>
      <c r="AD166" s="13"/>
      <c r="AE166" s="13"/>
      <c r="AF166" s="29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</row>
    <row r="167" spans="1:54" s="90" customFormat="1" ht="24.95" customHeight="1">
      <c r="A167" s="32" t="str">
        <f t="shared" si="135"/>
        <v>C-4103-1500-16-0-4103060=11</v>
      </c>
      <c r="B167" s="210" t="str">
        <f>CONCATENATE(C167,"-",D167,"-",E167,"-",F167,"-",G167,"-",H167)</f>
        <v>C-4103-1500-16-0-4103060</v>
      </c>
      <c r="C167" s="211" t="s">
        <v>167</v>
      </c>
      <c r="D167" s="212" t="s">
        <v>190</v>
      </c>
      <c r="E167" s="212" t="s">
        <v>172</v>
      </c>
      <c r="F167" s="212" t="s">
        <v>211</v>
      </c>
      <c r="G167" s="212" t="s">
        <v>175</v>
      </c>
      <c r="H167" s="212" t="s">
        <v>215</v>
      </c>
      <c r="I167" s="212"/>
      <c r="J167" s="212"/>
      <c r="K167" s="213" t="s">
        <v>144</v>
      </c>
      <c r="L167" s="214" t="s">
        <v>29</v>
      </c>
      <c r="M167" s="210" t="s">
        <v>216</v>
      </c>
      <c r="N167" s="215">
        <f>+N168</f>
        <v>270000000</v>
      </c>
      <c r="O167" s="215">
        <f t="shared" ref="O167:AB167" si="176">+O168</f>
        <v>0</v>
      </c>
      <c r="P167" s="215">
        <f t="shared" si="176"/>
        <v>0</v>
      </c>
      <c r="Q167" s="215">
        <f t="shared" si="176"/>
        <v>0</v>
      </c>
      <c r="R167" s="215">
        <f t="shared" si="176"/>
        <v>0</v>
      </c>
      <c r="S167" s="215">
        <f t="shared" si="176"/>
        <v>0</v>
      </c>
      <c r="T167" s="215">
        <f t="shared" si="176"/>
        <v>270000000</v>
      </c>
      <c r="U167" s="215">
        <f t="shared" si="176"/>
        <v>0</v>
      </c>
      <c r="V167" s="215">
        <f t="shared" si="176"/>
        <v>270000000</v>
      </c>
      <c r="W167" s="216">
        <f t="shared" si="148"/>
        <v>0</v>
      </c>
      <c r="X167" s="215">
        <f t="shared" si="176"/>
        <v>0</v>
      </c>
      <c r="Y167" s="215">
        <f t="shared" si="176"/>
        <v>0</v>
      </c>
      <c r="Z167" s="216">
        <f t="shared" si="157"/>
        <v>0</v>
      </c>
      <c r="AA167" s="215">
        <f t="shared" si="176"/>
        <v>0</v>
      </c>
      <c r="AB167" s="215">
        <f t="shared" si="176"/>
        <v>0</v>
      </c>
      <c r="AC167" s="216">
        <f t="shared" si="138"/>
        <v>0</v>
      </c>
      <c r="AD167" s="13"/>
      <c r="AE167" s="13"/>
      <c r="AF167" s="29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</row>
    <row r="168" spans="1:54" s="90" customFormat="1" ht="24.95" customHeight="1">
      <c r="A168" s="32" t="str">
        <f t="shared" si="135"/>
        <v>C-4103-1500-16-0-4103060-02=11</v>
      </c>
      <c r="B168" s="217" t="str">
        <f>CONCATENATE(C168,"-",D168,"-",E168,"-",F168,"-",G168,"-",H168,"-",I168)</f>
        <v>C-4103-1500-16-0-4103060-02</v>
      </c>
      <c r="C168" s="218" t="s">
        <v>167</v>
      </c>
      <c r="D168" s="219" t="s">
        <v>190</v>
      </c>
      <c r="E168" s="219" t="s">
        <v>172</v>
      </c>
      <c r="F168" s="219" t="s">
        <v>211</v>
      </c>
      <c r="G168" s="219" t="s">
        <v>175</v>
      </c>
      <c r="H168" s="219" t="s">
        <v>215</v>
      </c>
      <c r="I168" s="219" t="s">
        <v>54</v>
      </c>
      <c r="J168" s="219"/>
      <c r="K168" s="220" t="s">
        <v>144</v>
      </c>
      <c r="L168" s="221" t="s">
        <v>29</v>
      </c>
      <c r="M168" s="259" t="s">
        <v>178</v>
      </c>
      <c r="N168" s="222">
        <v>270000000</v>
      </c>
      <c r="O168" s="222"/>
      <c r="P168" s="222"/>
      <c r="Q168" s="222"/>
      <c r="R168" s="222"/>
      <c r="S168" s="222"/>
      <c r="T168" s="222">
        <f>+N168-S168+O168-P168+Q168-R168</f>
        <v>270000000</v>
      </c>
      <c r="U168" s="222">
        <v>0</v>
      </c>
      <c r="V168" s="222">
        <f t="shared" si="104"/>
        <v>270000000</v>
      </c>
      <c r="W168" s="224">
        <f t="shared" si="148"/>
        <v>0</v>
      </c>
      <c r="X168" s="222">
        <v>0</v>
      </c>
      <c r="Y168" s="222">
        <f t="shared" si="113"/>
        <v>0</v>
      </c>
      <c r="Z168" s="224">
        <f t="shared" si="157"/>
        <v>0</v>
      </c>
      <c r="AA168" s="222">
        <v>0</v>
      </c>
      <c r="AB168" s="222">
        <f t="shared" si="105"/>
        <v>0</v>
      </c>
      <c r="AC168" s="224">
        <f t="shared" si="138"/>
        <v>0</v>
      </c>
      <c r="AD168" s="13"/>
      <c r="AE168" s="13"/>
      <c r="AF168" s="29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</row>
    <row r="169" spans="1:54" s="90" customFormat="1" ht="82.5">
      <c r="A169" s="32" t="str">
        <f t="shared" si="135"/>
        <v>C-4103-1500-17=</v>
      </c>
      <c r="B169" s="226" t="str">
        <f>CONCATENATE(C169,"-",D169,"-",E169,"-",F169)</f>
        <v>C-4103-1500-17</v>
      </c>
      <c r="C169" s="227" t="s">
        <v>167</v>
      </c>
      <c r="D169" s="228" t="s">
        <v>190</v>
      </c>
      <c r="E169" s="228" t="s">
        <v>172</v>
      </c>
      <c r="F169" s="228" t="s">
        <v>217</v>
      </c>
      <c r="G169" s="228"/>
      <c r="H169" s="228"/>
      <c r="I169" s="228"/>
      <c r="J169" s="228"/>
      <c r="K169" s="229"/>
      <c r="L169" s="230"/>
      <c r="M169" s="231" t="s">
        <v>283</v>
      </c>
      <c r="N169" s="232">
        <f t="shared" ref="N169:V169" si="177">+N174+N176+N172+N170</f>
        <v>83583395677</v>
      </c>
      <c r="O169" s="232">
        <f t="shared" si="177"/>
        <v>0</v>
      </c>
      <c r="P169" s="232">
        <f t="shared" si="177"/>
        <v>0</v>
      </c>
      <c r="Q169" s="232">
        <f t="shared" si="177"/>
        <v>0</v>
      </c>
      <c r="R169" s="232">
        <f t="shared" si="177"/>
        <v>0</v>
      </c>
      <c r="S169" s="232">
        <f t="shared" si="177"/>
        <v>40000000000</v>
      </c>
      <c r="T169" s="232">
        <f t="shared" si="177"/>
        <v>43583395677</v>
      </c>
      <c r="U169" s="232">
        <f t="shared" si="177"/>
        <v>38810134289</v>
      </c>
      <c r="V169" s="232">
        <f t="shared" si="177"/>
        <v>4773261388</v>
      </c>
      <c r="W169" s="233">
        <f t="shared" si="148"/>
        <v>0.89047981888848182</v>
      </c>
      <c r="X169" s="232">
        <f t="shared" ref="X169:Y169" si="178">+X174+X176+X172+X170</f>
        <v>2423976923</v>
      </c>
      <c r="Y169" s="232">
        <f t="shared" si="178"/>
        <v>36386157366</v>
      </c>
      <c r="Z169" s="233">
        <f t="shared" si="157"/>
        <v>0.93754268137930585</v>
      </c>
      <c r="AA169" s="232">
        <f t="shared" ref="AA169:AB169" si="179">+AA174+AA176+AA172+AA170</f>
        <v>2423976923</v>
      </c>
      <c r="AB169" s="232">
        <f t="shared" si="179"/>
        <v>0</v>
      </c>
      <c r="AC169" s="233">
        <f t="shared" si="138"/>
        <v>6.2457318620694147E-2</v>
      </c>
      <c r="AD169" s="13"/>
      <c r="AE169" s="13"/>
      <c r="AF169" s="29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</row>
    <row r="170" spans="1:54" s="90" customFormat="1" ht="24.95" customHeight="1">
      <c r="A170" s="32" t="str">
        <f t="shared" si="135"/>
        <v>C-4103-1500-17-0-4103005=11</v>
      </c>
      <c r="B170" s="210" t="str">
        <f>CONCATENATE(C170,"-",D170,"-",E170,"-",F170,"-",G170,"-",H170)</f>
        <v>C-4103-1500-17-0-4103005</v>
      </c>
      <c r="C170" s="211" t="s">
        <v>167</v>
      </c>
      <c r="D170" s="212" t="s">
        <v>190</v>
      </c>
      <c r="E170" s="212" t="s">
        <v>172</v>
      </c>
      <c r="F170" s="212" t="s">
        <v>217</v>
      </c>
      <c r="G170" s="212" t="s">
        <v>175</v>
      </c>
      <c r="H170" s="212" t="s">
        <v>219</v>
      </c>
      <c r="I170" s="212"/>
      <c r="J170" s="212"/>
      <c r="K170" s="213">
        <v>11</v>
      </c>
      <c r="L170" s="214" t="s">
        <v>29</v>
      </c>
      <c r="M170" s="210" t="s">
        <v>220</v>
      </c>
      <c r="N170" s="215">
        <f>N171</f>
        <v>24060301659</v>
      </c>
      <c r="O170" s="215">
        <f t="shared" ref="O170:AB170" si="180">O171</f>
        <v>0</v>
      </c>
      <c r="P170" s="215">
        <f t="shared" si="180"/>
        <v>0</v>
      </c>
      <c r="Q170" s="215">
        <f t="shared" si="180"/>
        <v>0</v>
      </c>
      <c r="R170" s="215">
        <f t="shared" si="180"/>
        <v>0</v>
      </c>
      <c r="S170" s="215">
        <f t="shared" si="180"/>
        <v>5805513391</v>
      </c>
      <c r="T170" s="215">
        <f t="shared" si="180"/>
        <v>18254788268</v>
      </c>
      <c r="U170" s="215">
        <f t="shared" si="180"/>
        <v>13814132995</v>
      </c>
      <c r="V170" s="215">
        <f t="shared" si="180"/>
        <v>4440655273</v>
      </c>
      <c r="W170" s="216">
        <f t="shared" si="148"/>
        <v>0.75674024766508452</v>
      </c>
      <c r="X170" s="215">
        <f t="shared" si="180"/>
        <v>476647452</v>
      </c>
      <c r="Y170" s="215">
        <f t="shared" si="180"/>
        <v>13337485543</v>
      </c>
      <c r="Z170" s="216">
        <f t="shared" si="157"/>
        <v>0.96549566649079444</v>
      </c>
      <c r="AA170" s="215">
        <f t="shared" si="180"/>
        <v>476647452</v>
      </c>
      <c r="AB170" s="215">
        <f t="shared" si="180"/>
        <v>0</v>
      </c>
      <c r="AC170" s="216">
        <f t="shared" si="138"/>
        <v>3.4504333509205509E-2</v>
      </c>
      <c r="AD170" s="13"/>
      <c r="AE170" s="13"/>
      <c r="AF170" s="29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</row>
    <row r="171" spans="1:54" s="90" customFormat="1" ht="24.95" customHeight="1">
      <c r="A171" s="32" t="str">
        <f t="shared" si="135"/>
        <v>C-4103-1500-17-0-4103005-02=11</v>
      </c>
      <c r="B171" s="217" t="str">
        <f>CONCATENATE(C171,"-",D171,"-",E171,"-",F171,"-",G171,"-",H171,"-",I171)</f>
        <v>C-4103-1500-17-0-4103005-02</v>
      </c>
      <c r="C171" s="266" t="s">
        <v>167</v>
      </c>
      <c r="D171" s="267" t="s">
        <v>190</v>
      </c>
      <c r="E171" s="267" t="s">
        <v>172</v>
      </c>
      <c r="F171" s="267" t="s">
        <v>217</v>
      </c>
      <c r="G171" s="267" t="s">
        <v>175</v>
      </c>
      <c r="H171" s="267" t="s">
        <v>219</v>
      </c>
      <c r="I171" s="267" t="s">
        <v>54</v>
      </c>
      <c r="J171" s="267"/>
      <c r="K171" s="268">
        <v>11</v>
      </c>
      <c r="L171" s="269" t="s">
        <v>29</v>
      </c>
      <c r="M171" s="259" t="s">
        <v>178</v>
      </c>
      <c r="N171" s="222">
        <v>24060301659</v>
      </c>
      <c r="O171" s="222"/>
      <c r="P171" s="222"/>
      <c r="Q171" s="222"/>
      <c r="R171" s="222"/>
      <c r="S171" s="222">
        <v>5805513391</v>
      </c>
      <c r="T171" s="222">
        <f>+N171-S171+O171-P171+Q171-R171</f>
        <v>18254788268</v>
      </c>
      <c r="U171" s="222">
        <v>13814132995</v>
      </c>
      <c r="V171" s="222">
        <f>+T171-U171</f>
        <v>4440655273</v>
      </c>
      <c r="W171" s="224">
        <f t="shared" si="148"/>
        <v>0.75674024766508452</v>
      </c>
      <c r="X171" s="222">
        <v>476647452</v>
      </c>
      <c r="Y171" s="222">
        <f>+U171-X171</f>
        <v>13337485543</v>
      </c>
      <c r="Z171" s="224">
        <f t="shared" si="157"/>
        <v>0.96549566649079444</v>
      </c>
      <c r="AA171" s="222">
        <v>476647452</v>
      </c>
      <c r="AB171" s="222">
        <f>+X171-AA171</f>
        <v>0</v>
      </c>
      <c r="AC171" s="224">
        <f t="shared" si="138"/>
        <v>3.4504333509205509E-2</v>
      </c>
      <c r="AD171" s="13"/>
      <c r="AE171" s="13"/>
      <c r="AF171" s="29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</row>
    <row r="172" spans="1:54" s="90" customFormat="1" ht="33">
      <c r="A172" s="32" t="str">
        <f t="shared" si="135"/>
        <v>C-4103-1500-17-0-4103057=11</v>
      </c>
      <c r="B172" s="210" t="str">
        <f>CONCATENATE(C172,"-",D172,"-",E172,"-",F172,"-",G172,"-",H172)</f>
        <v>C-4103-1500-17-0-4103057</v>
      </c>
      <c r="C172" s="211" t="s">
        <v>167</v>
      </c>
      <c r="D172" s="212" t="s">
        <v>190</v>
      </c>
      <c r="E172" s="212" t="s">
        <v>172</v>
      </c>
      <c r="F172" s="212" t="s">
        <v>217</v>
      </c>
      <c r="G172" s="212" t="s">
        <v>175</v>
      </c>
      <c r="H172" s="212" t="s">
        <v>221</v>
      </c>
      <c r="I172" s="212"/>
      <c r="J172" s="212"/>
      <c r="K172" s="213">
        <v>11</v>
      </c>
      <c r="L172" s="214" t="s">
        <v>29</v>
      </c>
      <c r="M172" s="210" t="s">
        <v>222</v>
      </c>
      <c r="N172" s="215">
        <f t="shared" ref="N172:V172" si="181">SUM(N173:N173)</f>
        <v>45582352481</v>
      </c>
      <c r="O172" s="215">
        <f t="shared" si="181"/>
        <v>0</v>
      </c>
      <c r="P172" s="215">
        <f t="shared" si="181"/>
        <v>0</v>
      </c>
      <c r="Q172" s="215">
        <f t="shared" si="181"/>
        <v>0</v>
      </c>
      <c r="R172" s="215">
        <f t="shared" si="181"/>
        <v>0</v>
      </c>
      <c r="S172" s="215">
        <f t="shared" si="181"/>
        <v>24481010129</v>
      </c>
      <c r="T172" s="215">
        <f t="shared" si="181"/>
        <v>21101342352</v>
      </c>
      <c r="U172" s="215">
        <f t="shared" si="181"/>
        <v>21101342352</v>
      </c>
      <c r="V172" s="215">
        <f t="shared" si="181"/>
        <v>0</v>
      </c>
      <c r="W172" s="216">
        <f t="shared" si="148"/>
        <v>1</v>
      </c>
      <c r="X172" s="215">
        <f t="shared" ref="X172:Y172" si="182">SUM(X173:X173)</f>
        <v>0</v>
      </c>
      <c r="Y172" s="215">
        <f t="shared" si="182"/>
        <v>21101342352</v>
      </c>
      <c r="Z172" s="216">
        <f t="shared" si="157"/>
        <v>1</v>
      </c>
      <c r="AA172" s="215">
        <f t="shared" ref="AA172:AB172" si="183">SUM(AA173:AA173)</f>
        <v>0</v>
      </c>
      <c r="AB172" s="215">
        <f t="shared" si="183"/>
        <v>0</v>
      </c>
      <c r="AC172" s="216">
        <f t="shared" si="138"/>
        <v>0</v>
      </c>
      <c r="AD172" s="13"/>
      <c r="AE172" s="13"/>
      <c r="AF172" s="29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</row>
    <row r="173" spans="1:54" s="90" customFormat="1" ht="24.95" customHeight="1">
      <c r="A173" s="32" t="str">
        <f t="shared" si="135"/>
        <v>C-4103-1500-17-0-4103057-03=11</v>
      </c>
      <c r="B173" s="217" t="str">
        <f>CONCATENATE(C173,"-",D173,"-",E173,"-",F173,"-",G173,"-",H173,"-",I173)</f>
        <v>C-4103-1500-17-0-4103057-03</v>
      </c>
      <c r="C173" s="266" t="s">
        <v>167</v>
      </c>
      <c r="D173" s="267" t="s">
        <v>190</v>
      </c>
      <c r="E173" s="267" t="s">
        <v>172</v>
      </c>
      <c r="F173" s="267" t="s">
        <v>217</v>
      </c>
      <c r="G173" s="267" t="s">
        <v>175</v>
      </c>
      <c r="H173" s="267" t="s">
        <v>221</v>
      </c>
      <c r="I173" s="274" t="s">
        <v>65</v>
      </c>
      <c r="J173" s="267"/>
      <c r="K173" s="268">
        <v>11</v>
      </c>
      <c r="L173" s="269" t="s">
        <v>29</v>
      </c>
      <c r="M173" s="259" t="s">
        <v>127</v>
      </c>
      <c r="N173" s="222">
        <v>45582352481</v>
      </c>
      <c r="O173" s="222"/>
      <c r="P173" s="222"/>
      <c r="Q173" s="222"/>
      <c r="R173" s="222"/>
      <c r="S173" s="222">
        <v>24481010129</v>
      </c>
      <c r="T173" s="222">
        <f>+N173-S173+O173-P173+Q173-R173</f>
        <v>21101342352</v>
      </c>
      <c r="U173" s="222">
        <v>21101342352</v>
      </c>
      <c r="V173" s="222">
        <f>+T173-U173</f>
        <v>0</v>
      </c>
      <c r="W173" s="224">
        <f t="shared" si="148"/>
        <v>1</v>
      </c>
      <c r="X173" s="222">
        <v>0</v>
      </c>
      <c r="Y173" s="222">
        <f>+U173-X173</f>
        <v>21101342352</v>
      </c>
      <c r="Z173" s="224">
        <f t="shared" si="157"/>
        <v>1</v>
      </c>
      <c r="AA173" s="222">
        <v>0</v>
      </c>
      <c r="AB173" s="222">
        <f>+X173-AA173</f>
        <v>0</v>
      </c>
      <c r="AC173" s="224">
        <f t="shared" si="138"/>
        <v>0</v>
      </c>
      <c r="AD173" s="13"/>
      <c r="AE173" s="13"/>
      <c r="AF173" s="29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</row>
    <row r="174" spans="1:54" s="90" customFormat="1" ht="49.5">
      <c r="A174" s="32" t="str">
        <f t="shared" si="135"/>
        <v>C-4103-1500-17-0-4103058=11</v>
      </c>
      <c r="B174" s="210" t="str">
        <f>CONCATENATE(C174,"-",D174,"-",E174,"-",F174,"-",G174,"-",H174)</f>
        <v>C-4103-1500-17-0-4103058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223</v>
      </c>
      <c r="I174" s="212"/>
      <c r="J174" s="212"/>
      <c r="K174" s="213">
        <v>11</v>
      </c>
      <c r="L174" s="214" t="s">
        <v>29</v>
      </c>
      <c r="M174" s="210" t="s">
        <v>224</v>
      </c>
      <c r="N174" s="215">
        <f t="shared" ref="N174:V174" si="184">SUM(N175:N175)</f>
        <v>12632794125</v>
      </c>
      <c r="O174" s="215">
        <f t="shared" si="184"/>
        <v>0</v>
      </c>
      <c r="P174" s="215">
        <f t="shared" si="184"/>
        <v>0</v>
      </c>
      <c r="Q174" s="215">
        <f t="shared" si="184"/>
        <v>0</v>
      </c>
      <c r="R174" s="215">
        <f t="shared" si="184"/>
        <v>0</v>
      </c>
      <c r="S174" s="215">
        <f t="shared" si="184"/>
        <v>9713476480</v>
      </c>
      <c r="T174" s="215">
        <f t="shared" si="184"/>
        <v>2919317645</v>
      </c>
      <c r="U174" s="215">
        <f t="shared" si="184"/>
        <v>2919317645</v>
      </c>
      <c r="V174" s="215">
        <f t="shared" si="184"/>
        <v>0</v>
      </c>
      <c r="W174" s="216">
        <f t="shared" si="148"/>
        <v>1</v>
      </c>
      <c r="X174" s="215">
        <f t="shared" ref="X174:Y174" si="185">SUM(X175:X175)</f>
        <v>971988174</v>
      </c>
      <c r="Y174" s="215">
        <f t="shared" si="185"/>
        <v>1947329471</v>
      </c>
      <c r="Z174" s="216">
        <f t="shared" si="157"/>
        <v>0.66704953273421541</v>
      </c>
      <c r="AA174" s="215">
        <f t="shared" ref="AA174:AB174" si="186">SUM(AA175:AA175)</f>
        <v>971988174</v>
      </c>
      <c r="AB174" s="215">
        <f t="shared" si="186"/>
        <v>0</v>
      </c>
      <c r="AC174" s="216">
        <f t="shared" si="138"/>
        <v>0.33295046726578464</v>
      </c>
      <c r="AD174" s="13"/>
      <c r="AE174" s="13"/>
      <c r="AF174" s="29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</row>
    <row r="175" spans="1:54" s="90" customFormat="1" ht="24.95" customHeight="1">
      <c r="A175" s="32" t="str">
        <f t="shared" si="135"/>
        <v>C-4103-1500-17-0-4103058-02=11</v>
      </c>
      <c r="B175" s="217" t="str">
        <f>CONCATENATE(C175,"-",D175,"-",E175,"-",F175,"-",G175,"-",H175,"-",I175)</f>
        <v>C-4103-1500-17-0-4103058-02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223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12632794125</v>
      </c>
      <c r="O175" s="222"/>
      <c r="P175" s="222"/>
      <c r="Q175" s="223"/>
      <c r="R175" s="222"/>
      <c r="S175" s="222">
        <v>9713476480</v>
      </c>
      <c r="T175" s="222">
        <f>+N175-S175+O175-P175+Q175-R175</f>
        <v>2919317645</v>
      </c>
      <c r="U175" s="222">
        <v>2919317645</v>
      </c>
      <c r="V175" s="222">
        <f t="shared" ref="V175" si="187">+T175-U175</f>
        <v>0</v>
      </c>
      <c r="W175" s="224">
        <f t="shared" si="148"/>
        <v>1</v>
      </c>
      <c r="X175" s="222">
        <v>971988174</v>
      </c>
      <c r="Y175" s="222">
        <f t="shared" ref="Y175" si="188">+U175-X175</f>
        <v>1947329471</v>
      </c>
      <c r="Z175" s="224">
        <f t="shared" si="157"/>
        <v>0.66704953273421541</v>
      </c>
      <c r="AA175" s="222">
        <v>971988174</v>
      </c>
      <c r="AB175" s="222">
        <f t="shared" ref="AB175" si="189">+X175-AA175</f>
        <v>0</v>
      </c>
      <c r="AC175" s="224">
        <f t="shared" si="138"/>
        <v>0.33295046726578464</v>
      </c>
      <c r="AD175" s="13"/>
      <c r="AE175" s="13"/>
      <c r="AF175" s="29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</row>
    <row r="176" spans="1:54" s="90" customFormat="1" ht="49.5">
      <c r="A176" s="32" t="str">
        <f t="shared" si="135"/>
        <v>C-4103-1500-17-0-4103059=11</v>
      </c>
      <c r="B176" s="210" t="str">
        <f>CONCATENATE(C176,"-",D176,"-",E176,"-",F176,"-",G176,"-",H176)</f>
        <v>C-4103-1500-17-0-4103059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225</v>
      </c>
      <c r="I176" s="212"/>
      <c r="J176" s="212"/>
      <c r="K176" s="213">
        <v>11</v>
      </c>
      <c r="L176" s="214" t="s">
        <v>29</v>
      </c>
      <c r="M176" s="210" t="s">
        <v>226</v>
      </c>
      <c r="N176" s="215">
        <f>SUM(N177:N177)</f>
        <v>1307947412</v>
      </c>
      <c r="O176" s="215">
        <f t="shared" ref="O176:V176" si="190">SUM(O177:O177)</f>
        <v>0</v>
      </c>
      <c r="P176" s="215">
        <f t="shared" si="190"/>
        <v>0</v>
      </c>
      <c r="Q176" s="215">
        <f t="shared" si="190"/>
        <v>0</v>
      </c>
      <c r="R176" s="215">
        <f t="shared" si="190"/>
        <v>0</v>
      </c>
      <c r="S176" s="215">
        <f t="shared" si="190"/>
        <v>0</v>
      </c>
      <c r="T176" s="215">
        <f t="shared" si="190"/>
        <v>1307947412</v>
      </c>
      <c r="U176" s="215">
        <f t="shared" si="190"/>
        <v>975341297</v>
      </c>
      <c r="V176" s="215">
        <f t="shared" si="190"/>
        <v>332606115</v>
      </c>
      <c r="W176" s="216">
        <f t="shared" si="148"/>
        <v>0.74570375540450251</v>
      </c>
      <c r="X176" s="215">
        <f t="shared" ref="X176:Y176" si="191">SUM(X177:X177)</f>
        <v>975341297</v>
      </c>
      <c r="Y176" s="215">
        <f t="shared" si="191"/>
        <v>0</v>
      </c>
      <c r="Z176" s="216">
        <f t="shared" si="157"/>
        <v>0</v>
      </c>
      <c r="AA176" s="215">
        <f t="shared" ref="AA176:AB176" si="192">SUM(AA177:AA177)</f>
        <v>975341297</v>
      </c>
      <c r="AB176" s="215">
        <f t="shared" si="192"/>
        <v>0</v>
      </c>
      <c r="AC176" s="216">
        <f t="shared" si="138"/>
        <v>1</v>
      </c>
      <c r="AD176" s="13"/>
      <c r="AE176" s="13"/>
      <c r="AF176" s="29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</row>
    <row r="177" spans="1:54" s="90" customFormat="1" ht="24.95" customHeight="1">
      <c r="A177" s="32" t="str">
        <f t="shared" si="135"/>
        <v>C-4103-1500-17-0-4103059-02=11</v>
      </c>
      <c r="B177" s="217" t="str">
        <f>CONCATENATE(C177,"-",D177,"-",E177,"-",F177,"-",G177,"-",H177,"-",I177)</f>
        <v>C-4103-1500-17-0-4103059-02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225</v>
      </c>
      <c r="I177" s="267" t="s">
        <v>54</v>
      </c>
      <c r="J177" s="267"/>
      <c r="K177" s="268">
        <v>11</v>
      </c>
      <c r="L177" s="269" t="s">
        <v>29</v>
      </c>
      <c r="M177" s="259" t="s">
        <v>178</v>
      </c>
      <c r="N177" s="222">
        <v>1307947412</v>
      </c>
      <c r="O177" s="222"/>
      <c r="P177" s="222"/>
      <c r="Q177" s="222"/>
      <c r="R177" s="222"/>
      <c r="S177" s="222"/>
      <c r="T177" s="222">
        <f>+N177-S177+O177-P177+Q177-R177</f>
        <v>1307947412</v>
      </c>
      <c r="U177" s="222">
        <v>975341297</v>
      </c>
      <c r="V177" s="222">
        <f t="shared" si="104"/>
        <v>332606115</v>
      </c>
      <c r="W177" s="224">
        <f t="shared" si="148"/>
        <v>0.74570375540450251</v>
      </c>
      <c r="X177" s="222">
        <v>975341297</v>
      </c>
      <c r="Y177" s="222">
        <f t="shared" si="113"/>
        <v>0</v>
      </c>
      <c r="Z177" s="224">
        <f t="shared" si="157"/>
        <v>0</v>
      </c>
      <c r="AA177" s="222">
        <v>975341297</v>
      </c>
      <c r="AB177" s="222">
        <f t="shared" si="105"/>
        <v>0</v>
      </c>
      <c r="AC177" s="224">
        <f t="shared" si="138"/>
        <v>1</v>
      </c>
      <c r="AD177" s="13"/>
      <c r="AE177" s="13"/>
      <c r="AF177" s="29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</row>
    <row r="178" spans="1:54" s="90" customFormat="1" ht="66">
      <c r="A178" s="32" t="str">
        <f t="shared" si="135"/>
        <v>C-4103-1500-18=</v>
      </c>
      <c r="B178" s="226" t="str">
        <f>CONCATENATE(C178,"-",D178,"-",E178,"-",F178)</f>
        <v>C-4103-1500-18</v>
      </c>
      <c r="C178" s="227" t="s">
        <v>167</v>
      </c>
      <c r="D178" s="228" t="s">
        <v>190</v>
      </c>
      <c r="E178" s="228" t="s">
        <v>172</v>
      </c>
      <c r="F178" s="228">
        <v>18</v>
      </c>
      <c r="G178" s="228"/>
      <c r="H178" s="228"/>
      <c r="I178" s="228"/>
      <c r="J178" s="228"/>
      <c r="K178" s="229"/>
      <c r="L178" s="230"/>
      <c r="M178" s="231" t="s">
        <v>284</v>
      </c>
      <c r="N178" s="232">
        <f>+N179</f>
        <v>70125561842</v>
      </c>
      <c r="O178" s="232">
        <f t="shared" ref="O178:AB178" si="193">+O179</f>
        <v>0</v>
      </c>
      <c r="P178" s="232">
        <f t="shared" si="193"/>
        <v>0</v>
      </c>
      <c r="Q178" s="232">
        <f t="shared" si="193"/>
        <v>0</v>
      </c>
      <c r="R178" s="232">
        <f t="shared" si="193"/>
        <v>0</v>
      </c>
      <c r="S178" s="232">
        <f t="shared" si="193"/>
        <v>60000000000</v>
      </c>
      <c r="T178" s="232">
        <f t="shared" si="193"/>
        <v>10125561842</v>
      </c>
      <c r="U178" s="232">
        <f t="shared" si="193"/>
        <v>3491967903.9200001</v>
      </c>
      <c r="V178" s="232">
        <f t="shared" si="193"/>
        <v>6633593938.0799999</v>
      </c>
      <c r="W178" s="233">
        <f t="shared" si="148"/>
        <v>0.34486658206319015</v>
      </c>
      <c r="X178" s="232">
        <f t="shared" si="193"/>
        <v>718473045.38</v>
      </c>
      <c r="Y178" s="232">
        <f t="shared" si="193"/>
        <v>2773494858.54</v>
      </c>
      <c r="Z178" s="233">
        <f t="shared" si="157"/>
        <v>0.79424981410239781</v>
      </c>
      <c r="AA178" s="232">
        <f t="shared" si="193"/>
        <v>718473045.38</v>
      </c>
      <c r="AB178" s="232">
        <f t="shared" si="193"/>
        <v>0</v>
      </c>
      <c r="AC178" s="233">
        <f t="shared" si="138"/>
        <v>0.20575018589760211</v>
      </c>
      <c r="AD178" s="13"/>
      <c r="AE178" s="13"/>
      <c r="AF178" s="29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</row>
    <row r="179" spans="1:54" s="90" customFormat="1" ht="33">
      <c r="A179" s="32" t="str">
        <f t="shared" si="135"/>
        <v>C-4103-1500-18-0-4103050=11</v>
      </c>
      <c r="B179" s="210" t="str">
        <f>CONCATENATE(C179,"-",D179,"-",E179,"-",F179,"-",G179,"-",H179)</f>
        <v>C-4103-1500-18-0-4103050</v>
      </c>
      <c r="C179" s="211" t="s">
        <v>167</v>
      </c>
      <c r="D179" s="212" t="s">
        <v>190</v>
      </c>
      <c r="E179" s="212" t="s">
        <v>172</v>
      </c>
      <c r="F179" s="212">
        <v>18</v>
      </c>
      <c r="G179" s="212" t="s">
        <v>175</v>
      </c>
      <c r="H179" s="212">
        <v>4103050</v>
      </c>
      <c r="I179" s="212"/>
      <c r="J179" s="212"/>
      <c r="K179" s="213">
        <v>11</v>
      </c>
      <c r="L179" s="214" t="s">
        <v>29</v>
      </c>
      <c r="M179" s="210" t="s">
        <v>269</v>
      </c>
      <c r="N179" s="215">
        <f>N180</f>
        <v>70125561842</v>
      </c>
      <c r="O179" s="215">
        <f t="shared" ref="O179:AB179" si="194">O180</f>
        <v>0</v>
      </c>
      <c r="P179" s="215">
        <f t="shared" si="194"/>
        <v>0</v>
      </c>
      <c r="Q179" s="215">
        <f t="shared" si="194"/>
        <v>0</v>
      </c>
      <c r="R179" s="215">
        <f t="shared" si="194"/>
        <v>0</v>
      </c>
      <c r="S179" s="215">
        <f t="shared" si="194"/>
        <v>60000000000</v>
      </c>
      <c r="T179" s="215">
        <f t="shared" si="194"/>
        <v>10125561842</v>
      </c>
      <c r="U179" s="215">
        <f t="shared" si="194"/>
        <v>3491967903.9200001</v>
      </c>
      <c r="V179" s="215">
        <f t="shared" si="194"/>
        <v>6633593938.0799999</v>
      </c>
      <c r="W179" s="216">
        <f t="shared" si="148"/>
        <v>0.34486658206319015</v>
      </c>
      <c r="X179" s="215">
        <f t="shared" si="194"/>
        <v>718473045.38</v>
      </c>
      <c r="Y179" s="215">
        <f t="shared" si="194"/>
        <v>2773494858.54</v>
      </c>
      <c r="Z179" s="216">
        <f t="shared" si="157"/>
        <v>0.79424981410239781</v>
      </c>
      <c r="AA179" s="215">
        <f t="shared" si="194"/>
        <v>718473045.38</v>
      </c>
      <c r="AB179" s="215">
        <f t="shared" si="194"/>
        <v>0</v>
      </c>
      <c r="AC179" s="216">
        <f t="shared" si="138"/>
        <v>0.20575018589760211</v>
      </c>
      <c r="AD179" s="13"/>
      <c r="AE179" s="13"/>
      <c r="AF179" s="29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</row>
    <row r="180" spans="1:54" s="90" customFormat="1" ht="24.95" customHeight="1">
      <c r="A180" s="32" t="str">
        <f t="shared" si="135"/>
        <v>C-4103-1500-18-0-4103050-02=11</v>
      </c>
      <c r="B180" s="217" t="str">
        <f>CONCATENATE(C180,"-",D180,"-",E180,"-",F180,"-",G180,"-",H180,"-",I180)</f>
        <v>C-4103-1500-18-0-4103050-02</v>
      </c>
      <c r="C180" s="266" t="s">
        <v>167</v>
      </c>
      <c r="D180" s="267" t="s">
        <v>190</v>
      </c>
      <c r="E180" s="267" t="s">
        <v>172</v>
      </c>
      <c r="F180" s="267">
        <v>18</v>
      </c>
      <c r="G180" s="267" t="s">
        <v>175</v>
      </c>
      <c r="H180" s="267">
        <v>4103050</v>
      </c>
      <c r="I180" s="267" t="s">
        <v>54</v>
      </c>
      <c r="J180" s="267"/>
      <c r="K180" s="268">
        <v>11</v>
      </c>
      <c r="L180" s="269" t="s">
        <v>29</v>
      </c>
      <c r="M180" s="259" t="s">
        <v>178</v>
      </c>
      <c r="N180" s="222">
        <v>70125561842</v>
      </c>
      <c r="O180" s="222"/>
      <c r="P180" s="222"/>
      <c r="Q180" s="222"/>
      <c r="R180" s="222"/>
      <c r="S180" s="222">
        <v>60000000000</v>
      </c>
      <c r="T180" s="222">
        <f>+N180-S180+O180-P180+Q180-R180</f>
        <v>10125561842</v>
      </c>
      <c r="U180" s="222">
        <v>3491967903.9200001</v>
      </c>
      <c r="V180" s="222">
        <f>+T180-U180</f>
        <v>6633593938.0799999</v>
      </c>
      <c r="W180" s="224">
        <f t="shared" si="148"/>
        <v>0.34486658206319015</v>
      </c>
      <c r="X180" s="222">
        <v>718473045.38</v>
      </c>
      <c r="Y180" s="222">
        <f>+U180-X180</f>
        <v>2773494858.54</v>
      </c>
      <c r="Z180" s="224">
        <f t="shared" si="157"/>
        <v>0.79424981410239781</v>
      </c>
      <c r="AA180" s="222">
        <v>718473045.38</v>
      </c>
      <c r="AB180" s="222">
        <f>+X180-AA180</f>
        <v>0</v>
      </c>
      <c r="AC180" s="224">
        <f t="shared" si="138"/>
        <v>0.20575018589760211</v>
      </c>
      <c r="AD180" s="13"/>
      <c r="AE180" s="13"/>
      <c r="AF180" s="29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</row>
    <row r="181" spans="1:54" s="90" customFormat="1" ht="33">
      <c r="A181" s="32" t="str">
        <f t="shared" si="135"/>
        <v>C-4103-1500-19=</v>
      </c>
      <c r="B181" s="226" t="str">
        <f>CONCATENATE(C181,"-",D181,"-",E181,"-",F181)</f>
        <v>C-4103-1500-19</v>
      </c>
      <c r="C181" s="227" t="s">
        <v>167</v>
      </c>
      <c r="D181" s="228" t="s">
        <v>190</v>
      </c>
      <c r="E181" s="228" t="s">
        <v>172</v>
      </c>
      <c r="F181" s="228">
        <v>19</v>
      </c>
      <c r="G181" s="228"/>
      <c r="H181" s="228"/>
      <c r="I181" s="228"/>
      <c r="J181" s="228"/>
      <c r="K181" s="229"/>
      <c r="L181" s="230"/>
      <c r="M181" s="231" t="s">
        <v>285</v>
      </c>
      <c r="N181" s="232">
        <f>+N182+N184+N186</f>
        <v>11281479935</v>
      </c>
      <c r="O181" s="232">
        <f t="shared" ref="O181:V181" si="195">+O182+O184+O186</f>
        <v>0</v>
      </c>
      <c r="P181" s="232">
        <f t="shared" si="195"/>
        <v>0</v>
      </c>
      <c r="Q181" s="232">
        <f t="shared" si="195"/>
        <v>0</v>
      </c>
      <c r="R181" s="232">
        <f t="shared" si="195"/>
        <v>0</v>
      </c>
      <c r="S181" s="232">
        <f t="shared" si="195"/>
        <v>0</v>
      </c>
      <c r="T181" s="232">
        <f t="shared" si="195"/>
        <v>11281479935</v>
      </c>
      <c r="U181" s="232">
        <f t="shared" si="195"/>
        <v>4680348084.0500002</v>
      </c>
      <c r="V181" s="232">
        <f t="shared" si="195"/>
        <v>6601131850.9499998</v>
      </c>
      <c r="W181" s="233">
        <f t="shared" si="148"/>
        <v>0.4148700446232722</v>
      </c>
      <c r="X181" s="232">
        <f t="shared" ref="X181:AB181" si="196">+X182+X184+X186</f>
        <v>377333626</v>
      </c>
      <c r="Y181" s="232">
        <f t="shared" si="196"/>
        <v>4303014458.0500002</v>
      </c>
      <c r="Z181" s="233">
        <f t="shared" si="157"/>
        <v>0.91937915316899133</v>
      </c>
      <c r="AA181" s="232">
        <f t="shared" si="196"/>
        <v>377333626</v>
      </c>
      <c r="AB181" s="232">
        <f t="shared" si="196"/>
        <v>0</v>
      </c>
      <c r="AC181" s="233">
        <f t="shared" si="138"/>
        <v>8.0620846831008675E-2</v>
      </c>
      <c r="AD181" s="13"/>
      <c r="AE181" s="13"/>
      <c r="AF181" s="29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</row>
    <row r="182" spans="1:54" s="90" customFormat="1" ht="49.5">
      <c r="A182" s="32" t="str">
        <f t="shared" si="135"/>
        <v>C-4103-1500-19-0-4103049=11</v>
      </c>
      <c r="B182" s="210" t="str">
        <f>CONCATENATE(C182,"-",D182,"-",E182,"-",F182,"-",G182,"-",H182)</f>
        <v>C-4103-1500-19-0-4103049</v>
      </c>
      <c r="C182" s="211" t="s">
        <v>167</v>
      </c>
      <c r="D182" s="212" t="s">
        <v>190</v>
      </c>
      <c r="E182" s="212" t="s">
        <v>172</v>
      </c>
      <c r="F182" s="212">
        <v>19</v>
      </c>
      <c r="G182" s="212" t="s">
        <v>175</v>
      </c>
      <c r="H182" s="212">
        <v>4103049</v>
      </c>
      <c r="I182" s="212"/>
      <c r="J182" s="212"/>
      <c r="K182" s="213">
        <v>11</v>
      </c>
      <c r="L182" s="214" t="s">
        <v>29</v>
      </c>
      <c r="M182" s="210" t="s">
        <v>228</v>
      </c>
      <c r="N182" s="215">
        <f>N183</f>
        <v>218772000</v>
      </c>
      <c r="O182" s="215">
        <f t="shared" ref="O182:AB186" si="197">O183</f>
        <v>0</v>
      </c>
      <c r="P182" s="215">
        <f t="shared" si="197"/>
        <v>0</v>
      </c>
      <c r="Q182" s="215">
        <f t="shared" si="197"/>
        <v>0</v>
      </c>
      <c r="R182" s="215">
        <f t="shared" si="197"/>
        <v>0</v>
      </c>
      <c r="S182" s="215">
        <f t="shared" si="197"/>
        <v>0</v>
      </c>
      <c r="T182" s="215">
        <f t="shared" si="197"/>
        <v>218772000</v>
      </c>
      <c r="U182" s="215">
        <f t="shared" si="197"/>
        <v>196677224</v>
      </c>
      <c r="V182" s="215">
        <f t="shared" si="197"/>
        <v>22094776</v>
      </c>
      <c r="W182" s="216">
        <f t="shared" si="148"/>
        <v>0.8990054668787596</v>
      </c>
      <c r="X182" s="215">
        <f t="shared" si="197"/>
        <v>21820097</v>
      </c>
      <c r="Y182" s="215">
        <f t="shared" si="197"/>
        <v>174857127</v>
      </c>
      <c r="Z182" s="216">
        <f t="shared" si="157"/>
        <v>0.88905630984500783</v>
      </c>
      <c r="AA182" s="215">
        <f t="shared" si="197"/>
        <v>21820097</v>
      </c>
      <c r="AB182" s="215">
        <f t="shared" si="197"/>
        <v>0</v>
      </c>
      <c r="AC182" s="216">
        <f t="shared" si="138"/>
        <v>0.11094369015499222</v>
      </c>
      <c r="AD182" s="13"/>
      <c r="AE182" s="13"/>
      <c r="AF182" s="29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</row>
    <row r="183" spans="1:54" s="90" customFormat="1" ht="24.95" customHeight="1">
      <c r="A183" s="32" t="str">
        <f t="shared" si="135"/>
        <v>C-4103-1500-19-0-4103049-02=11</v>
      </c>
      <c r="B183" s="217" t="str">
        <f>CONCATENATE(C183,"-",D183,"-",E183,"-",F183,"-",G183,"-",H183,"-",I183)</f>
        <v>C-4103-1500-19-0-4103049-02</v>
      </c>
      <c r="C183" s="266" t="s">
        <v>167</v>
      </c>
      <c r="D183" s="267" t="s">
        <v>190</v>
      </c>
      <c r="E183" s="267" t="s">
        <v>172</v>
      </c>
      <c r="F183" s="267">
        <v>19</v>
      </c>
      <c r="G183" s="267" t="s">
        <v>175</v>
      </c>
      <c r="H183" s="267">
        <v>4103049</v>
      </c>
      <c r="I183" s="267" t="s">
        <v>54</v>
      </c>
      <c r="J183" s="267"/>
      <c r="K183" s="268">
        <v>11</v>
      </c>
      <c r="L183" s="269" t="s">
        <v>29</v>
      </c>
      <c r="M183" s="259" t="s">
        <v>178</v>
      </c>
      <c r="N183" s="222">
        <v>218772000</v>
      </c>
      <c r="O183" s="222"/>
      <c r="P183" s="222"/>
      <c r="Q183" s="222"/>
      <c r="R183" s="222"/>
      <c r="S183" s="222"/>
      <c r="T183" s="222">
        <f>+N183-S183+O183-P183+Q183-R183</f>
        <v>218772000</v>
      </c>
      <c r="U183" s="222">
        <v>196677224</v>
      </c>
      <c r="V183" s="222">
        <f>+T183-U183</f>
        <v>22094776</v>
      </c>
      <c r="W183" s="224">
        <f t="shared" si="148"/>
        <v>0.8990054668787596</v>
      </c>
      <c r="X183" s="222">
        <v>21820097</v>
      </c>
      <c r="Y183" s="222">
        <f>+U183-X183</f>
        <v>174857127</v>
      </c>
      <c r="Z183" s="224">
        <f t="shared" si="157"/>
        <v>0.88905630984500783</v>
      </c>
      <c r="AA183" s="222">
        <v>21820097</v>
      </c>
      <c r="AB183" s="222">
        <f>+X183-AA183</f>
        <v>0</v>
      </c>
      <c r="AC183" s="224">
        <f t="shared" si="138"/>
        <v>0.11094369015499222</v>
      </c>
      <c r="AD183" s="13"/>
      <c r="AE183" s="13"/>
      <c r="AF183" s="29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</row>
    <row r="184" spans="1:54" s="90" customFormat="1" ht="34.5" customHeight="1">
      <c r="A184" s="32" t="str">
        <f t="shared" si="135"/>
        <v>C-4103-1500-19-0-4103052=11</v>
      </c>
      <c r="B184" s="210" t="str">
        <f>CONCATENATE(C184,"-",D184,"-",E184,"-",F184,"-",G184,"-",H184)</f>
        <v>C-4103-1500-19-0-4103052</v>
      </c>
      <c r="C184" s="211" t="s">
        <v>167</v>
      </c>
      <c r="D184" s="212" t="s">
        <v>190</v>
      </c>
      <c r="E184" s="212" t="s">
        <v>172</v>
      </c>
      <c r="F184" s="212">
        <v>19</v>
      </c>
      <c r="G184" s="212" t="s">
        <v>175</v>
      </c>
      <c r="H184" s="212">
        <v>4103052</v>
      </c>
      <c r="I184" s="212"/>
      <c r="J184" s="212"/>
      <c r="K184" s="213">
        <v>11</v>
      </c>
      <c r="L184" s="214" t="s">
        <v>29</v>
      </c>
      <c r="M184" s="210" t="s">
        <v>229</v>
      </c>
      <c r="N184" s="215">
        <f>N185</f>
        <v>9835707936</v>
      </c>
      <c r="O184" s="215">
        <f t="shared" si="197"/>
        <v>0</v>
      </c>
      <c r="P184" s="215">
        <f t="shared" si="197"/>
        <v>0</v>
      </c>
      <c r="Q184" s="215">
        <f t="shared" si="197"/>
        <v>0</v>
      </c>
      <c r="R184" s="215">
        <f t="shared" si="197"/>
        <v>0</v>
      </c>
      <c r="S184" s="215">
        <f t="shared" si="197"/>
        <v>0</v>
      </c>
      <c r="T184" s="215">
        <f t="shared" si="197"/>
        <v>9835707936</v>
      </c>
      <c r="U184" s="215">
        <f t="shared" si="197"/>
        <v>4483670860.0500002</v>
      </c>
      <c r="V184" s="215">
        <f t="shared" si="197"/>
        <v>5352037075.9499998</v>
      </c>
      <c r="W184" s="216">
        <f t="shared" si="148"/>
        <v>0.45585644563917643</v>
      </c>
      <c r="X184" s="215">
        <f t="shared" si="197"/>
        <v>355513529</v>
      </c>
      <c r="Y184" s="215">
        <f t="shared" si="197"/>
        <v>4128157331.0500002</v>
      </c>
      <c r="Z184" s="216">
        <f t="shared" si="157"/>
        <v>0.9207092714660069</v>
      </c>
      <c r="AA184" s="215">
        <f t="shared" si="197"/>
        <v>355513529</v>
      </c>
      <c r="AB184" s="215">
        <f t="shared" si="197"/>
        <v>0</v>
      </c>
      <c r="AC184" s="216">
        <f t="shared" si="138"/>
        <v>7.9290728533993118E-2</v>
      </c>
      <c r="AD184" s="13"/>
      <c r="AE184" s="13"/>
      <c r="AF184" s="29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</row>
    <row r="185" spans="1:54" s="90" customFormat="1" ht="24.95" customHeight="1">
      <c r="A185" s="32" t="str">
        <f t="shared" si="135"/>
        <v>C-4103-1500-19-0-4103052-02=11</v>
      </c>
      <c r="B185" s="217" t="str">
        <f>CONCATENATE(C185,"-",D185,"-",E185,"-",F185,"-",G185,"-",H185,"-",I185)</f>
        <v>C-4103-1500-19-0-4103052-02</v>
      </c>
      <c r="C185" s="266" t="s">
        <v>167</v>
      </c>
      <c r="D185" s="267" t="s">
        <v>190</v>
      </c>
      <c r="E185" s="267" t="s">
        <v>172</v>
      </c>
      <c r="F185" s="267">
        <v>19</v>
      </c>
      <c r="G185" s="267" t="s">
        <v>175</v>
      </c>
      <c r="H185" s="267">
        <v>4103052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>
        <v>9835707936</v>
      </c>
      <c r="O185" s="222"/>
      <c r="P185" s="222"/>
      <c r="Q185" s="222"/>
      <c r="R185" s="222"/>
      <c r="S185" s="222"/>
      <c r="T185" s="222">
        <f>+N185-S185+O185-P185+Q185-R185</f>
        <v>9835707936</v>
      </c>
      <c r="U185" s="222">
        <v>4483670860.0500002</v>
      </c>
      <c r="V185" s="222">
        <f>+T185-U185</f>
        <v>5352037075.9499998</v>
      </c>
      <c r="W185" s="224">
        <f t="shared" si="148"/>
        <v>0.45585644563917643</v>
      </c>
      <c r="X185" s="222">
        <v>355513529</v>
      </c>
      <c r="Y185" s="222">
        <f>+U185-X185</f>
        <v>4128157331.0500002</v>
      </c>
      <c r="Z185" s="224">
        <f t="shared" si="157"/>
        <v>0.9207092714660069</v>
      </c>
      <c r="AA185" s="222">
        <v>355513529</v>
      </c>
      <c r="AB185" s="222">
        <f>+X185-AA185</f>
        <v>0</v>
      </c>
      <c r="AC185" s="224">
        <f t="shared" si="138"/>
        <v>7.9290728533993118E-2</v>
      </c>
      <c r="AD185" s="13"/>
      <c r="AE185" s="13"/>
      <c r="AF185" s="29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</row>
    <row r="186" spans="1:54" s="90" customFormat="1" ht="24.95" customHeight="1">
      <c r="A186" s="32" t="str">
        <f t="shared" si="135"/>
        <v>C-4103-1500-19-0-4103060=11</v>
      </c>
      <c r="B186" s="210" t="str">
        <f>CONCATENATE(C186,"-",D186,"-",E186,"-",F186,"-",G186,"-",H186)</f>
        <v>C-4103-1500-19-0-4103060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4103060</v>
      </c>
      <c r="I186" s="212"/>
      <c r="J186" s="212"/>
      <c r="K186" s="213">
        <v>11</v>
      </c>
      <c r="L186" s="214" t="s">
        <v>29</v>
      </c>
      <c r="M186" s="210" t="s">
        <v>216</v>
      </c>
      <c r="N186" s="215">
        <f>N187</f>
        <v>1226999999</v>
      </c>
      <c r="O186" s="215">
        <f t="shared" si="197"/>
        <v>0</v>
      </c>
      <c r="P186" s="215">
        <f t="shared" si="197"/>
        <v>0</v>
      </c>
      <c r="Q186" s="215">
        <f t="shared" si="197"/>
        <v>0</v>
      </c>
      <c r="R186" s="215">
        <f t="shared" si="197"/>
        <v>0</v>
      </c>
      <c r="S186" s="215">
        <f t="shared" si="197"/>
        <v>0</v>
      </c>
      <c r="T186" s="215">
        <f t="shared" si="197"/>
        <v>1226999999</v>
      </c>
      <c r="U186" s="215">
        <f t="shared" si="197"/>
        <v>0</v>
      </c>
      <c r="V186" s="215">
        <f t="shared" si="197"/>
        <v>1226999999</v>
      </c>
      <c r="W186" s="216">
        <f t="shared" si="148"/>
        <v>0</v>
      </c>
      <c r="X186" s="215">
        <f t="shared" si="197"/>
        <v>0</v>
      </c>
      <c r="Y186" s="215">
        <f t="shared" si="197"/>
        <v>0</v>
      </c>
      <c r="Z186" s="216">
        <f t="shared" si="157"/>
        <v>0</v>
      </c>
      <c r="AA186" s="215">
        <f t="shared" si="197"/>
        <v>0</v>
      </c>
      <c r="AB186" s="215">
        <f t="shared" si="197"/>
        <v>0</v>
      </c>
      <c r="AC186" s="216">
        <f t="shared" si="138"/>
        <v>0</v>
      </c>
      <c r="AD186" s="13"/>
      <c r="AE186" s="13"/>
      <c r="AF186" s="29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</row>
    <row r="187" spans="1:54" s="90" customFormat="1" ht="24.95" customHeight="1">
      <c r="A187" s="32" t="str">
        <f t="shared" si="135"/>
        <v>C-4103-1500-19-0-4103060-02=11</v>
      </c>
      <c r="B187" s="217" t="str">
        <f>CONCATENATE(C187,"-",D187,"-",E187,"-",F187,"-",G187,"-",H187,"-",I187)</f>
        <v>C-4103-1500-19-0-4103060-02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4103060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1226999999</v>
      </c>
      <c r="O187" s="222"/>
      <c r="P187" s="222"/>
      <c r="Q187" s="222"/>
      <c r="R187" s="222"/>
      <c r="S187" s="222"/>
      <c r="T187" s="222">
        <f>+N187-S187+O187-P187+Q187-R187</f>
        <v>1226999999</v>
      </c>
      <c r="U187" s="222">
        <v>0</v>
      </c>
      <c r="V187" s="222">
        <f>+T187-U187</f>
        <v>1226999999</v>
      </c>
      <c r="W187" s="224">
        <f t="shared" si="148"/>
        <v>0</v>
      </c>
      <c r="X187" s="222">
        <v>0</v>
      </c>
      <c r="Y187" s="222">
        <f>+U187-X187</f>
        <v>0</v>
      </c>
      <c r="Z187" s="224">
        <f t="shared" si="157"/>
        <v>0</v>
      </c>
      <c r="AA187" s="222">
        <v>0</v>
      </c>
      <c r="AB187" s="222">
        <f>+X187-AA187</f>
        <v>0</v>
      </c>
      <c r="AC187" s="224">
        <f t="shared" si="138"/>
        <v>0</v>
      </c>
      <c r="AD187" s="13"/>
      <c r="AE187" s="13"/>
      <c r="AF187" s="29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</row>
    <row r="188" spans="1:54" s="90" customFormat="1" ht="49.5">
      <c r="A188" s="32" t="str">
        <f t="shared" si="135"/>
        <v>C-4103-1500-20=</v>
      </c>
      <c r="B188" s="226" t="str">
        <f>CONCATENATE(C188,"-",D188,"-",E188,"-",F188)</f>
        <v>C-4103-1500-20</v>
      </c>
      <c r="C188" s="227" t="s">
        <v>167</v>
      </c>
      <c r="D188" s="228" t="s">
        <v>190</v>
      </c>
      <c r="E188" s="228" t="s">
        <v>172</v>
      </c>
      <c r="F188" s="228">
        <v>20</v>
      </c>
      <c r="G188" s="228"/>
      <c r="H188" s="228"/>
      <c r="I188" s="228"/>
      <c r="J188" s="228"/>
      <c r="K188" s="229"/>
      <c r="L188" s="230"/>
      <c r="M188" s="231" t="s">
        <v>741</v>
      </c>
      <c r="N188" s="232">
        <f t="shared" ref="N188:V188" si="198">+N189</f>
        <v>0</v>
      </c>
      <c r="O188" s="232">
        <f t="shared" si="198"/>
        <v>0</v>
      </c>
      <c r="P188" s="232">
        <f t="shared" si="198"/>
        <v>0</v>
      </c>
      <c r="Q188" s="232">
        <f t="shared" si="198"/>
        <v>285960800000</v>
      </c>
      <c r="R188" s="232">
        <f t="shared" si="198"/>
        <v>5960800000</v>
      </c>
      <c r="S188" s="232">
        <f t="shared" si="198"/>
        <v>0</v>
      </c>
      <c r="T188" s="232">
        <f t="shared" si="198"/>
        <v>280000000000</v>
      </c>
      <c r="U188" s="232">
        <f t="shared" si="198"/>
        <v>65646000000</v>
      </c>
      <c r="V188" s="232">
        <f t="shared" si="198"/>
        <v>214354000000</v>
      </c>
      <c r="W188" s="233">
        <f t="shared" si="148"/>
        <v>0.23444999999999999</v>
      </c>
      <c r="X188" s="232">
        <f>+X189</f>
        <v>52500000000</v>
      </c>
      <c r="Y188" s="232">
        <f>+Y189</f>
        <v>13146000000</v>
      </c>
      <c r="Z188" s="233">
        <f t="shared" si="157"/>
        <v>0.20025591810620602</v>
      </c>
      <c r="AA188" s="232">
        <f>+AA189</f>
        <v>52500000000</v>
      </c>
      <c r="AB188" s="232">
        <f>+AB189</f>
        <v>0</v>
      </c>
      <c r="AC188" s="233">
        <f t="shared" si="138"/>
        <v>0.79974408189379398</v>
      </c>
      <c r="AD188" s="13"/>
      <c r="AE188" s="13"/>
      <c r="AF188" s="29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</row>
    <row r="189" spans="1:54" s="90" customFormat="1" ht="33">
      <c r="A189" s="32" t="str">
        <f t="shared" si="135"/>
        <v>C-4103-1500-20-0-4103061=11</v>
      </c>
      <c r="B189" s="210" t="str">
        <f>CONCATENATE(C189,"-",D189,"-",E189,"-",F189,"-",G189,"-",H189)</f>
        <v>C-4103-1500-20-0-4103061</v>
      </c>
      <c r="C189" s="211" t="s">
        <v>167</v>
      </c>
      <c r="D189" s="212" t="s">
        <v>190</v>
      </c>
      <c r="E189" s="212" t="s">
        <v>172</v>
      </c>
      <c r="F189" s="212">
        <v>20</v>
      </c>
      <c r="G189" s="212" t="s">
        <v>175</v>
      </c>
      <c r="H189" s="212">
        <v>4103061</v>
      </c>
      <c r="I189" s="212"/>
      <c r="J189" s="212"/>
      <c r="K189" s="213">
        <v>11</v>
      </c>
      <c r="L189" s="214" t="s">
        <v>29</v>
      </c>
      <c r="M189" s="210" t="s">
        <v>231</v>
      </c>
      <c r="N189" s="215">
        <f t="shared" ref="N189:V189" si="199">N190+N191</f>
        <v>0</v>
      </c>
      <c r="O189" s="215">
        <f t="shared" si="199"/>
        <v>0</v>
      </c>
      <c r="P189" s="215">
        <f t="shared" si="199"/>
        <v>0</v>
      </c>
      <c r="Q189" s="215">
        <f t="shared" si="199"/>
        <v>285960800000</v>
      </c>
      <c r="R189" s="215">
        <f t="shared" si="199"/>
        <v>5960800000</v>
      </c>
      <c r="S189" s="215">
        <f t="shared" si="199"/>
        <v>0</v>
      </c>
      <c r="T189" s="215">
        <f t="shared" si="199"/>
        <v>280000000000</v>
      </c>
      <c r="U189" s="215">
        <f t="shared" si="199"/>
        <v>65646000000</v>
      </c>
      <c r="V189" s="215">
        <f t="shared" si="199"/>
        <v>214354000000</v>
      </c>
      <c r="W189" s="216">
        <f t="shared" si="148"/>
        <v>0.23444999999999999</v>
      </c>
      <c r="X189" s="215">
        <f>X190+X191</f>
        <v>52500000000</v>
      </c>
      <c r="Y189" s="215">
        <f>Y190+Y191</f>
        <v>13146000000</v>
      </c>
      <c r="Z189" s="216">
        <f t="shared" si="157"/>
        <v>0.20025591810620602</v>
      </c>
      <c r="AA189" s="215">
        <f>AA190+AA191</f>
        <v>52500000000</v>
      </c>
      <c r="AB189" s="215">
        <f>AB190+AB191</f>
        <v>0</v>
      </c>
      <c r="AC189" s="216">
        <f t="shared" si="138"/>
        <v>0.79974408189379398</v>
      </c>
      <c r="AD189" s="13"/>
      <c r="AE189" s="13"/>
      <c r="AF189" s="29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</row>
    <row r="190" spans="1:54" ht="24.95" customHeight="1">
      <c r="A190" s="32" t="str">
        <f t="shared" si="135"/>
        <v>C-4103-1500-20-0-4103061-02=11</v>
      </c>
      <c r="B190" s="217" t="str">
        <f>CONCATENATE(C190,"-",D190,"-",E190,"-",F190,"-",G190,"-",H190,"-",I190)</f>
        <v>C-4103-1500-20-0-4103061-02</v>
      </c>
      <c r="C190" s="218" t="s">
        <v>167</v>
      </c>
      <c r="D190" s="267" t="s">
        <v>190</v>
      </c>
      <c r="E190" s="219" t="s">
        <v>172</v>
      </c>
      <c r="F190" s="219">
        <v>20</v>
      </c>
      <c r="G190" s="219" t="s">
        <v>175</v>
      </c>
      <c r="H190" s="219">
        <v>4103061</v>
      </c>
      <c r="I190" s="219" t="s">
        <v>54</v>
      </c>
      <c r="J190" s="219"/>
      <c r="K190" s="220" t="s">
        <v>144</v>
      </c>
      <c r="L190" s="221" t="s">
        <v>29</v>
      </c>
      <c r="M190" s="259" t="s">
        <v>178</v>
      </c>
      <c r="N190" s="222">
        <v>0</v>
      </c>
      <c r="O190" s="222"/>
      <c r="P190" s="222"/>
      <c r="Q190" s="222">
        <f>19919000000+5960800000</f>
        <v>25879800000</v>
      </c>
      <c r="R190" s="222"/>
      <c r="S190" s="222"/>
      <c r="T190" s="222">
        <f>+N190-S190+O190-P190+Q190-R190</f>
        <v>25879800000</v>
      </c>
      <c r="U190" s="222">
        <v>13146000000</v>
      </c>
      <c r="V190" s="222">
        <f t="shared" ref="V190:V191" si="200">+T190-U190</f>
        <v>12733800000</v>
      </c>
      <c r="W190" s="224">
        <f t="shared" si="148"/>
        <v>0.50796374005981504</v>
      </c>
      <c r="X190" s="222">
        <v>0</v>
      </c>
      <c r="Y190" s="222">
        <f t="shared" ref="Y190:Y191" si="201">+U190-X190</f>
        <v>13146000000</v>
      </c>
      <c r="Z190" s="224">
        <f t="shared" si="157"/>
        <v>1</v>
      </c>
      <c r="AA190" s="222">
        <v>0</v>
      </c>
      <c r="AB190" s="222">
        <f t="shared" ref="AB190:AB191" si="202">+X190-AA190</f>
        <v>0</v>
      </c>
      <c r="AC190" s="224">
        <f t="shared" si="138"/>
        <v>0</v>
      </c>
      <c r="AE190" s="13"/>
      <c r="AF190" s="293"/>
    </row>
    <row r="191" spans="1:54" ht="24.95" customHeight="1">
      <c r="A191" s="32" t="str">
        <f t="shared" si="135"/>
        <v>C-4103-1500-20-0-4103061-03=11</v>
      </c>
      <c r="B191" s="217" t="str">
        <f>CONCATENATE(C191,"-",D191,"-",E191,"-",F191,"-",G191,"-",H191,"-",I191)</f>
        <v>C-4103-1500-20-0-4103061-03</v>
      </c>
      <c r="C191" s="218" t="s">
        <v>167</v>
      </c>
      <c r="D191" s="267" t="s">
        <v>190</v>
      </c>
      <c r="E191" s="219" t="s">
        <v>172</v>
      </c>
      <c r="F191" s="219">
        <v>20</v>
      </c>
      <c r="G191" s="219" t="s">
        <v>175</v>
      </c>
      <c r="H191" s="219">
        <v>4103061</v>
      </c>
      <c r="I191" s="225" t="s">
        <v>65</v>
      </c>
      <c r="J191" s="219"/>
      <c r="K191" s="220" t="s">
        <v>144</v>
      </c>
      <c r="L191" s="221" t="s">
        <v>29</v>
      </c>
      <c r="M191" s="259" t="s">
        <v>127</v>
      </c>
      <c r="N191" s="222">
        <v>0</v>
      </c>
      <c r="O191" s="222"/>
      <c r="P191" s="222"/>
      <c r="Q191" s="222">
        <v>260081000000</v>
      </c>
      <c r="R191" s="222">
        <v>5960800000</v>
      </c>
      <c r="S191" s="222"/>
      <c r="T191" s="222">
        <f>+N191-S191+O191-P191+Q191-R191</f>
        <v>254120200000</v>
      </c>
      <c r="U191" s="222">
        <v>52500000000</v>
      </c>
      <c r="V191" s="222">
        <f t="shared" si="200"/>
        <v>201620200000</v>
      </c>
      <c r="W191" s="224">
        <f t="shared" si="148"/>
        <v>0.20659514670616502</v>
      </c>
      <c r="X191" s="222">
        <v>52500000000</v>
      </c>
      <c r="Y191" s="222">
        <f t="shared" si="201"/>
        <v>0</v>
      </c>
      <c r="Z191" s="224">
        <f t="shared" si="157"/>
        <v>0</v>
      </c>
      <c r="AA191" s="222">
        <v>52500000000</v>
      </c>
      <c r="AB191" s="222">
        <f t="shared" si="202"/>
        <v>0</v>
      </c>
      <c r="AC191" s="224">
        <f t="shared" si="138"/>
        <v>1</v>
      </c>
      <c r="AE191" s="13"/>
      <c r="AF191" s="293"/>
    </row>
    <row r="192" spans="1:54" s="90" customFormat="1" ht="35.1" customHeight="1">
      <c r="A192" s="32" t="str">
        <f t="shared" si="135"/>
        <v>C-4199=</v>
      </c>
      <c r="B192" s="188" t="str">
        <f>CONCATENATE(C192,"-",D192)</f>
        <v>C-4199</v>
      </c>
      <c r="C192" s="189" t="s">
        <v>167</v>
      </c>
      <c r="D192" s="191">
        <v>4199</v>
      </c>
      <c r="E192" s="191"/>
      <c r="F192" s="191"/>
      <c r="G192" s="191"/>
      <c r="H192" s="191"/>
      <c r="I192" s="191"/>
      <c r="J192" s="191"/>
      <c r="K192" s="192"/>
      <c r="L192" s="193"/>
      <c r="M192" s="188" t="s">
        <v>250</v>
      </c>
      <c r="N192" s="194">
        <f>+N193</f>
        <v>3226548466</v>
      </c>
      <c r="O192" s="194">
        <f t="shared" ref="O192:AB195" si="203">+O193</f>
        <v>0</v>
      </c>
      <c r="P192" s="194">
        <f t="shared" si="203"/>
        <v>0</v>
      </c>
      <c r="Q192" s="194">
        <f t="shared" si="203"/>
        <v>0</v>
      </c>
      <c r="R192" s="194">
        <f t="shared" si="203"/>
        <v>0</v>
      </c>
      <c r="S192" s="194">
        <f t="shared" si="203"/>
        <v>0</v>
      </c>
      <c r="T192" s="194">
        <f t="shared" si="203"/>
        <v>3226548466</v>
      </c>
      <c r="U192" s="194">
        <f t="shared" si="203"/>
        <v>2018008934.1300001</v>
      </c>
      <c r="V192" s="194">
        <f t="shared" si="203"/>
        <v>1208539531.8699999</v>
      </c>
      <c r="W192" s="195">
        <f t="shared" si="148"/>
        <v>0.62543890333429752</v>
      </c>
      <c r="X192" s="194">
        <f t="shared" si="203"/>
        <v>1421220009</v>
      </c>
      <c r="Y192" s="194">
        <f t="shared" si="203"/>
        <v>596788925.13000011</v>
      </c>
      <c r="Z192" s="195">
        <f t="shared" si="157"/>
        <v>0.2957315574954511</v>
      </c>
      <c r="AA192" s="194">
        <f t="shared" si="203"/>
        <v>1421220009</v>
      </c>
      <c r="AB192" s="194">
        <f t="shared" si="203"/>
        <v>0</v>
      </c>
      <c r="AC192" s="195">
        <f t="shared" si="138"/>
        <v>0.7042684425045489</v>
      </c>
      <c r="AD192" s="13"/>
      <c r="AE192" s="13"/>
      <c r="AF192" s="29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</row>
    <row r="193" spans="1:54" s="90" customFormat="1" ht="24.95" customHeight="1">
      <c r="A193" s="32" t="str">
        <f t="shared" si="135"/>
        <v>C-4199-1500=</v>
      </c>
      <c r="B193" s="196" t="str">
        <f>CONCATENATE(C193,"-",D193,"-",E193)</f>
        <v>C-4199-1500</v>
      </c>
      <c r="C193" s="197" t="s">
        <v>167</v>
      </c>
      <c r="D193" s="198">
        <v>4199</v>
      </c>
      <c r="E193" s="198">
        <v>1500</v>
      </c>
      <c r="F193" s="198"/>
      <c r="G193" s="198"/>
      <c r="H193" s="198"/>
      <c r="I193" s="198"/>
      <c r="J193" s="198"/>
      <c r="K193" s="199"/>
      <c r="L193" s="200"/>
      <c r="M193" s="196" t="s">
        <v>170</v>
      </c>
      <c r="N193" s="201">
        <f>+N194</f>
        <v>3226548466</v>
      </c>
      <c r="O193" s="201">
        <f t="shared" si="203"/>
        <v>0</v>
      </c>
      <c r="P193" s="201">
        <f t="shared" si="203"/>
        <v>0</v>
      </c>
      <c r="Q193" s="201">
        <f t="shared" si="203"/>
        <v>0</v>
      </c>
      <c r="R193" s="201">
        <f t="shared" si="203"/>
        <v>0</v>
      </c>
      <c r="S193" s="201">
        <f t="shared" si="203"/>
        <v>0</v>
      </c>
      <c r="T193" s="201">
        <f t="shared" si="203"/>
        <v>3226548466</v>
      </c>
      <c r="U193" s="201">
        <f t="shared" si="203"/>
        <v>2018008934.1300001</v>
      </c>
      <c r="V193" s="201">
        <f t="shared" si="203"/>
        <v>1208539531.8699999</v>
      </c>
      <c r="W193" s="202">
        <f t="shared" si="148"/>
        <v>0.62543890333429752</v>
      </c>
      <c r="X193" s="201">
        <f t="shared" si="203"/>
        <v>1421220009</v>
      </c>
      <c r="Y193" s="201">
        <f t="shared" si="203"/>
        <v>596788925.13000011</v>
      </c>
      <c r="Z193" s="202">
        <f t="shared" si="157"/>
        <v>0.2957315574954511</v>
      </c>
      <c r="AA193" s="201">
        <f t="shared" si="203"/>
        <v>1421220009</v>
      </c>
      <c r="AB193" s="201">
        <f t="shared" si="203"/>
        <v>0</v>
      </c>
      <c r="AC193" s="202">
        <f t="shared" si="138"/>
        <v>0.7042684425045489</v>
      </c>
      <c r="AD193" s="13"/>
      <c r="AE193" s="13"/>
      <c r="AF193" s="29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</row>
    <row r="194" spans="1:54" s="90" customFormat="1" ht="49.5">
      <c r="A194" s="32" t="str">
        <f t="shared" si="135"/>
        <v>C-4199-1500-2=</v>
      </c>
      <c r="B194" s="203" t="str">
        <f>CONCATENATE(C194,"-",D194,"-",E194,"-",F194)</f>
        <v>C-4199-1500-2</v>
      </c>
      <c r="C194" s="227" t="s">
        <v>167</v>
      </c>
      <c r="D194" s="228" t="s">
        <v>251</v>
      </c>
      <c r="E194" s="228" t="s">
        <v>172</v>
      </c>
      <c r="F194" s="228" t="s">
        <v>252</v>
      </c>
      <c r="G194" s="228"/>
      <c r="H194" s="228"/>
      <c r="I194" s="228"/>
      <c r="J194" s="228"/>
      <c r="K194" s="229"/>
      <c r="L194" s="230"/>
      <c r="M194" s="231" t="s">
        <v>287</v>
      </c>
      <c r="N194" s="232">
        <f>+N195</f>
        <v>3226548466</v>
      </c>
      <c r="O194" s="232">
        <f t="shared" si="203"/>
        <v>0</v>
      </c>
      <c r="P194" s="232">
        <f t="shared" si="203"/>
        <v>0</v>
      </c>
      <c r="Q194" s="232">
        <f t="shared" si="203"/>
        <v>0</v>
      </c>
      <c r="R194" s="232">
        <f t="shared" si="203"/>
        <v>0</v>
      </c>
      <c r="S194" s="232">
        <f t="shared" si="203"/>
        <v>0</v>
      </c>
      <c r="T194" s="232">
        <f t="shared" si="203"/>
        <v>3226548466</v>
      </c>
      <c r="U194" s="232">
        <f t="shared" si="203"/>
        <v>2018008934.1300001</v>
      </c>
      <c r="V194" s="232">
        <f t="shared" si="203"/>
        <v>1208539531.8699999</v>
      </c>
      <c r="W194" s="233">
        <f t="shared" si="148"/>
        <v>0.62543890333429752</v>
      </c>
      <c r="X194" s="232">
        <f t="shared" si="203"/>
        <v>1421220009</v>
      </c>
      <c r="Y194" s="232">
        <f t="shared" si="203"/>
        <v>596788925.13000011</v>
      </c>
      <c r="Z194" s="233">
        <f t="shared" si="157"/>
        <v>0.2957315574954511</v>
      </c>
      <c r="AA194" s="232">
        <f t="shared" si="203"/>
        <v>1421220009</v>
      </c>
      <c r="AB194" s="232">
        <f t="shared" si="203"/>
        <v>0</v>
      </c>
      <c r="AC194" s="233">
        <f t="shared" si="138"/>
        <v>0.7042684425045489</v>
      </c>
      <c r="AD194" s="13"/>
      <c r="AE194" s="13"/>
      <c r="AF194" s="29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</row>
    <row r="195" spans="1:54" s="90" customFormat="1" ht="24.95" customHeight="1">
      <c r="A195" s="32" t="str">
        <f t="shared" si="135"/>
        <v>C-4199-1500-2-0-4199062=11</v>
      </c>
      <c r="B195" s="210" t="str">
        <f>CONCATENATE(C195,"-",D195,"-",E195,"-",F195,"-",G195,"-",H195)</f>
        <v>C-4199-1500-2-0-4199062</v>
      </c>
      <c r="C195" s="211" t="s">
        <v>167</v>
      </c>
      <c r="D195" s="212" t="s">
        <v>251</v>
      </c>
      <c r="E195" s="212" t="s">
        <v>172</v>
      </c>
      <c r="F195" s="212" t="s">
        <v>252</v>
      </c>
      <c r="G195" s="212" t="s">
        <v>175</v>
      </c>
      <c r="H195" s="212" t="s">
        <v>254</v>
      </c>
      <c r="I195" s="212"/>
      <c r="J195" s="212"/>
      <c r="K195" s="213">
        <v>11</v>
      </c>
      <c r="L195" s="214" t="s">
        <v>29</v>
      </c>
      <c r="M195" s="210" t="s">
        <v>255</v>
      </c>
      <c r="N195" s="215">
        <f>+N196</f>
        <v>3226548466</v>
      </c>
      <c r="O195" s="215">
        <f t="shared" si="203"/>
        <v>0</v>
      </c>
      <c r="P195" s="215">
        <f t="shared" si="203"/>
        <v>0</v>
      </c>
      <c r="Q195" s="215">
        <f t="shared" si="203"/>
        <v>0</v>
      </c>
      <c r="R195" s="215">
        <f t="shared" si="203"/>
        <v>0</v>
      </c>
      <c r="S195" s="215">
        <f t="shared" si="203"/>
        <v>0</v>
      </c>
      <c r="T195" s="215">
        <f t="shared" si="203"/>
        <v>3226548466</v>
      </c>
      <c r="U195" s="215">
        <f t="shared" si="203"/>
        <v>2018008934.1300001</v>
      </c>
      <c r="V195" s="215">
        <f t="shared" si="203"/>
        <v>1208539531.8699999</v>
      </c>
      <c r="W195" s="216">
        <f t="shared" si="148"/>
        <v>0.62543890333429752</v>
      </c>
      <c r="X195" s="215">
        <f t="shared" si="203"/>
        <v>1421220009</v>
      </c>
      <c r="Y195" s="215">
        <f t="shared" si="203"/>
        <v>596788925.13000011</v>
      </c>
      <c r="Z195" s="216">
        <f t="shared" si="157"/>
        <v>0.2957315574954511</v>
      </c>
      <c r="AA195" s="215">
        <f t="shared" si="203"/>
        <v>1421220009</v>
      </c>
      <c r="AB195" s="215">
        <f t="shared" si="203"/>
        <v>0</v>
      </c>
      <c r="AC195" s="216">
        <f t="shared" si="138"/>
        <v>0.7042684425045489</v>
      </c>
      <c r="AD195" s="13"/>
      <c r="AE195" s="13"/>
      <c r="AF195" s="29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</row>
    <row r="196" spans="1:54" s="90" customFormat="1" ht="24.95" customHeight="1" thickBot="1">
      <c r="A196" s="32" t="str">
        <f t="shared" si="135"/>
        <v>C-4199-1500-2-0-4199062-02=11</v>
      </c>
      <c r="B196" s="217" t="str">
        <f>CONCATENATE(C196,"-",D196,"-",E196,"-",F196,"-",G196,"-",H196,"-",I196)</f>
        <v>C-4199-1500-2-0-4199062-02</v>
      </c>
      <c r="C196" s="218" t="s">
        <v>167</v>
      </c>
      <c r="D196" s="219" t="s">
        <v>251</v>
      </c>
      <c r="E196" s="219" t="s">
        <v>172</v>
      </c>
      <c r="F196" s="219" t="s">
        <v>252</v>
      </c>
      <c r="G196" s="219" t="s">
        <v>175</v>
      </c>
      <c r="H196" s="219" t="s">
        <v>254</v>
      </c>
      <c r="I196" s="219" t="s">
        <v>54</v>
      </c>
      <c r="J196" s="219"/>
      <c r="K196" s="275">
        <v>11</v>
      </c>
      <c r="L196" s="276" t="s">
        <v>29</v>
      </c>
      <c r="M196" s="217" t="s">
        <v>178</v>
      </c>
      <c r="N196" s="222">
        <v>3226548466</v>
      </c>
      <c r="O196" s="222"/>
      <c r="P196" s="222"/>
      <c r="Q196" s="222"/>
      <c r="R196" s="222"/>
      <c r="S196" s="222"/>
      <c r="T196" s="222">
        <f>+N196-S196+O196-P196+Q196-R196</f>
        <v>3226548466</v>
      </c>
      <c r="U196" s="222">
        <v>2018008934.1300001</v>
      </c>
      <c r="V196" s="222">
        <f t="shared" ref="V196" si="204">+T196-U196</f>
        <v>1208539531.8699999</v>
      </c>
      <c r="W196" s="224">
        <f t="shared" si="148"/>
        <v>0.62543890333429752</v>
      </c>
      <c r="X196" s="222">
        <v>1421220009</v>
      </c>
      <c r="Y196" s="222">
        <f t="shared" ref="Y196" si="205">+U196-X196</f>
        <v>596788925.13000011</v>
      </c>
      <c r="Z196" s="224">
        <f t="shared" si="157"/>
        <v>0.2957315574954511</v>
      </c>
      <c r="AA196" s="222">
        <v>1421220009</v>
      </c>
      <c r="AB196" s="222">
        <f t="shared" ref="AB196" si="206">+X196-AA196</f>
        <v>0</v>
      </c>
      <c r="AC196" s="224">
        <f t="shared" si="138"/>
        <v>0.7042684425045489</v>
      </c>
      <c r="AD196" s="13"/>
      <c r="AE196" s="13"/>
      <c r="AF196" s="29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</row>
    <row r="197" spans="1:54" s="90" customFormat="1" ht="35.1" customHeight="1" thickBot="1">
      <c r="A197" s="32"/>
      <c r="B197" s="277" t="s">
        <v>288</v>
      </c>
      <c r="C197" s="278"/>
      <c r="D197" s="278"/>
      <c r="E197" s="278"/>
      <c r="F197" s="278"/>
      <c r="G197" s="278"/>
      <c r="H197" s="278"/>
      <c r="I197" s="278"/>
      <c r="J197" s="278"/>
      <c r="K197" s="278"/>
      <c r="L197" s="278"/>
      <c r="M197" s="260" t="s">
        <v>256</v>
      </c>
      <c r="N197" s="265">
        <f t="shared" ref="N197:V197" si="207">+N8+N109</f>
        <v>3648573139470</v>
      </c>
      <c r="O197" s="265">
        <f t="shared" si="207"/>
        <v>0</v>
      </c>
      <c r="P197" s="265">
        <f t="shared" si="207"/>
        <v>0</v>
      </c>
      <c r="Q197" s="265">
        <f t="shared" si="207"/>
        <v>341749452412.79004</v>
      </c>
      <c r="R197" s="265">
        <f t="shared" si="207"/>
        <v>341749452412.79004</v>
      </c>
      <c r="S197" s="265">
        <f t="shared" si="207"/>
        <v>591791000000</v>
      </c>
      <c r="T197" s="265">
        <f t="shared" si="207"/>
        <v>3056782139470</v>
      </c>
      <c r="U197" s="265">
        <f t="shared" si="207"/>
        <v>2637098629888.5195</v>
      </c>
      <c r="V197" s="265">
        <f t="shared" si="207"/>
        <v>419683509581.47998</v>
      </c>
      <c r="W197" s="187">
        <f t="shared" si="148"/>
        <v>0.86270414755359459</v>
      </c>
      <c r="X197" s="265">
        <f>+X8+X109</f>
        <v>1220320237512.6399</v>
      </c>
      <c r="Y197" s="265">
        <f>+Y8+Y109</f>
        <v>1416778392375.8799</v>
      </c>
      <c r="Z197" s="187">
        <f t="shared" si="157"/>
        <v>0.53724892058200058</v>
      </c>
      <c r="AA197" s="265">
        <f>+AA8+AA109</f>
        <v>1125450384682.6399</v>
      </c>
      <c r="AB197" s="265">
        <f>+AB8+AB109</f>
        <v>94869852830</v>
      </c>
      <c r="AC197" s="187">
        <f t="shared" si="138"/>
        <v>0.42677599234512403</v>
      </c>
      <c r="AD197" s="13"/>
      <c r="AE197" s="13"/>
      <c r="AF197" s="29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</row>
    <row r="198" spans="1:54" s="90" customFormat="1" ht="16.5">
      <c r="A198" s="32"/>
      <c r="B198" s="279"/>
      <c r="C198" s="82"/>
      <c r="D198" s="82"/>
      <c r="E198" s="82"/>
      <c r="F198" s="82"/>
      <c r="G198" s="82"/>
      <c r="H198" s="83"/>
      <c r="I198" s="84"/>
      <c r="J198" s="84"/>
      <c r="K198" s="84"/>
      <c r="L198" s="84"/>
      <c r="M198" s="84"/>
      <c r="N198" s="86"/>
      <c r="O198" s="86"/>
      <c r="P198" s="86"/>
      <c r="Q198" s="86"/>
      <c r="R198" s="86"/>
      <c r="S198" s="86"/>
      <c r="T198" s="86"/>
      <c r="U198" s="86"/>
      <c r="V198" s="86"/>
      <c r="W198" s="87"/>
      <c r="X198" s="86"/>
      <c r="Y198" s="86"/>
      <c r="Z198" s="87"/>
      <c r="AA198" s="86"/>
      <c r="AB198" s="86"/>
      <c r="AC198" s="89"/>
      <c r="AD198" s="13"/>
      <c r="AE198" s="13"/>
      <c r="AF198" s="29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</row>
    <row r="199" spans="1:54" s="8" customFormat="1" ht="16.5">
      <c r="A199" s="32" t="str">
        <f t="shared" ref="A199" si="208">+CONCATENATE(B199,"=",K199)</f>
        <v>=</v>
      </c>
      <c r="B199" s="280"/>
      <c r="C199" s="91"/>
      <c r="D199" s="91"/>
      <c r="E199" s="91"/>
      <c r="F199" s="91"/>
      <c r="G199" s="91"/>
      <c r="H199" s="92"/>
      <c r="I199" s="93"/>
      <c r="J199" s="93"/>
      <c r="K199" s="93"/>
      <c r="L199" s="93"/>
      <c r="M199" s="93"/>
      <c r="N199" s="286"/>
      <c r="O199" s="286"/>
      <c r="P199" s="286"/>
      <c r="Q199" s="286"/>
      <c r="R199" s="286"/>
      <c r="S199" s="286"/>
      <c r="T199" s="286"/>
      <c r="U199" s="286"/>
      <c r="V199" s="286"/>
      <c r="W199" s="295"/>
      <c r="X199" s="286"/>
      <c r="Y199" s="286"/>
      <c r="Z199" s="295"/>
      <c r="AA199" s="286"/>
      <c r="AB199" s="286"/>
      <c r="AC199" s="296"/>
      <c r="AF199" s="297"/>
    </row>
    <row r="200" spans="1:54" s="8" customFormat="1" ht="16.5">
      <c r="A200" s="32"/>
      <c r="B200" s="280"/>
      <c r="C200" s="94"/>
      <c r="D200" s="93"/>
      <c r="E200" s="93"/>
      <c r="F200" s="93"/>
      <c r="G200" s="93"/>
      <c r="H200" s="93"/>
      <c r="I200" s="93"/>
      <c r="J200" s="93"/>
      <c r="K200" s="93"/>
      <c r="L200" s="93"/>
      <c r="M200" s="97" t="s">
        <v>289</v>
      </c>
      <c r="N200" s="281">
        <v>3648573139470</v>
      </c>
      <c r="O200" s="281">
        <v>0</v>
      </c>
      <c r="P200" s="8">
        <v>0</v>
      </c>
      <c r="Q200" s="635">
        <f>51699310632+2334411228.37+280000000000+7715730552.42</f>
        <v>341749452412.78998</v>
      </c>
      <c r="R200" s="634">
        <f>51699310632+2334411228.37+280000000000+7715730552.42</f>
        <v>341749452412.78998</v>
      </c>
      <c r="S200" s="281">
        <v>591791000000</v>
      </c>
      <c r="T200" s="281">
        <v>3056782139470</v>
      </c>
      <c r="U200" s="281">
        <v>2637098629888.52</v>
      </c>
      <c r="V200" s="281">
        <f>+T197-U197</f>
        <v>419683509581.48047</v>
      </c>
      <c r="W200" s="282">
        <v>0.89587823487473217</v>
      </c>
      <c r="X200" s="281">
        <v>1220320237512.6399</v>
      </c>
      <c r="Y200" s="281">
        <v>1416778392375.8799</v>
      </c>
      <c r="Z200" s="282">
        <v>0.94058496898218857</v>
      </c>
      <c r="AA200" s="281">
        <v>1125450384682.6399</v>
      </c>
      <c r="AB200" s="281">
        <v>94869852830</v>
      </c>
      <c r="AC200" s="282">
        <v>5.7359234477478316E-2</v>
      </c>
      <c r="AF200" s="297"/>
    </row>
    <row r="201" spans="1:54" s="289" customFormat="1" ht="16.5">
      <c r="A201" s="22"/>
      <c r="B201" s="283"/>
      <c r="C201" s="284"/>
      <c r="D201" s="285"/>
      <c r="E201" s="285"/>
      <c r="F201" s="285"/>
      <c r="G201" s="285"/>
      <c r="H201" s="285"/>
      <c r="I201" s="285"/>
      <c r="J201" s="285"/>
      <c r="K201" s="285"/>
      <c r="L201" s="285"/>
      <c r="M201" s="286" t="s">
        <v>290</v>
      </c>
      <c r="N201" s="98">
        <f>+N197-N200</f>
        <v>0</v>
      </c>
      <c r="O201" s="98">
        <f>+O197-O200</f>
        <v>0</v>
      </c>
      <c r="P201" s="98">
        <f>+P197-P200</f>
        <v>0</v>
      </c>
      <c r="Q201" s="98">
        <f>+Q197-Q200</f>
        <v>0</v>
      </c>
      <c r="R201" s="98">
        <f t="shared" ref="R201:AB201" si="209">+R197-R200</f>
        <v>0</v>
      </c>
      <c r="S201" s="98">
        <f t="shared" si="209"/>
        <v>0</v>
      </c>
      <c r="T201" s="98">
        <f t="shared" si="209"/>
        <v>0</v>
      </c>
      <c r="U201" s="98">
        <f t="shared" si="209"/>
        <v>0</v>
      </c>
      <c r="V201" s="98">
        <f t="shared" si="209"/>
        <v>-4.8828125E-4</v>
      </c>
      <c r="W201" s="287">
        <f t="shared" si="209"/>
        <v>-3.317408732113758E-2</v>
      </c>
      <c r="X201" s="98">
        <f>+X197-X200</f>
        <v>0</v>
      </c>
      <c r="Y201" s="98">
        <f t="shared" si="209"/>
        <v>0</v>
      </c>
      <c r="Z201" s="287">
        <f t="shared" si="209"/>
        <v>-0.403336048400188</v>
      </c>
      <c r="AA201" s="98">
        <f t="shared" si="209"/>
        <v>0</v>
      </c>
      <c r="AB201" s="98">
        <f t="shared" si="209"/>
        <v>0</v>
      </c>
      <c r="AC201" s="288">
        <v>0</v>
      </c>
      <c r="AD201" s="8"/>
      <c r="AE201" s="8"/>
      <c r="AF201" s="297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</row>
    <row r="202" spans="1:54" ht="18">
      <c r="A202" s="30"/>
      <c r="B202" s="279"/>
      <c r="C202" s="312"/>
      <c r="D202" s="317"/>
      <c r="E202" s="312"/>
      <c r="F202" s="312"/>
      <c r="G202" s="312"/>
      <c r="H202" s="312"/>
      <c r="I202" s="312"/>
      <c r="J202" s="312"/>
      <c r="K202" s="312"/>
      <c r="L202" s="312"/>
      <c r="M202" s="312"/>
      <c r="N202" s="335"/>
      <c r="O202" s="632"/>
      <c r="P202" s="332"/>
      <c r="Q202" s="332"/>
      <c r="R202" s="633"/>
      <c r="S202" s="633"/>
      <c r="T202" s="332"/>
      <c r="U202" s="332"/>
      <c r="V202" s="332"/>
      <c r="W202" s="333"/>
      <c r="X202" s="332"/>
      <c r="Y202" s="332"/>
      <c r="Z202" s="333"/>
      <c r="AA202" s="332"/>
      <c r="AB202" s="332"/>
      <c r="AC202" s="333"/>
      <c r="AE202" s="13"/>
      <c r="AF202" s="293"/>
    </row>
    <row r="203" spans="1:54" ht="18">
      <c r="A203" s="30"/>
      <c r="B203" s="279"/>
      <c r="C203" s="312"/>
      <c r="D203" s="317"/>
      <c r="E203" s="312"/>
      <c r="F203" s="312"/>
      <c r="G203" s="312"/>
      <c r="H203" s="312"/>
      <c r="I203" s="312"/>
      <c r="J203" s="312"/>
      <c r="K203" s="312"/>
      <c r="L203" s="312"/>
      <c r="M203" s="312"/>
      <c r="N203" s="332"/>
      <c r="O203" s="632"/>
      <c r="P203" s="332"/>
      <c r="Q203" s="667"/>
      <c r="R203" s="633"/>
      <c r="S203" s="633"/>
      <c r="T203" s="332"/>
      <c r="U203" s="332"/>
      <c r="V203" s="332"/>
      <c r="W203" s="333"/>
      <c r="X203" s="332"/>
      <c r="Y203" s="332"/>
      <c r="Z203" s="333"/>
      <c r="AA203" s="332"/>
      <c r="AB203" s="332"/>
      <c r="AC203" s="333"/>
      <c r="AE203" s="13"/>
      <c r="AF203" s="293"/>
    </row>
    <row r="204" spans="1:54" ht="18">
      <c r="A204" s="1"/>
      <c r="B204" s="156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32"/>
      <c r="O204" s="632"/>
      <c r="P204" s="332"/>
      <c r="Q204" s="667"/>
      <c r="R204" s="332"/>
      <c r="S204" s="332"/>
      <c r="T204" s="332"/>
      <c r="U204" s="332"/>
      <c r="V204" s="332"/>
      <c r="W204" s="333"/>
      <c r="X204" s="332"/>
      <c r="Y204" s="631"/>
      <c r="Z204" s="333"/>
      <c r="AA204" s="332"/>
      <c r="AB204" s="332"/>
      <c r="AC204" s="333"/>
      <c r="AE204" s="13"/>
      <c r="AF204" s="293"/>
    </row>
    <row r="205" spans="1:54" ht="30">
      <c r="A205" s="1"/>
      <c r="B205" s="156"/>
      <c r="C205" s="318"/>
      <c r="D205" s="318"/>
      <c r="E205" s="318"/>
      <c r="F205" s="318"/>
      <c r="G205" s="318"/>
      <c r="H205" s="318"/>
      <c r="I205" s="312"/>
      <c r="J205" s="312"/>
      <c r="K205" s="312"/>
      <c r="L205" s="312"/>
      <c r="M205" s="336" t="s">
        <v>738</v>
      </c>
      <c r="N205" s="628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20"/>
      <c r="AA205" s="319"/>
      <c r="AB205" s="319"/>
      <c r="AC205" s="319"/>
    </row>
    <row r="206" spans="1:54" ht="30">
      <c r="A206" s="1"/>
      <c r="B206" s="156"/>
      <c r="C206" s="321"/>
      <c r="D206" s="322"/>
      <c r="E206" s="322"/>
      <c r="F206" s="322"/>
      <c r="G206" s="322"/>
      <c r="H206" s="322"/>
      <c r="I206" s="322"/>
      <c r="J206" s="322"/>
      <c r="K206" s="322"/>
      <c r="L206" s="322"/>
      <c r="M206" s="337" t="s">
        <v>739</v>
      </c>
      <c r="N206" s="628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4"/>
      <c r="AA206" s="323"/>
      <c r="AB206" s="323"/>
      <c r="AC206" s="323"/>
    </row>
    <row r="207" spans="1:54" ht="30">
      <c r="A207" s="325"/>
      <c r="B207" s="314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308"/>
      <c r="N207" s="628"/>
      <c r="P207" s="309"/>
      <c r="Q207" s="309"/>
      <c r="R207" s="630"/>
      <c r="S207" s="630"/>
      <c r="T207" s="334"/>
      <c r="U207" s="334"/>
      <c r="V207" s="629"/>
      <c r="W207" s="329"/>
      <c r="X207" s="329"/>
      <c r="Y207" s="329"/>
      <c r="Z207" s="329"/>
    </row>
    <row r="208" spans="1:54" ht="16.5">
      <c r="N208" s="628"/>
      <c r="O208" s="628"/>
    </row>
    <row r="209" spans="14:15" ht="16.5">
      <c r="N209" s="628"/>
      <c r="O209" s="628"/>
    </row>
    <row r="210" spans="14:15" ht="16.5">
      <c r="N210" s="628"/>
    </row>
    <row r="211" spans="14:15" ht="16.5">
      <c r="N211" s="628"/>
    </row>
    <row r="212" spans="14:15" ht="16.5">
      <c r="N212" s="628"/>
    </row>
  </sheetData>
  <sheetProtection selectLockedCells="1" selectUnlockedCells="1"/>
  <autoFilter ref="A6:AC200" xr:uid="{00000000-0009-0000-0000-000002000000}"/>
  <mergeCells count="7">
    <mergeCell ref="N2:AC2"/>
    <mergeCell ref="N3:AC3"/>
    <mergeCell ref="O5:P5"/>
    <mergeCell ref="Q5:R5"/>
    <mergeCell ref="U5:W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03CFE-2CE3-4F82-A3F0-547A0DB2912D}">
  <sheetPr>
    <tabColor rgb="FFFFC000"/>
    <pageSetUpPr fitToPage="1"/>
  </sheetPr>
  <dimension ref="A1:AY241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9.85546875" style="9" hidden="1" customWidth="1" outlineLevel="1"/>
    <col min="9" max="9" width="5.28515625" style="9" hidden="1" customWidth="1" outlineLevel="1"/>
    <col min="10" max="10" width="5.140625" style="110" customWidth="1" collapsed="1"/>
    <col min="11" max="11" width="7.42578125" style="111" customWidth="1"/>
    <col min="12" max="12" width="69.57031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2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2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845" t="s">
        <v>938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9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878</v>
      </c>
      <c r="Y6" s="29" t="s">
        <v>879</v>
      </c>
      <c r="Z6" s="27" t="s">
        <v>18</v>
      </c>
      <c r="AA6" s="27" t="s">
        <v>880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47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33" t="s">
        <v>23</v>
      </c>
      <c r="C8" s="34" t="s">
        <v>23</v>
      </c>
      <c r="D8" s="35"/>
      <c r="E8" s="35"/>
      <c r="F8" s="35"/>
      <c r="G8" s="35"/>
      <c r="H8" s="35"/>
      <c r="I8" s="35"/>
      <c r="J8" s="34"/>
      <c r="K8" s="35"/>
      <c r="L8" s="33" t="s">
        <v>24</v>
      </c>
      <c r="M8" s="36">
        <v>212412470214</v>
      </c>
      <c r="N8" s="739">
        <v>0</v>
      </c>
      <c r="O8" s="739">
        <v>0</v>
      </c>
      <c r="P8" s="36">
        <v>3170048097</v>
      </c>
      <c r="Q8" s="36">
        <v>3170048097</v>
      </c>
      <c r="R8" s="36">
        <v>5880000000</v>
      </c>
      <c r="S8" s="36">
        <v>206532470214</v>
      </c>
      <c r="T8" s="36">
        <v>33268678871.389999</v>
      </c>
      <c r="U8" s="36">
        <v>173263791342.60999</v>
      </c>
      <c r="V8" s="37">
        <v>0.1610820750699318</v>
      </c>
      <c r="W8" s="36">
        <v>7771745932.5100002</v>
      </c>
      <c r="X8" s="36">
        <v>25496932938.880001</v>
      </c>
      <c r="Y8" s="37">
        <v>0.76639451291246041</v>
      </c>
      <c r="Z8" s="36">
        <v>7699239589.5100002</v>
      </c>
      <c r="AA8" s="36">
        <v>72506343</v>
      </c>
      <c r="AB8" s="37">
        <v>0.23142606952544487</v>
      </c>
    </row>
    <row r="9" spans="1:28" ht="24" customHeight="1">
      <c r="A9" s="32" t="e">
        <v>#REF!</v>
      </c>
      <c r="B9" s="38" t="s">
        <v>303</v>
      </c>
      <c r="C9" s="39" t="s">
        <v>23</v>
      </c>
      <c r="D9" s="39" t="s">
        <v>25</v>
      </c>
      <c r="E9" s="39"/>
      <c r="F9" s="39"/>
      <c r="G9" s="39"/>
      <c r="H9" s="39"/>
      <c r="I9" s="39"/>
      <c r="J9" s="39"/>
      <c r="K9" s="40"/>
      <c r="L9" s="38" t="s">
        <v>26</v>
      </c>
      <c r="M9" s="41">
        <v>128915000000</v>
      </c>
      <c r="N9" s="740">
        <v>0</v>
      </c>
      <c r="O9" s="740">
        <v>0</v>
      </c>
      <c r="P9" s="41">
        <v>0</v>
      </c>
      <c r="Q9" s="41">
        <v>0</v>
      </c>
      <c r="R9" s="740">
        <v>0</v>
      </c>
      <c r="S9" s="41">
        <v>128915000000</v>
      </c>
      <c r="T9" s="41">
        <v>10628912905</v>
      </c>
      <c r="U9" s="41">
        <v>118286087095</v>
      </c>
      <c r="V9" s="42">
        <v>8.244900054299345E-2</v>
      </c>
      <c r="W9" s="41">
        <v>7314250358</v>
      </c>
      <c r="X9" s="41">
        <v>3314662547</v>
      </c>
      <c r="Y9" s="42">
        <v>0.31185339240485571</v>
      </c>
      <c r="Z9" s="41">
        <v>7314250358</v>
      </c>
      <c r="AA9" s="41">
        <v>0</v>
      </c>
      <c r="AB9" s="42">
        <v>0.68814660759514423</v>
      </c>
    </row>
    <row r="10" spans="1:28" ht="24" customHeight="1">
      <c r="A10" s="32" t="e">
        <v>#REF!</v>
      </c>
      <c r="B10" s="43" t="s">
        <v>305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4"/>
      <c r="K10" s="45"/>
      <c r="L10" s="43" t="s">
        <v>27</v>
      </c>
      <c r="M10" s="46">
        <v>128915000000</v>
      </c>
      <c r="N10" s="741">
        <v>0</v>
      </c>
      <c r="O10" s="741">
        <v>0</v>
      </c>
      <c r="P10" s="46">
        <v>0</v>
      </c>
      <c r="Q10" s="46">
        <v>0</v>
      </c>
      <c r="R10" s="741">
        <v>0</v>
      </c>
      <c r="S10" s="46">
        <v>128915000000</v>
      </c>
      <c r="T10" s="46">
        <v>10628912905</v>
      </c>
      <c r="U10" s="46">
        <v>118286087095</v>
      </c>
      <c r="V10" s="47">
        <v>8.244900054299345E-2</v>
      </c>
      <c r="W10" s="46">
        <v>7314250358</v>
      </c>
      <c r="X10" s="46">
        <v>3314662547</v>
      </c>
      <c r="Y10" s="47">
        <v>0.31185339240485571</v>
      </c>
      <c r="Z10" s="46">
        <v>7314250358</v>
      </c>
      <c r="AA10" s="46">
        <v>0</v>
      </c>
      <c r="AB10" s="47">
        <v>0.68814660759514423</v>
      </c>
    </row>
    <row r="11" spans="1:28" ht="24" customHeight="1">
      <c r="A11" s="32" t="e">
        <v>#REF!</v>
      </c>
      <c r="B11" s="48" t="s">
        <v>307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9" t="s">
        <v>28</v>
      </c>
      <c r="K11" s="48" t="s">
        <v>29</v>
      </c>
      <c r="L11" s="48" t="s">
        <v>30</v>
      </c>
      <c r="M11" s="50">
        <v>87725000000</v>
      </c>
      <c r="N11" s="742">
        <v>0</v>
      </c>
      <c r="O11" s="742">
        <v>0</v>
      </c>
      <c r="P11" s="50">
        <v>0</v>
      </c>
      <c r="Q11" s="50">
        <v>0</v>
      </c>
      <c r="R11" s="742">
        <v>0</v>
      </c>
      <c r="S11" s="50">
        <v>87725000000</v>
      </c>
      <c r="T11" s="50">
        <v>4869634461</v>
      </c>
      <c r="U11" s="50">
        <v>82855365539</v>
      </c>
      <c r="V11" s="51">
        <v>5.5510224690795099E-2</v>
      </c>
      <c r="W11" s="50">
        <v>4869634461</v>
      </c>
      <c r="X11" s="50">
        <v>0</v>
      </c>
      <c r="Y11" s="51">
        <v>0</v>
      </c>
      <c r="Z11" s="50">
        <v>4869634461</v>
      </c>
      <c r="AA11" s="50">
        <v>0</v>
      </c>
      <c r="AB11" s="51">
        <v>1</v>
      </c>
    </row>
    <row r="12" spans="1:28" ht="24" customHeight="1">
      <c r="A12" s="32" t="e">
        <v>#REF!</v>
      </c>
      <c r="B12" s="52" t="s">
        <v>309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3" t="s">
        <v>28</v>
      </c>
      <c r="K12" s="52" t="s">
        <v>29</v>
      </c>
      <c r="L12" s="52" t="s">
        <v>32</v>
      </c>
      <c r="M12" s="54">
        <v>87725000000</v>
      </c>
      <c r="N12" s="743">
        <v>0</v>
      </c>
      <c r="O12" s="743">
        <v>0</v>
      </c>
      <c r="P12" s="54">
        <v>0</v>
      </c>
      <c r="Q12" s="54">
        <v>0</v>
      </c>
      <c r="R12" s="743">
        <v>0</v>
      </c>
      <c r="S12" s="54">
        <v>87725000000</v>
      </c>
      <c r="T12" s="54">
        <v>4869634461</v>
      </c>
      <c r="U12" s="54">
        <v>82855365539</v>
      </c>
      <c r="V12" s="55">
        <v>5.5510224690795099E-2</v>
      </c>
      <c r="W12" s="54">
        <v>4869634461</v>
      </c>
      <c r="X12" s="54">
        <v>0</v>
      </c>
      <c r="Y12" s="55">
        <v>0</v>
      </c>
      <c r="Z12" s="54">
        <v>4869634461</v>
      </c>
      <c r="AA12" s="54">
        <v>0</v>
      </c>
      <c r="AB12" s="55">
        <v>1</v>
      </c>
    </row>
    <row r="13" spans="1:28" ht="24.95" customHeight="1">
      <c r="A13" s="32" t="e">
        <v>#REF!</v>
      </c>
      <c r="B13" s="56" t="s">
        <v>311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71741000000</v>
      </c>
      <c r="N13" s="60"/>
      <c r="O13" s="60"/>
      <c r="P13" s="61"/>
      <c r="Q13" s="61"/>
      <c r="R13" s="61"/>
      <c r="S13" s="60">
        <v>71741000000</v>
      </c>
      <c r="T13" s="60">
        <v>4380435088</v>
      </c>
      <c r="U13" s="60">
        <v>67360564912</v>
      </c>
      <c r="V13" s="62">
        <v>6.1059019082533E-2</v>
      </c>
      <c r="W13" s="60">
        <v>4380435088</v>
      </c>
      <c r="X13" s="60">
        <v>0</v>
      </c>
      <c r="Y13" s="62">
        <v>0</v>
      </c>
      <c r="Z13" s="60">
        <v>4380435088</v>
      </c>
      <c r="AA13" s="60">
        <v>0</v>
      </c>
      <c r="AB13" s="62">
        <v>1</v>
      </c>
    </row>
    <row r="14" spans="1:28" ht="24.95" customHeight="1">
      <c r="A14" s="32" t="e">
        <v>#REF!</v>
      </c>
      <c r="B14" s="56" t="s">
        <v>313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360000000</v>
      </c>
      <c r="N14" s="60"/>
      <c r="O14" s="60"/>
      <c r="P14" s="61"/>
      <c r="Q14" s="61"/>
      <c r="R14" s="60"/>
      <c r="S14" s="60">
        <v>360000000</v>
      </c>
      <c r="T14" s="60">
        <v>25293607</v>
      </c>
      <c r="U14" s="60">
        <v>334706393</v>
      </c>
      <c r="V14" s="62">
        <v>7.0260019444444446E-2</v>
      </c>
      <c r="W14" s="60">
        <v>25293607</v>
      </c>
      <c r="X14" s="60">
        <v>0</v>
      </c>
      <c r="Y14" s="62">
        <v>0</v>
      </c>
      <c r="Z14" s="60">
        <v>25293607</v>
      </c>
      <c r="AA14" s="60">
        <v>0</v>
      </c>
      <c r="AB14" s="62">
        <v>1</v>
      </c>
    </row>
    <row r="15" spans="1:28" ht="24.95" customHeight="1">
      <c r="A15" s="32" t="e">
        <v>#REF!</v>
      </c>
      <c r="B15" s="56" t="s">
        <v>315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840000000</v>
      </c>
      <c r="N15" s="60"/>
      <c r="O15" s="60"/>
      <c r="P15" s="61"/>
      <c r="Q15" s="61"/>
      <c r="R15" s="60"/>
      <c r="S15" s="60">
        <v>840000000</v>
      </c>
      <c r="T15" s="60">
        <v>71522996</v>
      </c>
      <c r="U15" s="60">
        <v>768477004</v>
      </c>
      <c r="V15" s="62">
        <v>8.5146423809523808E-2</v>
      </c>
      <c r="W15" s="60">
        <v>71522996</v>
      </c>
      <c r="X15" s="60">
        <v>0</v>
      </c>
      <c r="Y15" s="62">
        <v>0</v>
      </c>
      <c r="Z15" s="60">
        <v>71522996</v>
      </c>
      <c r="AA15" s="60">
        <v>0</v>
      </c>
      <c r="AB15" s="62">
        <v>1</v>
      </c>
    </row>
    <row r="16" spans="1:28" ht="24.95" customHeight="1">
      <c r="A16" s="32" t="e">
        <v>#REF!</v>
      </c>
      <c r="B16" s="56" t="s">
        <v>317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180000000</v>
      </c>
      <c r="N16" s="60"/>
      <c r="O16" s="60"/>
      <c r="P16" s="61"/>
      <c r="Q16" s="61"/>
      <c r="R16" s="60"/>
      <c r="S16" s="60">
        <v>180000000</v>
      </c>
      <c r="T16" s="60">
        <v>6190921</v>
      </c>
      <c r="U16" s="60">
        <v>173809079</v>
      </c>
      <c r="V16" s="62">
        <v>3.4394005555555558E-2</v>
      </c>
      <c r="W16" s="60">
        <v>6190921</v>
      </c>
      <c r="X16" s="60">
        <v>0</v>
      </c>
      <c r="Y16" s="62">
        <v>0</v>
      </c>
      <c r="Z16" s="60">
        <v>6190921</v>
      </c>
      <c r="AA16" s="60">
        <v>0</v>
      </c>
      <c r="AB16" s="62">
        <v>1</v>
      </c>
    </row>
    <row r="17" spans="1:28" ht="24.95" customHeight="1">
      <c r="A17" s="32" t="e">
        <v>#REF!</v>
      </c>
      <c r="B17" s="56" t="s">
        <v>319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204000000</v>
      </c>
      <c r="N17" s="60"/>
      <c r="O17" s="60"/>
      <c r="P17" s="61"/>
      <c r="Q17" s="61"/>
      <c r="R17" s="60"/>
      <c r="S17" s="60">
        <v>204000000</v>
      </c>
      <c r="T17" s="60">
        <v>16764721</v>
      </c>
      <c r="U17" s="60">
        <v>187235279</v>
      </c>
      <c r="V17" s="62">
        <v>8.2180004901960785E-2</v>
      </c>
      <c r="W17" s="60">
        <v>16764721</v>
      </c>
      <c r="X17" s="60">
        <v>0</v>
      </c>
      <c r="Y17" s="62">
        <v>0</v>
      </c>
      <c r="Z17" s="60">
        <v>16764721</v>
      </c>
      <c r="AA17" s="60">
        <v>0</v>
      </c>
      <c r="AB17" s="62">
        <v>1</v>
      </c>
    </row>
    <row r="18" spans="1:28" ht="24.95" customHeight="1">
      <c r="A18" s="32" t="e">
        <v>#REF!</v>
      </c>
      <c r="B18" s="56" t="s">
        <v>321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3000000000</v>
      </c>
      <c r="N18" s="60"/>
      <c r="O18" s="60"/>
      <c r="P18" s="61"/>
      <c r="Q18" s="61"/>
      <c r="R18" s="60"/>
      <c r="S18" s="60">
        <v>3000000000</v>
      </c>
      <c r="T18" s="60">
        <v>13553886</v>
      </c>
      <c r="U18" s="60">
        <v>2986446114</v>
      </c>
      <c r="V18" s="62">
        <v>4.5179620000000004E-3</v>
      </c>
      <c r="W18" s="60">
        <v>13553886</v>
      </c>
      <c r="X18" s="60">
        <v>0</v>
      </c>
      <c r="Y18" s="62">
        <v>0</v>
      </c>
      <c r="Z18" s="60">
        <v>13553886</v>
      </c>
      <c r="AA18" s="60">
        <v>0</v>
      </c>
      <c r="AB18" s="62">
        <v>1</v>
      </c>
    </row>
    <row r="19" spans="1:28" ht="24.95" customHeight="1">
      <c r="A19" s="32" t="e">
        <v>#REF!</v>
      </c>
      <c r="B19" s="56" t="s">
        <v>323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2000000000</v>
      </c>
      <c r="N19" s="60"/>
      <c r="O19" s="60"/>
      <c r="P19" s="61"/>
      <c r="Q19" s="61"/>
      <c r="R19" s="60"/>
      <c r="S19" s="60">
        <v>2000000000</v>
      </c>
      <c r="T19" s="60">
        <v>200219020</v>
      </c>
      <c r="U19" s="60">
        <v>1799780980</v>
      </c>
      <c r="V19" s="62">
        <v>0.10010951</v>
      </c>
      <c r="W19" s="60">
        <v>200219020</v>
      </c>
      <c r="X19" s="60">
        <v>0</v>
      </c>
      <c r="Y19" s="62">
        <v>0</v>
      </c>
      <c r="Z19" s="60">
        <v>200219020</v>
      </c>
      <c r="AA19" s="60">
        <v>0</v>
      </c>
      <c r="AB19" s="62">
        <v>1</v>
      </c>
    </row>
    <row r="20" spans="1:28" ht="24.95" customHeight="1">
      <c r="A20" s="32" t="e">
        <v>#REF!</v>
      </c>
      <c r="B20" s="56" t="s">
        <v>325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200000000</v>
      </c>
      <c r="N20" s="60"/>
      <c r="O20" s="60"/>
      <c r="P20" s="61"/>
      <c r="Q20" s="61"/>
      <c r="R20" s="60"/>
      <c r="S20" s="60">
        <v>200000000</v>
      </c>
      <c r="T20" s="60">
        <v>0</v>
      </c>
      <c r="U20" s="60">
        <v>200000000</v>
      </c>
      <c r="V20" s="62">
        <v>0</v>
      </c>
      <c r="W20" s="60">
        <v>0</v>
      </c>
      <c r="X20" s="60">
        <v>0</v>
      </c>
      <c r="Y20" s="62">
        <v>0</v>
      </c>
      <c r="Z20" s="60">
        <v>0</v>
      </c>
      <c r="AA20" s="60">
        <v>0</v>
      </c>
      <c r="AB20" s="62">
        <v>0</v>
      </c>
    </row>
    <row r="21" spans="1:28" ht="24.95" customHeight="1">
      <c r="A21" s="32" t="e">
        <v>#REF!</v>
      </c>
      <c r="B21" s="56" t="s">
        <v>327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1"/>
      <c r="Q21" s="61"/>
      <c r="R21" s="60"/>
      <c r="S21" s="60">
        <v>5900000000</v>
      </c>
      <c r="T21" s="60">
        <v>1031486</v>
      </c>
      <c r="U21" s="60">
        <v>5898968514</v>
      </c>
      <c r="V21" s="62">
        <v>1.7482813559322033E-4</v>
      </c>
      <c r="W21" s="60">
        <v>1031486</v>
      </c>
      <c r="X21" s="60">
        <v>0</v>
      </c>
      <c r="Y21" s="62">
        <v>0</v>
      </c>
      <c r="Z21" s="60">
        <v>1031486</v>
      </c>
      <c r="AA21" s="60">
        <v>0</v>
      </c>
      <c r="AB21" s="62">
        <v>1</v>
      </c>
    </row>
    <row r="22" spans="1:28" ht="24.95" customHeight="1">
      <c r="A22" s="32" t="e">
        <v>#REF!</v>
      </c>
      <c r="B22" s="56" t="s">
        <v>329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3300000000</v>
      </c>
      <c r="N22" s="60"/>
      <c r="O22" s="60"/>
      <c r="P22" s="61"/>
      <c r="Q22" s="61"/>
      <c r="R22" s="60"/>
      <c r="S22" s="60">
        <v>3300000000</v>
      </c>
      <c r="T22" s="60">
        <v>154622736</v>
      </c>
      <c r="U22" s="60">
        <v>3145377264</v>
      </c>
      <c r="V22" s="62">
        <v>4.6855374545454548E-2</v>
      </c>
      <c r="W22" s="60">
        <v>154622736</v>
      </c>
      <c r="X22" s="60">
        <v>0</v>
      </c>
      <c r="Y22" s="62">
        <v>0</v>
      </c>
      <c r="Z22" s="60">
        <v>154622736</v>
      </c>
      <c r="AA22" s="60">
        <v>0</v>
      </c>
      <c r="AB22" s="62">
        <v>1</v>
      </c>
    </row>
    <row r="23" spans="1:28" ht="24" customHeight="1">
      <c r="A23" s="32" t="e">
        <v>#REF!</v>
      </c>
      <c r="B23" s="48" t="s">
        <v>331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9" t="s">
        <v>28</v>
      </c>
      <c r="K23" s="48" t="s">
        <v>29</v>
      </c>
      <c r="L23" s="48" t="s">
        <v>55</v>
      </c>
      <c r="M23" s="50">
        <v>32057000000</v>
      </c>
      <c r="N23" s="742">
        <v>0</v>
      </c>
      <c r="O23" s="742">
        <v>0</v>
      </c>
      <c r="P23" s="50">
        <v>0</v>
      </c>
      <c r="Q23" s="50">
        <v>0</v>
      </c>
      <c r="R23" s="742">
        <v>0</v>
      </c>
      <c r="S23" s="50">
        <v>32057000000</v>
      </c>
      <c r="T23" s="50">
        <v>5347929100</v>
      </c>
      <c r="U23" s="50">
        <v>26709070900</v>
      </c>
      <c r="V23" s="51">
        <v>0.16682562622828087</v>
      </c>
      <c r="W23" s="50">
        <v>2033266553</v>
      </c>
      <c r="X23" s="50">
        <v>3314662547</v>
      </c>
      <c r="Y23" s="51">
        <v>0.61980300879456307</v>
      </c>
      <c r="Z23" s="50">
        <v>2033266553</v>
      </c>
      <c r="AA23" s="50">
        <v>0</v>
      </c>
      <c r="AB23" s="51">
        <v>0.38019699120543687</v>
      </c>
    </row>
    <row r="24" spans="1:28" ht="24.95" customHeight="1">
      <c r="A24" s="32" t="e">
        <v>#REF!</v>
      </c>
      <c r="B24" s="56" t="s">
        <v>333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10048180000</v>
      </c>
      <c r="N24" s="60"/>
      <c r="O24" s="60"/>
      <c r="P24" s="60"/>
      <c r="Q24" s="60"/>
      <c r="R24" s="61"/>
      <c r="S24" s="60">
        <v>10048180000</v>
      </c>
      <c r="T24" s="60">
        <v>638287700</v>
      </c>
      <c r="U24" s="60">
        <v>9409892300</v>
      </c>
      <c r="V24" s="62">
        <v>6.3522717546859231E-2</v>
      </c>
      <c r="W24" s="60">
        <v>638287700</v>
      </c>
      <c r="X24" s="60">
        <v>0</v>
      </c>
      <c r="Y24" s="62">
        <v>0</v>
      </c>
      <c r="Z24" s="60">
        <v>638287700</v>
      </c>
      <c r="AA24" s="60">
        <v>0</v>
      </c>
      <c r="AB24" s="62">
        <v>1</v>
      </c>
    </row>
    <row r="25" spans="1:28" ht="24.95" customHeight="1">
      <c r="A25" s="32" t="e">
        <v>#REF!</v>
      </c>
      <c r="B25" s="56" t="s">
        <v>335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7117460000</v>
      </c>
      <c r="N25" s="60"/>
      <c r="O25" s="60"/>
      <c r="P25" s="60"/>
      <c r="Q25" s="60"/>
      <c r="R25" s="61"/>
      <c r="S25" s="60">
        <v>7117460000</v>
      </c>
      <c r="T25" s="60">
        <v>454727100</v>
      </c>
      <c r="U25" s="60">
        <v>6662732900</v>
      </c>
      <c r="V25" s="62">
        <v>6.3888957577562785E-2</v>
      </c>
      <c r="W25" s="60">
        <v>454727100</v>
      </c>
      <c r="X25" s="60">
        <v>0</v>
      </c>
      <c r="Y25" s="62">
        <v>0</v>
      </c>
      <c r="Z25" s="60">
        <v>454727100</v>
      </c>
      <c r="AA25" s="60">
        <v>0</v>
      </c>
      <c r="AB25" s="62">
        <v>1</v>
      </c>
    </row>
    <row r="26" spans="1:28" ht="24.95" customHeight="1">
      <c r="A26" s="32" t="e">
        <v>#REF!</v>
      </c>
      <c r="B26" s="56" t="s">
        <v>337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5734390000</v>
      </c>
      <c r="N26" s="60"/>
      <c r="O26" s="60"/>
      <c r="P26" s="60"/>
      <c r="Q26" s="60"/>
      <c r="R26" s="61"/>
      <c r="S26" s="60">
        <v>5734390000</v>
      </c>
      <c r="T26" s="60">
        <v>3769390000</v>
      </c>
      <c r="U26" s="60">
        <v>1965000000</v>
      </c>
      <c r="V26" s="62">
        <v>0.65733059662841209</v>
      </c>
      <c r="W26" s="60">
        <v>454727453</v>
      </c>
      <c r="X26" s="60">
        <v>3314662547</v>
      </c>
      <c r="Y26" s="62">
        <v>0.87936311896619879</v>
      </c>
      <c r="Z26" s="60">
        <v>454727453</v>
      </c>
      <c r="AA26" s="60">
        <v>0</v>
      </c>
      <c r="AB26" s="62">
        <v>0.12063688103380123</v>
      </c>
    </row>
    <row r="27" spans="1:28" ht="24.95" customHeight="1">
      <c r="A27" s="32" t="e">
        <v>#REF!</v>
      </c>
      <c r="B27" s="56" t="s">
        <v>339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3803090000</v>
      </c>
      <c r="N27" s="60"/>
      <c r="O27" s="60"/>
      <c r="P27" s="60"/>
      <c r="Q27" s="60"/>
      <c r="R27" s="61"/>
      <c r="S27" s="60">
        <v>3803090000</v>
      </c>
      <c r="T27" s="60">
        <v>195554300</v>
      </c>
      <c r="U27" s="60">
        <v>3607535700</v>
      </c>
      <c r="V27" s="62">
        <v>5.1419845441469963E-2</v>
      </c>
      <c r="W27" s="60">
        <v>195554300</v>
      </c>
      <c r="X27" s="60">
        <v>0</v>
      </c>
      <c r="Y27" s="62">
        <v>0</v>
      </c>
      <c r="Z27" s="60">
        <v>195554300</v>
      </c>
      <c r="AA27" s="60">
        <v>0</v>
      </c>
      <c r="AB27" s="62">
        <v>1</v>
      </c>
    </row>
    <row r="28" spans="1:28" ht="24.95" customHeight="1">
      <c r="A28" s="32" t="e">
        <v>#REF!</v>
      </c>
      <c r="B28" s="56" t="s">
        <v>341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600000000</v>
      </c>
      <c r="N28" s="60"/>
      <c r="O28" s="60"/>
      <c r="P28" s="60"/>
      <c r="Q28" s="60"/>
      <c r="R28" s="61"/>
      <c r="S28" s="60">
        <v>600000000</v>
      </c>
      <c r="T28" s="60">
        <v>45404100</v>
      </c>
      <c r="U28" s="60">
        <v>554595900</v>
      </c>
      <c r="V28" s="62">
        <v>7.5673500000000005E-2</v>
      </c>
      <c r="W28" s="60">
        <v>45404100</v>
      </c>
      <c r="X28" s="60">
        <v>0</v>
      </c>
      <c r="Y28" s="62">
        <v>0</v>
      </c>
      <c r="Z28" s="60">
        <v>45404100</v>
      </c>
      <c r="AA28" s="60">
        <v>0</v>
      </c>
      <c r="AB28" s="62">
        <v>1</v>
      </c>
    </row>
    <row r="29" spans="1:28" ht="24.95" customHeight="1">
      <c r="A29" s="32" t="e">
        <v>#REF!</v>
      </c>
      <c r="B29" s="56" t="s">
        <v>343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2852320000</v>
      </c>
      <c r="N29" s="60"/>
      <c r="O29" s="60"/>
      <c r="P29" s="60"/>
      <c r="Q29" s="60"/>
      <c r="R29" s="61"/>
      <c r="S29" s="60">
        <v>2852320000</v>
      </c>
      <c r="T29" s="60">
        <v>146674700</v>
      </c>
      <c r="U29" s="60">
        <v>2705645300</v>
      </c>
      <c r="V29" s="62">
        <v>5.1422946934425312E-2</v>
      </c>
      <c r="W29" s="60">
        <v>146674700</v>
      </c>
      <c r="X29" s="60">
        <v>0</v>
      </c>
      <c r="Y29" s="62">
        <v>0</v>
      </c>
      <c r="Z29" s="60">
        <v>146674700</v>
      </c>
      <c r="AA29" s="60">
        <v>0</v>
      </c>
      <c r="AB29" s="62">
        <v>1</v>
      </c>
    </row>
    <row r="30" spans="1:28" ht="24.95" customHeight="1">
      <c r="A30" s="32" t="e">
        <v>#REF!</v>
      </c>
      <c r="B30" s="56" t="s">
        <v>345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475390000</v>
      </c>
      <c r="N30" s="60"/>
      <c r="O30" s="60"/>
      <c r="P30" s="60"/>
      <c r="Q30" s="60"/>
      <c r="R30" s="61"/>
      <c r="S30" s="60">
        <v>475390000</v>
      </c>
      <c r="T30" s="60">
        <v>24483400</v>
      </c>
      <c r="U30" s="60">
        <v>450906600</v>
      </c>
      <c r="V30" s="62">
        <v>5.1501714381875931E-2</v>
      </c>
      <c r="W30" s="60">
        <v>24483400</v>
      </c>
      <c r="X30" s="60">
        <v>0</v>
      </c>
      <c r="Y30" s="62">
        <v>0</v>
      </c>
      <c r="Z30" s="60">
        <v>24483400</v>
      </c>
      <c r="AA30" s="60">
        <v>0</v>
      </c>
      <c r="AB30" s="62">
        <v>1</v>
      </c>
    </row>
    <row r="31" spans="1:28" ht="24.95" customHeight="1">
      <c r="A31" s="32" t="e">
        <v>#REF!</v>
      </c>
      <c r="B31" s="56" t="s">
        <v>347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475390000</v>
      </c>
      <c r="N31" s="60"/>
      <c r="O31" s="60"/>
      <c r="P31" s="60"/>
      <c r="Q31" s="60"/>
      <c r="R31" s="61"/>
      <c r="S31" s="60">
        <v>475390000</v>
      </c>
      <c r="T31" s="60">
        <v>24483400</v>
      </c>
      <c r="U31" s="60">
        <v>450906600</v>
      </c>
      <c r="V31" s="62">
        <v>5.1501714381875931E-2</v>
      </c>
      <c r="W31" s="60">
        <v>24483400</v>
      </c>
      <c r="X31" s="60">
        <v>0</v>
      </c>
      <c r="Y31" s="62">
        <v>0</v>
      </c>
      <c r="Z31" s="60">
        <v>24483400</v>
      </c>
      <c r="AA31" s="60">
        <v>0</v>
      </c>
      <c r="AB31" s="62">
        <v>1</v>
      </c>
    </row>
    <row r="32" spans="1:28" ht="24.95" customHeight="1">
      <c r="A32" s="32" t="e">
        <v>#REF!</v>
      </c>
      <c r="B32" s="56" t="s">
        <v>349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950780000</v>
      </c>
      <c r="N32" s="60"/>
      <c r="O32" s="60"/>
      <c r="P32" s="60"/>
      <c r="Q32" s="60"/>
      <c r="R32" s="61"/>
      <c r="S32" s="60">
        <v>950780000</v>
      </c>
      <c r="T32" s="60">
        <v>48924400</v>
      </c>
      <c r="U32" s="60">
        <v>901855600</v>
      </c>
      <c r="V32" s="62">
        <v>5.1457119417741226E-2</v>
      </c>
      <c r="W32" s="60">
        <v>48924400</v>
      </c>
      <c r="X32" s="60">
        <v>0</v>
      </c>
      <c r="Y32" s="62">
        <v>0</v>
      </c>
      <c r="Z32" s="60">
        <v>48924400</v>
      </c>
      <c r="AA32" s="60">
        <v>0</v>
      </c>
      <c r="AB32" s="62">
        <v>1</v>
      </c>
    </row>
    <row r="33" spans="1:28" ht="24" customHeight="1">
      <c r="A33" s="32" t="e">
        <v>#REF!</v>
      </c>
      <c r="B33" s="48" t="s">
        <v>351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9" t="s">
        <v>28</v>
      </c>
      <c r="K33" s="48" t="s">
        <v>29</v>
      </c>
      <c r="L33" s="48" t="s">
        <v>66</v>
      </c>
      <c r="M33" s="50">
        <v>9133000000</v>
      </c>
      <c r="N33" s="742">
        <v>0</v>
      </c>
      <c r="O33" s="742">
        <v>0</v>
      </c>
      <c r="P33" s="50">
        <v>0</v>
      </c>
      <c r="Q33" s="50">
        <v>0</v>
      </c>
      <c r="R33" s="742">
        <v>0</v>
      </c>
      <c r="S33" s="50">
        <v>9133000000</v>
      </c>
      <c r="T33" s="50">
        <v>411349344</v>
      </c>
      <c r="U33" s="50">
        <v>8721650656</v>
      </c>
      <c r="V33" s="51">
        <v>4.5039893134785944E-2</v>
      </c>
      <c r="W33" s="50">
        <v>411349344</v>
      </c>
      <c r="X33" s="50">
        <v>0</v>
      </c>
      <c r="Y33" s="51">
        <v>0</v>
      </c>
      <c r="Z33" s="50">
        <v>411349344</v>
      </c>
      <c r="AA33" s="50">
        <v>0</v>
      </c>
      <c r="AB33" s="51">
        <v>1</v>
      </c>
    </row>
    <row r="34" spans="1:28" ht="24" customHeight="1">
      <c r="A34" s="32" t="e">
        <v>#REF!</v>
      </c>
      <c r="B34" s="52" t="s">
        <v>353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3" t="s">
        <v>28</v>
      </c>
      <c r="K34" s="52" t="s">
        <v>29</v>
      </c>
      <c r="L34" s="52" t="s">
        <v>67</v>
      </c>
      <c r="M34" s="54">
        <v>4840000000</v>
      </c>
      <c r="N34" s="743">
        <v>0</v>
      </c>
      <c r="O34" s="743">
        <v>0</v>
      </c>
      <c r="P34" s="54">
        <v>0</v>
      </c>
      <c r="Q34" s="54">
        <v>0</v>
      </c>
      <c r="R34" s="743">
        <v>0</v>
      </c>
      <c r="S34" s="54">
        <v>4840000000</v>
      </c>
      <c r="T34" s="54">
        <v>234027814</v>
      </c>
      <c r="U34" s="54">
        <v>4605972186</v>
      </c>
      <c r="V34" s="55">
        <v>4.8352854132231407E-2</v>
      </c>
      <c r="W34" s="54">
        <v>234027814</v>
      </c>
      <c r="X34" s="54">
        <v>0</v>
      </c>
      <c r="Y34" s="55">
        <v>0</v>
      </c>
      <c r="Z34" s="54">
        <v>234027814</v>
      </c>
      <c r="AA34" s="54">
        <v>0</v>
      </c>
      <c r="AB34" s="55">
        <v>1</v>
      </c>
    </row>
    <row r="35" spans="1:28" ht="24.95" customHeight="1">
      <c r="A35" s="32" t="e">
        <v>#REF!</v>
      </c>
      <c r="B35" s="56" t="s">
        <v>355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3560000000</v>
      </c>
      <c r="N35" s="60"/>
      <c r="O35" s="60"/>
      <c r="P35" s="61"/>
      <c r="Q35" s="61"/>
      <c r="R35" s="61"/>
      <c r="S35" s="60">
        <v>3560000000</v>
      </c>
      <c r="T35" s="60">
        <v>133438565</v>
      </c>
      <c r="U35" s="60">
        <v>3426561435</v>
      </c>
      <c r="V35" s="62">
        <v>3.7482742977528093E-2</v>
      </c>
      <c r="W35" s="60">
        <v>133438565</v>
      </c>
      <c r="X35" s="60">
        <v>0</v>
      </c>
      <c r="Y35" s="62">
        <v>0</v>
      </c>
      <c r="Z35" s="60">
        <v>133438565</v>
      </c>
      <c r="AA35" s="60">
        <v>0</v>
      </c>
      <c r="AB35" s="62">
        <v>1</v>
      </c>
    </row>
    <row r="36" spans="1:28" ht="24.95" customHeight="1">
      <c r="A36" s="32" t="e">
        <v>#REF!</v>
      </c>
      <c r="B36" s="56" t="s">
        <v>357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900000000</v>
      </c>
      <c r="N36" s="60"/>
      <c r="O36" s="60"/>
      <c r="P36" s="61"/>
      <c r="Q36" s="61"/>
      <c r="R36" s="61"/>
      <c r="S36" s="60">
        <v>900000000</v>
      </c>
      <c r="T36" s="60">
        <v>81377685</v>
      </c>
      <c r="U36" s="60">
        <v>818622315</v>
      </c>
      <c r="V36" s="62">
        <v>9.0419650000000004E-2</v>
      </c>
      <c r="W36" s="60">
        <v>81377685</v>
      </c>
      <c r="X36" s="60">
        <v>0</v>
      </c>
      <c r="Y36" s="62">
        <v>0</v>
      </c>
      <c r="Z36" s="60">
        <v>81377685</v>
      </c>
      <c r="AA36" s="60">
        <v>0</v>
      </c>
      <c r="AB36" s="62">
        <v>1</v>
      </c>
    </row>
    <row r="37" spans="1:28" ht="24.95" customHeight="1">
      <c r="A37" s="32" t="e">
        <v>#REF!</v>
      </c>
      <c r="B37" s="56" t="s">
        <v>359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380000000</v>
      </c>
      <c r="N37" s="60"/>
      <c r="O37" s="60"/>
      <c r="P37" s="61"/>
      <c r="Q37" s="61"/>
      <c r="R37" s="61"/>
      <c r="S37" s="60">
        <v>380000000</v>
      </c>
      <c r="T37" s="60">
        <v>19211564</v>
      </c>
      <c r="U37" s="60">
        <v>360788436</v>
      </c>
      <c r="V37" s="62">
        <v>5.055674736842105E-2</v>
      </c>
      <c r="W37" s="60">
        <v>19211564</v>
      </c>
      <c r="X37" s="60">
        <v>0</v>
      </c>
      <c r="Y37" s="62">
        <v>0</v>
      </c>
      <c r="Z37" s="60">
        <v>19211564</v>
      </c>
      <c r="AA37" s="60">
        <v>0</v>
      </c>
      <c r="AB37" s="62">
        <v>1</v>
      </c>
    </row>
    <row r="38" spans="1:28" ht="24.95" customHeight="1">
      <c r="A38" s="32" t="e">
        <v>#REF!</v>
      </c>
      <c r="B38" s="56" t="s">
        <v>361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2600000000</v>
      </c>
      <c r="N38" s="60"/>
      <c r="O38" s="60"/>
      <c r="P38" s="61"/>
      <c r="Q38" s="61"/>
      <c r="R38" s="61"/>
      <c r="S38" s="60">
        <v>2600000000</v>
      </c>
      <c r="T38" s="60">
        <v>99451897</v>
      </c>
      <c r="U38" s="60">
        <v>2500548103</v>
      </c>
      <c r="V38" s="62">
        <v>3.8250729615384615E-2</v>
      </c>
      <c r="W38" s="60">
        <v>99451897</v>
      </c>
      <c r="X38" s="60">
        <v>0</v>
      </c>
      <c r="Y38" s="62">
        <v>0</v>
      </c>
      <c r="Z38" s="60">
        <v>99451897</v>
      </c>
      <c r="AA38" s="60">
        <v>0</v>
      </c>
      <c r="AB38" s="62">
        <v>1</v>
      </c>
    </row>
    <row r="39" spans="1:28" ht="24.95" customHeight="1">
      <c r="A39" s="32" t="e">
        <v>#REF!</v>
      </c>
      <c r="B39" s="56" t="s">
        <v>363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6000000</v>
      </c>
      <c r="N39" s="60"/>
      <c r="O39" s="60"/>
      <c r="P39" s="61"/>
      <c r="Q39" s="61"/>
      <c r="R39" s="61"/>
      <c r="S39" s="60">
        <v>6000000</v>
      </c>
      <c r="T39" s="60">
        <v>333008</v>
      </c>
      <c r="U39" s="60">
        <v>5666992</v>
      </c>
      <c r="V39" s="62">
        <v>5.5501333333333333E-2</v>
      </c>
      <c r="W39" s="60">
        <v>333008</v>
      </c>
      <c r="X39" s="60">
        <v>0</v>
      </c>
      <c r="Y39" s="62">
        <v>0</v>
      </c>
      <c r="Z39" s="60">
        <v>333008</v>
      </c>
      <c r="AA39" s="60">
        <v>0</v>
      </c>
      <c r="AB39" s="62">
        <v>1</v>
      </c>
    </row>
    <row r="40" spans="1:28" ht="24.95" customHeight="1">
      <c r="A40" s="32" t="e">
        <v>#REF!</v>
      </c>
      <c r="B40" s="56" t="s">
        <v>364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13000000</v>
      </c>
      <c r="N40" s="60"/>
      <c r="O40" s="60"/>
      <c r="P40" s="61"/>
      <c r="Q40" s="61"/>
      <c r="R40" s="61"/>
      <c r="S40" s="60">
        <v>13000000</v>
      </c>
      <c r="T40" s="60">
        <v>0</v>
      </c>
      <c r="U40" s="60">
        <v>13000000</v>
      </c>
      <c r="V40" s="62">
        <v>0</v>
      </c>
      <c r="W40" s="60">
        <v>0</v>
      </c>
      <c r="X40" s="60">
        <v>0</v>
      </c>
      <c r="Y40" s="62">
        <v>0</v>
      </c>
      <c r="Z40" s="60">
        <v>0</v>
      </c>
      <c r="AA40" s="60">
        <v>0</v>
      </c>
      <c r="AB40" s="62">
        <v>0</v>
      </c>
    </row>
    <row r="41" spans="1:28" ht="24.95" customHeight="1">
      <c r="A41" s="32" t="e">
        <v>#REF!</v>
      </c>
      <c r="B41" s="56" t="s">
        <v>366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40000000</v>
      </c>
      <c r="N41" s="60"/>
      <c r="O41" s="60"/>
      <c r="P41" s="61"/>
      <c r="Q41" s="61"/>
      <c r="R41" s="61"/>
      <c r="S41" s="60">
        <v>40000000</v>
      </c>
      <c r="T41" s="60">
        <v>0</v>
      </c>
      <c r="U41" s="60">
        <v>40000000</v>
      </c>
      <c r="V41" s="62">
        <v>0</v>
      </c>
      <c r="W41" s="60">
        <v>0</v>
      </c>
      <c r="X41" s="60">
        <v>0</v>
      </c>
      <c r="Y41" s="62">
        <v>0</v>
      </c>
      <c r="Z41" s="60">
        <v>0</v>
      </c>
      <c r="AA41" s="60">
        <v>0</v>
      </c>
      <c r="AB41" s="62">
        <v>0</v>
      </c>
    </row>
    <row r="42" spans="1:28" ht="24.95" customHeight="1">
      <c r="A42" s="32" t="e">
        <v>#REF!</v>
      </c>
      <c r="B42" s="56" t="s">
        <v>368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984000000</v>
      </c>
      <c r="N42" s="60"/>
      <c r="O42" s="60"/>
      <c r="P42" s="61"/>
      <c r="Q42" s="61"/>
      <c r="R42" s="61"/>
      <c r="S42" s="60">
        <v>984000000</v>
      </c>
      <c r="T42" s="60">
        <v>77536625</v>
      </c>
      <c r="U42" s="60">
        <v>906463375</v>
      </c>
      <c r="V42" s="62">
        <v>7.8797383130081305E-2</v>
      </c>
      <c r="W42" s="60">
        <v>77536625</v>
      </c>
      <c r="X42" s="60">
        <v>0</v>
      </c>
      <c r="Y42" s="62">
        <v>0</v>
      </c>
      <c r="Z42" s="60">
        <v>77536625</v>
      </c>
      <c r="AA42" s="60">
        <v>0</v>
      </c>
      <c r="AB42" s="62">
        <v>1</v>
      </c>
    </row>
    <row r="43" spans="1:28" ht="24.95" customHeight="1">
      <c r="A43" s="32" t="e">
        <v>#REF!</v>
      </c>
      <c r="B43" s="56" t="s">
        <v>370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650000000</v>
      </c>
      <c r="N43" s="60"/>
      <c r="O43" s="60"/>
      <c r="P43" s="61"/>
      <c r="Q43" s="61"/>
      <c r="R43" s="61"/>
      <c r="S43" s="60">
        <v>650000000</v>
      </c>
      <c r="T43" s="60">
        <v>0</v>
      </c>
      <c r="U43" s="60">
        <v>650000000</v>
      </c>
      <c r="V43" s="62">
        <v>0</v>
      </c>
      <c r="W43" s="60">
        <v>0</v>
      </c>
      <c r="X43" s="60">
        <v>0</v>
      </c>
      <c r="Y43" s="62">
        <v>0</v>
      </c>
      <c r="Z43" s="60">
        <v>0</v>
      </c>
      <c r="AA43" s="60">
        <v>0</v>
      </c>
      <c r="AB43" s="62">
        <v>0</v>
      </c>
    </row>
    <row r="44" spans="1:28" ht="24" customHeight="1">
      <c r="A44" s="32" t="e">
        <v>#REF!</v>
      </c>
      <c r="B44" s="38" t="s">
        <v>372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39"/>
      <c r="K44" s="40"/>
      <c r="L44" s="38" t="s">
        <v>80</v>
      </c>
      <c r="M44" s="41">
        <v>44658000000</v>
      </c>
      <c r="N44" s="740">
        <v>0</v>
      </c>
      <c r="O44" s="740">
        <v>0</v>
      </c>
      <c r="P44" s="41">
        <v>3170048097</v>
      </c>
      <c r="Q44" s="41">
        <v>3170048097</v>
      </c>
      <c r="R44" s="740">
        <v>0</v>
      </c>
      <c r="S44" s="41">
        <v>44658000000</v>
      </c>
      <c r="T44" s="41">
        <v>22556772734.389999</v>
      </c>
      <c r="U44" s="41">
        <v>22101227265.610001</v>
      </c>
      <c r="V44" s="42">
        <v>0.5051003792017108</v>
      </c>
      <c r="W44" s="41">
        <v>397428998.67000002</v>
      </c>
      <c r="X44" s="41">
        <v>22159343735.720001</v>
      </c>
      <c r="Y44" s="42">
        <v>0.98238094592033198</v>
      </c>
      <c r="Z44" s="41">
        <v>325156785.67000002</v>
      </c>
      <c r="AA44" s="41">
        <v>72272213</v>
      </c>
      <c r="AB44" s="42">
        <v>1.441504019652008E-2</v>
      </c>
    </row>
    <row r="45" spans="1:28" ht="24" customHeight="1">
      <c r="A45" s="32" t="e">
        <v>#REF!</v>
      </c>
      <c r="B45" s="43" t="s">
        <v>373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4"/>
      <c r="K45" s="45"/>
      <c r="L45" s="43" t="s">
        <v>81</v>
      </c>
      <c r="M45" s="759">
        <v>100000000</v>
      </c>
      <c r="N45" s="741">
        <v>0</v>
      </c>
      <c r="O45" s="741">
        <v>0</v>
      </c>
      <c r="P45" s="46">
        <v>0</v>
      </c>
      <c r="Q45" s="741">
        <v>0</v>
      </c>
      <c r="R45" s="741">
        <v>0</v>
      </c>
      <c r="S45" s="46">
        <v>100000000</v>
      </c>
      <c r="T45" s="46">
        <v>0</v>
      </c>
      <c r="U45" s="46">
        <v>100000000</v>
      </c>
      <c r="V45" s="47">
        <v>0</v>
      </c>
      <c r="W45" s="46">
        <v>0</v>
      </c>
      <c r="X45" s="46">
        <v>0</v>
      </c>
      <c r="Y45" s="47">
        <v>0</v>
      </c>
      <c r="Z45" s="46">
        <v>0</v>
      </c>
      <c r="AA45" s="46">
        <v>0</v>
      </c>
      <c r="AB45" s="47">
        <v>0</v>
      </c>
    </row>
    <row r="46" spans="1:28" ht="24" customHeight="1">
      <c r="A46" s="32" t="e">
        <v>#REF!</v>
      </c>
      <c r="B46" s="48" t="s">
        <v>374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9" t="s">
        <v>28</v>
      </c>
      <c r="K46" s="48" t="s">
        <v>29</v>
      </c>
      <c r="L46" s="48" t="s">
        <v>82</v>
      </c>
      <c r="M46" s="760">
        <v>100000000</v>
      </c>
      <c r="N46" s="742">
        <v>0</v>
      </c>
      <c r="O46" s="742">
        <v>0</v>
      </c>
      <c r="P46" s="50">
        <v>0</v>
      </c>
      <c r="Q46" s="742">
        <v>0</v>
      </c>
      <c r="R46" s="742">
        <v>0</v>
      </c>
      <c r="S46" s="50">
        <v>100000000</v>
      </c>
      <c r="T46" s="50">
        <v>0</v>
      </c>
      <c r="U46" s="50">
        <v>100000000</v>
      </c>
      <c r="V46" s="51">
        <v>0</v>
      </c>
      <c r="W46" s="50">
        <v>0</v>
      </c>
      <c r="X46" s="50">
        <v>0</v>
      </c>
      <c r="Y46" s="51">
        <v>0</v>
      </c>
      <c r="Z46" s="50">
        <v>0</v>
      </c>
      <c r="AA46" s="50">
        <v>0</v>
      </c>
      <c r="AB46" s="51">
        <v>0</v>
      </c>
    </row>
    <row r="47" spans="1:28" ht="24" customHeight="1">
      <c r="A47" s="32" t="e">
        <v>#REF!</v>
      </c>
      <c r="B47" s="52" t="s">
        <v>375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3" t="s">
        <v>28</v>
      </c>
      <c r="K47" s="52" t="s">
        <v>29</v>
      </c>
      <c r="L47" s="52" t="s">
        <v>83</v>
      </c>
      <c r="M47" s="760">
        <v>100000000</v>
      </c>
      <c r="N47" s="742">
        <v>0</v>
      </c>
      <c r="O47" s="742">
        <v>0</v>
      </c>
      <c r="P47" s="54">
        <v>0</v>
      </c>
      <c r="Q47" s="54">
        <v>0</v>
      </c>
      <c r="R47" s="54">
        <v>0</v>
      </c>
      <c r="S47" s="54">
        <v>100000000</v>
      </c>
      <c r="T47" s="54">
        <v>0</v>
      </c>
      <c r="U47" s="54">
        <v>100000000</v>
      </c>
      <c r="V47" s="55">
        <v>0</v>
      </c>
      <c r="W47" s="54">
        <v>0</v>
      </c>
      <c r="X47" s="54">
        <v>0</v>
      </c>
      <c r="Y47" s="55">
        <v>0</v>
      </c>
      <c r="Z47" s="54">
        <v>0</v>
      </c>
      <c r="AA47" s="54">
        <v>0</v>
      </c>
      <c r="AB47" s="55">
        <v>0</v>
      </c>
    </row>
    <row r="48" spans="1:28" ht="24.95" customHeight="1">
      <c r="A48" s="32" t="e">
        <v>#REF!</v>
      </c>
      <c r="B48" s="56" t="s">
        <v>725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63" t="s">
        <v>44</v>
      </c>
      <c r="I48" s="57"/>
      <c r="J48" s="57">
        <v>10</v>
      </c>
      <c r="K48" s="58" t="s">
        <v>29</v>
      </c>
      <c r="L48" s="59" t="s">
        <v>85</v>
      </c>
      <c r="M48" s="60">
        <v>100000000</v>
      </c>
      <c r="N48" s="60"/>
      <c r="O48" s="60"/>
      <c r="P48" s="61"/>
      <c r="Q48" s="60"/>
      <c r="R48" s="61"/>
      <c r="S48" s="60">
        <v>100000000</v>
      </c>
      <c r="T48" s="60">
        <v>0</v>
      </c>
      <c r="U48" s="60">
        <v>100000000</v>
      </c>
      <c r="V48" s="62">
        <v>0</v>
      </c>
      <c r="W48" s="60">
        <v>0</v>
      </c>
      <c r="X48" s="60">
        <v>0</v>
      </c>
      <c r="Y48" s="62">
        <v>0</v>
      </c>
      <c r="Z48" s="60">
        <v>0</v>
      </c>
      <c r="AA48" s="60">
        <v>0</v>
      </c>
      <c r="AB48" s="62">
        <v>0</v>
      </c>
    </row>
    <row r="49" spans="1:28" ht="24" customHeight="1">
      <c r="A49" s="32" t="e">
        <v>#REF!</v>
      </c>
      <c r="B49" s="43" t="s">
        <v>377</v>
      </c>
      <c r="C49" s="44" t="s">
        <v>23</v>
      </c>
      <c r="D49" s="44" t="s">
        <v>54</v>
      </c>
      <c r="E49" s="44" t="s">
        <v>54</v>
      </c>
      <c r="F49" s="44"/>
      <c r="G49" s="44"/>
      <c r="H49" s="44"/>
      <c r="I49" s="44"/>
      <c r="J49" s="44"/>
      <c r="K49" s="45"/>
      <c r="L49" s="43" t="s">
        <v>86</v>
      </c>
      <c r="M49" s="46">
        <v>44558000000</v>
      </c>
      <c r="N49" s="741">
        <v>0</v>
      </c>
      <c r="O49" s="741">
        <v>0</v>
      </c>
      <c r="P49" s="46">
        <v>3170048097</v>
      </c>
      <c r="Q49" s="46">
        <v>3170048097</v>
      </c>
      <c r="R49" s="46">
        <v>0</v>
      </c>
      <c r="S49" s="46">
        <v>44558000000</v>
      </c>
      <c r="T49" s="46">
        <v>22556772734.389999</v>
      </c>
      <c r="U49" s="46">
        <v>22001227265.610001</v>
      </c>
      <c r="V49" s="47">
        <v>0.50623395875914534</v>
      </c>
      <c r="W49" s="46">
        <v>397428998.67000002</v>
      </c>
      <c r="X49" s="46">
        <v>22159343735.720001</v>
      </c>
      <c r="Y49" s="47">
        <v>0.98238094592033198</v>
      </c>
      <c r="Z49" s="46">
        <v>325156785.67000002</v>
      </c>
      <c r="AA49" s="46">
        <v>72272213</v>
      </c>
      <c r="AB49" s="47">
        <v>1.441504019652008E-2</v>
      </c>
    </row>
    <row r="50" spans="1:28" ht="24" customHeight="1">
      <c r="A50" s="32" t="e">
        <v>#REF!</v>
      </c>
      <c r="B50" s="48" t="s">
        <v>379</v>
      </c>
      <c r="C50" s="48" t="s">
        <v>23</v>
      </c>
      <c r="D50" s="48" t="s">
        <v>54</v>
      </c>
      <c r="E50" s="48" t="s">
        <v>54</v>
      </c>
      <c r="F50" s="48" t="s">
        <v>25</v>
      </c>
      <c r="G50" s="48"/>
      <c r="H50" s="48"/>
      <c r="I50" s="48"/>
      <c r="J50" s="49" t="s">
        <v>28</v>
      </c>
      <c r="K50" s="48" t="s">
        <v>29</v>
      </c>
      <c r="L50" s="48" t="s">
        <v>87</v>
      </c>
      <c r="M50" s="50">
        <v>1434662489</v>
      </c>
      <c r="N50" s="742">
        <v>0</v>
      </c>
      <c r="O50" s="742">
        <v>0</v>
      </c>
      <c r="P50" s="50">
        <v>0</v>
      </c>
      <c r="Q50" s="50">
        <v>0</v>
      </c>
      <c r="R50" s="742">
        <v>0</v>
      </c>
      <c r="S50" s="50">
        <v>1434662489</v>
      </c>
      <c r="T50" s="50">
        <v>10812489</v>
      </c>
      <c r="U50" s="50">
        <v>1423850000</v>
      </c>
      <c r="V50" s="51">
        <v>7.5366081450534113E-3</v>
      </c>
      <c r="W50" s="50">
        <v>0</v>
      </c>
      <c r="X50" s="50">
        <v>10812489</v>
      </c>
      <c r="Y50" s="51">
        <v>1</v>
      </c>
      <c r="Z50" s="50">
        <v>0</v>
      </c>
      <c r="AA50" s="50">
        <v>0</v>
      </c>
      <c r="AB50" s="51">
        <v>0</v>
      </c>
    </row>
    <row r="51" spans="1:28" ht="24" customHeight="1">
      <c r="A51" s="32" t="e">
        <v>#REF!</v>
      </c>
      <c r="B51" s="52" t="s">
        <v>381</v>
      </c>
      <c r="C51" s="52" t="s">
        <v>23</v>
      </c>
      <c r="D51" s="52" t="s">
        <v>54</v>
      </c>
      <c r="E51" s="52" t="s">
        <v>54</v>
      </c>
      <c r="F51" s="52" t="s">
        <v>25</v>
      </c>
      <c r="G51" s="52" t="s">
        <v>31</v>
      </c>
      <c r="H51" s="52"/>
      <c r="I51" s="52"/>
      <c r="J51" s="53" t="s">
        <v>28</v>
      </c>
      <c r="K51" s="52" t="s">
        <v>29</v>
      </c>
      <c r="L51" s="52" t="s">
        <v>88</v>
      </c>
      <c r="M51" s="54">
        <v>19000000</v>
      </c>
      <c r="N51" s="743">
        <v>0</v>
      </c>
      <c r="O51" s="743">
        <v>0</v>
      </c>
      <c r="P51" s="54">
        <v>0</v>
      </c>
      <c r="Q51" s="743">
        <v>0</v>
      </c>
      <c r="R51" s="743">
        <v>0</v>
      </c>
      <c r="S51" s="54">
        <v>19000000</v>
      </c>
      <c r="T51" s="54">
        <v>0</v>
      </c>
      <c r="U51" s="54">
        <v>19000000</v>
      </c>
      <c r="V51" s="55">
        <v>0</v>
      </c>
      <c r="W51" s="54">
        <v>0</v>
      </c>
      <c r="X51" s="54">
        <v>0</v>
      </c>
      <c r="Y51" s="55">
        <v>0</v>
      </c>
      <c r="Z51" s="54">
        <v>0</v>
      </c>
      <c r="AA51" s="54">
        <v>0</v>
      </c>
      <c r="AB51" s="55">
        <v>0</v>
      </c>
    </row>
    <row r="52" spans="1:28" ht="24.95" customHeight="1">
      <c r="A52" s="32" t="e">
        <v>#REF!</v>
      </c>
      <c r="B52" s="56" t="s">
        <v>555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40</v>
      </c>
      <c r="I52" s="57"/>
      <c r="J52" s="57">
        <v>10</v>
      </c>
      <c r="K52" s="58" t="s">
        <v>29</v>
      </c>
      <c r="L52" s="59" t="s">
        <v>89</v>
      </c>
      <c r="M52" s="60">
        <v>6000000</v>
      </c>
      <c r="N52" s="60"/>
      <c r="O52" s="60"/>
      <c r="P52" s="60"/>
      <c r="Q52" s="60"/>
      <c r="R52" s="61"/>
      <c r="S52" s="60">
        <v>6000000</v>
      </c>
      <c r="T52" s="60">
        <v>0</v>
      </c>
      <c r="U52" s="60">
        <v>6000000</v>
      </c>
      <c r="V52" s="62">
        <v>0</v>
      </c>
      <c r="W52" s="60">
        <v>0</v>
      </c>
      <c r="X52" s="60">
        <v>0</v>
      </c>
      <c r="Y52" s="62">
        <v>0</v>
      </c>
      <c r="Z52" s="60">
        <v>0</v>
      </c>
      <c r="AA52" s="60">
        <v>0</v>
      </c>
      <c r="AB52" s="62">
        <v>0</v>
      </c>
    </row>
    <row r="53" spans="1:28" ht="24.95" customHeight="1">
      <c r="A53" s="32" t="e">
        <v>#REF!</v>
      </c>
      <c r="B53" s="56" t="s">
        <v>557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44</v>
      </c>
      <c r="I53" s="57"/>
      <c r="J53" s="57">
        <v>10</v>
      </c>
      <c r="K53" s="58" t="s">
        <v>29</v>
      </c>
      <c r="L53" s="59" t="s">
        <v>90</v>
      </c>
      <c r="M53" s="60">
        <v>13000000</v>
      </c>
      <c r="N53" s="60"/>
      <c r="O53" s="60"/>
      <c r="P53" s="60"/>
      <c r="Q53" s="60"/>
      <c r="R53" s="61"/>
      <c r="S53" s="60">
        <v>13000000</v>
      </c>
      <c r="T53" s="60">
        <v>0</v>
      </c>
      <c r="U53" s="60">
        <v>13000000</v>
      </c>
      <c r="V53" s="62">
        <v>0</v>
      </c>
      <c r="W53" s="60">
        <v>0</v>
      </c>
      <c r="X53" s="60">
        <v>0</v>
      </c>
      <c r="Y53" s="62">
        <v>0</v>
      </c>
      <c r="Z53" s="60">
        <v>0</v>
      </c>
      <c r="AA53" s="60">
        <v>0</v>
      </c>
      <c r="AB53" s="62">
        <v>0</v>
      </c>
    </row>
    <row r="54" spans="1:28" ht="24" customHeight="1">
      <c r="A54" s="32" t="e">
        <v>#REF!</v>
      </c>
      <c r="B54" s="52" t="s">
        <v>383</v>
      </c>
      <c r="C54" s="52" t="s">
        <v>23</v>
      </c>
      <c r="D54" s="52" t="s">
        <v>54</v>
      </c>
      <c r="E54" s="52" t="s">
        <v>54</v>
      </c>
      <c r="F54" s="52" t="s">
        <v>25</v>
      </c>
      <c r="G54" s="52" t="s">
        <v>34</v>
      </c>
      <c r="H54" s="52"/>
      <c r="I54" s="52"/>
      <c r="J54" s="53" t="s">
        <v>28</v>
      </c>
      <c r="K54" s="52" t="s">
        <v>29</v>
      </c>
      <c r="L54" s="52" t="s">
        <v>91</v>
      </c>
      <c r="M54" s="54">
        <v>130000000</v>
      </c>
      <c r="N54" s="743">
        <v>0</v>
      </c>
      <c r="O54" s="743">
        <v>0</v>
      </c>
      <c r="P54" s="743">
        <v>0</v>
      </c>
      <c r="Q54" s="743">
        <v>0</v>
      </c>
      <c r="R54" s="743">
        <v>0</v>
      </c>
      <c r="S54" s="54">
        <v>130000000</v>
      </c>
      <c r="T54" s="54">
        <v>0</v>
      </c>
      <c r="U54" s="54">
        <v>130000000</v>
      </c>
      <c r="V54" s="55">
        <v>0</v>
      </c>
      <c r="W54" s="54">
        <v>0</v>
      </c>
      <c r="X54" s="54">
        <v>0</v>
      </c>
      <c r="Y54" s="55">
        <v>0</v>
      </c>
      <c r="Z54" s="54">
        <v>0</v>
      </c>
      <c r="AA54" s="54">
        <v>0</v>
      </c>
      <c r="AB54" s="55">
        <v>0</v>
      </c>
    </row>
    <row r="55" spans="1:28" ht="24.95" customHeight="1">
      <c r="A55" s="32" t="e">
        <v>#REF!</v>
      </c>
      <c r="B55" s="56" t="s">
        <v>559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57" t="s">
        <v>46</v>
      </c>
      <c r="I55" s="57"/>
      <c r="J55" s="57">
        <v>10</v>
      </c>
      <c r="K55" s="58" t="s">
        <v>29</v>
      </c>
      <c r="L55" s="59" t="s">
        <v>92</v>
      </c>
      <c r="M55" s="60">
        <v>130000000</v>
      </c>
      <c r="N55" s="60"/>
      <c r="O55" s="60"/>
      <c r="P55" s="60"/>
      <c r="Q55" s="60"/>
      <c r="R55" s="61"/>
      <c r="S55" s="60">
        <v>130000000</v>
      </c>
      <c r="T55" s="60">
        <v>0</v>
      </c>
      <c r="U55" s="60">
        <v>130000000</v>
      </c>
      <c r="V55" s="62">
        <v>0</v>
      </c>
      <c r="W55" s="60">
        <v>0</v>
      </c>
      <c r="X55" s="60">
        <v>0</v>
      </c>
      <c r="Y55" s="62">
        <v>0</v>
      </c>
      <c r="Z55" s="60">
        <v>0</v>
      </c>
      <c r="AA55" s="60">
        <v>0</v>
      </c>
      <c r="AB55" s="62">
        <v>0</v>
      </c>
    </row>
    <row r="56" spans="1:28" ht="24" customHeight="1">
      <c r="A56" s="32" t="e">
        <v>#REF!</v>
      </c>
      <c r="B56" s="52" t="s">
        <v>385</v>
      </c>
      <c r="C56" s="52" t="s">
        <v>23</v>
      </c>
      <c r="D56" s="52" t="s">
        <v>54</v>
      </c>
      <c r="E56" s="52" t="s">
        <v>54</v>
      </c>
      <c r="F56" s="52" t="s">
        <v>25</v>
      </c>
      <c r="G56" s="52" t="s">
        <v>36</v>
      </c>
      <c r="H56" s="52"/>
      <c r="I56" s="52"/>
      <c r="J56" s="53" t="s">
        <v>28</v>
      </c>
      <c r="K56" s="52" t="s">
        <v>29</v>
      </c>
      <c r="L56" s="52" t="s">
        <v>93</v>
      </c>
      <c r="M56" s="54">
        <v>360662489</v>
      </c>
      <c r="N56" s="743">
        <v>0</v>
      </c>
      <c r="O56" s="743">
        <v>0</v>
      </c>
      <c r="P56" s="54">
        <v>0</v>
      </c>
      <c r="Q56" s="54">
        <v>0</v>
      </c>
      <c r="R56" s="743">
        <v>0</v>
      </c>
      <c r="S56" s="54">
        <v>360662489</v>
      </c>
      <c r="T56" s="54">
        <v>10812489</v>
      </c>
      <c r="U56" s="54">
        <v>349850000</v>
      </c>
      <c r="V56" s="55">
        <v>2.9979521934702779E-2</v>
      </c>
      <c r="W56" s="54">
        <v>0</v>
      </c>
      <c r="X56" s="54">
        <v>10812489</v>
      </c>
      <c r="Y56" s="55">
        <v>1</v>
      </c>
      <c r="Z56" s="54">
        <v>0</v>
      </c>
      <c r="AA56" s="54">
        <v>0</v>
      </c>
      <c r="AB56" s="55">
        <v>0</v>
      </c>
    </row>
    <row r="57" spans="1:28" ht="24.95" customHeight="1">
      <c r="A57" s="32" t="e">
        <v>#REF!</v>
      </c>
      <c r="B57" s="56" t="s">
        <v>561</v>
      </c>
      <c r="C57" s="57" t="s">
        <v>23</v>
      </c>
      <c r="D57" s="57" t="s">
        <v>54</v>
      </c>
      <c r="E57" s="57" t="s">
        <v>54</v>
      </c>
      <c r="F57" s="57" t="s">
        <v>25</v>
      </c>
      <c r="G57" s="57" t="s">
        <v>36</v>
      </c>
      <c r="H57" s="57" t="s">
        <v>34</v>
      </c>
      <c r="I57" s="57"/>
      <c r="J57" s="57">
        <v>10</v>
      </c>
      <c r="K57" s="58" t="s">
        <v>29</v>
      </c>
      <c r="L57" s="59" t="s">
        <v>94</v>
      </c>
      <c r="M57" s="60">
        <v>154100000</v>
      </c>
      <c r="N57" s="60"/>
      <c r="O57" s="60"/>
      <c r="P57" s="60"/>
      <c r="Q57" s="60"/>
      <c r="R57" s="61"/>
      <c r="S57" s="60">
        <v>154100000</v>
      </c>
      <c r="T57" s="60">
        <v>0</v>
      </c>
      <c r="U57" s="60">
        <v>154100000</v>
      </c>
      <c r="V57" s="62">
        <v>0</v>
      </c>
      <c r="W57" s="60">
        <v>0</v>
      </c>
      <c r="X57" s="60">
        <v>0</v>
      </c>
      <c r="Y57" s="62">
        <v>0</v>
      </c>
      <c r="Z57" s="60">
        <v>0</v>
      </c>
      <c r="AA57" s="60">
        <v>0</v>
      </c>
      <c r="AB57" s="62">
        <v>0</v>
      </c>
    </row>
    <row r="58" spans="1:28" ht="24.95" customHeight="1">
      <c r="A58" s="32" t="e">
        <v>#REF!</v>
      </c>
      <c r="B58" s="56" t="s">
        <v>563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36</v>
      </c>
      <c r="I58" s="57"/>
      <c r="J58" s="57">
        <v>10</v>
      </c>
      <c r="K58" s="58" t="s">
        <v>29</v>
      </c>
      <c r="L58" s="59" t="s">
        <v>95</v>
      </c>
      <c r="M58" s="60">
        <v>89562489</v>
      </c>
      <c r="N58" s="60"/>
      <c r="O58" s="60"/>
      <c r="P58" s="60"/>
      <c r="Q58" s="60"/>
      <c r="R58" s="61"/>
      <c r="S58" s="60">
        <v>89562489</v>
      </c>
      <c r="T58" s="60">
        <v>10812489</v>
      </c>
      <c r="U58" s="60">
        <v>78750000</v>
      </c>
      <c r="V58" s="62">
        <v>0.12072564218263296</v>
      </c>
      <c r="W58" s="60">
        <v>0</v>
      </c>
      <c r="X58" s="60">
        <v>10812489</v>
      </c>
      <c r="Y58" s="62">
        <v>1</v>
      </c>
      <c r="Z58" s="60">
        <v>0</v>
      </c>
      <c r="AA58" s="60">
        <v>0</v>
      </c>
      <c r="AB58" s="62">
        <v>0</v>
      </c>
    </row>
    <row r="59" spans="1:28" ht="24.95" customHeight="1">
      <c r="A59" s="32" t="e">
        <v>#REF!</v>
      </c>
      <c r="B59" s="56" t="s">
        <v>565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40</v>
      </c>
      <c r="I59" s="57"/>
      <c r="J59" s="57">
        <v>10</v>
      </c>
      <c r="K59" s="58" t="s">
        <v>29</v>
      </c>
      <c r="L59" s="59" t="s">
        <v>96</v>
      </c>
      <c r="M59" s="60">
        <v>14000000</v>
      </c>
      <c r="N59" s="60"/>
      <c r="O59" s="60"/>
      <c r="P59" s="60"/>
      <c r="Q59" s="60"/>
      <c r="R59" s="61"/>
      <c r="S59" s="60">
        <v>14000000</v>
      </c>
      <c r="T59" s="60">
        <v>0</v>
      </c>
      <c r="U59" s="60">
        <v>14000000</v>
      </c>
      <c r="V59" s="62">
        <v>0</v>
      </c>
      <c r="W59" s="60">
        <v>0</v>
      </c>
      <c r="X59" s="60">
        <v>0</v>
      </c>
      <c r="Y59" s="62">
        <v>0</v>
      </c>
      <c r="Z59" s="60">
        <v>0</v>
      </c>
      <c r="AA59" s="60">
        <v>0</v>
      </c>
      <c r="AB59" s="62">
        <v>0</v>
      </c>
    </row>
    <row r="60" spans="1:28" ht="24.95" customHeight="1">
      <c r="A60" s="32" t="e">
        <v>#REF!</v>
      </c>
      <c r="B60" s="56" t="s">
        <v>567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42</v>
      </c>
      <c r="I60" s="57"/>
      <c r="J60" s="57">
        <v>10</v>
      </c>
      <c r="K60" s="58" t="s">
        <v>29</v>
      </c>
      <c r="L60" s="59" t="s">
        <v>97</v>
      </c>
      <c r="M60" s="60">
        <v>20000000</v>
      </c>
      <c r="N60" s="60"/>
      <c r="O60" s="60"/>
      <c r="P60" s="60"/>
      <c r="Q60" s="60"/>
      <c r="R60" s="61"/>
      <c r="S60" s="60">
        <v>20000000</v>
      </c>
      <c r="T60" s="60">
        <v>0</v>
      </c>
      <c r="U60" s="60">
        <v>20000000</v>
      </c>
      <c r="V60" s="62">
        <v>0</v>
      </c>
      <c r="W60" s="60">
        <v>0</v>
      </c>
      <c r="X60" s="60">
        <v>0</v>
      </c>
      <c r="Y60" s="62">
        <v>0</v>
      </c>
      <c r="Z60" s="60">
        <v>0</v>
      </c>
      <c r="AA60" s="60">
        <v>0</v>
      </c>
      <c r="AB60" s="62">
        <v>0</v>
      </c>
    </row>
    <row r="61" spans="1:28" ht="24.95" customHeight="1">
      <c r="A61" s="32" t="e">
        <v>#REF!</v>
      </c>
      <c r="B61" s="56" t="s">
        <v>571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46</v>
      </c>
      <c r="I61" s="57"/>
      <c r="J61" s="57">
        <v>10</v>
      </c>
      <c r="K61" s="58" t="s">
        <v>29</v>
      </c>
      <c r="L61" s="59" t="s">
        <v>99</v>
      </c>
      <c r="M61" s="60">
        <v>83000000</v>
      </c>
      <c r="N61" s="60"/>
      <c r="O61" s="60"/>
      <c r="P61" s="60"/>
      <c r="Q61" s="60"/>
      <c r="R61" s="61"/>
      <c r="S61" s="60">
        <v>83000000</v>
      </c>
      <c r="T61" s="60">
        <v>0</v>
      </c>
      <c r="U61" s="60">
        <v>83000000</v>
      </c>
      <c r="V61" s="62">
        <v>0</v>
      </c>
      <c r="W61" s="60">
        <v>0</v>
      </c>
      <c r="X61" s="60">
        <v>0</v>
      </c>
      <c r="Y61" s="62">
        <v>0</v>
      </c>
      <c r="Z61" s="60">
        <v>0</v>
      </c>
      <c r="AA61" s="60">
        <v>0</v>
      </c>
      <c r="AB61" s="62">
        <v>0</v>
      </c>
    </row>
    <row r="62" spans="1:28" ht="24" customHeight="1">
      <c r="A62" s="32" t="e">
        <v>#REF!</v>
      </c>
      <c r="B62" s="52" t="s">
        <v>387</v>
      </c>
      <c r="C62" s="52" t="s">
        <v>23</v>
      </c>
      <c r="D62" s="52" t="s">
        <v>54</v>
      </c>
      <c r="E62" s="52" t="s">
        <v>54</v>
      </c>
      <c r="F62" s="52" t="s">
        <v>25</v>
      </c>
      <c r="G62" s="52" t="s">
        <v>38</v>
      </c>
      <c r="H62" s="52"/>
      <c r="I62" s="52"/>
      <c r="J62" s="53" t="s">
        <v>28</v>
      </c>
      <c r="K62" s="52" t="s">
        <v>29</v>
      </c>
      <c r="L62" s="52" t="s">
        <v>100</v>
      </c>
      <c r="M62" s="54">
        <v>925000000</v>
      </c>
      <c r="N62" s="743">
        <v>0</v>
      </c>
      <c r="O62" s="743">
        <v>0</v>
      </c>
      <c r="P62" s="54">
        <v>0</v>
      </c>
      <c r="Q62" s="54">
        <v>0</v>
      </c>
      <c r="R62" s="743">
        <v>0</v>
      </c>
      <c r="S62" s="54">
        <v>925000000</v>
      </c>
      <c r="T62" s="54">
        <v>0</v>
      </c>
      <c r="U62" s="54">
        <v>925000000</v>
      </c>
      <c r="V62" s="55">
        <v>0</v>
      </c>
      <c r="W62" s="54">
        <v>0</v>
      </c>
      <c r="X62" s="54">
        <v>0</v>
      </c>
      <c r="Y62" s="55">
        <v>0</v>
      </c>
      <c r="Z62" s="54">
        <v>0</v>
      </c>
      <c r="AA62" s="54">
        <v>0</v>
      </c>
      <c r="AB62" s="55">
        <v>0</v>
      </c>
    </row>
    <row r="63" spans="1:28" ht="24.95" customHeight="1">
      <c r="A63" s="32" t="e">
        <v>#REF!</v>
      </c>
      <c r="B63" s="56" t="s">
        <v>573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38</v>
      </c>
      <c r="H63" s="57" t="s">
        <v>34</v>
      </c>
      <c r="I63" s="57"/>
      <c r="J63" s="57">
        <v>10</v>
      </c>
      <c r="K63" s="58" t="s">
        <v>29</v>
      </c>
      <c r="L63" s="59" t="s">
        <v>101</v>
      </c>
      <c r="M63" s="60">
        <v>30000000</v>
      </c>
      <c r="N63" s="60"/>
      <c r="O63" s="60"/>
      <c r="P63" s="60"/>
      <c r="Q63" s="60"/>
      <c r="R63" s="61"/>
      <c r="S63" s="60">
        <v>30000000</v>
      </c>
      <c r="T63" s="60">
        <v>0</v>
      </c>
      <c r="U63" s="60">
        <v>30000000</v>
      </c>
      <c r="V63" s="62">
        <v>0</v>
      </c>
      <c r="W63" s="60">
        <v>0</v>
      </c>
      <c r="X63" s="60">
        <v>0</v>
      </c>
      <c r="Y63" s="62">
        <v>0</v>
      </c>
      <c r="Z63" s="60">
        <v>0</v>
      </c>
      <c r="AA63" s="60">
        <v>0</v>
      </c>
      <c r="AB63" s="62">
        <v>0</v>
      </c>
    </row>
    <row r="64" spans="1:28" ht="24.95" customHeight="1">
      <c r="A64" s="32" t="e">
        <v>#REF!</v>
      </c>
      <c r="B64" s="56" t="s">
        <v>575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40</v>
      </c>
      <c r="I64" s="57"/>
      <c r="J64" s="57">
        <v>10</v>
      </c>
      <c r="K64" s="58" t="s">
        <v>29</v>
      </c>
      <c r="L64" s="59" t="s">
        <v>102</v>
      </c>
      <c r="M64" s="60">
        <v>565000000</v>
      </c>
      <c r="N64" s="60"/>
      <c r="O64" s="60"/>
      <c r="P64" s="60"/>
      <c r="Q64" s="60"/>
      <c r="R64" s="61"/>
      <c r="S64" s="60">
        <v>565000000</v>
      </c>
      <c r="T64" s="60">
        <v>0</v>
      </c>
      <c r="U64" s="60">
        <v>565000000</v>
      </c>
      <c r="V64" s="62">
        <v>0</v>
      </c>
      <c r="W64" s="60">
        <v>0</v>
      </c>
      <c r="X64" s="60">
        <v>0</v>
      </c>
      <c r="Y64" s="62">
        <v>0</v>
      </c>
      <c r="Z64" s="60">
        <v>0</v>
      </c>
      <c r="AA64" s="60">
        <v>0</v>
      </c>
      <c r="AB64" s="62">
        <v>0</v>
      </c>
    </row>
    <row r="65" spans="1:28" ht="24.95" customHeight="1">
      <c r="A65" s="32" t="e">
        <v>#REF!</v>
      </c>
      <c r="B65" s="56" t="s">
        <v>577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42</v>
      </c>
      <c r="I65" s="57"/>
      <c r="J65" s="57">
        <v>10</v>
      </c>
      <c r="K65" s="58" t="s">
        <v>29</v>
      </c>
      <c r="L65" s="59" t="s">
        <v>84</v>
      </c>
      <c r="M65" s="60">
        <v>148000000</v>
      </c>
      <c r="N65" s="60"/>
      <c r="O65" s="60"/>
      <c r="P65" s="60"/>
      <c r="Q65" s="60"/>
      <c r="R65" s="61"/>
      <c r="S65" s="60">
        <v>148000000</v>
      </c>
      <c r="T65" s="60">
        <v>0</v>
      </c>
      <c r="U65" s="60">
        <v>148000000</v>
      </c>
      <c r="V65" s="62">
        <v>0</v>
      </c>
      <c r="W65" s="60">
        <v>0</v>
      </c>
      <c r="X65" s="60">
        <v>0</v>
      </c>
      <c r="Y65" s="62">
        <v>0</v>
      </c>
      <c r="Z65" s="60">
        <v>0</v>
      </c>
      <c r="AA65" s="60">
        <v>0</v>
      </c>
      <c r="AB65" s="62">
        <v>0</v>
      </c>
    </row>
    <row r="66" spans="1:28" ht="24.95" customHeight="1">
      <c r="A66" s="32" t="e">
        <v>#REF!</v>
      </c>
      <c r="B66" s="56" t="s">
        <v>579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44</v>
      </c>
      <c r="I66" s="57"/>
      <c r="J66" s="57">
        <v>10</v>
      </c>
      <c r="K66" s="58" t="s">
        <v>29</v>
      </c>
      <c r="L66" s="59" t="s">
        <v>85</v>
      </c>
      <c r="M66" s="60">
        <v>182000000</v>
      </c>
      <c r="N66" s="60"/>
      <c r="O66" s="60"/>
      <c r="P66" s="60"/>
      <c r="Q66" s="60"/>
      <c r="R66" s="61"/>
      <c r="S66" s="60">
        <v>182000000</v>
      </c>
      <c r="T66" s="60">
        <v>0</v>
      </c>
      <c r="U66" s="60">
        <v>182000000</v>
      </c>
      <c r="V66" s="62">
        <v>0</v>
      </c>
      <c r="W66" s="60">
        <v>0</v>
      </c>
      <c r="X66" s="60">
        <v>0</v>
      </c>
      <c r="Y66" s="62">
        <v>0</v>
      </c>
      <c r="Z66" s="60">
        <v>0</v>
      </c>
      <c r="AA66" s="60">
        <v>0</v>
      </c>
      <c r="AB66" s="62">
        <v>0</v>
      </c>
    </row>
    <row r="67" spans="1:28" ht="24" customHeight="1">
      <c r="A67" s="32" t="e">
        <v>#REF!</v>
      </c>
      <c r="B67" s="48" t="s">
        <v>389</v>
      </c>
      <c r="C67" s="48" t="s">
        <v>23</v>
      </c>
      <c r="D67" s="48" t="s">
        <v>54</v>
      </c>
      <c r="E67" s="48" t="s">
        <v>54</v>
      </c>
      <c r="F67" s="48" t="s">
        <v>54</v>
      </c>
      <c r="G67" s="48"/>
      <c r="H67" s="48"/>
      <c r="I67" s="48"/>
      <c r="J67" s="49" t="s">
        <v>28</v>
      </c>
      <c r="K67" s="48" t="s">
        <v>29</v>
      </c>
      <c r="L67" s="48" t="s">
        <v>103</v>
      </c>
      <c r="M67" s="50">
        <v>43123337511</v>
      </c>
      <c r="N67" s="743">
        <v>0</v>
      </c>
      <c r="O67" s="743">
        <v>0</v>
      </c>
      <c r="P67" s="50">
        <v>3170048097</v>
      </c>
      <c r="Q67" s="50">
        <v>3170048097</v>
      </c>
      <c r="R67" s="743">
        <v>0</v>
      </c>
      <c r="S67" s="50">
        <v>43123337511</v>
      </c>
      <c r="T67" s="50">
        <v>22545960245.389999</v>
      </c>
      <c r="U67" s="50">
        <v>20577377265.610001</v>
      </c>
      <c r="V67" s="51">
        <v>0.52282503040584283</v>
      </c>
      <c r="W67" s="50">
        <v>397428998.67000002</v>
      </c>
      <c r="X67" s="50">
        <v>22148531246.720001</v>
      </c>
      <c r="Y67" s="51">
        <v>0.98237249625456691</v>
      </c>
      <c r="Z67" s="50">
        <v>325156785.67000002</v>
      </c>
      <c r="AA67" s="50">
        <v>72272213</v>
      </c>
      <c r="AB67" s="51">
        <v>1.442195329588968E-2</v>
      </c>
    </row>
    <row r="68" spans="1:28" ht="24.75" customHeight="1">
      <c r="A68" s="32" t="e">
        <v>#REF!</v>
      </c>
      <c r="B68" s="52" t="s">
        <v>391</v>
      </c>
      <c r="C68" s="52" t="s">
        <v>23</v>
      </c>
      <c r="D68" s="52" t="s">
        <v>54</v>
      </c>
      <c r="E68" s="52" t="s">
        <v>54</v>
      </c>
      <c r="F68" s="52" t="s">
        <v>54</v>
      </c>
      <c r="G68" s="52" t="s">
        <v>42</v>
      </c>
      <c r="H68" s="52"/>
      <c r="I68" s="52"/>
      <c r="J68" s="53" t="s">
        <v>28</v>
      </c>
      <c r="K68" s="52" t="s">
        <v>29</v>
      </c>
      <c r="L68" s="52" t="s">
        <v>104</v>
      </c>
      <c r="M68" s="54">
        <v>5553279341</v>
      </c>
      <c r="N68" s="743">
        <v>0</v>
      </c>
      <c r="O68" s="743">
        <v>0</v>
      </c>
      <c r="P68" s="54">
        <v>0</v>
      </c>
      <c r="Q68" s="54">
        <v>0</v>
      </c>
      <c r="R68" s="743">
        <v>0</v>
      </c>
      <c r="S68" s="54">
        <v>5553279341</v>
      </c>
      <c r="T68" s="54">
        <v>2083635249</v>
      </c>
      <c r="U68" s="54">
        <v>3469644092</v>
      </c>
      <c r="V68" s="55">
        <v>0.37520807455451932</v>
      </c>
      <c r="W68" s="54">
        <v>44340091.560000002</v>
      </c>
      <c r="X68" s="54">
        <v>2039295157.4400001</v>
      </c>
      <c r="Y68" s="55">
        <v>0.97871983996177825</v>
      </c>
      <c r="Z68" s="54">
        <v>40952100.560000002</v>
      </c>
      <c r="AA68" s="54">
        <v>3387991</v>
      </c>
      <c r="AB68" s="55">
        <v>1.9654159997367179E-2</v>
      </c>
    </row>
    <row r="69" spans="1:28" ht="24.95" customHeight="1">
      <c r="A69" s="32" t="e">
        <v>#REF!</v>
      </c>
      <c r="B69" s="56" t="s">
        <v>583</v>
      </c>
      <c r="C69" s="57" t="s">
        <v>23</v>
      </c>
      <c r="D69" s="57" t="s">
        <v>54</v>
      </c>
      <c r="E69" s="57" t="s">
        <v>54</v>
      </c>
      <c r="F69" s="57" t="s">
        <v>54</v>
      </c>
      <c r="G69" s="57" t="s">
        <v>42</v>
      </c>
      <c r="H69" s="57" t="s">
        <v>36</v>
      </c>
      <c r="I69" s="57"/>
      <c r="J69" s="57">
        <v>10</v>
      </c>
      <c r="K69" s="58" t="s">
        <v>29</v>
      </c>
      <c r="L69" s="59" t="s">
        <v>105</v>
      </c>
      <c r="M69" s="60">
        <v>182500000</v>
      </c>
      <c r="N69" s="60"/>
      <c r="O69" s="60"/>
      <c r="P69" s="60"/>
      <c r="Q69" s="60"/>
      <c r="R69" s="61"/>
      <c r="S69" s="60">
        <v>182500000</v>
      </c>
      <c r="T69" s="60">
        <v>30449359</v>
      </c>
      <c r="U69" s="60">
        <v>152050641</v>
      </c>
      <c r="V69" s="62">
        <v>0.16684580273972602</v>
      </c>
      <c r="W69" s="60">
        <v>0</v>
      </c>
      <c r="X69" s="60">
        <v>30449359</v>
      </c>
      <c r="Y69" s="62">
        <v>1</v>
      </c>
      <c r="Z69" s="60">
        <v>0</v>
      </c>
      <c r="AA69" s="60">
        <v>0</v>
      </c>
      <c r="AB69" s="62">
        <v>0</v>
      </c>
    </row>
    <row r="70" spans="1:28" ht="24.95" customHeight="1">
      <c r="A70" s="32" t="e">
        <v>#REF!</v>
      </c>
      <c r="B70" s="56" t="s">
        <v>585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38</v>
      </c>
      <c r="I70" s="57"/>
      <c r="J70" s="57">
        <v>10</v>
      </c>
      <c r="K70" s="58" t="s">
        <v>29</v>
      </c>
      <c r="L70" s="59" t="s">
        <v>106</v>
      </c>
      <c r="M70" s="60">
        <v>2460219321</v>
      </c>
      <c r="N70" s="60"/>
      <c r="O70" s="60"/>
      <c r="P70" s="60"/>
      <c r="Q70" s="60"/>
      <c r="R70" s="61"/>
      <c r="S70" s="60">
        <v>2460219321</v>
      </c>
      <c r="T70" s="60">
        <v>1362730134</v>
      </c>
      <c r="U70" s="60">
        <v>1097489187</v>
      </c>
      <c r="V70" s="62">
        <v>0.5539059556064676</v>
      </c>
      <c r="W70" s="60">
        <v>0</v>
      </c>
      <c r="X70" s="60">
        <v>1362730134</v>
      </c>
      <c r="Y70" s="62">
        <v>1</v>
      </c>
      <c r="Z70" s="60">
        <v>0</v>
      </c>
      <c r="AA70" s="60">
        <v>0</v>
      </c>
      <c r="AB70" s="62">
        <v>0</v>
      </c>
    </row>
    <row r="71" spans="1:28" ht="24.95" customHeight="1">
      <c r="A71" s="32" t="e">
        <v>#REF!</v>
      </c>
      <c r="B71" s="56" t="s">
        <v>587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40</v>
      </c>
      <c r="I71" s="57"/>
      <c r="J71" s="57">
        <v>10</v>
      </c>
      <c r="K71" s="58" t="s">
        <v>29</v>
      </c>
      <c r="L71" s="59" t="s">
        <v>107</v>
      </c>
      <c r="M71" s="60">
        <v>114000000</v>
      </c>
      <c r="N71" s="60"/>
      <c r="O71" s="60"/>
      <c r="P71" s="60"/>
      <c r="Q71" s="60"/>
      <c r="R71" s="61"/>
      <c r="S71" s="60">
        <v>114000000</v>
      </c>
      <c r="T71" s="60">
        <v>0</v>
      </c>
      <c r="U71" s="60">
        <v>114000000</v>
      </c>
      <c r="V71" s="62">
        <v>0</v>
      </c>
      <c r="W71" s="60">
        <v>0</v>
      </c>
      <c r="X71" s="60">
        <v>0</v>
      </c>
      <c r="Y71" s="62">
        <v>0</v>
      </c>
      <c r="Z71" s="60">
        <v>0</v>
      </c>
      <c r="AA71" s="60">
        <v>0</v>
      </c>
      <c r="AB71" s="62">
        <v>0</v>
      </c>
    </row>
    <row r="72" spans="1:28" ht="24.95" customHeight="1">
      <c r="A72" s="32" t="e">
        <v>#REF!</v>
      </c>
      <c r="B72" s="56" t="s">
        <v>591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46</v>
      </c>
      <c r="I72" s="57"/>
      <c r="J72" s="57">
        <v>10</v>
      </c>
      <c r="K72" s="58" t="s">
        <v>29</v>
      </c>
      <c r="L72" s="59" t="s">
        <v>108</v>
      </c>
      <c r="M72" s="60">
        <v>1530960020</v>
      </c>
      <c r="N72" s="60"/>
      <c r="O72" s="60"/>
      <c r="P72" s="60"/>
      <c r="Q72" s="60"/>
      <c r="R72" s="61"/>
      <c r="S72" s="60">
        <v>1530960020</v>
      </c>
      <c r="T72" s="60">
        <v>646115648</v>
      </c>
      <c r="U72" s="60">
        <v>884844372</v>
      </c>
      <c r="V72" s="62">
        <v>0.42203299861481686</v>
      </c>
      <c r="W72" s="60">
        <v>0</v>
      </c>
      <c r="X72" s="60">
        <v>646115648</v>
      </c>
      <c r="Y72" s="62">
        <v>1</v>
      </c>
      <c r="Z72" s="60">
        <v>0</v>
      </c>
      <c r="AA72" s="60">
        <v>0</v>
      </c>
      <c r="AB72" s="62">
        <v>0</v>
      </c>
    </row>
    <row r="73" spans="1:28" ht="24.95" customHeight="1">
      <c r="A73" s="32" t="e">
        <v>#REF!</v>
      </c>
      <c r="B73" s="56" t="s">
        <v>593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48</v>
      </c>
      <c r="I73" s="57"/>
      <c r="J73" s="57">
        <v>10</v>
      </c>
      <c r="K73" s="58" t="s">
        <v>29</v>
      </c>
      <c r="L73" s="59" t="s">
        <v>109</v>
      </c>
      <c r="M73" s="60">
        <v>1265600000</v>
      </c>
      <c r="N73" s="60"/>
      <c r="O73" s="60"/>
      <c r="P73" s="60"/>
      <c r="Q73" s="60"/>
      <c r="R73" s="61"/>
      <c r="S73" s="60">
        <v>1265600000</v>
      </c>
      <c r="T73" s="60">
        <v>44340108</v>
      </c>
      <c r="U73" s="60">
        <v>1221259892</v>
      </c>
      <c r="V73" s="62">
        <v>3.5034851453855875E-2</v>
      </c>
      <c r="W73" s="60">
        <v>44340091.560000002</v>
      </c>
      <c r="X73" s="60">
        <v>16.439999997615814</v>
      </c>
      <c r="Y73" s="62">
        <v>3.7077040943643651E-7</v>
      </c>
      <c r="Z73" s="60">
        <v>40952100.560000002</v>
      </c>
      <c r="AA73" s="60">
        <v>3387991</v>
      </c>
      <c r="AB73" s="62">
        <v>0.92359045584643151</v>
      </c>
    </row>
    <row r="74" spans="1:28" ht="28.5" customHeight="1">
      <c r="A74" s="32" t="e">
        <v>#REF!</v>
      </c>
      <c r="B74" s="52" t="s">
        <v>393</v>
      </c>
      <c r="C74" s="52" t="s">
        <v>23</v>
      </c>
      <c r="D74" s="52" t="s">
        <v>54</v>
      </c>
      <c r="E74" s="52" t="s">
        <v>54</v>
      </c>
      <c r="F74" s="52" t="s">
        <v>54</v>
      </c>
      <c r="G74" s="52" t="s">
        <v>44</v>
      </c>
      <c r="H74" s="52"/>
      <c r="I74" s="52"/>
      <c r="J74" s="53" t="s">
        <v>28</v>
      </c>
      <c r="K74" s="52" t="s">
        <v>29</v>
      </c>
      <c r="L74" s="52" t="s">
        <v>110</v>
      </c>
      <c r="M74" s="54">
        <v>16189463994</v>
      </c>
      <c r="N74" s="743">
        <v>0</v>
      </c>
      <c r="O74" s="743">
        <v>0</v>
      </c>
      <c r="P74" s="54">
        <v>0</v>
      </c>
      <c r="Q74" s="54">
        <v>0</v>
      </c>
      <c r="R74" s="743">
        <v>0</v>
      </c>
      <c r="S74" s="54">
        <v>16189463994</v>
      </c>
      <c r="T74" s="54">
        <v>13842604900</v>
      </c>
      <c r="U74" s="54">
        <v>2346859094</v>
      </c>
      <c r="V74" s="55">
        <v>0.85503787556711131</v>
      </c>
      <c r="W74" s="54">
        <v>209596779</v>
      </c>
      <c r="X74" s="54">
        <v>13633008121</v>
      </c>
      <c r="Y74" s="55">
        <v>0.9848585739090191</v>
      </c>
      <c r="Z74" s="54">
        <v>209596779</v>
      </c>
      <c r="AA74" s="54">
        <v>0</v>
      </c>
      <c r="AB74" s="55">
        <v>1.5141426090980896E-2</v>
      </c>
    </row>
    <row r="75" spans="1:28" ht="24.95" customHeight="1">
      <c r="A75" s="32" t="e">
        <v>#REF!</v>
      </c>
      <c r="B75" s="56" t="s">
        <v>595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44</v>
      </c>
      <c r="H75" s="57" t="s">
        <v>31</v>
      </c>
      <c r="I75" s="57"/>
      <c r="J75" s="57">
        <v>10</v>
      </c>
      <c r="K75" s="58" t="s">
        <v>29</v>
      </c>
      <c r="L75" s="59" t="s">
        <v>111</v>
      </c>
      <c r="M75" s="60">
        <v>718200000</v>
      </c>
      <c r="N75" s="60"/>
      <c r="O75" s="60"/>
      <c r="P75" s="60"/>
      <c r="Q75" s="60"/>
      <c r="R75" s="61"/>
      <c r="S75" s="60">
        <v>718200000</v>
      </c>
      <c r="T75" s="60">
        <v>0</v>
      </c>
      <c r="U75" s="60">
        <v>718200000</v>
      </c>
      <c r="V75" s="62">
        <v>0</v>
      </c>
      <c r="W75" s="60">
        <v>0</v>
      </c>
      <c r="X75" s="60">
        <v>0</v>
      </c>
      <c r="Y75" s="62">
        <v>0</v>
      </c>
      <c r="Z75" s="60">
        <v>0</v>
      </c>
      <c r="AA75" s="60">
        <v>0</v>
      </c>
      <c r="AB75" s="62">
        <v>0</v>
      </c>
    </row>
    <row r="76" spans="1:28" ht="24.95" customHeight="1">
      <c r="A76" s="32" t="e">
        <v>#REF!</v>
      </c>
      <c r="B76" s="56" t="s">
        <v>597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34</v>
      </c>
      <c r="I76" s="57"/>
      <c r="J76" s="57">
        <v>10</v>
      </c>
      <c r="K76" s="58" t="s">
        <v>29</v>
      </c>
      <c r="L76" s="59" t="s">
        <v>112</v>
      </c>
      <c r="M76" s="60">
        <v>15471263994</v>
      </c>
      <c r="N76" s="60"/>
      <c r="O76" s="60"/>
      <c r="P76" s="60"/>
      <c r="Q76" s="60"/>
      <c r="R76" s="61"/>
      <c r="S76" s="60">
        <v>15471263994</v>
      </c>
      <c r="T76" s="60">
        <v>13842604900</v>
      </c>
      <c r="U76" s="60">
        <v>1628659094</v>
      </c>
      <c r="V76" s="62">
        <v>0.89473005601665001</v>
      </c>
      <c r="W76" s="60">
        <v>209596779</v>
      </c>
      <c r="X76" s="60">
        <v>13633008121</v>
      </c>
      <c r="Y76" s="62">
        <v>0.9848585739090191</v>
      </c>
      <c r="Z76" s="60">
        <v>209596779</v>
      </c>
      <c r="AA76" s="60">
        <v>0</v>
      </c>
      <c r="AB76" s="62">
        <v>1.5141426090980896E-2</v>
      </c>
    </row>
    <row r="77" spans="1:28" ht="27.75" customHeight="1">
      <c r="A77" s="32" t="e">
        <v>#REF!</v>
      </c>
      <c r="B77" s="52" t="s">
        <v>395</v>
      </c>
      <c r="C77" s="52" t="s">
        <v>23</v>
      </c>
      <c r="D77" s="52" t="s">
        <v>54</v>
      </c>
      <c r="E77" s="52" t="s">
        <v>54</v>
      </c>
      <c r="F77" s="52" t="s">
        <v>54</v>
      </c>
      <c r="G77" s="52" t="s">
        <v>46</v>
      </c>
      <c r="H77" s="52"/>
      <c r="I77" s="52"/>
      <c r="J77" s="53" t="s">
        <v>28</v>
      </c>
      <c r="K77" s="52" t="s">
        <v>29</v>
      </c>
      <c r="L77" s="52" t="s">
        <v>113</v>
      </c>
      <c r="M77" s="54">
        <v>18297410176</v>
      </c>
      <c r="N77" s="743">
        <v>0</v>
      </c>
      <c r="O77" s="743">
        <v>0</v>
      </c>
      <c r="P77" s="54">
        <v>0</v>
      </c>
      <c r="Q77" s="54">
        <v>3170048097</v>
      </c>
      <c r="R77" s="743">
        <v>0</v>
      </c>
      <c r="S77" s="54">
        <v>15127362079</v>
      </c>
      <c r="T77" s="54">
        <v>6553216997.2800007</v>
      </c>
      <c r="U77" s="54">
        <v>8574145081.7199993</v>
      </c>
      <c r="V77" s="55">
        <v>0.43320289175713333</v>
      </c>
      <c r="W77" s="54">
        <v>139940382</v>
      </c>
      <c r="X77" s="54">
        <v>6413276615.2800007</v>
      </c>
      <c r="Y77" s="55">
        <v>0.97864554430929362</v>
      </c>
      <c r="Z77" s="54">
        <v>71400952</v>
      </c>
      <c r="AA77" s="54">
        <v>68539430</v>
      </c>
      <c r="AB77" s="55">
        <v>1.0895557407855701E-2</v>
      </c>
    </row>
    <row r="78" spans="1:28" ht="24.95" customHeight="1">
      <c r="A78" s="32" t="e">
        <v>#REF!</v>
      </c>
      <c r="B78" s="56" t="s">
        <v>599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46</v>
      </c>
      <c r="H78" s="57" t="s">
        <v>34</v>
      </c>
      <c r="I78" s="57"/>
      <c r="J78" s="57">
        <v>10</v>
      </c>
      <c r="K78" s="58" t="s">
        <v>29</v>
      </c>
      <c r="L78" s="59" t="s">
        <v>114</v>
      </c>
      <c r="M78" s="60">
        <v>57307000</v>
      </c>
      <c r="N78" s="60"/>
      <c r="O78" s="60"/>
      <c r="P78" s="60"/>
      <c r="Q78" s="60"/>
      <c r="R78" s="61"/>
      <c r="S78" s="60">
        <v>57307000</v>
      </c>
      <c r="T78" s="60">
        <v>0</v>
      </c>
      <c r="U78" s="60">
        <v>57307000</v>
      </c>
      <c r="V78" s="62">
        <v>0</v>
      </c>
      <c r="W78" s="60">
        <v>0</v>
      </c>
      <c r="X78" s="60">
        <v>0</v>
      </c>
      <c r="Y78" s="62">
        <v>0</v>
      </c>
      <c r="Z78" s="60">
        <v>0</v>
      </c>
      <c r="AA78" s="60">
        <v>0</v>
      </c>
      <c r="AB78" s="62">
        <v>0</v>
      </c>
    </row>
    <row r="79" spans="1:28" ht="24.95" customHeight="1">
      <c r="A79" s="32" t="e">
        <v>#REF!</v>
      </c>
      <c r="B79" s="56" t="s">
        <v>601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36</v>
      </c>
      <c r="I79" s="57"/>
      <c r="J79" s="57">
        <v>10</v>
      </c>
      <c r="K79" s="58" t="s">
        <v>29</v>
      </c>
      <c r="L79" s="59" t="s">
        <v>115</v>
      </c>
      <c r="M79" s="60">
        <v>6648501421</v>
      </c>
      <c r="N79" s="60"/>
      <c r="O79" s="60"/>
      <c r="P79" s="60"/>
      <c r="Q79" s="60">
        <v>3170048097</v>
      </c>
      <c r="R79" s="61"/>
      <c r="S79" s="60">
        <v>3478453324</v>
      </c>
      <c r="T79" s="60">
        <v>2651654045</v>
      </c>
      <c r="U79" s="60">
        <v>826799279</v>
      </c>
      <c r="V79" s="62">
        <v>0.76230835892050053</v>
      </c>
      <c r="W79" s="60">
        <v>68283333</v>
      </c>
      <c r="X79" s="60">
        <v>2583370712</v>
      </c>
      <c r="Y79" s="62">
        <v>0.9742487776153318</v>
      </c>
      <c r="Z79" s="60">
        <v>0</v>
      </c>
      <c r="AA79" s="60">
        <v>68283333</v>
      </c>
      <c r="AB79" s="62">
        <v>0</v>
      </c>
    </row>
    <row r="80" spans="1:28" ht="24.95" customHeight="1">
      <c r="A80" s="32" t="e">
        <v>#REF!</v>
      </c>
      <c r="B80" s="56" t="s">
        <v>603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38</v>
      </c>
      <c r="I80" s="57"/>
      <c r="J80" s="57">
        <v>10</v>
      </c>
      <c r="K80" s="58" t="s">
        <v>29</v>
      </c>
      <c r="L80" s="59" t="s">
        <v>116</v>
      </c>
      <c r="M80" s="60">
        <v>2672983340</v>
      </c>
      <c r="N80" s="60"/>
      <c r="O80" s="60"/>
      <c r="P80" s="60"/>
      <c r="Q80" s="60"/>
      <c r="R80" s="61"/>
      <c r="S80" s="60">
        <v>2672983340</v>
      </c>
      <c r="T80" s="60">
        <v>202140389.44</v>
      </c>
      <c r="U80" s="60">
        <v>2470842950.5599999</v>
      </c>
      <c r="V80" s="62">
        <v>7.5623512655338884E-2</v>
      </c>
      <c r="W80" s="60">
        <v>71657049</v>
      </c>
      <c r="X80" s="60">
        <v>130483340.44</v>
      </c>
      <c r="Y80" s="62">
        <v>0.64550850427014983</v>
      </c>
      <c r="Z80" s="60">
        <v>71400952</v>
      </c>
      <c r="AA80" s="60">
        <v>256097</v>
      </c>
      <c r="AB80" s="62">
        <v>0.35322456930950691</v>
      </c>
    </row>
    <row r="81" spans="1:28" ht="24.95" customHeight="1">
      <c r="A81" s="32" t="e">
        <v>#REF!</v>
      </c>
      <c r="B81" s="56" t="s">
        <v>605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40</v>
      </c>
      <c r="I81" s="57"/>
      <c r="J81" s="57">
        <v>10</v>
      </c>
      <c r="K81" s="58" t="s">
        <v>29</v>
      </c>
      <c r="L81" s="59" t="s">
        <v>117</v>
      </c>
      <c r="M81" s="60">
        <v>7515815535</v>
      </c>
      <c r="N81" s="60"/>
      <c r="O81" s="60"/>
      <c r="P81" s="60"/>
      <c r="Q81" s="60"/>
      <c r="R81" s="61"/>
      <c r="S81" s="60">
        <v>7515815535</v>
      </c>
      <c r="T81" s="60">
        <v>3555675528.2600002</v>
      </c>
      <c r="U81" s="60">
        <v>3960140006.7399998</v>
      </c>
      <c r="V81" s="62">
        <v>0.47309244242381476</v>
      </c>
      <c r="W81" s="60">
        <v>0</v>
      </c>
      <c r="X81" s="60">
        <v>3555675528.2600002</v>
      </c>
      <c r="Y81" s="62">
        <v>1</v>
      </c>
      <c r="Z81" s="60">
        <v>0</v>
      </c>
      <c r="AA81" s="60">
        <v>0</v>
      </c>
      <c r="AB81" s="62">
        <v>0</v>
      </c>
    </row>
    <row r="82" spans="1:28" ht="24.75" customHeight="1">
      <c r="A82" s="32" t="e">
        <v>#REF!</v>
      </c>
      <c r="B82" s="56" t="s">
        <v>607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44</v>
      </c>
      <c r="I82" s="57"/>
      <c r="J82" s="57">
        <v>10</v>
      </c>
      <c r="K82" s="58" t="s">
        <v>29</v>
      </c>
      <c r="L82" s="59" t="s">
        <v>118</v>
      </c>
      <c r="M82" s="60">
        <v>1074802880</v>
      </c>
      <c r="N82" s="60"/>
      <c r="O82" s="60"/>
      <c r="P82" s="60"/>
      <c r="Q82" s="60"/>
      <c r="R82" s="61"/>
      <c r="S82" s="60">
        <v>1074802880</v>
      </c>
      <c r="T82" s="60">
        <v>143747034.58000001</v>
      </c>
      <c r="U82" s="60">
        <v>931055845.41999996</v>
      </c>
      <c r="V82" s="62">
        <v>0.13374269575831432</v>
      </c>
      <c r="W82" s="60">
        <v>0</v>
      </c>
      <c r="X82" s="60">
        <v>143747034.58000001</v>
      </c>
      <c r="Y82" s="62">
        <v>1</v>
      </c>
      <c r="Z82" s="60">
        <v>0</v>
      </c>
      <c r="AA82" s="60">
        <v>0</v>
      </c>
      <c r="AB82" s="62">
        <v>0</v>
      </c>
    </row>
    <row r="83" spans="1:28" ht="24.95" customHeight="1">
      <c r="A83" s="32" t="e">
        <v>#REF!</v>
      </c>
      <c r="B83" s="56" t="s">
        <v>609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48</v>
      </c>
      <c r="I83" s="57"/>
      <c r="J83" s="57">
        <v>10</v>
      </c>
      <c r="K83" s="58" t="s">
        <v>29</v>
      </c>
      <c r="L83" s="59" t="s">
        <v>119</v>
      </c>
      <c r="M83" s="60">
        <v>328000000</v>
      </c>
      <c r="N83" s="60"/>
      <c r="O83" s="60"/>
      <c r="P83" s="60"/>
      <c r="Q83" s="60"/>
      <c r="R83" s="61"/>
      <c r="S83" s="60">
        <v>328000000</v>
      </c>
      <c r="T83" s="60">
        <v>0</v>
      </c>
      <c r="U83" s="60">
        <v>328000000</v>
      </c>
      <c r="V83" s="62">
        <v>0</v>
      </c>
      <c r="W83" s="60">
        <v>0</v>
      </c>
      <c r="X83" s="60">
        <v>0</v>
      </c>
      <c r="Y83" s="62">
        <v>0</v>
      </c>
      <c r="Z83" s="60">
        <v>0</v>
      </c>
      <c r="AA83" s="60">
        <v>0</v>
      </c>
      <c r="AB83" s="62">
        <v>0</v>
      </c>
    </row>
    <row r="84" spans="1:28" ht="24" customHeight="1">
      <c r="A84" s="32" t="e">
        <v>#REF!</v>
      </c>
      <c r="B84" s="52" t="s">
        <v>397</v>
      </c>
      <c r="C84" s="52" t="s">
        <v>23</v>
      </c>
      <c r="D84" s="52" t="s">
        <v>54</v>
      </c>
      <c r="E84" s="52" t="s">
        <v>54</v>
      </c>
      <c r="F84" s="52" t="s">
        <v>54</v>
      </c>
      <c r="G84" s="52" t="s">
        <v>48</v>
      </c>
      <c r="H84" s="52"/>
      <c r="I84" s="52"/>
      <c r="J84" s="53" t="s">
        <v>28</v>
      </c>
      <c r="K84" s="52" t="s">
        <v>29</v>
      </c>
      <c r="L84" s="52" t="s">
        <v>120</v>
      </c>
      <c r="M84" s="54">
        <v>2083184000</v>
      </c>
      <c r="N84" s="743">
        <v>0</v>
      </c>
      <c r="O84" s="743">
        <v>0</v>
      </c>
      <c r="P84" s="54">
        <v>3170048097</v>
      </c>
      <c r="Q84" s="54">
        <v>0</v>
      </c>
      <c r="R84" s="743">
        <v>0</v>
      </c>
      <c r="S84" s="54">
        <v>5253232097</v>
      </c>
      <c r="T84" s="54">
        <v>31711413.109999999</v>
      </c>
      <c r="U84" s="54">
        <v>5221520683.8899994</v>
      </c>
      <c r="V84" s="55">
        <v>6.0365528353696117E-3</v>
      </c>
      <c r="W84" s="54">
        <v>3551746.11</v>
      </c>
      <c r="X84" s="54">
        <v>28159667</v>
      </c>
      <c r="Y84" s="55">
        <v>0.88799786065415109</v>
      </c>
      <c r="Z84" s="54">
        <v>3206954.11</v>
      </c>
      <c r="AA84" s="54">
        <v>344792</v>
      </c>
      <c r="AB84" s="55">
        <v>0.10112933469334126</v>
      </c>
    </row>
    <row r="85" spans="1:28" ht="24.95" customHeight="1">
      <c r="A85" s="32" t="e">
        <v>#REF!</v>
      </c>
      <c r="B85" s="56" t="s">
        <v>611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48</v>
      </c>
      <c r="H85" s="57" t="s">
        <v>34</v>
      </c>
      <c r="I85" s="57"/>
      <c r="J85" s="57">
        <v>10</v>
      </c>
      <c r="K85" s="58" t="s">
        <v>29</v>
      </c>
      <c r="L85" s="59" t="s">
        <v>121</v>
      </c>
      <c r="M85" s="60">
        <v>150000000</v>
      </c>
      <c r="N85" s="60"/>
      <c r="O85" s="60"/>
      <c r="P85" s="60"/>
      <c r="Q85" s="60"/>
      <c r="R85" s="61"/>
      <c r="S85" s="60">
        <v>150000000</v>
      </c>
      <c r="T85" s="60">
        <v>0</v>
      </c>
      <c r="U85" s="60">
        <v>150000000</v>
      </c>
      <c r="V85" s="62">
        <v>0</v>
      </c>
      <c r="W85" s="60">
        <v>0</v>
      </c>
      <c r="X85" s="60">
        <v>0</v>
      </c>
      <c r="Y85" s="62">
        <v>0</v>
      </c>
      <c r="Z85" s="60">
        <v>0</v>
      </c>
      <c r="AA85" s="60">
        <v>0</v>
      </c>
      <c r="AB85" s="62">
        <v>0</v>
      </c>
    </row>
    <row r="86" spans="1:28" ht="24.95" customHeight="1">
      <c r="A86" s="32" t="e">
        <v>#REF!</v>
      </c>
      <c r="B86" s="56" t="s">
        <v>613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36</v>
      </c>
      <c r="I86" s="57"/>
      <c r="J86" s="57">
        <v>10</v>
      </c>
      <c r="K86" s="58" t="s">
        <v>29</v>
      </c>
      <c r="L86" s="59" t="s">
        <v>122</v>
      </c>
      <c r="M86" s="60">
        <v>285000000</v>
      </c>
      <c r="N86" s="60"/>
      <c r="O86" s="60"/>
      <c r="P86" s="60"/>
      <c r="Q86" s="60"/>
      <c r="R86" s="61"/>
      <c r="S86" s="60">
        <v>285000000</v>
      </c>
      <c r="T86" s="60">
        <v>28159567</v>
      </c>
      <c r="U86" s="60">
        <v>256840433</v>
      </c>
      <c r="V86" s="62">
        <v>9.8805498245614035E-2</v>
      </c>
      <c r="W86" s="60">
        <v>0</v>
      </c>
      <c r="X86" s="60">
        <v>28159567</v>
      </c>
      <c r="Y86" s="62">
        <v>1</v>
      </c>
      <c r="Z86" s="60">
        <v>0</v>
      </c>
      <c r="AA86" s="60">
        <v>0</v>
      </c>
      <c r="AB86" s="62">
        <v>0</v>
      </c>
    </row>
    <row r="87" spans="1:28" ht="24.95" customHeight="1">
      <c r="A87" s="32" t="e">
        <v>#REF!</v>
      </c>
      <c r="B87" s="56" t="s">
        <v>615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38</v>
      </c>
      <c r="I87" s="57"/>
      <c r="J87" s="57">
        <v>10</v>
      </c>
      <c r="K87" s="58" t="s">
        <v>29</v>
      </c>
      <c r="L87" s="59" t="s">
        <v>123</v>
      </c>
      <c r="M87" s="60">
        <v>105720000</v>
      </c>
      <c r="N87" s="60"/>
      <c r="O87" s="60"/>
      <c r="P87" s="60"/>
      <c r="Q87" s="60"/>
      <c r="R87" s="61"/>
      <c r="S87" s="60">
        <v>105720000</v>
      </c>
      <c r="T87" s="60">
        <v>3551846.11</v>
      </c>
      <c r="U87" s="60">
        <v>102168153.89</v>
      </c>
      <c r="V87" s="62">
        <v>3.359672824441922E-2</v>
      </c>
      <c r="W87" s="60">
        <v>3551746.11</v>
      </c>
      <c r="X87" s="60">
        <v>100</v>
      </c>
      <c r="Y87" s="62">
        <v>2.8154372938190165E-5</v>
      </c>
      <c r="Z87" s="60">
        <v>3206954.11</v>
      </c>
      <c r="AA87" s="60">
        <v>344792</v>
      </c>
      <c r="AB87" s="62">
        <v>0.90289782008601716</v>
      </c>
    </row>
    <row r="88" spans="1:28" ht="24.95" customHeight="1">
      <c r="A88" s="32" t="e">
        <v>#REF!</v>
      </c>
      <c r="B88" s="56" t="s">
        <v>617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42</v>
      </c>
      <c r="I88" s="57"/>
      <c r="J88" s="57">
        <v>10</v>
      </c>
      <c r="K88" s="58" t="s">
        <v>29</v>
      </c>
      <c r="L88" s="59" t="s">
        <v>124</v>
      </c>
      <c r="M88" s="60">
        <v>1481000000</v>
      </c>
      <c r="N88" s="60"/>
      <c r="O88" s="60"/>
      <c r="P88" s="60"/>
      <c r="Q88" s="60"/>
      <c r="R88" s="61"/>
      <c r="S88" s="60">
        <v>1481000000</v>
      </c>
      <c r="T88" s="60">
        <v>0</v>
      </c>
      <c r="U88" s="60">
        <v>1481000000</v>
      </c>
      <c r="V88" s="62">
        <v>0</v>
      </c>
      <c r="W88" s="60">
        <v>0</v>
      </c>
      <c r="X88" s="60">
        <v>0</v>
      </c>
      <c r="Y88" s="62">
        <v>0</v>
      </c>
      <c r="Z88" s="60">
        <v>0</v>
      </c>
      <c r="AA88" s="60">
        <v>0</v>
      </c>
      <c r="AB88" s="62">
        <v>0</v>
      </c>
    </row>
    <row r="89" spans="1:28" ht="24.95" customHeight="1">
      <c r="A89" s="32" t="e">
        <v>#REF!</v>
      </c>
      <c r="B89" s="56" t="s">
        <v>619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44</v>
      </c>
      <c r="I89" s="57"/>
      <c r="J89" s="57">
        <v>10</v>
      </c>
      <c r="K89" s="58" t="s">
        <v>29</v>
      </c>
      <c r="L89" s="59" t="s">
        <v>125</v>
      </c>
      <c r="M89" s="60">
        <v>61464000</v>
      </c>
      <c r="N89" s="60"/>
      <c r="O89" s="60"/>
      <c r="P89" s="60">
        <v>3170048097</v>
      </c>
      <c r="Q89" s="60"/>
      <c r="R89" s="61"/>
      <c r="S89" s="60">
        <v>3231512097</v>
      </c>
      <c r="T89" s="60">
        <v>0</v>
      </c>
      <c r="U89" s="60">
        <v>3231512097</v>
      </c>
      <c r="V89" s="62">
        <v>0</v>
      </c>
      <c r="W89" s="60">
        <v>0</v>
      </c>
      <c r="X89" s="60">
        <v>0</v>
      </c>
      <c r="Y89" s="62">
        <v>0</v>
      </c>
      <c r="Z89" s="60">
        <v>0</v>
      </c>
      <c r="AA89" s="60">
        <v>0</v>
      </c>
      <c r="AB89" s="62">
        <v>0</v>
      </c>
    </row>
    <row r="90" spans="1:28" ht="24.95" customHeight="1">
      <c r="A90" s="32" t="e">
        <v>#REF!</v>
      </c>
      <c r="B90" s="56" t="s">
        <v>399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50</v>
      </c>
      <c r="H90" s="57"/>
      <c r="I90" s="57"/>
      <c r="J90" s="57" t="s">
        <v>28</v>
      </c>
      <c r="K90" s="58" t="s">
        <v>29</v>
      </c>
      <c r="L90" s="65" t="s">
        <v>126</v>
      </c>
      <c r="M90" s="66">
        <v>1000000000</v>
      </c>
      <c r="N90" s="66"/>
      <c r="O90" s="66"/>
      <c r="P90" s="60"/>
      <c r="Q90" s="66"/>
      <c r="R90" s="744"/>
      <c r="S90" s="66">
        <v>1000000000</v>
      </c>
      <c r="T90" s="66">
        <v>34791686</v>
      </c>
      <c r="U90" s="66">
        <v>965208314</v>
      </c>
      <c r="V90" s="67">
        <v>3.4791686000000002E-2</v>
      </c>
      <c r="W90" s="66">
        <v>0</v>
      </c>
      <c r="X90" s="66">
        <v>34791686</v>
      </c>
      <c r="Y90" s="67">
        <v>1</v>
      </c>
      <c r="Z90" s="66">
        <v>0</v>
      </c>
      <c r="AA90" s="66">
        <v>0</v>
      </c>
      <c r="AB90" s="67">
        <v>0</v>
      </c>
    </row>
    <row r="91" spans="1:28" ht="24" customHeight="1">
      <c r="A91" s="32" t="e">
        <v>#REF!</v>
      </c>
      <c r="B91" s="38" t="s">
        <v>401</v>
      </c>
      <c r="C91" s="39" t="s">
        <v>23</v>
      </c>
      <c r="D91" s="39" t="s">
        <v>65</v>
      </c>
      <c r="E91" s="39"/>
      <c r="F91" s="39"/>
      <c r="G91" s="39"/>
      <c r="H91" s="39"/>
      <c r="I91" s="39"/>
      <c r="J91" s="39"/>
      <c r="K91" s="40"/>
      <c r="L91" s="38" t="s">
        <v>127</v>
      </c>
      <c r="M91" s="41">
        <v>8837000000</v>
      </c>
      <c r="N91" s="41">
        <v>0</v>
      </c>
      <c r="O91" s="41">
        <v>0</v>
      </c>
      <c r="P91" s="41">
        <v>0</v>
      </c>
      <c r="Q91" s="41">
        <v>0</v>
      </c>
      <c r="R91" s="41">
        <v>5880000000</v>
      </c>
      <c r="S91" s="41">
        <v>2957000000</v>
      </c>
      <c r="T91" s="41">
        <v>78587915</v>
      </c>
      <c r="U91" s="41">
        <v>2878412085</v>
      </c>
      <c r="V91" s="42">
        <v>2.6576907338518769E-2</v>
      </c>
      <c r="W91" s="41">
        <v>55661259</v>
      </c>
      <c r="X91" s="41">
        <v>22926656</v>
      </c>
      <c r="Y91" s="42">
        <v>0.29173259018259995</v>
      </c>
      <c r="Z91" s="41">
        <v>55661259</v>
      </c>
      <c r="AA91" s="41">
        <v>0</v>
      </c>
      <c r="AB91" s="42">
        <v>0.7082674098174</v>
      </c>
    </row>
    <row r="92" spans="1:28" ht="19.5" customHeight="1">
      <c r="A92" s="32" t="e">
        <v>#REF!</v>
      </c>
      <c r="B92" s="43" t="s">
        <v>621</v>
      </c>
      <c r="C92" s="44" t="s">
        <v>23</v>
      </c>
      <c r="D92" s="44" t="s">
        <v>65</v>
      </c>
      <c r="E92" s="44" t="s">
        <v>65</v>
      </c>
      <c r="F92" s="44"/>
      <c r="G92" s="44"/>
      <c r="H92" s="44"/>
      <c r="I92" s="44"/>
      <c r="J92" s="44"/>
      <c r="K92" s="45"/>
      <c r="L92" s="43" t="s">
        <v>128</v>
      </c>
      <c r="M92" s="46">
        <v>5880000000</v>
      </c>
      <c r="N92" s="741">
        <v>0</v>
      </c>
      <c r="O92" s="741">
        <v>0</v>
      </c>
      <c r="P92" s="741">
        <v>0</v>
      </c>
      <c r="Q92" s="46">
        <v>0</v>
      </c>
      <c r="R92" s="46">
        <v>5880000000</v>
      </c>
      <c r="S92" s="46">
        <v>0</v>
      </c>
      <c r="T92" s="46">
        <v>0</v>
      </c>
      <c r="U92" s="46">
        <v>0</v>
      </c>
      <c r="V92" s="47">
        <v>0</v>
      </c>
      <c r="W92" s="46">
        <v>0</v>
      </c>
      <c r="X92" s="46">
        <v>0</v>
      </c>
      <c r="Y92" s="47">
        <v>0</v>
      </c>
      <c r="Z92" s="46">
        <v>0</v>
      </c>
      <c r="AA92" s="46">
        <v>0</v>
      </c>
      <c r="AB92" s="47">
        <v>0</v>
      </c>
    </row>
    <row r="93" spans="1:28" ht="20.25" customHeight="1">
      <c r="A93" s="32" t="e">
        <v>#REF!</v>
      </c>
      <c r="B93" s="48" t="s">
        <v>623</v>
      </c>
      <c r="C93" s="48" t="s">
        <v>23</v>
      </c>
      <c r="D93" s="48" t="s">
        <v>65</v>
      </c>
      <c r="E93" s="48" t="s">
        <v>65</v>
      </c>
      <c r="F93" s="48" t="s">
        <v>25</v>
      </c>
      <c r="G93" s="48"/>
      <c r="H93" s="48"/>
      <c r="I93" s="48"/>
      <c r="J93" s="49"/>
      <c r="K93" s="48"/>
      <c r="L93" s="48" t="s">
        <v>129</v>
      </c>
      <c r="M93" s="50">
        <v>5880000000</v>
      </c>
      <c r="N93" s="50">
        <v>0</v>
      </c>
      <c r="O93" s="50">
        <v>0</v>
      </c>
      <c r="P93" s="50">
        <v>0</v>
      </c>
      <c r="Q93" s="50">
        <v>0</v>
      </c>
      <c r="R93" s="50">
        <v>5880000000</v>
      </c>
      <c r="S93" s="50">
        <v>0</v>
      </c>
      <c r="T93" s="50">
        <v>0</v>
      </c>
      <c r="U93" s="50">
        <v>0</v>
      </c>
      <c r="V93" s="51">
        <v>0</v>
      </c>
      <c r="W93" s="50">
        <v>0</v>
      </c>
      <c r="X93" s="50">
        <v>0</v>
      </c>
      <c r="Y93" s="51">
        <v>0</v>
      </c>
      <c r="Z93" s="50">
        <v>0</v>
      </c>
      <c r="AA93" s="50">
        <v>0</v>
      </c>
      <c r="AB93" s="51">
        <v>0</v>
      </c>
    </row>
    <row r="94" spans="1:28" ht="24.95" customHeight="1">
      <c r="A94" s="32" t="e">
        <v>#REF!</v>
      </c>
      <c r="B94" s="56" t="s">
        <v>627</v>
      </c>
      <c r="C94" s="57" t="s">
        <v>23</v>
      </c>
      <c r="D94" s="57" t="s">
        <v>65</v>
      </c>
      <c r="E94" s="57" t="s">
        <v>65</v>
      </c>
      <c r="F94" s="57" t="s">
        <v>25</v>
      </c>
      <c r="G94" s="57" t="s">
        <v>134</v>
      </c>
      <c r="H94" s="57"/>
      <c r="I94" s="57"/>
      <c r="J94" s="57" t="s">
        <v>28</v>
      </c>
      <c r="K94" s="58" t="s">
        <v>29</v>
      </c>
      <c r="L94" s="59" t="s">
        <v>135</v>
      </c>
      <c r="M94" s="60">
        <v>5880000000</v>
      </c>
      <c r="N94" s="60"/>
      <c r="O94" s="60"/>
      <c r="P94" s="60"/>
      <c r="Q94" s="60"/>
      <c r="R94" s="60">
        <v>5880000000</v>
      </c>
      <c r="S94" s="60">
        <v>0</v>
      </c>
      <c r="T94" s="61"/>
      <c r="U94" s="60">
        <v>0</v>
      </c>
      <c r="V94" s="62">
        <v>0</v>
      </c>
      <c r="W94" s="60"/>
      <c r="X94" s="60">
        <v>0</v>
      </c>
      <c r="Y94" s="62">
        <v>0</v>
      </c>
      <c r="Z94" s="60"/>
      <c r="AA94" s="60">
        <v>0</v>
      </c>
      <c r="AB94" s="62">
        <v>0</v>
      </c>
    </row>
    <row r="95" spans="1:28" ht="24" customHeight="1">
      <c r="A95" s="32" t="e">
        <v>#REF!</v>
      </c>
      <c r="B95" s="43" t="s">
        <v>403</v>
      </c>
      <c r="C95" s="44" t="s">
        <v>23</v>
      </c>
      <c r="D95" s="44" t="s">
        <v>65</v>
      </c>
      <c r="E95" s="44" t="s">
        <v>136</v>
      </c>
      <c r="F95" s="44"/>
      <c r="G95" s="44"/>
      <c r="H95" s="44"/>
      <c r="I95" s="44"/>
      <c r="J95" s="44"/>
      <c r="K95" s="45"/>
      <c r="L95" s="43" t="s">
        <v>137</v>
      </c>
      <c r="M95" s="46">
        <v>598000000</v>
      </c>
      <c r="N95" s="741">
        <v>0</v>
      </c>
      <c r="O95" s="741">
        <v>0</v>
      </c>
      <c r="P95" s="46">
        <v>0</v>
      </c>
      <c r="Q95" s="46">
        <v>0</v>
      </c>
      <c r="R95" s="741">
        <v>0</v>
      </c>
      <c r="S95" s="46">
        <v>598000000</v>
      </c>
      <c r="T95" s="46">
        <v>78587915</v>
      </c>
      <c r="U95" s="46">
        <v>519412085</v>
      </c>
      <c r="V95" s="47">
        <v>0.13141791806020067</v>
      </c>
      <c r="W95" s="46">
        <v>55661259</v>
      </c>
      <c r="X95" s="46">
        <v>22926656</v>
      </c>
      <c r="Y95" s="47">
        <v>0.29173259018259995</v>
      </c>
      <c r="Z95" s="46">
        <v>55661259</v>
      </c>
      <c r="AA95" s="46">
        <v>0</v>
      </c>
      <c r="AB95" s="47">
        <v>0.7082674098174</v>
      </c>
    </row>
    <row r="96" spans="1:28" ht="21" customHeight="1">
      <c r="A96" s="32" t="e">
        <v>#REF!</v>
      </c>
      <c r="B96" s="48" t="s">
        <v>405</v>
      </c>
      <c r="C96" s="48" t="s">
        <v>23</v>
      </c>
      <c r="D96" s="48" t="s">
        <v>65</v>
      </c>
      <c r="E96" s="48" t="s">
        <v>136</v>
      </c>
      <c r="F96" s="48" t="s">
        <v>54</v>
      </c>
      <c r="G96" s="48"/>
      <c r="H96" s="48"/>
      <c r="I96" s="48"/>
      <c r="J96" s="49" t="s">
        <v>28</v>
      </c>
      <c r="K96" s="48" t="s">
        <v>29</v>
      </c>
      <c r="L96" s="48" t="s">
        <v>138</v>
      </c>
      <c r="M96" s="50">
        <v>598000000</v>
      </c>
      <c r="N96" s="742">
        <v>0</v>
      </c>
      <c r="O96" s="742">
        <v>0</v>
      </c>
      <c r="P96" s="50">
        <v>0</v>
      </c>
      <c r="Q96" s="50">
        <v>0</v>
      </c>
      <c r="R96" s="742">
        <v>0</v>
      </c>
      <c r="S96" s="50">
        <v>598000000</v>
      </c>
      <c r="T96" s="50">
        <v>78587915</v>
      </c>
      <c r="U96" s="50">
        <v>519412085</v>
      </c>
      <c r="V96" s="51">
        <v>0.13141791806020067</v>
      </c>
      <c r="W96" s="50">
        <v>55661259</v>
      </c>
      <c r="X96" s="50">
        <v>22926656</v>
      </c>
      <c r="Y96" s="51">
        <v>0.29173259018259995</v>
      </c>
      <c r="Z96" s="50">
        <v>55661259</v>
      </c>
      <c r="AA96" s="50">
        <v>0</v>
      </c>
      <c r="AB96" s="51">
        <v>0.7082674098174</v>
      </c>
    </row>
    <row r="97" spans="1:30" ht="21" customHeight="1">
      <c r="A97" s="32" t="e">
        <v>#REF!</v>
      </c>
      <c r="B97" s="52" t="s">
        <v>407</v>
      </c>
      <c r="C97" s="52" t="s">
        <v>23</v>
      </c>
      <c r="D97" s="52" t="s">
        <v>65</v>
      </c>
      <c r="E97" s="52" t="s">
        <v>136</v>
      </c>
      <c r="F97" s="52" t="s">
        <v>54</v>
      </c>
      <c r="G97" s="52" t="s">
        <v>52</v>
      </c>
      <c r="H97" s="52"/>
      <c r="I97" s="52"/>
      <c r="J97" s="53" t="s">
        <v>28</v>
      </c>
      <c r="K97" s="52" t="s">
        <v>29</v>
      </c>
      <c r="L97" s="52" t="s">
        <v>139</v>
      </c>
      <c r="M97" s="54">
        <v>598000000</v>
      </c>
      <c r="N97" s="743">
        <v>0</v>
      </c>
      <c r="O97" s="743">
        <v>0</v>
      </c>
      <c r="P97" s="54">
        <v>0</v>
      </c>
      <c r="Q97" s="54">
        <v>0</v>
      </c>
      <c r="R97" s="743">
        <v>0</v>
      </c>
      <c r="S97" s="54">
        <v>598000000</v>
      </c>
      <c r="T97" s="54">
        <v>78587915</v>
      </c>
      <c r="U97" s="54">
        <v>519412085</v>
      </c>
      <c r="V97" s="55">
        <v>0.13141791806020067</v>
      </c>
      <c r="W97" s="54">
        <v>55661259</v>
      </c>
      <c r="X97" s="54">
        <v>22926656</v>
      </c>
      <c r="Y97" s="55">
        <v>0.29173259018259995</v>
      </c>
      <c r="Z97" s="54">
        <v>55661259</v>
      </c>
      <c r="AA97" s="54">
        <v>0</v>
      </c>
      <c r="AB97" s="55">
        <v>0.7082674098174</v>
      </c>
    </row>
    <row r="98" spans="1:30" ht="24.95" customHeight="1">
      <c r="A98" s="32" t="e">
        <v>#REF!</v>
      </c>
      <c r="B98" s="56" t="s">
        <v>409</v>
      </c>
      <c r="C98" s="57" t="s">
        <v>23</v>
      </c>
      <c r="D98" s="57" t="s">
        <v>65</v>
      </c>
      <c r="E98" s="57" t="s">
        <v>136</v>
      </c>
      <c r="F98" s="57" t="s">
        <v>54</v>
      </c>
      <c r="G98" s="57" t="s">
        <v>52</v>
      </c>
      <c r="H98" s="57" t="s">
        <v>31</v>
      </c>
      <c r="I98" s="57"/>
      <c r="J98" s="57" t="s">
        <v>28</v>
      </c>
      <c r="K98" s="58" t="s">
        <v>29</v>
      </c>
      <c r="L98" s="59" t="s">
        <v>140</v>
      </c>
      <c r="M98" s="60">
        <v>398000000</v>
      </c>
      <c r="N98" s="60"/>
      <c r="O98" s="60"/>
      <c r="P98" s="60"/>
      <c r="Q98" s="60"/>
      <c r="R98" s="61"/>
      <c r="S98" s="60">
        <v>398000000</v>
      </c>
      <c r="T98" s="60">
        <v>34676235</v>
      </c>
      <c r="U98" s="60">
        <v>363323765</v>
      </c>
      <c r="V98" s="62">
        <v>8.7126218592964821E-2</v>
      </c>
      <c r="W98" s="60">
        <v>28988376</v>
      </c>
      <c r="X98" s="60">
        <v>5687859</v>
      </c>
      <c r="Y98" s="62">
        <v>0.1640275825792506</v>
      </c>
      <c r="Z98" s="60">
        <v>28988376</v>
      </c>
      <c r="AA98" s="60">
        <v>0</v>
      </c>
      <c r="AB98" s="62">
        <v>0.83597241742074935</v>
      </c>
    </row>
    <row r="99" spans="1:30" ht="24.95" customHeight="1">
      <c r="A99" s="32" t="e">
        <v>#REF!</v>
      </c>
      <c r="B99" s="56" t="s">
        <v>411</v>
      </c>
      <c r="C99" s="57" t="s">
        <v>23</v>
      </c>
      <c r="D99" s="57" t="s">
        <v>65</v>
      </c>
      <c r="E99" s="57" t="s">
        <v>136</v>
      </c>
      <c r="F99" s="57" t="s">
        <v>54</v>
      </c>
      <c r="G99" s="57" t="s">
        <v>52</v>
      </c>
      <c r="H99" s="57" t="s">
        <v>34</v>
      </c>
      <c r="I99" s="57"/>
      <c r="J99" s="57" t="s">
        <v>28</v>
      </c>
      <c r="K99" s="58" t="s">
        <v>29</v>
      </c>
      <c r="L99" s="59" t="s">
        <v>141</v>
      </c>
      <c r="M99" s="60">
        <v>200000000</v>
      </c>
      <c r="N99" s="60"/>
      <c r="O99" s="60"/>
      <c r="P99" s="60"/>
      <c r="Q99" s="60"/>
      <c r="R99" s="61"/>
      <c r="S99" s="60">
        <v>200000000</v>
      </c>
      <c r="T99" s="60">
        <v>43911680</v>
      </c>
      <c r="U99" s="60">
        <v>156088320</v>
      </c>
      <c r="V99" s="62">
        <v>0.21955839999999999</v>
      </c>
      <c r="W99" s="60">
        <v>26672883</v>
      </c>
      <c r="X99" s="60">
        <v>17238797</v>
      </c>
      <c r="Y99" s="62">
        <v>0.39257885373549817</v>
      </c>
      <c r="Z99" s="60">
        <v>26672883</v>
      </c>
      <c r="AA99" s="60">
        <v>0</v>
      </c>
      <c r="AB99" s="62">
        <v>0.60742114626450183</v>
      </c>
    </row>
    <row r="100" spans="1:30" ht="24.95" hidden="1" customHeight="1">
      <c r="A100" s="32" t="e">
        <v>#REF!</v>
      </c>
      <c r="B100" s="56"/>
      <c r="C100" s="57" t="s">
        <v>23</v>
      </c>
      <c r="D100" s="57" t="s">
        <v>65</v>
      </c>
      <c r="E100" s="57" t="s">
        <v>136</v>
      </c>
      <c r="F100" s="57" t="s">
        <v>54</v>
      </c>
      <c r="G100" s="57" t="s">
        <v>142</v>
      </c>
      <c r="H100" s="57"/>
      <c r="I100" s="57"/>
      <c r="J100" s="57" t="s">
        <v>28</v>
      </c>
      <c r="K100" s="58" t="s">
        <v>29</v>
      </c>
      <c r="L100" s="59"/>
      <c r="M100" s="60">
        <v>0</v>
      </c>
      <c r="N100" s="60"/>
      <c r="O100" s="60"/>
      <c r="P100" s="60"/>
      <c r="Q100" s="60"/>
      <c r="R100" s="61"/>
      <c r="S100" s="60">
        <v>0</v>
      </c>
      <c r="T100" s="60">
        <v>0</v>
      </c>
      <c r="U100" s="60">
        <v>0</v>
      </c>
      <c r="V100" s="62">
        <v>0</v>
      </c>
      <c r="W100" s="60">
        <v>0</v>
      </c>
      <c r="X100" s="60">
        <v>0</v>
      </c>
      <c r="Y100" s="62">
        <v>0</v>
      </c>
      <c r="Z100" s="60">
        <v>0</v>
      </c>
      <c r="AA100" s="60">
        <v>0</v>
      </c>
      <c r="AB100" s="62">
        <v>0</v>
      </c>
    </row>
    <row r="101" spans="1:30" ht="24" customHeight="1">
      <c r="A101" s="32" t="e">
        <v>#REF!</v>
      </c>
      <c r="B101" s="43" t="s">
        <v>415</v>
      </c>
      <c r="C101" s="44" t="s">
        <v>23</v>
      </c>
      <c r="D101" s="44" t="s">
        <v>65</v>
      </c>
      <c r="E101" s="44" t="s">
        <v>28</v>
      </c>
      <c r="F101" s="44"/>
      <c r="G101" s="44"/>
      <c r="H101" s="44"/>
      <c r="I101" s="44"/>
      <c r="J101" s="44"/>
      <c r="K101" s="45"/>
      <c r="L101" s="43" t="s">
        <v>143</v>
      </c>
      <c r="M101" s="46">
        <v>2359000000</v>
      </c>
      <c r="N101" s="741">
        <v>0</v>
      </c>
      <c r="O101" s="741">
        <v>0</v>
      </c>
      <c r="P101" s="46">
        <v>0</v>
      </c>
      <c r="Q101" s="46">
        <v>0</v>
      </c>
      <c r="R101" s="741">
        <v>0</v>
      </c>
      <c r="S101" s="46">
        <v>2359000000</v>
      </c>
      <c r="T101" s="46">
        <v>0</v>
      </c>
      <c r="U101" s="46">
        <v>2359000000</v>
      </c>
      <c r="V101" s="47">
        <v>0</v>
      </c>
      <c r="W101" s="46">
        <v>0</v>
      </c>
      <c r="X101" s="46">
        <v>0</v>
      </c>
      <c r="Y101" s="47">
        <v>0</v>
      </c>
      <c r="Z101" s="46">
        <v>0</v>
      </c>
      <c r="AA101" s="46">
        <v>0</v>
      </c>
      <c r="AB101" s="47">
        <v>0</v>
      </c>
    </row>
    <row r="102" spans="1:30" ht="21.75" customHeight="1">
      <c r="A102" s="32" t="e">
        <v>#REF!</v>
      </c>
      <c r="B102" s="48" t="s">
        <v>417</v>
      </c>
      <c r="C102" s="48" t="s">
        <v>23</v>
      </c>
      <c r="D102" s="48" t="s">
        <v>65</v>
      </c>
      <c r="E102" s="48" t="s">
        <v>28</v>
      </c>
      <c r="F102" s="48" t="s">
        <v>25</v>
      </c>
      <c r="G102" s="48"/>
      <c r="H102" s="48"/>
      <c r="I102" s="48"/>
      <c r="J102" s="49">
        <v>10</v>
      </c>
      <c r="K102" s="48" t="s">
        <v>29</v>
      </c>
      <c r="L102" s="48" t="s">
        <v>145</v>
      </c>
      <c r="M102" s="50">
        <v>2359000000</v>
      </c>
      <c r="N102" s="742">
        <v>0</v>
      </c>
      <c r="O102" s="742">
        <v>0</v>
      </c>
      <c r="P102" s="50">
        <v>0</v>
      </c>
      <c r="Q102" s="50">
        <v>0</v>
      </c>
      <c r="R102" s="742">
        <v>0</v>
      </c>
      <c r="S102" s="50">
        <v>2359000000</v>
      </c>
      <c r="T102" s="50">
        <v>0</v>
      </c>
      <c r="U102" s="50">
        <v>2359000000</v>
      </c>
      <c r="V102" s="51">
        <v>0</v>
      </c>
      <c r="W102" s="50">
        <v>0</v>
      </c>
      <c r="X102" s="50">
        <v>0</v>
      </c>
      <c r="Y102" s="51">
        <v>0</v>
      </c>
      <c r="Z102" s="50">
        <v>0</v>
      </c>
      <c r="AA102" s="50">
        <v>0</v>
      </c>
      <c r="AB102" s="51">
        <v>0</v>
      </c>
    </row>
    <row r="103" spans="1:30" ht="24.95" customHeight="1">
      <c r="A103" s="32" t="e">
        <v>#REF!</v>
      </c>
      <c r="B103" s="56" t="s">
        <v>418</v>
      </c>
      <c r="C103" s="57" t="s">
        <v>23</v>
      </c>
      <c r="D103" s="57" t="s">
        <v>65</v>
      </c>
      <c r="E103" s="57" t="s">
        <v>28</v>
      </c>
      <c r="F103" s="57" t="s">
        <v>25</v>
      </c>
      <c r="G103" s="57" t="s">
        <v>31</v>
      </c>
      <c r="H103" s="57"/>
      <c r="I103" s="57"/>
      <c r="J103" s="57">
        <v>10</v>
      </c>
      <c r="K103" s="58" t="s">
        <v>29</v>
      </c>
      <c r="L103" s="59" t="s">
        <v>146</v>
      </c>
      <c r="M103" s="60">
        <v>2359000000</v>
      </c>
      <c r="N103" s="60"/>
      <c r="O103" s="60"/>
      <c r="P103" s="61"/>
      <c r="Q103" s="60"/>
      <c r="R103" s="61"/>
      <c r="S103" s="60">
        <v>2359000000</v>
      </c>
      <c r="T103" s="60">
        <v>0</v>
      </c>
      <c r="U103" s="60">
        <v>2359000000</v>
      </c>
      <c r="V103" s="62">
        <v>0</v>
      </c>
      <c r="W103" s="60">
        <v>0</v>
      </c>
      <c r="X103" s="60">
        <v>0</v>
      </c>
      <c r="Y103" s="62">
        <v>0</v>
      </c>
      <c r="Z103" s="60">
        <v>0</v>
      </c>
      <c r="AA103" s="60">
        <v>0</v>
      </c>
      <c r="AB103" s="62">
        <v>0</v>
      </c>
    </row>
    <row r="104" spans="1:30" ht="24" customHeight="1">
      <c r="A104" s="32" t="e">
        <v>#REF!</v>
      </c>
      <c r="B104" s="38" t="s">
        <v>421</v>
      </c>
      <c r="C104" s="39" t="s">
        <v>23</v>
      </c>
      <c r="D104" s="39" t="s">
        <v>148</v>
      </c>
      <c r="E104" s="39"/>
      <c r="F104" s="39"/>
      <c r="G104" s="39"/>
      <c r="H104" s="39"/>
      <c r="I104" s="39"/>
      <c r="J104" s="39"/>
      <c r="K104" s="40"/>
      <c r="L104" s="38" t="s">
        <v>149</v>
      </c>
      <c r="M104" s="41">
        <v>30002470214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30002470214</v>
      </c>
      <c r="T104" s="41">
        <v>4405317</v>
      </c>
      <c r="U104" s="41">
        <v>29998064897</v>
      </c>
      <c r="V104" s="42">
        <v>1.4683180980025953E-4</v>
      </c>
      <c r="W104" s="41">
        <v>4405316.84</v>
      </c>
      <c r="X104" s="41">
        <v>0.16000000014901161</v>
      </c>
      <c r="Y104" s="42">
        <v>3.6319747284704283E-8</v>
      </c>
      <c r="Z104" s="41">
        <v>4171186.84</v>
      </c>
      <c r="AA104" s="41">
        <v>234130</v>
      </c>
      <c r="AB104" s="42">
        <v>0.94685282353120104</v>
      </c>
    </row>
    <row r="105" spans="1:30" ht="24" customHeight="1">
      <c r="A105" s="32" t="e">
        <v>#REF!</v>
      </c>
      <c r="B105" s="43" t="s">
        <v>423</v>
      </c>
      <c r="C105" s="44" t="s">
        <v>23</v>
      </c>
      <c r="D105" s="44" t="s">
        <v>148</v>
      </c>
      <c r="E105" s="44" t="s">
        <v>25</v>
      </c>
      <c r="F105" s="44"/>
      <c r="G105" s="44"/>
      <c r="H105" s="44"/>
      <c r="I105" s="44"/>
      <c r="J105" s="44"/>
      <c r="K105" s="45"/>
      <c r="L105" s="43" t="s">
        <v>150</v>
      </c>
      <c r="M105" s="46">
        <v>145622400</v>
      </c>
      <c r="N105" s="741">
        <v>0</v>
      </c>
      <c r="O105" s="741">
        <v>0</v>
      </c>
      <c r="P105" s="741">
        <v>0</v>
      </c>
      <c r="Q105" s="759">
        <v>0</v>
      </c>
      <c r="R105" s="741">
        <v>0</v>
      </c>
      <c r="S105" s="46">
        <v>145622400</v>
      </c>
      <c r="T105" s="46">
        <v>4405317</v>
      </c>
      <c r="U105" s="46">
        <v>141217083</v>
      </c>
      <c r="V105" s="47">
        <v>3.025164397784956E-2</v>
      </c>
      <c r="W105" s="46">
        <v>4405316.84</v>
      </c>
      <c r="X105" s="46">
        <v>0.16000000014901161</v>
      </c>
      <c r="Y105" s="47">
        <v>3.6319747284704283E-8</v>
      </c>
      <c r="Z105" s="46">
        <v>4171186.84</v>
      </c>
      <c r="AA105" s="46">
        <v>234130</v>
      </c>
      <c r="AB105" s="47">
        <v>0.94685282353120104</v>
      </c>
    </row>
    <row r="106" spans="1:30" ht="24" customHeight="1">
      <c r="A106" s="32" t="e">
        <v>#REF!</v>
      </c>
      <c r="B106" s="48" t="s">
        <v>425</v>
      </c>
      <c r="C106" s="48" t="s">
        <v>23</v>
      </c>
      <c r="D106" s="48" t="s">
        <v>148</v>
      </c>
      <c r="E106" s="48" t="s">
        <v>25</v>
      </c>
      <c r="F106" s="48" t="s">
        <v>54</v>
      </c>
      <c r="G106" s="48"/>
      <c r="H106" s="48"/>
      <c r="I106" s="48"/>
      <c r="J106" s="49" t="s">
        <v>28</v>
      </c>
      <c r="K106" s="48" t="s">
        <v>29</v>
      </c>
      <c r="L106" s="48" t="s">
        <v>151</v>
      </c>
      <c r="M106" s="50">
        <v>145622400</v>
      </c>
      <c r="N106" s="742">
        <v>0</v>
      </c>
      <c r="O106" s="742">
        <v>0</v>
      </c>
      <c r="P106" s="742">
        <v>0</v>
      </c>
      <c r="Q106" s="760">
        <v>0</v>
      </c>
      <c r="R106" s="742">
        <v>0</v>
      </c>
      <c r="S106" s="50">
        <v>145622400</v>
      </c>
      <c r="T106" s="50">
        <v>4405317</v>
      </c>
      <c r="U106" s="50">
        <v>141217083</v>
      </c>
      <c r="V106" s="51">
        <v>3.025164397784956E-2</v>
      </c>
      <c r="W106" s="50">
        <v>4405316.84</v>
      </c>
      <c r="X106" s="50">
        <v>0.16000000014901161</v>
      </c>
      <c r="Y106" s="51">
        <v>3.6319747284704283E-8</v>
      </c>
      <c r="Z106" s="50">
        <v>4171186.84</v>
      </c>
      <c r="AA106" s="50">
        <v>234130</v>
      </c>
      <c r="AB106" s="51">
        <v>0.94685282353120104</v>
      </c>
    </row>
    <row r="107" spans="1:30" ht="24.95" customHeight="1">
      <c r="A107" s="32" t="e">
        <v>#REF!</v>
      </c>
      <c r="B107" s="56" t="s">
        <v>427</v>
      </c>
      <c r="C107" s="57" t="s">
        <v>23</v>
      </c>
      <c r="D107" s="57" t="s">
        <v>148</v>
      </c>
      <c r="E107" s="57" t="s">
        <v>25</v>
      </c>
      <c r="F107" s="57" t="s">
        <v>54</v>
      </c>
      <c r="G107" s="57" t="s">
        <v>31</v>
      </c>
      <c r="H107" s="57"/>
      <c r="I107" s="57"/>
      <c r="J107" s="57" t="s">
        <v>28</v>
      </c>
      <c r="K107" s="58" t="s">
        <v>29</v>
      </c>
      <c r="L107" s="59" t="s">
        <v>152</v>
      </c>
      <c r="M107" s="60">
        <v>69216000</v>
      </c>
      <c r="N107" s="60">
        <v>0</v>
      </c>
      <c r="O107" s="60"/>
      <c r="P107" s="60"/>
      <c r="Q107" s="61"/>
      <c r="R107" s="61"/>
      <c r="S107" s="60">
        <v>69216000</v>
      </c>
      <c r="T107" s="60">
        <v>0</v>
      </c>
      <c r="U107" s="60">
        <v>69216000</v>
      </c>
      <c r="V107" s="62">
        <v>0</v>
      </c>
      <c r="W107" s="60">
        <v>0</v>
      </c>
      <c r="X107" s="60">
        <v>0</v>
      </c>
      <c r="Y107" s="62">
        <v>0</v>
      </c>
      <c r="Z107" s="60">
        <v>0</v>
      </c>
      <c r="AA107" s="60">
        <v>0</v>
      </c>
      <c r="AB107" s="62">
        <v>0</v>
      </c>
    </row>
    <row r="108" spans="1:30" ht="24.95" customHeight="1">
      <c r="A108" s="32" t="e">
        <v>#REF!</v>
      </c>
      <c r="B108" s="56" t="s">
        <v>429</v>
      </c>
      <c r="C108" s="57" t="s">
        <v>23</v>
      </c>
      <c r="D108" s="57" t="s">
        <v>148</v>
      </c>
      <c r="E108" s="57" t="s">
        <v>25</v>
      </c>
      <c r="F108" s="57" t="s">
        <v>54</v>
      </c>
      <c r="G108" s="57" t="s">
        <v>38</v>
      </c>
      <c r="H108" s="57"/>
      <c r="I108" s="57"/>
      <c r="J108" s="57" t="s">
        <v>28</v>
      </c>
      <c r="K108" s="58" t="s">
        <v>29</v>
      </c>
      <c r="L108" s="59" t="s">
        <v>153</v>
      </c>
      <c r="M108" s="60">
        <v>56000000</v>
      </c>
      <c r="N108" s="60"/>
      <c r="O108" s="60"/>
      <c r="P108" s="60"/>
      <c r="Q108" s="61"/>
      <c r="R108" s="61"/>
      <c r="S108" s="60">
        <v>56000000</v>
      </c>
      <c r="T108" s="60">
        <v>4405317</v>
      </c>
      <c r="U108" s="60">
        <v>51594683</v>
      </c>
      <c r="V108" s="62">
        <v>7.8666374999999997E-2</v>
      </c>
      <c r="W108" s="60">
        <v>4405316.84</v>
      </c>
      <c r="X108" s="60">
        <v>0.16000000014901161</v>
      </c>
      <c r="Y108" s="62">
        <v>3.6319747284704283E-8</v>
      </c>
      <c r="Z108" s="60">
        <v>4171186.84</v>
      </c>
      <c r="AA108" s="60">
        <v>234130</v>
      </c>
      <c r="AB108" s="62">
        <v>0.94685282353120104</v>
      </c>
    </row>
    <row r="109" spans="1:30" ht="24.95" customHeight="1">
      <c r="A109" s="32" t="e">
        <v>#REF!</v>
      </c>
      <c r="B109" s="56" t="s">
        <v>431</v>
      </c>
      <c r="C109" s="57" t="s">
        <v>23</v>
      </c>
      <c r="D109" s="57" t="s">
        <v>148</v>
      </c>
      <c r="E109" s="57" t="s">
        <v>25</v>
      </c>
      <c r="F109" s="57" t="s">
        <v>54</v>
      </c>
      <c r="G109" s="57" t="s">
        <v>42</v>
      </c>
      <c r="H109" s="57"/>
      <c r="I109" s="57"/>
      <c r="J109" s="57" t="s">
        <v>28</v>
      </c>
      <c r="K109" s="58" t="s">
        <v>29</v>
      </c>
      <c r="L109" s="59" t="s">
        <v>154</v>
      </c>
      <c r="M109" s="60">
        <v>20406400</v>
      </c>
      <c r="N109" s="60">
        <v>0</v>
      </c>
      <c r="O109" s="60"/>
      <c r="P109" s="60"/>
      <c r="Q109" s="61"/>
      <c r="R109" s="61"/>
      <c r="S109" s="60">
        <v>20406400</v>
      </c>
      <c r="T109" s="60">
        <v>0</v>
      </c>
      <c r="U109" s="60">
        <v>20406400</v>
      </c>
      <c r="V109" s="62">
        <v>0</v>
      </c>
      <c r="W109" s="60">
        <v>0</v>
      </c>
      <c r="X109" s="60">
        <v>0</v>
      </c>
      <c r="Y109" s="62">
        <v>0</v>
      </c>
      <c r="Z109" s="60">
        <v>0</v>
      </c>
      <c r="AA109" s="60">
        <v>0</v>
      </c>
      <c r="AB109" s="62">
        <v>0</v>
      </c>
    </row>
    <row r="110" spans="1:30" ht="24" customHeight="1">
      <c r="A110" s="32" t="e">
        <v>#REF!</v>
      </c>
      <c r="B110" s="43" t="s">
        <v>432</v>
      </c>
      <c r="C110" s="44" t="s">
        <v>23</v>
      </c>
      <c r="D110" s="44" t="s">
        <v>148</v>
      </c>
      <c r="E110" s="44" t="s">
        <v>136</v>
      </c>
      <c r="F110" s="44"/>
      <c r="G110" s="44"/>
      <c r="H110" s="44"/>
      <c r="I110" s="44"/>
      <c r="J110" s="44"/>
      <c r="K110" s="45"/>
      <c r="L110" s="43" t="s">
        <v>155</v>
      </c>
      <c r="M110" s="46">
        <v>29856847814</v>
      </c>
      <c r="N110" s="741">
        <v>0</v>
      </c>
      <c r="O110" s="741">
        <v>0</v>
      </c>
      <c r="P110" s="46">
        <v>0</v>
      </c>
      <c r="Q110" s="741">
        <v>0</v>
      </c>
      <c r="R110" s="741">
        <v>0</v>
      </c>
      <c r="S110" s="46">
        <v>29856847814</v>
      </c>
      <c r="T110" s="46">
        <v>0</v>
      </c>
      <c r="U110" s="46">
        <v>29856847814</v>
      </c>
      <c r="V110" s="47">
        <v>0</v>
      </c>
      <c r="W110" s="46">
        <v>0</v>
      </c>
      <c r="X110" s="46">
        <v>0</v>
      </c>
      <c r="Y110" s="47">
        <v>0</v>
      </c>
      <c r="Z110" s="46">
        <v>0</v>
      </c>
      <c r="AA110" s="46">
        <v>0</v>
      </c>
      <c r="AB110" s="47">
        <v>0</v>
      </c>
    </row>
    <row r="111" spans="1:30" ht="24.95" customHeight="1">
      <c r="A111" s="32" t="e">
        <v>#REF!</v>
      </c>
      <c r="B111" s="56" t="s">
        <v>434</v>
      </c>
      <c r="C111" s="57" t="s">
        <v>23</v>
      </c>
      <c r="D111" s="57" t="s">
        <v>148</v>
      </c>
      <c r="E111" s="57" t="s">
        <v>136</v>
      </c>
      <c r="F111" s="57" t="s">
        <v>25</v>
      </c>
      <c r="G111" s="57"/>
      <c r="H111" s="57"/>
      <c r="I111" s="57"/>
      <c r="J111" s="57" t="s">
        <v>144</v>
      </c>
      <c r="K111" s="58" t="s">
        <v>156</v>
      </c>
      <c r="L111" s="59" t="s">
        <v>157</v>
      </c>
      <c r="M111" s="60">
        <v>29856847814</v>
      </c>
      <c r="N111" s="60"/>
      <c r="O111" s="60"/>
      <c r="P111" s="60"/>
      <c r="Q111" s="60"/>
      <c r="R111" s="61"/>
      <c r="S111" s="60">
        <v>29856847814</v>
      </c>
      <c r="T111" s="61">
        <v>0</v>
      </c>
      <c r="U111" s="60">
        <v>29856847814</v>
      </c>
      <c r="V111" s="62">
        <v>0</v>
      </c>
      <c r="W111" s="60">
        <v>0</v>
      </c>
      <c r="X111" s="60">
        <v>0</v>
      </c>
      <c r="Y111" s="62">
        <v>0</v>
      </c>
      <c r="Z111" s="60">
        <v>0</v>
      </c>
      <c r="AA111" s="60">
        <v>0</v>
      </c>
      <c r="AB111" s="62">
        <v>0</v>
      </c>
    </row>
    <row r="112" spans="1:30" ht="35.1" customHeight="1">
      <c r="A112" s="32" t="e">
        <v>#REF!</v>
      </c>
      <c r="B112" s="33" t="s">
        <v>162</v>
      </c>
      <c r="C112" s="34" t="s">
        <v>162</v>
      </c>
      <c r="D112" s="35"/>
      <c r="E112" s="35"/>
      <c r="F112" s="35"/>
      <c r="G112" s="35"/>
      <c r="H112" s="35"/>
      <c r="I112" s="35"/>
      <c r="J112" s="34"/>
      <c r="K112" s="35"/>
      <c r="L112" s="33" t="s">
        <v>163</v>
      </c>
      <c r="M112" s="36">
        <v>3731140006</v>
      </c>
      <c r="N112" s="739">
        <v>0</v>
      </c>
      <c r="O112" s="739">
        <v>0</v>
      </c>
      <c r="P112" s="739">
        <v>0</v>
      </c>
      <c r="Q112" s="739">
        <v>0</v>
      </c>
      <c r="R112" s="739">
        <v>0</v>
      </c>
      <c r="S112" s="36">
        <v>3731140006</v>
      </c>
      <c r="T112" s="36">
        <v>0</v>
      </c>
      <c r="U112" s="36">
        <v>3731140006</v>
      </c>
      <c r="V112" s="37">
        <v>0</v>
      </c>
      <c r="W112" s="36">
        <v>0</v>
      </c>
      <c r="X112" s="36">
        <v>0</v>
      </c>
      <c r="Y112" s="37">
        <v>0</v>
      </c>
      <c r="Z112" s="36">
        <v>0</v>
      </c>
      <c r="AA112" s="36">
        <v>0</v>
      </c>
      <c r="AB112" s="37">
        <v>0</v>
      </c>
    </row>
    <row r="113" spans="1:28" ht="24" customHeight="1">
      <c r="A113" s="32" t="e">
        <v>#REF!</v>
      </c>
      <c r="B113" s="38" t="s">
        <v>729</v>
      </c>
      <c r="C113" s="39" t="s">
        <v>162</v>
      </c>
      <c r="D113" s="39">
        <v>10</v>
      </c>
      <c r="E113" s="39"/>
      <c r="F113" s="39"/>
      <c r="G113" s="39"/>
      <c r="H113" s="39"/>
      <c r="I113" s="39"/>
      <c r="J113" s="39"/>
      <c r="K113" s="40"/>
      <c r="L113" s="38" t="s">
        <v>164</v>
      </c>
      <c r="M113" s="41">
        <v>3731140006</v>
      </c>
      <c r="N113" s="740">
        <v>0</v>
      </c>
      <c r="O113" s="740">
        <v>0</v>
      </c>
      <c r="P113" s="740">
        <v>0</v>
      </c>
      <c r="Q113" s="740">
        <v>0</v>
      </c>
      <c r="R113" s="740">
        <v>0</v>
      </c>
      <c r="S113" s="41">
        <v>3731140006</v>
      </c>
      <c r="T113" s="41">
        <v>0</v>
      </c>
      <c r="U113" s="41">
        <v>3731140006</v>
      </c>
      <c r="V113" s="42">
        <v>0</v>
      </c>
      <c r="W113" s="41">
        <v>0</v>
      </c>
      <c r="X113" s="41">
        <v>0</v>
      </c>
      <c r="Y113" s="42">
        <v>0</v>
      </c>
      <c r="Z113" s="41">
        <v>0</v>
      </c>
      <c r="AA113" s="41">
        <v>0</v>
      </c>
      <c r="AB113" s="42">
        <v>0</v>
      </c>
    </row>
    <row r="114" spans="1:28" ht="24" customHeight="1">
      <c r="A114" s="32" t="e">
        <v>#REF!</v>
      </c>
      <c r="B114" s="43" t="s">
        <v>730</v>
      </c>
      <c r="C114" s="44" t="s">
        <v>162</v>
      </c>
      <c r="D114" s="44">
        <v>10</v>
      </c>
      <c r="E114" s="44" t="s">
        <v>136</v>
      </c>
      <c r="F114" s="44"/>
      <c r="G114" s="44"/>
      <c r="H114" s="44"/>
      <c r="I114" s="44"/>
      <c r="J114" s="44"/>
      <c r="K114" s="45"/>
      <c r="L114" s="43" t="s">
        <v>165</v>
      </c>
      <c r="M114" s="46">
        <v>3731140006</v>
      </c>
      <c r="N114" s="741">
        <v>0</v>
      </c>
      <c r="O114" s="741">
        <v>0</v>
      </c>
      <c r="P114" s="741">
        <v>0</v>
      </c>
      <c r="Q114" s="741">
        <v>0</v>
      </c>
      <c r="R114" s="741">
        <v>0</v>
      </c>
      <c r="S114" s="46">
        <v>3731140006</v>
      </c>
      <c r="T114" s="46">
        <v>0</v>
      </c>
      <c r="U114" s="46">
        <v>3731140006</v>
      </c>
      <c r="V114" s="47">
        <v>0</v>
      </c>
      <c r="W114" s="46">
        <v>0</v>
      </c>
      <c r="X114" s="46">
        <v>0</v>
      </c>
      <c r="Y114" s="47">
        <v>0</v>
      </c>
      <c r="Z114" s="46">
        <v>0</v>
      </c>
      <c r="AA114" s="46">
        <v>0</v>
      </c>
      <c r="AB114" s="47">
        <v>0</v>
      </c>
    </row>
    <row r="115" spans="1:28" ht="24.95" customHeight="1">
      <c r="A115" s="32" t="e">
        <v>#REF!</v>
      </c>
      <c r="B115" s="56" t="s">
        <v>731</v>
      </c>
      <c r="C115" s="57" t="s">
        <v>162</v>
      </c>
      <c r="D115" s="57">
        <v>10</v>
      </c>
      <c r="E115" s="57" t="s">
        <v>136</v>
      </c>
      <c r="F115" s="57" t="s">
        <v>25</v>
      </c>
      <c r="G115" s="57"/>
      <c r="H115" s="57"/>
      <c r="I115" s="57"/>
      <c r="J115" s="57" t="s">
        <v>144</v>
      </c>
      <c r="K115" s="58" t="s">
        <v>29</v>
      </c>
      <c r="L115" s="59" t="s">
        <v>166</v>
      </c>
      <c r="M115" s="60">
        <v>3731140006</v>
      </c>
      <c r="N115" s="60"/>
      <c r="O115" s="60"/>
      <c r="P115" s="60"/>
      <c r="Q115" s="60"/>
      <c r="R115" s="61"/>
      <c r="S115" s="60">
        <v>3731140006</v>
      </c>
      <c r="T115" s="61"/>
      <c r="U115" s="60">
        <v>3731140006</v>
      </c>
      <c r="V115" s="62">
        <v>0</v>
      </c>
      <c r="W115" s="60"/>
      <c r="X115" s="60">
        <v>0</v>
      </c>
      <c r="Y115" s="62">
        <v>0</v>
      </c>
      <c r="Z115" s="60"/>
      <c r="AA115" s="60">
        <v>0</v>
      </c>
      <c r="AB115" s="62">
        <v>0</v>
      </c>
    </row>
    <row r="116" spans="1:28" ht="35.1" customHeight="1">
      <c r="A116" s="32" t="e">
        <v>#REF!</v>
      </c>
      <c r="B116" s="33" t="s">
        <v>167</v>
      </c>
      <c r="C116" s="34" t="s">
        <v>167</v>
      </c>
      <c r="D116" s="35"/>
      <c r="E116" s="35"/>
      <c r="F116" s="35"/>
      <c r="G116" s="35"/>
      <c r="H116" s="35"/>
      <c r="I116" s="35"/>
      <c r="J116" s="34"/>
      <c r="K116" s="35"/>
      <c r="L116" s="33" t="s">
        <v>168</v>
      </c>
      <c r="M116" s="36">
        <v>6468380211524</v>
      </c>
      <c r="N116" s="36">
        <v>0</v>
      </c>
      <c r="O116" s="739">
        <v>0</v>
      </c>
      <c r="P116" s="36">
        <v>0</v>
      </c>
      <c r="Q116" s="36">
        <v>0</v>
      </c>
      <c r="R116" s="739">
        <v>0</v>
      </c>
      <c r="S116" s="36">
        <v>6468380211524</v>
      </c>
      <c r="T116" s="36">
        <v>435007014581.51001</v>
      </c>
      <c r="U116" s="36">
        <v>6033373196942.4902</v>
      </c>
      <c r="V116" s="37">
        <v>6.7251305636997952E-2</v>
      </c>
      <c r="W116" s="36">
        <v>57393329</v>
      </c>
      <c r="X116" s="36">
        <v>434949621252.51001</v>
      </c>
      <c r="Y116" s="37">
        <v>0.99986806344018331</v>
      </c>
      <c r="Z116" s="36">
        <v>0</v>
      </c>
      <c r="AA116" s="36">
        <v>57393329</v>
      </c>
      <c r="AB116" s="37">
        <v>0</v>
      </c>
    </row>
    <row r="117" spans="1:28" ht="24" hidden="1" customHeight="1">
      <c r="A117" s="32" t="e">
        <v>#REF!</v>
      </c>
      <c r="B117" s="69" t="s">
        <v>437</v>
      </c>
      <c r="C117" s="70" t="s">
        <v>167</v>
      </c>
      <c r="D117" s="70">
        <v>4101</v>
      </c>
      <c r="E117" s="70"/>
      <c r="F117" s="70"/>
      <c r="G117" s="70"/>
      <c r="H117" s="70"/>
      <c r="I117" s="70"/>
      <c r="J117" s="70"/>
      <c r="K117" s="71"/>
      <c r="L117" s="69" t="s">
        <v>169</v>
      </c>
      <c r="M117" s="41">
        <v>0</v>
      </c>
      <c r="N117" s="41">
        <v>0</v>
      </c>
      <c r="O117" s="740">
        <v>0</v>
      </c>
      <c r="P117" s="41">
        <v>0</v>
      </c>
      <c r="Q117" s="41">
        <v>0</v>
      </c>
      <c r="R117" s="740">
        <v>0</v>
      </c>
      <c r="S117" s="41">
        <v>0</v>
      </c>
      <c r="T117" s="41">
        <v>0</v>
      </c>
      <c r="U117" s="41">
        <v>0</v>
      </c>
      <c r="V117" s="42">
        <v>0</v>
      </c>
      <c r="W117" s="41">
        <v>0</v>
      </c>
      <c r="X117" s="41">
        <v>0</v>
      </c>
      <c r="Y117" s="42">
        <v>0</v>
      </c>
      <c r="Z117" s="41">
        <v>0</v>
      </c>
      <c r="AA117" s="41">
        <v>0</v>
      </c>
      <c r="AB117" s="42">
        <v>0</v>
      </c>
    </row>
    <row r="118" spans="1:28" ht="24" hidden="1" customHeight="1">
      <c r="A118" s="32" t="e">
        <v>#REF!</v>
      </c>
      <c r="B118" s="72" t="s">
        <v>295</v>
      </c>
      <c r="C118" s="73" t="s">
        <v>167</v>
      </c>
      <c r="D118" s="73">
        <v>4101</v>
      </c>
      <c r="E118" s="73">
        <v>1500</v>
      </c>
      <c r="F118" s="73"/>
      <c r="G118" s="73"/>
      <c r="H118" s="73"/>
      <c r="I118" s="73"/>
      <c r="J118" s="73"/>
      <c r="K118" s="74"/>
      <c r="L118" s="72" t="s">
        <v>170</v>
      </c>
      <c r="M118" s="46"/>
      <c r="N118" s="46"/>
      <c r="O118" s="741"/>
      <c r="P118" s="46"/>
      <c r="Q118" s="46"/>
      <c r="R118" s="741"/>
      <c r="S118" s="46"/>
      <c r="T118" s="46"/>
      <c r="U118" s="46"/>
      <c r="V118" s="47">
        <v>0</v>
      </c>
      <c r="W118" s="46"/>
      <c r="X118" s="46"/>
      <c r="Y118" s="47">
        <v>0</v>
      </c>
      <c r="Z118" s="46"/>
      <c r="AA118" s="46"/>
      <c r="AB118" s="47">
        <v>0</v>
      </c>
    </row>
    <row r="119" spans="1:28" ht="60" hidden="1" customHeight="1">
      <c r="A119" s="32" t="e">
        <v>#REF!</v>
      </c>
      <c r="B119" s="75" t="s">
        <v>454</v>
      </c>
      <c r="C119" s="75" t="s">
        <v>167</v>
      </c>
      <c r="D119" s="75" t="s">
        <v>171</v>
      </c>
      <c r="E119" s="75" t="s">
        <v>172</v>
      </c>
      <c r="F119" s="75" t="s">
        <v>173</v>
      </c>
      <c r="G119" s="75"/>
      <c r="H119" s="75"/>
      <c r="I119" s="75"/>
      <c r="J119" s="76"/>
      <c r="K119" s="75"/>
      <c r="L119" s="75" t="s">
        <v>174</v>
      </c>
      <c r="M119" s="50">
        <v>0</v>
      </c>
      <c r="N119" s="50">
        <v>0</v>
      </c>
      <c r="O119" s="742">
        <v>0</v>
      </c>
      <c r="P119" s="50">
        <v>0</v>
      </c>
      <c r="Q119" s="50">
        <v>0</v>
      </c>
      <c r="R119" s="742">
        <v>0</v>
      </c>
      <c r="S119" s="50">
        <v>0</v>
      </c>
      <c r="T119" s="50">
        <v>0</v>
      </c>
      <c r="U119" s="50">
        <v>0</v>
      </c>
      <c r="V119" s="51">
        <v>0</v>
      </c>
      <c r="W119" s="50">
        <v>0</v>
      </c>
      <c r="X119" s="50">
        <v>0</v>
      </c>
      <c r="Y119" s="51">
        <v>0</v>
      </c>
      <c r="Z119" s="50">
        <v>0</v>
      </c>
      <c r="AA119" s="50">
        <v>0</v>
      </c>
      <c r="AB119" s="51">
        <v>0</v>
      </c>
    </row>
    <row r="120" spans="1:28" ht="24" hidden="1" customHeight="1">
      <c r="A120" s="32" t="e">
        <v>#REF!</v>
      </c>
      <c r="B120" s="77" t="s">
        <v>456</v>
      </c>
      <c r="C120" s="52" t="s">
        <v>167</v>
      </c>
      <c r="D120" s="52" t="s">
        <v>171</v>
      </c>
      <c r="E120" s="52" t="s">
        <v>172</v>
      </c>
      <c r="F120" s="52" t="s">
        <v>173</v>
      </c>
      <c r="G120" s="52" t="s">
        <v>175</v>
      </c>
      <c r="H120" s="52" t="s">
        <v>176</v>
      </c>
      <c r="I120" s="52"/>
      <c r="J120" s="53" t="s">
        <v>144</v>
      </c>
      <c r="K120" s="52" t="s">
        <v>29</v>
      </c>
      <c r="L120" s="77" t="s">
        <v>177</v>
      </c>
      <c r="M120" s="54">
        <v>0</v>
      </c>
      <c r="N120" s="54">
        <v>0</v>
      </c>
      <c r="O120" s="743">
        <v>0</v>
      </c>
      <c r="P120" s="54">
        <v>0</v>
      </c>
      <c r="Q120" s="54">
        <v>0</v>
      </c>
      <c r="R120" s="743">
        <v>0</v>
      </c>
      <c r="S120" s="54">
        <v>0</v>
      </c>
      <c r="T120" s="54">
        <v>0</v>
      </c>
      <c r="U120" s="54">
        <v>0</v>
      </c>
      <c r="V120" s="55">
        <v>0</v>
      </c>
      <c r="W120" s="54">
        <v>0</v>
      </c>
      <c r="X120" s="54">
        <v>0</v>
      </c>
      <c r="Y120" s="55">
        <v>0</v>
      </c>
      <c r="Z120" s="54">
        <v>0</v>
      </c>
      <c r="AA120" s="54">
        <v>0</v>
      </c>
      <c r="AB120" s="55">
        <v>0</v>
      </c>
    </row>
    <row r="121" spans="1:28" ht="24.95" hidden="1" customHeight="1">
      <c r="A121" s="32" t="e">
        <v>#REF!</v>
      </c>
      <c r="B121" s="78" t="s">
        <v>458</v>
      </c>
      <c r="C121" s="79" t="s">
        <v>167</v>
      </c>
      <c r="D121" s="79" t="s">
        <v>171</v>
      </c>
      <c r="E121" s="79" t="s">
        <v>172</v>
      </c>
      <c r="F121" s="79" t="s">
        <v>173</v>
      </c>
      <c r="G121" s="79" t="s">
        <v>175</v>
      </c>
      <c r="H121" s="79" t="s">
        <v>176</v>
      </c>
      <c r="I121" s="79" t="s">
        <v>54</v>
      </c>
      <c r="J121" s="79" t="s">
        <v>144</v>
      </c>
      <c r="K121" s="80" t="s">
        <v>29</v>
      </c>
      <c r="L121" s="59" t="s">
        <v>178</v>
      </c>
      <c r="M121" s="60"/>
      <c r="N121" s="60"/>
      <c r="O121" s="745"/>
      <c r="P121" s="60"/>
      <c r="Q121" s="60"/>
      <c r="R121" s="745"/>
      <c r="S121" s="60">
        <v>0</v>
      </c>
      <c r="T121" s="60"/>
      <c r="U121" s="60">
        <v>0</v>
      </c>
      <c r="V121" s="62">
        <v>0</v>
      </c>
      <c r="W121" s="60"/>
      <c r="X121" s="60">
        <v>0</v>
      </c>
      <c r="Y121" s="62">
        <v>0</v>
      </c>
      <c r="Z121" s="60"/>
      <c r="AA121" s="60">
        <v>0</v>
      </c>
      <c r="AB121" s="62">
        <v>0</v>
      </c>
    </row>
    <row r="122" spans="1:28" ht="33" hidden="1" customHeight="1">
      <c r="A122" s="32" t="e">
        <v>#REF!</v>
      </c>
      <c r="B122" s="77" t="s">
        <v>460</v>
      </c>
      <c r="C122" s="52" t="s">
        <v>167</v>
      </c>
      <c r="D122" s="52" t="s">
        <v>171</v>
      </c>
      <c r="E122" s="52" t="s">
        <v>172</v>
      </c>
      <c r="F122" s="52" t="s">
        <v>173</v>
      </c>
      <c r="G122" s="52" t="s">
        <v>175</v>
      </c>
      <c r="H122" s="52" t="s">
        <v>179</v>
      </c>
      <c r="I122" s="52"/>
      <c r="J122" s="53" t="s">
        <v>144</v>
      </c>
      <c r="K122" s="52" t="s">
        <v>29</v>
      </c>
      <c r="L122" s="77" t="s">
        <v>180</v>
      </c>
      <c r="M122" s="54">
        <v>0</v>
      </c>
      <c r="N122" s="54">
        <v>0</v>
      </c>
      <c r="O122" s="743">
        <v>0</v>
      </c>
      <c r="P122" s="54">
        <v>0</v>
      </c>
      <c r="Q122" s="54">
        <v>0</v>
      </c>
      <c r="R122" s="743">
        <v>0</v>
      </c>
      <c r="S122" s="54">
        <v>0</v>
      </c>
      <c r="T122" s="54">
        <v>0</v>
      </c>
      <c r="U122" s="54">
        <v>0</v>
      </c>
      <c r="V122" s="55">
        <v>0</v>
      </c>
      <c r="W122" s="54">
        <v>0</v>
      </c>
      <c r="X122" s="54">
        <v>0</v>
      </c>
      <c r="Y122" s="55">
        <v>0</v>
      </c>
      <c r="Z122" s="54">
        <v>0</v>
      </c>
      <c r="AA122" s="54">
        <v>0</v>
      </c>
      <c r="AB122" s="55">
        <v>0</v>
      </c>
    </row>
    <row r="123" spans="1:28" ht="24.95" hidden="1" customHeight="1">
      <c r="A123" s="32" t="e">
        <v>#REF!</v>
      </c>
      <c r="B123" s="78" t="s">
        <v>462</v>
      </c>
      <c r="C123" s="79" t="s">
        <v>167</v>
      </c>
      <c r="D123" s="79" t="s">
        <v>171</v>
      </c>
      <c r="E123" s="79" t="s">
        <v>172</v>
      </c>
      <c r="F123" s="79" t="s">
        <v>173</v>
      </c>
      <c r="G123" s="79" t="s">
        <v>175</v>
      </c>
      <c r="H123" s="79" t="s">
        <v>179</v>
      </c>
      <c r="I123" s="79" t="s">
        <v>54</v>
      </c>
      <c r="J123" s="79" t="s">
        <v>144</v>
      </c>
      <c r="K123" s="80" t="s">
        <v>29</v>
      </c>
      <c r="L123" s="59" t="s">
        <v>178</v>
      </c>
      <c r="M123" s="60"/>
      <c r="N123" s="60"/>
      <c r="O123" s="745"/>
      <c r="P123" s="60"/>
      <c r="Q123" s="60"/>
      <c r="R123" s="745"/>
      <c r="S123" s="60">
        <v>0</v>
      </c>
      <c r="T123" s="60"/>
      <c r="U123" s="60">
        <v>0</v>
      </c>
      <c r="V123" s="62">
        <v>0</v>
      </c>
      <c r="W123" s="60"/>
      <c r="X123" s="60">
        <v>0</v>
      </c>
      <c r="Y123" s="62">
        <v>0</v>
      </c>
      <c r="Z123" s="60"/>
      <c r="AA123" s="60">
        <v>0</v>
      </c>
      <c r="AB123" s="62">
        <v>0</v>
      </c>
    </row>
    <row r="124" spans="1:28" ht="43.5" hidden="1" customHeight="1">
      <c r="A124" s="32" t="e">
        <v>#REF!</v>
      </c>
      <c r="B124" s="77" t="s">
        <v>690</v>
      </c>
      <c r="C124" s="52" t="s">
        <v>167</v>
      </c>
      <c r="D124" s="52" t="s">
        <v>171</v>
      </c>
      <c r="E124" s="52" t="s">
        <v>172</v>
      </c>
      <c r="F124" s="52" t="s">
        <v>173</v>
      </c>
      <c r="G124" s="52" t="s">
        <v>175</v>
      </c>
      <c r="H124" s="52" t="s">
        <v>181</v>
      </c>
      <c r="I124" s="52"/>
      <c r="J124" s="53" t="s">
        <v>144</v>
      </c>
      <c r="K124" s="52" t="s">
        <v>29</v>
      </c>
      <c r="L124" s="77" t="s">
        <v>182</v>
      </c>
      <c r="M124" s="54">
        <v>0</v>
      </c>
      <c r="N124" s="54">
        <v>0</v>
      </c>
      <c r="O124" s="743">
        <v>0</v>
      </c>
      <c r="P124" s="54">
        <v>0</v>
      </c>
      <c r="Q124" s="54">
        <v>0</v>
      </c>
      <c r="R124" s="743">
        <v>0</v>
      </c>
      <c r="S124" s="54">
        <v>0</v>
      </c>
      <c r="T124" s="54">
        <v>0</v>
      </c>
      <c r="U124" s="54">
        <v>0</v>
      </c>
      <c r="V124" s="55">
        <v>0</v>
      </c>
      <c r="W124" s="54">
        <v>0</v>
      </c>
      <c r="X124" s="54">
        <v>0</v>
      </c>
      <c r="Y124" s="55">
        <v>0</v>
      </c>
      <c r="Z124" s="54">
        <v>0</v>
      </c>
      <c r="AA124" s="54">
        <v>0</v>
      </c>
      <c r="AB124" s="55">
        <v>0</v>
      </c>
    </row>
    <row r="125" spans="1:28" ht="24.95" hidden="1" customHeight="1">
      <c r="A125" s="32" t="e">
        <v>#REF!</v>
      </c>
      <c r="B125" s="78" t="s">
        <v>466</v>
      </c>
      <c r="C125" s="79" t="s">
        <v>167</v>
      </c>
      <c r="D125" s="79" t="s">
        <v>171</v>
      </c>
      <c r="E125" s="79" t="s">
        <v>172</v>
      </c>
      <c r="F125" s="79" t="s">
        <v>173</v>
      </c>
      <c r="G125" s="79" t="s">
        <v>175</v>
      </c>
      <c r="H125" s="79" t="s">
        <v>181</v>
      </c>
      <c r="I125" s="79" t="s">
        <v>54</v>
      </c>
      <c r="J125" s="79" t="s">
        <v>144</v>
      </c>
      <c r="K125" s="80" t="s">
        <v>29</v>
      </c>
      <c r="L125" s="59" t="s">
        <v>178</v>
      </c>
      <c r="M125" s="60"/>
      <c r="N125" s="60"/>
      <c r="O125" s="745"/>
      <c r="P125" s="60"/>
      <c r="Q125" s="60"/>
      <c r="R125" s="745"/>
      <c r="S125" s="60">
        <v>0</v>
      </c>
      <c r="T125" s="60"/>
      <c r="U125" s="60">
        <v>0</v>
      </c>
      <c r="V125" s="62">
        <v>0</v>
      </c>
      <c r="W125" s="60"/>
      <c r="X125" s="60">
        <v>0</v>
      </c>
      <c r="Y125" s="62">
        <v>0</v>
      </c>
      <c r="Z125" s="60"/>
      <c r="AA125" s="60">
        <v>0</v>
      </c>
      <c r="AB125" s="62">
        <v>0</v>
      </c>
    </row>
    <row r="126" spans="1:28" ht="45" hidden="1" customHeight="1">
      <c r="A126" s="32" t="e">
        <v>#REF!</v>
      </c>
      <c r="B126" s="77" t="s">
        <v>691</v>
      </c>
      <c r="C126" s="52" t="s">
        <v>167</v>
      </c>
      <c r="D126" s="52" t="s">
        <v>171</v>
      </c>
      <c r="E126" s="52" t="s">
        <v>172</v>
      </c>
      <c r="F126" s="52" t="s">
        <v>173</v>
      </c>
      <c r="G126" s="52" t="s">
        <v>175</v>
      </c>
      <c r="H126" s="52" t="s">
        <v>183</v>
      </c>
      <c r="I126" s="52"/>
      <c r="J126" s="53" t="s">
        <v>144</v>
      </c>
      <c r="K126" s="52" t="s">
        <v>29</v>
      </c>
      <c r="L126" s="77" t="s">
        <v>184</v>
      </c>
      <c r="M126" s="54">
        <v>0</v>
      </c>
      <c r="N126" s="54">
        <v>0</v>
      </c>
      <c r="O126" s="743">
        <v>0</v>
      </c>
      <c r="P126" s="54">
        <v>0</v>
      </c>
      <c r="Q126" s="54">
        <v>0</v>
      </c>
      <c r="R126" s="743">
        <v>0</v>
      </c>
      <c r="S126" s="54">
        <v>0</v>
      </c>
      <c r="T126" s="54">
        <v>0</v>
      </c>
      <c r="U126" s="54">
        <v>0</v>
      </c>
      <c r="V126" s="55">
        <v>0</v>
      </c>
      <c r="W126" s="54">
        <v>0</v>
      </c>
      <c r="X126" s="54">
        <v>0</v>
      </c>
      <c r="Y126" s="55">
        <v>0</v>
      </c>
      <c r="Z126" s="54">
        <v>0</v>
      </c>
      <c r="AA126" s="54">
        <v>0</v>
      </c>
      <c r="AB126" s="55">
        <v>0</v>
      </c>
    </row>
    <row r="127" spans="1:28" ht="24.95" hidden="1" customHeight="1">
      <c r="A127" s="32" t="e">
        <v>#REF!</v>
      </c>
      <c r="B127" s="78" t="s">
        <v>470</v>
      </c>
      <c r="C127" s="79" t="s">
        <v>167</v>
      </c>
      <c r="D127" s="79" t="s">
        <v>171</v>
      </c>
      <c r="E127" s="79" t="s">
        <v>172</v>
      </c>
      <c r="F127" s="79" t="s">
        <v>173</v>
      </c>
      <c r="G127" s="79" t="s">
        <v>175</v>
      </c>
      <c r="H127" s="79" t="s">
        <v>183</v>
      </c>
      <c r="I127" s="79" t="s">
        <v>54</v>
      </c>
      <c r="J127" s="79" t="s">
        <v>144</v>
      </c>
      <c r="K127" s="80" t="s">
        <v>29</v>
      </c>
      <c r="L127" s="59" t="s">
        <v>178</v>
      </c>
      <c r="M127" s="60">
        <v>0</v>
      </c>
      <c r="N127" s="60"/>
      <c r="O127" s="745"/>
      <c r="P127" s="60"/>
      <c r="Q127" s="60"/>
      <c r="R127" s="745"/>
      <c r="S127" s="60">
        <v>0</v>
      </c>
      <c r="T127" s="60">
        <v>0</v>
      </c>
      <c r="U127" s="60">
        <v>0</v>
      </c>
      <c r="V127" s="62">
        <v>0</v>
      </c>
      <c r="W127" s="60">
        <v>0</v>
      </c>
      <c r="X127" s="60">
        <v>0</v>
      </c>
      <c r="Y127" s="62">
        <v>0</v>
      </c>
      <c r="Z127" s="60">
        <v>0</v>
      </c>
      <c r="AA127" s="60">
        <v>0</v>
      </c>
      <c r="AB127" s="62">
        <v>0</v>
      </c>
    </row>
    <row r="128" spans="1:28" ht="33.75" hidden="1" customHeight="1">
      <c r="A128" s="32" t="e">
        <v>#REF!</v>
      </c>
      <c r="B128" s="77" t="s">
        <v>472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185</v>
      </c>
      <c r="I128" s="52"/>
      <c r="J128" s="53" t="s">
        <v>144</v>
      </c>
      <c r="K128" s="52" t="s">
        <v>29</v>
      </c>
      <c r="L128" s="77" t="s">
        <v>186</v>
      </c>
      <c r="M128" s="54">
        <v>0</v>
      </c>
      <c r="N128" s="54">
        <v>0</v>
      </c>
      <c r="O128" s="743">
        <v>0</v>
      </c>
      <c r="P128" s="54">
        <v>0</v>
      </c>
      <c r="Q128" s="54">
        <v>0</v>
      </c>
      <c r="R128" s="743">
        <v>0</v>
      </c>
      <c r="S128" s="54">
        <v>0</v>
      </c>
      <c r="T128" s="54">
        <v>0</v>
      </c>
      <c r="U128" s="54">
        <v>0</v>
      </c>
      <c r="V128" s="55">
        <v>0</v>
      </c>
      <c r="W128" s="54">
        <v>0</v>
      </c>
      <c r="X128" s="54">
        <v>0</v>
      </c>
      <c r="Y128" s="55">
        <v>0</v>
      </c>
      <c r="Z128" s="54">
        <v>0</v>
      </c>
      <c r="AA128" s="54">
        <v>0</v>
      </c>
      <c r="AB128" s="55">
        <v>0</v>
      </c>
    </row>
    <row r="129" spans="1:28" ht="24.95" hidden="1" customHeight="1">
      <c r="A129" s="32" t="e">
        <v>#REF!</v>
      </c>
      <c r="B129" s="78" t="s">
        <v>474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185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/>
      <c r="N129" s="60"/>
      <c r="O129" s="745"/>
      <c r="P129" s="60"/>
      <c r="Q129" s="60"/>
      <c r="R129" s="745"/>
      <c r="S129" s="60">
        <v>0</v>
      </c>
      <c r="T129" s="60"/>
      <c r="U129" s="60">
        <v>0</v>
      </c>
      <c r="V129" s="62">
        <v>0</v>
      </c>
      <c r="W129" s="60"/>
      <c r="X129" s="60">
        <v>0</v>
      </c>
      <c r="Y129" s="62">
        <v>0</v>
      </c>
      <c r="Z129" s="60"/>
      <c r="AA129" s="60">
        <v>0</v>
      </c>
      <c r="AB129" s="62">
        <v>0</v>
      </c>
    </row>
    <row r="130" spans="1:28" ht="24" hidden="1" customHeight="1">
      <c r="A130" s="32" t="e">
        <v>#REF!</v>
      </c>
      <c r="B130" s="77"/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187</v>
      </c>
      <c r="I130" s="52"/>
      <c r="J130" s="53" t="s">
        <v>144</v>
      </c>
      <c r="K130" s="52" t="s">
        <v>29</v>
      </c>
      <c r="L130" s="77" t="s">
        <v>188</v>
      </c>
      <c r="M130" s="54">
        <v>0</v>
      </c>
      <c r="N130" s="54">
        <v>0</v>
      </c>
      <c r="O130" s="743">
        <v>0</v>
      </c>
      <c r="P130" s="54">
        <v>0</v>
      </c>
      <c r="Q130" s="54">
        <v>0</v>
      </c>
      <c r="R130" s="743">
        <v>0</v>
      </c>
      <c r="S130" s="54">
        <v>0</v>
      </c>
      <c r="T130" s="54">
        <v>0</v>
      </c>
      <c r="U130" s="54">
        <v>0</v>
      </c>
      <c r="V130" s="55">
        <v>0</v>
      </c>
      <c r="W130" s="54">
        <v>0</v>
      </c>
      <c r="X130" s="54">
        <v>0</v>
      </c>
      <c r="Y130" s="55">
        <v>0</v>
      </c>
      <c r="Z130" s="54">
        <v>0</v>
      </c>
      <c r="AA130" s="54">
        <v>0</v>
      </c>
      <c r="AB130" s="55">
        <v>0</v>
      </c>
    </row>
    <row r="131" spans="1:28" ht="24.95" hidden="1" customHeight="1">
      <c r="A131" s="32" t="e">
        <v>#REF!</v>
      </c>
      <c r="B131" s="78"/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187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>
        <v>0</v>
      </c>
      <c r="N131" s="60"/>
      <c r="O131" s="745"/>
      <c r="P131" s="60"/>
      <c r="Q131" s="60"/>
      <c r="R131" s="745"/>
      <c r="S131" s="60">
        <v>0</v>
      </c>
      <c r="T131" s="60">
        <v>0</v>
      </c>
      <c r="U131" s="60">
        <v>0</v>
      </c>
      <c r="V131" s="62">
        <v>0</v>
      </c>
      <c r="W131" s="60">
        <v>0</v>
      </c>
      <c r="X131" s="60">
        <v>0</v>
      </c>
      <c r="Y131" s="62">
        <v>0</v>
      </c>
      <c r="Z131" s="60">
        <v>0</v>
      </c>
      <c r="AA131" s="60">
        <v>0</v>
      </c>
      <c r="AB131" s="62">
        <v>0</v>
      </c>
    </row>
    <row r="132" spans="1:28" ht="24.95" hidden="1" customHeight="1">
      <c r="A132" s="32" t="e">
        <v>#REF!</v>
      </c>
      <c r="B132" s="78"/>
      <c r="C132" s="79" t="s">
        <v>167</v>
      </c>
      <c r="D132" s="79" t="s">
        <v>171</v>
      </c>
      <c r="E132" s="79" t="s">
        <v>172</v>
      </c>
      <c r="F132" s="79" t="s">
        <v>173</v>
      </c>
      <c r="G132" s="79" t="s">
        <v>175</v>
      </c>
      <c r="H132" s="79" t="s">
        <v>187</v>
      </c>
      <c r="I132" s="79" t="s">
        <v>65</v>
      </c>
      <c r="J132" s="79" t="s">
        <v>144</v>
      </c>
      <c r="K132" s="80" t="s">
        <v>29</v>
      </c>
      <c r="L132" s="59" t="s">
        <v>127</v>
      </c>
      <c r="M132" s="60">
        <v>0</v>
      </c>
      <c r="N132" s="60"/>
      <c r="O132" s="745"/>
      <c r="P132" s="60"/>
      <c r="Q132" s="60"/>
      <c r="R132" s="745"/>
      <c r="S132" s="60">
        <v>0</v>
      </c>
      <c r="T132" s="60">
        <v>0</v>
      </c>
      <c r="U132" s="60">
        <v>0</v>
      </c>
      <c r="V132" s="62">
        <v>0</v>
      </c>
      <c r="W132" s="60">
        <v>0</v>
      </c>
      <c r="X132" s="60">
        <v>0</v>
      </c>
      <c r="Y132" s="62">
        <v>0</v>
      </c>
      <c r="Z132" s="60">
        <v>0</v>
      </c>
      <c r="AA132" s="60">
        <v>0</v>
      </c>
      <c r="AB132" s="62">
        <v>0</v>
      </c>
    </row>
    <row r="133" spans="1:28" ht="31.5" customHeight="1">
      <c r="A133" s="32" t="e">
        <v>#REF!</v>
      </c>
      <c r="B133" s="38" t="s">
        <v>482</v>
      </c>
      <c r="C133" s="39" t="s">
        <v>167</v>
      </c>
      <c r="D133" s="39">
        <v>4103</v>
      </c>
      <c r="E133" s="39"/>
      <c r="F133" s="39"/>
      <c r="G133" s="39"/>
      <c r="H133" s="39"/>
      <c r="I133" s="39"/>
      <c r="J133" s="39"/>
      <c r="K133" s="40"/>
      <c r="L133" s="38" t="s">
        <v>189</v>
      </c>
      <c r="M133" s="41">
        <v>6462380211524</v>
      </c>
      <c r="N133" s="41">
        <v>0</v>
      </c>
      <c r="O133" s="740">
        <v>0</v>
      </c>
      <c r="P133" s="41">
        <v>0</v>
      </c>
      <c r="Q133" s="41">
        <v>0</v>
      </c>
      <c r="R133" s="740">
        <v>0</v>
      </c>
      <c r="S133" s="41">
        <v>6462380211524</v>
      </c>
      <c r="T133" s="41">
        <v>434981814581.51001</v>
      </c>
      <c r="U133" s="41">
        <v>6027398396942.4902</v>
      </c>
      <c r="V133" s="42">
        <v>6.7309845651890202E-2</v>
      </c>
      <c r="W133" s="41">
        <v>57393329</v>
      </c>
      <c r="X133" s="41">
        <v>434924421252.51001</v>
      </c>
      <c r="Y133" s="42">
        <v>0.9998680557966424</v>
      </c>
      <c r="Z133" s="41">
        <v>0</v>
      </c>
      <c r="AA133" s="41">
        <v>57393329</v>
      </c>
      <c r="AB133" s="42">
        <v>0</v>
      </c>
    </row>
    <row r="134" spans="1:28" ht="24" customHeight="1">
      <c r="A134" s="32" t="e">
        <v>#REF!</v>
      </c>
      <c r="B134" s="43" t="s">
        <v>296</v>
      </c>
      <c r="C134" s="44" t="s">
        <v>167</v>
      </c>
      <c r="D134" s="44">
        <v>4103</v>
      </c>
      <c r="E134" s="44">
        <v>1500</v>
      </c>
      <c r="F134" s="44"/>
      <c r="G134" s="44"/>
      <c r="H134" s="44"/>
      <c r="I134" s="44"/>
      <c r="J134" s="44"/>
      <c r="K134" s="45"/>
      <c r="L134" s="43" t="s">
        <v>170</v>
      </c>
      <c r="M134" s="46">
        <v>6462380211524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6462380211524</v>
      </c>
      <c r="T134" s="46">
        <v>434981814581.51001</v>
      </c>
      <c r="U134" s="46">
        <v>6027398396942.4902</v>
      </c>
      <c r="V134" s="47">
        <v>6.7309845651890202E-2</v>
      </c>
      <c r="W134" s="46">
        <v>57393329</v>
      </c>
      <c r="X134" s="46">
        <v>434924421252.51001</v>
      </c>
      <c r="Y134" s="47">
        <v>0.9998680557966424</v>
      </c>
      <c r="Z134" s="46">
        <v>0</v>
      </c>
      <c r="AA134" s="46">
        <v>57393329</v>
      </c>
      <c r="AB134" s="47">
        <v>0</v>
      </c>
    </row>
    <row r="135" spans="1:28" ht="37.5" customHeight="1">
      <c r="A135" s="32" t="e">
        <v>#REF!</v>
      </c>
      <c r="B135" s="48" t="s">
        <v>297</v>
      </c>
      <c r="C135" s="48" t="s">
        <v>167</v>
      </c>
      <c r="D135" s="48" t="s">
        <v>190</v>
      </c>
      <c r="E135" s="48" t="s">
        <v>172</v>
      </c>
      <c r="F135" s="48" t="s">
        <v>191</v>
      </c>
      <c r="G135" s="48"/>
      <c r="H135" s="48"/>
      <c r="I135" s="48"/>
      <c r="J135" s="49"/>
      <c r="K135" s="48"/>
      <c r="L135" s="48" t="s">
        <v>192</v>
      </c>
      <c r="M135" s="50">
        <v>2437607024958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2437607024958</v>
      </c>
      <c r="T135" s="50">
        <v>12944598286</v>
      </c>
      <c r="U135" s="50">
        <v>2424662426672</v>
      </c>
      <c r="V135" s="51">
        <v>5.3103712589698641E-3</v>
      </c>
      <c r="W135" s="50">
        <v>27236662</v>
      </c>
      <c r="X135" s="50">
        <v>12917361624</v>
      </c>
      <c r="Y135" s="51">
        <v>0.9978959051954932</v>
      </c>
      <c r="Z135" s="50">
        <v>0</v>
      </c>
      <c r="AA135" s="50">
        <v>27236662</v>
      </c>
      <c r="AB135" s="51">
        <v>0</v>
      </c>
    </row>
    <row r="136" spans="1:28" ht="27.75" customHeight="1">
      <c r="A136" s="32" t="e">
        <v>#REF!</v>
      </c>
      <c r="B136" s="52" t="s">
        <v>486</v>
      </c>
      <c r="C136" s="52" t="s">
        <v>167</v>
      </c>
      <c r="D136" s="52" t="s">
        <v>190</v>
      </c>
      <c r="E136" s="52" t="s">
        <v>172</v>
      </c>
      <c r="F136" s="52" t="s">
        <v>191</v>
      </c>
      <c r="G136" s="52" t="s">
        <v>175</v>
      </c>
      <c r="H136" s="52" t="s">
        <v>193</v>
      </c>
      <c r="I136" s="52"/>
      <c r="J136" s="53"/>
      <c r="K136" s="52"/>
      <c r="L136" s="52" t="s">
        <v>194</v>
      </c>
      <c r="M136" s="54">
        <v>2430621085885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2430621085885</v>
      </c>
      <c r="T136" s="54">
        <v>12944598286</v>
      </c>
      <c r="U136" s="54">
        <v>2417676487599</v>
      </c>
      <c r="V136" s="55">
        <v>5.3256339958421836E-3</v>
      </c>
      <c r="W136" s="54">
        <v>27236662</v>
      </c>
      <c r="X136" s="54">
        <v>12917361624</v>
      </c>
      <c r="Y136" s="55">
        <v>0.9978959051954932</v>
      </c>
      <c r="Z136" s="54">
        <v>0</v>
      </c>
      <c r="AA136" s="54">
        <v>27236662</v>
      </c>
      <c r="AB136" s="55">
        <v>0</v>
      </c>
    </row>
    <row r="137" spans="1:28" ht="24.95" customHeight="1">
      <c r="A137" s="32" t="e">
        <v>#REF!</v>
      </c>
      <c r="B137" s="56" t="s">
        <v>488</v>
      </c>
      <c r="C137" s="57" t="s">
        <v>167</v>
      </c>
      <c r="D137" s="57" t="s">
        <v>190</v>
      </c>
      <c r="E137" s="57" t="s">
        <v>172</v>
      </c>
      <c r="F137" s="57" t="s">
        <v>191</v>
      </c>
      <c r="G137" s="57" t="s">
        <v>175</v>
      </c>
      <c r="H137" s="57" t="s">
        <v>193</v>
      </c>
      <c r="I137" s="57" t="s">
        <v>54</v>
      </c>
      <c r="J137" s="57">
        <v>10</v>
      </c>
      <c r="K137" s="58" t="s">
        <v>29</v>
      </c>
      <c r="L137" s="59" t="s">
        <v>178</v>
      </c>
      <c r="M137" s="60">
        <v>83108753174</v>
      </c>
      <c r="N137" s="60"/>
      <c r="O137" s="60"/>
      <c r="P137" s="60"/>
      <c r="Q137" s="60"/>
      <c r="R137" s="61"/>
      <c r="S137" s="81">
        <v>83108753174</v>
      </c>
      <c r="T137" s="60">
        <v>12944598286</v>
      </c>
      <c r="U137" s="60">
        <v>70164154888</v>
      </c>
      <c r="V137" s="62">
        <v>0.15575493304416013</v>
      </c>
      <c r="W137" s="60">
        <v>27236662</v>
      </c>
      <c r="X137" s="60">
        <v>12917361624</v>
      </c>
      <c r="Y137" s="62">
        <v>0.9978959051954932</v>
      </c>
      <c r="Z137" s="60">
        <v>0</v>
      </c>
      <c r="AA137" s="60">
        <v>27236662</v>
      </c>
      <c r="AB137" s="62">
        <v>0</v>
      </c>
    </row>
    <row r="138" spans="1:28" ht="24.95" customHeight="1">
      <c r="A138" s="32" t="e">
        <v>#REF!</v>
      </c>
      <c r="B138" s="56" t="s">
        <v>491</v>
      </c>
      <c r="C138" s="57" t="s">
        <v>167</v>
      </c>
      <c r="D138" s="57" t="s">
        <v>190</v>
      </c>
      <c r="E138" s="57" t="s">
        <v>172</v>
      </c>
      <c r="F138" s="57" t="s">
        <v>191</v>
      </c>
      <c r="G138" s="57" t="s">
        <v>175</v>
      </c>
      <c r="H138" s="57" t="s">
        <v>193</v>
      </c>
      <c r="I138" s="57" t="s">
        <v>65</v>
      </c>
      <c r="J138" s="57">
        <v>10</v>
      </c>
      <c r="K138" s="58" t="s">
        <v>29</v>
      </c>
      <c r="L138" s="59" t="s">
        <v>127</v>
      </c>
      <c r="M138" s="60">
        <v>2347512332711</v>
      </c>
      <c r="N138" s="60"/>
      <c r="O138" s="60"/>
      <c r="P138" s="81"/>
      <c r="Q138" s="60"/>
      <c r="R138" s="61"/>
      <c r="S138" s="81">
        <v>2347512332711</v>
      </c>
      <c r="T138" s="60">
        <v>0</v>
      </c>
      <c r="U138" s="60">
        <v>2347512332711</v>
      </c>
      <c r="V138" s="62">
        <v>0</v>
      </c>
      <c r="W138" s="60">
        <v>0</v>
      </c>
      <c r="X138" s="60">
        <v>0</v>
      </c>
      <c r="Y138" s="62">
        <v>0</v>
      </c>
      <c r="Z138" s="60">
        <v>0</v>
      </c>
      <c r="AA138" s="60">
        <v>0</v>
      </c>
      <c r="AB138" s="62">
        <v>0</v>
      </c>
    </row>
    <row r="139" spans="1:28" ht="28.5" customHeight="1">
      <c r="A139" s="32" t="e">
        <v>#REF!</v>
      </c>
      <c r="B139" s="52" t="s">
        <v>494</v>
      </c>
      <c r="C139" s="52" t="s">
        <v>167</v>
      </c>
      <c r="D139" s="52" t="s">
        <v>190</v>
      </c>
      <c r="E139" s="52" t="s">
        <v>172</v>
      </c>
      <c r="F139" s="52" t="s">
        <v>191</v>
      </c>
      <c r="G139" s="52" t="s">
        <v>175</v>
      </c>
      <c r="H139" s="52">
        <v>4103009</v>
      </c>
      <c r="I139" s="52"/>
      <c r="J139" s="53"/>
      <c r="K139" s="52" t="s">
        <v>29</v>
      </c>
      <c r="L139" s="52" t="s">
        <v>195</v>
      </c>
      <c r="M139" s="54">
        <v>6385939073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6385939073</v>
      </c>
      <c r="T139" s="54">
        <v>0</v>
      </c>
      <c r="U139" s="54">
        <v>6385939073</v>
      </c>
      <c r="V139" s="55">
        <v>0</v>
      </c>
      <c r="W139" s="54">
        <v>0</v>
      </c>
      <c r="X139" s="54">
        <v>0</v>
      </c>
      <c r="Y139" s="55">
        <v>0</v>
      </c>
      <c r="Z139" s="54">
        <v>0</v>
      </c>
      <c r="AA139" s="54">
        <v>0</v>
      </c>
      <c r="AB139" s="55">
        <v>0</v>
      </c>
    </row>
    <row r="140" spans="1:28" ht="24.95" customHeight="1">
      <c r="A140" s="32" t="e">
        <v>#REF!</v>
      </c>
      <c r="B140" s="56" t="s">
        <v>496</v>
      </c>
      <c r="C140" s="57" t="s">
        <v>167</v>
      </c>
      <c r="D140" s="57" t="s">
        <v>190</v>
      </c>
      <c r="E140" s="57" t="s">
        <v>172</v>
      </c>
      <c r="F140" s="57" t="s">
        <v>191</v>
      </c>
      <c r="G140" s="57" t="s">
        <v>175</v>
      </c>
      <c r="H140" s="57">
        <v>4103009</v>
      </c>
      <c r="I140" s="57" t="s">
        <v>54</v>
      </c>
      <c r="J140" s="57">
        <v>10</v>
      </c>
      <c r="K140" s="58" t="s">
        <v>29</v>
      </c>
      <c r="L140" s="59" t="s">
        <v>178</v>
      </c>
      <c r="M140" s="60">
        <v>6385939073</v>
      </c>
      <c r="N140" s="60"/>
      <c r="O140" s="60"/>
      <c r="P140" s="60"/>
      <c r="Q140" s="60"/>
      <c r="R140" s="61"/>
      <c r="S140" s="81">
        <v>6385939073</v>
      </c>
      <c r="T140" s="60">
        <v>0</v>
      </c>
      <c r="U140" s="60">
        <v>6385939073</v>
      </c>
      <c r="V140" s="62">
        <v>0</v>
      </c>
      <c r="W140" s="60">
        <v>0</v>
      </c>
      <c r="X140" s="60">
        <v>0</v>
      </c>
      <c r="Y140" s="62">
        <v>0</v>
      </c>
      <c r="Z140" s="60">
        <v>0</v>
      </c>
      <c r="AA140" s="60">
        <v>0</v>
      </c>
      <c r="AB140" s="62">
        <v>0</v>
      </c>
    </row>
    <row r="141" spans="1:28" ht="27.75" customHeight="1">
      <c r="A141" s="32" t="e">
        <v>#REF!</v>
      </c>
      <c r="B141" s="52" t="s">
        <v>497</v>
      </c>
      <c r="C141" s="52" t="s">
        <v>167</v>
      </c>
      <c r="D141" s="52" t="s">
        <v>190</v>
      </c>
      <c r="E141" s="52" t="s">
        <v>172</v>
      </c>
      <c r="F141" s="52" t="s">
        <v>191</v>
      </c>
      <c r="G141" s="52" t="s">
        <v>175</v>
      </c>
      <c r="H141" s="52">
        <v>4103047</v>
      </c>
      <c r="I141" s="52"/>
      <c r="J141" s="53"/>
      <c r="K141" s="52" t="s">
        <v>29</v>
      </c>
      <c r="L141" s="52" t="s">
        <v>195</v>
      </c>
      <c r="M141" s="54">
        <v>600000000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600000000</v>
      </c>
      <c r="T141" s="54">
        <v>0</v>
      </c>
      <c r="U141" s="54">
        <v>600000000</v>
      </c>
      <c r="V141" s="55">
        <v>0</v>
      </c>
      <c r="W141" s="54">
        <v>0</v>
      </c>
      <c r="X141" s="54">
        <v>0</v>
      </c>
      <c r="Y141" s="55">
        <v>0</v>
      </c>
      <c r="Z141" s="54">
        <v>0</v>
      </c>
      <c r="AA141" s="54">
        <v>0</v>
      </c>
      <c r="AB141" s="55">
        <v>0</v>
      </c>
    </row>
    <row r="142" spans="1:28" ht="24.95" customHeight="1">
      <c r="A142" s="32" t="e">
        <v>#REF!</v>
      </c>
      <c r="B142" s="56" t="s">
        <v>498</v>
      </c>
      <c r="C142" s="57" t="s">
        <v>167</v>
      </c>
      <c r="D142" s="57" t="s">
        <v>190</v>
      </c>
      <c r="E142" s="57" t="s">
        <v>172</v>
      </c>
      <c r="F142" s="57" t="s">
        <v>191</v>
      </c>
      <c r="G142" s="57" t="s">
        <v>175</v>
      </c>
      <c r="H142" s="57">
        <v>4103047</v>
      </c>
      <c r="I142" s="57" t="s">
        <v>54</v>
      </c>
      <c r="J142" s="57">
        <v>10</v>
      </c>
      <c r="K142" s="58" t="s">
        <v>29</v>
      </c>
      <c r="L142" s="59" t="s">
        <v>178</v>
      </c>
      <c r="M142" s="60">
        <v>600000000</v>
      </c>
      <c r="N142" s="60"/>
      <c r="O142" s="60"/>
      <c r="P142" s="60"/>
      <c r="Q142" s="60"/>
      <c r="R142" s="61"/>
      <c r="S142" s="60">
        <v>600000000</v>
      </c>
      <c r="T142" s="60">
        <v>0</v>
      </c>
      <c r="U142" s="60">
        <v>600000000</v>
      </c>
      <c r="V142" s="62">
        <v>0</v>
      </c>
      <c r="W142" s="60">
        <v>0</v>
      </c>
      <c r="X142" s="60">
        <v>0</v>
      </c>
      <c r="Y142" s="62">
        <v>0</v>
      </c>
      <c r="Z142" s="60">
        <v>0</v>
      </c>
      <c r="AA142" s="60">
        <v>0</v>
      </c>
      <c r="AB142" s="62">
        <v>0</v>
      </c>
    </row>
    <row r="143" spans="1:28" ht="42" customHeight="1">
      <c r="A143" s="32" t="e">
        <v>#REF!</v>
      </c>
      <c r="B143" s="48" t="s">
        <v>298</v>
      </c>
      <c r="C143" s="48" t="s">
        <v>167</v>
      </c>
      <c r="D143" s="48" t="s">
        <v>190</v>
      </c>
      <c r="E143" s="48" t="s">
        <v>172</v>
      </c>
      <c r="F143" s="48" t="s">
        <v>22</v>
      </c>
      <c r="G143" s="48"/>
      <c r="H143" s="48"/>
      <c r="I143" s="48"/>
      <c r="J143" s="49"/>
      <c r="K143" s="48"/>
      <c r="L143" s="48" t="s">
        <v>196</v>
      </c>
      <c r="M143" s="50">
        <v>40000000000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40000000000</v>
      </c>
      <c r="T143" s="50">
        <v>7664124364</v>
      </c>
      <c r="U143" s="50">
        <v>32335875636</v>
      </c>
      <c r="V143" s="51">
        <v>0.1916031091</v>
      </c>
      <c r="W143" s="50">
        <v>0</v>
      </c>
      <c r="X143" s="50">
        <v>7664124364</v>
      </c>
      <c r="Y143" s="51">
        <v>1</v>
      </c>
      <c r="Z143" s="50">
        <v>0</v>
      </c>
      <c r="AA143" s="50">
        <v>0</v>
      </c>
      <c r="AB143" s="51">
        <v>0</v>
      </c>
    </row>
    <row r="144" spans="1:28" ht="27.75" customHeight="1">
      <c r="A144" s="32" t="e">
        <v>#REF!</v>
      </c>
      <c r="B144" s="52" t="s">
        <v>500</v>
      </c>
      <c r="C144" s="52" t="s">
        <v>167</v>
      </c>
      <c r="D144" s="52" t="s">
        <v>190</v>
      </c>
      <c r="E144" s="52" t="s">
        <v>172</v>
      </c>
      <c r="F144" s="52" t="s">
        <v>22</v>
      </c>
      <c r="G144" s="52" t="s">
        <v>175</v>
      </c>
      <c r="H144" s="52" t="s">
        <v>197</v>
      </c>
      <c r="I144" s="52"/>
      <c r="J144" s="53"/>
      <c r="K144" s="52" t="s">
        <v>29</v>
      </c>
      <c r="L144" s="52" t="s">
        <v>198</v>
      </c>
      <c r="M144" s="54">
        <v>2721167612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2721167612</v>
      </c>
      <c r="T144" s="54">
        <v>221895258</v>
      </c>
      <c r="U144" s="54">
        <v>2499272354</v>
      </c>
      <c r="V144" s="55">
        <v>8.1544134591882686E-2</v>
      </c>
      <c r="W144" s="54">
        <v>0</v>
      </c>
      <c r="X144" s="54">
        <v>221895258</v>
      </c>
      <c r="Y144" s="55">
        <v>1</v>
      </c>
      <c r="Z144" s="54">
        <v>0</v>
      </c>
      <c r="AA144" s="54">
        <v>0</v>
      </c>
      <c r="AB144" s="55">
        <v>0</v>
      </c>
    </row>
    <row r="145" spans="1:28" ht="24.95" customHeight="1">
      <c r="A145" s="32" t="e">
        <v>#REF!</v>
      </c>
      <c r="B145" s="56" t="s">
        <v>501</v>
      </c>
      <c r="C145" s="57" t="s">
        <v>167</v>
      </c>
      <c r="D145" s="57" t="s">
        <v>190</v>
      </c>
      <c r="E145" s="57" t="s">
        <v>172</v>
      </c>
      <c r="F145" s="57" t="s">
        <v>22</v>
      </c>
      <c r="G145" s="57" t="s">
        <v>175</v>
      </c>
      <c r="H145" s="57" t="s">
        <v>197</v>
      </c>
      <c r="I145" s="57" t="s">
        <v>54</v>
      </c>
      <c r="J145" s="57">
        <v>11</v>
      </c>
      <c r="K145" s="58" t="s">
        <v>29</v>
      </c>
      <c r="L145" s="59" t="s">
        <v>178</v>
      </c>
      <c r="M145" s="60">
        <v>2721167612</v>
      </c>
      <c r="N145" s="60"/>
      <c r="O145" s="60"/>
      <c r="P145" s="60"/>
      <c r="Q145" s="60">
        <v>0</v>
      </c>
      <c r="R145" s="61">
        <v>0</v>
      </c>
      <c r="S145" s="81">
        <v>2721167612</v>
      </c>
      <c r="T145" s="60">
        <v>221895258</v>
      </c>
      <c r="U145" s="60">
        <v>2499272354</v>
      </c>
      <c r="V145" s="62">
        <v>8.1544134591882686E-2</v>
      </c>
      <c r="W145" s="60">
        <v>0</v>
      </c>
      <c r="X145" s="60">
        <v>221895258</v>
      </c>
      <c r="Y145" s="62">
        <v>1</v>
      </c>
      <c r="Z145" s="60">
        <v>0</v>
      </c>
      <c r="AA145" s="60">
        <v>0</v>
      </c>
      <c r="AB145" s="62">
        <v>0</v>
      </c>
    </row>
    <row r="146" spans="1:28" ht="27.75" customHeight="1">
      <c r="A146" s="32" t="e">
        <v>#REF!</v>
      </c>
      <c r="B146" s="52" t="s">
        <v>502</v>
      </c>
      <c r="C146" s="52" t="s">
        <v>167</v>
      </c>
      <c r="D146" s="52" t="s">
        <v>190</v>
      </c>
      <c r="E146" s="52" t="s">
        <v>172</v>
      </c>
      <c r="F146" s="52" t="s">
        <v>22</v>
      </c>
      <c r="G146" s="52" t="s">
        <v>175</v>
      </c>
      <c r="H146" s="52" t="s">
        <v>199</v>
      </c>
      <c r="I146" s="52"/>
      <c r="J146" s="53"/>
      <c r="K146" s="52" t="s">
        <v>29</v>
      </c>
      <c r="L146" s="52" t="s">
        <v>200</v>
      </c>
      <c r="M146" s="54">
        <v>2097587400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2097587400</v>
      </c>
      <c r="T146" s="54">
        <v>295860342</v>
      </c>
      <c r="U146" s="54">
        <v>1801727058</v>
      </c>
      <c r="V146" s="55">
        <v>0.14104792105444569</v>
      </c>
      <c r="W146" s="54">
        <v>0</v>
      </c>
      <c r="X146" s="54">
        <v>295860342</v>
      </c>
      <c r="Y146" s="55">
        <v>1</v>
      </c>
      <c r="Z146" s="54">
        <v>0</v>
      </c>
      <c r="AA146" s="54">
        <v>0</v>
      </c>
      <c r="AB146" s="55">
        <v>0</v>
      </c>
    </row>
    <row r="147" spans="1:28" ht="24.95" customHeight="1">
      <c r="A147" s="32" t="e">
        <v>#REF!</v>
      </c>
      <c r="B147" s="56" t="s">
        <v>503</v>
      </c>
      <c r="C147" s="57" t="s">
        <v>167</v>
      </c>
      <c r="D147" s="57" t="s">
        <v>190</v>
      </c>
      <c r="E147" s="57" t="s">
        <v>172</v>
      </c>
      <c r="F147" s="57" t="s">
        <v>22</v>
      </c>
      <c r="G147" s="57" t="s">
        <v>175</v>
      </c>
      <c r="H147" s="57" t="s">
        <v>199</v>
      </c>
      <c r="I147" s="57" t="s">
        <v>54</v>
      </c>
      <c r="J147" s="57">
        <v>11</v>
      </c>
      <c r="K147" s="58" t="s">
        <v>29</v>
      </c>
      <c r="L147" s="59" t="s">
        <v>178</v>
      </c>
      <c r="M147" s="60">
        <v>2097587400</v>
      </c>
      <c r="N147" s="60"/>
      <c r="O147" s="60"/>
      <c r="P147" s="60"/>
      <c r="Q147" s="61"/>
      <c r="R147" s="61">
        <v>0</v>
      </c>
      <c r="S147" s="60">
        <v>2097587400</v>
      </c>
      <c r="T147" s="60">
        <v>295860342</v>
      </c>
      <c r="U147" s="60">
        <v>1801727058</v>
      </c>
      <c r="V147" s="62">
        <v>0.14104792105444569</v>
      </c>
      <c r="W147" s="60">
        <v>0</v>
      </c>
      <c r="X147" s="60">
        <v>295860342</v>
      </c>
      <c r="Y147" s="62">
        <v>1</v>
      </c>
      <c r="Z147" s="60">
        <v>0</v>
      </c>
      <c r="AA147" s="60">
        <v>0</v>
      </c>
      <c r="AB147" s="62">
        <v>0</v>
      </c>
    </row>
    <row r="148" spans="1:28" ht="43.5" customHeight="1">
      <c r="A148" s="32" t="e">
        <v>#REF!</v>
      </c>
      <c r="B148" s="52" t="s">
        <v>504</v>
      </c>
      <c r="C148" s="52" t="s">
        <v>167</v>
      </c>
      <c r="D148" s="52" t="s">
        <v>190</v>
      </c>
      <c r="E148" s="52" t="s">
        <v>172</v>
      </c>
      <c r="F148" s="52" t="s">
        <v>22</v>
      </c>
      <c r="G148" s="52" t="s">
        <v>175</v>
      </c>
      <c r="H148" s="52" t="s">
        <v>201</v>
      </c>
      <c r="I148" s="52"/>
      <c r="J148" s="53"/>
      <c r="K148" s="52" t="s">
        <v>29</v>
      </c>
      <c r="L148" s="52" t="s">
        <v>202</v>
      </c>
      <c r="M148" s="54">
        <v>2265502874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2265502874</v>
      </c>
      <c r="T148" s="54">
        <v>116666667</v>
      </c>
      <c r="U148" s="54">
        <v>2148836207</v>
      </c>
      <c r="V148" s="55">
        <v>5.1497028910853636E-2</v>
      </c>
      <c r="W148" s="54">
        <v>0</v>
      </c>
      <c r="X148" s="54">
        <v>116666667</v>
      </c>
      <c r="Y148" s="55">
        <v>1</v>
      </c>
      <c r="Z148" s="54">
        <v>0</v>
      </c>
      <c r="AA148" s="54">
        <v>0</v>
      </c>
      <c r="AB148" s="55">
        <v>0</v>
      </c>
    </row>
    <row r="149" spans="1:28" ht="24.95" customHeight="1">
      <c r="A149" s="32" t="e">
        <v>#REF!</v>
      </c>
      <c r="B149" s="56" t="s">
        <v>505</v>
      </c>
      <c r="C149" s="57" t="s">
        <v>167</v>
      </c>
      <c r="D149" s="57" t="s">
        <v>190</v>
      </c>
      <c r="E149" s="57" t="s">
        <v>172</v>
      </c>
      <c r="F149" s="57" t="s">
        <v>22</v>
      </c>
      <c r="G149" s="57" t="s">
        <v>175</v>
      </c>
      <c r="H149" s="57" t="s">
        <v>201</v>
      </c>
      <c r="I149" s="57" t="s">
        <v>54</v>
      </c>
      <c r="J149" s="57">
        <v>11</v>
      </c>
      <c r="K149" s="58" t="s">
        <v>29</v>
      </c>
      <c r="L149" s="59" t="s">
        <v>178</v>
      </c>
      <c r="M149" s="60">
        <v>2265502874</v>
      </c>
      <c r="N149" s="60"/>
      <c r="O149" s="60"/>
      <c r="P149" s="60"/>
      <c r="Q149" s="60"/>
      <c r="R149" s="61">
        <v>0</v>
      </c>
      <c r="S149" s="60">
        <v>2265502874</v>
      </c>
      <c r="T149" s="60">
        <v>116666667</v>
      </c>
      <c r="U149" s="60">
        <v>2148836207</v>
      </c>
      <c r="V149" s="62">
        <v>5.1497028910853636E-2</v>
      </c>
      <c r="W149" s="60">
        <v>0</v>
      </c>
      <c r="X149" s="60">
        <v>116666667</v>
      </c>
      <c r="Y149" s="62">
        <v>1</v>
      </c>
      <c r="Z149" s="60">
        <v>0</v>
      </c>
      <c r="AA149" s="60">
        <v>0</v>
      </c>
      <c r="AB149" s="62">
        <v>0</v>
      </c>
    </row>
    <row r="150" spans="1:28" ht="44.25" customHeight="1">
      <c r="A150" s="32" t="e">
        <v>#REF!</v>
      </c>
      <c r="B150" s="52" t="s">
        <v>506</v>
      </c>
      <c r="C150" s="52" t="s">
        <v>167</v>
      </c>
      <c r="D150" s="52" t="s">
        <v>190</v>
      </c>
      <c r="E150" s="52" t="s">
        <v>172</v>
      </c>
      <c r="F150" s="52" t="s">
        <v>22</v>
      </c>
      <c r="G150" s="52" t="s">
        <v>175</v>
      </c>
      <c r="H150" s="52" t="s">
        <v>203</v>
      </c>
      <c r="I150" s="52"/>
      <c r="J150" s="53"/>
      <c r="K150" s="52" t="s">
        <v>29</v>
      </c>
      <c r="L150" s="52" t="s">
        <v>204</v>
      </c>
      <c r="M150" s="54">
        <v>32915742114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32915742114</v>
      </c>
      <c r="T150" s="54">
        <v>7029702097</v>
      </c>
      <c r="U150" s="54">
        <v>25886040017</v>
      </c>
      <c r="V150" s="55">
        <v>0.21356656862401616</v>
      </c>
      <c r="W150" s="54">
        <v>0</v>
      </c>
      <c r="X150" s="54">
        <v>7029702097</v>
      </c>
      <c r="Y150" s="55">
        <v>1</v>
      </c>
      <c r="Z150" s="54">
        <v>0</v>
      </c>
      <c r="AA150" s="54">
        <v>0</v>
      </c>
      <c r="AB150" s="55">
        <v>0</v>
      </c>
    </row>
    <row r="151" spans="1:28" ht="24.95" customHeight="1">
      <c r="A151" s="32" t="e">
        <v>#REF!</v>
      </c>
      <c r="B151" s="56" t="s">
        <v>507</v>
      </c>
      <c r="C151" s="57" t="s">
        <v>167</v>
      </c>
      <c r="D151" s="57" t="s">
        <v>190</v>
      </c>
      <c r="E151" s="57" t="s">
        <v>172</v>
      </c>
      <c r="F151" s="57" t="s">
        <v>22</v>
      </c>
      <c r="G151" s="57" t="s">
        <v>175</v>
      </c>
      <c r="H151" s="57" t="s">
        <v>203</v>
      </c>
      <c r="I151" s="57" t="s">
        <v>54</v>
      </c>
      <c r="J151" s="57">
        <v>11</v>
      </c>
      <c r="K151" s="58" t="s">
        <v>29</v>
      </c>
      <c r="L151" s="59" t="s">
        <v>178</v>
      </c>
      <c r="M151" s="60">
        <v>32915742114</v>
      </c>
      <c r="N151" s="60"/>
      <c r="O151" s="60"/>
      <c r="P151" s="60"/>
      <c r="Q151" s="60">
        <v>0</v>
      </c>
      <c r="R151" s="61">
        <v>0</v>
      </c>
      <c r="S151" s="60">
        <v>32915742114</v>
      </c>
      <c r="T151" s="60">
        <v>7029702097</v>
      </c>
      <c r="U151" s="60">
        <v>25886040017</v>
      </c>
      <c r="V151" s="62">
        <v>0.21356656862401616</v>
      </c>
      <c r="W151" s="60">
        <v>0</v>
      </c>
      <c r="X151" s="60">
        <v>7029702097</v>
      </c>
      <c r="Y151" s="62">
        <v>1</v>
      </c>
      <c r="Z151" s="60">
        <v>0</v>
      </c>
      <c r="AA151" s="60">
        <v>0</v>
      </c>
      <c r="AB151" s="62">
        <v>0</v>
      </c>
    </row>
    <row r="152" spans="1:28" ht="45.75" customHeight="1">
      <c r="A152" s="32" t="e">
        <v>#REF!</v>
      </c>
      <c r="B152" s="48" t="s">
        <v>299</v>
      </c>
      <c r="C152" s="48" t="s">
        <v>167</v>
      </c>
      <c r="D152" s="48" t="s">
        <v>190</v>
      </c>
      <c r="E152" s="48" t="s">
        <v>172</v>
      </c>
      <c r="F152" s="48" t="s">
        <v>205</v>
      </c>
      <c r="G152" s="48"/>
      <c r="H152" s="48"/>
      <c r="I152" s="48"/>
      <c r="J152" s="49"/>
      <c r="K152" s="48"/>
      <c r="L152" s="48" t="s">
        <v>206</v>
      </c>
      <c r="M152" s="50">
        <v>947599205073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947599205073</v>
      </c>
      <c r="T152" s="50">
        <v>370064461880.51001</v>
      </c>
      <c r="U152" s="50">
        <v>577534743192.48999</v>
      </c>
      <c r="V152" s="51">
        <v>0.39052846382664647</v>
      </c>
      <c r="W152" s="50">
        <v>24133334</v>
      </c>
      <c r="X152" s="50">
        <v>370040328546.51001</v>
      </c>
      <c r="Y152" s="51">
        <v>0.99993478613461728</v>
      </c>
      <c r="Z152" s="50">
        <v>0</v>
      </c>
      <c r="AA152" s="50">
        <v>24133334</v>
      </c>
      <c r="AB152" s="51">
        <v>0</v>
      </c>
    </row>
    <row r="153" spans="1:28" ht="24" hidden="1" customHeight="1">
      <c r="A153" s="32"/>
      <c r="B153" s="52"/>
      <c r="C153" s="52"/>
      <c r="D153" s="52"/>
      <c r="E153" s="52"/>
      <c r="F153" s="52"/>
      <c r="G153" s="52"/>
      <c r="H153" s="52"/>
      <c r="I153" s="52"/>
      <c r="J153" s="53"/>
      <c r="K153" s="52"/>
      <c r="L153" s="52"/>
      <c r="M153" s="54"/>
      <c r="N153" s="54"/>
      <c r="O153" s="54"/>
      <c r="P153" s="54"/>
      <c r="Q153" s="54"/>
      <c r="R153" s="54"/>
      <c r="S153" s="54">
        <v>0</v>
      </c>
      <c r="T153" s="54"/>
      <c r="U153" s="54">
        <v>0</v>
      </c>
      <c r="V153" s="55"/>
      <c r="W153" s="54"/>
      <c r="X153" s="54">
        <v>0</v>
      </c>
      <c r="Y153" s="55"/>
      <c r="Z153" s="54"/>
      <c r="AA153" s="54">
        <v>0</v>
      </c>
      <c r="AB153" s="55"/>
    </row>
    <row r="154" spans="1:28" ht="30.75" customHeight="1">
      <c r="A154" s="32" t="e">
        <v>#REF!</v>
      </c>
      <c r="B154" s="52" t="s">
        <v>510</v>
      </c>
      <c r="C154" s="52" t="s">
        <v>167</v>
      </c>
      <c r="D154" s="52" t="s">
        <v>190</v>
      </c>
      <c r="E154" s="52" t="s">
        <v>172</v>
      </c>
      <c r="F154" s="52" t="s">
        <v>205</v>
      </c>
      <c r="G154" s="52" t="s">
        <v>175</v>
      </c>
      <c r="H154" s="52" t="s">
        <v>207</v>
      </c>
      <c r="I154" s="52"/>
      <c r="J154" s="53"/>
      <c r="K154" s="52"/>
      <c r="L154" s="52" t="s">
        <v>208</v>
      </c>
      <c r="M154" s="54">
        <v>918263049313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918263049313</v>
      </c>
      <c r="T154" s="54">
        <v>364914638564.14001</v>
      </c>
      <c r="U154" s="54">
        <v>553348410748.85999</v>
      </c>
      <c r="V154" s="55">
        <v>0.39739662707450929</v>
      </c>
      <c r="W154" s="54">
        <v>0</v>
      </c>
      <c r="X154" s="54">
        <v>364914638564.14001</v>
      </c>
      <c r="Y154" s="55">
        <v>1</v>
      </c>
      <c r="Z154" s="54">
        <v>0</v>
      </c>
      <c r="AA154" s="54">
        <v>0</v>
      </c>
      <c r="AB154" s="55">
        <v>0</v>
      </c>
    </row>
    <row r="155" spans="1:28" ht="24.95" customHeight="1">
      <c r="A155" s="32" t="e">
        <v>#REF!</v>
      </c>
      <c r="B155" s="56" t="s">
        <v>511</v>
      </c>
      <c r="C155" s="57" t="s">
        <v>167</v>
      </c>
      <c r="D155" s="57" t="s">
        <v>190</v>
      </c>
      <c r="E155" s="57" t="s">
        <v>172</v>
      </c>
      <c r="F155" s="57" t="s">
        <v>205</v>
      </c>
      <c r="G155" s="57" t="s">
        <v>175</v>
      </c>
      <c r="H155" s="57" t="s">
        <v>207</v>
      </c>
      <c r="I155" s="57" t="s">
        <v>54</v>
      </c>
      <c r="J155" s="57">
        <v>11</v>
      </c>
      <c r="K155" s="58" t="s">
        <v>29</v>
      </c>
      <c r="L155" s="59" t="s">
        <v>178</v>
      </c>
      <c r="M155" s="60">
        <v>101740918684</v>
      </c>
      <c r="N155" s="60"/>
      <c r="O155" s="60"/>
      <c r="P155" s="60"/>
      <c r="Q155" s="761"/>
      <c r="R155" s="61">
        <v>0</v>
      </c>
      <c r="S155" s="81">
        <v>101740918684</v>
      </c>
      <c r="T155" s="60">
        <v>52729723927.139999</v>
      </c>
      <c r="U155" s="60">
        <v>49011194756.860001</v>
      </c>
      <c r="V155" s="62">
        <v>0.51827450163797661</v>
      </c>
      <c r="W155" s="60">
        <v>0</v>
      </c>
      <c r="X155" s="60">
        <v>52729723927.139999</v>
      </c>
      <c r="Y155" s="62">
        <v>1</v>
      </c>
      <c r="Z155" s="60">
        <v>0</v>
      </c>
      <c r="AA155" s="60">
        <v>0</v>
      </c>
      <c r="AB155" s="62">
        <v>0</v>
      </c>
    </row>
    <row r="156" spans="1:28" ht="24.95" customHeight="1">
      <c r="A156" s="32" t="e">
        <v>#REF!</v>
      </c>
      <c r="B156" s="56" t="s">
        <v>514</v>
      </c>
      <c r="C156" s="57" t="s">
        <v>167</v>
      </c>
      <c r="D156" s="57" t="s">
        <v>190</v>
      </c>
      <c r="E156" s="57" t="s">
        <v>172</v>
      </c>
      <c r="F156" s="57" t="s">
        <v>205</v>
      </c>
      <c r="G156" s="57" t="s">
        <v>175</v>
      </c>
      <c r="H156" s="57" t="s">
        <v>207</v>
      </c>
      <c r="I156" s="57" t="s">
        <v>65</v>
      </c>
      <c r="J156" s="57">
        <v>11</v>
      </c>
      <c r="K156" s="58" t="s">
        <v>29</v>
      </c>
      <c r="L156" s="59" t="s">
        <v>127</v>
      </c>
      <c r="M156" s="60">
        <v>816522130629</v>
      </c>
      <c r="N156" s="60"/>
      <c r="O156" s="60"/>
      <c r="P156" s="60"/>
      <c r="Q156" s="761"/>
      <c r="R156" s="61">
        <v>0</v>
      </c>
      <c r="S156" s="81">
        <v>816522130629</v>
      </c>
      <c r="T156" s="60">
        <v>312184914637</v>
      </c>
      <c r="U156" s="60">
        <v>504337215992</v>
      </c>
      <c r="V156" s="62">
        <v>0.38233490915489499</v>
      </c>
      <c r="W156" s="60">
        <v>0</v>
      </c>
      <c r="X156" s="60">
        <v>312184914637</v>
      </c>
      <c r="Y156" s="62">
        <v>1</v>
      </c>
      <c r="Z156" s="60">
        <v>0</v>
      </c>
      <c r="AA156" s="60">
        <v>0</v>
      </c>
      <c r="AB156" s="62">
        <v>0</v>
      </c>
    </row>
    <row r="157" spans="1:28" ht="27.75" customHeight="1">
      <c r="A157" s="32" t="e">
        <v>#REF!</v>
      </c>
      <c r="B157" s="52" t="s">
        <v>516</v>
      </c>
      <c r="C157" s="52" t="s">
        <v>167</v>
      </c>
      <c r="D157" s="52" t="s">
        <v>190</v>
      </c>
      <c r="E157" s="52" t="s">
        <v>172</v>
      </c>
      <c r="F157" s="52" t="s">
        <v>205</v>
      </c>
      <c r="G157" s="52" t="s">
        <v>175</v>
      </c>
      <c r="H157" s="52" t="s">
        <v>209</v>
      </c>
      <c r="I157" s="52"/>
      <c r="J157" s="53"/>
      <c r="K157" s="52" t="s">
        <v>29</v>
      </c>
      <c r="L157" s="52" t="s">
        <v>210</v>
      </c>
      <c r="M157" s="54">
        <v>29336155760</v>
      </c>
      <c r="N157" s="54">
        <v>0</v>
      </c>
      <c r="O157" s="54">
        <v>0</v>
      </c>
      <c r="P157" s="54">
        <v>0</v>
      </c>
      <c r="Q157" s="762">
        <v>0</v>
      </c>
      <c r="R157" s="54">
        <v>0</v>
      </c>
      <c r="S157" s="54">
        <v>29336155760</v>
      </c>
      <c r="T157" s="54">
        <v>5149823316.3699999</v>
      </c>
      <c r="U157" s="54">
        <v>24186332443.630001</v>
      </c>
      <c r="V157" s="55">
        <v>0.17554526770654152</v>
      </c>
      <c r="W157" s="54">
        <v>24133334</v>
      </c>
      <c r="X157" s="54">
        <v>5125689982.3699999</v>
      </c>
      <c r="Y157" s="55">
        <v>0.9953137549547989</v>
      </c>
      <c r="Z157" s="54">
        <v>0</v>
      </c>
      <c r="AA157" s="54">
        <v>24133334</v>
      </c>
      <c r="AB157" s="55">
        <v>0</v>
      </c>
    </row>
    <row r="158" spans="1:28" ht="24.95" customHeight="1">
      <c r="A158" s="32" t="e">
        <v>#REF!</v>
      </c>
      <c r="B158" s="56" t="s">
        <v>517</v>
      </c>
      <c r="C158" s="57" t="s">
        <v>167</v>
      </c>
      <c r="D158" s="57" t="s">
        <v>190</v>
      </c>
      <c r="E158" s="57" t="s">
        <v>172</v>
      </c>
      <c r="F158" s="57" t="s">
        <v>205</v>
      </c>
      <c r="G158" s="57" t="s">
        <v>175</v>
      </c>
      <c r="H158" s="57" t="s">
        <v>209</v>
      </c>
      <c r="I158" s="57" t="s">
        <v>54</v>
      </c>
      <c r="J158" s="57">
        <v>11</v>
      </c>
      <c r="K158" s="58" t="s">
        <v>29</v>
      </c>
      <c r="L158" s="59" t="s">
        <v>178</v>
      </c>
      <c r="M158" s="60">
        <v>29336155760</v>
      </c>
      <c r="N158" s="60"/>
      <c r="O158" s="60"/>
      <c r="P158" s="60"/>
      <c r="Q158" s="61"/>
      <c r="R158" s="61">
        <v>0</v>
      </c>
      <c r="S158" s="81">
        <v>29336155760</v>
      </c>
      <c r="T158" s="60">
        <v>5149823316.3699999</v>
      </c>
      <c r="U158" s="60">
        <v>24186332443.630001</v>
      </c>
      <c r="V158" s="62">
        <v>0.17554526770654152</v>
      </c>
      <c r="W158" s="60">
        <v>24133334</v>
      </c>
      <c r="X158" s="60">
        <v>5125689982.3699999</v>
      </c>
      <c r="Y158" s="62">
        <v>0.9953137549547989</v>
      </c>
      <c r="Z158" s="60">
        <v>0</v>
      </c>
      <c r="AA158" s="60">
        <v>24133334</v>
      </c>
      <c r="AB158" s="62">
        <v>0</v>
      </c>
    </row>
    <row r="159" spans="1:28" ht="36" customHeight="1">
      <c r="A159" s="32" t="e">
        <v>#REF!</v>
      </c>
      <c r="B159" s="48" t="s">
        <v>520</v>
      </c>
      <c r="C159" s="48" t="s">
        <v>167</v>
      </c>
      <c r="D159" s="48" t="s">
        <v>190</v>
      </c>
      <c r="E159" s="48" t="s">
        <v>172</v>
      </c>
      <c r="F159" s="48" t="s">
        <v>211</v>
      </c>
      <c r="G159" s="48"/>
      <c r="H159" s="48"/>
      <c r="I159" s="48"/>
      <c r="J159" s="49"/>
      <c r="K159" s="48"/>
      <c r="L159" s="48" t="s">
        <v>212</v>
      </c>
      <c r="M159" s="50">
        <v>500000000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500000000</v>
      </c>
      <c r="T159" s="50">
        <v>0</v>
      </c>
      <c r="U159" s="50">
        <v>500000000</v>
      </c>
      <c r="V159" s="51">
        <v>0</v>
      </c>
      <c r="W159" s="50">
        <v>0</v>
      </c>
      <c r="X159" s="50">
        <v>0</v>
      </c>
      <c r="Y159" s="51">
        <v>0</v>
      </c>
      <c r="Z159" s="50">
        <v>0</v>
      </c>
      <c r="AA159" s="50">
        <v>0</v>
      </c>
      <c r="AB159" s="51">
        <v>0</v>
      </c>
    </row>
    <row r="160" spans="1:28" ht="28.5" customHeight="1">
      <c r="A160" s="32" t="e">
        <v>#REF!</v>
      </c>
      <c r="B160" s="52" t="s">
        <v>522</v>
      </c>
      <c r="C160" s="52" t="s">
        <v>167</v>
      </c>
      <c r="D160" s="52" t="s">
        <v>190</v>
      </c>
      <c r="E160" s="52" t="s">
        <v>172</v>
      </c>
      <c r="F160" s="52" t="s">
        <v>211</v>
      </c>
      <c r="G160" s="52" t="s">
        <v>175</v>
      </c>
      <c r="H160" s="52" t="s">
        <v>213</v>
      </c>
      <c r="I160" s="52"/>
      <c r="J160" s="53"/>
      <c r="K160" s="52" t="s">
        <v>29</v>
      </c>
      <c r="L160" s="52" t="s">
        <v>214</v>
      </c>
      <c r="M160" s="54">
        <v>410000000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410000000</v>
      </c>
      <c r="T160" s="54">
        <v>0</v>
      </c>
      <c r="U160" s="54">
        <v>410000000</v>
      </c>
      <c r="V160" s="55">
        <v>0</v>
      </c>
      <c r="W160" s="54">
        <v>0</v>
      </c>
      <c r="X160" s="54">
        <v>0</v>
      </c>
      <c r="Y160" s="55">
        <v>0</v>
      </c>
      <c r="Z160" s="54">
        <v>0</v>
      </c>
      <c r="AA160" s="54">
        <v>0</v>
      </c>
      <c r="AB160" s="55">
        <v>0</v>
      </c>
    </row>
    <row r="161" spans="1:28" ht="24.95" customHeight="1">
      <c r="A161" s="32" t="e">
        <v>#REF!</v>
      </c>
      <c r="B161" s="56" t="s">
        <v>524</v>
      </c>
      <c r="C161" s="57" t="s">
        <v>167</v>
      </c>
      <c r="D161" s="57" t="s">
        <v>190</v>
      </c>
      <c r="E161" s="57" t="s">
        <v>172</v>
      </c>
      <c r="F161" s="57" t="s">
        <v>211</v>
      </c>
      <c r="G161" s="57" t="s">
        <v>175</v>
      </c>
      <c r="H161" s="57" t="s">
        <v>213</v>
      </c>
      <c r="I161" s="57" t="s">
        <v>54</v>
      </c>
      <c r="J161" s="57">
        <v>11</v>
      </c>
      <c r="K161" s="58" t="s">
        <v>29</v>
      </c>
      <c r="L161" s="59" t="s">
        <v>178</v>
      </c>
      <c r="M161" s="60">
        <v>410000000</v>
      </c>
      <c r="N161" s="60"/>
      <c r="O161" s="60"/>
      <c r="P161" s="61"/>
      <c r="Q161" s="61"/>
      <c r="R161" s="61">
        <v>0</v>
      </c>
      <c r="S161" s="60">
        <v>410000000</v>
      </c>
      <c r="T161" s="60">
        <v>0</v>
      </c>
      <c r="U161" s="60">
        <v>410000000</v>
      </c>
      <c r="V161" s="62">
        <v>0</v>
      </c>
      <c r="W161" s="60">
        <v>0</v>
      </c>
      <c r="X161" s="60">
        <v>0</v>
      </c>
      <c r="Y161" s="62">
        <v>0</v>
      </c>
      <c r="Z161" s="60">
        <v>0</v>
      </c>
      <c r="AA161" s="60">
        <v>0</v>
      </c>
      <c r="AB161" s="62">
        <v>0</v>
      </c>
    </row>
    <row r="162" spans="1:28" ht="24" customHeight="1">
      <c r="A162" s="32" t="e">
        <v>#REF!</v>
      </c>
      <c r="B162" s="52" t="s">
        <v>526</v>
      </c>
      <c r="C162" s="52" t="s">
        <v>167</v>
      </c>
      <c r="D162" s="52" t="s">
        <v>190</v>
      </c>
      <c r="E162" s="52" t="s">
        <v>172</v>
      </c>
      <c r="F162" s="52" t="s">
        <v>211</v>
      </c>
      <c r="G162" s="52" t="s">
        <v>175</v>
      </c>
      <c r="H162" s="52" t="s">
        <v>215</v>
      </c>
      <c r="I162" s="52"/>
      <c r="J162" s="53"/>
      <c r="K162" s="52" t="s">
        <v>29</v>
      </c>
      <c r="L162" s="52" t="s">
        <v>216</v>
      </c>
      <c r="M162" s="54">
        <v>90000000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90000000</v>
      </c>
      <c r="T162" s="54">
        <v>0</v>
      </c>
      <c r="U162" s="54">
        <v>90000000</v>
      </c>
      <c r="V162" s="55">
        <v>0</v>
      </c>
      <c r="W162" s="54">
        <v>0</v>
      </c>
      <c r="X162" s="54">
        <v>0</v>
      </c>
      <c r="Y162" s="55">
        <v>0</v>
      </c>
      <c r="Z162" s="54">
        <v>0</v>
      </c>
      <c r="AA162" s="54">
        <v>0</v>
      </c>
      <c r="AB162" s="55">
        <v>0</v>
      </c>
    </row>
    <row r="163" spans="1:28" ht="24.95" customHeight="1">
      <c r="A163" s="32" t="e">
        <v>#REF!</v>
      </c>
      <c r="B163" s="56" t="s">
        <v>528</v>
      </c>
      <c r="C163" s="57" t="s">
        <v>167</v>
      </c>
      <c r="D163" s="57" t="s">
        <v>190</v>
      </c>
      <c r="E163" s="57" t="s">
        <v>172</v>
      </c>
      <c r="F163" s="57" t="s">
        <v>211</v>
      </c>
      <c r="G163" s="57" t="s">
        <v>175</v>
      </c>
      <c r="H163" s="57" t="s">
        <v>215</v>
      </c>
      <c r="I163" s="57" t="s">
        <v>54</v>
      </c>
      <c r="J163" s="57">
        <v>11</v>
      </c>
      <c r="K163" s="58" t="s">
        <v>29</v>
      </c>
      <c r="L163" s="59" t="s">
        <v>178</v>
      </c>
      <c r="M163" s="60">
        <v>90000000</v>
      </c>
      <c r="N163" s="60"/>
      <c r="O163" s="60"/>
      <c r="P163" s="61"/>
      <c r="Q163" s="61"/>
      <c r="R163" s="61">
        <v>0</v>
      </c>
      <c r="S163" s="60">
        <v>90000000</v>
      </c>
      <c r="T163" s="60">
        <v>0</v>
      </c>
      <c r="U163" s="60">
        <v>90000000</v>
      </c>
      <c r="V163" s="62">
        <v>0</v>
      </c>
      <c r="W163" s="60">
        <v>0</v>
      </c>
      <c r="X163" s="60">
        <v>0</v>
      </c>
      <c r="Y163" s="62">
        <v>0</v>
      </c>
      <c r="Z163" s="60">
        <v>0</v>
      </c>
      <c r="AA163" s="60">
        <v>0</v>
      </c>
      <c r="AB163" s="62">
        <v>0</v>
      </c>
    </row>
    <row r="164" spans="1:28" ht="50.25" customHeight="1">
      <c r="A164" s="32" t="e">
        <v>#REF!</v>
      </c>
      <c r="B164" s="48" t="s">
        <v>530</v>
      </c>
      <c r="C164" s="48" t="s">
        <v>167</v>
      </c>
      <c r="D164" s="48" t="s">
        <v>190</v>
      </c>
      <c r="E164" s="48" t="s">
        <v>172</v>
      </c>
      <c r="F164" s="48" t="s">
        <v>217</v>
      </c>
      <c r="G164" s="48"/>
      <c r="H164" s="48"/>
      <c r="I164" s="48"/>
      <c r="J164" s="49"/>
      <c r="K164" s="48"/>
      <c r="L164" s="48" t="s">
        <v>218</v>
      </c>
      <c r="M164" s="50">
        <v>18000000000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18000000000</v>
      </c>
      <c r="T164" s="50">
        <v>138270000</v>
      </c>
      <c r="U164" s="50">
        <v>17861730000</v>
      </c>
      <c r="V164" s="51">
        <v>7.6816666666666665E-3</v>
      </c>
      <c r="W164" s="50">
        <v>0</v>
      </c>
      <c r="X164" s="50">
        <v>138270000</v>
      </c>
      <c r="Y164" s="51">
        <v>1</v>
      </c>
      <c r="Z164" s="50">
        <v>0</v>
      </c>
      <c r="AA164" s="50">
        <v>0</v>
      </c>
      <c r="AB164" s="51">
        <v>0</v>
      </c>
    </row>
    <row r="165" spans="1:28" ht="24" customHeight="1">
      <c r="A165" s="32" t="e">
        <v>#REF!</v>
      </c>
      <c r="B165" s="52" t="s">
        <v>531</v>
      </c>
      <c r="C165" s="52" t="s">
        <v>167</v>
      </c>
      <c r="D165" s="52" t="s">
        <v>190</v>
      </c>
      <c r="E165" s="52" t="s">
        <v>172</v>
      </c>
      <c r="F165" s="52" t="s">
        <v>217</v>
      </c>
      <c r="G165" s="52" t="s">
        <v>175</v>
      </c>
      <c r="H165" s="52" t="s">
        <v>219</v>
      </c>
      <c r="I165" s="52"/>
      <c r="J165" s="53"/>
      <c r="K165" s="52" t="s">
        <v>29</v>
      </c>
      <c r="L165" s="52" t="s">
        <v>220</v>
      </c>
      <c r="M165" s="54">
        <v>3388943635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3388943635</v>
      </c>
      <c r="T165" s="54">
        <v>138270000</v>
      </c>
      <c r="U165" s="54">
        <v>3250673635</v>
      </c>
      <c r="V165" s="55">
        <v>4.0800324494036623E-2</v>
      </c>
      <c r="W165" s="54">
        <v>0</v>
      </c>
      <c r="X165" s="54">
        <v>138270000</v>
      </c>
      <c r="Y165" s="55">
        <v>1</v>
      </c>
      <c r="Z165" s="54">
        <v>0</v>
      </c>
      <c r="AA165" s="54">
        <v>0</v>
      </c>
      <c r="AB165" s="55">
        <v>0</v>
      </c>
    </row>
    <row r="166" spans="1:28" ht="24.95" customHeight="1">
      <c r="A166" s="32" t="e">
        <v>#REF!</v>
      </c>
      <c r="B166" s="56" t="s">
        <v>532</v>
      </c>
      <c r="C166" s="57" t="s">
        <v>167</v>
      </c>
      <c r="D166" s="57" t="s">
        <v>190</v>
      </c>
      <c r="E166" s="57" t="s">
        <v>172</v>
      </c>
      <c r="F166" s="57" t="s">
        <v>217</v>
      </c>
      <c r="G166" s="57" t="s">
        <v>175</v>
      </c>
      <c r="H166" s="57" t="s">
        <v>219</v>
      </c>
      <c r="I166" s="57" t="s">
        <v>54</v>
      </c>
      <c r="J166" s="57">
        <v>11</v>
      </c>
      <c r="K166" s="58" t="s">
        <v>29</v>
      </c>
      <c r="L166" s="59" t="s">
        <v>178</v>
      </c>
      <c r="M166" s="60">
        <v>3388943635</v>
      </c>
      <c r="N166" s="60"/>
      <c r="O166" s="60"/>
      <c r="P166" s="60"/>
      <c r="Q166" s="61"/>
      <c r="R166" s="61">
        <v>0</v>
      </c>
      <c r="S166" s="60">
        <v>3388943635</v>
      </c>
      <c r="T166" s="60">
        <v>138270000</v>
      </c>
      <c r="U166" s="60">
        <v>3250673635</v>
      </c>
      <c r="V166" s="62">
        <v>4.0800324494036623E-2</v>
      </c>
      <c r="W166" s="60">
        <v>0</v>
      </c>
      <c r="X166" s="60">
        <v>138270000</v>
      </c>
      <c r="Y166" s="62">
        <v>1</v>
      </c>
      <c r="Z166" s="60">
        <v>0</v>
      </c>
      <c r="AA166" s="60">
        <v>0</v>
      </c>
      <c r="AB166" s="62">
        <v>0</v>
      </c>
    </row>
    <row r="167" spans="1:28" ht="28.5" customHeight="1">
      <c r="A167" s="32" t="e">
        <v>#REF!</v>
      </c>
      <c r="B167" s="52" t="s">
        <v>533</v>
      </c>
      <c r="C167" s="52" t="s">
        <v>167</v>
      </c>
      <c r="D167" s="52" t="s">
        <v>190</v>
      </c>
      <c r="E167" s="52" t="s">
        <v>172</v>
      </c>
      <c r="F167" s="52" t="s">
        <v>217</v>
      </c>
      <c r="G167" s="52" t="s">
        <v>175</v>
      </c>
      <c r="H167" s="52" t="s">
        <v>221</v>
      </c>
      <c r="I167" s="52"/>
      <c r="J167" s="53"/>
      <c r="K167" s="52" t="s">
        <v>29</v>
      </c>
      <c r="L167" s="52" t="s">
        <v>222</v>
      </c>
      <c r="M167" s="54">
        <v>14611056365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14611056365</v>
      </c>
      <c r="T167" s="54">
        <v>0</v>
      </c>
      <c r="U167" s="54">
        <v>14611056365</v>
      </c>
      <c r="V167" s="55">
        <v>0</v>
      </c>
      <c r="W167" s="54">
        <v>0</v>
      </c>
      <c r="X167" s="54">
        <v>0</v>
      </c>
      <c r="Y167" s="55">
        <v>0</v>
      </c>
      <c r="Z167" s="54">
        <v>0</v>
      </c>
      <c r="AA167" s="54">
        <v>0</v>
      </c>
      <c r="AB167" s="55">
        <v>0</v>
      </c>
    </row>
    <row r="168" spans="1:28" ht="24.95" customHeight="1">
      <c r="A168" s="32" t="e">
        <v>#REF!</v>
      </c>
      <c r="B168" s="56" t="s">
        <v>534</v>
      </c>
      <c r="C168" s="57" t="s">
        <v>167</v>
      </c>
      <c r="D168" s="57" t="s">
        <v>190</v>
      </c>
      <c r="E168" s="57" t="s">
        <v>172</v>
      </c>
      <c r="F168" s="57" t="s">
        <v>217</v>
      </c>
      <c r="G168" s="57" t="s">
        <v>175</v>
      </c>
      <c r="H168" s="57" t="s">
        <v>221</v>
      </c>
      <c r="I168" s="57" t="s">
        <v>54</v>
      </c>
      <c r="J168" s="57">
        <v>11</v>
      </c>
      <c r="K168" s="58" t="s">
        <v>29</v>
      </c>
      <c r="L168" s="59" t="s">
        <v>178</v>
      </c>
      <c r="M168" s="60">
        <v>14611056365</v>
      </c>
      <c r="N168" s="60"/>
      <c r="O168" s="60"/>
      <c r="P168" s="60"/>
      <c r="Q168" s="61"/>
      <c r="R168" s="61">
        <v>0</v>
      </c>
      <c r="S168" s="60">
        <v>14611056365</v>
      </c>
      <c r="T168" s="60">
        <v>0</v>
      </c>
      <c r="U168" s="60">
        <v>14611056365</v>
      </c>
      <c r="V168" s="62">
        <v>0</v>
      </c>
      <c r="W168" s="60">
        <v>0</v>
      </c>
      <c r="X168" s="60">
        <v>0</v>
      </c>
      <c r="Y168" s="62">
        <v>0</v>
      </c>
      <c r="Z168" s="60">
        <v>0</v>
      </c>
      <c r="AA168" s="60">
        <v>0</v>
      </c>
      <c r="AB168" s="62">
        <v>0</v>
      </c>
    </row>
    <row r="169" spans="1:28" ht="39.75" customHeight="1">
      <c r="A169" s="32" t="e">
        <v>#REF!</v>
      </c>
      <c r="B169" s="48" t="s">
        <v>658</v>
      </c>
      <c r="C169" s="48" t="s">
        <v>167</v>
      </c>
      <c r="D169" s="48" t="s">
        <v>190</v>
      </c>
      <c r="E169" s="48" t="s">
        <v>172</v>
      </c>
      <c r="F169" s="48">
        <v>18</v>
      </c>
      <c r="G169" s="48"/>
      <c r="H169" s="48"/>
      <c r="I169" s="48"/>
      <c r="J169" s="49"/>
      <c r="K169" s="48"/>
      <c r="L169" s="48" t="s">
        <v>823</v>
      </c>
      <c r="M169" s="50">
        <v>41200000000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41200000000</v>
      </c>
      <c r="T169" s="50">
        <v>777450000</v>
      </c>
      <c r="U169" s="50">
        <v>40422550000</v>
      </c>
      <c r="V169" s="51">
        <v>1.887014563106796E-2</v>
      </c>
      <c r="W169" s="50">
        <v>0</v>
      </c>
      <c r="X169" s="50">
        <v>777450000</v>
      </c>
      <c r="Y169" s="51">
        <v>1</v>
      </c>
      <c r="Z169" s="50">
        <v>0</v>
      </c>
      <c r="AA169" s="50">
        <v>0</v>
      </c>
      <c r="AB169" s="51">
        <v>0</v>
      </c>
    </row>
    <row r="170" spans="1:28" ht="30" customHeight="1">
      <c r="A170" s="32" t="e">
        <v>#REF!</v>
      </c>
      <c r="B170" s="52" t="s">
        <v>660</v>
      </c>
      <c r="C170" s="52" t="s">
        <v>167</v>
      </c>
      <c r="D170" s="52" t="s">
        <v>190</v>
      </c>
      <c r="E170" s="52" t="s">
        <v>172</v>
      </c>
      <c r="F170" s="48">
        <v>18</v>
      </c>
      <c r="G170" s="52" t="s">
        <v>175</v>
      </c>
      <c r="H170" s="52">
        <v>4103050</v>
      </c>
      <c r="I170" s="52"/>
      <c r="J170" s="53"/>
      <c r="K170" s="52" t="s">
        <v>29</v>
      </c>
      <c r="L170" s="52" t="s">
        <v>824</v>
      </c>
      <c r="M170" s="54">
        <v>41200000000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41200000000</v>
      </c>
      <c r="T170" s="54">
        <v>777450000</v>
      </c>
      <c r="U170" s="54">
        <v>40422550000</v>
      </c>
      <c r="V170" s="55">
        <v>1.887014563106796E-2</v>
      </c>
      <c r="W170" s="54">
        <v>0</v>
      </c>
      <c r="X170" s="54">
        <v>777450000</v>
      </c>
      <c r="Y170" s="55">
        <v>1</v>
      </c>
      <c r="Z170" s="54">
        <v>0</v>
      </c>
      <c r="AA170" s="54">
        <v>0</v>
      </c>
      <c r="AB170" s="55">
        <v>0</v>
      </c>
    </row>
    <row r="171" spans="1:28" ht="24.95" customHeight="1">
      <c r="A171" s="32" t="e">
        <v>#REF!</v>
      </c>
      <c r="B171" s="56" t="s">
        <v>662</v>
      </c>
      <c r="C171" s="57" t="s">
        <v>167</v>
      </c>
      <c r="D171" s="57" t="s">
        <v>190</v>
      </c>
      <c r="E171" s="57" t="s">
        <v>172</v>
      </c>
      <c r="F171" s="57">
        <v>18</v>
      </c>
      <c r="G171" s="57" t="s">
        <v>175</v>
      </c>
      <c r="H171" s="57">
        <v>4103050</v>
      </c>
      <c r="I171" s="57" t="s">
        <v>54</v>
      </c>
      <c r="J171" s="57">
        <v>11</v>
      </c>
      <c r="K171" s="58" t="s">
        <v>29</v>
      </c>
      <c r="L171" s="59" t="s">
        <v>178</v>
      </c>
      <c r="M171" s="60">
        <v>41200000000</v>
      </c>
      <c r="N171" s="60"/>
      <c r="O171" s="60"/>
      <c r="P171" s="60"/>
      <c r="Q171" s="60">
        <v>0</v>
      </c>
      <c r="R171" s="61">
        <v>0</v>
      </c>
      <c r="S171" s="60">
        <v>41200000000</v>
      </c>
      <c r="T171" s="60">
        <v>777450000</v>
      </c>
      <c r="U171" s="60">
        <v>40422550000</v>
      </c>
      <c r="V171" s="62">
        <v>1.887014563106796E-2</v>
      </c>
      <c r="W171" s="60">
        <v>0</v>
      </c>
      <c r="X171" s="60">
        <v>777450000</v>
      </c>
      <c r="Y171" s="62">
        <v>1</v>
      </c>
      <c r="Z171" s="60">
        <v>0</v>
      </c>
      <c r="AA171" s="60">
        <v>0</v>
      </c>
      <c r="AB171" s="62">
        <v>0</v>
      </c>
    </row>
    <row r="172" spans="1:28" ht="33" customHeight="1">
      <c r="A172" s="32" t="e">
        <v>#REF!</v>
      </c>
      <c r="B172" s="48" t="s">
        <v>664</v>
      </c>
      <c r="C172" s="48" t="s">
        <v>167</v>
      </c>
      <c r="D172" s="48" t="s">
        <v>190</v>
      </c>
      <c r="E172" s="48" t="s">
        <v>172</v>
      </c>
      <c r="F172" s="48">
        <v>19</v>
      </c>
      <c r="G172" s="48"/>
      <c r="H172" s="48"/>
      <c r="I172" s="48"/>
      <c r="J172" s="49"/>
      <c r="K172" s="48"/>
      <c r="L172" s="48" t="s">
        <v>227</v>
      </c>
      <c r="M172" s="50">
        <v>12000000000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12000000000</v>
      </c>
      <c r="T172" s="50">
        <v>4024338112</v>
      </c>
      <c r="U172" s="50">
        <v>7975661888</v>
      </c>
      <c r="V172" s="51">
        <v>0.33536150933333331</v>
      </c>
      <c r="W172" s="50">
        <v>0</v>
      </c>
      <c r="X172" s="50">
        <v>4024338112</v>
      </c>
      <c r="Y172" s="51">
        <v>1</v>
      </c>
      <c r="Z172" s="50">
        <v>0</v>
      </c>
      <c r="AA172" s="50">
        <v>0</v>
      </c>
      <c r="AB172" s="51">
        <v>0</v>
      </c>
    </row>
    <row r="173" spans="1:28" ht="30" customHeight="1">
      <c r="A173" s="32" t="e">
        <v>#REF!</v>
      </c>
      <c r="B173" s="52" t="s">
        <v>666</v>
      </c>
      <c r="C173" s="52" t="s">
        <v>167</v>
      </c>
      <c r="D173" s="52" t="s">
        <v>190</v>
      </c>
      <c r="E173" s="52" t="s">
        <v>172</v>
      </c>
      <c r="F173" s="52">
        <v>19</v>
      </c>
      <c r="G173" s="52" t="s">
        <v>175</v>
      </c>
      <c r="H173" s="52">
        <v>4103049</v>
      </c>
      <c r="I173" s="52"/>
      <c r="J173" s="53"/>
      <c r="K173" s="52" t="s">
        <v>29</v>
      </c>
      <c r="L173" s="52" t="s">
        <v>228</v>
      </c>
      <c r="M173" s="54">
        <v>250000000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250000000</v>
      </c>
      <c r="T173" s="54">
        <v>0</v>
      </c>
      <c r="U173" s="54">
        <v>250000000</v>
      </c>
      <c r="V173" s="55">
        <v>0</v>
      </c>
      <c r="W173" s="54">
        <v>0</v>
      </c>
      <c r="X173" s="54">
        <v>0</v>
      </c>
      <c r="Y173" s="55">
        <v>0</v>
      </c>
      <c r="Z173" s="54">
        <v>0</v>
      </c>
      <c r="AA173" s="54">
        <v>0</v>
      </c>
      <c r="AB173" s="55">
        <v>0</v>
      </c>
    </row>
    <row r="174" spans="1:28" ht="24.95" customHeight="1">
      <c r="A174" s="32" t="e">
        <v>#REF!</v>
      </c>
      <c r="B174" s="56" t="s">
        <v>668</v>
      </c>
      <c r="C174" s="57" t="s">
        <v>167</v>
      </c>
      <c r="D174" s="57" t="s">
        <v>190</v>
      </c>
      <c r="E174" s="57" t="s">
        <v>172</v>
      </c>
      <c r="F174" s="57">
        <v>19</v>
      </c>
      <c r="G174" s="57" t="s">
        <v>175</v>
      </c>
      <c r="H174" s="57">
        <v>4103049</v>
      </c>
      <c r="I174" s="57" t="s">
        <v>54</v>
      </c>
      <c r="J174" s="57">
        <v>11</v>
      </c>
      <c r="K174" s="58" t="s">
        <v>29</v>
      </c>
      <c r="L174" s="59" t="s">
        <v>178</v>
      </c>
      <c r="M174" s="60">
        <v>250000000</v>
      </c>
      <c r="N174" s="60"/>
      <c r="O174" s="60"/>
      <c r="P174" s="60"/>
      <c r="Q174" s="60">
        <v>0</v>
      </c>
      <c r="R174" s="61">
        <v>0</v>
      </c>
      <c r="S174" s="60">
        <v>250000000</v>
      </c>
      <c r="T174" s="60">
        <v>0</v>
      </c>
      <c r="U174" s="60">
        <v>250000000</v>
      </c>
      <c r="V174" s="62">
        <v>0</v>
      </c>
      <c r="W174" s="60">
        <v>0</v>
      </c>
      <c r="X174" s="60">
        <v>0</v>
      </c>
      <c r="Y174" s="62">
        <v>0</v>
      </c>
      <c r="Z174" s="60">
        <v>0</v>
      </c>
      <c r="AA174" s="60">
        <v>0</v>
      </c>
      <c r="AB174" s="62">
        <v>0</v>
      </c>
    </row>
    <row r="175" spans="1:28" ht="30" customHeight="1">
      <c r="A175" s="32" t="e">
        <v>#REF!</v>
      </c>
      <c r="B175" s="52" t="s">
        <v>670</v>
      </c>
      <c r="C175" s="52" t="s">
        <v>167</v>
      </c>
      <c r="D175" s="52" t="s">
        <v>190</v>
      </c>
      <c r="E175" s="52" t="s">
        <v>172</v>
      </c>
      <c r="F175" s="52">
        <v>19</v>
      </c>
      <c r="G175" s="52" t="s">
        <v>175</v>
      </c>
      <c r="H175" s="52">
        <v>4103052</v>
      </c>
      <c r="I175" s="52"/>
      <c r="J175" s="53"/>
      <c r="K175" s="52" t="s">
        <v>29</v>
      </c>
      <c r="L175" s="52" t="s">
        <v>229</v>
      </c>
      <c r="M175" s="54">
        <v>11700000000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11700000000</v>
      </c>
      <c r="T175" s="54">
        <v>4024338112</v>
      </c>
      <c r="U175" s="54">
        <v>7675661888</v>
      </c>
      <c r="V175" s="55">
        <v>0.34396052239316238</v>
      </c>
      <c r="W175" s="54">
        <v>0</v>
      </c>
      <c r="X175" s="54">
        <v>4024338112</v>
      </c>
      <c r="Y175" s="55">
        <v>1</v>
      </c>
      <c r="Z175" s="54">
        <v>0</v>
      </c>
      <c r="AA175" s="54">
        <v>0</v>
      </c>
      <c r="AB175" s="55">
        <v>0</v>
      </c>
    </row>
    <row r="176" spans="1:28" ht="24.95" customHeight="1">
      <c r="A176" s="32" t="e">
        <v>#REF!</v>
      </c>
      <c r="B176" s="56" t="s">
        <v>672</v>
      </c>
      <c r="C176" s="57" t="s">
        <v>167</v>
      </c>
      <c r="D176" s="57" t="s">
        <v>190</v>
      </c>
      <c r="E176" s="57" t="s">
        <v>172</v>
      </c>
      <c r="F176" s="57">
        <v>19</v>
      </c>
      <c r="G176" s="57" t="s">
        <v>175</v>
      </c>
      <c r="H176" s="57">
        <v>4103052</v>
      </c>
      <c r="I176" s="57" t="s">
        <v>54</v>
      </c>
      <c r="J176" s="57">
        <v>11</v>
      </c>
      <c r="K176" s="58" t="s">
        <v>29</v>
      </c>
      <c r="L176" s="59" t="s">
        <v>178</v>
      </c>
      <c r="M176" s="60">
        <v>11700000000</v>
      </c>
      <c r="N176" s="60"/>
      <c r="O176" s="60"/>
      <c r="P176" s="60"/>
      <c r="Q176" s="60">
        <v>0</v>
      </c>
      <c r="R176" s="61">
        <v>0</v>
      </c>
      <c r="S176" s="60">
        <v>11700000000</v>
      </c>
      <c r="T176" s="60">
        <v>4024338112</v>
      </c>
      <c r="U176" s="60">
        <v>7675661888</v>
      </c>
      <c r="V176" s="62">
        <v>0.34396052239316238</v>
      </c>
      <c r="W176" s="60">
        <v>0</v>
      </c>
      <c r="X176" s="60">
        <v>4024338112</v>
      </c>
      <c r="Y176" s="62">
        <v>1</v>
      </c>
      <c r="Z176" s="60">
        <v>0</v>
      </c>
      <c r="AA176" s="60">
        <v>0</v>
      </c>
      <c r="AB176" s="62">
        <v>0</v>
      </c>
    </row>
    <row r="177" spans="1:28" ht="27.75" customHeight="1">
      <c r="A177" s="32" t="e">
        <v>#REF!</v>
      </c>
      <c r="B177" s="52" t="s">
        <v>674</v>
      </c>
      <c r="C177" s="52" t="s">
        <v>167</v>
      </c>
      <c r="D177" s="52" t="s">
        <v>190</v>
      </c>
      <c r="E177" s="52" t="s">
        <v>172</v>
      </c>
      <c r="F177" s="52">
        <v>19</v>
      </c>
      <c r="G177" s="52" t="s">
        <v>175</v>
      </c>
      <c r="H177" s="52">
        <v>4103060</v>
      </c>
      <c r="I177" s="52"/>
      <c r="J177" s="53"/>
      <c r="K177" s="52" t="s">
        <v>29</v>
      </c>
      <c r="L177" s="52" t="s">
        <v>216</v>
      </c>
      <c r="M177" s="54">
        <v>50000000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50000000</v>
      </c>
      <c r="T177" s="54">
        <v>0</v>
      </c>
      <c r="U177" s="54">
        <v>50000000</v>
      </c>
      <c r="V177" s="55">
        <v>0</v>
      </c>
      <c r="W177" s="54">
        <v>0</v>
      </c>
      <c r="X177" s="54">
        <v>0</v>
      </c>
      <c r="Y177" s="55">
        <v>0</v>
      </c>
      <c r="Z177" s="54">
        <v>0</v>
      </c>
      <c r="AA177" s="54">
        <v>0</v>
      </c>
      <c r="AB177" s="55">
        <v>0</v>
      </c>
    </row>
    <row r="178" spans="1:28" ht="24.95" customHeight="1">
      <c r="A178" s="32" t="e">
        <v>#REF!</v>
      </c>
      <c r="B178" s="56" t="s">
        <v>676</v>
      </c>
      <c r="C178" s="57" t="s">
        <v>167</v>
      </c>
      <c r="D178" s="57" t="s">
        <v>190</v>
      </c>
      <c r="E178" s="57" t="s">
        <v>172</v>
      </c>
      <c r="F178" s="57">
        <v>19</v>
      </c>
      <c r="G178" s="57" t="s">
        <v>175</v>
      </c>
      <c r="H178" s="57">
        <v>4103060</v>
      </c>
      <c r="I178" s="57" t="s">
        <v>54</v>
      </c>
      <c r="J178" s="57">
        <v>11</v>
      </c>
      <c r="K178" s="58" t="s">
        <v>29</v>
      </c>
      <c r="L178" s="59" t="s">
        <v>178</v>
      </c>
      <c r="M178" s="60">
        <v>50000000</v>
      </c>
      <c r="N178" s="60"/>
      <c r="O178" s="60"/>
      <c r="P178" s="60"/>
      <c r="Q178" s="60">
        <v>0</v>
      </c>
      <c r="R178" s="61">
        <v>0</v>
      </c>
      <c r="S178" s="60">
        <v>50000000</v>
      </c>
      <c r="T178" s="60">
        <v>0</v>
      </c>
      <c r="U178" s="60">
        <v>50000000</v>
      </c>
      <c r="V178" s="62">
        <v>0</v>
      </c>
      <c r="W178" s="60">
        <v>0</v>
      </c>
      <c r="X178" s="60">
        <v>0</v>
      </c>
      <c r="Y178" s="62">
        <v>0</v>
      </c>
      <c r="Z178" s="60">
        <v>0</v>
      </c>
      <c r="AA178" s="60">
        <v>0</v>
      </c>
      <c r="AB178" s="62">
        <v>0</v>
      </c>
    </row>
    <row r="179" spans="1:28" ht="39.75" customHeight="1">
      <c r="A179" s="32" t="e">
        <v>#REF!</v>
      </c>
      <c r="B179" s="48" t="s">
        <v>678</v>
      </c>
      <c r="C179" s="48" t="s">
        <v>167</v>
      </c>
      <c r="D179" s="48" t="s">
        <v>190</v>
      </c>
      <c r="E179" s="48" t="s">
        <v>172</v>
      </c>
      <c r="F179" s="48">
        <v>20</v>
      </c>
      <c r="G179" s="48"/>
      <c r="H179" s="48"/>
      <c r="I179" s="48"/>
      <c r="J179" s="49"/>
      <c r="K179" s="48"/>
      <c r="L179" s="48" t="s">
        <v>230</v>
      </c>
      <c r="M179" s="50">
        <v>1021056959210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1021056959210</v>
      </c>
      <c r="T179" s="50">
        <v>1355177664</v>
      </c>
      <c r="U179" s="50">
        <v>1019701781546</v>
      </c>
      <c r="V179" s="51">
        <v>1.3272302311601813E-3</v>
      </c>
      <c r="W179" s="50">
        <v>0</v>
      </c>
      <c r="X179" s="50">
        <v>1355177664</v>
      </c>
      <c r="Y179" s="51">
        <v>1</v>
      </c>
      <c r="Z179" s="50">
        <v>0</v>
      </c>
      <c r="AA179" s="50">
        <v>0</v>
      </c>
      <c r="AB179" s="51">
        <v>0</v>
      </c>
    </row>
    <row r="180" spans="1:28" ht="30.75" customHeight="1">
      <c r="A180" s="32" t="e">
        <v>#REF!</v>
      </c>
      <c r="B180" s="52" t="s">
        <v>680</v>
      </c>
      <c r="C180" s="52" t="s">
        <v>167</v>
      </c>
      <c r="D180" s="52" t="s">
        <v>190</v>
      </c>
      <c r="E180" s="52" t="s">
        <v>172</v>
      </c>
      <c r="F180" s="52">
        <v>20</v>
      </c>
      <c r="G180" s="52" t="s">
        <v>175</v>
      </c>
      <c r="H180" s="52">
        <v>4103061</v>
      </c>
      <c r="I180" s="52"/>
      <c r="J180" s="53"/>
      <c r="K180" s="52" t="s">
        <v>29</v>
      </c>
      <c r="L180" s="52" t="s">
        <v>231</v>
      </c>
      <c r="M180" s="54">
        <v>1021056959210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1021056959210</v>
      </c>
      <c r="T180" s="54">
        <v>1355177664</v>
      </c>
      <c r="U180" s="54">
        <v>1019701781546</v>
      </c>
      <c r="V180" s="55">
        <v>1.3272302311601813E-3</v>
      </c>
      <c r="W180" s="54">
        <v>0</v>
      </c>
      <c r="X180" s="54">
        <v>1355177664</v>
      </c>
      <c r="Y180" s="55">
        <v>1</v>
      </c>
      <c r="Z180" s="54">
        <v>0</v>
      </c>
      <c r="AA180" s="54">
        <v>0</v>
      </c>
      <c r="AB180" s="55">
        <v>0</v>
      </c>
    </row>
    <row r="181" spans="1:28" ht="24.95" customHeight="1">
      <c r="A181" s="32" t="e">
        <v>#REF!</v>
      </c>
      <c r="B181" s="56" t="s">
        <v>682</v>
      </c>
      <c r="C181" s="57" t="s">
        <v>167</v>
      </c>
      <c r="D181" s="57" t="s">
        <v>190</v>
      </c>
      <c r="E181" s="57" t="s">
        <v>172</v>
      </c>
      <c r="F181" s="57">
        <v>20</v>
      </c>
      <c r="G181" s="57" t="s">
        <v>175</v>
      </c>
      <c r="H181" s="57">
        <v>4103061</v>
      </c>
      <c r="I181" s="57" t="s">
        <v>54</v>
      </c>
      <c r="J181" s="57">
        <v>11</v>
      </c>
      <c r="K181" s="58" t="s">
        <v>29</v>
      </c>
      <c r="L181" s="59" t="s">
        <v>178</v>
      </c>
      <c r="M181" s="60">
        <v>36797363155</v>
      </c>
      <c r="N181" s="60"/>
      <c r="O181" s="60"/>
      <c r="P181" s="60"/>
      <c r="Q181" s="60"/>
      <c r="R181" s="61">
        <v>0</v>
      </c>
      <c r="S181" s="60">
        <v>36797363155</v>
      </c>
      <c r="T181" s="60">
        <v>1355177664</v>
      </c>
      <c r="U181" s="60">
        <v>35442185491</v>
      </c>
      <c r="V181" s="62">
        <v>3.6828118859811819E-2</v>
      </c>
      <c r="W181" s="60">
        <v>0</v>
      </c>
      <c r="X181" s="60">
        <v>1355177664</v>
      </c>
      <c r="Y181" s="62">
        <v>1</v>
      </c>
      <c r="Z181" s="60">
        <v>0</v>
      </c>
      <c r="AA181" s="60">
        <v>0</v>
      </c>
      <c r="AB181" s="62">
        <v>0</v>
      </c>
    </row>
    <row r="182" spans="1:28" ht="24.95" customHeight="1">
      <c r="A182" s="32" t="e">
        <v>#REF!</v>
      </c>
      <c r="B182" s="56" t="s">
        <v>684</v>
      </c>
      <c r="C182" s="57" t="s">
        <v>167</v>
      </c>
      <c r="D182" s="57" t="s">
        <v>190</v>
      </c>
      <c r="E182" s="57" t="s">
        <v>172</v>
      </c>
      <c r="F182" s="57">
        <v>20</v>
      </c>
      <c r="G182" s="57" t="s">
        <v>175</v>
      </c>
      <c r="H182" s="57">
        <v>4103061</v>
      </c>
      <c r="I182" s="57" t="s">
        <v>65</v>
      </c>
      <c r="J182" s="57">
        <v>10</v>
      </c>
      <c r="K182" s="58" t="s">
        <v>29</v>
      </c>
      <c r="L182" s="59" t="s">
        <v>127</v>
      </c>
      <c r="M182" s="60">
        <v>777446076033</v>
      </c>
      <c r="N182" s="60"/>
      <c r="O182" s="60"/>
      <c r="P182" s="60"/>
      <c r="Q182" s="60"/>
      <c r="R182" s="61">
        <v>0</v>
      </c>
      <c r="S182" s="60">
        <v>777446076033</v>
      </c>
      <c r="T182" s="60">
        <v>0</v>
      </c>
      <c r="U182" s="60">
        <v>777446076033</v>
      </c>
      <c r="V182" s="62">
        <v>0</v>
      </c>
      <c r="W182" s="60">
        <v>0</v>
      </c>
      <c r="X182" s="60">
        <v>0</v>
      </c>
      <c r="Y182" s="62">
        <v>0</v>
      </c>
      <c r="Z182" s="60">
        <v>0</v>
      </c>
      <c r="AA182" s="60">
        <v>0</v>
      </c>
      <c r="AB182" s="62">
        <v>0</v>
      </c>
    </row>
    <row r="183" spans="1:28" ht="24.95" customHeight="1">
      <c r="A183" s="32" t="e">
        <v>#REF!</v>
      </c>
      <c r="B183" s="56" t="s">
        <v>684</v>
      </c>
      <c r="C183" s="57" t="s">
        <v>167</v>
      </c>
      <c r="D183" s="57" t="s">
        <v>190</v>
      </c>
      <c r="E183" s="57" t="s">
        <v>172</v>
      </c>
      <c r="F183" s="57">
        <v>20</v>
      </c>
      <c r="G183" s="57" t="s">
        <v>175</v>
      </c>
      <c r="H183" s="57">
        <v>4103061</v>
      </c>
      <c r="I183" s="57" t="s">
        <v>65</v>
      </c>
      <c r="J183" s="57">
        <v>11</v>
      </c>
      <c r="K183" s="58" t="s">
        <v>29</v>
      </c>
      <c r="L183" s="59" t="s">
        <v>127</v>
      </c>
      <c r="M183" s="60">
        <v>206813520022</v>
      </c>
      <c r="N183" s="60"/>
      <c r="O183" s="60"/>
      <c r="P183" s="61"/>
      <c r="Q183" s="60"/>
      <c r="R183" s="61">
        <v>0</v>
      </c>
      <c r="S183" s="60">
        <v>206813520022</v>
      </c>
      <c r="T183" s="60">
        <v>0</v>
      </c>
      <c r="U183" s="60">
        <v>206813520022</v>
      </c>
      <c r="V183" s="62">
        <v>0</v>
      </c>
      <c r="W183" s="60">
        <v>0</v>
      </c>
      <c r="X183" s="60">
        <v>0</v>
      </c>
      <c r="Y183" s="62">
        <v>0</v>
      </c>
      <c r="Z183" s="60">
        <v>0</v>
      </c>
      <c r="AA183" s="60">
        <v>0</v>
      </c>
      <c r="AB183" s="62">
        <v>0</v>
      </c>
    </row>
    <row r="184" spans="1:28" ht="36" customHeight="1">
      <c r="A184" s="32" t="e">
        <v>#REF!</v>
      </c>
      <c r="B184" s="48" t="s">
        <v>692</v>
      </c>
      <c r="C184" s="48" t="s">
        <v>167</v>
      </c>
      <c r="D184" s="48">
        <v>4103</v>
      </c>
      <c r="E184" s="48" t="s">
        <v>172</v>
      </c>
      <c r="F184" s="48">
        <v>21</v>
      </c>
      <c r="G184" s="48"/>
      <c r="H184" s="48"/>
      <c r="I184" s="48"/>
      <c r="J184" s="49"/>
      <c r="K184" s="48"/>
      <c r="L184" s="48" t="s">
        <v>232</v>
      </c>
      <c r="M184" s="50">
        <v>34000000000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34000000000</v>
      </c>
      <c r="T184" s="50">
        <v>78866666</v>
      </c>
      <c r="U184" s="50">
        <v>33921133334</v>
      </c>
      <c r="V184" s="51">
        <v>2.3196078235294118E-3</v>
      </c>
      <c r="W184" s="50">
        <v>0</v>
      </c>
      <c r="X184" s="50">
        <v>78866666</v>
      </c>
      <c r="Y184" s="51">
        <v>1</v>
      </c>
      <c r="Z184" s="50">
        <v>0</v>
      </c>
      <c r="AA184" s="50">
        <v>0</v>
      </c>
      <c r="AB184" s="51">
        <v>0</v>
      </c>
    </row>
    <row r="185" spans="1:28" ht="30" customHeight="1">
      <c r="A185" s="32" t="e">
        <v>#REF!</v>
      </c>
      <c r="B185" s="52" t="s">
        <v>693</v>
      </c>
      <c r="C185" s="52" t="s">
        <v>167</v>
      </c>
      <c r="D185" s="52">
        <v>4103</v>
      </c>
      <c r="E185" s="52" t="s">
        <v>172</v>
      </c>
      <c r="F185" s="52">
        <v>21</v>
      </c>
      <c r="G185" s="52" t="s">
        <v>175</v>
      </c>
      <c r="H185" s="52" t="s">
        <v>219</v>
      </c>
      <c r="I185" s="52"/>
      <c r="J185" s="53"/>
      <c r="K185" s="52" t="s">
        <v>29</v>
      </c>
      <c r="L185" s="52" t="s">
        <v>233</v>
      </c>
      <c r="M185" s="54">
        <v>4441786439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4441786439</v>
      </c>
      <c r="T185" s="54">
        <v>0</v>
      </c>
      <c r="U185" s="54">
        <v>4441786439</v>
      </c>
      <c r="V185" s="55">
        <v>0</v>
      </c>
      <c r="W185" s="54">
        <v>0</v>
      </c>
      <c r="X185" s="54">
        <v>0</v>
      </c>
      <c r="Y185" s="55">
        <v>0</v>
      </c>
      <c r="Z185" s="54">
        <v>0</v>
      </c>
      <c r="AA185" s="54">
        <v>0</v>
      </c>
      <c r="AB185" s="55">
        <v>0</v>
      </c>
    </row>
    <row r="186" spans="1:28" ht="24.95" customHeight="1">
      <c r="A186" s="32" t="e">
        <v>#REF!</v>
      </c>
      <c r="B186" s="56" t="s">
        <v>694</v>
      </c>
      <c r="C186" s="57" t="s">
        <v>167</v>
      </c>
      <c r="D186" s="57">
        <v>4103</v>
      </c>
      <c r="E186" s="57" t="s">
        <v>172</v>
      </c>
      <c r="F186" s="57">
        <v>21</v>
      </c>
      <c r="G186" s="57" t="s">
        <v>175</v>
      </c>
      <c r="H186" s="57" t="s">
        <v>219</v>
      </c>
      <c r="I186" s="57" t="s">
        <v>54</v>
      </c>
      <c r="J186" s="57">
        <v>11</v>
      </c>
      <c r="K186" s="58" t="s">
        <v>29</v>
      </c>
      <c r="L186" s="59" t="s">
        <v>178</v>
      </c>
      <c r="M186" s="60">
        <v>4441786439</v>
      </c>
      <c r="N186" s="60"/>
      <c r="O186" s="60"/>
      <c r="P186" s="60"/>
      <c r="Q186" s="60"/>
      <c r="R186" s="61">
        <v>0</v>
      </c>
      <c r="S186" s="60">
        <v>4441786439</v>
      </c>
      <c r="T186" s="60">
        <v>0</v>
      </c>
      <c r="U186" s="60">
        <v>4441786439</v>
      </c>
      <c r="V186" s="62">
        <v>0</v>
      </c>
      <c r="W186" s="60">
        <v>0</v>
      </c>
      <c r="X186" s="60">
        <v>0</v>
      </c>
      <c r="Y186" s="62">
        <v>0</v>
      </c>
      <c r="Z186" s="60">
        <v>0</v>
      </c>
      <c r="AA186" s="60">
        <v>0</v>
      </c>
      <c r="AB186" s="62">
        <v>0</v>
      </c>
    </row>
    <row r="187" spans="1:28" ht="30" customHeight="1">
      <c r="A187" s="32" t="e">
        <v>#REF!</v>
      </c>
      <c r="B187" s="52" t="s">
        <v>695</v>
      </c>
      <c r="C187" s="52" t="s">
        <v>167</v>
      </c>
      <c r="D187" s="52">
        <v>4103</v>
      </c>
      <c r="E187" s="52" t="s">
        <v>172</v>
      </c>
      <c r="F187" s="52">
        <v>21</v>
      </c>
      <c r="G187" s="52" t="s">
        <v>175</v>
      </c>
      <c r="H187" s="52" t="s">
        <v>234</v>
      </c>
      <c r="I187" s="52"/>
      <c r="J187" s="53"/>
      <c r="K187" s="52" t="s">
        <v>29</v>
      </c>
      <c r="L187" s="52" t="s">
        <v>235</v>
      </c>
      <c r="M187" s="54">
        <v>1567335560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1567335560</v>
      </c>
      <c r="T187" s="54">
        <v>0</v>
      </c>
      <c r="U187" s="54">
        <v>1567335560</v>
      </c>
      <c r="V187" s="55">
        <v>0</v>
      </c>
      <c r="W187" s="54">
        <v>0</v>
      </c>
      <c r="X187" s="54">
        <v>0</v>
      </c>
      <c r="Y187" s="55">
        <v>0</v>
      </c>
      <c r="Z187" s="54">
        <v>0</v>
      </c>
      <c r="AA187" s="54">
        <v>0</v>
      </c>
      <c r="AB187" s="55">
        <v>0</v>
      </c>
    </row>
    <row r="188" spans="1:28" ht="24.95" customHeight="1">
      <c r="A188" s="32" t="e">
        <v>#REF!</v>
      </c>
      <c r="B188" s="56" t="s">
        <v>696</v>
      </c>
      <c r="C188" s="57" t="s">
        <v>167</v>
      </c>
      <c r="D188" s="57">
        <v>4103</v>
      </c>
      <c r="E188" s="57" t="s">
        <v>172</v>
      </c>
      <c r="F188" s="57">
        <v>21</v>
      </c>
      <c r="G188" s="57" t="s">
        <v>175</v>
      </c>
      <c r="H188" s="57" t="s">
        <v>234</v>
      </c>
      <c r="I188" s="57" t="s">
        <v>54</v>
      </c>
      <c r="J188" s="57">
        <v>11</v>
      </c>
      <c r="K188" s="58" t="s">
        <v>29</v>
      </c>
      <c r="L188" s="59" t="s">
        <v>178</v>
      </c>
      <c r="M188" s="60">
        <v>1567335560</v>
      </c>
      <c r="N188" s="60"/>
      <c r="O188" s="60"/>
      <c r="P188" s="60"/>
      <c r="Q188" s="60"/>
      <c r="R188" s="61">
        <v>0</v>
      </c>
      <c r="S188" s="60">
        <v>1567335560</v>
      </c>
      <c r="T188" s="60">
        <v>0</v>
      </c>
      <c r="U188" s="60">
        <v>1567335560</v>
      </c>
      <c r="V188" s="62">
        <v>0</v>
      </c>
      <c r="W188" s="60">
        <v>0</v>
      </c>
      <c r="X188" s="60">
        <v>0</v>
      </c>
      <c r="Y188" s="62">
        <v>0</v>
      </c>
      <c r="Z188" s="60">
        <v>0</v>
      </c>
      <c r="AA188" s="60">
        <v>0</v>
      </c>
      <c r="AB188" s="62">
        <v>0</v>
      </c>
    </row>
    <row r="189" spans="1:28" ht="30" customHeight="1">
      <c r="A189" s="32" t="e">
        <v>#REF!</v>
      </c>
      <c r="B189" s="52" t="s">
        <v>697</v>
      </c>
      <c r="C189" s="52" t="s">
        <v>167</v>
      </c>
      <c r="D189" s="52">
        <v>4103</v>
      </c>
      <c r="E189" s="52" t="s">
        <v>172</v>
      </c>
      <c r="F189" s="52">
        <v>21</v>
      </c>
      <c r="G189" s="52" t="s">
        <v>175</v>
      </c>
      <c r="H189" s="52" t="s">
        <v>197</v>
      </c>
      <c r="I189" s="52"/>
      <c r="J189" s="53"/>
      <c r="K189" s="52" t="s">
        <v>29</v>
      </c>
      <c r="L189" s="52" t="s">
        <v>236</v>
      </c>
      <c r="M189" s="54">
        <v>2072835407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2072835407</v>
      </c>
      <c r="T189" s="54">
        <v>0</v>
      </c>
      <c r="U189" s="54">
        <v>2072835407</v>
      </c>
      <c r="V189" s="55">
        <v>0</v>
      </c>
      <c r="W189" s="54">
        <v>0</v>
      </c>
      <c r="X189" s="54">
        <v>0</v>
      </c>
      <c r="Y189" s="55">
        <v>0</v>
      </c>
      <c r="Z189" s="54">
        <v>0</v>
      </c>
      <c r="AA189" s="54">
        <v>0</v>
      </c>
      <c r="AB189" s="55">
        <v>0</v>
      </c>
    </row>
    <row r="190" spans="1:28" ht="24.95" customHeight="1">
      <c r="A190" s="32" t="e">
        <v>#REF!</v>
      </c>
      <c r="B190" s="56" t="s">
        <v>698</v>
      </c>
      <c r="C190" s="57" t="s">
        <v>167</v>
      </c>
      <c r="D190" s="57">
        <v>4103</v>
      </c>
      <c r="E190" s="57" t="s">
        <v>172</v>
      </c>
      <c r="F190" s="57">
        <v>21</v>
      </c>
      <c r="G190" s="57" t="s">
        <v>175</v>
      </c>
      <c r="H190" s="57" t="s">
        <v>197</v>
      </c>
      <c r="I190" s="57" t="s">
        <v>54</v>
      </c>
      <c r="J190" s="57">
        <v>11</v>
      </c>
      <c r="K190" s="58" t="s">
        <v>29</v>
      </c>
      <c r="L190" s="59" t="s">
        <v>178</v>
      </c>
      <c r="M190" s="60">
        <v>2072835407</v>
      </c>
      <c r="N190" s="60"/>
      <c r="O190" s="60"/>
      <c r="P190" s="60"/>
      <c r="Q190" s="761"/>
      <c r="R190" s="61">
        <v>0</v>
      </c>
      <c r="S190" s="60">
        <v>2072835407</v>
      </c>
      <c r="T190" s="60">
        <v>0</v>
      </c>
      <c r="U190" s="60">
        <v>2072835407</v>
      </c>
      <c r="V190" s="62">
        <v>0</v>
      </c>
      <c r="W190" s="60">
        <v>0</v>
      </c>
      <c r="X190" s="60">
        <v>0</v>
      </c>
      <c r="Y190" s="62">
        <v>0</v>
      </c>
      <c r="Z190" s="60">
        <v>0</v>
      </c>
      <c r="AA190" s="60">
        <v>0</v>
      </c>
      <c r="AB190" s="62">
        <v>0</v>
      </c>
    </row>
    <row r="191" spans="1:28" ht="30" customHeight="1">
      <c r="A191" s="32" t="e">
        <v>#REF!</v>
      </c>
      <c r="B191" s="52" t="s">
        <v>699</v>
      </c>
      <c r="C191" s="52" t="s">
        <v>167</v>
      </c>
      <c r="D191" s="52">
        <v>4103</v>
      </c>
      <c r="E191" s="52" t="s">
        <v>172</v>
      </c>
      <c r="F191" s="52">
        <v>21</v>
      </c>
      <c r="G191" s="52" t="s">
        <v>175</v>
      </c>
      <c r="H191" s="52" t="s">
        <v>203</v>
      </c>
      <c r="I191" s="52"/>
      <c r="J191" s="53"/>
      <c r="K191" s="52" t="s">
        <v>29</v>
      </c>
      <c r="L191" s="52" t="s">
        <v>237</v>
      </c>
      <c r="M191" s="54">
        <v>5803396375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5803396375</v>
      </c>
      <c r="T191" s="54">
        <v>0</v>
      </c>
      <c r="U191" s="54">
        <v>5803396375</v>
      </c>
      <c r="V191" s="55">
        <v>0</v>
      </c>
      <c r="W191" s="54">
        <v>0</v>
      </c>
      <c r="X191" s="54">
        <v>0</v>
      </c>
      <c r="Y191" s="55">
        <v>0</v>
      </c>
      <c r="Z191" s="54">
        <v>0</v>
      </c>
      <c r="AA191" s="54">
        <v>0</v>
      </c>
      <c r="AB191" s="55">
        <v>0</v>
      </c>
    </row>
    <row r="192" spans="1:28" ht="24.95" customHeight="1">
      <c r="A192" s="32" t="e">
        <v>#REF!</v>
      </c>
      <c r="B192" s="56" t="s">
        <v>700</v>
      </c>
      <c r="C192" s="57" t="s">
        <v>167</v>
      </c>
      <c r="D192" s="57">
        <v>4103</v>
      </c>
      <c r="E192" s="57" t="s">
        <v>172</v>
      </c>
      <c r="F192" s="57">
        <v>21</v>
      </c>
      <c r="G192" s="57" t="s">
        <v>175</v>
      </c>
      <c r="H192" s="57" t="s">
        <v>203</v>
      </c>
      <c r="I192" s="57" t="s">
        <v>54</v>
      </c>
      <c r="J192" s="57">
        <v>11</v>
      </c>
      <c r="K192" s="58" t="s">
        <v>29</v>
      </c>
      <c r="L192" s="59" t="s">
        <v>178</v>
      </c>
      <c r="M192" s="60">
        <v>5803396375</v>
      </c>
      <c r="N192" s="60"/>
      <c r="O192" s="60"/>
      <c r="P192" s="60"/>
      <c r="Q192" s="60"/>
      <c r="R192" s="61">
        <v>0</v>
      </c>
      <c r="S192" s="60">
        <v>5803396375</v>
      </c>
      <c r="T192" s="60">
        <v>0</v>
      </c>
      <c r="U192" s="60">
        <v>5803396375</v>
      </c>
      <c r="V192" s="62">
        <v>0</v>
      </c>
      <c r="W192" s="60">
        <v>0</v>
      </c>
      <c r="X192" s="60">
        <v>0</v>
      </c>
      <c r="Y192" s="62">
        <v>0</v>
      </c>
      <c r="Z192" s="60">
        <v>0</v>
      </c>
      <c r="AA192" s="60">
        <v>0</v>
      </c>
      <c r="AB192" s="62">
        <v>0</v>
      </c>
    </row>
    <row r="193" spans="1:28" ht="30" customHeight="1">
      <c r="A193" s="32" t="e">
        <v>#REF!</v>
      </c>
      <c r="B193" s="52" t="s">
        <v>701</v>
      </c>
      <c r="C193" s="52" t="s">
        <v>167</v>
      </c>
      <c r="D193" s="52">
        <v>4103</v>
      </c>
      <c r="E193" s="52" t="s">
        <v>172</v>
      </c>
      <c r="F193" s="52">
        <v>21</v>
      </c>
      <c r="G193" s="52" t="s">
        <v>175</v>
      </c>
      <c r="H193" s="52" t="s">
        <v>223</v>
      </c>
      <c r="I193" s="52"/>
      <c r="J193" s="53"/>
      <c r="K193" s="52" t="s">
        <v>29</v>
      </c>
      <c r="L193" s="52" t="s">
        <v>238</v>
      </c>
      <c r="M193" s="54">
        <v>20114646219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20114646219</v>
      </c>
      <c r="T193" s="54">
        <v>78866666</v>
      </c>
      <c r="U193" s="54">
        <v>20035779553</v>
      </c>
      <c r="V193" s="55">
        <v>3.9208577243334116E-3</v>
      </c>
      <c r="W193" s="54">
        <v>0</v>
      </c>
      <c r="X193" s="54">
        <v>78866666</v>
      </c>
      <c r="Y193" s="55">
        <v>1</v>
      </c>
      <c r="Z193" s="54">
        <v>0</v>
      </c>
      <c r="AA193" s="54">
        <v>0</v>
      </c>
      <c r="AB193" s="55">
        <v>0</v>
      </c>
    </row>
    <row r="194" spans="1:28" ht="24.95" customHeight="1">
      <c r="A194" s="32" t="e">
        <v>#REF!</v>
      </c>
      <c r="B194" s="56" t="s">
        <v>702</v>
      </c>
      <c r="C194" s="57" t="s">
        <v>167</v>
      </c>
      <c r="D194" s="57">
        <v>4103</v>
      </c>
      <c r="E194" s="57" t="s">
        <v>172</v>
      </c>
      <c r="F194" s="57">
        <v>21</v>
      </c>
      <c r="G194" s="57" t="s">
        <v>175</v>
      </c>
      <c r="H194" s="57" t="s">
        <v>223</v>
      </c>
      <c r="I194" s="57" t="s">
        <v>54</v>
      </c>
      <c r="J194" s="57">
        <v>11</v>
      </c>
      <c r="K194" s="58" t="s">
        <v>29</v>
      </c>
      <c r="L194" s="59" t="s">
        <v>178</v>
      </c>
      <c r="M194" s="60">
        <v>20114646219</v>
      </c>
      <c r="N194" s="60"/>
      <c r="O194" s="60"/>
      <c r="P194" s="60"/>
      <c r="Q194" s="61"/>
      <c r="R194" s="61">
        <v>0</v>
      </c>
      <c r="S194" s="60">
        <v>20114646219</v>
      </c>
      <c r="T194" s="60">
        <v>78866666</v>
      </c>
      <c r="U194" s="60">
        <v>20035779553</v>
      </c>
      <c r="V194" s="62">
        <v>3.9208577243334116E-3</v>
      </c>
      <c r="W194" s="60">
        <v>0</v>
      </c>
      <c r="X194" s="60">
        <v>78866666</v>
      </c>
      <c r="Y194" s="62">
        <v>1</v>
      </c>
      <c r="Z194" s="60">
        <v>0</v>
      </c>
      <c r="AA194" s="60">
        <v>0</v>
      </c>
      <c r="AB194" s="62">
        <v>0</v>
      </c>
    </row>
    <row r="195" spans="1:28" ht="45.75" customHeight="1">
      <c r="A195" s="32" t="e">
        <v>#REF!</v>
      </c>
      <c r="B195" s="48" t="s">
        <v>704</v>
      </c>
      <c r="C195" s="48" t="s">
        <v>167</v>
      </c>
      <c r="D195" s="48">
        <v>4103</v>
      </c>
      <c r="E195" s="48" t="s">
        <v>172</v>
      </c>
      <c r="F195" s="48">
        <v>22</v>
      </c>
      <c r="G195" s="48"/>
      <c r="H195" s="48"/>
      <c r="I195" s="48"/>
      <c r="J195" s="49"/>
      <c r="K195" s="48"/>
      <c r="L195" s="48" t="s">
        <v>239</v>
      </c>
      <c r="M195" s="50">
        <v>188272298572</v>
      </c>
      <c r="N195" s="50">
        <v>0</v>
      </c>
      <c r="O195" s="742">
        <v>0</v>
      </c>
      <c r="P195" s="50">
        <v>0</v>
      </c>
      <c r="Q195" s="50">
        <v>0</v>
      </c>
      <c r="R195" s="742">
        <v>0</v>
      </c>
      <c r="S195" s="50">
        <v>188272298572</v>
      </c>
      <c r="T195" s="50">
        <v>36659695022</v>
      </c>
      <c r="U195" s="50">
        <v>151612603550</v>
      </c>
      <c r="V195" s="51">
        <v>0.19471635126386064</v>
      </c>
      <c r="W195" s="50">
        <v>6023333</v>
      </c>
      <c r="X195" s="50">
        <v>36653671689</v>
      </c>
      <c r="Y195" s="51">
        <v>0.99983569604175959</v>
      </c>
      <c r="Z195" s="50">
        <v>0</v>
      </c>
      <c r="AA195" s="50">
        <v>6023333</v>
      </c>
      <c r="AB195" s="51">
        <v>0</v>
      </c>
    </row>
    <row r="196" spans="1:28" ht="30" customHeight="1">
      <c r="A196" s="32" t="e">
        <v>#REF!</v>
      </c>
      <c r="B196" s="52" t="s">
        <v>705</v>
      </c>
      <c r="C196" s="52" t="s">
        <v>167</v>
      </c>
      <c r="D196" s="52">
        <v>4103</v>
      </c>
      <c r="E196" s="52" t="s">
        <v>172</v>
      </c>
      <c r="F196" s="52">
        <v>22</v>
      </c>
      <c r="G196" s="52" t="s">
        <v>175</v>
      </c>
      <c r="H196" s="52" t="s">
        <v>219</v>
      </c>
      <c r="I196" s="52"/>
      <c r="J196" s="53"/>
      <c r="K196" s="52" t="s">
        <v>29</v>
      </c>
      <c r="L196" s="52" t="s">
        <v>240</v>
      </c>
      <c r="M196" s="54">
        <v>10954065210</v>
      </c>
      <c r="N196" s="54">
        <v>0</v>
      </c>
      <c r="O196" s="743">
        <v>0</v>
      </c>
      <c r="P196" s="54">
        <v>0</v>
      </c>
      <c r="Q196" s="743">
        <v>0</v>
      </c>
      <c r="R196" s="743">
        <v>0</v>
      </c>
      <c r="S196" s="54">
        <v>10954065210</v>
      </c>
      <c r="T196" s="54">
        <v>678928972</v>
      </c>
      <c r="U196" s="54">
        <v>10275136238</v>
      </c>
      <c r="V196" s="55">
        <v>6.1979635777611002E-2</v>
      </c>
      <c r="W196" s="54">
        <v>0</v>
      </c>
      <c r="X196" s="54">
        <v>678928972</v>
      </c>
      <c r="Y196" s="55">
        <v>1</v>
      </c>
      <c r="Z196" s="54">
        <v>0</v>
      </c>
      <c r="AA196" s="54">
        <v>0</v>
      </c>
      <c r="AB196" s="55">
        <v>0</v>
      </c>
    </row>
    <row r="197" spans="1:28" ht="24.95" customHeight="1">
      <c r="A197" s="32" t="e">
        <v>#REF!</v>
      </c>
      <c r="B197" s="56" t="s">
        <v>706</v>
      </c>
      <c r="C197" s="57" t="s">
        <v>167</v>
      </c>
      <c r="D197" s="57">
        <v>4103</v>
      </c>
      <c r="E197" s="57" t="s">
        <v>172</v>
      </c>
      <c r="F197" s="57">
        <v>22</v>
      </c>
      <c r="G197" s="57" t="s">
        <v>175</v>
      </c>
      <c r="H197" s="57" t="s">
        <v>219</v>
      </c>
      <c r="I197" s="57" t="s">
        <v>54</v>
      </c>
      <c r="J197" s="57">
        <v>11</v>
      </c>
      <c r="K197" s="58" t="s">
        <v>29</v>
      </c>
      <c r="L197" s="59" t="s">
        <v>178</v>
      </c>
      <c r="M197" s="60">
        <v>10954065210</v>
      </c>
      <c r="N197" s="60"/>
      <c r="O197" s="60"/>
      <c r="P197" s="60"/>
      <c r="Q197" s="60">
        <v>0</v>
      </c>
      <c r="R197" s="61">
        <v>0</v>
      </c>
      <c r="S197" s="60">
        <v>10954065210</v>
      </c>
      <c r="T197" s="60">
        <v>678928972</v>
      </c>
      <c r="U197" s="60">
        <v>10275136238</v>
      </c>
      <c r="V197" s="62">
        <v>6.1979635777611002E-2</v>
      </c>
      <c r="W197" s="60">
        <v>0</v>
      </c>
      <c r="X197" s="60">
        <v>678928972</v>
      </c>
      <c r="Y197" s="62">
        <v>1</v>
      </c>
      <c r="Z197" s="60">
        <v>0</v>
      </c>
      <c r="AA197" s="60">
        <v>0</v>
      </c>
      <c r="AB197" s="62">
        <v>0</v>
      </c>
    </row>
    <row r="198" spans="1:28" ht="26.25" customHeight="1">
      <c r="A198" s="32" t="e">
        <v>#REF!</v>
      </c>
      <c r="B198" s="52" t="s">
        <v>707</v>
      </c>
      <c r="C198" s="52" t="s">
        <v>167</v>
      </c>
      <c r="D198" s="52">
        <v>4103</v>
      </c>
      <c r="E198" s="52" t="s">
        <v>172</v>
      </c>
      <c r="F198" s="52">
        <v>22</v>
      </c>
      <c r="G198" s="52" t="s">
        <v>175</v>
      </c>
      <c r="H198" s="52" t="s">
        <v>234</v>
      </c>
      <c r="I198" s="52"/>
      <c r="J198" s="53"/>
      <c r="K198" s="52" t="s">
        <v>29</v>
      </c>
      <c r="L198" s="52" t="s">
        <v>241</v>
      </c>
      <c r="M198" s="54">
        <v>23566120170</v>
      </c>
      <c r="N198" s="54">
        <v>0</v>
      </c>
      <c r="O198" s="743">
        <v>0</v>
      </c>
      <c r="P198" s="54">
        <v>0</v>
      </c>
      <c r="Q198" s="743">
        <v>0</v>
      </c>
      <c r="R198" s="743">
        <v>0</v>
      </c>
      <c r="S198" s="54">
        <v>23566120170</v>
      </c>
      <c r="T198" s="54">
        <v>2147189188</v>
      </c>
      <c r="U198" s="54">
        <v>21418930982</v>
      </c>
      <c r="V198" s="55">
        <v>9.1113393825997785E-2</v>
      </c>
      <c r="W198" s="54">
        <v>0</v>
      </c>
      <c r="X198" s="54">
        <v>2147189188</v>
      </c>
      <c r="Y198" s="55">
        <v>1</v>
      </c>
      <c r="Z198" s="54">
        <v>0</v>
      </c>
      <c r="AA198" s="54">
        <v>0</v>
      </c>
      <c r="AB198" s="55">
        <v>0</v>
      </c>
    </row>
    <row r="199" spans="1:28" ht="24.95" customHeight="1">
      <c r="A199" s="32" t="e">
        <v>#REF!</v>
      </c>
      <c r="B199" s="56" t="s">
        <v>708</v>
      </c>
      <c r="C199" s="57" t="s">
        <v>167</v>
      </c>
      <c r="D199" s="57">
        <v>4103</v>
      </c>
      <c r="E199" s="57" t="s">
        <v>172</v>
      </c>
      <c r="F199" s="57">
        <v>22</v>
      </c>
      <c r="G199" s="57" t="s">
        <v>175</v>
      </c>
      <c r="H199" s="57" t="s">
        <v>234</v>
      </c>
      <c r="I199" s="57" t="s">
        <v>54</v>
      </c>
      <c r="J199" s="57">
        <v>11</v>
      </c>
      <c r="K199" s="58" t="s">
        <v>29</v>
      </c>
      <c r="L199" s="59" t="s">
        <v>178</v>
      </c>
      <c r="M199" s="60">
        <v>23566120170</v>
      </c>
      <c r="N199" s="60"/>
      <c r="O199" s="60"/>
      <c r="P199" s="60"/>
      <c r="Q199" s="60">
        <v>0</v>
      </c>
      <c r="R199" s="61">
        <v>0</v>
      </c>
      <c r="S199" s="60">
        <v>23566120170</v>
      </c>
      <c r="T199" s="60">
        <v>2147189188</v>
      </c>
      <c r="U199" s="60">
        <v>21418930982</v>
      </c>
      <c r="V199" s="62">
        <v>9.1113393825997785E-2</v>
      </c>
      <c r="W199" s="60">
        <v>0</v>
      </c>
      <c r="X199" s="60">
        <v>2147189188</v>
      </c>
      <c r="Y199" s="62">
        <v>1</v>
      </c>
      <c r="Z199" s="60">
        <v>0</v>
      </c>
      <c r="AA199" s="60">
        <v>0</v>
      </c>
      <c r="AB199" s="62">
        <v>0</v>
      </c>
    </row>
    <row r="200" spans="1:28" ht="24.75" customHeight="1">
      <c r="A200" s="32" t="e">
        <v>#REF!</v>
      </c>
      <c r="B200" s="52" t="s">
        <v>710</v>
      </c>
      <c r="C200" s="52" t="s">
        <v>167</v>
      </c>
      <c r="D200" s="52">
        <v>4103</v>
      </c>
      <c r="E200" s="52" t="s">
        <v>172</v>
      </c>
      <c r="F200" s="52">
        <v>22</v>
      </c>
      <c r="G200" s="52" t="s">
        <v>175</v>
      </c>
      <c r="H200" s="52">
        <v>4103051</v>
      </c>
      <c r="I200" s="52"/>
      <c r="J200" s="53"/>
      <c r="K200" s="52" t="s">
        <v>29</v>
      </c>
      <c r="L200" s="52" t="s">
        <v>242</v>
      </c>
      <c r="M200" s="54">
        <v>18826252848</v>
      </c>
      <c r="N200" s="54">
        <v>0</v>
      </c>
      <c r="O200" s="743">
        <v>0</v>
      </c>
      <c r="P200" s="54">
        <v>0</v>
      </c>
      <c r="Q200" s="743">
        <v>0</v>
      </c>
      <c r="R200" s="743">
        <v>0</v>
      </c>
      <c r="S200" s="54">
        <v>18826252848</v>
      </c>
      <c r="T200" s="54">
        <v>738303143</v>
      </c>
      <c r="U200" s="54">
        <v>18087949705</v>
      </c>
      <c r="V200" s="55">
        <v>3.9216680502537356E-2</v>
      </c>
      <c r="W200" s="54">
        <v>0</v>
      </c>
      <c r="X200" s="54">
        <v>738303143</v>
      </c>
      <c r="Y200" s="55">
        <v>1</v>
      </c>
      <c r="Z200" s="54">
        <v>0</v>
      </c>
      <c r="AA200" s="54">
        <v>0</v>
      </c>
      <c r="AB200" s="55">
        <v>0</v>
      </c>
    </row>
    <row r="201" spans="1:28" ht="24.95" customHeight="1">
      <c r="A201" s="32" t="e">
        <v>#REF!</v>
      </c>
      <c r="B201" s="56" t="s">
        <v>711</v>
      </c>
      <c r="C201" s="57" t="s">
        <v>167</v>
      </c>
      <c r="D201" s="57">
        <v>4103</v>
      </c>
      <c r="E201" s="57" t="s">
        <v>172</v>
      </c>
      <c r="F201" s="57">
        <v>22</v>
      </c>
      <c r="G201" s="57" t="s">
        <v>175</v>
      </c>
      <c r="H201" s="57">
        <v>4103051</v>
      </c>
      <c r="I201" s="57" t="s">
        <v>54</v>
      </c>
      <c r="J201" s="57">
        <v>11</v>
      </c>
      <c r="K201" s="58" t="s">
        <v>29</v>
      </c>
      <c r="L201" s="59" t="s">
        <v>178</v>
      </c>
      <c r="M201" s="60">
        <v>18826252848</v>
      </c>
      <c r="N201" s="60"/>
      <c r="O201" s="60"/>
      <c r="P201" s="60"/>
      <c r="Q201" s="60">
        <v>0</v>
      </c>
      <c r="R201" s="61">
        <v>0</v>
      </c>
      <c r="S201" s="60">
        <v>18826252848</v>
      </c>
      <c r="T201" s="60">
        <v>738303143</v>
      </c>
      <c r="U201" s="60">
        <v>18087949705</v>
      </c>
      <c r="V201" s="62">
        <v>3.9216680502537356E-2</v>
      </c>
      <c r="W201" s="60">
        <v>0</v>
      </c>
      <c r="X201" s="60">
        <v>738303143</v>
      </c>
      <c r="Y201" s="62">
        <v>1</v>
      </c>
      <c r="Z201" s="60">
        <v>0</v>
      </c>
      <c r="AA201" s="60">
        <v>0</v>
      </c>
      <c r="AB201" s="62">
        <v>0</v>
      </c>
    </row>
    <row r="202" spans="1:28" ht="26.25" customHeight="1">
      <c r="A202" s="32" t="e">
        <v>#REF!</v>
      </c>
      <c r="B202" s="52" t="s">
        <v>712</v>
      </c>
      <c r="C202" s="52" t="s">
        <v>167</v>
      </c>
      <c r="D202" s="52">
        <v>4103</v>
      </c>
      <c r="E202" s="52" t="s">
        <v>172</v>
      </c>
      <c r="F202" s="52">
        <v>22</v>
      </c>
      <c r="G202" s="52" t="s">
        <v>175</v>
      </c>
      <c r="H202" s="52">
        <v>4103055</v>
      </c>
      <c r="I202" s="52"/>
      <c r="J202" s="53"/>
      <c r="K202" s="52" t="s">
        <v>29</v>
      </c>
      <c r="L202" s="52" t="s">
        <v>243</v>
      </c>
      <c r="M202" s="54">
        <v>9355356380</v>
      </c>
      <c r="N202" s="54">
        <v>0</v>
      </c>
      <c r="O202" s="743">
        <v>0</v>
      </c>
      <c r="P202" s="743">
        <v>0</v>
      </c>
      <c r="Q202" s="54">
        <v>0</v>
      </c>
      <c r="R202" s="743">
        <v>0</v>
      </c>
      <c r="S202" s="54">
        <v>9355356380</v>
      </c>
      <c r="T202" s="54">
        <v>1315527073</v>
      </c>
      <c r="U202" s="54">
        <v>8039829307</v>
      </c>
      <c r="V202" s="55">
        <v>0.14061752642714398</v>
      </c>
      <c r="W202" s="54">
        <v>0</v>
      </c>
      <c r="X202" s="54">
        <v>1315527073</v>
      </c>
      <c r="Y202" s="55">
        <v>1</v>
      </c>
      <c r="Z202" s="54">
        <v>0</v>
      </c>
      <c r="AA202" s="54">
        <v>0</v>
      </c>
      <c r="AB202" s="55">
        <v>0</v>
      </c>
    </row>
    <row r="203" spans="1:28" ht="24.95" customHeight="1">
      <c r="A203" s="32" t="e">
        <v>#REF!</v>
      </c>
      <c r="B203" s="56" t="s">
        <v>713</v>
      </c>
      <c r="C203" s="57" t="s">
        <v>167</v>
      </c>
      <c r="D203" s="57">
        <v>4103</v>
      </c>
      <c r="E203" s="57" t="s">
        <v>172</v>
      </c>
      <c r="F203" s="57">
        <v>22</v>
      </c>
      <c r="G203" s="57" t="s">
        <v>175</v>
      </c>
      <c r="H203" s="57" t="s">
        <v>203</v>
      </c>
      <c r="I203" s="57" t="s">
        <v>54</v>
      </c>
      <c r="J203" s="57">
        <v>11</v>
      </c>
      <c r="K203" s="58" t="s">
        <v>29</v>
      </c>
      <c r="L203" s="59" t="s">
        <v>178</v>
      </c>
      <c r="M203" s="60">
        <v>9355356380</v>
      </c>
      <c r="N203" s="60"/>
      <c r="O203" s="60"/>
      <c r="P203" s="60"/>
      <c r="Q203" s="60"/>
      <c r="R203" s="61">
        <v>0</v>
      </c>
      <c r="S203" s="60">
        <v>9355356380</v>
      </c>
      <c r="T203" s="60">
        <v>1315527073</v>
      </c>
      <c r="U203" s="60">
        <v>8039829307</v>
      </c>
      <c r="V203" s="62">
        <v>0.14061752642714398</v>
      </c>
      <c r="W203" s="60">
        <v>0</v>
      </c>
      <c r="X203" s="60">
        <v>1315527073</v>
      </c>
      <c r="Y203" s="62">
        <v>1</v>
      </c>
      <c r="Z203" s="60">
        <v>0</v>
      </c>
      <c r="AA203" s="60">
        <v>0</v>
      </c>
      <c r="AB203" s="62">
        <v>0</v>
      </c>
    </row>
    <row r="204" spans="1:28" ht="27.75" customHeight="1">
      <c r="A204" s="32" t="e">
        <v>#REF!</v>
      </c>
      <c r="B204" s="52" t="s">
        <v>715</v>
      </c>
      <c r="C204" s="52" t="s">
        <v>167</v>
      </c>
      <c r="D204" s="52">
        <v>4103</v>
      </c>
      <c r="E204" s="52" t="s">
        <v>172</v>
      </c>
      <c r="F204" s="52">
        <v>22</v>
      </c>
      <c r="G204" s="52" t="s">
        <v>175</v>
      </c>
      <c r="H204" s="52">
        <v>4103057</v>
      </c>
      <c r="I204" s="52"/>
      <c r="J204" s="53"/>
      <c r="K204" s="52" t="s">
        <v>29</v>
      </c>
      <c r="L204" s="52" t="s">
        <v>244</v>
      </c>
      <c r="M204" s="54">
        <v>42878440876</v>
      </c>
      <c r="N204" s="54">
        <v>0</v>
      </c>
      <c r="O204" s="743">
        <v>0</v>
      </c>
      <c r="P204" s="743">
        <v>0</v>
      </c>
      <c r="Q204" s="54">
        <v>0</v>
      </c>
      <c r="R204" s="743">
        <v>0</v>
      </c>
      <c r="S204" s="54">
        <v>42878440876</v>
      </c>
      <c r="T204" s="54">
        <v>31242016958</v>
      </c>
      <c r="U204" s="54">
        <v>11636423918</v>
      </c>
      <c r="V204" s="55">
        <v>0.72861830607014533</v>
      </c>
      <c r="W204" s="54">
        <v>6023333</v>
      </c>
      <c r="X204" s="54">
        <v>31235993625</v>
      </c>
      <c r="Y204" s="55">
        <v>0.99980720409286961</v>
      </c>
      <c r="Z204" s="54">
        <v>0</v>
      </c>
      <c r="AA204" s="54">
        <v>6023333</v>
      </c>
      <c r="AB204" s="55">
        <v>0</v>
      </c>
    </row>
    <row r="205" spans="1:28" ht="24.95" customHeight="1">
      <c r="A205" s="32" t="e">
        <v>#REF!</v>
      </c>
      <c r="B205" s="56" t="s">
        <v>716</v>
      </c>
      <c r="C205" s="57" t="s">
        <v>167</v>
      </c>
      <c r="D205" s="57">
        <v>4103</v>
      </c>
      <c r="E205" s="57" t="s">
        <v>172</v>
      </c>
      <c r="F205" s="57">
        <v>22</v>
      </c>
      <c r="G205" s="57" t="s">
        <v>175</v>
      </c>
      <c r="H205" s="57" t="s">
        <v>221</v>
      </c>
      <c r="I205" s="57" t="s">
        <v>54</v>
      </c>
      <c r="J205" s="57">
        <v>11</v>
      </c>
      <c r="K205" s="58" t="s">
        <v>29</v>
      </c>
      <c r="L205" s="59" t="s">
        <v>178</v>
      </c>
      <c r="M205" s="60">
        <v>4467871684</v>
      </c>
      <c r="N205" s="60"/>
      <c r="O205" s="60"/>
      <c r="P205" s="60"/>
      <c r="Q205" s="60"/>
      <c r="R205" s="61">
        <v>0</v>
      </c>
      <c r="S205" s="60">
        <v>4467871684</v>
      </c>
      <c r="T205" s="60">
        <v>487316958</v>
      </c>
      <c r="U205" s="60">
        <v>3980554726</v>
      </c>
      <c r="V205" s="62">
        <v>0.10907138621396451</v>
      </c>
      <c r="W205" s="60">
        <v>6023333</v>
      </c>
      <c r="X205" s="60">
        <v>481293625</v>
      </c>
      <c r="Y205" s="62">
        <v>0.98763980423599373</v>
      </c>
      <c r="Z205" s="60">
        <v>0</v>
      </c>
      <c r="AA205" s="60">
        <v>6023333</v>
      </c>
      <c r="AB205" s="62">
        <v>0</v>
      </c>
    </row>
    <row r="206" spans="1:28" ht="24.95" customHeight="1">
      <c r="A206" s="32" t="e">
        <v>#REF!</v>
      </c>
      <c r="B206" s="56" t="s">
        <v>717</v>
      </c>
      <c r="C206" s="57" t="s">
        <v>167</v>
      </c>
      <c r="D206" s="57">
        <v>4103</v>
      </c>
      <c r="E206" s="57" t="s">
        <v>172</v>
      </c>
      <c r="F206" s="57">
        <v>22</v>
      </c>
      <c r="G206" s="57" t="s">
        <v>175</v>
      </c>
      <c r="H206" s="57" t="s">
        <v>221</v>
      </c>
      <c r="I206" s="57" t="s">
        <v>65</v>
      </c>
      <c r="J206" s="57">
        <v>11</v>
      </c>
      <c r="K206" s="58" t="s">
        <v>29</v>
      </c>
      <c r="L206" s="59" t="s">
        <v>127</v>
      </c>
      <c r="M206" s="60">
        <v>38410569192</v>
      </c>
      <c r="N206" s="60"/>
      <c r="O206" s="60"/>
      <c r="P206" s="60"/>
      <c r="Q206" s="60"/>
      <c r="R206" s="61">
        <v>0</v>
      </c>
      <c r="S206" s="60">
        <v>38410569192</v>
      </c>
      <c r="T206" s="60">
        <v>30754700000</v>
      </c>
      <c r="U206" s="60">
        <v>7655869192</v>
      </c>
      <c r="V206" s="62">
        <v>0.80068326627155184</v>
      </c>
      <c r="W206" s="60">
        <v>0</v>
      </c>
      <c r="X206" s="60">
        <v>30754700000</v>
      </c>
      <c r="Y206" s="62">
        <v>1</v>
      </c>
      <c r="Z206" s="60">
        <v>0</v>
      </c>
      <c r="AA206" s="60">
        <v>0</v>
      </c>
      <c r="AB206" s="62">
        <v>0</v>
      </c>
    </row>
    <row r="207" spans="1:28" ht="23.25" customHeight="1">
      <c r="A207" s="32" t="e">
        <v>#REF!</v>
      </c>
      <c r="B207" s="52" t="s">
        <v>718</v>
      </c>
      <c r="C207" s="52" t="s">
        <v>167</v>
      </c>
      <c r="D207" s="52">
        <v>4103</v>
      </c>
      <c r="E207" s="52" t="s">
        <v>172</v>
      </c>
      <c r="F207" s="52">
        <v>22</v>
      </c>
      <c r="G207" s="52" t="s">
        <v>175</v>
      </c>
      <c r="H207" s="52">
        <v>4103062</v>
      </c>
      <c r="I207" s="52"/>
      <c r="J207" s="53"/>
      <c r="K207" s="52" t="s">
        <v>29</v>
      </c>
      <c r="L207" s="52" t="s">
        <v>245</v>
      </c>
      <c r="M207" s="54">
        <v>82692063088</v>
      </c>
      <c r="N207" s="54">
        <v>0</v>
      </c>
      <c r="O207" s="743">
        <v>0</v>
      </c>
      <c r="P207" s="54">
        <v>0</v>
      </c>
      <c r="Q207" s="743">
        <v>0</v>
      </c>
      <c r="R207" s="743">
        <v>0</v>
      </c>
      <c r="S207" s="54">
        <v>82692063088</v>
      </c>
      <c r="T207" s="54">
        <v>537729688</v>
      </c>
      <c r="U207" s="54">
        <v>82154333400</v>
      </c>
      <c r="V207" s="55">
        <v>6.5027968576349812E-3</v>
      </c>
      <c r="W207" s="54">
        <v>0</v>
      </c>
      <c r="X207" s="54">
        <v>537729688</v>
      </c>
      <c r="Y207" s="55">
        <v>1</v>
      </c>
      <c r="Z207" s="54">
        <v>0</v>
      </c>
      <c r="AA207" s="54">
        <v>0</v>
      </c>
      <c r="AB207" s="55">
        <v>0</v>
      </c>
    </row>
    <row r="208" spans="1:28" ht="24.95" customHeight="1">
      <c r="A208" s="32" t="e">
        <v>#REF!</v>
      </c>
      <c r="B208" s="56" t="s">
        <v>719</v>
      </c>
      <c r="C208" s="57" t="s">
        <v>167</v>
      </c>
      <c r="D208" s="57">
        <v>4103</v>
      </c>
      <c r="E208" s="57" t="s">
        <v>172</v>
      </c>
      <c r="F208" s="57">
        <v>22</v>
      </c>
      <c r="G208" s="57" t="s">
        <v>175</v>
      </c>
      <c r="H208" s="57" t="s">
        <v>246</v>
      </c>
      <c r="I208" s="57" t="s">
        <v>54</v>
      </c>
      <c r="J208" s="57">
        <v>11</v>
      </c>
      <c r="K208" s="58" t="s">
        <v>29</v>
      </c>
      <c r="L208" s="59" t="s">
        <v>178</v>
      </c>
      <c r="M208" s="60">
        <v>11892063088</v>
      </c>
      <c r="N208" s="60"/>
      <c r="O208" s="60"/>
      <c r="P208" s="60"/>
      <c r="Q208" s="60">
        <v>0</v>
      </c>
      <c r="R208" s="61">
        <v>0</v>
      </c>
      <c r="S208" s="60">
        <v>11892063088</v>
      </c>
      <c r="T208" s="60">
        <v>537729688</v>
      </c>
      <c r="U208" s="60">
        <v>11354333400</v>
      </c>
      <c r="V208" s="62">
        <v>4.5217527355922819E-2</v>
      </c>
      <c r="W208" s="60">
        <v>0</v>
      </c>
      <c r="X208" s="60">
        <v>537729688</v>
      </c>
      <c r="Y208" s="62">
        <v>1</v>
      </c>
      <c r="Z208" s="60">
        <v>0</v>
      </c>
      <c r="AA208" s="60">
        <v>0</v>
      </c>
      <c r="AB208" s="62">
        <v>0</v>
      </c>
    </row>
    <row r="209" spans="1:28" ht="24.95" customHeight="1">
      <c r="A209" s="32" t="e">
        <v>#REF!</v>
      </c>
      <c r="B209" s="56" t="s">
        <v>720</v>
      </c>
      <c r="C209" s="57" t="s">
        <v>167</v>
      </c>
      <c r="D209" s="57">
        <v>4103</v>
      </c>
      <c r="E209" s="57" t="s">
        <v>172</v>
      </c>
      <c r="F209" s="57">
        <v>22</v>
      </c>
      <c r="G209" s="57" t="s">
        <v>175</v>
      </c>
      <c r="H209" s="57" t="s">
        <v>246</v>
      </c>
      <c r="I209" s="57" t="s">
        <v>65</v>
      </c>
      <c r="J209" s="57">
        <v>11</v>
      </c>
      <c r="K209" s="58" t="s">
        <v>29</v>
      </c>
      <c r="L209" s="59" t="s">
        <v>127</v>
      </c>
      <c r="M209" s="60">
        <v>70800000000</v>
      </c>
      <c r="N209" s="60"/>
      <c r="O209" s="60"/>
      <c r="P209" s="60"/>
      <c r="Q209" s="60">
        <v>0</v>
      </c>
      <c r="R209" s="61">
        <v>0</v>
      </c>
      <c r="S209" s="60">
        <v>70800000000</v>
      </c>
      <c r="T209" s="60">
        <v>0</v>
      </c>
      <c r="U209" s="60">
        <v>70800000000</v>
      </c>
      <c r="V209" s="62">
        <v>0</v>
      </c>
      <c r="W209" s="60">
        <v>0</v>
      </c>
      <c r="X209" s="60">
        <v>0</v>
      </c>
      <c r="Y209" s="62">
        <v>0</v>
      </c>
      <c r="Z209" s="60">
        <v>0</v>
      </c>
      <c r="AA209" s="60">
        <v>0</v>
      </c>
      <c r="AB209" s="62">
        <v>0</v>
      </c>
    </row>
    <row r="210" spans="1:28" ht="36" customHeight="1">
      <c r="A210" s="32"/>
      <c r="B210" s="48" t="s">
        <v>685</v>
      </c>
      <c r="C210" s="48" t="s">
        <v>167</v>
      </c>
      <c r="D210" s="48" t="s">
        <v>190</v>
      </c>
      <c r="E210" s="48" t="s">
        <v>172</v>
      </c>
      <c r="F210" s="48">
        <v>23</v>
      </c>
      <c r="G210" s="48"/>
      <c r="H210" s="48"/>
      <c r="I210" s="48"/>
      <c r="J210" s="49"/>
      <c r="K210" s="48"/>
      <c r="L210" s="48" t="s">
        <v>247</v>
      </c>
      <c r="M210" s="50">
        <v>1716644723711</v>
      </c>
      <c r="N210" s="50">
        <v>0</v>
      </c>
      <c r="O210" s="742">
        <v>0</v>
      </c>
      <c r="P210" s="50">
        <v>0</v>
      </c>
      <c r="Q210" s="50">
        <v>0</v>
      </c>
      <c r="R210" s="742">
        <v>0</v>
      </c>
      <c r="S210" s="50">
        <v>1716644723711</v>
      </c>
      <c r="T210" s="50">
        <v>1274832587</v>
      </c>
      <c r="U210" s="50">
        <v>1715369891124</v>
      </c>
      <c r="V210" s="51">
        <v>7.4263041699397091E-4</v>
      </c>
      <c r="W210" s="50">
        <v>0</v>
      </c>
      <c r="X210" s="50">
        <v>1274832587</v>
      </c>
      <c r="Y210" s="51">
        <v>1</v>
      </c>
      <c r="Z210" s="50">
        <v>0</v>
      </c>
      <c r="AA210" s="50">
        <v>0</v>
      </c>
      <c r="AB210" s="51">
        <v>0</v>
      </c>
    </row>
    <row r="211" spans="1:28" ht="33.75" customHeight="1">
      <c r="A211" s="32"/>
      <c r="B211" s="52" t="s">
        <v>721</v>
      </c>
      <c r="C211" s="52" t="s">
        <v>167</v>
      </c>
      <c r="D211" s="52" t="s">
        <v>190</v>
      </c>
      <c r="E211" s="52" t="s">
        <v>172</v>
      </c>
      <c r="F211" s="52">
        <v>23</v>
      </c>
      <c r="G211" s="52" t="s">
        <v>175</v>
      </c>
      <c r="H211" s="52">
        <v>4103065</v>
      </c>
      <c r="I211" s="52"/>
      <c r="J211" s="53"/>
      <c r="K211" s="52" t="s">
        <v>29</v>
      </c>
      <c r="L211" s="52" t="s">
        <v>248</v>
      </c>
      <c r="M211" s="54">
        <v>1716644723711</v>
      </c>
      <c r="N211" s="54">
        <v>0</v>
      </c>
      <c r="O211" s="743">
        <v>0</v>
      </c>
      <c r="P211" s="54">
        <v>0</v>
      </c>
      <c r="Q211" s="54">
        <v>0</v>
      </c>
      <c r="R211" s="743">
        <v>0</v>
      </c>
      <c r="S211" s="54">
        <v>1716644723711</v>
      </c>
      <c r="T211" s="54">
        <v>1274832587</v>
      </c>
      <c r="U211" s="54">
        <v>1715369891124</v>
      </c>
      <c r="V211" s="55">
        <v>7.4263041699397091E-4</v>
      </c>
      <c r="W211" s="54">
        <v>0</v>
      </c>
      <c r="X211" s="54">
        <v>1274832587</v>
      </c>
      <c r="Y211" s="55">
        <v>1</v>
      </c>
      <c r="Z211" s="54">
        <v>0</v>
      </c>
      <c r="AA211" s="54">
        <v>0</v>
      </c>
      <c r="AB211" s="55">
        <v>0</v>
      </c>
    </row>
    <row r="212" spans="1:28" ht="24.95" customHeight="1">
      <c r="A212" s="32"/>
      <c r="B212" s="56" t="s">
        <v>722</v>
      </c>
      <c r="C212" s="57" t="s">
        <v>167</v>
      </c>
      <c r="D212" s="57" t="s">
        <v>190</v>
      </c>
      <c r="E212" s="57" t="s">
        <v>172</v>
      </c>
      <c r="F212" s="57">
        <v>23</v>
      </c>
      <c r="G212" s="57" t="s">
        <v>175</v>
      </c>
      <c r="H212" s="57">
        <v>4103065</v>
      </c>
      <c r="I212" s="57" t="s">
        <v>54</v>
      </c>
      <c r="J212" s="57">
        <v>10</v>
      </c>
      <c r="K212" s="58" t="s">
        <v>29</v>
      </c>
      <c r="L212" s="59" t="s">
        <v>178</v>
      </c>
      <c r="M212" s="60">
        <v>58404083711</v>
      </c>
      <c r="N212" s="60"/>
      <c r="O212" s="60"/>
      <c r="P212" s="60"/>
      <c r="Q212" s="60"/>
      <c r="R212" s="61">
        <v>0</v>
      </c>
      <c r="S212" s="60">
        <v>58404083711</v>
      </c>
      <c r="T212" s="60">
        <v>1274832587</v>
      </c>
      <c r="U212" s="60">
        <v>57129251124</v>
      </c>
      <c r="V212" s="62">
        <v>2.1827798777021037E-2</v>
      </c>
      <c r="W212" s="60">
        <v>0</v>
      </c>
      <c r="X212" s="60">
        <v>1274832587</v>
      </c>
      <c r="Y212" s="62">
        <v>1</v>
      </c>
      <c r="Z212" s="60">
        <v>0</v>
      </c>
      <c r="AA212" s="60">
        <v>0</v>
      </c>
      <c r="AB212" s="62">
        <v>0</v>
      </c>
    </row>
    <row r="213" spans="1:28" ht="24.95" customHeight="1">
      <c r="A213" s="32"/>
      <c r="B213" s="56" t="s">
        <v>723</v>
      </c>
      <c r="C213" s="57" t="s">
        <v>167</v>
      </c>
      <c r="D213" s="57" t="s">
        <v>190</v>
      </c>
      <c r="E213" s="57" t="s">
        <v>172</v>
      </c>
      <c r="F213" s="57">
        <v>23</v>
      </c>
      <c r="G213" s="57" t="s">
        <v>175</v>
      </c>
      <c r="H213" s="57">
        <v>4103065</v>
      </c>
      <c r="I213" s="57" t="s">
        <v>65</v>
      </c>
      <c r="J213" s="57">
        <v>10</v>
      </c>
      <c r="K213" s="58" t="s">
        <v>29</v>
      </c>
      <c r="L213" s="59" t="s">
        <v>127</v>
      </c>
      <c r="M213" s="60">
        <v>794540092896</v>
      </c>
      <c r="N213" s="60"/>
      <c r="O213" s="60"/>
      <c r="P213" s="60"/>
      <c r="Q213" s="60"/>
      <c r="R213" s="61">
        <v>0</v>
      </c>
      <c r="S213" s="60">
        <v>794540092896</v>
      </c>
      <c r="T213" s="60">
        <v>0</v>
      </c>
      <c r="U213" s="60">
        <v>794540092896</v>
      </c>
      <c r="V213" s="62">
        <v>0</v>
      </c>
      <c r="W213" s="60">
        <v>0</v>
      </c>
      <c r="X213" s="60">
        <v>0</v>
      </c>
      <c r="Y213" s="62">
        <v>0</v>
      </c>
      <c r="Z213" s="60">
        <v>0</v>
      </c>
      <c r="AA213" s="60">
        <v>0</v>
      </c>
      <c r="AB213" s="62">
        <v>0</v>
      </c>
    </row>
    <row r="214" spans="1:28" ht="24.95" customHeight="1">
      <c r="A214" s="32"/>
      <c r="B214" s="56" t="s">
        <v>723</v>
      </c>
      <c r="C214" s="57" t="s">
        <v>167</v>
      </c>
      <c r="D214" s="57" t="s">
        <v>190</v>
      </c>
      <c r="E214" s="57" t="s">
        <v>172</v>
      </c>
      <c r="F214" s="57">
        <v>23</v>
      </c>
      <c r="G214" s="57" t="s">
        <v>175</v>
      </c>
      <c r="H214" s="57">
        <v>4103065</v>
      </c>
      <c r="I214" s="57" t="s">
        <v>65</v>
      </c>
      <c r="J214" s="57">
        <v>16</v>
      </c>
      <c r="K214" s="58" t="s">
        <v>156</v>
      </c>
      <c r="L214" s="59" t="s">
        <v>127</v>
      </c>
      <c r="M214" s="60">
        <v>863700547104</v>
      </c>
      <c r="N214" s="60"/>
      <c r="O214" s="60"/>
      <c r="P214" s="60"/>
      <c r="Q214" s="60"/>
      <c r="R214" s="61">
        <v>0</v>
      </c>
      <c r="S214" s="60">
        <v>863700547104</v>
      </c>
      <c r="T214" s="60">
        <v>0</v>
      </c>
      <c r="U214" s="60">
        <v>863700547104</v>
      </c>
      <c r="V214" s="62">
        <v>0</v>
      </c>
      <c r="W214" s="60">
        <v>0</v>
      </c>
      <c r="X214" s="60">
        <v>0</v>
      </c>
      <c r="Y214" s="62">
        <v>0</v>
      </c>
      <c r="Z214" s="60">
        <v>0</v>
      </c>
      <c r="AA214" s="60">
        <v>0</v>
      </c>
      <c r="AB214" s="62">
        <v>0</v>
      </c>
    </row>
    <row r="215" spans="1:28" ht="36" customHeight="1">
      <c r="A215" s="32" t="e">
        <v>#REF!</v>
      </c>
      <c r="B215" s="48" t="s">
        <v>827</v>
      </c>
      <c r="C215" s="48" t="s">
        <v>167</v>
      </c>
      <c r="D215" s="48" t="s">
        <v>190</v>
      </c>
      <c r="E215" s="48" t="s">
        <v>172</v>
      </c>
      <c r="F215" s="48">
        <v>25</v>
      </c>
      <c r="G215" s="48"/>
      <c r="H215" s="48"/>
      <c r="I215" s="48"/>
      <c r="J215" s="49"/>
      <c r="K215" s="48"/>
      <c r="L215" s="48" t="s">
        <v>825</v>
      </c>
      <c r="M215" s="50">
        <v>5500000000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5500000000</v>
      </c>
      <c r="T215" s="50">
        <v>0</v>
      </c>
      <c r="U215" s="50">
        <v>5500000000</v>
      </c>
      <c r="V215" s="51">
        <v>0</v>
      </c>
      <c r="W215" s="50">
        <v>0</v>
      </c>
      <c r="X215" s="50">
        <v>0</v>
      </c>
      <c r="Y215" s="51">
        <v>0</v>
      </c>
      <c r="Z215" s="50">
        <v>0</v>
      </c>
      <c r="AA215" s="50">
        <v>0</v>
      </c>
      <c r="AB215" s="51">
        <v>0</v>
      </c>
    </row>
    <row r="216" spans="1:28" ht="33.75" customHeight="1">
      <c r="A216" s="32" t="e">
        <v>#REF!</v>
      </c>
      <c r="B216" s="52" t="s">
        <v>828</v>
      </c>
      <c r="C216" s="52" t="s">
        <v>167</v>
      </c>
      <c r="D216" s="52" t="s">
        <v>190</v>
      </c>
      <c r="E216" s="52" t="s">
        <v>172</v>
      </c>
      <c r="F216" s="52">
        <v>25</v>
      </c>
      <c r="G216" s="52" t="s">
        <v>175</v>
      </c>
      <c r="H216" s="52">
        <v>4103050</v>
      </c>
      <c r="I216" s="52"/>
      <c r="J216" s="53"/>
      <c r="K216" s="52" t="s">
        <v>29</v>
      </c>
      <c r="L216" s="52" t="s">
        <v>269</v>
      </c>
      <c r="M216" s="54">
        <v>1283500000</v>
      </c>
      <c r="N216" s="54">
        <v>0</v>
      </c>
      <c r="O216" s="743">
        <v>0</v>
      </c>
      <c r="P216" s="54">
        <v>0</v>
      </c>
      <c r="Q216" s="54">
        <v>0</v>
      </c>
      <c r="R216" s="743">
        <v>0</v>
      </c>
      <c r="S216" s="54">
        <v>1283500000</v>
      </c>
      <c r="T216" s="54">
        <v>0</v>
      </c>
      <c r="U216" s="54">
        <v>1283500000</v>
      </c>
      <c r="V216" s="55">
        <v>0</v>
      </c>
      <c r="W216" s="54">
        <v>0</v>
      </c>
      <c r="X216" s="54">
        <v>0</v>
      </c>
      <c r="Y216" s="55">
        <v>0</v>
      </c>
      <c r="Z216" s="54">
        <v>0</v>
      </c>
      <c r="AA216" s="54">
        <v>0</v>
      </c>
      <c r="AB216" s="55">
        <v>0</v>
      </c>
    </row>
    <row r="217" spans="1:28" ht="24.95" customHeight="1">
      <c r="A217" s="32" t="e">
        <v>#REF!</v>
      </c>
      <c r="B217" s="56" t="s">
        <v>829</v>
      </c>
      <c r="C217" s="57" t="s">
        <v>167</v>
      </c>
      <c r="D217" s="57" t="s">
        <v>190</v>
      </c>
      <c r="E217" s="57" t="s">
        <v>172</v>
      </c>
      <c r="F217" s="57">
        <v>25</v>
      </c>
      <c r="G217" s="57" t="s">
        <v>175</v>
      </c>
      <c r="H217" s="57">
        <v>4103050</v>
      </c>
      <c r="I217" s="57" t="s">
        <v>54</v>
      </c>
      <c r="J217" s="57">
        <v>11</v>
      </c>
      <c r="K217" s="58" t="s">
        <v>29</v>
      </c>
      <c r="L217" s="59" t="s">
        <v>178</v>
      </c>
      <c r="M217" s="60">
        <v>1283500000</v>
      </c>
      <c r="N217" s="60"/>
      <c r="O217" s="60"/>
      <c r="P217" s="60"/>
      <c r="Q217" s="60"/>
      <c r="R217" s="61">
        <v>0</v>
      </c>
      <c r="S217" s="60">
        <v>1283500000</v>
      </c>
      <c r="T217" s="60">
        <v>0</v>
      </c>
      <c r="U217" s="60">
        <v>1283500000</v>
      </c>
      <c r="V217" s="62">
        <v>0</v>
      </c>
      <c r="W217" s="60">
        <v>0</v>
      </c>
      <c r="X217" s="60">
        <v>0</v>
      </c>
      <c r="Y217" s="62">
        <v>0</v>
      </c>
      <c r="Z217" s="60">
        <v>0</v>
      </c>
      <c r="AA217" s="60">
        <v>0</v>
      </c>
      <c r="AB217" s="62">
        <v>0</v>
      </c>
    </row>
    <row r="218" spans="1:28" ht="33.75" customHeight="1">
      <c r="A218" s="32" t="e">
        <v>#REF!</v>
      </c>
      <c r="B218" s="52" t="s">
        <v>830</v>
      </c>
      <c r="C218" s="52" t="s">
        <v>167</v>
      </c>
      <c r="D218" s="52" t="s">
        <v>190</v>
      </c>
      <c r="E218" s="52" t="s">
        <v>172</v>
      </c>
      <c r="F218" s="52">
        <v>25</v>
      </c>
      <c r="G218" s="52" t="s">
        <v>175</v>
      </c>
      <c r="H218" s="52">
        <v>4103057</v>
      </c>
      <c r="I218" s="52"/>
      <c r="J218" s="53"/>
      <c r="K218" s="52" t="s">
        <v>29</v>
      </c>
      <c r="L218" s="52" t="s">
        <v>222</v>
      </c>
      <c r="M218" s="54">
        <v>4216500000</v>
      </c>
      <c r="N218" s="54">
        <v>0</v>
      </c>
      <c r="O218" s="743">
        <v>0</v>
      </c>
      <c r="P218" s="54">
        <v>0</v>
      </c>
      <c r="Q218" s="54">
        <v>0</v>
      </c>
      <c r="R218" s="743">
        <v>0</v>
      </c>
      <c r="S218" s="54">
        <v>4216500000</v>
      </c>
      <c r="T218" s="54">
        <v>0</v>
      </c>
      <c r="U218" s="54">
        <v>4216500000</v>
      </c>
      <c r="V218" s="55">
        <v>0</v>
      </c>
      <c r="W218" s="54">
        <v>0</v>
      </c>
      <c r="X218" s="54">
        <v>0</v>
      </c>
      <c r="Y218" s="55">
        <v>0</v>
      </c>
      <c r="Z218" s="54">
        <v>0</v>
      </c>
      <c r="AA218" s="54">
        <v>0</v>
      </c>
      <c r="AB218" s="55">
        <v>0</v>
      </c>
    </row>
    <row r="219" spans="1:28" ht="24.95" customHeight="1">
      <c r="A219" s="32" t="e">
        <v>#REF!</v>
      </c>
      <c r="B219" s="56" t="s">
        <v>831</v>
      </c>
      <c r="C219" s="57" t="s">
        <v>167</v>
      </c>
      <c r="D219" s="57" t="s">
        <v>190</v>
      </c>
      <c r="E219" s="57" t="s">
        <v>172</v>
      </c>
      <c r="F219" s="57">
        <v>25</v>
      </c>
      <c r="G219" s="57" t="s">
        <v>175</v>
      </c>
      <c r="H219" s="57">
        <v>4103057</v>
      </c>
      <c r="I219" s="57" t="s">
        <v>54</v>
      </c>
      <c r="J219" s="57">
        <v>11</v>
      </c>
      <c r="K219" s="58" t="s">
        <v>29</v>
      </c>
      <c r="L219" s="59" t="s">
        <v>178</v>
      </c>
      <c r="M219" s="60">
        <v>315000000</v>
      </c>
      <c r="N219" s="60"/>
      <c r="O219" s="60"/>
      <c r="P219" s="60"/>
      <c r="Q219" s="60"/>
      <c r="R219" s="61">
        <v>0</v>
      </c>
      <c r="S219" s="60">
        <v>315000000</v>
      </c>
      <c r="T219" s="60">
        <v>0</v>
      </c>
      <c r="U219" s="60">
        <v>315000000</v>
      </c>
      <c r="V219" s="62">
        <v>0</v>
      </c>
      <c r="W219" s="60">
        <v>0</v>
      </c>
      <c r="X219" s="60">
        <v>0</v>
      </c>
      <c r="Y219" s="62">
        <v>0</v>
      </c>
      <c r="Z219" s="60">
        <v>0</v>
      </c>
      <c r="AA219" s="60">
        <v>0</v>
      </c>
      <c r="AB219" s="62">
        <v>0</v>
      </c>
    </row>
    <row r="220" spans="1:28" ht="24.95" customHeight="1">
      <c r="A220" s="32" t="e">
        <v>#REF!</v>
      </c>
      <c r="B220" s="56" t="s">
        <v>832</v>
      </c>
      <c r="C220" s="57" t="s">
        <v>167</v>
      </c>
      <c r="D220" s="57" t="s">
        <v>190</v>
      </c>
      <c r="E220" s="57" t="s">
        <v>172</v>
      </c>
      <c r="F220" s="57">
        <v>25</v>
      </c>
      <c r="G220" s="57" t="s">
        <v>175</v>
      </c>
      <c r="H220" s="57">
        <v>4103057</v>
      </c>
      <c r="I220" s="57" t="s">
        <v>65</v>
      </c>
      <c r="J220" s="57">
        <v>11</v>
      </c>
      <c r="K220" s="58" t="s">
        <v>29</v>
      </c>
      <c r="L220" s="59" t="s">
        <v>127</v>
      </c>
      <c r="M220" s="60">
        <v>3901500000</v>
      </c>
      <c r="N220" s="60"/>
      <c r="O220" s="60"/>
      <c r="P220" s="60"/>
      <c r="Q220" s="60"/>
      <c r="R220" s="61">
        <v>0</v>
      </c>
      <c r="S220" s="60">
        <v>3901500000</v>
      </c>
      <c r="T220" s="60">
        <v>0</v>
      </c>
      <c r="U220" s="60">
        <v>3901500000</v>
      </c>
      <c r="V220" s="62">
        <v>0</v>
      </c>
      <c r="W220" s="60">
        <v>0</v>
      </c>
      <c r="X220" s="60">
        <v>0</v>
      </c>
      <c r="Y220" s="62">
        <v>0</v>
      </c>
      <c r="Z220" s="60">
        <v>0</v>
      </c>
      <c r="AA220" s="60">
        <v>0</v>
      </c>
      <c r="AB220" s="62">
        <v>0</v>
      </c>
    </row>
    <row r="221" spans="1:28" ht="24" customHeight="1">
      <c r="A221" s="32" t="e">
        <v>#REF!</v>
      </c>
      <c r="B221" s="38" t="s">
        <v>544</v>
      </c>
      <c r="C221" s="39" t="s">
        <v>167</v>
      </c>
      <c r="D221" s="39">
        <v>4199</v>
      </c>
      <c r="E221" s="39"/>
      <c r="F221" s="39"/>
      <c r="G221" s="39"/>
      <c r="H221" s="39"/>
      <c r="I221" s="39"/>
      <c r="J221" s="39"/>
      <c r="K221" s="40"/>
      <c r="L221" s="38" t="s">
        <v>250</v>
      </c>
      <c r="M221" s="41">
        <v>6000000000</v>
      </c>
      <c r="N221" s="41">
        <v>0</v>
      </c>
      <c r="O221" s="740">
        <v>0</v>
      </c>
      <c r="P221" s="740">
        <v>0</v>
      </c>
      <c r="Q221" s="740">
        <v>0</v>
      </c>
      <c r="R221" s="740">
        <v>0</v>
      </c>
      <c r="S221" s="41">
        <v>6000000000</v>
      </c>
      <c r="T221" s="41">
        <v>25200000</v>
      </c>
      <c r="U221" s="41">
        <v>5974800000</v>
      </c>
      <c r="V221" s="42">
        <v>4.1999999999999997E-3</v>
      </c>
      <c r="W221" s="41">
        <v>0</v>
      </c>
      <c r="X221" s="41">
        <v>25200000</v>
      </c>
      <c r="Y221" s="42">
        <v>1</v>
      </c>
      <c r="Z221" s="41">
        <v>0</v>
      </c>
      <c r="AA221" s="41">
        <v>0</v>
      </c>
      <c r="AB221" s="42">
        <v>0</v>
      </c>
    </row>
    <row r="222" spans="1:28" ht="24" customHeight="1">
      <c r="A222" s="32" t="e">
        <v>#REF!</v>
      </c>
      <c r="B222" s="43" t="s">
        <v>300</v>
      </c>
      <c r="C222" s="44" t="s">
        <v>167</v>
      </c>
      <c r="D222" s="44">
        <v>4199</v>
      </c>
      <c r="E222" s="44">
        <v>1500</v>
      </c>
      <c r="F222" s="44"/>
      <c r="G222" s="44"/>
      <c r="H222" s="44"/>
      <c r="I222" s="44"/>
      <c r="J222" s="44"/>
      <c r="K222" s="45"/>
      <c r="L222" s="43" t="s">
        <v>170</v>
      </c>
      <c r="M222" s="46">
        <v>6000000000</v>
      </c>
      <c r="N222" s="46">
        <v>0</v>
      </c>
      <c r="O222" s="741">
        <v>0</v>
      </c>
      <c r="P222" s="741">
        <v>0</v>
      </c>
      <c r="Q222" s="741">
        <v>0</v>
      </c>
      <c r="R222" s="741">
        <v>0</v>
      </c>
      <c r="S222" s="46">
        <v>6000000000</v>
      </c>
      <c r="T222" s="46">
        <v>25200000</v>
      </c>
      <c r="U222" s="46">
        <v>5974800000</v>
      </c>
      <c r="V222" s="47">
        <v>4.1999999999999997E-3</v>
      </c>
      <c r="W222" s="46">
        <v>0</v>
      </c>
      <c r="X222" s="46">
        <v>25200000</v>
      </c>
      <c r="Y222" s="47">
        <v>1</v>
      </c>
      <c r="Z222" s="46">
        <v>0</v>
      </c>
      <c r="AA222" s="46">
        <v>0</v>
      </c>
      <c r="AB222" s="47">
        <v>0</v>
      </c>
    </row>
    <row r="223" spans="1:28" ht="39" customHeight="1">
      <c r="A223" s="32" t="e">
        <v>#REF!</v>
      </c>
      <c r="B223" s="48" t="s">
        <v>547</v>
      </c>
      <c r="C223" s="48" t="s">
        <v>167</v>
      </c>
      <c r="D223" s="48" t="s">
        <v>251</v>
      </c>
      <c r="E223" s="48" t="s">
        <v>172</v>
      </c>
      <c r="F223" s="48" t="s">
        <v>252</v>
      </c>
      <c r="G223" s="48"/>
      <c r="H223" s="48"/>
      <c r="I223" s="48"/>
      <c r="J223" s="49"/>
      <c r="K223" s="48"/>
      <c r="L223" s="48" t="s">
        <v>253</v>
      </c>
      <c r="M223" s="50">
        <v>6000000000</v>
      </c>
      <c r="N223" s="50">
        <v>0</v>
      </c>
      <c r="O223" s="742">
        <v>0</v>
      </c>
      <c r="P223" s="742">
        <v>0</v>
      </c>
      <c r="Q223" s="742">
        <v>0</v>
      </c>
      <c r="R223" s="742">
        <v>0</v>
      </c>
      <c r="S223" s="50">
        <v>6000000000</v>
      </c>
      <c r="T223" s="50">
        <v>25200000</v>
      </c>
      <c r="U223" s="50">
        <v>5974800000</v>
      </c>
      <c r="V223" s="51">
        <v>4.1999999999999997E-3</v>
      </c>
      <c r="W223" s="50">
        <v>0</v>
      </c>
      <c r="X223" s="50">
        <v>25200000</v>
      </c>
      <c r="Y223" s="51">
        <v>1</v>
      </c>
      <c r="Z223" s="50">
        <v>0</v>
      </c>
      <c r="AA223" s="50">
        <v>0</v>
      </c>
      <c r="AB223" s="51">
        <v>0</v>
      </c>
    </row>
    <row r="224" spans="1:28" ht="24" customHeight="1">
      <c r="A224" s="32" t="e">
        <v>#REF!</v>
      </c>
      <c r="B224" s="52" t="s">
        <v>548</v>
      </c>
      <c r="C224" s="52" t="s">
        <v>167</v>
      </c>
      <c r="D224" s="52" t="s">
        <v>251</v>
      </c>
      <c r="E224" s="52" t="s">
        <v>172</v>
      </c>
      <c r="F224" s="52" t="s">
        <v>252</v>
      </c>
      <c r="G224" s="52" t="s">
        <v>175</v>
      </c>
      <c r="H224" s="52" t="s">
        <v>254</v>
      </c>
      <c r="I224" s="52"/>
      <c r="J224" s="53"/>
      <c r="K224" s="52" t="s">
        <v>29</v>
      </c>
      <c r="L224" s="52" t="s">
        <v>255</v>
      </c>
      <c r="M224" s="54">
        <v>6000000000</v>
      </c>
      <c r="N224" s="54">
        <v>0</v>
      </c>
      <c r="O224" s="743">
        <v>0</v>
      </c>
      <c r="P224" s="743">
        <v>0</v>
      </c>
      <c r="Q224" s="743">
        <v>0</v>
      </c>
      <c r="R224" s="743">
        <v>0</v>
      </c>
      <c r="S224" s="54">
        <v>6000000000</v>
      </c>
      <c r="T224" s="54">
        <v>25200000</v>
      </c>
      <c r="U224" s="54">
        <v>5974800000</v>
      </c>
      <c r="V224" s="55">
        <v>4.1999999999999997E-3</v>
      </c>
      <c r="W224" s="54">
        <v>0</v>
      </c>
      <c r="X224" s="54">
        <v>25200000</v>
      </c>
      <c r="Y224" s="55">
        <v>1</v>
      </c>
      <c r="Z224" s="54">
        <v>0</v>
      </c>
      <c r="AA224" s="54">
        <v>0</v>
      </c>
      <c r="AB224" s="55">
        <v>0</v>
      </c>
    </row>
    <row r="225" spans="1:51" ht="24.95" customHeight="1">
      <c r="A225" s="32" t="e">
        <v>#REF!</v>
      </c>
      <c r="B225" s="56" t="s">
        <v>549</v>
      </c>
      <c r="C225" s="57" t="s">
        <v>167</v>
      </c>
      <c r="D225" s="57" t="s">
        <v>251</v>
      </c>
      <c r="E225" s="57" t="s">
        <v>172</v>
      </c>
      <c r="F225" s="57" t="s">
        <v>252</v>
      </c>
      <c r="G225" s="57" t="s">
        <v>175</v>
      </c>
      <c r="H225" s="57" t="s">
        <v>254</v>
      </c>
      <c r="I225" s="57" t="s">
        <v>54</v>
      </c>
      <c r="J225" s="57">
        <v>11</v>
      </c>
      <c r="K225" s="58" t="s">
        <v>29</v>
      </c>
      <c r="L225" s="59" t="s">
        <v>178</v>
      </c>
      <c r="M225" s="60">
        <v>6000000000</v>
      </c>
      <c r="N225" s="60">
        <v>0</v>
      </c>
      <c r="O225" s="60">
        <v>0</v>
      </c>
      <c r="P225" s="60">
        <v>0</v>
      </c>
      <c r="Q225" s="60">
        <v>0</v>
      </c>
      <c r="R225" s="61">
        <v>0</v>
      </c>
      <c r="S225" s="60">
        <v>6000000000</v>
      </c>
      <c r="T225" s="60">
        <v>25200000</v>
      </c>
      <c r="U225" s="60">
        <v>5974800000</v>
      </c>
      <c r="V225" s="62">
        <v>4.1999999999999997E-3</v>
      </c>
      <c r="W225" s="60">
        <v>0</v>
      </c>
      <c r="X225" s="60">
        <v>25200000</v>
      </c>
      <c r="Y225" s="62">
        <v>1</v>
      </c>
      <c r="Z225" s="60">
        <v>0</v>
      </c>
      <c r="AA225" s="60">
        <v>0</v>
      </c>
      <c r="AB225" s="62">
        <v>0</v>
      </c>
    </row>
    <row r="226" spans="1:51" ht="35.1" customHeight="1">
      <c r="A226" s="32"/>
      <c r="B226" s="33"/>
      <c r="C226" s="34"/>
      <c r="D226" s="35"/>
      <c r="E226" s="35"/>
      <c r="F226" s="35"/>
      <c r="G226" s="35"/>
      <c r="H226" s="35"/>
      <c r="I226" s="35"/>
      <c r="J226" s="34"/>
      <c r="K226" s="35"/>
      <c r="L226" s="33" t="s">
        <v>256</v>
      </c>
      <c r="M226" s="36">
        <v>6684523821744</v>
      </c>
      <c r="N226" s="36">
        <v>0</v>
      </c>
      <c r="O226" s="36">
        <v>0</v>
      </c>
      <c r="P226" s="36">
        <v>3170048097</v>
      </c>
      <c r="Q226" s="36">
        <v>3170048097</v>
      </c>
      <c r="R226" s="36">
        <v>5880000000</v>
      </c>
      <c r="S226" s="36">
        <v>6678643821744</v>
      </c>
      <c r="T226" s="36">
        <v>468275693452.90002</v>
      </c>
      <c r="U226" s="36">
        <v>6210368128291.1006</v>
      </c>
      <c r="V226" s="37">
        <v>7.0115386589162165E-2</v>
      </c>
      <c r="W226" s="36">
        <v>7829139261.5100002</v>
      </c>
      <c r="X226" s="36">
        <v>460446554191.39001</v>
      </c>
      <c r="Y226" s="37">
        <v>0.98328091897364844</v>
      </c>
      <c r="Z226" s="36">
        <v>7699239589.5100002</v>
      </c>
      <c r="AA226" s="36">
        <v>129899672</v>
      </c>
      <c r="AB226" s="37">
        <v>1.6441681037805998E-2</v>
      </c>
    </row>
    <row r="227" spans="1:51" s="90" customFormat="1" ht="16.5">
      <c r="A227" s="32"/>
      <c r="B227" s="32"/>
      <c r="C227" s="82"/>
      <c r="D227" s="82"/>
      <c r="E227" s="82"/>
      <c r="F227" s="82"/>
      <c r="G227" s="82"/>
      <c r="H227" s="83"/>
      <c r="I227" s="84"/>
      <c r="J227" s="84"/>
      <c r="K227" s="85"/>
      <c r="L227" s="84"/>
      <c r="M227" s="86"/>
      <c r="N227" s="86"/>
      <c r="O227" s="86"/>
      <c r="P227" s="86"/>
      <c r="Q227" s="86"/>
      <c r="R227" s="86"/>
      <c r="S227" s="86"/>
      <c r="T227" s="86"/>
      <c r="U227" s="86"/>
      <c r="V227" s="87"/>
      <c r="W227" s="88"/>
      <c r="X227" s="86"/>
      <c r="Y227" s="87"/>
      <c r="Z227" s="86"/>
      <c r="AA227" s="86"/>
      <c r="AB227" s="89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</row>
    <row r="228" spans="1:51" s="8" customFormat="1" ht="16.5">
      <c r="A228" s="32"/>
      <c r="B228" s="32"/>
      <c r="C228" s="91"/>
      <c r="D228" s="91"/>
      <c r="E228" s="91"/>
      <c r="F228" s="91"/>
      <c r="G228" s="91"/>
      <c r="H228" s="92"/>
      <c r="I228" s="93"/>
      <c r="J228" s="93"/>
      <c r="K228" s="94"/>
      <c r="L228" s="93"/>
      <c r="M228" s="95">
        <v>6684523821744</v>
      </c>
      <c r="N228" s="95"/>
      <c r="O228" s="95">
        <v>0</v>
      </c>
      <c r="P228" s="95">
        <v>3170048097</v>
      </c>
      <c r="Q228" s="95">
        <v>3170048097</v>
      </c>
      <c r="R228" s="95">
        <v>5880000000</v>
      </c>
      <c r="S228" s="95">
        <v>6678643821744</v>
      </c>
      <c r="T228" s="95">
        <v>468275693452.90002</v>
      </c>
      <c r="U228" s="95">
        <v>6210368128291.0996</v>
      </c>
      <c r="V228" s="96">
        <v>7.0115386589162165E-2</v>
      </c>
      <c r="W228" s="95">
        <v>7829139261.5100002</v>
      </c>
      <c r="X228" s="95">
        <v>460446554191.39001</v>
      </c>
      <c r="Y228" s="96">
        <v>0.98328091897364844</v>
      </c>
      <c r="Z228" s="95">
        <v>7699239589.5100002</v>
      </c>
      <c r="AA228" s="95">
        <v>129899672</v>
      </c>
      <c r="AB228" s="96">
        <v>1.6441681037805998E-2</v>
      </c>
    </row>
    <row r="229" spans="1:51" s="8" customFormat="1" ht="16.5">
      <c r="A229" s="32"/>
      <c r="B229" s="32"/>
      <c r="C229" s="94"/>
      <c r="D229" s="93"/>
      <c r="E229" s="93"/>
      <c r="F229" s="93"/>
      <c r="G229" s="93"/>
      <c r="H229" s="93"/>
      <c r="I229" s="93"/>
      <c r="J229" s="93"/>
      <c r="K229" s="94"/>
      <c r="L229" s="97"/>
      <c r="M229" s="98">
        <v>0</v>
      </c>
      <c r="N229" s="98">
        <v>0</v>
      </c>
      <c r="O229" s="98">
        <v>0</v>
      </c>
      <c r="P229" s="98">
        <v>0</v>
      </c>
      <c r="Q229" s="98">
        <v>0</v>
      </c>
      <c r="R229" s="98">
        <v>0</v>
      </c>
      <c r="S229" s="98">
        <v>0</v>
      </c>
      <c r="T229" s="98">
        <v>0</v>
      </c>
      <c r="U229" s="98">
        <v>0</v>
      </c>
      <c r="V229" s="98"/>
      <c r="W229" s="98">
        <v>0</v>
      </c>
      <c r="X229" s="98">
        <v>0</v>
      </c>
      <c r="Y229" s="98"/>
      <c r="Z229" s="98">
        <v>0</v>
      </c>
      <c r="AA229" s="98">
        <v>0</v>
      </c>
      <c r="AB229" s="98"/>
    </row>
    <row r="230" spans="1:51" s="108" customFormat="1" ht="16.5">
      <c r="A230" s="99"/>
      <c r="B230" s="100"/>
      <c r="C230" s="101"/>
      <c r="D230" s="102"/>
      <c r="E230" s="102"/>
      <c r="F230" s="102"/>
      <c r="G230" s="102"/>
      <c r="H230" s="102"/>
      <c r="I230" s="102"/>
      <c r="J230" s="102"/>
      <c r="K230" s="101"/>
      <c r="L230" s="103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4"/>
      <c r="X230" s="104"/>
      <c r="Y230" s="105"/>
      <c r="Z230" s="104"/>
      <c r="AA230" s="104"/>
      <c r="AB230" s="106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</row>
    <row r="231" spans="1:51" ht="18">
      <c r="A231" s="30"/>
      <c r="B231" s="31"/>
      <c r="C231" s="312"/>
      <c r="D231" s="317"/>
      <c r="E231" s="312"/>
      <c r="F231" s="312"/>
      <c r="G231" s="312"/>
      <c r="H231" s="312"/>
      <c r="I231" s="312"/>
      <c r="J231" s="312"/>
      <c r="K231" s="317"/>
      <c r="L231" s="312"/>
      <c r="M231" s="335"/>
      <c r="N231" s="364"/>
      <c r="O231" s="332"/>
      <c r="P231" s="332"/>
      <c r="Q231" s="329"/>
      <c r="R231" s="633"/>
      <c r="S231" s="359"/>
      <c r="T231" s="332"/>
      <c r="U231" s="332"/>
      <c r="V231" s="333"/>
      <c r="W231" s="332"/>
      <c r="X231" s="332"/>
      <c r="Y231" s="333"/>
      <c r="Z231" s="332"/>
      <c r="AA231" s="332"/>
      <c r="AB231" s="333"/>
    </row>
    <row r="232" spans="1:51" ht="18">
      <c r="A232" s="30"/>
      <c r="B232" s="31"/>
      <c r="C232" s="312"/>
      <c r="D232" s="317"/>
      <c r="E232" s="312"/>
      <c r="F232" s="312"/>
      <c r="G232" s="312"/>
      <c r="H232" s="312"/>
      <c r="I232" s="312"/>
      <c r="J232" s="312"/>
      <c r="K232" s="317"/>
      <c r="L232" s="312"/>
      <c r="M232" s="332"/>
      <c r="N232" s="632"/>
      <c r="O232" s="332"/>
      <c r="P232" s="359"/>
      <c r="Q232" s="633"/>
      <c r="R232" s="633"/>
      <c r="S232" s="332"/>
      <c r="T232" s="332"/>
      <c r="U232" s="332"/>
      <c r="V232" s="333"/>
      <c r="W232" s="332"/>
      <c r="X232" s="332"/>
      <c r="Y232" s="333"/>
      <c r="Z232" s="332"/>
      <c r="AA232" s="332"/>
      <c r="AB232" s="333"/>
    </row>
    <row r="233" spans="1:51" ht="18">
      <c r="A233" s="1"/>
      <c r="B233" s="2"/>
      <c r="C233" s="312"/>
      <c r="D233" s="312"/>
      <c r="E233" s="312"/>
      <c r="F233" s="312"/>
      <c r="G233" s="312"/>
      <c r="H233" s="312"/>
      <c r="I233" s="312"/>
      <c r="J233" s="312"/>
      <c r="K233" s="317"/>
      <c r="L233" s="312"/>
      <c r="M233" s="332"/>
      <c r="N233" s="632"/>
      <c r="O233" s="332"/>
      <c r="P233" s="332"/>
      <c r="Q233" s="332"/>
      <c r="R233" s="332"/>
      <c r="S233" s="332"/>
      <c r="T233" s="332"/>
      <c r="U233" s="332"/>
      <c r="V233" s="333"/>
      <c r="W233" s="332"/>
      <c r="X233" s="631"/>
      <c r="Y233" s="333"/>
      <c r="Z233" s="332"/>
      <c r="AA233" s="332"/>
      <c r="AB233" s="333"/>
      <c r="AC233" s="315"/>
    </row>
    <row r="234" spans="1:51" ht="30">
      <c r="A234" s="1"/>
      <c r="B234" s="2"/>
      <c r="C234" s="318"/>
      <c r="D234" s="318"/>
      <c r="E234" s="318"/>
      <c r="F234" s="318"/>
      <c r="G234" s="318"/>
      <c r="H234" s="318"/>
      <c r="I234" s="312"/>
      <c r="J234" s="312"/>
      <c r="K234" s="317"/>
      <c r="L234" s="336" t="s">
        <v>738</v>
      </c>
      <c r="M234" s="628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20"/>
      <c r="Z234" s="376"/>
      <c r="AA234" s="319"/>
      <c r="AB234" s="319"/>
    </row>
    <row r="235" spans="1:51" ht="30">
      <c r="A235" s="1"/>
      <c r="B235" s="2"/>
      <c r="C235" s="321"/>
      <c r="D235" s="322"/>
      <c r="E235" s="322"/>
      <c r="F235" s="322"/>
      <c r="G235" s="322"/>
      <c r="H235" s="322"/>
      <c r="I235" s="322"/>
      <c r="J235" s="322"/>
      <c r="K235" s="321"/>
      <c r="L235" s="337" t="s">
        <v>739</v>
      </c>
      <c r="M235" s="628"/>
      <c r="O235" s="323"/>
      <c r="P235" s="323"/>
      <c r="Q235" s="323"/>
      <c r="R235" s="323"/>
      <c r="S235" s="360"/>
      <c r="T235" s="323"/>
      <c r="U235" s="323"/>
      <c r="V235" s="323"/>
      <c r="W235" s="323"/>
      <c r="X235" s="323"/>
      <c r="Y235" s="324"/>
      <c r="Z235" s="323"/>
      <c r="AA235" s="323"/>
      <c r="AB235" s="323"/>
    </row>
    <row r="236" spans="1:51" ht="30">
      <c r="A236" s="325"/>
      <c r="B236" s="313"/>
      <c r="C236" s="308"/>
      <c r="D236" s="308"/>
      <c r="E236" s="308"/>
      <c r="F236" s="308"/>
      <c r="G236" s="308"/>
      <c r="H236" s="308"/>
      <c r="I236" s="308"/>
      <c r="J236" s="308"/>
      <c r="K236" s="336"/>
      <c r="L236" s="308"/>
      <c r="M236" s="628"/>
      <c r="O236" s="309"/>
      <c r="P236" s="746"/>
      <c r="Q236" s="630"/>
      <c r="R236" s="630"/>
      <c r="S236" s="334"/>
      <c r="T236" s="334"/>
      <c r="U236" s="629"/>
      <c r="V236" s="329"/>
      <c r="W236" s="329"/>
      <c r="X236" s="329"/>
      <c r="Y236" s="329"/>
    </row>
    <row r="237" spans="1:51" ht="16.5">
      <c r="M237" s="628"/>
      <c r="N237" s="628"/>
    </row>
    <row r="238" spans="1:51" ht="16.5">
      <c r="M238" s="628"/>
      <c r="N238" s="628"/>
    </row>
    <row r="239" spans="1:51" ht="16.5">
      <c r="M239" s="628"/>
    </row>
    <row r="240" spans="1:51" ht="16.5">
      <c r="M240" s="628"/>
    </row>
    <row r="241" spans="13:13" ht="16.5">
      <c r="M241" s="628"/>
    </row>
  </sheetData>
  <sheetProtection selectLockedCells="1" selectUnlockedCells="1"/>
  <autoFilter ref="A6:AB229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C2C1-FDF5-4FD1-A0AA-308DA7D0BD70}">
  <sheetPr>
    <tabColor rgb="FFFFC000"/>
    <pageSetUpPr fitToPage="1"/>
  </sheetPr>
  <dimension ref="A1:AD236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9.85546875" style="9" hidden="1" customWidth="1" outlineLevel="1"/>
    <col min="9" max="9" width="5.28515625" style="9" hidden="1" customWidth="1" outlineLevel="1"/>
    <col min="10" max="10" width="5.140625" style="110" customWidth="1" collapsed="1"/>
    <col min="11" max="11" width="7.42578125" style="111" customWidth="1"/>
    <col min="12" max="12" width="69.57031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2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8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845" t="s">
        <v>939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29.2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878</v>
      </c>
      <c r="Y6" s="29" t="s">
        <v>879</v>
      </c>
      <c r="Z6" s="27" t="s">
        <v>18</v>
      </c>
      <c r="AA6" s="27" t="s">
        <v>880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47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f>+CONCATENATE(#REF!,"=",J8)</f>
        <v>#REF!</v>
      </c>
      <c r="B8" s="33" t="str">
        <f>CONCATENATE(C9)</f>
        <v>A</v>
      </c>
      <c r="C8" s="34" t="s">
        <v>23</v>
      </c>
      <c r="D8" s="35"/>
      <c r="E8" s="35"/>
      <c r="F8" s="35"/>
      <c r="G8" s="35"/>
      <c r="H8" s="35"/>
      <c r="I8" s="35"/>
      <c r="J8" s="34"/>
      <c r="K8" s="35"/>
      <c r="L8" s="33" t="s">
        <v>24</v>
      </c>
      <c r="M8" s="36">
        <f t="shared" ref="M8:U8" si="0">+M9+M44+M91+M104</f>
        <v>212412470214</v>
      </c>
      <c r="N8" s="739">
        <f t="shared" si="0"/>
        <v>0</v>
      </c>
      <c r="O8" s="739">
        <f t="shared" si="0"/>
        <v>0</v>
      </c>
      <c r="P8" s="36">
        <f t="shared" si="0"/>
        <v>3170048097</v>
      </c>
      <c r="Q8" s="36">
        <f t="shared" si="0"/>
        <v>3170048097</v>
      </c>
      <c r="R8" s="36">
        <f t="shared" si="0"/>
        <v>5880000000</v>
      </c>
      <c r="S8" s="36">
        <f t="shared" si="0"/>
        <v>206532470214</v>
      </c>
      <c r="T8" s="36">
        <f t="shared" si="0"/>
        <v>41260097479.959999</v>
      </c>
      <c r="U8" s="36">
        <f t="shared" si="0"/>
        <v>165272372734.04001</v>
      </c>
      <c r="V8" s="37">
        <f t="shared" ref="V8:V13" si="1">+IF(S8&gt;0,T8/S8,0)</f>
        <v>0.19977535463168611</v>
      </c>
      <c r="W8" s="36">
        <f>+W9+W44+W91+W104</f>
        <v>18859057167.220001</v>
      </c>
      <c r="X8" s="36">
        <f>+X9+X44+X91+X104</f>
        <v>22401040312.740002</v>
      </c>
      <c r="Y8" s="37">
        <f t="shared" ref="Y8:Y23" si="2">+IF(T8&gt;0,X8/T8,0)</f>
        <v>0.54292262211983799</v>
      </c>
      <c r="Z8" s="36">
        <f>+Z9+Z44+Z91+Z104</f>
        <v>18330038397.220001</v>
      </c>
      <c r="AA8" s="36">
        <f>+AA9+AA44+AA91+AA104</f>
        <v>529018770</v>
      </c>
      <c r="AB8" s="37">
        <f>+IF(T8&gt;0,(Z8/T8),0)</f>
        <v>0.44425581898159328</v>
      </c>
    </row>
    <row r="9" spans="1:28" ht="24" customHeight="1">
      <c r="A9" s="32" t="e">
        <f>+CONCATENATE(#REF!,"=",J9)</f>
        <v>#REF!</v>
      </c>
      <c r="B9" s="38" t="str">
        <f>CONCATENATE(C9,"-",D9)</f>
        <v>A-01</v>
      </c>
      <c r="C9" s="39" t="s">
        <v>23</v>
      </c>
      <c r="D9" s="39" t="s">
        <v>25</v>
      </c>
      <c r="E9" s="39"/>
      <c r="F9" s="39"/>
      <c r="G9" s="39"/>
      <c r="H9" s="39"/>
      <c r="I9" s="39"/>
      <c r="J9" s="39"/>
      <c r="K9" s="40"/>
      <c r="L9" s="38" t="s">
        <v>26</v>
      </c>
      <c r="M9" s="41">
        <f>+M10</f>
        <v>128915000000</v>
      </c>
      <c r="N9" s="740">
        <f t="shared" ref="N9:AA9" si="3">+N10</f>
        <v>0</v>
      </c>
      <c r="O9" s="740">
        <f t="shared" si="3"/>
        <v>0</v>
      </c>
      <c r="P9" s="41">
        <f>+P10</f>
        <v>0</v>
      </c>
      <c r="Q9" s="41">
        <f t="shared" si="3"/>
        <v>0</v>
      </c>
      <c r="R9" s="740">
        <f t="shared" si="3"/>
        <v>0</v>
      </c>
      <c r="S9" s="41">
        <f t="shared" si="3"/>
        <v>128915000000</v>
      </c>
      <c r="T9" s="41">
        <f t="shared" si="3"/>
        <v>17918937060</v>
      </c>
      <c r="U9" s="41">
        <f t="shared" si="3"/>
        <v>110996062940</v>
      </c>
      <c r="V9" s="42">
        <f t="shared" si="1"/>
        <v>0.13899807671721678</v>
      </c>
      <c r="W9" s="41">
        <f t="shared" si="3"/>
        <v>15052367237</v>
      </c>
      <c r="X9" s="41">
        <f t="shared" si="3"/>
        <v>2866569823</v>
      </c>
      <c r="Y9" s="42">
        <f t="shared" si="2"/>
        <v>0.15997432288542232</v>
      </c>
      <c r="Z9" s="41">
        <f t="shared" si="3"/>
        <v>15052367237</v>
      </c>
      <c r="AA9" s="41">
        <f t="shared" si="3"/>
        <v>0</v>
      </c>
      <c r="AB9" s="42">
        <f t="shared" ref="AB9:AB77" si="4">+IF(T9&gt;0,(Z9/T9),0)</f>
        <v>0.84002567711457765</v>
      </c>
    </row>
    <row r="10" spans="1:28" ht="24" customHeight="1">
      <c r="A10" s="32" t="e">
        <f>+CONCATENATE(#REF!,"=",J10)</f>
        <v>#REF!</v>
      </c>
      <c r="B10" s="43" t="str">
        <f>CONCATENATE(C10,"-",D10,"-",E10)</f>
        <v>A-01-01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4"/>
      <c r="K10" s="45"/>
      <c r="L10" s="43" t="s">
        <v>27</v>
      </c>
      <c r="M10" s="46">
        <f t="shared" ref="M10:U10" si="5">+M11+M23+M33</f>
        <v>128915000000</v>
      </c>
      <c r="N10" s="741">
        <f t="shared" si="5"/>
        <v>0</v>
      </c>
      <c r="O10" s="741">
        <f t="shared" si="5"/>
        <v>0</v>
      </c>
      <c r="P10" s="46">
        <f t="shared" si="5"/>
        <v>0</v>
      </c>
      <c r="Q10" s="46">
        <f t="shared" si="5"/>
        <v>0</v>
      </c>
      <c r="R10" s="741">
        <f t="shared" si="5"/>
        <v>0</v>
      </c>
      <c r="S10" s="46">
        <f t="shared" si="5"/>
        <v>128915000000</v>
      </c>
      <c r="T10" s="46">
        <f t="shared" si="5"/>
        <v>17918937060</v>
      </c>
      <c r="U10" s="46">
        <f t="shared" si="5"/>
        <v>110996062940</v>
      </c>
      <c r="V10" s="47">
        <f t="shared" si="1"/>
        <v>0.13899807671721678</v>
      </c>
      <c r="W10" s="46">
        <f>+W11+W23+W33</f>
        <v>15052367237</v>
      </c>
      <c r="X10" s="46">
        <f>+X11+X23+X33</f>
        <v>2866569823</v>
      </c>
      <c r="Y10" s="47">
        <f t="shared" si="2"/>
        <v>0.15997432288542232</v>
      </c>
      <c r="Z10" s="46">
        <f>+Z11+Z23+Z33</f>
        <v>15052367237</v>
      </c>
      <c r="AA10" s="46">
        <f>+AA11+AA23+AA33</f>
        <v>0</v>
      </c>
      <c r="AB10" s="47">
        <f t="shared" si="4"/>
        <v>0.84002567711457765</v>
      </c>
    </row>
    <row r="11" spans="1:28" ht="24" customHeight="1">
      <c r="A11" s="32" t="e">
        <f>+CONCATENATE(#REF!,"=",J11)</f>
        <v>#REF!</v>
      </c>
      <c r="B11" s="48" t="str">
        <f>CONCATENATE(C11,"-",D11,"-",E11,"-",F11)</f>
        <v>A-01-01-01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9" t="s">
        <v>28</v>
      </c>
      <c r="K11" s="48" t="s">
        <v>29</v>
      </c>
      <c r="L11" s="48" t="s">
        <v>30</v>
      </c>
      <c r="M11" s="50">
        <f>SUM(M12)</f>
        <v>87725000000</v>
      </c>
      <c r="N11" s="742">
        <f t="shared" ref="N11:AA11" si="6">SUM(N12)</f>
        <v>0</v>
      </c>
      <c r="O11" s="742">
        <f t="shared" si="6"/>
        <v>0</v>
      </c>
      <c r="P11" s="50">
        <f t="shared" si="6"/>
        <v>0</v>
      </c>
      <c r="Q11" s="50">
        <f t="shared" si="6"/>
        <v>0</v>
      </c>
      <c r="R11" s="742">
        <f t="shared" si="6"/>
        <v>0</v>
      </c>
      <c r="S11" s="50">
        <f t="shared" si="6"/>
        <v>87725000000</v>
      </c>
      <c r="T11" s="50">
        <f t="shared" si="6"/>
        <v>10074767436</v>
      </c>
      <c r="U11" s="50">
        <f t="shared" si="6"/>
        <v>77650232564</v>
      </c>
      <c r="V11" s="51">
        <f t="shared" si="1"/>
        <v>0.11484488385294955</v>
      </c>
      <c r="W11" s="50">
        <f t="shared" si="6"/>
        <v>10073935404</v>
      </c>
      <c r="X11" s="50">
        <f t="shared" si="6"/>
        <v>832032</v>
      </c>
      <c r="Y11" s="51">
        <f t="shared" si="2"/>
        <v>8.2585727689049558E-5</v>
      </c>
      <c r="Z11" s="50">
        <f t="shared" si="6"/>
        <v>10073935404</v>
      </c>
      <c r="AA11" s="50">
        <f t="shared" si="6"/>
        <v>0</v>
      </c>
      <c r="AB11" s="51">
        <f t="shared" si="4"/>
        <v>0.99991741427231096</v>
      </c>
    </row>
    <row r="12" spans="1:28" ht="24" customHeight="1">
      <c r="A12" s="32" t="e">
        <f>+CONCATENATE(#REF!,"=",J12)</f>
        <v>#REF!</v>
      </c>
      <c r="B12" s="52" t="str">
        <f>CONCATENATE(C12,"-",D12,"-",E12,"-",F12,"-",G12)</f>
        <v>A-01-01-01-001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3" t="s">
        <v>28</v>
      </c>
      <c r="K12" s="52" t="s">
        <v>29</v>
      </c>
      <c r="L12" s="52" t="s">
        <v>32</v>
      </c>
      <c r="M12" s="54">
        <f t="shared" ref="M12:U12" si="7">SUM(M13:M22)</f>
        <v>87725000000</v>
      </c>
      <c r="N12" s="743">
        <f t="shared" si="7"/>
        <v>0</v>
      </c>
      <c r="O12" s="743">
        <f t="shared" si="7"/>
        <v>0</v>
      </c>
      <c r="P12" s="54">
        <f t="shared" si="7"/>
        <v>0</v>
      </c>
      <c r="Q12" s="54">
        <f t="shared" si="7"/>
        <v>0</v>
      </c>
      <c r="R12" s="743">
        <f t="shared" si="7"/>
        <v>0</v>
      </c>
      <c r="S12" s="54">
        <f t="shared" si="7"/>
        <v>87725000000</v>
      </c>
      <c r="T12" s="54">
        <f t="shared" si="7"/>
        <v>10074767436</v>
      </c>
      <c r="U12" s="54">
        <f t="shared" si="7"/>
        <v>77650232564</v>
      </c>
      <c r="V12" s="55">
        <f t="shared" si="1"/>
        <v>0.11484488385294955</v>
      </c>
      <c r="W12" s="54">
        <f>SUM(W13:W22)</f>
        <v>10073935404</v>
      </c>
      <c r="X12" s="54">
        <f>SUM(X13:X22)</f>
        <v>832032</v>
      </c>
      <c r="Y12" s="55">
        <f t="shared" si="2"/>
        <v>8.2585727689049558E-5</v>
      </c>
      <c r="Z12" s="54">
        <f>SUM(Z13:Z22)</f>
        <v>10073935404</v>
      </c>
      <c r="AA12" s="54">
        <f>SUM(AA13:AA22)</f>
        <v>0</v>
      </c>
      <c r="AB12" s="55">
        <f t="shared" si="4"/>
        <v>0.99991741427231096</v>
      </c>
    </row>
    <row r="13" spans="1:28" ht="24.95" customHeight="1">
      <c r="A13" s="32" t="e">
        <f>+CONCATENATE(#REF!,"=",J13)</f>
        <v>#REF!</v>
      </c>
      <c r="B13" s="56" t="str">
        <f>CONCATENATE(C13,"-",D13,"-",E13,"-",F13,"-",G13,"-",H13)</f>
        <v>A-01-01-01-001-001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71741000000</v>
      </c>
      <c r="N13" s="60"/>
      <c r="O13" s="60"/>
      <c r="P13" s="61"/>
      <c r="Q13" s="61"/>
      <c r="R13" s="61"/>
      <c r="S13" s="60">
        <f t="shared" ref="S13:S22" si="8">+M13-R13+N13-O13+P13-Q13</f>
        <v>71741000000</v>
      </c>
      <c r="T13" s="60">
        <v>9184673179</v>
      </c>
      <c r="U13" s="60">
        <f t="shared" ref="U13:U111" si="9">+S13-T13</f>
        <v>62556326821</v>
      </c>
      <c r="V13" s="62">
        <f t="shared" si="1"/>
        <v>0.12802544122607715</v>
      </c>
      <c r="W13" s="60">
        <v>9183841147</v>
      </c>
      <c r="X13" s="60">
        <f>+T13-W13</f>
        <v>832032</v>
      </c>
      <c r="Y13" s="62">
        <f t="shared" si="2"/>
        <v>9.0589178709414803E-5</v>
      </c>
      <c r="Z13" s="60">
        <v>9183841147</v>
      </c>
      <c r="AA13" s="60">
        <f t="shared" ref="AA13:AA111" si="10">+W13-Z13</f>
        <v>0</v>
      </c>
      <c r="AB13" s="62">
        <f t="shared" si="4"/>
        <v>0.99990941082129059</v>
      </c>
    </row>
    <row r="14" spans="1:28" ht="24.95" customHeight="1">
      <c r="A14" s="32" t="e">
        <f>+CONCATENATE(#REF!,"=",J14)</f>
        <v>#REF!</v>
      </c>
      <c r="B14" s="56" t="str">
        <f t="shared" ref="B14:B22" si="11">CONCATENATE(C14,"-",D14,"-",E14,"-",F14,"-",G14,"-",H14)</f>
        <v>A-01-01-01-001-002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360000000</v>
      </c>
      <c r="N14" s="60"/>
      <c r="O14" s="60"/>
      <c r="P14" s="61"/>
      <c r="Q14" s="61"/>
      <c r="R14" s="60"/>
      <c r="S14" s="60">
        <f t="shared" si="8"/>
        <v>360000000</v>
      </c>
      <c r="T14" s="60">
        <v>46835292</v>
      </c>
      <c r="U14" s="60">
        <f t="shared" si="9"/>
        <v>313164708</v>
      </c>
      <c r="V14" s="62">
        <f>+IF(S14&gt;0,T14/S14,0)</f>
        <v>0.13009803333333333</v>
      </c>
      <c r="W14" s="60">
        <v>46835292</v>
      </c>
      <c r="X14" s="60">
        <f t="shared" ref="X14:X111" si="12">+T14-W14</f>
        <v>0</v>
      </c>
      <c r="Y14" s="62">
        <f t="shared" si="2"/>
        <v>0</v>
      </c>
      <c r="Z14" s="60">
        <v>46835292</v>
      </c>
      <c r="AA14" s="60">
        <f t="shared" si="10"/>
        <v>0</v>
      </c>
      <c r="AB14" s="62">
        <f t="shared" si="4"/>
        <v>1</v>
      </c>
    </row>
    <row r="15" spans="1:28" ht="24.95" customHeight="1">
      <c r="A15" s="32" t="e">
        <f>+CONCATENATE(#REF!,"=",J15)</f>
        <v>#REF!</v>
      </c>
      <c r="B15" s="56" t="str">
        <f t="shared" si="11"/>
        <v>A-01-01-01-001-003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840000000</v>
      </c>
      <c r="N15" s="60"/>
      <c r="O15" s="60"/>
      <c r="P15" s="61"/>
      <c r="Q15" s="61"/>
      <c r="R15" s="60"/>
      <c r="S15" s="60">
        <f t="shared" si="8"/>
        <v>840000000</v>
      </c>
      <c r="T15" s="60">
        <v>140870464</v>
      </c>
      <c r="U15" s="60">
        <f t="shared" si="9"/>
        <v>699129536</v>
      </c>
      <c r="V15" s="62">
        <f t="shared" ref="V15:V83" si="13">+IF(S15&gt;0,T15/S15,0)</f>
        <v>0.16770293333333333</v>
      </c>
      <c r="W15" s="60">
        <v>140870464</v>
      </c>
      <c r="X15" s="60">
        <f t="shared" si="12"/>
        <v>0</v>
      </c>
      <c r="Y15" s="62">
        <f t="shared" si="2"/>
        <v>0</v>
      </c>
      <c r="Z15" s="60">
        <v>140870464</v>
      </c>
      <c r="AA15" s="60">
        <f t="shared" si="10"/>
        <v>0</v>
      </c>
      <c r="AB15" s="62">
        <f t="shared" si="4"/>
        <v>1</v>
      </c>
    </row>
    <row r="16" spans="1:28" ht="24.95" customHeight="1">
      <c r="A16" s="32" t="e">
        <f>+CONCATENATE(#REF!,"=",J16)</f>
        <v>#REF!</v>
      </c>
      <c r="B16" s="56" t="str">
        <f t="shared" si="11"/>
        <v>A-01-01-01-001-004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180000000</v>
      </c>
      <c r="N16" s="60"/>
      <c r="O16" s="60"/>
      <c r="P16" s="61"/>
      <c r="Q16" s="61"/>
      <c r="R16" s="60"/>
      <c r="S16" s="60">
        <f t="shared" si="8"/>
        <v>180000000</v>
      </c>
      <c r="T16" s="60">
        <v>12868436</v>
      </c>
      <c r="U16" s="60">
        <f t="shared" si="9"/>
        <v>167131564</v>
      </c>
      <c r="V16" s="62">
        <f t="shared" si="13"/>
        <v>7.1491311111111108E-2</v>
      </c>
      <c r="W16" s="60">
        <v>12868436</v>
      </c>
      <c r="X16" s="60">
        <f t="shared" si="12"/>
        <v>0</v>
      </c>
      <c r="Y16" s="62">
        <f t="shared" si="2"/>
        <v>0</v>
      </c>
      <c r="Z16" s="60">
        <v>12868436</v>
      </c>
      <c r="AA16" s="60">
        <f t="shared" si="10"/>
        <v>0</v>
      </c>
      <c r="AB16" s="62">
        <f t="shared" si="4"/>
        <v>1</v>
      </c>
    </row>
    <row r="17" spans="1:28" ht="24.95" customHeight="1">
      <c r="A17" s="32" t="e">
        <f>+CONCATENATE(#REF!,"=",J17)</f>
        <v>#REF!</v>
      </c>
      <c r="B17" s="56" t="str">
        <f t="shared" si="11"/>
        <v>A-01-01-01-001-005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204000000</v>
      </c>
      <c r="N17" s="60"/>
      <c r="O17" s="60"/>
      <c r="P17" s="61"/>
      <c r="Q17" s="61"/>
      <c r="R17" s="60"/>
      <c r="S17" s="60">
        <f t="shared" si="8"/>
        <v>204000000</v>
      </c>
      <c r="T17" s="60">
        <v>34781035</v>
      </c>
      <c r="U17" s="60">
        <f t="shared" si="9"/>
        <v>169218965</v>
      </c>
      <c r="V17" s="62">
        <f t="shared" si="13"/>
        <v>0.17049526960784314</v>
      </c>
      <c r="W17" s="60">
        <v>34781035</v>
      </c>
      <c r="X17" s="60">
        <f t="shared" si="12"/>
        <v>0</v>
      </c>
      <c r="Y17" s="62">
        <f t="shared" si="2"/>
        <v>0</v>
      </c>
      <c r="Z17" s="60">
        <v>34781035</v>
      </c>
      <c r="AA17" s="60">
        <f t="shared" si="10"/>
        <v>0</v>
      </c>
      <c r="AB17" s="62">
        <f t="shared" si="4"/>
        <v>1</v>
      </c>
    </row>
    <row r="18" spans="1:28" ht="24.95" customHeight="1">
      <c r="A18" s="32" t="e">
        <f>+CONCATENATE(#REF!,"=",J18)</f>
        <v>#REF!</v>
      </c>
      <c r="B18" s="56" t="str">
        <f t="shared" si="11"/>
        <v>A-01-01-01-001-006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3000000000</v>
      </c>
      <c r="N18" s="60"/>
      <c r="O18" s="60"/>
      <c r="P18" s="61"/>
      <c r="Q18" s="61"/>
      <c r="R18" s="60"/>
      <c r="S18" s="60">
        <f t="shared" si="8"/>
        <v>3000000000</v>
      </c>
      <c r="T18" s="60">
        <v>26272442</v>
      </c>
      <c r="U18" s="60">
        <f t="shared" si="9"/>
        <v>2973727558</v>
      </c>
      <c r="V18" s="62">
        <f t="shared" si="13"/>
        <v>8.7574806666666661E-3</v>
      </c>
      <c r="W18" s="60">
        <v>26272442</v>
      </c>
      <c r="X18" s="60">
        <f t="shared" si="12"/>
        <v>0</v>
      </c>
      <c r="Y18" s="62">
        <f t="shared" si="2"/>
        <v>0</v>
      </c>
      <c r="Z18" s="60">
        <v>26272442</v>
      </c>
      <c r="AA18" s="60">
        <f t="shared" si="10"/>
        <v>0</v>
      </c>
      <c r="AB18" s="62">
        <f t="shared" si="4"/>
        <v>1</v>
      </c>
    </row>
    <row r="19" spans="1:28" ht="24.95" customHeight="1">
      <c r="A19" s="32" t="e">
        <f>+CONCATENATE(#REF!,"=",J19)</f>
        <v>#REF!</v>
      </c>
      <c r="B19" s="56" t="str">
        <f t="shared" si="11"/>
        <v>A-01-01-01-001-007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2000000000</v>
      </c>
      <c r="N19" s="60"/>
      <c r="O19" s="60"/>
      <c r="P19" s="61"/>
      <c r="Q19" s="61"/>
      <c r="R19" s="60"/>
      <c r="S19" s="60">
        <f t="shared" si="8"/>
        <v>2000000000</v>
      </c>
      <c r="T19" s="60">
        <v>333204586</v>
      </c>
      <c r="U19" s="60">
        <f t="shared" si="9"/>
        <v>1666795414</v>
      </c>
      <c r="V19" s="62">
        <f t="shared" si="13"/>
        <v>0.16660229300000001</v>
      </c>
      <c r="W19" s="60">
        <v>333204586</v>
      </c>
      <c r="X19" s="60">
        <f t="shared" si="12"/>
        <v>0</v>
      </c>
      <c r="Y19" s="62">
        <f t="shared" si="2"/>
        <v>0</v>
      </c>
      <c r="Z19" s="60">
        <v>333204586</v>
      </c>
      <c r="AA19" s="60">
        <f t="shared" si="10"/>
        <v>0</v>
      </c>
      <c r="AB19" s="62">
        <f t="shared" si="4"/>
        <v>1</v>
      </c>
    </row>
    <row r="20" spans="1:28" ht="24.95" customHeight="1">
      <c r="A20" s="32" t="e">
        <f>+CONCATENATE(#REF!,"=",J20)</f>
        <v>#REF!</v>
      </c>
      <c r="B20" s="56" t="str">
        <f t="shared" si="11"/>
        <v>A-01-01-01-001-008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200000000</v>
      </c>
      <c r="N20" s="60"/>
      <c r="O20" s="60"/>
      <c r="P20" s="61"/>
      <c r="Q20" s="61"/>
      <c r="R20" s="60"/>
      <c r="S20" s="60">
        <f t="shared" si="8"/>
        <v>200000000</v>
      </c>
      <c r="T20" s="60">
        <v>14082018</v>
      </c>
      <c r="U20" s="60">
        <f t="shared" si="9"/>
        <v>185917982</v>
      </c>
      <c r="V20" s="62">
        <f t="shared" si="13"/>
        <v>7.0410089999999995E-2</v>
      </c>
      <c r="W20" s="60">
        <v>14082018</v>
      </c>
      <c r="X20" s="60">
        <f t="shared" si="12"/>
        <v>0</v>
      </c>
      <c r="Y20" s="62">
        <f t="shared" si="2"/>
        <v>0</v>
      </c>
      <c r="Z20" s="60">
        <v>14082018</v>
      </c>
      <c r="AA20" s="60">
        <f t="shared" si="10"/>
        <v>0</v>
      </c>
      <c r="AB20" s="62">
        <f t="shared" si="4"/>
        <v>1</v>
      </c>
    </row>
    <row r="21" spans="1:28" ht="24.95" customHeight="1">
      <c r="A21" s="32" t="e">
        <f>+CONCATENATE(#REF!,"=",J21)</f>
        <v>#REF!</v>
      </c>
      <c r="B21" s="56" t="str">
        <f t="shared" si="11"/>
        <v>A-01-01-01-001-009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1"/>
      <c r="Q21" s="61"/>
      <c r="R21" s="60"/>
      <c r="S21" s="60">
        <f t="shared" si="8"/>
        <v>5900000000</v>
      </c>
      <c r="T21" s="60">
        <v>7250507</v>
      </c>
      <c r="U21" s="60">
        <f t="shared" si="9"/>
        <v>5892749493</v>
      </c>
      <c r="V21" s="62">
        <f t="shared" si="13"/>
        <v>1.2288994915254238E-3</v>
      </c>
      <c r="W21" s="60">
        <v>7250507</v>
      </c>
      <c r="X21" s="60">
        <f t="shared" si="12"/>
        <v>0</v>
      </c>
      <c r="Y21" s="62">
        <f t="shared" si="2"/>
        <v>0</v>
      </c>
      <c r="Z21" s="60">
        <v>7250507</v>
      </c>
      <c r="AA21" s="60">
        <f t="shared" si="10"/>
        <v>0</v>
      </c>
      <c r="AB21" s="62">
        <f t="shared" si="4"/>
        <v>1</v>
      </c>
    </row>
    <row r="22" spans="1:28" ht="24.95" customHeight="1">
      <c r="A22" s="32" t="e">
        <f>+CONCATENATE(#REF!,"=",J22)</f>
        <v>#REF!</v>
      </c>
      <c r="B22" s="56" t="str">
        <f t="shared" si="11"/>
        <v>A-01-01-01-001-010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3300000000</v>
      </c>
      <c r="N22" s="60"/>
      <c r="O22" s="60"/>
      <c r="P22" s="61"/>
      <c r="Q22" s="61"/>
      <c r="R22" s="60"/>
      <c r="S22" s="60">
        <f t="shared" si="8"/>
        <v>3300000000</v>
      </c>
      <c r="T22" s="60">
        <v>273929477</v>
      </c>
      <c r="U22" s="60">
        <f t="shared" si="9"/>
        <v>3026070523</v>
      </c>
      <c r="V22" s="62">
        <f t="shared" si="13"/>
        <v>8.3008932424242426E-2</v>
      </c>
      <c r="W22" s="60">
        <v>273929477</v>
      </c>
      <c r="X22" s="60">
        <f t="shared" si="12"/>
        <v>0</v>
      </c>
      <c r="Y22" s="62">
        <f t="shared" si="2"/>
        <v>0</v>
      </c>
      <c r="Z22" s="60">
        <v>273929477</v>
      </c>
      <c r="AA22" s="60">
        <f t="shared" si="10"/>
        <v>0</v>
      </c>
      <c r="AB22" s="62">
        <f t="shared" si="4"/>
        <v>1</v>
      </c>
    </row>
    <row r="23" spans="1:28" ht="24" customHeight="1">
      <c r="A23" s="32" t="e">
        <f>+CONCATENATE(#REF!,"=",J23)</f>
        <v>#REF!</v>
      </c>
      <c r="B23" s="48" t="str">
        <f>CONCATENATE(C23,"-",D23,"-",E23,"-",F23)</f>
        <v>A-01-01-02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9" t="s">
        <v>28</v>
      </c>
      <c r="K23" s="48" t="s">
        <v>29</v>
      </c>
      <c r="L23" s="48" t="s">
        <v>55</v>
      </c>
      <c r="M23" s="50">
        <f>SUM(M24:M32)</f>
        <v>32057000000</v>
      </c>
      <c r="N23" s="742">
        <f t="shared" ref="N23:R23" si="14">SUM(N24:N32)</f>
        <v>0</v>
      </c>
      <c r="O23" s="742">
        <f t="shared" si="14"/>
        <v>0</v>
      </c>
      <c r="P23" s="50">
        <f t="shared" si="14"/>
        <v>0</v>
      </c>
      <c r="Q23" s="50">
        <f t="shared" si="14"/>
        <v>0</v>
      </c>
      <c r="R23" s="742">
        <f t="shared" si="14"/>
        <v>0</v>
      </c>
      <c r="S23" s="50">
        <f>SUM(S24:S32)</f>
        <v>32057000000</v>
      </c>
      <c r="T23" s="50">
        <f t="shared" ref="T23:U23" si="15">SUM(T24:T32)</f>
        <v>6992459300</v>
      </c>
      <c r="U23" s="50">
        <f t="shared" si="15"/>
        <v>25064540700</v>
      </c>
      <c r="V23" s="51">
        <f t="shared" si="13"/>
        <v>0.21812581651433385</v>
      </c>
      <c r="W23" s="50">
        <f t="shared" ref="W23:AA23" si="16">SUM(W24:W32)</f>
        <v>4126981277</v>
      </c>
      <c r="X23" s="50">
        <f t="shared" si="16"/>
        <v>2865478023</v>
      </c>
      <c r="Y23" s="51">
        <f t="shared" si="2"/>
        <v>0.40979545250982014</v>
      </c>
      <c r="Z23" s="50">
        <f t="shared" si="16"/>
        <v>4126981277</v>
      </c>
      <c r="AA23" s="50">
        <f t="shared" si="16"/>
        <v>0</v>
      </c>
      <c r="AB23" s="51">
        <f t="shared" si="4"/>
        <v>0.59020454749017992</v>
      </c>
    </row>
    <row r="24" spans="1:28" ht="24.95" customHeight="1">
      <c r="A24" s="32" t="e">
        <f>+CONCATENATE(#REF!,"=",J24)</f>
        <v>#REF!</v>
      </c>
      <c r="B24" s="56" t="str">
        <f>CONCATENATE(C24,"-",D24,"-",E24,"-",F24,"-",G24)</f>
        <v>A-01-01-02-001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10048180000</v>
      </c>
      <c r="N24" s="60"/>
      <c r="O24" s="60"/>
      <c r="P24" s="60"/>
      <c r="Q24" s="60"/>
      <c r="R24" s="61"/>
      <c r="S24" s="60">
        <f t="shared" ref="S24:S32" si="17">+M24-R24+N24-O24+P24-Q24</f>
        <v>10048180000</v>
      </c>
      <c r="T24" s="60">
        <v>1274743400</v>
      </c>
      <c r="U24" s="60">
        <f t="shared" si="9"/>
        <v>8773436600</v>
      </c>
      <c r="V24" s="62">
        <f t="shared" si="13"/>
        <v>0.12686311351906515</v>
      </c>
      <c r="W24" s="60">
        <v>1274743400</v>
      </c>
      <c r="X24" s="60">
        <f t="shared" si="12"/>
        <v>0</v>
      </c>
      <c r="Y24" s="62">
        <f>+IF(T24&gt;0,X24/T24,0)</f>
        <v>0</v>
      </c>
      <c r="Z24" s="60">
        <v>1274743400</v>
      </c>
      <c r="AA24" s="60">
        <f t="shared" si="10"/>
        <v>0</v>
      </c>
      <c r="AB24" s="62">
        <f t="shared" si="4"/>
        <v>1</v>
      </c>
    </row>
    <row r="25" spans="1:28" ht="24.95" customHeight="1">
      <c r="A25" s="32" t="e">
        <f>+CONCATENATE(#REF!,"=",J25)</f>
        <v>#REF!</v>
      </c>
      <c r="B25" s="56" t="str">
        <f t="shared" ref="B25:B32" si="18">CONCATENATE(C25,"-",D25,"-",E25,"-",F25,"-",G25)</f>
        <v>A-01-01-02-002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7117460000</v>
      </c>
      <c r="N25" s="60"/>
      <c r="O25" s="60"/>
      <c r="P25" s="60"/>
      <c r="Q25" s="60"/>
      <c r="R25" s="61"/>
      <c r="S25" s="60">
        <f t="shared" si="17"/>
        <v>7117460000</v>
      </c>
      <c r="T25" s="60">
        <v>908484300</v>
      </c>
      <c r="U25" s="60">
        <f t="shared" si="9"/>
        <v>6208975700</v>
      </c>
      <c r="V25" s="62">
        <f t="shared" si="13"/>
        <v>0.12764164463165231</v>
      </c>
      <c r="W25" s="60">
        <v>908484300</v>
      </c>
      <c r="X25" s="60">
        <f t="shared" si="12"/>
        <v>0</v>
      </c>
      <c r="Y25" s="62">
        <f t="shared" ref="Y25:Y91" si="19">+IF(T25&gt;0,X25/T25,0)</f>
        <v>0</v>
      </c>
      <c r="Z25" s="60">
        <v>908484300</v>
      </c>
      <c r="AA25" s="60">
        <f t="shared" si="10"/>
        <v>0</v>
      </c>
      <c r="AB25" s="62">
        <f t="shared" si="4"/>
        <v>1</v>
      </c>
    </row>
    <row r="26" spans="1:28" ht="24.95" customHeight="1">
      <c r="A26" s="32" t="e">
        <f>+CONCATENATE(#REF!,"=",J26)</f>
        <v>#REF!</v>
      </c>
      <c r="B26" s="56" t="str">
        <f t="shared" si="18"/>
        <v>A-01-01-02-003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5734390000</v>
      </c>
      <c r="N26" s="60"/>
      <c r="O26" s="60"/>
      <c r="P26" s="60"/>
      <c r="Q26" s="60"/>
      <c r="R26" s="61"/>
      <c r="S26" s="60">
        <f t="shared" si="17"/>
        <v>5734390000</v>
      </c>
      <c r="T26" s="60">
        <v>3769390000</v>
      </c>
      <c r="U26" s="60">
        <f t="shared" si="9"/>
        <v>1965000000</v>
      </c>
      <c r="V26" s="62">
        <f t="shared" si="13"/>
        <v>0.65733059662841209</v>
      </c>
      <c r="W26" s="60">
        <v>903911977</v>
      </c>
      <c r="X26" s="60">
        <f t="shared" si="12"/>
        <v>2865478023</v>
      </c>
      <c r="Y26" s="62">
        <f t="shared" si="19"/>
        <v>0.76019674881081556</v>
      </c>
      <c r="Z26" s="60">
        <v>903911977</v>
      </c>
      <c r="AA26" s="60">
        <f t="shared" si="10"/>
        <v>0</v>
      </c>
      <c r="AB26" s="62">
        <f t="shared" si="4"/>
        <v>0.23980325118918447</v>
      </c>
    </row>
    <row r="27" spans="1:28" ht="24.95" customHeight="1">
      <c r="A27" s="32" t="e">
        <f>+CONCATENATE(#REF!,"=",J27)</f>
        <v>#REF!</v>
      </c>
      <c r="B27" s="56" t="str">
        <f t="shared" si="18"/>
        <v>A-01-01-02-004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3803090000</v>
      </c>
      <c r="N27" s="60"/>
      <c r="O27" s="60"/>
      <c r="P27" s="60"/>
      <c r="Q27" s="60"/>
      <c r="R27" s="61"/>
      <c r="S27" s="60">
        <f t="shared" si="17"/>
        <v>3803090000</v>
      </c>
      <c r="T27" s="60">
        <v>419594400</v>
      </c>
      <c r="U27" s="60">
        <f t="shared" si="9"/>
        <v>3383495600</v>
      </c>
      <c r="V27" s="62">
        <f t="shared" si="13"/>
        <v>0.11032986334796178</v>
      </c>
      <c r="W27" s="60">
        <v>419594400</v>
      </c>
      <c r="X27" s="60">
        <f t="shared" si="12"/>
        <v>0</v>
      </c>
      <c r="Y27" s="62">
        <f t="shared" si="19"/>
        <v>0</v>
      </c>
      <c r="Z27" s="60">
        <v>419594400</v>
      </c>
      <c r="AA27" s="60">
        <f t="shared" si="10"/>
        <v>0</v>
      </c>
      <c r="AB27" s="62">
        <f t="shared" si="4"/>
        <v>1</v>
      </c>
    </row>
    <row r="28" spans="1:28" ht="24.95" customHeight="1">
      <c r="A28" s="32" t="e">
        <f>+CONCATENATE(#REF!,"=",J28)</f>
        <v>#REF!</v>
      </c>
      <c r="B28" s="56" t="str">
        <f t="shared" si="18"/>
        <v>A-01-01-02-005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600000000</v>
      </c>
      <c r="N28" s="60"/>
      <c r="O28" s="60"/>
      <c r="P28" s="60"/>
      <c r="Q28" s="60"/>
      <c r="R28" s="61"/>
      <c r="S28" s="60">
        <f t="shared" si="17"/>
        <v>600000000</v>
      </c>
      <c r="T28" s="60">
        <v>95505200</v>
      </c>
      <c r="U28" s="60">
        <f t="shared" si="9"/>
        <v>504494800</v>
      </c>
      <c r="V28" s="62">
        <f t="shared" si="13"/>
        <v>0.15917533333333334</v>
      </c>
      <c r="W28" s="60">
        <v>95505200</v>
      </c>
      <c r="X28" s="60">
        <f t="shared" si="12"/>
        <v>0</v>
      </c>
      <c r="Y28" s="62">
        <f t="shared" si="19"/>
        <v>0</v>
      </c>
      <c r="Z28" s="60">
        <v>95505200</v>
      </c>
      <c r="AA28" s="60">
        <f t="shared" si="10"/>
        <v>0</v>
      </c>
      <c r="AB28" s="62">
        <f t="shared" si="4"/>
        <v>1</v>
      </c>
    </row>
    <row r="29" spans="1:28" ht="24.95" customHeight="1">
      <c r="A29" s="32" t="e">
        <f>+CONCATENATE(#REF!,"=",J29)</f>
        <v>#REF!</v>
      </c>
      <c r="B29" s="56" t="str">
        <f t="shared" si="18"/>
        <v>A-01-01-02-006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2852320000</v>
      </c>
      <c r="N29" s="60"/>
      <c r="O29" s="60"/>
      <c r="P29" s="60"/>
      <c r="Q29" s="60"/>
      <c r="R29" s="61"/>
      <c r="S29" s="60">
        <f t="shared" si="17"/>
        <v>2852320000</v>
      </c>
      <c r="T29" s="60">
        <v>314712500</v>
      </c>
      <c r="U29" s="60">
        <f t="shared" si="9"/>
        <v>2537607500</v>
      </c>
      <c r="V29" s="62">
        <f t="shared" si="13"/>
        <v>0.11033562152914118</v>
      </c>
      <c r="W29" s="60">
        <v>314712500</v>
      </c>
      <c r="X29" s="60">
        <f t="shared" si="12"/>
        <v>0</v>
      </c>
      <c r="Y29" s="62">
        <f t="shared" si="19"/>
        <v>0</v>
      </c>
      <c r="Z29" s="60">
        <v>314712500</v>
      </c>
      <c r="AA29" s="60">
        <f t="shared" si="10"/>
        <v>0</v>
      </c>
      <c r="AB29" s="62">
        <f t="shared" si="4"/>
        <v>1</v>
      </c>
    </row>
    <row r="30" spans="1:28" ht="24.95" customHeight="1">
      <c r="A30" s="32" t="e">
        <f>+CONCATENATE(#REF!,"=",J30)</f>
        <v>#REF!</v>
      </c>
      <c r="B30" s="56" t="str">
        <f t="shared" si="18"/>
        <v>A-01-01-02-007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475390000</v>
      </c>
      <c r="N30" s="60"/>
      <c r="O30" s="60"/>
      <c r="P30" s="60"/>
      <c r="Q30" s="60"/>
      <c r="R30" s="61"/>
      <c r="S30" s="60">
        <f t="shared" si="17"/>
        <v>475390000</v>
      </c>
      <c r="T30" s="60">
        <v>52528500</v>
      </c>
      <c r="U30" s="60">
        <f t="shared" si="9"/>
        <v>422861500</v>
      </c>
      <c r="V30" s="62">
        <f t="shared" si="13"/>
        <v>0.11049559309198763</v>
      </c>
      <c r="W30" s="60">
        <v>52528500</v>
      </c>
      <c r="X30" s="60">
        <f t="shared" si="12"/>
        <v>0</v>
      </c>
      <c r="Y30" s="62">
        <f t="shared" si="19"/>
        <v>0</v>
      </c>
      <c r="Z30" s="60">
        <v>52528500</v>
      </c>
      <c r="AA30" s="60">
        <f t="shared" si="10"/>
        <v>0</v>
      </c>
      <c r="AB30" s="62">
        <f t="shared" si="4"/>
        <v>1</v>
      </c>
    </row>
    <row r="31" spans="1:28" ht="24.95" customHeight="1">
      <c r="A31" s="32" t="e">
        <f>+CONCATENATE(#REF!,"=",J31)</f>
        <v>#REF!</v>
      </c>
      <c r="B31" s="56" t="str">
        <f t="shared" si="18"/>
        <v>A-01-01-02-008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475390000</v>
      </c>
      <c r="N31" s="60"/>
      <c r="O31" s="60"/>
      <c r="P31" s="60"/>
      <c r="Q31" s="60"/>
      <c r="R31" s="61"/>
      <c r="S31" s="60">
        <f t="shared" si="17"/>
        <v>475390000</v>
      </c>
      <c r="T31" s="60">
        <v>52528500</v>
      </c>
      <c r="U31" s="60">
        <f t="shared" si="9"/>
        <v>422861500</v>
      </c>
      <c r="V31" s="62">
        <f t="shared" si="13"/>
        <v>0.11049559309198763</v>
      </c>
      <c r="W31" s="60">
        <v>52528500</v>
      </c>
      <c r="X31" s="60">
        <f t="shared" si="12"/>
        <v>0</v>
      </c>
      <c r="Y31" s="62">
        <f t="shared" si="19"/>
        <v>0</v>
      </c>
      <c r="Z31" s="60">
        <v>52528500</v>
      </c>
      <c r="AA31" s="60">
        <f t="shared" si="10"/>
        <v>0</v>
      </c>
      <c r="AB31" s="62">
        <f t="shared" si="4"/>
        <v>1</v>
      </c>
    </row>
    <row r="32" spans="1:28" ht="24.95" customHeight="1">
      <c r="A32" s="32" t="e">
        <f>+CONCATENATE(#REF!,"=",J32)</f>
        <v>#REF!</v>
      </c>
      <c r="B32" s="56" t="str">
        <f t="shared" si="18"/>
        <v>A-01-01-02-009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950780000</v>
      </c>
      <c r="N32" s="60"/>
      <c r="O32" s="60"/>
      <c r="P32" s="60"/>
      <c r="Q32" s="60"/>
      <c r="R32" s="61"/>
      <c r="S32" s="60">
        <f t="shared" si="17"/>
        <v>950780000</v>
      </c>
      <c r="T32" s="60">
        <v>104972500</v>
      </c>
      <c r="U32" s="60">
        <f t="shared" si="9"/>
        <v>845807500</v>
      </c>
      <c r="V32" s="62">
        <f t="shared" si="13"/>
        <v>0.11040671869412483</v>
      </c>
      <c r="W32" s="60">
        <v>104972500</v>
      </c>
      <c r="X32" s="60">
        <f t="shared" si="12"/>
        <v>0</v>
      </c>
      <c r="Y32" s="62">
        <f t="shared" si="19"/>
        <v>0</v>
      </c>
      <c r="Z32" s="60">
        <v>104972500</v>
      </c>
      <c r="AA32" s="60">
        <f t="shared" si="10"/>
        <v>0</v>
      </c>
      <c r="AB32" s="62">
        <f t="shared" si="4"/>
        <v>1</v>
      </c>
    </row>
    <row r="33" spans="1:28" ht="24" customHeight="1">
      <c r="A33" s="32" t="e">
        <f>+CONCATENATE(#REF!,"=",J33)</f>
        <v>#REF!</v>
      </c>
      <c r="B33" s="48" t="str">
        <f>CONCATENATE(C33,"-",D33,"-",E33,"-",F33)</f>
        <v>A-01-01-03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9" t="s">
        <v>28</v>
      </c>
      <c r="K33" s="48" t="s">
        <v>29</v>
      </c>
      <c r="L33" s="48" t="s">
        <v>66</v>
      </c>
      <c r="M33" s="50">
        <f>+M34+M38+M39+M41+M42+M43+M40</f>
        <v>9133000000</v>
      </c>
      <c r="N33" s="742">
        <f>+N34+N38+N39+N41+N42+N43+N40</f>
        <v>0</v>
      </c>
      <c r="O33" s="742">
        <f t="shared" ref="O33:U33" si="20">+O34+O38+O39+O41+O42+O43+O40</f>
        <v>0</v>
      </c>
      <c r="P33" s="50">
        <f t="shared" si="20"/>
        <v>0</v>
      </c>
      <c r="Q33" s="50">
        <f t="shared" si="20"/>
        <v>0</v>
      </c>
      <c r="R33" s="742">
        <f t="shared" si="20"/>
        <v>0</v>
      </c>
      <c r="S33" s="50">
        <f t="shared" si="20"/>
        <v>9133000000</v>
      </c>
      <c r="T33" s="50">
        <f t="shared" si="20"/>
        <v>851710324</v>
      </c>
      <c r="U33" s="50">
        <f t="shared" si="20"/>
        <v>8281289676</v>
      </c>
      <c r="V33" s="51">
        <f t="shared" si="13"/>
        <v>9.3256358699222594E-2</v>
      </c>
      <c r="W33" s="50">
        <f t="shared" ref="W33" si="21">+W34+W38+W39+W41+W42+W43+W40</f>
        <v>851450556</v>
      </c>
      <c r="X33" s="50">
        <f t="shared" ref="X33:AA33" si="22">+X34+X38+X39+X41+X42+X43</f>
        <v>259768</v>
      </c>
      <c r="Y33" s="51">
        <f t="shared" si="19"/>
        <v>3.0499571589084082E-4</v>
      </c>
      <c r="Z33" s="50">
        <f t="shared" ref="Z33" si="23">+Z34+Z38+Z39+Z41+Z42+Z43+Z40</f>
        <v>851450556</v>
      </c>
      <c r="AA33" s="50">
        <f t="shared" si="22"/>
        <v>0</v>
      </c>
      <c r="AB33" s="51">
        <f t="shared" si="4"/>
        <v>0.99969500428410918</v>
      </c>
    </row>
    <row r="34" spans="1:28" ht="24" customHeight="1">
      <c r="A34" s="32" t="e">
        <f>+CONCATENATE(#REF!,"=",J34)</f>
        <v>#REF!</v>
      </c>
      <c r="B34" s="52" t="str">
        <f>CONCATENATE(C34,"-",D34,"-",E34,"-",F34,"-",G34)</f>
        <v>A-01-01-03-001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3" t="s">
        <v>28</v>
      </c>
      <c r="K34" s="52" t="s">
        <v>29</v>
      </c>
      <c r="L34" s="52" t="s">
        <v>67</v>
      </c>
      <c r="M34" s="54">
        <f>SUM(M35:M37)</f>
        <v>4840000000</v>
      </c>
      <c r="N34" s="743">
        <f t="shared" ref="N34:R34" si="24">SUM(N35:N37)</f>
        <v>0</v>
      </c>
      <c r="O34" s="743">
        <f t="shared" si="24"/>
        <v>0</v>
      </c>
      <c r="P34" s="54">
        <f>SUM(P35:P37)</f>
        <v>0</v>
      </c>
      <c r="Q34" s="54">
        <f t="shared" si="24"/>
        <v>0</v>
      </c>
      <c r="R34" s="743">
        <f t="shared" si="24"/>
        <v>0</v>
      </c>
      <c r="S34" s="54">
        <f>SUM(S35:S37)</f>
        <v>4840000000</v>
      </c>
      <c r="T34" s="54">
        <f t="shared" ref="T34:AA34" si="25">SUM(T35:T37)</f>
        <v>430106599</v>
      </c>
      <c r="U34" s="54">
        <f t="shared" si="25"/>
        <v>4409893401</v>
      </c>
      <c r="V34" s="55">
        <f t="shared" si="13"/>
        <v>8.8864999793388424E-2</v>
      </c>
      <c r="W34" s="54">
        <f t="shared" si="25"/>
        <v>430106599</v>
      </c>
      <c r="X34" s="54">
        <f t="shared" si="25"/>
        <v>0</v>
      </c>
      <c r="Y34" s="55">
        <f t="shared" si="19"/>
        <v>0</v>
      </c>
      <c r="Z34" s="54">
        <f t="shared" si="25"/>
        <v>430106599</v>
      </c>
      <c r="AA34" s="54">
        <f t="shared" si="25"/>
        <v>0</v>
      </c>
      <c r="AB34" s="55">
        <f t="shared" si="4"/>
        <v>1</v>
      </c>
    </row>
    <row r="35" spans="1:28" ht="24.95" customHeight="1">
      <c r="A35" s="32" t="e">
        <f>+CONCATENATE(#REF!,"=",J35)</f>
        <v>#REF!</v>
      </c>
      <c r="B35" s="56" t="str">
        <f t="shared" ref="B35:B37" si="26">CONCATENATE(C35,"-",D35,"-",E35,"-",F35,"-",G35,"-",H35)</f>
        <v>A-01-01-03-001-001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3560000000</v>
      </c>
      <c r="N35" s="60"/>
      <c r="O35" s="60"/>
      <c r="P35" s="61"/>
      <c r="Q35" s="61"/>
      <c r="R35" s="61"/>
      <c r="S35" s="60">
        <f t="shared" ref="S35:S43" si="27">+M35-R35+N35-O35+P35-Q35</f>
        <v>3560000000</v>
      </c>
      <c r="T35" s="60">
        <v>277119031</v>
      </c>
      <c r="U35" s="60">
        <f t="shared" si="9"/>
        <v>3282880969</v>
      </c>
      <c r="V35" s="62">
        <f t="shared" si="13"/>
        <v>7.7842424438202246E-2</v>
      </c>
      <c r="W35" s="60">
        <v>277119031</v>
      </c>
      <c r="X35" s="60">
        <f t="shared" si="12"/>
        <v>0</v>
      </c>
      <c r="Y35" s="62">
        <f t="shared" si="19"/>
        <v>0</v>
      </c>
      <c r="Z35" s="60">
        <v>277119031</v>
      </c>
      <c r="AA35" s="60">
        <f t="shared" si="10"/>
        <v>0</v>
      </c>
      <c r="AB35" s="62">
        <f t="shared" si="4"/>
        <v>1</v>
      </c>
    </row>
    <row r="36" spans="1:28" ht="24.95" customHeight="1">
      <c r="A36" s="32" t="e">
        <f>+CONCATENATE(#REF!,"=",J36)</f>
        <v>#REF!</v>
      </c>
      <c r="B36" s="56" t="str">
        <f t="shared" si="26"/>
        <v>A-01-01-03-001-002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900000000</v>
      </c>
      <c r="N36" s="60"/>
      <c r="O36" s="60"/>
      <c r="P36" s="61"/>
      <c r="Q36" s="61"/>
      <c r="R36" s="61"/>
      <c r="S36" s="60">
        <f t="shared" si="27"/>
        <v>900000000</v>
      </c>
      <c r="T36" s="60">
        <v>119361015</v>
      </c>
      <c r="U36" s="60">
        <f t="shared" si="9"/>
        <v>780638985</v>
      </c>
      <c r="V36" s="62">
        <f t="shared" si="13"/>
        <v>0.13262335</v>
      </c>
      <c r="W36" s="60">
        <v>119361015</v>
      </c>
      <c r="X36" s="60">
        <f t="shared" si="12"/>
        <v>0</v>
      </c>
      <c r="Y36" s="62">
        <f t="shared" si="19"/>
        <v>0</v>
      </c>
      <c r="Z36" s="60">
        <v>119361015</v>
      </c>
      <c r="AA36" s="60">
        <f t="shared" si="10"/>
        <v>0</v>
      </c>
      <c r="AB36" s="62">
        <f t="shared" si="4"/>
        <v>1</v>
      </c>
    </row>
    <row r="37" spans="1:28" ht="24.95" customHeight="1">
      <c r="A37" s="32" t="e">
        <f>+CONCATENATE(#REF!,"=",J37)</f>
        <v>#REF!</v>
      </c>
      <c r="B37" s="56" t="str">
        <f t="shared" si="26"/>
        <v>A-01-01-03-001-003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380000000</v>
      </c>
      <c r="N37" s="60"/>
      <c r="O37" s="60"/>
      <c r="P37" s="61"/>
      <c r="Q37" s="61"/>
      <c r="R37" s="61"/>
      <c r="S37" s="60">
        <f t="shared" si="27"/>
        <v>380000000</v>
      </c>
      <c r="T37" s="60">
        <v>33626553</v>
      </c>
      <c r="U37" s="60">
        <f t="shared" si="9"/>
        <v>346373447</v>
      </c>
      <c r="V37" s="62">
        <f t="shared" si="13"/>
        <v>8.8490928947368416E-2</v>
      </c>
      <c r="W37" s="60">
        <v>33626553</v>
      </c>
      <c r="X37" s="60">
        <f t="shared" si="12"/>
        <v>0</v>
      </c>
      <c r="Y37" s="62">
        <f t="shared" si="19"/>
        <v>0</v>
      </c>
      <c r="Z37" s="60">
        <v>33626553</v>
      </c>
      <c r="AA37" s="60">
        <f t="shared" si="10"/>
        <v>0</v>
      </c>
      <c r="AB37" s="62">
        <f t="shared" si="4"/>
        <v>1</v>
      </c>
    </row>
    <row r="38" spans="1:28" ht="24.95" customHeight="1">
      <c r="A38" s="32" t="e">
        <f>+CONCATENATE(#REF!,"=",J38)</f>
        <v>#REF!</v>
      </c>
      <c r="B38" s="56" t="str">
        <f>CONCATENATE(C38,"-",D38,"-",E38,"-",F38,"-",G38)</f>
        <v>A-01-01-03-002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2600000000</v>
      </c>
      <c r="N38" s="60"/>
      <c r="O38" s="60"/>
      <c r="P38" s="61"/>
      <c r="Q38" s="61"/>
      <c r="R38" s="61"/>
      <c r="S38" s="60">
        <f t="shared" si="27"/>
        <v>2600000000</v>
      </c>
      <c r="T38" s="60">
        <v>242758553</v>
      </c>
      <c r="U38" s="60">
        <f t="shared" si="9"/>
        <v>2357241447</v>
      </c>
      <c r="V38" s="62">
        <f t="shared" si="13"/>
        <v>9.3368674230769236E-2</v>
      </c>
      <c r="W38" s="60">
        <v>242758553</v>
      </c>
      <c r="X38" s="60">
        <f t="shared" si="12"/>
        <v>0</v>
      </c>
      <c r="Y38" s="62">
        <f t="shared" si="19"/>
        <v>0</v>
      </c>
      <c r="Z38" s="60">
        <v>242758553</v>
      </c>
      <c r="AA38" s="60">
        <f t="shared" si="10"/>
        <v>0</v>
      </c>
      <c r="AB38" s="62">
        <f t="shared" si="4"/>
        <v>1</v>
      </c>
    </row>
    <row r="39" spans="1:28" ht="24.95" customHeight="1">
      <c r="A39" s="32" t="e">
        <f>+CONCATENATE(#REF!,"=",J39)</f>
        <v>#REF!</v>
      </c>
      <c r="B39" s="56" t="str">
        <f t="shared" ref="B39:B43" si="28">CONCATENATE(C39,"-",D39,"-",E39,"-",F39,"-",G39)</f>
        <v>A-01-01-03-005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6000000</v>
      </c>
      <c r="N39" s="60"/>
      <c r="O39" s="60"/>
      <c r="P39" s="61"/>
      <c r="Q39" s="61"/>
      <c r="R39" s="61"/>
      <c r="S39" s="60">
        <f t="shared" si="27"/>
        <v>6000000</v>
      </c>
      <c r="T39" s="60">
        <v>1332032</v>
      </c>
      <c r="U39" s="60">
        <f t="shared" si="9"/>
        <v>4667968</v>
      </c>
      <c r="V39" s="62">
        <f t="shared" si="13"/>
        <v>0.22200533333333333</v>
      </c>
      <c r="W39" s="60">
        <v>1332032</v>
      </c>
      <c r="X39" s="60">
        <f t="shared" si="12"/>
        <v>0</v>
      </c>
      <c r="Y39" s="62">
        <f t="shared" si="19"/>
        <v>0</v>
      </c>
      <c r="Z39" s="60">
        <v>1332032</v>
      </c>
      <c r="AA39" s="60">
        <f t="shared" si="10"/>
        <v>0</v>
      </c>
      <c r="AB39" s="62">
        <f t="shared" si="4"/>
        <v>1</v>
      </c>
    </row>
    <row r="40" spans="1:28" ht="24.95" customHeight="1">
      <c r="A40" s="32" t="e">
        <f>+CONCATENATE(#REF!,"=",J40)</f>
        <v>#REF!</v>
      </c>
      <c r="B40" s="56" t="str">
        <f t="shared" si="28"/>
        <v>A-01-01-03-007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13000000</v>
      </c>
      <c r="N40" s="60"/>
      <c r="O40" s="60"/>
      <c r="P40" s="61"/>
      <c r="Q40" s="61"/>
      <c r="R40" s="61"/>
      <c r="S40" s="60">
        <f t="shared" si="27"/>
        <v>13000000</v>
      </c>
      <c r="T40" s="60">
        <v>0</v>
      </c>
      <c r="U40" s="60">
        <f t="shared" si="9"/>
        <v>13000000</v>
      </c>
      <c r="V40" s="62">
        <f t="shared" si="13"/>
        <v>0</v>
      </c>
      <c r="W40" s="60">
        <v>0</v>
      </c>
      <c r="X40" s="60">
        <f t="shared" si="12"/>
        <v>0</v>
      </c>
      <c r="Y40" s="62">
        <f t="shared" si="19"/>
        <v>0</v>
      </c>
      <c r="Z40" s="60">
        <v>0</v>
      </c>
      <c r="AA40" s="60">
        <f t="shared" si="10"/>
        <v>0</v>
      </c>
      <c r="AB40" s="62">
        <f t="shared" si="4"/>
        <v>0</v>
      </c>
    </row>
    <row r="41" spans="1:28" ht="24.95" customHeight="1">
      <c r="A41" s="32" t="e">
        <f>+CONCATENATE(#REF!,"=",J41)</f>
        <v>#REF!</v>
      </c>
      <c r="B41" s="56" t="str">
        <f t="shared" si="28"/>
        <v>A-01-01-03-013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40000000</v>
      </c>
      <c r="N41" s="60"/>
      <c r="O41" s="60"/>
      <c r="P41" s="61"/>
      <c r="Q41" s="61"/>
      <c r="R41" s="61"/>
      <c r="S41" s="60">
        <f t="shared" si="27"/>
        <v>40000000</v>
      </c>
      <c r="T41" s="60">
        <v>0</v>
      </c>
      <c r="U41" s="60">
        <f t="shared" si="9"/>
        <v>40000000</v>
      </c>
      <c r="V41" s="62">
        <f t="shared" si="13"/>
        <v>0</v>
      </c>
      <c r="W41" s="60">
        <v>0</v>
      </c>
      <c r="X41" s="60">
        <f t="shared" si="12"/>
        <v>0</v>
      </c>
      <c r="Y41" s="62">
        <f t="shared" si="19"/>
        <v>0</v>
      </c>
      <c r="Z41" s="60">
        <v>0</v>
      </c>
      <c r="AA41" s="60">
        <f t="shared" si="10"/>
        <v>0</v>
      </c>
      <c r="AB41" s="62">
        <f t="shared" si="4"/>
        <v>0</v>
      </c>
    </row>
    <row r="42" spans="1:28" ht="24.95" customHeight="1">
      <c r="A42" s="32" t="e">
        <f>+CONCATENATE(#REF!,"=",J42)</f>
        <v>#REF!</v>
      </c>
      <c r="B42" s="56" t="str">
        <f t="shared" si="28"/>
        <v>A-01-01-03-016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984000000</v>
      </c>
      <c r="N42" s="60"/>
      <c r="O42" s="60"/>
      <c r="P42" s="61"/>
      <c r="Q42" s="61"/>
      <c r="R42" s="61"/>
      <c r="S42" s="60">
        <f t="shared" si="27"/>
        <v>984000000</v>
      </c>
      <c r="T42" s="60">
        <v>164734911</v>
      </c>
      <c r="U42" s="60">
        <f t="shared" si="9"/>
        <v>819265089</v>
      </c>
      <c r="V42" s="62">
        <f t="shared" si="13"/>
        <v>0.16741352743902438</v>
      </c>
      <c r="W42" s="60">
        <v>164475143</v>
      </c>
      <c r="X42" s="60">
        <f t="shared" si="12"/>
        <v>259768</v>
      </c>
      <c r="Y42" s="62">
        <f t="shared" si="19"/>
        <v>1.5768849384936992E-3</v>
      </c>
      <c r="Z42" s="60">
        <v>164475143</v>
      </c>
      <c r="AA42" s="60">
        <f t="shared" si="10"/>
        <v>0</v>
      </c>
      <c r="AB42" s="62">
        <f t="shared" si="4"/>
        <v>0.99842311506150627</v>
      </c>
    </row>
    <row r="43" spans="1:28" ht="24.95" customHeight="1">
      <c r="A43" s="32" t="e">
        <f>+CONCATENATE(#REF!,"=",J43)</f>
        <v>#REF!</v>
      </c>
      <c r="B43" s="56" t="str">
        <f t="shared" si="28"/>
        <v>A-01-01-03-030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650000000</v>
      </c>
      <c r="N43" s="60"/>
      <c r="O43" s="60"/>
      <c r="P43" s="61"/>
      <c r="Q43" s="61"/>
      <c r="R43" s="61"/>
      <c r="S43" s="60">
        <f t="shared" si="27"/>
        <v>650000000</v>
      </c>
      <c r="T43" s="60">
        <v>12778229</v>
      </c>
      <c r="U43" s="60">
        <f t="shared" si="9"/>
        <v>637221771</v>
      </c>
      <c r="V43" s="62">
        <f t="shared" si="13"/>
        <v>1.9658813846153846E-2</v>
      </c>
      <c r="W43" s="60">
        <v>12778229</v>
      </c>
      <c r="X43" s="60">
        <f t="shared" si="12"/>
        <v>0</v>
      </c>
      <c r="Y43" s="62">
        <f t="shared" si="19"/>
        <v>0</v>
      </c>
      <c r="Z43" s="60">
        <v>12778229</v>
      </c>
      <c r="AA43" s="60">
        <f t="shared" si="10"/>
        <v>0</v>
      </c>
      <c r="AB43" s="62">
        <f t="shared" si="4"/>
        <v>1</v>
      </c>
    </row>
    <row r="44" spans="1:28" ht="24" customHeight="1">
      <c r="A44" s="32" t="e">
        <f>+CONCATENATE(#REF!,"=",J44)</f>
        <v>#REF!</v>
      </c>
      <c r="B44" s="38" t="str">
        <f>CONCATENATE(C44,"-",D44)</f>
        <v>A-02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39"/>
      <c r="K44" s="40"/>
      <c r="L44" s="38" t="s">
        <v>80</v>
      </c>
      <c r="M44" s="41">
        <f t="shared" ref="M44:U44" si="29">+M49+M45</f>
        <v>44658000000</v>
      </c>
      <c r="N44" s="740">
        <f t="shared" si="29"/>
        <v>0</v>
      </c>
      <c r="O44" s="740">
        <f t="shared" si="29"/>
        <v>0</v>
      </c>
      <c r="P44" s="41">
        <f t="shared" si="29"/>
        <v>3170048097</v>
      </c>
      <c r="Q44" s="41">
        <f t="shared" si="29"/>
        <v>3170048097</v>
      </c>
      <c r="R44" s="740">
        <f t="shared" si="29"/>
        <v>0</v>
      </c>
      <c r="S44" s="41">
        <f t="shared" si="29"/>
        <v>44658000000</v>
      </c>
      <c r="T44" s="41">
        <f t="shared" si="29"/>
        <v>23187079485.120003</v>
      </c>
      <c r="U44" s="41">
        <f t="shared" si="29"/>
        <v>21470920514.879997</v>
      </c>
      <c r="V44" s="42">
        <f t="shared" si="13"/>
        <v>0.51921446292086526</v>
      </c>
      <c r="W44" s="41">
        <f>+W49+W45</f>
        <v>3727644399.3799996</v>
      </c>
      <c r="X44" s="41">
        <f>+X49+X45</f>
        <v>19459435085.740002</v>
      </c>
      <c r="Y44" s="42">
        <f t="shared" si="19"/>
        <v>0.83923614003341096</v>
      </c>
      <c r="Z44" s="41">
        <f>+Z49+Z45</f>
        <v>3198625629.3799996</v>
      </c>
      <c r="AA44" s="41">
        <f>+AA49+AA45</f>
        <v>529018770</v>
      </c>
      <c r="AB44" s="42">
        <f t="shared" si="4"/>
        <v>0.13794862054243073</v>
      </c>
    </row>
    <row r="45" spans="1:28" ht="24" customHeight="1">
      <c r="A45" s="32" t="e">
        <f>+CONCATENATE(#REF!,"=",J45)</f>
        <v>#REF!</v>
      </c>
      <c r="B45" s="43" t="str">
        <f>CONCATENATE(C45,"-",D45,"-",E45)</f>
        <v>A-02-01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4"/>
      <c r="K45" s="45"/>
      <c r="L45" s="43" t="s">
        <v>81</v>
      </c>
      <c r="M45" s="759">
        <f>+M46</f>
        <v>100000000</v>
      </c>
      <c r="N45" s="741">
        <f t="shared" ref="N45:AA46" si="30">+N46</f>
        <v>0</v>
      </c>
      <c r="O45" s="741">
        <f t="shared" si="30"/>
        <v>0</v>
      </c>
      <c r="P45" s="46">
        <f t="shared" si="30"/>
        <v>0</v>
      </c>
      <c r="Q45" s="741">
        <f t="shared" si="30"/>
        <v>0</v>
      </c>
      <c r="R45" s="741">
        <f t="shared" si="30"/>
        <v>0</v>
      </c>
      <c r="S45" s="46">
        <f t="shared" si="30"/>
        <v>100000000</v>
      </c>
      <c r="T45" s="46">
        <f t="shared" si="30"/>
        <v>0</v>
      </c>
      <c r="U45" s="46">
        <f t="shared" si="30"/>
        <v>100000000</v>
      </c>
      <c r="V45" s="47">
        <f t="shared" si="13"/>
        <v>0</v>
      </c>
      <c r="W45" s="46">
        <f t="shared" si="30"/>
        <v>0</v>
      </c>
      <c r="X45" s="46">
        <f t="shared" si="30"/>
        <v>0</v>
      </c>
      <c r="Y45" s="47">
        <f t="shared" si="19"/>
        <v>0</v>
      </c>
      <c r="Z45" s="46">
        <f t="shared" si="30"/>
        <v>0</v>
      </c>
      <c r="AA45" s="46">
        <f t="shared" si="30"/>
        <v>0</v>
      </c>
      <c r="AB45" s="47">
        <f t="shared" si="4"/>
        <v>0</v>
      </c>
    </row>
    <row r="46" spans="1:28" ht="24" customHeight="1">
      <c r="A46" s="32" t="e">
        <f>+CONCATENATE(#REF!,"=",J46)</f>
        <v>#REF!</v>
      </c>
      <c r="B46" s="48" t="str">
        <f>CONCATENATE(C46,"-",D46,"-",E46,"-",F46)</f>
        <v>A-02-01-01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9" t="s">
        <v>28</v>
      </c>
      <c r="K46" s="48" t="s">
        <v>29</v>
      </c>
      <c r="L46" s="48" t="s">
        <v>82</v>
      </c>
      <c r="M46" s="760">
        <f>+M47</f>
        <v>100000000</v>
      </c>
      <c r="N46" s="742">
        <f t="shared" si="30"/>
        <v>0</v>
      </c>
      <c r="O46" s="742">
        <f t="shared" si="30"/>
        <v>0</v>
      </c>
      <c r="P46" s="50">
        <f t="shared" si="30"/>
        <v>0</v>
      </c>
      <c r="Q46" s="742">
        <f t="shared" si="30"/>
        <v>0</v>
      </c>
      <c r="R46" s="742">
        <f t="shared" si="30"/>
        <v>0</v>
      </c>
      <c r="S46" s="50">
        <f t="shared" si="30"/>
        <v>100000000</v>
      </c>
      <c r="T46" s="50">
        <f t="shared" si="30"/>
        <v>0</v>
      </c>
      <c r="U46" s="50">
        <f t="shared" si="30"/>
        <v>100000000</v>
      </c>
      <c r="V46" s="51">
        <f t="shared" si="13"/>
        <v>0</v>
      </c>
      <c r="W46" s="50">
        <f t="shared" si="30"/>
        <v>0</v>
      </c>
      <c r="X46" s="50">
        <f t="shared" si="30"/>
        <v>0</v>
      </c>
      <c r="Y46" s="51">
        <f t="shared" si="19"/>
        <v>0</v>
      </c>
      <c r="Z46" s="50">
        <f t="shared" si="30"/>
        <v>0</v>
      </c>
      <c r="AA46" s="50">
        <f t="shared" si="30"/>
        <v>0</v>
      </c>
      <c r="AB46" s="51">
        <f t="shared" si="4"/>
        <v>0</v>
      </c>
    </row>
    <row r="47" spans="1:28" ht="24" customHeight="1">
      <c r="A47" s="32" t="e">
        <f>+CONCATENATE(#REF!,"=",J47)</f>
        <v>#REF!</v>
      </c>
      <c r="B47" s="52" t="str">
        <f>CONCATENATE(C47,"-",D47,"-",E47,"-",F47,"-",G47)</f>
        <v>A-02-01-01-004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3" t="s">
        <v>28</v>
      </c>
      <c r="K47" s="52" t="s">
        <v>29</v>
      </c>
      <c r="L47" s="52" t="s">
        <v>83</v>
      </c>
      <c r="M47" s="760">
        <f t="shared" ref="M47:U47" si="31">SUM(M48:M48)</f>
        <v>100000000</v>
      </c>
      <c r="N47" s="742">
        <f t="shared" si="31"/>
        <v>0</v>
      </c>
      <c r="O47" s="742">
        <f t="shared" si="31"/>
        <v>0</v>
      </c>
      <c r="P47" s="54">
        <f t="shared" si="31"/>
        <v>0</v>
      </c>
      <c r="Q47" s="54">
        <f t="shared" si="31"/>
        <v>0</v>
      </c>
      <c r="R47" s="54">
        <f t="shared" si="31"/>
        <v>0</v>
      </c>
      <c r="S47" s="54">
        <f t="shared" si="31"/>
        <v>100000000</v>
      </c>
      <c r="T47" s="54">
        <f t="shared" si="31"/>
        <v>0</v>
      </c>
      <c r="U47" s="54">
        <f t="shared" si="31"/>
        <v>100000000</v>
      </c>
      <c r="V47" s="55">
        <f t="shared" si="13"/>
        <v>0</v>
      </c>
      <c r="W47" s="54">
        <f>SUM(W48:W48)</f>
        <v>0</v>
      </c>
      <c r="X47" s="54">
        <f>SUM(X48:X48)</f>
        <v>0</v>
      </c>
      <c r="Y47" s="55">
        <f t="shared" si="19"/>
        <v>0</v>
      </c>
      <c r="Z47" s="54">
        <f>SUM(Z48:Z48)</f>
        <v>0</v>
      </c>
      <c r="AA47" s="54">
        <f>SUM(AA48:AA48)</f>
        <v>0</v>
      </c>
      <c r="AB47" s="55">
        <f t="shared" si="4"/>
        <v>0</v>
      </c>
    </row>
    <row r="48" spans="1:28" ht="24.95" customHeight="1">
      <c r="A48" s="32" t="e">
        <f>+CONCATENATE(#REF!,"=",J48)</f>
        <v>#REF!</v>
      </c>
      <c r="B48" s="56" t="str">
        <f t="shared" ref="B48" si="32">CONCATENATE(C48,"-",D48,"-",E48,"-",F48,"-",G48,"-",H48)</f>
        <v>A-02-01-01-004-007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63" t="s">
        <v>44</v>
      </c>
      <c r="I48" s="57"/>
      <c r="J48" s="57">
        <v>10</v>
      </c>
      <c r="K48" s="58" t="s">
        <v>29</v>
      </c>
      <c r="L48" s="59" t="s">
        <v>85</v>
      </c>
      <c r="M48" s="60">
        <v>100000000</v>
      </c>
      <c r="N48" s="60"/>
      <c r="O48" s="60"/>
      <c r="P48" s="61"/>
      <c r="Q48" s="60"/>
      <c r="R48" s="61"/>
      <c r="S48" s="60">
        <f>+M48-R48+N48-O48+P48-Q48</f>
        <v>100000000</v>
      </c>
      <c r="T48" s="60">
        <v>0</v>
      </c>
      <c r="U48" s="60">
        <f t="shared" ref="U48" si="33">+S48-T48</f>
        <v>100000000</v>
      </c>
      <c r="V48" s="62">
        <f t="shared" si="13"/>
        <v>0</v>
      </c>
      <c r="W48" s="60">
        <v>0</v>
      </c>
      <c r="X48" s="60">
        <f t="shared" ref="X48" si="34">+T48-W48</f>
        <v>0</v>
      </c>
      <c r="Y48" s="62">
        <f t="shared" si="19"/>
        <v>0</v>
      </c>
      <c r="Z48" s="60">
        <v>0</v>
      </c>
      <c r="AA48" s="60">
        <f t="shared" ref="AA48" si="35">+W48-Z48</f>
        <v>0</v>
      </c>
      <c r="AB48" s="62">
        <f t="shared" si="4"/>
        <v>0</v>
      </c>
    </row>
    <row r="49" spans="1:28" ht="24" customHeight="1">
      <c r="A49" s="32" t="e">
        <f>+CONCATENATE(#REF!,"=",J49)</f>
        <v>#REF!</v>
      </c>
      <c r="B49" s="43" t="str">
        <f>CONCATENATE(C49,"-",D49,"-",E49)</f>
        <v>A-02-02</v>
      </c>
      <c r="C49" s="44" t="s">
        <v>23</v>
      </c>
      <c r="D49" s="44" t="s">
        <v>54</v>
      </c>
      <c r="E49" s="44" t="s">
        <v>54</v>
      </c>
      <c r="F49" s="44"/>
      <c r="G49" s="44"/>
      <c r="H49" s="44"/>
      <c r="I49" s="44"/>
      <c r="J49" s="44"/>
      <c r="K49" s="45"/>
      <c r="L49" s="43" t="s">
        <v>86</v>
      </c>
      <c r="M49" s="46">
        <f t="shared" ref="M49:U49" si="36">+M50+M67</f>
        <v>44558000000</v>
      </c>
      <c r="N49" s="741">
        <f t="shared" si="36"/>
        <v>0</v>
      </c>
      <c r="O49" s="741">
        <f t="shared" si="36"/>
        <v>0</v>
      </c>
      <c r="P49" s="46">
        <f t="shared" si="36"/>
        <v>3170048097</v>
      </c>
      <c r="Q49" s="46">
        <f t="shared" si="36"/>
        <v>3170048097</v>
      </c>
      <c r="R49" s="46">
        <f t="shared" si="36"/>
        <v>0</v>
      </c>
      <c r="S49" s="46">
        <f t="shared" si="36"/>
        <v>44558000000</v>
      </c>
      <c r="T49" s="46">
        <f t="shared" si="36"/>
        <v>23187079485.120003</v>
      </c>
      <c r="U49" s="46">
        <f t="shared" si="36"/>
        <v>21370920514.879997</v>
      </c>
      <c r="V49" s="47">
        <f t="shared" si="13"/>
        <v>0.52037971823510931</v>
      </c>
      <c r="W49" s="46">
        <f>+W50+W67</f>
        <v>3727644399.3799996</v>
      </c>
      <c r="X49" s="46">
        <f>+X50+X67</f>
        <v>19459435085.740002</v>
      </c>
      <c r="Y49" s="47">
        <f t="shared" si="19"/>
        <v>0.83923614003341096</v>
      </c>
      <c r="Z49" s="46">
        <f>+Z50+Z67</f>
        <v>3198625629.3799996</v>
      </c>
      <c r="AA49" s="46">
        <f>+AA50+AA67</f>
        <v>529018770</v>
      </c>
      <c r="AB49" s="47">
        <f t="shared" si="4"/>
        <v>0.13794862054243073</v>
      </c>
    </row>
    <row r="50" spans="1:28" ht="24" customHeight="1">
      <c r="A50" s="32" t="e">
        <f>+CONCATENATE(#REF!,"=",J50)</f>
        <v>#REF!</v>
      </c>
      <c r="B50" s="48" t="str">
        <f>CONCATENATE(C50,"-",D50,"-",E50,"-",F50)</f>
        <v>A-02-02-01</v>
      </c>
      <c r="C50" s="48" t="s">
        <v>23</v>
      </c>
      <c r="D50" s="48" t="s">
        <v>54</v>
      </c>
      <c r="E50" s="48" t="s">
        <v>54</v>
      </c>
      <c r="F50" s="48" t="s">
        <v>25</v>
      </c>
      <c r="G50" s="48"/>
      <c r="H50" s="48"/>
      <c r="I50" s="48"/>
      <c r="J50" s="49" t="s">
        <v>28</v>
      </c>
      <c r="K50" s="48" t="s">
        <v>29</v>
      </c>
      <c r="L50" s="48" t="s">
        <v>87</v>
      </c>
      <c r="M50" s="50">
        <f t="shared" ref="M50:U50" si="37">+M51+M54+M56+M62</f>
        <v>1434662489</v>
      </c>
      <c r="N50" s="742">
        <f t="shared" si="37"/>
        <v>0</v>
      </c>
      <c r="O50" s="742">
        <f t="shared" si="37"/>
        <v>0</v>
      </c>
      <c r="P50" s="50">
        <f t="shared" si="37"/>
        <v>0</v>
      </c>
      <c r="Q50" s="50">
        <f t="shared" si="37"/>
        <v>0</v>
      </c>
      <c r="R50" s="742">
        <f t="shared" si="37"/>
        <v>0</v>
      </c>
      <c r="S50" s="50">
        <f t="shared" si="37"/>
        <v>1434662489</v>
      </c>
      <c r="T50" s="50">
        <f t="shared" si="37"/>
        <v>23635779</v>
      </c>
      <c r="U50" s="50">
        <f t="shared" si="37"/>
        <v>1411026710</v>
      </c>
      <c r="V50" s="51">
        <f t="shared" si="13"/>
        <v>1.64748009941173E-2</v>
      </c>
      <c r="W50" s="50">
        <f>+W51+W54+W56+W62</f>
        <v>5949519.9100000001</v>
      </c>
      <c r="X50" s="50">
        <f>+X51+X54+X56+X62</f>
        <v>17686259.09</v>
      </c>
      <c r="Y50" s="51">
        <f t="shared" si="19"/>
        <v>0.74828331615386989</v>
      </c>
      <c r="Z50" s="50">
        <f>+Z51+Z54+Z56+Z62</f>
        <v>5949519.9100000001</v>
      </c>
      <c r="AA50" s="50">
        <f>+AA51+AA54+AA56+AA62</f>
        <v>0</v>
      </c>
      <c r="AB50" s="51">
        <f t="shared" si="4"/>
        <v>0.25171668384613005</v>
      </c>
    </row>
    <row r="51" spans="1:28" ht="24" customHeight="1">
      <c r="A51" s="32" t="e">
        <f>+CONCATENATE(#REF!,"=",J51)</f>
        <v>#REF!</v>
      </c>
      <c r="B51" s="52" t="str">
        <f>CONCATENATE(C51,"-",D51,"-",E51,"-",F51,"-",G51)</f>
        <v>A-02-02-01-001</v>
      </c>
      <c r="C51" s="52" t="s">
        <v>23</v>
      </c>
      <c r="D51" s="52" t="s">
        <v>54</v>
      </c>
      <c r="E51" s="52" t="s">
        <v>54</v>
      </c>
      <c r="F51" s="52" t="s">
        <v>25</v>
      </c>
      <c r="G51" s="52" t="s">
        <v>31</v>
      </c>
      <c r="H51" s="52"/>
      <c r="I51" s="52"/>
      <c r="J51" s="53" t="s">
        <v>28</v>
      </c>
      <c r="K51" s="52" t="s">
        <v>29</v>
      </c>
      <c r="L51" s="52" t="s">
        <v>88</v>
      </c>
      <c r="M51" s="54">
        <f>SUM(M52:M53)</f>
        <v>19000000</v>
      </c>
      <c r="N51" s="743">
        <f t="shared" ref="N51:U51" si="38">SUM(N52:N53)</f>
        <v>0</v>
      </c>
      <c r="O51" s="743">
        <f t="shared" si="38"/>
        <v>0</v>
      </c>
      <c r="P51" s="54">
        <f t="shared" si="38"/>
        <v>0</v>
      </c>
      <c r="Q51" s="743">
        <f t="shared" si="38"/>
        <v>0</v>
      </c>
      <c r="R51" s="743">
        <f t="shared" si="38"/>
        <v>0</v>
      </c>
      <c r="S51" s="54">
        <f t="shared" si="38"/>
        <v>19000000</v>
      </c>
      <c r="T51" s="54">
        <f t="shared" si="38"/>
        <v>0</v>
      </c>
      <c r="U51" s="54">
        <f t="shared" si="38"/>
        <v>19000000</v>
      </c>
      <c r="V51" s="55">
        <f t="shared" si="13"/>
        <v>0</v>
      </c>
      <c r="W51" s="54">
        <f t="shared" ref="W51:X51" si="39">SUM(W52:W53)</f>
        <v>0</v>
      </c>
      <c r="X51" s="54">
        <f t="shared" si="39"/>
        <v>0</v>
      </c>
      <c r="Y51" s="55">
        <f t="shared" si="19"/>
        <v>0</v>
      </c>
      <c r="Z51" s="54">
        <f t="shared" ref="Z51:AA51" si="40">SUM(Z52:Z53)</f>
        <v>0</v>
      </c>
      <c r="AA51" s="54">
        <f t="shared" si="40"/>
        <v>0</v>
      </c>
      <c r="AB51" s="55">
        <f t="shared" si="4"/>
        <v>0</v>
      </c>
    </row>
    <row r="52" spans="1:28" ht="24.95" customHeight="1">
      <c r="A52" s="32" t="e">
        <f>+CONCATENATE(#REF!,"=",J52)</f>
        <v>#REF!</v>
      </c>
      <c r="B52" s="56" t="str">
        <f t="shared" ref="B52:B66" si="41">CONCATENATE(C52,"-",D52,"-",E52,"-",F52,"-",G52,"-",H52)</f>
        <v>A-02-02-01-001-005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40</v>
      </c>
      <c r="I52" s="57"/>
      <c r="J52" s="57">
        <v>10</v>
      </c>
      <c r="K52" s="58" t="s">
        <v>29</v>
      </c>
      <c r="L52" s="59" t="s">
        <v>89</v>
      </c>
      <c r="M52" s="60">
        <v>6000000</v>
      </c>
      <c r="N52" s="60"/>
      <c r="O52" s="60"/>
      <c r="P52" s="60"/>
      <c r="Q52" s="60"/>
      <c r="R52" s="61"/>
      <c r="S52" s="60">
        <f>+M52-R52+N52-O52+P52-Q52</f>
        <v>6000000</v>
      </c>
      <c r="T52" s="60">
        <v>0</v>
      </c>
      <c r="U52" s="60">
        <f t="shared" si="9"/>
        <v>6000000</v>
      </c>
      <c r="V52" s="62">
        <f t="shared" si="13"/>
        <v>0</v>
      </c>
      <c r="W52" s="60">
        <v>0</v>
      </c>
      <c r="X52" s="60">
        <f t="shared" ref="X52:X53" si="42">+T52-W52</f>
        <v>0</v>
      </c>
      <c r="Y52" s="62">
        <f t="shared" si="19"/>
        <v>0</v>
      </c>
      <c r="Z52" s="60">
        <v>0</v>
      </c>
      <c r="AA52" s="60">
        <f t="shared" si="10"/>
        <v>0</v>
      </c>
      <c r="AB52" s="62">
        <f t="shared" si="4"/>
        <v>0</v>
      </c>
    </row>
    <row r="53" spans="1:28" ht="24.95" customHeight="1">
      <c r="A53" s="32" t="e">
        <f>+CONCATENATE(#REF!,"=",J53)</f>
        <v>#REF!</v>
      </c>
      <c r="B53" s="56" t="str">
        <f t="shared" si="41"/>
        <v>A-02-02-01-001-007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44</v>
      </c>
      <c r="I53" s="57"/>
      <c r="J53" s="57">
        <v>10</v>
      </c>
      <c r="K53" s="58" t="s">
        <v>29</v>
      </c>
      <c r="L53" s="59" t="s">
        <v>90</v>
      </c>
      <c r="M53" s="60">
        <v>13000000</v>
      </c>
      <c r="N53" s="60"/>
      <c r="O53" s="60"/>
      <c r="P53" s="60"/>
      <c r="Q53" s="60"/>
      <c r="R53" s="61"/>
      <c r="S53" s="60">
        <f>+M53-R53+N53-O53+P53-Q53</f>
        <v>13000000</v>
      </c>
      <c r="T53" s="60">
        <v>0</v>
      </c>
      <c r="U53" s="60">
        <f t="shared" si="9"/>
        <v>13000000</v>
      </c>
      <c r="V53" s="62">
        <f t="shared" si="13"/>
        <v>0</v>
      </c>
      <c r="W53" s="60">
        <v>0</v>
      </c>
      <c r="X53" s="60">
        <f t="shared" si="42"/>
        <v>0</v>
      </c>
      <c r="Y53" s="62">
        <f t="shared" si="19"/>
        <v>0</v>
      </c>
      <c r="Z53" s="60">
        <v>0</v>
      </c>
      <c r="AA53" s="60">
        <f t="shared" si="10"/>
        <v>0</v>
      </c>
      <c r="AB53" s="62">
        <f t="shared" si="4"/>
        <v>0</v>
      </c>
    </row>
    <row r="54" spans="1:28" ht="24" customHeight="1">
      <c r="A54" s="32" t="e">
        <f>+CONCATENATE(#REF!,"=",J54)</f>
        <v>#REF!</v>
      </c>
      <c r="B54" s="52" t="str">
        <f>CONCATENATE(C54,"-",D54,"-",E54,"-",F54,"-",G54)</f>
        <v>A-02-02-01-002</v>
      </c>
      <c r="C54" s="52" t="s">
        <v>23</v>
      </c>
      <c r="D54" s="52" t="s">
        <v>54</v>
      </c>
      <c r="E54" s="52" t="s">
        <v>54</v>
      </c>
      <c r="F54" s="52" t="s">
        <v>25</v>
      </c>
      <c r="G54" s="52" t="s">
        <v>34</v>
      </c>
      <c r="H54" s="52"/>
      <c r="I54" s="52"/>
      <c r="J54" s="53" t="s">
        <v>28</v>
      </c>
      <c r="K54" s="52" t="s">
        <v>29</v>
      </c>
      <c r="L54" s="52" t="s">
        <v>91</v>
      </c>
      <c r="M54" s="54">
        <f>SUM(M55:M55)</f>
        <v>130000000</v>
      </c>
      <c r="N54" s="743">
        <f t="shared" ref="N54:AA54" si="43">SUM(N55:N55)</f>
        <v>0</v>
      </c>
      <c r="O54" s="743">
        <f t="shared" si="43"/>
        <v>0</v>
      </c>
      <c r="P54" s="743">
        <f t="shared" si="43"/>
        <v>0</v>
      </c>
      <c r="Q54" s="743">
        <f t="shared" si="43"/>
        <v>0</v>
      </c>
      <c r="R54" s="743">
        <f t="shared" si="43"/>
        <v>0</v>
      </c>
      <c r="S54" s="54">
        <f t="shared" si="43"/>
        <v>130000000</v>
      </c>
      <c r="T54" s="54">
        <f t="shared" si="43"/>
        <v>0</v>
      </c>
      <c r="U54" s="54">
        <f t="shared" si="43"/>
        <v>130000000</v>
      </c>
      <c r="V54" s="55">
        <f t="shared" si="13"/>
        <v>0</v>
      </c>
      <c r="W54" s="54">
        <f t="shared" si="43"/>
        <v>0</v>
      </c>
      <c r="X54" s="54">
        <f t="shared" si="43"/>
        <v>0</v>
      </c>
      <c r="Y54" s="55">
        <f t="shared" si="19"/>
        <v>0</v>
      </c>
      <c r="Z54" s="54">
        <f t="shared" si="43"/>
        <v>0</v>
      </c>
      <c r="AA54" s="54">
        <f t="shared" si="43"/>
        <v>0</v>
      </c>
      <c r="AB54" s="55">
        <f t="shared" si="4"/>
        <v>0</v>
      </c>
    </row>
    <row r="55" spans="1:28" ht="24.95" customHeight="1">
      <c r="A55" s="32" t="e">
        <f>+CONCATENATE(#REF!,"=",J55)</f>
        <v>#REF!</v>
      </c>
      <c r="B55" s="56" t="str">
        <f t="shared" si="41"/>
        <v>A-02-02-01-002-008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57" t="s">
        <v>46</v>
      </c>
      <c r="I55" s="57"/>
      <c r="J55" s="57">
        <v>10</v>
      </c>
      <c r="K55" s="58" t="s">
        <v>29</v>
      </c>
      <c r="L55" s="59" t="s">
        <v>92</v>
      </c>
      <c r="M55" s="60">
        <v>130000000</v>
      </c>
      <c r="N55" s="60"/>
      <c r="O55" s="60"/>
      <c r="P55" s="60"/>
      <c r="Q55" s="60"/>
      <c r="R55" s="61"/>
      <c r="S55" s="60">
        <f>+M55-R55+N55-O55+P55-Q55</f>
        <v>130000000</v>
      </c>
      <c r="T55" s="60">
        <v>0</v>
      </c>
      <c r="U55" s="60">
        <f t="shared" si="9"/>
        <v>130000000</v>
      </c>
      <c r="V55" s="62">
        <f t="shared" si="13"/>
        <v>0</v>
      </c>
      <c r="W55" s="60">
        <v>0</v>
      </c>
      <c r="X55" s="60">
        <f t="shared" si="12"/>
        <v>0</v>
      </c>
      <c r="Y55" s="62">
        <f t="shared" si="19"/>
        <v>0</v>
      </c>
      <c r="Z55" s="60">
        <v>0</v>
      </c>
      <c r="AA55" s="60">
        <f t="shared" si="10"/>
        <v>0</v>
      </c>
      <c r="AB55" s="62">
        <f t="shared" si="4"/>
        <v>0</v>
      </c>
    </row>
    <row r="56" spans="1:28" ht="24" customHeight="1">
      <c r="A56" s="32" t="e">
        <f>+CONCATENATE(#REF!,"=",J56)</f>
        <v>#REF!</v>
      </c>
      <c r="B56" s="52" t="str">
        <f>CONCATENATE(C56,"-",D56,"-",E56,"-",F56,"-",G56)</f>
        <v>A-02-02-01-003</v>
      </c>
      <c r="C56" s="52" t="s">
        <v>23</v>
      </c>
      <c r="D56" s="52" t="s">
        <v>54</v>
      </c>
      <c r="E56" s="52" t="s">
        <v>54</v>
      </c>
      <c r="F56" s="52" t="s">
        <v>25</v>
      </c>
      <c r="G56" s="52" t="s">
        <v>36</v>
      </c>
      <c r="H56" s="52"/>
      <c r="I56" s="52"/>
      <c r="J56" s="53" t="s">
        <v>28</v>
      </c>
      <c r="K56" s="52" t="s">
        <v>29</v>
      </c>
      <c r="L56" s="52" t="s">
        <v>93</v>
      </c>
      <c r="M56" s="54">
        <f t="shared" ref="M56:U56" si="44">SUM(M57:M61)</f>
        <v>360662489</v>
      </c>
      <c r="N56" s="743">
        <f t="shared" si="44"/>
        <v>0</v>
      </c>
      <c r="O56" s="743">
        <f t="shared" si="44"/>
        <v>0</v>
      </c>
      <c r="P56" s="54">
        <f t="shared" si="44"/>
        <v>0</v>
      </c>
      <c r="Q56" s="54">
        <f t="shared" si="44"/>
        <v>0</v>
      </c>
      <c r="R56" s="743">
        <f t="shared" si="44"/>
        <v>0</v>
      </c>
      <c r="S56" s="54">
        <f t="shared" si="44"/>
        <v>360662489</v>
      </c>
      <c r="T56" s="54">
        <f t="shared" si="44"/>
        <v>23635779</v>
      </c>
      <c r="U56" s="54">
        <f t="shared" si="44"/>
        <v>337026710</v>
      </c>
      <c r="V56" s="55">
        <f t="shared" si="13"/>
        <v>6.553434227533432E-2</v>
      </c>
      <c r="W56" s="54">
        <f>SUM(W57:W61)</f>
        <v>5949519.9100000001</v>
      </c>
      <c r="X56" s="54">
        <f>SUM(X57:X61)</f>
        <v>17686259.09</v>
      </c>
      <c r="Y56" s="55">
        <f t="shared" si="19"/>
        <v>0.74828331615386989</v>
      </c>
      <c r="Z56" s="54">
        <f>SUM(Z57:Z61)</f>
        <v>5949519.9100000001</v>
      </c>
      <c r="AA56" s="54">
        <f>SUM(AA57:AA61)</f>
        <v>0</v>
      </c>
      <c r="AB56" s="55">
        <f t="shared" si="4"/>
        <v>0.25171668384613005</v>
      </c>
    </row>
    <row r="57" spans="1:28" ht="24.95" customHeight="1">
      <c r="A57" s="32" t="e">
        <f>+CONCATENATE(#REF!,"=",J57)</f>
        <v>#REF!</v>
      </c>
      <c r="B57" s="56" t="str">
        <f t="shared" si="41"/>
        <v>A-02-02-01-003-002</v>
      </c>
      <c r="C57" s="57" t="s">
        <v>23</v>
      </c>
      <c r="D57" s="57" t="s">
        <v>54</v>
      </c>
      <c r="E57" s="57" t="s">
        <v>54</v>
      </c>
      <c r="F57" s="57" t="s">
        <v>25</v>
      </c>
      <c r="G57" s="57" t="s">
        <v>36</v>
      </c>
      <c r="H57" s="57" t="s">
        <v>34</v>
      </c>
      <c r="I57" s="57"/>
      <c r="J57" s="57">
        <v>10</v>
      </c>
      <c r="K57" s="58" t="s">
        <v>29</v>
      </c>
      <c r="L57" s="59" t="s">
        <v>94</v>
      </c>
      <c r="M57" s="60">
        <v>154100000</v>
      </c>
      <c r="N57" s="60"/>
      <c r="O57" s="60"/>
      <c r="P57" s="60"/>
      <c r="Q57" s="60"/>
      <c r="R57" s="61"/>
      <c r="S57" s="60">
        <f t="shared" ref="S57:S61" si="45">+M57-R57+N57-O57+P57-Q57</f>
        <v>154100000</v>
      </c>
      <c r="T57" s="60">
        <v>300000</v>
      </c>
      <c r="U57" s="60">
        <f t="shared" si="9"/>
        <v>153800000</v>
      </c>
      <c r="V57" s="62">
        <f t="shared" si="13"/>
        <v>1.9467878001297859E-3</v>
      </c>
      <c r="W57" s="60">
        <v>0</v>
      </c>
      <c r="X57" s="60">
        <f t="shared" si="12"/>
        <v>300000</v>
      </c>
      <c r="Y57" s="62">
        <f t="shared" si="19"/>
        <v>1</v>
      </c>
      <c r="Z57" s="60">
        <v>0</v>
      </c>
      <c r="AA57" s="60">
        <f t="shared" ref="AA57:AA61" si="46">+W57-Z57</f>
        <v>0</v>
      </c>
      <c r="AB57" s="62">
        <f t="shared" si="4"/>
        <v>0</v>
      </c>
    </row>
    <row r="58" spans="1:28" ht="24.95" customHeight="1">
      <c r="A58" s="32" t="e">
        <f>+CONCATENATE(#REF!,"=",J58)</f>
        <v>#REF!</v>
      </c>
      <c r="B58" s="56" t="str">
        <f t="shared" si="41"/>
        <v>A-02-02-01-003-003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36</v>
      </c>
      <c r="I58" s="57"/>
      <c r="J58" s="57">
        <v>10</v>
      </c>
      <c r="K58" s="58" t="s">
        <v>29</v>
      </c>
      <c r="L58" s="59" t="s">
        <v>95</v>
      </c>
      <c r="M58" s="60">
        <v>89562489</v>
      </c>
      <c r="N58" s="60"/>
      <c r="O58" s="60"/>
      <c r="P58" s="60"/>
      <c r="Q58" s="60"/>
      <c r="R58" s="61"/>
      <c r="S58" s="60">
        <f t="shared" si="45"/>
        <v>89562489</v>
      </c>
      <c r="T58" s="60">
        <v>23335779</v>
      </c>
      <c r="U58" s="60">
        <f t="shared" si="9"/>
        <v>66226710</v>
      </c>
      <c r="V58" s="62">
        <f t="shared" si="13"/>
        <v>0.26055304246848254</v>
      </c>
      <c r="W58" s="60">
        <v>5949519.9100000001</v>
      </c>
      <c r="X58" s="60">
        <f t="shared" si="12"/>
        <v>17386259.09</v>
      </c>
      <c r="Y58" s="62">
        <f t="shared" si="19"/>
        <v>0.74504729797106839</v>
      </c>
      <c r="Z58" s="60">
        <v>5949519.9100000001</v>
      </c>
      <c r="AA58" s="60">
        <f t="shared" si="46"/>
        <v>0</v>
      </c>
      <c r="AB58" s="62">
        <f t="shared" si="4"/>
        <v>0.25495270202893161</v>
      </c>
    </row>
    <row r="59" spans="1:28" ht="24.95" customHeight="1">
      <c r="A59" s="32" t="e">
        <f>+CONCATENATE(#REF!,"=",J59)</f>
        <v>#REF!</v>
      </c>
      <c r="B59" s="56" t="str">
        <f t="shared" si="41"/>
        <v>A-02-02-01-003-005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40</v>
      </c>
      <c r="I59" s="57"/>
      <c r="J59" s="57">
        <v>10</v>
      </c>
      <c r="K59" s="58" t="s">
        <v>29</v>
      </c>
      <c r="L59" s="59" t="s">
        <v>96</v>
      </c>
      <c r="M59" s="60">
        <v>14000000</v>
      </c>
      <c r="N59" s="60"/>
      <c r="O59" s="60"/>
      <c r="P59" s="60"/>
      <c r="Q59" s="60"/>
      <c r="R59" s="61"/>
      <c r="S59" s="60">
        <f t="shared" si="45"/>
        <v>14000000</v>
      </c>
      <c r="T59" s="60">
        <v>0</v>
      </c>
      <c r="U59" s="60">
        <f t="shared" si="9"/>
        <v>14000000</v>
      </c>
      <c r="V59" s="62">
        <f t="shared" si="13"/>
        <v>0</v>
      </c>
      <c r="W59" s="60">
        <v>0</v>
      </c>
      <c r="X59" s="60">
        <f t="shared" si="12"/>
        <v>0</v>
      </c>
      <c r="Y59" s="62">
        <f t="shared" si="19"/>
        <v>0</v>
      </c>
      <c r="Z59" s="60">
        <v>0</v>
      </c>
      <c r="AA59" s="60">
        <f t="shared" si="46"/>
        <v>0</v>
      </c>
      <c r="AB59" s="62">
        <f t="shared" si="4"/>
        <v>0</v>
      </c>
    </row>
    <row r="60" spans="1:28" ht="24.95" customHeight="1">
      <c r="A60" s="32" t="e">
        <f>+CONCATENATE(#REF!,"=",J60)</f>
        <v>#REF!</v>
      </c>
      <c r="B60" s="56" t="str">
        <f t="shared" si="41"/>
        <v>A-02-02-01-003-006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42</v>
      </c>
      <c r="I60" s="57"/>
      <c r="J60" s="57">
        <v>10</v>
      </c>
      <c r="K60" s="58" t="s">
        <v>29</v>
      </c>
      <c r="L60" s="59" t="s">
        <v>97</v>
      </c>
      <c r="M60" s="60">
        <v>20000000</v>
      </c>
      <c r="N60" s="60"/>
      <c r="O60" s="60"/>
      <c r="P60" s="60"/>
      <c r="Q60" s="60"/>
      <c r="R60" s="61"/>
      <c r="S60" s="60">
        <f t="shared" si="45"/>
        <v>20000000</v>
      </c>
      <c r="T60" s="60">
        <v>0</v>
      </c>
      <c r="U60" s="60">
        <f t="shared" si="9"/>
        <v>20000000</v>
      </c>
      <c r="V60" s="62">
        <f t="shared" si="13"/>
        <v>0</v>
      </c>
      <c r="W60" s="60">
        <v>0</v>
      </c>
      <c r="X60" s="60">
        <f t="shared" si="12"/>
        <v>0</v>
      </c>
      <c r="Y60" s="62">
        <f t="shared" si="19"/>
        <v>0</v>
      </c>
      <c r="Z60" s="60">
        <v>0</v>
      </c>
      <c r="AA60" s="60">
        <f t="shared" si="46"/>
        <v>0</v>
      </c>
      <c r="AB60" s="62">
        <f t="shared" si="4"/>
        <v>0</v>
      </c>
    </row>
    <row r="61" spans="1:28" ht="24.95" customHeight="1">
      <c r="A61" s="32" t="e">
        <f>+CONCATENATE(#REF!,"=",J61)</f>
        <v>#REF!</v>
      </c>
      <c r="B61" s="56" t="str">
        <f t="shared" si="41"/>
        <v>A-02-02-01-003-008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46</v>
      </c>
      <c r="I61" s="57"/>
      <c r="J61" s="57">
        <v>10</v>
      </c>
      <c r="K61" s="58" t="s">
        <v>29</v>
      </c>
      <c r="L61" s="59" t="s">
        <v>99</v>
      </c>
      <c r="M61" s="60">
        <v>83000000</v>
      </c>
      <c r="N61" s="60"/>
      <c r="O61" s="60"/>
      <c r="P61" s="60"/>
      <c r="Q61" s="60"/>
      <c r="R61" s="61"/>
      <c r="S61" s="60">
        <f t="shared" si="45"/>
        <v>83000000</v>
      </c>
      <c r="T61" s="60">
        <v>0</v>
      </c>
      <c r="U61" s="60">
        <f t="shared" si="9"/>
        <v>83000000</v>
      </c>
      <c r="V61" s="62">
        <f t="shared" si="13"/>
        <v>0</v>
      </c>
      <c r="W61" s="60">
        <v>0</v>
      </c>
      <c r="X61" s="60">
        <f t="shared" si="12"/>
        <v>0</v>
      </c>
      <c r="Y61" s="62">
        <f t="shared" si="19"/>
        <v>0</v>
      </c>
      <c r="Z61" s="60">
        <v>0</v>
      </c>
      <c r="AA61" s="60">
        <f t="shared" si="46"/>
        <v>0</v>
      </c>
      <c r="AB61" s="62">
        <f t="shared" si="4"/>
        <v>0</v>
      </c>
    </row>
    <row r="62" spans="1:28" ht="24" customHeight="1">
      <c r="A62" s="32" t="e">
        <f>+CONCATENATE(#REF!,"=",J62)</f>
        <v>#REF!</v>
      </c>
      <c r="B62" s="52" t="str">
        <f>CONCATENATE(C62,"-",D62,"-",E62,"-",F62,"-",G62)</f>
        <v>A-02-02-01-004</v>
      </c>
      <c r="C62" s="52" t="s">
        <v>23</v>
      </c>
      <c r="D62" s="52" t="s">
        <v>54</v>
      </c>
      <c r="E62" s="52" t="s">
        <v>54</v>
      </c>
      <c r="F62" s="52" t="s">
        <v>25</v>
      </c>
      <c r="G62" s="52" t="s">
        <v>38</v>
      </c>
      <c r="H62" s="52"/>
      <c r="I62" s="52"/>
      <c r="J62" s="53" t="s">
        <v>28</v>
      </c>
      <c r="K62" s="52" t="s">
        <v>29</v>
      </c>
      <c r="L62" s="52" t="s">
        <v>100</v>
      </c>
      <c r="M62" s="54">
        <f t="shared" ref="M62:U62" si="47">SUM(M63:M66)</f>
        <v>925000000</v>
      </c>
      <c r="N62" s="743">
        <f t="shared" si="47"/>
        <v>0</v>
      </c>
      <c r="O62" s="743">
        <f t="shared" si="47"/>
        <v>0</v>
      </c>
      <c r="P62" s="54">
        <f t="shared" si="47"/>
        <v>0</v>
      </c>
      <c r="Q62" s="54">
        <f t="shared" si="47"/>
        <v>0</v>
      </c>
      <c r="R62" s="743">
        <f t="shared" si="47"/>
        <v>0</v>
      </c>
      <c r="S62" s="54">
        <f t="shared" si="47"/>
        <v>925000000</v>
      </c>
      <c r="T62" s="54">
        <f t="shared" si="47"/>
        <v>0</v>
      </c>
      <c r="U62" s="54">
        <f t="shared" si="47"/>
        <v>925000000</v>
      </c>
      <c r="V62" s="55">
        <f t="shared" si="13"/>
        <v>0</v>
      </c>
      <c r="W62" s="54">
        <f>SUM(W63:W66)</f>
        <v>0</v>
      </c>
      <c r="X62" s="54">
        <f>SUM(X63:X66)</f>
        <v>0</v>
      </c>
      <c r="Y62" s="55">
        <f t="shared" si="19"/>
        <v>0</v>
      </c>
      <c r="Z62" s="54">
        <f>SUM(Z63:Z66)</f>
        <v>0</v>
      </c>
      <c r="AA62" s="54">
        <f>SUM(AA63:AA66)</f>
        <v>0</v>
      </c>
      <c r="AB62" s="55">
        <f t="shared" si="4"/>
        <v>0</v>
      </c>
    </row>
    <row r="63" spans="1:28" ht="24.95" customHeight="1">
      <c r="A63" s="32" t="e">
        <f>+CONCATENATE(#REF!,"=",J63)</f>
        <v>#REF!</v>
      </c>
      <c r="B63" s="56" t="str">
        <f t="shared" si="41"/>
        <v>A-02-02-01-004-002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38</v>
      </c>
      <c r="H63" s="57" t="s">
        <v>34</v>
      </c>
      <c r="I63" s="57"/>
      <c r="J63" s="57">
        <v>10</v>
      </c>
      <c r="K63" s="58" t="s">
        <v>29</v>
      </c>
      <c r="L63" s="59" t="s">
        <v>101</v>
      </c>
      <c r="M63" s="60">
        <v>30000000</v>
      </c>
      <c r="N63" s="60"/>
      <c r="O63" s="60"/>
      <c r="P63" s="60"/>
      <c r="Q63" s="60"/>
      <c r="R63" s="61"/>
      <c r="S63" s="60">
        <f>+M63-R63+N63-O63+P63-Q63</f>
        <v>30000000</v>
      </c>
      <c r="T63" s="60">
        <v>0</v>
      </c>
      <c r="U63" s="60">
        <f t="shared" si="9"/>
        <v>30000000</v>
      </c>
      <c r="V63" s="62">
        <f t="shared" si="13"/>
        <v>0</v>
      </c>
      <c r="W63" s="60">
        <v>0</v>
      </c>
      <c r="X63" s="60">
        <f t="shared" si="12"/>
        <v>0</v>
      </c>
      <c r="Y63" s="62">
        <f t="shared" si="19"/>
        <v>0</v>
      </c>
      <c r="Z63" s="60">
        <v>0</v>
      </c>
      <c r="AA63" s="60">
        <f t="shared" ref="AA63:AA66" si="48">+W63-Z63</f>
        <v>0</v>
      </c>
      <c r="AB63" s="62">
        <f t="shared" si="4"/>
        <v>0</v>
      </c>
    </row>
    <row r="64" spans="1:28" ht="24.95" customHeight="1">
      <c r="A64" s="32" t="e">
        <f>+CONCATENATE(#REF!,"=",J64)</f>
        <v>#REF!</v>
      </c>
      <c r="B64" s="56" t="str">
        <f t="shared" si="41"/>
        <v>A-02-02-01-004-005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40</v>
      </c>
      <c r="I64" s="57"/>
      <c r="J64" s="57">
        <v>10</v>
      </c>
      <c r="K64" s="58" t="s">
        <v>29</v>
      </c>
      <c r="L64" s="59" t="s">
        <v>102</v>
      </c>
      <c r="M64" s="60">
        <v>565000000</v>
      </c>
      <c r="N64" s="60"/>
      <c r="O64" s="60"/>
      <c r="P64" s="60"/>
      <c r="Q64" s="60"/>
      <c r="R64" s="61"/>
      <c r="S64" s="60">
        <f t="shared" ref="S64:S66" si="49">+M64-R64+N64-O64+P64-Q64</f>
        <v>565000000</v>
      </c>
      <c r="T64" s="60">
        <v>0</v>
      </c>
      <c r="U64" s="60">
        <f t="shared" si="9"/>
        <v>565000000</v>
      </c>
      <c r="V64" s="62">
        <f t="shared" si="13"/>
        <v>0</v>
      </c>
      <c r="W64" s="60">
        <v>0</v>
      </c>
      <c r="X64" s="60">
        <f t="shared" si="12"/>
        <v>0</v>
      </c>
      <c r="Y64" s="62">
        <f t="shared" si="19"/>
        <v>0</v>
      </c>
      <c r="Z64" s="60">
        <v>0</v>
      </c>
      <c r="AA64" s="60">
        <f t="shared" si="48"/>
        <v>0</v>
      </c>
      <c r="AB64" s="62">
        <f t="shared" si="4"/>
        <v>0</v>
      </c>
    </row>
    <row r="65" spans="1:28" ht="24.95" customHeight="1">
      <c r="A65" s="32" t="e">
        <f>+CONCATENATE(#REF!,"=",J65)</f>
        <v>#REF!</v>
      </c>
      <c r="B65" s="56" t="str">
        <f t="shared" si="41"/>
        <v>A-02-02-01-004-006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42</v>
      </c>
      <c r="I65" s="57"/>
      <c r="J65" s="57">
        <v>10</v>
      </c>
      <c r="K65" s="58" t="s">
        <v>29</v>
      </c>
      <c r="L65" s="59" t="s">
        <v>84</v>
      </c>
      <c r="M65" s="60">
        <v>148000000</v>
      </c>
      <c r="N65" s="60"/>
      <c r="O65" s="60"/>
      <c r="P65" s="60"/>
      <c r="Q65" s="60"/>
      <c r="R65" s="61"/>
      <c r="S65" s="60">
        <f t="shared" si="49"/>
        <v>148000000</v>
      </c>
      <c r="T65" s="60">
        <v>0</v>
      </c>
      <c r="U65" s="60">
        <f t="shared" si="9"/>
        <v>148000000</v>
      </c>
      <c r="V65" s="62">
        <f t="shared" si="13"/>
        <v>0</v>
      </c>
      <c r="W65" s="60">
        <v>0</v>
      </c>
      <c r="X65" s="60">
        <f t="shared" si="12"/>
        <v>0</v>
      </c>
      <c r="Y65" s="62">
        <f t="shared" si="19"/>
        <v>0</v>
      </c>
      <c r="Z65" s="60">
        <v>0</v>
      </c>
      <c r="AA65" s="60">
        <f t="shared" si="48"/>
        <v>0</v>
      </c>
      <c r="AB65" s="62">
        <f t="shared" si="4"/>
        <v>0</v>
      </c>
    </row>
    <row r="66" spans="1:28" ht="24.95" customHeight="1">
      <c r="A66" s="32" t="e">
        <f>+CONCATENATE(#REF!,"=",J66)</f>
        <v>#REF!</v>
      </c>
      <c r="B66" s="56" t="str">
        <f t="shared" si="41"/>
        <v>A-02-02-01-004-007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44</v>
      </c>
      <c r="I66" s="57"/>
      <c r="J66" s="57">
        <v>10</v>
      </c>
      <c r="K66" s="58" t="s">
        <v>29</v>
      </c>
      <c r="L66" s="59" t="s">
        <v>85</v>
      </c>
      <c r="M66" s="60">
        <v>182000000</v>
      </c>
      <c r="N66" s="60"/>
      <c r="O66" s="60"/>
      <c r="P66" s="60"/>
      <c r="Q66" s="60"/>
      <c r="R66" s="61"/>
      <c r="S66" s="60">
        <f t="shared" si="49"/>
        <v>182000000</v>
      </c>
      <c r="T66" s="60">
        <v>0</v>
      </c>
      <c r="U66" s="60">
        <f t="shared" si="9"/>
        <v>182000000</v>
      </c>
      <c r="V66" s="62">
        <f t="shared" si="13"/>
        <v>0</v>
      </c>
      <c r="W66" s="60">
        <v>0</v>
      </c>
      <c r="X66" s="60">
        <f t="shared" si="12"/>
        <v>0</v>
      </c>
      <c r="Y66" s="62">
        <f t="shared" si="19"/>
        <v>0</v>
      </c>
      <c r="Z66" s="60">
        <v>0</v>
      </c>
      <c r="AA66" s="60">
        <f t="shared" si="48"/>
        <v>0</v>
      </c>
      <c r="AB66" s="62">
        <f t="shared" si="4"/>
        <v>0</v>
      </c>
    </row>
    <row r="67" spans="1:28" ht="24" customHeight="1">
      <c r="A67" s="32" t="e">
        <f>+CONCATENATE(#REF!,"=",J67)</f>
        <v>#REF!</v>
      </c>
      <c r="B67" s="48" t="str">
        <f>CONCATENATE(C67,"-",D67,"-",E67,"-",F67)</f>
        <v>A-02-02-02</v>
      </c>
      <c r="C67" s="48" t="s">
        <v>23</v>
      </c>
      <c r="D67" s="48" t="s">
        <v>54</v>
      </c>
      <c r="E67" s="48" t="s">
        <v>54</v>
      </c>
      <c r="F67" s="48" t="s">
        <v>54</v>
      </c>
      <c r="G67" s="48"/>
      <c r="H67" s="48"/>
      <c r="I67" s="48"/>
      <c r="J67" s="49" t="s">
        <v>28</v>
      </c>
      <c r="K67" s="48" t="s">
        <v>29</v>
      </c>
      <c r="L67" s="48" t="s">
        <v>103</v>
      </c>
      <c r="M67" s="50">
        <f t="shared" ref="M67:U67" si="50">+M68+M74+M77+M84+M90</f>
        <v>43123337511</v>
      </c>
      <c r="N67" s="743">
        <f t="shared" si="50"/>
        <v>0</v>
      </c>
      <c r="O67" s="743">
        <f t="shared" si="50"/>
        <v>0</v>
      </c>
      <c r="P67" s="50">
        <f t="shared" si="50"/>
        <v>3170048097</v>
      </c>
      <c r="Q67" s="50">
        <f t="shared" si="50"/>
        <v>3170048097</v>
      </c>
      <c r="R67" s="743">
        <f t="shared" si="50"/>
        <v>0</v>
      </c>
      <c r="S67" s="50">
        <f t="shared" si="50"/>
        <v>43123337511</v>
      </c>
      <c r="T67" s="50">
        <f t="shared" si="50"/>
        <v>23163443706.120003</v>
      </c>
      <c r="U67" s="50">
        <f t="shared" si="50"/>
        <v>19959893804.879997</v>
      </c>
      <c r="V67" s="51">
        <f t="shared" si="13"/>
        <v>0.53714403947077194</v>
      </c>
      <c r="W67" s="50">
        <f>+W68+W74+W77+W84+W90</f>
        <v>3721694879.4699998</v>
      </c>
      <c r="X67" s="50">
        <f>+X68+X74+X77+X84+X90</f>
        <v>19441748826.650002</v>
      </c>
      <c r="Y67" s="51">
        <f t="shared" si="19"/>
        <v>0.8393289475136767</v>
      </c>
      <c r="Z67" s="50">
        <f>+Z68+Z74+Z77+Z84+Z90</f>
        <v>3192676109.4699998</v>
      </c>
      <c r="AA67" s="50">
        <f>+AA68+AA74+AA77+AA84+AA90</f>
        <v>529018770</v>
      </c>
      <c r="AB67" s="51">
        <f t="shared" si="4"/>
        <v>0.13783253258782346</v>
      </c>
    </row>
    <row r="68" spans="1:28" ht="24.75" customHeight="1">
      <c r="A68" s="32" t="e">
        <f>+CONCATENATE(#REF!,"=",J68)</f>
        <v>#REF!</v>
      </c>
      <c r="B68" s="52" t="str">
        <f>CONCATENATE(C68,"-",D68,"-",E68,"-",F68,"-",G68)</f>
        <v>A-02-02-02-006</v>
      </c>
      <c r="C68" s="52" t="s">
        <v>23</v>
      </c>
      <c r="D68" s="52" t="s">
        <v>54</v>
      </c>
      <c r="E68" s="52" t="s">
        <v>54</v>
      </c>
      <c r="F68" s="52" t="s">
        <v>54</v>
      </c>
      <c r="G68" s="52" t="s">
        <v>42</v>
      </c>
      <c r="H68" s="52"/>
      <c r="I68" s="52"/>
      <c r="J68" s="53" t="s">
        <v>28</v>
      </c>
      <c r="K68" s="52" t="s">
        <v>29</v>
      </c>
      <c r="L68" s="52" t="s">
        <v>104</v>
      </c>
      <c r="M68" s="54">
        <f t="shared" ref="M68:U68" si="51">SUM(M69:M73)</f>
        <v>5553279341</v>
      </c>
      <c r="N68" s="743">
        <f t="shared" si="51"/>
        <v>0</v>
      </c>
      <c r="O68" s="743">
        <f t="shared" si="51"/>
        <v>0</v>
      </c>
      <c r="P68" s="54">
        <f t="shared" si="51"/>
        <v>0</v>
      </c>
      <c r="Q68" s="54">
        <f t="shared" si="51"/>
        <v>0</v>
      </c>
      <c r="R68" s="743">
        <f t="shared" si="51"/>
        <v>0</v>
      </c>
      <c r="S68" s="54">
        <f t="shared" si="51"/>
        <v>5553279341</v>
      </c>
      <c r="T68" s="54">
        <f t="shared" si="51"/>
        <v>2234434696.73</v>
      </c>
      <c r="U68" s="54">
        <f t="shared" si="51"/>
        <v>3318844644.27</v>
      </c>
      <c r="V68" s="55">
        <f t="shared" si="13"/>
        <v>0.40236310106590767</v>
      </c>
      <c r="W68" s="54">
        <f>SUM(W69:W73)</f>
        <v>800467154.31000006</v>
      </c>
      <c r="X68" s="54">
        <f>SUM(X69:X73)</f>
        <v>1433967542.4200001</v>
      </c>
      <c r="Y68" s="55">
        <f t="shared" si="19"/>
        <v>0.64175853718998832</v>
      </c>
      <c r="Z68" s="54">
        <f>SUM(Z69:Z73)</f>
        <v>360426367.31</v>
      </c>
      <c r="AA68" s="54">
        <f>SUM(AA69:AA73)</f>
        <v>440040787</v>
      </c>
      <c r="AB68" s="55">
        <f t="shared" si="4"/>
        <v>0.16130539318847342</v>
      </c>
    </row>
    <row r="69" spans="1:28" ht="24.95" customHeight="1">
      <c r="A69" s="32" t="e">
        <f>+CONCATENATE(#REF!,"=",J69)</f>
        <v>#REF!</v>
      </c>
      <c r="B69" s="56" t="str">
        <f t="shared" ref="B69:B73" si="52">CONCATENATE(C69,"-",D69,"-",E69,"-",F69,"-",G69,"-",H69)</f>
        <v>A-02-02-02-006-003</v>
      </c>
      <c r="C69" s="57" t="s">
        <v>23</v>
      </c>
      <c r="D69" s="57" t="s">
        <v>54</v>
      </c>
      <c r="E69" s="57" t="s">
        <v>54</v>
      </c>
      <c r="F69" s="57" t="s">
        <v>54</v>
      </c>
      <c r="G69" s="57" t="s">
        <v>42</v>
      </c>
      <c r="H69" s="57" t="s">
        <v>36</v>
      </c>
      <c r="I69" s="57"/>
      <c r="J69" s="57">
        <v>10</v>
      </c>
      <c r="K69" s="58" t="s">
        <v>29</v>
      </c>
      <c r="L69" s="59" t="s">
        <v>105</v>
      </c>
      <c r="M69" s="60">
        <v>182500000</v>
      </c>
      <c r="N69" s="60"/>
      <c r="O69" s="60"/>
      <c r="P69" s="60"/>
      <c r="Q69" s="60"/>
      <c r="R69" s="61"/>
      <c r="S69" s="60">
        <f t="shared" ref="S69:S73" si="53">+M69-R69+N69-O69+P69-Q69</f>
        <v>182500000</v>
      </c>
      <c r="T69" s="60">
        <v>58594399</v>
      </c>
      <c r="U69" s="60">
        <f t="shared" si="9"/>
        <v>123905601</v>
      </c>
      <c r="V69" s="62">
        <f t="shared" si="13"/>
        <v>0.3210652</v>
      </c>
      <c r="W69" s="60">
        <v>6602046</v>
      </c>
      <c r="X69" s="60">
        <f t="shared" si="12"/>
        <v>51992353</v>
      </c>
      <c r="Y69" s="62">
        <f t="shared" si="19"/>
        <v>0.88732632960361957</v>
      </c>
      <c r="Z69" s="60">
        <v>6602046</v>
      </c>
      <c r="AA69" s="60">
        <f t="shared" ref="AA69:AA73" si="54">+W69-Z69</f>
        <v>0</v>
      </c>
      <c r="AB69" s="62">
        <f t="shared" si="4"/>
        <v>0.11267367039638038</v>
      </c>
    </row>
    <row r="70" spans="1:28" ht="24.95" customHeight="1">
      <c r="A70" s="32" t="e">
        <f>+CONCATENATE(#REF!,"=",J70)</f>
        <v>#REF!</v>
      </c>
      <c r="B70" s="56" t="str">
        <f t="shared" si="52"/>
        <v>A-02-02-02-006-004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38</v>
      </c>
      <c r="I70" s="57"/>
      <c r="J70" s="57">
        <v>10</v>
      </c>
      <c r="K70" s="58" t="s">
        <v>29</v>
      </c>
      <c r="L70" s="59" t="s">
        <v>106</v>
      </c>
      <c r="M70" s="60">
        <v>2460219321</v>
      </c>
      <c r="N70" s="60"/>
      <c r="O70" s="60"/>
      <c r="P70" s="60"/>
      <c r="Q70" s="60"/>
      <c r="R70" s="61"/>
      <c r="S70" s="60">
        <f t="shared" si="53"/>
        <v>2460219321</v>
      </c>
      <c r="T70" s="60">
        <v>1389354384</v>
      </c>
      <c r="U70" s="60">
        <f t="shared" si="9"/>
        <v>1070864937</v>
      </c>
      <c r="V70" s="62">
        <f t="shared" si="13"/>
        <v>0.5647278566348598</v>
      </c>
      <c r="W70" s="60">
        <v>443923938</v>
      </c>
      <c r="X70" s="60">
        <f t="shared" si="12"/>
        <v>945430446</v>
      </c>
      <c r="Y70" s="62">
        <f t="shared" si="19"/>
        <v>0.68048185321737176</v>
      </c>
      <c r="Z70" s="60">
        <v>3976208</v>
      </c>
      <c r="AA70" s="60">
        <f t="shared" si="54"/>
        <v>439947730</v>
      </c>
      <c r="AB70" s="62">
        <f t="shared" si="4"/>
        <v>2.8619105721265714E-3</v>
      </c>
    </row>
    <row r="71" spans="1:28" ht="24.95" customHeight="1">
      <c r="A71" s="32" t="e">
        <f>+CONCATENATE(#REF!,"=",J71)</f>
        <v>#REF!</v>
      </c>
      <c r="B71" s="56" t="str">
        <f t="shared" si="52"/>
        <v>A-02-02-02-006-005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40</v>
      </c>
      <c r="I71" s="57"/>
      <c r="J71" s="57">
        <v>10</v>
      </c>
      <c r="K71" s="58" t="s">
        <v>29</v>
      </c>
      <c r="L71" s="59" t="s">
        <v>107</v>
      </c>
      <c r="M71" s="60">
        <v>114000000</v>
      </c>
      <c r="N71" s="60"/>
      <c r="O71" s="60"/>
      <c r="P71" s="60"/>
      <c r="Q71" s="60"/>
      <c r="R71" s="61"/>
      <c r="S71" s="60">
        <f t="shared" si="53"/>
        <v>114000000</v>
      </c>
      <c r="T71" s="60">
        <v>2800000</v>
      </c>
      <c r="U71" s="60">
        <f t="shared" si="9"/>
        <v>111200000</v>
      </c>
      <c r="V71" s="62">
        <f t="shared" si="13"/>
        <v>2.456140350877193E-2</v>
      </c>
      <c r="W71" s="60">
        <v>2800000</v>
      </c>
      <c r="X71" s="60">
        <f t="shared" si="12"/>
        <v>0</v>
      </c>
      <c r="Y71" s="62">
        <f t="shared" si="19"/>
        <v>0</v>
      </c>
      <c r="Z71" s="60">
        <v>2800000</v>
      </c>
      <c r="AA71" s="60">
        <f t="shared" si="54"/>
        <v>0</v>
      </c>
      <c r="AB71" s="62">
        <f t="shared" si="4"/>
        <v>1</v>
      </c>
    </row>
    <row r="72" spans="1:28" ht="24.95" customHeight="1">
      <c r="A72" s="32" t="e">
        <f>+CONCATENATE(#REF!,"=",J72)</f>
        <v>#REF!</v>
      </c>
      <c r="B72" s="56" t="str">
        <f t="shared" si="52"/>
        <v>A-02-02-02-006-008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46</v>
      </c>
      <c r="I72" s="57"/>
      <c r="J72" s="57">
        <v>10</v>
      </c>
      <c r="K72" s="58" t="s">
        <v>29</v>
      </c>
      <c r="L72" s="59" t="s">
        <v>108</v>
      </c>
      <c r="M72" s="60">
        <v>1530960020</v>
      </c>
      <c r="N72" s="60"/>
      <c r="O72" s="60"/>
      <c r="P72" s="60"/>
      <c r="Q72" s="60"/>
      <c r="R72" s="61"/>
      <c r="S72" s="60">
        <f t="shared" si="53"/>
        <v>1530960020</v>
      </c>
      <c r="T72" s="60">
        <v>646615648</v>
      </c>
      <c r="U72" s="60">
        <f t="shared" si="9"/>
        <v>884344372</v>
      </c>
      <c r="V72" s="62">
        <f t="shared" si="13"/>
        <v>0.42235959107540899</v>
      </c>
      <c r="W72" s="60">
        <v>211105106.58000001</v>
      </c>
      <c r="X72" s="60">
        <f t="shared" si="12"/>
        <v>435510541.41999996</v>
      </c>
      <c r="Y72" s="62">
        <f t="shared" si="19"/>
        <v>0.67352304690900389</v>
      </c>
      <c r="Z72" s="60">
        <v>211105106.58000001</v>
      </c>
      <c r="AA72" s="60">
        <f t="shared" si="54"/>
        <v>0</v>
      </c>
      <c r="AB72" s="62">
        <f t="shared" si="4"/>
        <v>0.32647695309099606</v>
      </c>
    </row>
    <row r="73" spans="1:28" ht="24.95" customHeight="1">
      <c r="A73" s="32" t="e">
        <f>+CONCATENATE(#REF!,"=",J73)</f>
        <v>#REF!</v>
      </c>
      <c r="B73" s="56" t="str">
        <f t="shared" si="52"/>
        <v>A-02-02-02-006-009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48</v>
      </c>
      <c r="I73" s="57"/>
      <c r="J73" s="57">
        <v>10</v>
      </c>
      <c r="K73" s="58" t="s">
        <v>29</v>
      </c>
      <c r="L73" s="59" t="s">
        <v>109</v>
      </c>
      <c r="M73" s="60">
        <v>1265600000</v>
      </c>
      <c r="N73" s="60"/>
      <c r="O73" s="60"/>
      <c r="P73" s="60"/>
      <c r="Q73" s="60"/>
      <c r="R73" s="61"/>
      <c r="S73" s="60">
        <f t="shared" si="53"/>
        <v>1265600000</v>
      </c>
      <c r="T73" s="60">
        <v>137070265.72999999</v>
      </c>
      <c r="U73" s="60">
        <f t="shared" si="9"/>
        <v>1128529734.27</v>
      </c>
      <c r="V73" s="62">
        <f t="shared" si="13"/>
        <v>0.1083045715312895</v>
      </c>
      <c r="W73" s="60">
        <v>136036063.72999999</v>
      </c>
      <c r="X73" s="60">
        <f t="shared" si="12"/>
        <v>1034202</v>
      </c>
      <c r="Y73" s="62">
        <f t="shared" si="19"/>
        <v>7.5450499383809726E-3</v>
      </c>
      <c r="Z73" s="60">
        <v>135943006.72999999</v>
      </c>
      <c r="AA73" s="60">
        <f t="shared" si="54"/>
        <v>93057</v>
      </c>
      <c r="AB73" s="62">
        <f t="shared" si="4"/>
        <v>0.99177605008645375</v>
      </c>
    </row>
    <row r="74" spans="1:28" ht="28.5" customHeight="1">
      <c r="A74" s="32" t="e">
        <f>+CONCATENATE(#REF!,"=",J74)</f>
        <v>#REF!</v>
      </c>
      <c r="B74" s="52" t="str">
        <f>CONCATENATE(C74,"-",D74,"-",E74,"-",F74,"-",G74)</f>
        <v>A-02-02-02-007</v>
      </c>
      <c r="C74" s="52" t="s">
        <v>23</v>
      </c>
      <c r="D74" s="52" t="s">
        <v>54</v>
      </c>
      <c r="E74" s="52" t="s">
        <v>54</v>
      </c>
      <c r="F74" s="52" t="s">
        <v>54</v>
      </c>
      <c r="G74" s="52" t="s">
        <v>44</v>
      </c>
      <c r="H74" s="52"/>
      <c r="I74" s="52"/>
      <c r="J74" s="53" t="s">
        <v>28</v>
      </c>
      <c r="K74" s="52" t="s">
        <v>29</v>
      </c>
      <c r="L74" s="52" t="s">
        <v>110</v>
      </c>
      <c r="M74" s="54">
        <f>SUM(M75:M76)</f>
        <v>16189463994</v>
      </c>
      <c r="N74" s="743">
        <f t="shared" ref="N74:AA74" si="55">SUM(N75:N76)</f>
        <v>0</v>
      </c>
      <c r="O74" s="743">
        <f t="shared" si="55"/>
        <v>0</v>
      </c>
      <c r="P74" s="54">
        <f t="shared" si="55"/>
        <v>0</v>
      </c>
      <c r="Q74" s="54">
        <f t="shared" si="55"/>
        <v>0</v>
      </c>
      <c r="R74" s="743">
        <f t="shared" si="55"/>
        <v>0</v>
      </c>
      <c r="S74" s="54">
        <f t="shared" si="55"/>
        <v>16189463994</v>
      </c>
      <c r="T74" s="54">
        <f t="shared" si="55"/>
        <v>13845804900</v>
      </c>
      <c r="U74" s="54">
        <f t="shared" si="55"/>
        <v>2343659094</v>
      </c>
      <c r="V74" s="55">
        <f t="shared" si="13"/>
        <v>0.8552355349832097</v>
      </c>
      <c r="W74" s="54">
        <f t="shared" si="55"/>
        <v>1976488888.5</v>
      </c>
      <c r="X74" s="54">
        <f t="shared" si="55"/>
        <v>11869316011.5</v>
      </c>
      <c r="Y74" s="55">
        <f t="shared" si="19"/>
        <v>0.85724998273664832</v>
      </c>
      <c r="Z74" s="54">
        <f t="shared" si="55"/>
        <v>1976293688.5</v>
      </c>
      <c r="AA74" s="54">
        <f t="shared" si="55"/>
        <v>195200</v>
      </c>
      <c r="AB74" s="55">
        <f t="shared" si="4"/>
        <v>0.1427359191302775</v>
      </c>
    </row>
    <row r="75" spans="1:28" ht="24.95" customHeight="1">
      <c r="A75" s="32" t="e">
        <f>+CONCATENATE(#REF!,"=",J75)</f>
        <v>#REF!</v>
      </c>
      <c r="B75" s="56" t="str">
        <f t="shared" ref="B75:B76" si="56">CONCATENATE(C75,"-",D75,"-",E75,"-",F75,"-",G75,"-",H75)</f>
        <v>A-02-02-02-007-001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44</v>
      </c>
      <c r="H75" s="57" t="s">
        <v>31</v>
      </c>
      <c r="I75" s="57"/>
      <c r="J75" s="57">
        <v>10</v>
      </c>
      <c r="K75" s="58" t="s">
        <v>29</v>
      </c>
      <c r="L75" s="59" t="s">
        <v>111</v>
      </c>
      <c r="M75" s="60">
        <v>718200000</v>
      </c>
      <c r="N75" s="60"/>
      <c r="O75" s="60"/>
      <c r="P75" s="60"/>
      <c r="Q75" s="60"/>
      <c r="R75" s="61"/>
      <c r="S75" s="60">
        <f>+M75-R75+N75-O75+P75-Q75</f>
        <v>718200000</v>
      </c>
      <c r="T75" s="60">
        <v>3200000</v>
      </c>
      <c r="U75" s="60">
        <f t="shared" si="9"/>
        <v>715000000</v>
      </c>
      <c r="V75" s="62">
        <f t="shared" si="13"/>
        <v>4.4555834029518238E-3</v>
      </c>
      <c r="W75" s="60">
        <v>372100</v>
      </c>
      <c r="X75" s="60">
        <f t="shared" si="12"/>
        <v>2827900</v>
      </c>
      <c r="Y75" s="62">
        <f t="shared" si="19"/>
        <v>0.88371875</v>
      </c>
      <c r="Z75" s="60">
        <v>176900</v>
      </c>
      <c r="AA75" s="60">
        <f t="shared" ref="AA75:AA76" si="57">+W75-Z75</f>
        <v>195200</v>
      </c>
      <c r="AB75" s="62">
        <f t="shared" si="4"/>
        <v>5.5281249999999997E-2</v>
      </c>
    </row>
    <row r="76" spans="1:28" ht="24.95" customHeight="1">
      <c r="A76" s="32" t="e">
        <f>+CONCATENATE(#REF!,"=",J76)</f>
        <v>#REF!</v>
      </c>
      <c r="B76" s="56" t="str">
        <f t="shared" si="56"/>
        <v>A-02-02-02-007-002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34</v>
      </c>
      <c r="I76" s="57"/>
      <c r="J76" s="57">
        <v>10</v>
      </c>
      <c r="K76" s="58" t="s">
        <v>29</v>
      </c>
      <c r="L76" s="59" t="s">
        <v>112</v>
      </c>
      <c r="M76" s="60">
        <v>15471263994</v>
      </c>
      <c r="N76" s="60"/>
      <c r="O76" s="60"/>
      <c r="P76" s="60"/>
      <c r="Q76" s="60"/>
      <c r="R76" s="61"/>
      <c r="S76" s="60">
        <f>+M76-R76+N76-O76+P76-Q76</f>
        <v>15471263994</v>
      </c>
      <c r="T76" s="60">
        <v>13842604900</v>
      </c>
      <c r="U76" s="60">
        <f t="shared" si="9"/>
        <v>1628659094</v>
      </c>
      <c r="V76" s="62">
        <f t="shared" si="13"/>
        <v>0.89473005601665001</v>
      </c>
      <c r="W76" s="60">
        <v>1976116788.5</v>
      </c>
      <c r="X76" s="60">
        <f t="shared" si="12"/>
        <v>11866488111.5</v>
      </c>
      <c r="Y76" s="62">
        <f t="shared" si="19"/>
        <v>0.85724386394211105</v>
      </c>
      <c r="Z76" s="60">
        <v>1976116788.5</v>
      </c>
      <c r="AA76" s="60">
        <f t="shared" si="57"/>
        <v>0</v>
      </c>
      <c r="AB76" s="62">
        <f t="shared" si="4"/>
        <v>0.14275613605788892</v>
      </c>
    </row>
    <row r="77" spans="1:28" ht="27.75" customHeight="1">
      <c r="A77" s="32" t="e">
        <f>+CONCATENATE(#REF!,"=",J77)</f>
        <v>#REF!</v>
      </c>
      <c r="B77" s="52" t="str">
        <f>CONCATENATE(C77,"-",D77,"-",E77,"-",F77,"-",G77)</f>
        <v>A-02-02-02-008</v>
      </c>
      <c r="C77" s="52" t="s">
        <v>23</v>
      </c>
      <c r="D77" s="52" t="s">
        <v>54</v>
      </c>
      <c r="E77" s="52" t="s">
        <v>54</v>
      </c>
      <c r="F77" s="52" t="s">
        <v>54</v>
      </c>
      <c r="G77" s="52" t="s">
        <v>46</v>
      </c>
      <c r="H77" s="52"/>
      <c r="I77" s="52"/>
      <c r="J77" s="53" t="s">
        <v>28</v>
      </c>
      <c r="K77" s="52" t="s">
        <v>29</v>
      </c>
      <c r="L77" s="52" t="s">
        <v>113</v>
      </c>
      <c r="M77" s="54">
        <f>SUM(M78:M83)</f>
        <v>18297410176</v>
      </c>
      <c r="N77" s="743">
        <f t="shared" ref="N77:U77" si="58">SUM(N78:N83)</f>
        <v>0</v>
      </c>
      <c r="O77" s="743">
        <f t="shared" si="58"/>
        <v>0</v>
      </c>
      <c r="P77" s="54">
        <f t="shared" si="58"/>
        <v>0</v>
      </c>
      <c r="Q77" s="54">
        <f t="shared" si="58"/>
        <v>3170048097</v>
      </c>
      <c r="R77" s="743">
        <f t="shared" si="58"/>
        <v>0</v>
      </c>
      <c r="S77" s="54">
        <f t="shared" si="58"/>
        <v>15127362079</v>
      </c>
      <c r="T77" s="54">
        <f t="shared" si="58"/>
        <v>6915939538.2800007</v>
      </c>
      <c r="U77" s="54">
        <f t="shared" si="58"/>
        <v>8211422540.7199993</v>
      </c>
      <c r="V77" s="55">
        <f t="shared" si="13"/>
        <v>0.45718080271779821</v>
      </c>
      <c r="W77" s="54">
        <f t="shared" ref="W77:AA77" si="59">SUM(W78:W83)</f>
        <v>903124863.54999995</v>
      </c>
      <c r="X77" s="54">
        <f t="shared" si="59"/>
        <v>6012814674.7299995</v>
      </c>
      <c r="Y77" s="55">
        <f t="shared" si="19"/>
        <v>0.8694140024574869</v>
      </c>
      <c r="Z77" s="54">
        <f t="shared" si="59"/>
        <v>814524863.54999995</v>
      </c>
      <c r="AA77" s="54">
        <f t="shared" si="59"/>
        <v>88600000</v>
      </c>
      <c r="AB77" s="55">
        <f t="shared" si="4"/>
        <v>0.11777501220789632</v>
      </c>
    </row>
    <row r="78" spans="1:28" ht="24.95" customHeight="1">
      <c r="A78" s="32" t="e">
        <f>+CONCATENATE(#REF!,"=",J78)</f>
        <v>#REF!</v>
      </c>
      <c r="B78" s="56" t="str">
        <f t="shared" ref="B78:B89" si="60">CONCATENATE(C78,"-",D78,"-",E78,"-",F78,"-",G78,"-",H78)</f>
        <v>A-02-02-02-008-002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46</v>
      </c>
      <c r="H78" s="57" t="s">
        <v>34</v>
      </c>
      <c r="I78" s="57"/>
      <c r="J78" s="57">
        <v>10</v>
      </c>
      <c r="K78" s="58" t="s">
        <v>29</v>
      </c>
      <c r="L78" s="59" t="s">
        <v>114</v>
      </c>
      <c r="M78" s="60">
        <v>57307000</v>
      </c>
      <c r="N78" s="60"/>
      <c r="O78" s="60"/>
      <c r="P78" s="60"/>
      <c r="Q78" s="60"/>
      <c r="R78" s="61"/>
      <c r="S78" s="60">
        <f t="shared" ref="S78:S83" si="61">+M78-R78+N78-O78+P78-Q78</f>
        <v>57307000</v>
      </c>
      <c r="T78" s="60">
        <v>0</v>
      </c>
      <c r="U78" s="60">
        <f t="shared" si="9"/>
        <v>57307000</v>
      </c>
      <c r="V78" s="62">
        <f t="shared" si="13"/>
        <v>0</v>
      </c>
      <c r="W78" s="60">
        <v>0</v>
      </c>
      <c r="X78" s="60">
        <f t="shared" si="12"/>
        <v>0</v>
      </c>
      <c r="Y78" s="62">
        <f t="shared" si="19"/>
        <v>0</v>
      </c>
      <c r="Z78" s="60">
        <v>0</v>
      </c>
      <c r="AA78" s="60">
        <f t="shared" ref="AA78:AA83" si="62">+W78-Z78</f>
        <v>0</v>
      </c>
      <c r="AB78" s="62">
        <f t="shared" ref="AB78:AB141" si="63">+IF(T78&gt;0,(Z78/T78),0)</f>
        <v>0</v>
      </c>
    </row>
    <row r="79" spans="1:28" ht="24.95" customHeight="1">
      <c r="A79" s="32" t="e">
        <f>+CONCATENATE(#REF!,"=",J79)</f>
        <v>#REF!</v>
      </c>
      <c r="B79" s="56" t="str">
        <f t="shared" si="60"/>
        <v>A-02-02-02-008-003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36</v>
      </c>
      <c r="I79" s="57"/>
      <c r="J79" s="57">
        <v>10</v>
      </c>
      <c r="K79" s="58" t="s">
        <v>29</v>
      </c>
      <c r="L79" s="59" t="s">
        <v>115</v>
      </c>
      <c r="M79" s="60">
        <v>6648501421</v>
      </c>
      <c r="N79" s="60"/>
      <c r="O79" s="60"/>
      <c r="P79" s="60"/>
      <c r="Q79" s="60">
        <f>3170048097</f>
        <v>3170048097</v>
      </c>
      <c r="R79" s="61"/>
      <c r="S79" s="60">
        <f t="shared" si="61"/>
        <v>3478453324</v>
      </c>
      <c r="T79" s="60">
        <v>2942154045</v>
      </c>
      <c r="U79" s="60">
        <f t="shared" si="9"/>
        <v>536299279</v>
      </c>
      <c r="V79" s="62">
        <f t="shared" si="13"/>
        <v>0.8458224880294527</v>
      </c>
      <c r="W79" s="60">
        <v>245981097</v>
      </c>
      <c r="X79" s="60">
        <f t="shared" si="12"/>
        <v>2696172948</v>
      </c>
      <c r="Y79" s="62">
        <f t="shared" si="19"/>
        <v>0.91639421551769906</v>
      </c>
      <c r="Z79" s="60">
        <v>157381097</v>
      </c>
      <c r="AA79" s="60">
        <f t="shared" si="62"/>
        <v>88600000</v>
      </c>
      <c r="AB79" s="62">
        <f t="shared" si="63"/>
        <v>5.3491793629045006E-2</v>
      </c>
    </row>
    <row r="80" spans="1:28" ht="24.95" customHeight="1">
      <c r="A80" s="32" t="e">
        <f>+CONCATENATE(#REF!,"=",J80)</f>
        <v>#REF!</v>
      </c>
      <c r="B80" s="56" t="str">
        <f t="shared" si="60"/>
        <v>A-02-02-02-008-004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38</v>
      </c>
      <c r="I80" s="57"/>
      <c r="J80" s="57">
        <v>10</v>
      </c>
      <c r="K80" s="58" t="s">
        <v>29</v>
      </c>
      <c r="L80" s="59" t="s">
        <v>116</v>
      </c>
      <c r="M80" s="60">
        <v>2672983340</v>
      </c>
      <c r="N80" s="60"/>
      <c r="O80" s="60"/>
      <c r="P80" s="60"/>
      <c r="Q80" s="60"/>
      <c r="R80" s="61"/>
      <c r="S80" s="60">
        <f t="shared" si="61"/>
        <v>2672983340</v>
      </c>
      <c r="T80" s="60">
        <v>271962930.44</v>
      </c>
      <c r="U80" s="60">
        <f t="shared" si="9"/>
        <v>2401020409.5599999</v>
      </c>
      <c r="V80" s="62">
        <f t="shared" si="13"/>
        <v>0.10174508997875011</v>
      </c>
      <c r="W80" s="60">
        <v>175731498.88</v>
      </c>
      <c r="X80" s="60">
        <f t="shared" si="12"/>
        <v>96231431.560000002</v>
      </c>
      <c r="Y80" s="62">
        <f t="shared" si="19"/>
        <v>0.35384025096475574</v>
      </c>
      <c r="Z80" s="60">
        <v>175731498.88</v>
      </c>
      <c r="AA80" s="60">
        <f t="shared" si="62"/>
        <v>0</v>
      </c>
      <c r="AB80" s="62">
        <f t="shared" si="63"/>
        <v>0.64615974903524431</v>
      </c>
    </row>
    <row r="81" spans="1:28" ht="24.95" customHeight="1">
      <c r="A81" s="32" t="e">
        <f>+CONCATENATE(#REF!,"=",J81)</f>
        <v>#REF!</v>
      </c>
      <c r="B81" s="56" t="str">
        <f t="shared" si="60"/>
        <v>A-02-02-02-008-005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40</v>
      </c>
      <c r="I81" s="57"/>
      <c r="J81" s="57">
        <v>10</v>
      </c>
      <c r="K81" s="58" t="s">
        <v>29</v>
      </c>
      <c r="L81" s="59" t="s">
        <v>117</v>
      </c>
      <c r="M81" s="60">
        <v>7515815535</v>
      </c>
      <c r="N81" s="60"/>
      <c r="O81" s="60"/>
      <c r="P81" s="60"/>
      <c r="Q81" s="60"/>
      <c r="R81" s="61"/>
      <c r="S81" s="60">
        <f t="shared" si="61"/>
        <v>7515815535</v>
      </c>
      <c r="T81" s="60">
        <v>3555675528.2600002</v>
      </c>
      <c r="U81" s="60">
        <f t="shared" si="9"/>
        <v>3960140006.7399998</v>
      </c>
      <c r="V81" s="62">
        <f t="shared" si="13"/>
        <v>0.47309244242381476</v>
      </c>
      <c r="W81" s="60">
        <v>452785736.75</v>
      </c>
      <c r="X81" s="60">
        <f t="shared" si="12"/>
        <v>3102889791.5100002</v>
      </c>
      <c r="Y81" s="62">
        <f t="shared" si="19"/>
        <v>0.87265830834356961</v>
      </c>
      <c r="Z81" s="60">
        <v>452785736.75</v>
      </c>
      <c r="AA81" s="60">
        <f t="shared" si="62"/>
        <v>0</v>
      </c>
      <c r="AB81" s="62">
        <f t="shared" si="63"/>
        <v>0.12734169165643033</v>
      </c>
    </row>
    <row r="82" spans="1:28" ht="24.75" customHeight="1">
      <c r="A82" s="32" t="e">
        <f>+CONCATENATE(#REF!,"=",J82)</f>
        <v>#REF!</v>
      </c>
      <c r="B82" s="56" t="str">
        <f t="shared" si="60"/>
        <v>A-02-02-02-008-007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44</v>
      </c>
      <c r="I82" s="57"/>
      <c r="J82" s="57">
        <v>10</v>
      </c>
      <c r="K82" s="58" t="s">
        <v>29</v>
      </c>
      <c r="L82" s="59" t="s">
        <v>118</v>
      </c>
      <c r="M82" s="60">
        <v>1074802880</v>
      </c>
      <c r="N82" s="60"/>
      <c r="O82" s="60"/>
      <c r="P82" s="60"/>
      <c r="Q82" s="60"/>
      <c r="R82" s="61"/>
      <c r="S82" s="60">
        <f t="shared" si="61"/>
        <v>1074802880</v>
      </c>
      <c r="T82" s="60">
        <v>144147034.58000001</v>
      </c>
      <c r="U82" s="60">
        <f t="shared" si="9"/>
        <v>930655845.41999996</v>
      </c>
      <c r="V82" s="62">
        <f t="shared" si="13"/>
        <v>0.13411485702382936</v>
      </c>
      <c r="W82" s="60">
        <v>28626530.920000002</v>
      </c>
      <c r="X82" s="60">
        <f t="shared" si="12"/>
        <v>115520503.66000001</v>
      </c>
      <c r="Y82" s="62">
        <f t="shared" si="19"/>
        <v>0.80140742400002274</v>
      </c>
      <c r="Z82" s="60">
        <v>28626530.920000002</v>
      </c>
      <c r="AA82" s="60">
        <f t="shared" si="62"/>
        <v>0</v>
      </c>
      <c r="AB82" s="62">
        <f t="shared" si="63"/>
        <v>0.19859257599997726</v>
      </c>
    </row>
    <row r="83" spans="1:28" ht="24.95" customHeight="1">
      <c r="A83" s="32" t="e">
        <f>+CONCATENATE(#REF!,"=",J83)</f>
        <v>#REF!</v>
      </c>
      <c r="B83" s="56" t="str">
        <f t="shared" si="60"/>
        <v>A-02-02-02-008-009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48</v>
      </c>
      <c r="I83" s="57"/>
      <c r="J83" s="57">
        <v>10</v>
      </c>
      <c r="K83" s="58" t="s">
        <v>29</v>
      </c>
      <c r="L83" s="59" t="s">
        <v>119</v>
      </c>
      <c r="M83" s="60">
        <v>328000000</v>
      </c>
      <c r="N83" s="60"/>
      <c r="O83" s="60"/>
      <c r="P83" s="60"/>
      <c r="Q83" s="60"/>
      <c r="R83" s="61"/>
      <c r="S83" s="60">
        <f t="shared" si="61"/>
        <v>328000000</v>
      </c>
      <c r="T83" s="60">
        <v>2000000</v>
      </c>
      <c r="U83" s="60">
        <f t="shared" si="9"/>
        <v>326000000</v>
      </c>
      <c r="V83" s="62">
        <f t="shared" si="13"/>
        <v>6.0975609756097563E-3</v>
      </c>
      <c r="W83" s="60">
        <v>0</v>
      </c>
      <c r="X83" s="60">
        <f t="shared" si="12"/>
        <v>2000000</v>
      </c>
      <c r="Y83" s="62">
        <f t="shared" si="19"/>
        <v>1</v>
      </c>
      <c r="Z83" s="60">
        <v>0</v>
      </c>
      <c r="AA83" s="60">
        <f t="shared" si="62"/>
        <v>0</v>
      </c>
      <c r="AB83" s="62">
        <f t="shared" si="63"/>
        <v>0</v>
      </c>
    </row>
    <row r="84" spans="1:28" ht="24" customHeight="1">
      <c r="A84" s="32" t="e">
        <f>+CONCATENATE(#REF!,"=",J84)</f>
        <v>#REF!</v>
      </c>
      <c r="B84" s="52" t="str">
        <f>CONCATENATE(C84,"-",D84,"-",E84,"-",F84,"-",G84)</f>
        <v>A-02-02-02-009</v>
      </c>
      <c r="C84" s="52" t="s">
        <v>23</v>
      </c>
      <c r="D84" s="52" t="s">
        <v>54</v>
      </c>
      <c r="E84" s="52" t="s">
        <v>54</v>
      </c>
      <c r="F84" s="52" t="s">
        <v>54</v>
      </c>
      <c r="G84" s="52" t="s">
        <v>48</v>
      </c>
      <c r="H84" s="52"/>
      <c r="I84" s="52"/>
      <c r="J84" s="53" t="s">
        <v>28</v>
      </c>
      <c r="K84" s="52" t="s">
        <v>29</v>
      </c>
      <c r="L84" s="52" t="s">
        <v>120</v>
      </c>
      <c r="M84" s="54">
        <f>SUM(M85:M89)</f>
        <v>2083184000</v>
      </c>
      <c r="N84" s="743">
        <f t="shared" ref="N84:AA84" si="64">SUM(N85:N89)</f>
        <v>0</v>
      </c>
      <c r="O84" s="743">
        <f t="shared" si="64"/>
        <v>0</v>
      </c>
      <c r="P84" s="54">
        <f t="shared" si="64"/>
        <v>3170048097</v>
      </c>
      <c r="Q84" s="54">
        <f t="shared" si="64"/>
        <v>0</v>
      </c>
      <c r="R84" s="743">
        <f t="shared" si="64"/>
        <v>0</v>
      </c>
      <c r="S84" s="54">
        <f t="shared" si="64"/>
        <v>5253232097</v>
      </c>
      <c r="T84" s="54">
        <f t="shared" si="64"/>
        <v>34747933.109999999</v>
      </c>
      <c r="U84" s="54">
        <f t="shared" si="64"/>
        <v>5218484163.8899994</v>
      </c>
      <c r="V84" s="55">
        <f t="shared" ref="V84:V147" si="65">+IF(S84&gt;0,T84/S84,0)</f>
        <v>6.6145817409902271E-3</v>
      </c>
      <c r="W84" s="54">
        <f t="shared" si="64"/>
        <v>7202252.1100000003</v>
      </c>
      <c r="X84" s="54">
        <f t="shared" si="64"/>
        <v>27545681</v>
      </c>
      <c r="Y84" s="55">
        <f t="shared" si="19"/>
        <v>0.79272861821161711</v>
      </c>
      <c r="Z84" s="54">
        <f t="shared" si="64"/>
        <v>7019469.1100000003</v>
      </c>
      <c r="AA84" s="54">
        <f t="shared" si="64"/>
        <v>182783</v>
      </c>
      <c r="AB84" s="55">
        <f t="shared" si="63"/>
        <v>0.20201112646840824</v>
      </c>
    </row>
    <row r="85" spans="1:28" ht="24.95" customHeight="1">
      <c r="A85" s="32" t="e">
        <f>+CONCATENATE(#REF!,"=",J85)</f>
        <v>#REF!</v>
      </c>
      <c r="B85" s="56" t="str">
        <f t="shared" si="60"/>
        <v>A-02-02-02-009-002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48</v>
      </c>
      <c r="H85" s="57" t="s">
        <v>34</v>
      </c>
      <c r="I85" s="57"/>
      <c r="J85" s="57">
        <v>10</v>
      </c>
      <c r="K85" s="58" t="s">
        <v>29</v>
      </c>
      <c r="L85" s="59" t="s">
        <v>121</v>
      </c>
      <c r="M85" s="60">
        <v>150000000</v>
      </c>
      <c r="N85" s="60"/>
      <c r="O85" s="60"/>
      <c r="P85" s="60"/>
      <c r="Q85" s="60"/>
      <c r="R85" s="61"/>
      <c r="S85" s="60">
        <f>+M85-R85+N85-O85+P85-Q85</f>
        <v>150000000</v>
      </c>
      <c r="T85" s="60">
        <v>0</v>
      </c>
      <c r="U85" s="60">
        <f t="shared" si="9"/>
        <v>150000000</v>
      </c>
      <c r="V85" s="62">
        <f t="shared" si="65"/>
        <v>0</v>
      </c>
      <c r="W85" s="60">
        <v>0</v>
      </c>
      <c r="X85" s="60">
        <f t="shared" si="12"/>
        <v>0</v>
      </c>
      <c r="Y85" s="62">
        <f t="shared" si="19"/>
        <v>0</v>
      </c>
      <c r="Z85" s="60">
        <v>0</v>
      </c>
      <c r="AA85" s="60">
        <f t="shared" ref="AA85:AA90" si="66">+W85-Z85</f>
        <v>0</v>
      </c>
      <c r="AB85" s="62">
        <f t="shared" si="63"/>
        <v>0</v>
      </c>
    </row>
    <row r="86" spans="1:28" ht="24.95" customHeight="1">
      <c r="A86" s="32" t="e">
        <f>+CONCATENATE(#REF!,"=",J86)</f>
        <v>#REF!</v>
      </c>
      <c r="B86" s="56" t="str">
        <f t="shared" si="60"/>
        <v>A-02-02-02-009-003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36</v>
      </c>
      <c r="I86" s="57"/>
      <c r="J86" s="57">
        <v>10</v>
      </c>
      <c r="K86" s="58" t="s">
        <v>29</v>
      </c>
      <c r="L86" s="59" t="s">
        <v>122</v>
      </c>
      <c r="M86" s="60">
        <v>285000000</v>
      </c>
      <c r="N86" s="60"/>
      <c r="O86" s="60"/>
      <c r="P86" s="60"/>
      <c r="Q86" s="60"/>
      <c r="R86" s="61"/>
      <c r="S86" s="60">
        <f>+M86-R86+N86-O86+P86-Q86</f>
        <v>285000000</v>
      </c>
      <c r="T86" s="60">
        <v>28159567</v>
      </c>
      <c r="U86" s="60">
        <f t="shared" si="9"/>
        <v>256840433</v>
      </c>
      <c r="V86" s="62">
        <f t="shared" si="65"/>
        <v>9.8805498245614035E-2</v>
      </c>
      <c r="W86" s="60">
        <v>791764</v>
      </c>
      <c r="X86" s="60">
        <f t="shared" si="12"/>
        <v>27367803</v>
      </c>
      <c r="Y86" s="62">
        <f t="shared" si="19"/>
        <v>0.9718829483422099</v>
      </c>
      <c r="Z86" s="60">
        <v>791764</v>
      </c>
      <c r="AA86" s="60">
        <f t="shared" si="66"/>
        <v>0</v>
      </c>
      <c r="AB86" s="62">
        <f t="shared" si="63"/>
        <v>2.8117051657790052E-2</v>
      </c>
    </row>
    <row r="87" spans="1:28" ht="24.95" customHeight="1">
      <c r="A87" s="32" t="e">
        <f>+CONCATENATE(#REF!,"=",J87)</f>
        <v>#REF!</v>
      </c>
      <c r="B87" s="56" t="str">
        <f t="shared" si="60"/>
        <v>A-02-02-02-009-004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38</v>
      </c>
      <c r="I87" s="57"/>
      <c r="J87" s="57">
        <v>10</v>
      </c>
      <c r="K87" s="58" t="s">
        <v>29</v>
      </c>
      <c r="L87" s="59" t="s">
        <v>123</v>
      </c>
      <c r="M87" s="60">
        <v>105720000</v>
      </c>
      <c r="N87" s="60"/>
      <c r="O87" s="60"/>
      <c r="P87" s="60"/>
      <c r="Q87" s="60"/>
      <c r="R87" s="61"/>
      <c r="S87" s="60">
        <f>+M87-R87+N87-O87+P87-Q87</f>
        <v>105720000</v>
      </c>
      <c r="T87" s="60">
        <v>6588366.1100000003</v>
      </c>
      <c r="U87" s="60">
        <f t="shared" si="9"/>
        <v>99131633.890000001</v>
      </c>
      <c r="V87" s="62">
        <f t="shared" si="65"/>
        <v>6.2319013526295881E-2</v>
      </c>
      <c r="W87" s="60">
        <v>6410488.1100000003</v>
      </c>
      <c r="X87" s="60">
        <f t="shared" si="12"/>
        <v>177878</v>
      </c>
      <c r="Y87" s="62">
        <f t="shared" si="19"/>
        <v>2.6998803197960108E-2</v>
      </c>
      <c r="Z87" s="60">
        <v>6227705.1100000003</v>
      </c>
      <c r="AA87" s="60">
        <f t="shared" si="66"/>
        <v>182783</v>
      </c>
      <c r="AB87" s="62">
        <f t="shared" si="63"/>
        <v>0.94525789945817085</v>
      </c>
    </row>
    <row r="88" spans="1:28" ht="24.95" customHeight="1">
      <c r="A88" s="32" t="e">
        <f>+CONCATENATE(#REF!,"=",J88)</f>
        <v>#REF!</v>
      </c>
      <c r="B88" s="56" t="str">
        <f t="shared" si="60"/>
        <v>A-02-02-02-009-006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42</v>
      </c>
      <c r="I88" s="57"/>
      <c r="J88" s="57">
        <v>10</v>
      </c>
      <c r="K88" s="58" t="s">
        <v>29</v>
      </c>
      <c r="L88" s="59" t="s">
        <v>124</v>
      </c>
      <c r="M88" s="60">
        <v>1481000000</v>
      </c>
      <c r="N88" s="60"/>
      <c r="O88" s="60"/>
      <c r="P88" s="60"/>
      <c r="Q88" s="60"/>
      <c r="R88" s="61"/>
      <c r="S88" s="60">
        <f>+M88-R88+N88-O88+P88-Q88</f>
        <v>1481000000</v>
      </c>
      <c r="T88" s="60">
        <v>0</v>
      </c>
      <c r="U88" s="60">
        <f t="shared" si="9"/>
        <v>1481000000</v>
      </c>
      <c r="V88" s="62">
        <f t="shared" si="65"/>
        <v>0</v>
      </c>
      <c r="W88" s="60">
        <v>0</v>
      </c>
      <c r="X88" s="60">
        <f t="shared" si="12"/>
        <v>0</v>
      </c>
      <c r="Y88" s="62">
        <f t="shared" si="19"/>
        <v>0</v>
      </c>
      <c r="Z88" s="60">
        <v>0</v>
      </c>
      <c r="AA88" s="60">
        <f t="shared" si="66"/>
        <v>0</v>
      </c>
      <c r="AB88" s="62">
        <f t="shared" si="63"/>
        <v>0</v>
      </c>
    </row>
    <row r="89" spans="1:28" ht="24.95" customHeight="1">
      <c r="A89" s="32" t="e">
        <f>+CONCATENATE(#REF!,"=",J89)</f>
        <v>#REF!</v>
      </c>
      <c r="B89" s="56" t="str">
        <f t="shared" si="60"/>
        <v>A-02-02-02-009-007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44</v>
      </c>
      <c r="I89" s="57"/>
      <c r="J89" s="57">
        <v>10</v>
      </c>
      <c r="K89" s="58" t="s">
        <v>29</v>
      </c>
      <c r="L89" s="59" t="s">
        <v>125</v>
      </c>
      <c r="M89" s="60">
        <v>61464000</v>
      </c>
      <c r="N89" s="60"/>
      <c r="O89" s="60"/>
      <c r="P89" s="60">
        <f>3170048097</f>
        <v>3170048097</v>
      </c>
      <c r="Q89" s="60"/>
      <c r="R89" s="61"/>
      <c r="S89" s="60">
        <f>+M89-R89+N89-O89+P89-Q89</f>
        <v>3231512097</v>
      </c>
      <c r="T89" s="60">
        <v>0</v>
      </c>
      <c r="U89" s="60">
        <f>+S89-T89</f>
        <v>3231512097</v>
      </c>
      <c r="V89" s="62">
        <f t="shared" si="65"/>
        <v>0</v>
      </c>
      <c r="W89" s="60">
        <v>0</v>
      </c>
      <c r="X89" s="60">
        <f t="shared" si="12"/>
        <v>0</v>
      </c>
      <c r="Y89" s="62">
        <f t="shared" si="19"/>
        <v>0</v>
      </c>
      <c r="Z89" s="60">
        <v>0</v>
      </c>
      <c r="AA89" s="60">
        <f t="shared" si="66"/>
        <v>0</v>
      </c>
      <c r="AB89" s="62">
        <f t="shared" si="63"/>
        <v>0</v>
      </c>
    </row>
    <row r="90" spans="1:28" ht="24.95" customHeight="1">
      <c r="A90" s="32" t="e">
        <f>+CONCATENATE(#REF!,"=",J90)</f>
        <v>#REF!</v>
      </c>
      <c r="B90" s="56" t="str">
        <f>CONCATENATE(C90,"-",D90,"-",E90,"-",F90,"-",G90)</f>
        <v>A-02-02-02-010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50</v>
      </c>
      <c r="H90" s="57"/>
      <c r="I90" s="57"/>
      <c r="J90" s="57" t="s">
        <v>28</v>
      </c>
      <c r="K90" s="58" t="s">
        <v>29</v>
      </c>
      <c r="L90" s="65" t="s">
        <v>126</v>
      </c>
      <c r="M90" s="66">
        <v>1000000000</v>
      </c>
      <c r="N90" s="66"/>
      <c r="O90" s="66"/>
      <c r="P90" s="60"/>
      <c r="Q90" s="66"/>
      <c r="R90" s="744"/>
      <c r="S90" s="66">
        <f t="shared" ref="S90" si="67">+M90+N90-O90+P90-Q90-R90</f>
        <v>1000000000</v>
      </c>
      <c r="T90" s="66">
        <v>132516638</v>
      </c>
      <c r="U90" s="66">
        <f t="shared" ref="U90" si="68">+S90-T90</f>
        <v>867483362</v>
      </c>
      <c r="V90" s="67">
        <f t="shared" si="65"/>
        <v>0.13251663799999999</v>
      </c>
      <c r="W90" s="66">
        <v>34411721</v>
      </c>
      <c r="X90" s="66">
        <f t="shared" si="12"/>
        <v>98104917</v>
      </c>
      <c r="Y90" s="67">
        <f t="shared" si="19"/>
        <v>0.74032150589271661</v>
      </c>
      <c r="Z90" s="66">
        <v>34411721</v>
      </c>
      <c r="AA90" s="66">
        <f t="shared" si="66"/>
        <v>0</v>
      </c>
      <c r="AB90" s="67">
        <f t="shared" si="63"/>
        <v>0.25967849410728333</v>
      </c>
    </row>
    <row r="91" spans="1:28" ht="24" customHeight="1">
      <c r="A91" s="32" t="e">
        <f>+CONCATENATE(#REF!,"=",J91)</f>
        <v>#REF!</v>
      </c>
      <c r="B91" s="38" t="str">
        <f>CONCATENATE(C91,"-",D91)</f>
        <v>A-03</v>
      </c>
      <c r="C91" s="39" t="s">
        <v>23</v>
      </c>
      <c r="D91" s="39" t="s">
        <v>65</v>
      </c>
      <c r="E91" s="39"/>
      <c r="F91" s="39"/>
      <c r="G91" s="39"/>
      <c r="H91" s="39"/>
      <c r="I91" s="39"/>
      <c r="J91" s="39"/>
      <c r="K91" s="40"/>
      <c r="L91" s="38" t="s">
        <v>127</v>
      </c>
      <c r="M91" s="41">
        <f>+M95+M101+M92</f>
        <v>8837000000</v>
      </c>
      <c r="N91" s="41">
        <f t="shared" ref="N91:U91" si="69">+N95+N101+N92</f>
        <v>0</v>
      </c>
      <c r="O91" s="41">
        <f t="shared" si="69"/>
        <v>0</v>
      </c>
      <c r="P91" s="41">
        <f t="shared" si="69"/>
        <v>0</v>
      </c>
      <c r="Q91" s="41">
        <f t="shared" si="69"/>
        <v>0</v>
      </c>
      <c r="R91" s="41">
        <f t="shared" si="69"/>
        <v>5880000000</v>
      </c>
      <c r="S91" s="41">
        <f t="shared" si="69"/>
        <v>2957000000</v>
      </c>
      <c r="T91" s="41">
        <f t="shared" si="69"/>
        <v>145431729</v>
      </c>
      <c r="U91" s="41">
        <f t="shared" si="69"/>
        <v>2811568271</v>
      </c>
      <c r="V91" s="42">
        <f t="shared" si="65"/>
        <v>4.9182187690226579E-2</v>
      </c>
      <c r="W91" s="41">
        <f t="shared" ref="W91:X91" si="70">+W95+W101+W92</f>
        <v>70519941</v>
      </c>
      <c r="X91" s="41">
        <f t="shared" si="70"/>
        <v>74911788</v>
      </c>
      <c r="Y91" s="42">
        <f t="shared" si="19"/>
        <v>0.51509934259256451</v>
      </c>
      <c r="Z91" s="41">
        <f t="shared" ref="Z91:AA91" si="71">+Z95+Z101+Z92</f>
        <v>70519941</v>
      </c>
      <c r="AA91" s="41">
        <f t="shared" si="71"/>
        <v>0</v>
      </c>
      <c r="AB91" s="42">
        <f t="shared" si="63"/>
        <v>0.48490065740743549</v>
      </c>
    </row>
    <row r="92" spans="1:28" ht="19.5" customHeight="1">
      <c r="A92" s="32" t="e">
        <f>+CONCATENATE(#REF!,"=",J92)</f>
        <v>#REF!</v>
      </c>
      <c r="B92" s="43" t="str">
        <f>CONCATENATE(C92,"-",D92,"-",E92)</f>
        <v>A-03-03</v>
      </c>
      <c r="C92" s="44" t="s">
        <v>23</v>
      </c>
      <c r="D92" s="44" t="s">
        <v>65</v>
      </c>
      <c r="E92" s="44" t="s">
        <v>65</v>
      </c>
      <c r="F92" s="44"/>
      <c r="G92" s="44"/>
      <c r="H92" s="44"/>
      <c r="I92" s="44"/>
      <c r="J92" s="44"/>
      <c r="K92" s="45"/>
      <c r="L92" s="43" t="s">
        <v>128</v>
      </c>
      <c r="M92" s="46">
        <f>+M93</f>
        <v>5880000000</v>
      </c>
      <c r="N92" s="741">
        <f t="shared" ref="N92:AA93" si="72">+N93</f>
        <v>0</v>
      </c>
      <c r="O92" s="741">
        <f t="shared" si="72"/>
        <v>0</v>
      </c>
      <c r="P92" s="741">
        <f t="shared" si="72"/>
        <v>0</v>
      </c>
      <c r="Q92" s="46">
        <f t="shared" si="72"/>
        <v>0</v>
      </c>
      <c r="R92" s="46">
        <f t="shared" si="72"/>
        <v>5880000000</v>
      </c>
      <c r="S92" s="46">
        <f t="shared" si="72"/>
        <v>0</v>
      </c>
      <c r="T92" s="46">
        <f t="shared" si="72"/>
        <v>0</v>
      </c>
      <c r="U92" s="46">
        <f t="shared" si="72"/>
        <v>0</v>
      </c>
      <c r="V92" s="47">
        <f t="shared" si="65"/>
        <v>0</v>
      </c>
      <c r="W92" s="46">
        <f t="shared" ref="W92:X92" si="73">+W93</f>
        <v>0</v>
      </c>
      <c r="X92" s="46">
        <f t="shared" si="73"/>
        <v>0</v>
      </c>
      <c r="Y92" s="47">
        <f t="shared" ref="Y92:Y155" si="74">+IF(T92&gt;0,X92/T92,0)</f>
        <v>0</v>
      </c>
      <c r="Z92" s="46">
        <f t="shared" ref="Z92:AA92" si="75">+Z93</f>
        <v>0</v>
      </c>
      <c r="AA92" s="46">
        <f t="shared" si="75"/>
        <v>0</v>
      </c>
      <c r="AB92" s="47">
        <f t="shared" si="63"/>
        <v>0</v>
      </c>
    </row>
    <row r="93" spans="1:28" ht="20.25" customHeight="1">
      <c r="A93" s="32" t="e">
        <f>+CONCATENATE(#REF!,"=",J93)</f>
        <v>#REF!</v>
      </c>
      <c r="B93" s="48" t="str">
        <f>CONCATENATE(C93,"-",D93,"-",E93,"-",F93)</f>
        <v>A-03-03-01</v>
      </c>
      <c r="C93" s="48" t="s">
        <v>23</v>
      </c>
      <c r="D93" s="48" t="s">
        <v>65</v>
      </c>
      <c r="E93" s="48" t="s">
        <v>65</v>
      </c>
      <c r="F93" s="48" t="s">
        <v>25</v>
      </c>
      <c r="G93" s="48"/>
      <c r="H93" s="48"/>
      <c r="I93" s="48"/>
      <c r="J93" s="49"/>
      <c r="K93" s="48"/>
      <c r="L93" s="48" t="s">
        <v>129</v>
      </c>
      <c r="M93" s="50">
        <f>+M94</f>
        <v>5880000000</v>
      </c>
      <c r="N93" s="50">
        <f t="shared" si="72"/>
        <v>0</v>
      </c>
      <c r="O93" s="50">
        <f t="shared" si="72"/>
        <v>0</v>
      </c>
      <c r="P93" s="50">
        <f t="shared" si="72"/>
        <v>0</v>
      </c>
      <c r="Q93" s="50">
        <f t="shared" si="72"/>
        <v>0</v>
      </c>
      <c r="R93" s="50">
        <f t="shared" si="72"/>
        <v>5880000000</v>
      </c>
      <c r="S93" s="50">
        <f t="shared" si="72"/>
        <v>0</v>
      </c>
      <c r="T93" s="50">
        <f t="shared" si="72"/>
        <v>0</v>
      </c>
      <c r="U93" s="50">
        <f t="shared" si="72"/>
        <v>0</v>
      </c>
      <c r="V93" s="51">
        <f t="shared" si="65"/>
        <v>0</v>
      </c>
      <c r="W93" s="50">
        <f t="shared" si="72"/>
        <v>0</v>
      </c>
      <c r="X93" s="50">
        <f t="shared" si="72"/>
        <v>0</v>
      </c>
      <c r="Y93" s="51">
        <f t="shared" si="74"/>
        <v>0</v>
      </c>
      <c r="Z93" s="50">
        <f t="shared" si="72"/>
        <v>0</v>
      </c>
      <c r="AA93" s="50">
        <f t="shared" si="72"/>
        <v>0</v>
      </c>
      <c r="AB93" s="51">
        <f t="shared" si="63"/>
        <v>0</v>
      </c>
    </row>
    <row r="94" spans="1:28" ht="24.95" customHeight="1">
      <c r="A94" s="32" t="e">
        <f>+CONCATENATE(#REF!,"=",J94)</f>
        <v>#REF!</v>
      </c>
      <c r="B94" s="56" t="str">
        <f t="shared" ref="B94" si="76">CONCATENATE(C94,"-",D94,"-",E94,"-",F94,"-",G94)</f>
        <v>A-03-03-01-999</v>
      </c>
      <c r="C94" s="57" t="s">
        <v>23</v>
      </c>
      <c r="D94" s="57" t="s">
        <v>65</v>
      </c>
      <c r="E94" s="57" t="s">
        <v>65</v>
      </c>
      <c r="F94" s="57" t="s">
        <v>25</v>
      </c>
      <c r="G94" s="57" t="s">
        <v>134</v>
      </c>
      <c r="H94" s="57"/>
      <c r="I94" s="57"/>
      <c r="J94" s="57" t="s">
        <v>28</v>
      </c>
      <c r="K94" s="58" t="s">
        <v>29</v>
      </c>
      <c r="L94" s="59" t="s">
        <v>135</v>
      </c>
      <c r="M94" s="60">
        <v>5880000000</v>
      </c>
      <c r="N94" s="60"/>
      <c r="O94" s="60"/>
      <c r="P94" s="60"/>
      <c r="Q94" s="60"/>
      <c r="R94" s="60">
        <v>5880000000</v>
      </c>
      <c r="S94" s="60">
        <f>+M94+N94-O94+P94-Q94-R94</f>
        <v>0</v>
      </c>
      <c r="T94" s="61"/>
      <c r="U94" s="60">
        <f t="shared" ref="U94" si="77">+S94-T94</f>
        <v>0</v>
      </c>
      <c r="V94" s="62">
        <f t="shared" si="65"/>
        <v>0</v>
      </c>
      <c r="W94" s="60"/>
      <c r="X94" s="60">
        <f t="shared" ref="X94" si="78">+T94-W94</f>
        <v>0</v>
      </c>
      <c r="Y94" s="62">
        <f t="shared" si="74"/>
        <v>0</v>
      </c>
      <c r="Z94" s="60"/>
      <c r="AA94" s="60">
        <f t="shared" ref="AA94" si="79">+W94-Z94</f>
        <v>0</v>
      </c>
      <c r="AB94" s="62">
        <f t="shared" si="63"/>
        <v>0</v>
      </c>
    </row>
    <row r="95" spans="1:28" ht="24" customHeight="1">
      <c r="A95" s="32" t="e">
        <f>+CONCATENATE(#REF!,"=",J95)</f>
        <v>#REF!</v>
      </c>
      <c r="B95" s="43" t="str">
        <f>CONCATENATE(C95,"-",D95,"-",E95)</f>
        <v>A-03-04</v>
      </c>
      <c r="C95" s="44" t="s">
        <v>23</v>
      </c>
      <c r="D95" s="44" t="s">
        <v>65</v>
      </c>
      <c r="E95" s="44" t="s">
        <v>136</v>
      </c>
      <c r="F95" s="44"/>
      <c r="G95" s="44"/>
      <c r="H95" s="44"/>
      <c r="I95" s="44"/>
      <c r="J95" s="44"/>
      <c r="K95" s="45"/>
      <c r="L95" s="43" t="s">
        <v>137</v>
      </c>
      <c r="M95" s="46">
        <f>+M96</f>
        <v>598000000</v>
      </c>
      <c r="N95" s="741">
        <f t="shared" ref="N95:AA96" si="80">+N96</f>
        <v>0</v>
      </c>
      <c r="O95" s="741">
        <f t="shared" si="80"/>
        <v>0</v>
      </c>
      <c r="P95" s="46">
        <f t="shared" si="80"/>
        <v>0</v>
      </c>
      <c r="Q95" s="46">
        <f t="shared" si="80"/>
        <v>0</v>
      </c>
      <c r="R95" s="741">
        <f t="shared" si="80"/>
        <v>0</v>
      </c>
      <c r="S95" s="46">
        <f t="shared" si="80"/>
        <v>598000000</v>
      </c>
      <c r="T95" s="46">
        <f t="shared" si="80"/>
        <v>145431729</v>
      </c>
      <c r="U95" s="46">
        <f t="shared" si="80"/>
        <v>452568271</v>
      </c>
      <c r="V95" s="47">
        <f t="shared" si="65"/>
        <v>0.2431968712374582</v>
      </c>
      <c r="W95" s="46">
        <f t="shared" si="80"/>
        <v>70519941</v>
      </c>
      <c r="X95" s="46">
        <f t="shared" si="80"/>
        <v>74911788</v>
      </c>
      <c r="Y95" s="47">
        <f t="shared" si="74"/>
        <v>0.51509934259256451</v>
      </c>
      <c r="Z95" s="46">
        <f t="shared" si="80"/>
        <v>70519941</v>
      </c>
      <c r="AA95" s="46">
        <f t="shared" si="80"/>
        <v>0</v>
      </c>
      <c r="AB95" s="47">
        <f t="shared" si="63"/>
        <v>0.48490065740743549</v>
      </c>
    </row>
    <row r="96" spans="1:28" ht="21" customHeight="1">
      <c r="A96" s="32" t="e">
        <f>+CONCATENATE(#REF!,"=",J96)</f>
        <v>#REF!</v>
      </c>
      <c r="B96" s="48" t="str">
        <f>CONCATENATE(C96,"-",D96,"-",E96,"-",F96)</f>
        <v>A-03-04-02</v>
      </c>
      <c r="C96" s="48" t="s">
        <v>23</v>
      </c>
      <c r="D96" s="48" t="s">
        <v>65</v>
      </c>
      <c r="E96" s="48" t="s">
        <v>136</v>
      </c>
      <c r="F96" s="48" t="s">
        <v>54</v>
      </c>
      <c r="G96" s="48"/>
      <c r="H96" s="48"/>
      <c r="I96" s="48"/>
      <c r="J96" s="49" t="s">
        <v>28</v>
      </c>
      <c r="K96" s="48" t="s">
        <v>29</v>
      </c>
      <c r="L96" s="48" t="s">
        <v>138</v>
      </c>
      <c r="M96" s="50">
        <f>+M97</f>
        <v>598000000</v>
      </c>
      <c r="N96" s="742">
        <f t="shared" si="80"/>
        <v>0</v>
      </c>
      <c r="O96" s="742">
        <f t="shared" si="80"/>
        <v>0</v>
      </c>
      <c r="P96" s="50">
        <f t="shared" si="80"/>
        <v>0</v>
      </c>
      <c r="Q96" s="50">
        <f t="shared" si="80"/>
        <v>0</v>
      </c>
      <c r="R96" s="742">
        <f t="shared" si="80"/>
        <v>0</v>
      </c>
      <c r="S96" s="50">
        <f t="shared" si="80"/>
        <v>598000000</v>
      </c>
      <c r="T96" s="50">
        <f t="shared" si="80"/>
        <v>145431729</v>
      </c>
      <c r="U96" s="50">
        <f t="shared" si="80"/>
        <v>452568271</v>
      </c>
      <c r="V96" s="51">
        <f t="shared" si="65"/>
        <v>0.2431968712374582</v>
      </c>
      <c r="W96" s="50">
        <f t="shared" si="80"/>
        <v>70519941</v>
      </c>
      <c r="X96" s="50">
        <f t="shared" si="80"/>
        <v>74911788</v>
      </c>
      <c r="Y96" s="51">
        <f t="shared" si="74"/>
        <v>0.51509934259256451</v>
      </c>
      <c r="Z96" s="50">
        <f t="shared" si="80"/>
        <v>70519941</v>
      </c>
      <c r="AA96" s="50">
        <f t="shared" si="80"/>
        <v>0</v>
      </c>
      <c r="AB96" s="51">
        <f t="shared" si="63"/>
        <v>0.48490065740743549</v>
      </c>
    </row>
    <row r="97" spans="1:30" ht="21" customHeight="1">
      <c r="A97" s="32" t="e">
        <f>+CONCATENATE(#REF!,"=",J97)</f>
        <v>#REF!</v>
      </c>
      <c r="B97" s="52" t="str">
        <f>CONCATENATE(C97,"-",D97,"-",E97,"-",F97,"-",G97)</f>
        <v>A-03-04-02-012</v>
      </c>
      <c r="C97" s="52" t="s">
        <v>23</v>
      </c>
      <c r="D97" s="52" t="s">
        <v>65</v>
      </c>
      <c r="E97" s="52" t="s">
        <v>136</v>
      </c>
      <c r="F97" s="52" t="s">
        <v>54</v>
      </c>
      <c r="G97" s="52" t="s">
        <v>52</v>
      </c>
      <c r="H97" s="52"/>
      <c r="I97" s="52"/>
      <c r="J97" s="53" t="s">
        <v>28</v>
      </c>
      <c r="K97" s="52" t="s">
        <v>29</v>
      </c>
      <c r="L97" s="52" t="s">
        <v>139</v>
      </c>
      <c r="M97" s="54">
        <f>SUM(M98:M100)</f>
        <v>598000000</v>
      </c>
      <c r="N97" s="743">
        <f t="shared" ref="N97:U97" si="81">SUM(N98:N100)</f>
        <v>0</v>
      </c>
      <c r="O97" s="743">
        <f t="shared" si="81"/>
        <v>0</v>
      </c>
      <c r="P97" s="54">
        <f t="shared" si="81"/>
        <v>0</v>
      </c>
      <c r="Q97" s="54">
        <f t="shared" si="81"/>
        <v>0</v>
      </c>
      <c r="R97" s="743">
        <f t="shared" si="81"/>
        <v>0</v>
      </c>
      <c r="S97" s="54">
        <f t="shared" si="81"/>
        <v>598000000</v>
      </c>
      <c r="T97" s="54">
        <f t="shared" si="81"/>
        <v>145431729</v>
      </c>
      <c r="U97" s="54">
        <f t="shared" si="81"/>
        <v>452568271</v>
      </c>
      <c r="V97" s="55">
        <f t="shared" si="65"/>
        <v>0.2431968712374582</v>
      </c>
      <c r="W97" s="54">
        <f t="shared" ref="W97:X97" si="82">SUM(W98:W100)</f>
        <v>70519941</v>
      </c>
      <c r="X97" s="54">
        <f t="shared" si="82"/>
        <v>74911788</v>
      </c>
      <c r="Y97" s="55">
        <f t="shared" si="74"/>
        <v>0.51509934259256451</v>
      </c>
      <c r="Z97" s="54">
        <f>SUM(Z98:Z100)</f>
        <v>70519941</v>
      </c>
      <c r="AA97" s="54">
        <f>SUM(AA98:AA100)</f>
        <v>0</v>
      </c>
      <c r="AB97" s="55">
        <f t="shared" si="63"/>
        <v>0.48490065740743549</v>
      </c>
    </row>
    <row r="98" spans="1:30" ht="24.95" customHeight="1">
      <c r="A98" s="32" t="e">
        <f>+CONCATENATE(#REF!,"=",J98)</f>
        <v>#REF!</v>
      </c>
      <c r="B98" s="56" t="str">
        <f t="shared" ref="B98:B99" si="83">CONCATENATE(C98,"-",D98,"-",E98,"-",F98,"-",G98,"-",H98)</f>
        <v>A-03-04-02-012-001</v>
      </c>
      <c r="C98" s="57" t="s">
        <v>23</v>
      </c>
      <c r="D98" s="57" t="s">
        <v>65</v>
      </c>
      <c r="E98" s="57" t="s">
        <v>136</v>
      </c>
      <c r="F98" s="57" t="s">
        <v>54</v>
      </c>
      <c r="G98" s="57" t="s">
        <v>52</v>
      </c>
      <c r="H98" s="57" t="s">
        <v>31</v>
      </c>
      <c r="I98" s="57"/>
      <c r="J98" s="57" t="s">
        <v>28</v>
      </c>
      <c r="K98" s="58" t="s">
        <v>29</v>
      </c>
      <c r="L98" s="59" t="s">
        <v>140</v>
      </c>
      <c r="M98" s="60">
        <v>398000000</v>
      </c>
      <c r="N98" s="60"/>
      <c r="O98" s="60"/>
      <c r="P98" s="60"/>
      <c r="Q98" s="60"/>
      <c r="R98" s="61"/>
      <c r="S98" s="60">
        <f>+M98-R98+N98-O98+P98-Q98</f>
        <v>398000000</v>
      </c>
      <c r="T98" s="60">
        <v>75418381</v>
      </c>
      <c r="U98" s="60">
        <f t="shared" si="9"/>
        <v>322581619</v>
      </c>
      <c r="V98" s="62">
        <f t="shared" si="65"/>
        <v>0.18949341959798996</v>
      </c>
      <c r="W98" s="60">
        <v>50410054</v>
      </c>
      <c r="X98" s="60">
        <f t="shared" si="12"/>
        <v>25008327</v>
      </c>
      <c r="Y98" s="62">
        <f t="shared" si="74"/>
        <v>0.33159458832721428</v>
      </c>
      <c r="Z98" s="60">
        <v>50410054</v>
      </c>
      <c r="AA98" s="60">
        <f t="shared" si="10"/>
        <v>0</v>
      </c>
      <c r="AB98" s="62">
        <f t="shared" si="63"/>
        <v>0.66840541167278567</v>
      </c>
    </row>
    <row r="99" spans="1:30" ht="24.95" customHeight="1">
      <c r="A99" s="32" t="e">
        <f>+CONCATENATE(#REF!,"=",J99)</f>
        <v>#REF!</v>
      </c>
      <c r="B99" s="56" t="str">
        <f t="shared" si="83"/>
        <v>A-03-04-02-012-002</v>
      </c>
      <c r="C99" s="57" t="s">
        <v>23</v>
      </c>
      <c r="D99" s="57" t="s">
        <v>65</v>
      </c>
      <c r="E99" s="57" t="s">
        <v>136</v>
      </c>
      <c r="F99" s="57" t="s">
        <v>54</v>
      </c>
      <c r="G99" s="57" t="s">
        <v>52</v>
      </c>
      <c r="H99" s="57" t="s">
        <v>34</v>
      </c>
      <c r="I99" s="57"/>
      <c r="J99" s="57" t="s">
        <v>28</v>
      </c>
      <c r="K99" s="58" t="s">
        <v>29</v>
      </c>
      <c r="L99" s="59" t="s">
        <v>141</v>
      </c>
      <c r="M99" s="60">
        <v>200000000</v>
      </c>
      <c r="N99" s="60"/>
      <c r="O99" s="60"/>
      <c r="P99" s="60"/>
      <c r="Q99" s="60"/>
      <c r="R99" s="61"/>
      <c r="S99" s="60">
        <f>+M99-R99+N99-O99+P99-Q99</f>
        <v>200000000</v>
      </c>
      <c r="T99" s="60">
        <v>70013348</v>
      </c>
      <c r="U99" s="60">
        <f t="shared" si="9"/>
        <v>129986652</v>
      </c>
      <c r="V99" s="62">
        <f t="shared" si="65"/>
        <v>0.35006673999999999</v>
      </c>
      <c r="W99" s="60">
        <v>20109887</v>
      </c>
      <c r="X99" s="60">
        <f t="shared" si="12"/>
        <v>49903461</v>
      </c>
      <c r="Y99" s="62">
        <f t="shared" si="74"/>
        <v>0.71277067052985377</v>
      </c>
      <c r="Z99" s="60">
        <v>20109887</v>
      </c>
      <c r="AA99" s="60">
        <f t="shared" si="10"/>
        <v>0</v>
      </c>
      <c r="AB99" s="62">
        <f t="shared" si="63"/>
        <v>0.28722932947014618</v>
      </c>
    </row>
    <row r="100" spans="1:30" ht="24.95" hidden="1" customHeight="1">
      <c r="A100" s="32" t="e">
        <f>+CONCATENATE(#REF!,"=",J100)</f>
        <v>#REF!</v>
      </c>
      <c r="B100" s="56"/>
      <c r="C100" s="57" t="s">
        <v>23</v>
      </c>
      <c r="D100" s="57" t="s">
        <v>65</v>
      </c>
      <c r="E100" s="57" t="s">
        <v>136</v>
      </c>
      <c r="F100" s="57" t="s">
        <v>54</v>
      </c>
      <c r="G100" s="57" t="s">
        <v>142</v>
      </c>
      <c r="H100" s="57"/>
      <c r="I100" s="57"/>
      <c r="J100" s="57" t="s">
        <v>28</v>
      </c>
      <c r="K100" s="58" t="s">
        <v>29</v>
      </c>
      <c r="L100" s="59"/>
      <c r="M100" s="60">
        <v>0</v>
      </c>
      <c r="N100" s="60"/>
      <c r="O100" s="60"/>
      <c r="P100" s="60"/>
      <c r="Q100" s="60"/>
      <c r="R100" s="61"/>
      <c r="S100" s="60">
        <f t="shared" ref="S100" si="84">+M100+N100-O100+P100-Q100-R100</f>
        <v>0</v>
      </c>
      <c r="T100" s="60">
        <v>0</v>
      </c>
      <c r="U100" s="60">
        <f t="shared" si="9"/>
        <v>0</v>
      </c>
      <c r="V100" s="62">
        <f t="shared" si="65"/>
        <v>0</v>
      </c>
      <c r="W100" s="60">
        <v>0</v>
      </c>
      <c r="X100" s="60">
        <f t="shared" si="12"/>
        <v>0</v>
      </c>
      <c r="Y100" s="62">
        <f t="shared" si="74"/>
        <v>0</v>
      </c>
      <c r="Z100" s="60">
        <v>0</v>
      </c>
      <c r="AA100" s="60">
        <f t="shared" si="10"/>
        <v>0</v>
      </c>
      <c r="AB100" s="62">
        <f t="shared" si="63"/>
        <v>0</v>
      </c>
    </row>
    <row r="101" spans="1:30" ht="24" customHeight="1">
      <c r="A101" s="32" t="e">
        <f>+CONCATENATE(#REF!,"=",J101)</f>
        <v>#REF!</v>
      </c>
      <c r="B101" s="43" t="str">
        <f>CONCATENATE(C101,"-",D101,"-",E101)</f>
        <v>A-03-10</v>
      </c>
      <c r="C101" s="44" t="s">
        <v>23</v>
      </c>
      <c r="D101" s="44" t="s">
        <v>65</v>
      </c>
      <c r="E101" s="44" t="s">
        <v>28</v>
      </c>
      <c r="F101" s="44"/>
      <c r="G101" s="44"/>
      <c r="H101" s="44"/>
      <c r="I101" s="44"/>
      <c r="J101" s="44"/>
      <c r="K101" s="45"/>
      <c r="L101" s="43" t="s">
        <v>143</v>
      </c>
      <c r="M101" s="46">
        <f>+M102</f>
        <v>2359000000</v>
      </c>
      <c r="N101" s="741">
        <f t="shared" ref="N101:U101" si="85">+N102</f>
        <v>0</v>
      </c>
      <c r="O101" s="741">
        <f t="shared" si="85"/>
        <v>0</v>
      </c>
      <c r="P101" s="46">
        <f t="shared" si="85"/>
        <v>0</v>
      </c>
      <c r="Q101" s="46">
        <f t="shared" si="85"/>
        <v>0</v>
      </c>
      <c r="R101" s="741">
        <f t="shared" si="85"/>
        <v>0</v>
      </c>
      <c r="S101" s="46">
        <f t="shared" si="85"/>
        <v>2359000000</v>
      </c>
      <c r="T101" s="46">
        <f t="shared" si="85"/>
        <v>0</v>
      </c>
      <c r="U101" s="46">
        <f t="shared" si="85"/>
        <v>2359000000</v>
      </c>
      <c r="V101" s="47">
        <f t="shared" si="65"/>
        <v>0</v>
      </c>
      <c r="W101" s="46">
        <f t="shared" ref="W101:AA101" si="86">+W102</f>
        <v>0</v>
      </c>
      <c r="X101" s="46">
        <f t="shared" si="86"/>
        <v>0</v>
      </c>
      <c r="Y101" s="47">
        <f t="shared" si="74"/>
        <v>0</v>
      </c>
      <c r="Z101" s="46">
        <f t="shared" si="86"/>
        <v>0</v>
      </c>
      <c r="AA101" s="46">
        <f t="shared" si="86"/>
        <v>0</v>
      </c>
      <c r="AB101" s="47">
        <f t="shared" si="63"/>
        <v>0</v>
      </c>
    </row>
    <row r="102" spans="1:30" ht="21.75" customHeight="1">
      <c r="A102" s="32" t="e">
        <f>+CONCATENATE(#REF!,"=",J102)</f>
        <v>#REF!</v>
      </c>
      <c r="B102" s="48" t="str">
        <f>CONCATENATE(C102,"-",D102,"-",E102,"-",F102)</f>
        <v>A-03-10-01</v>
      </c>
      <c r="C102" s="48" t="s">
        <v>23</v>
      </c>
      <c r="D102" s="48" t="s">
        <v>65</v>
      </c>
      <c r="E102" s="48" t="s">
        <v>28</v>
      </c>
      <c r="F102" s="48" t="s">
        <v>25</v>
      </c>
      <c r="G102" s="48"/>
      <c r="H102" s="48"/>
      <c r="I102" s="48"/>
      <c r="J102" s="49">
        <v>10</v>
      </c>
      <c r="K102" s="48" t="s">
        <v>29</v>
      </c>
      <c r="L102" s="48" t="s">
        <v>145</v>
      </c>
      <c r="M102" s="50">
        <f t="shared" ref="M102:U102" si="87">SUM(M103:M103)</f>
        <v>2359000000</v>
      </c>
      <c r="N102" s="742">
        <f t="shared" si="87"/>
        <v>0</v>
      </c>
      <c r="O102" s="742">
        <f t="shared" si="87"/>
        <v>0</v>
      </c>
      <c r="P102" s="50">
        <f t="shared" si="87"/>
        <v>0</v>
      </c>
      <c r="Q102" s="50">
        <f t="shared" si="87"/>
        <v>0</v>
      </c>
      <c r="R102" s="742">
        <f t="shared" si="87"/>
        <v>0</v>
      </c>
      <c r="S102" s="50">
        <f t="shared" si="87"/>
        <v>2359000000</v>
      </c>
      <c r="T102" s="50">
        <f t="shared" si="87"/>
        <v>0</v>
      </c>
      <c r="U102" s="50">
        <f t="shared" si="87"/>
        <v>2359000000</v>
      </c>
      <c r="V102" s="51">
        <f t="shared" si="65"/>
        <v>0</v>
      </c>
      <c r="W102" s="50">
        <f>SUM(W103:W103)</f>
        <v>0</v>
      </c>
      <c r="X102" s="50">
        <f>SUM(X103:X103)</f>
        <v>0</v>
      </c>
      <c r="Y102" s="51">
        <f t="shared" si="74"/>
        <v>0</v>
      </c>
      <c r="Z102" s="50">
        <f>SUM(Z103:Z103)</f>
        <v>0</v>
      </c>
      <c r="AA102" s="50">
        <f>SUM(AA103:AA103)</f>
        <v>0</v>
      </c>
      <c r="AB102" s="51">
        <f t="shared" si="63"/>
        <v>0</v>
      </c>
    </row>
    <row r="103" spans="1:30" ht="24.95" customHeight="1">
      <c r="A103" s="32" t="e">
        <f>+CONCATENATE(#REF!,"=",J103)</f>
        <v>#REF!</v>
      </c>
      <c r="B103" s="56" t="str">
        <f t="shared" ref="B103" si="88">CONCATENATE(C103,"-",D103,"-",E103,"-",F103,"-",G103)</f>
        <v>A-03-10-01-001</v>
      </c>
      <c r="C103" s="57" t="s">
        <v>23</v>
      </c>
      <c r="D103" s="57" t="s">
        <v>65</v>
      </c>
      <c r="E103" s="57" t="s">
        <v>28</v>
      </c>
      <c r="F103" s="57" t="s">
        <v>25</v>
      </c>
      <c r="G103" s="57" t="s">
        <v>31</v>
      </c>
      <c r="H103" s="57"/>
      <c r="I103" s="57"/>
      <c r="J103" s="57">
        <v>10</v>
      </c>
      <c r="K103" s="58" t="s">
        <v>29</v>
      </c>
      <c r="L103" s="59" t="s">
        <v>146</v>
      </c>
      <c r="M103" s="60">
        <v>2359000000</v>
      </c>
      <c r="N103" s="60"/>
      <c r="O103" s="60"/>
      <c r="P103" s="61"/>
      <c r="Q103" s="60"/>
      <c r="R103" s="61"/>
      <c r="S103" s="60">
        <f>+M103-R103+N103-O103+P103-Q103</f>
        <v>2359000000</v>
      </c>
      <c r="T103" s="60">
        <v>0</v>
      </c>
      <c r="U103" s="60">
        <f t="shared" ref="U103" si="89">+S103-T103</f>
        <v>2359000000</v>
      </c>
      <c r="V103" s="62">
        <f t="shared" si="65"/>
        <v>0</v>
      </c>
      <c r="W103" s="60">
        <v>0</v>
      </c>
      <c r="X103" s="60">
        <f t="shared" ref="X103" si="90">+T103-W103</f>
        <v>0</v>
      </c>
      <c r="Y103" s="62">
        <f t="shared" si="74"/>
        <v>0</v>
      </c>
      <c r="Z103" s="60">
        <v>0</v>
      </c>
      <c r="AA103" s="60">
        <f t="shared" ref="AA103" si="91">+W103-Z103</f>
        <v>0</v>
      </c>
      <c r="AB103" s="62">
        <f t="shared" si="63"/>
        <v>0</v>
      </c>
    </row>
    <row r="104" spans="1:30" ht="24" customHeight="1">
      <c r="A104" s="32" t="e">
        <f>+CONCATENATE(#REF!,"=",J104)</f>
        <v>#REF!</v>
      </c>
      <c r="B104" s="38" t="str">
        <f>CONCATENATE(C104,"-",D104)</f>
        <v>A-08</v>
      </c>
      <c r="C104" s="39" t="s">
        <v>23</v>
      </c>
      <c r="D104" s="39" t="s">
        <v>148</v>
      </c>
      <c r="E104" s="39"/>
      <c r="F104" s="39"/>
      <c r="G104" s="39"/>
      <c r="H104" s="39"/>
      <c r="I104" s="39"/>
      <c r="J104" s="39"/>
      <c r="K104" s="40"/>
      <c r="L104" s="38" t="s">
        <v>149</v>
      </c>
      <c r="M104" s="41">
        <f>+M105+M110</f>
        <v>30002470214</v>
      </c>
      <c r="N104" s="41">
        <f t="shared" ref="N104:U104" si="92">+N105+N110</f>
        <v>0</v>
      </c>
      <c r="O104" s="41">
        <f t="shared" si="92"/>
        <v>0</v>
      </c>
      <c r="P104" s="41">
        <f t="shared" si="92"/>
        <v>0</v>
      </c>
      <c r="Q104" s="41">
        <f t="shared" si="92"/>
        <v>0</v>
      </c>
      <c r="R104" s="41">
        <f t="shared" si="92"/>
        <v>0</v>
      </c>
      <c r="S104" s="41">
        <f t="shared" si="92"/>
        <v>30002470214</v>
      </c>
      <c r="T104" s="41">
        <f t="shared" si="92"/>
        <v>8649205.8399999999</v>
      </c>
      <c r="U104" s="41">
        <f t="shared" si="92"/>
        <v>29993821008.16</v>
      </c>
      <c r="V104" s="42">
        <f t="shared" si="65"/>
        <v>2.8828312396637381E-4</v>
      </c>
      <c r="W104" s="41">
        <f t="shared" ref="W104:X104" si="93">+W105+W110</f>
        <v>8525589.8399999999</v>
      </c>
      <c r="X104" s="41">
        <f t="shared" si="93"/>
        <v>123616</v>
      </c>
      <c r="Y104" s="42">
        <f t="shared" si="74"/>
        <v>1.4292179222780527E-2</v>
      </c>
      <c r="Z104" s="41">
        <f t="shared" ref="Z104:AA104" si="94">+Z105+Z110</f>
        <v>8525589.8399999999</v>
      </c>
      <c r="AA104" s="41">
        <f t="shared" si="94"/>
        <v>0</v>
      </c>
      <c r="AB104" s="42">
        <f t="shared" si="63"/>
        <v>0.98570782077721952</v>
      </c>
    </row>
    <row r="105" spans="1:30" ht="24" customHeight="1">
      <c r="A105" s="32" t="e">
        <f>+CONCATENATE(#REF!,"=",J105)</f>
        <v>#REF!</v>
      </c>
      <c r="B105" s="43" t="str">
        <f>CONCATENATE(C105,"-",D105,"-",E105)</f>
        <v>A-08-01</v>
      </c>
      <c r="C105" s="44" t="s">
        <v>23</v>
      </c>
      <c r="D105" s="44" t="s">
        <v>148</v>
      </c>
      <c r="E105" s="44" t="s">
        <v>25</v>
      </c>
      <c r="F105" s="44"/>
      <c r="G105" s="44"/>
      <c r="H105" s="44"/>
      <c r="I105" s="44"/>
      <c r="J105" s="44"/>
      <c r="K105" s="45"/>
      <c r="L105" s="43" t="s">
        <v>150</v>
      </c>
      <c r="M105" s="46">
        <f>+M106</f>
        <v>145622400</v>
      </c>
      <c r="N105" s="741">
        <f t="shared" ref="N105:AA105" si="95">+N106</f>
        <v>0</v>
      </c>
      <c r="O105" s="741">
        <f t="shared" si="95"/>
        <v>0</v>
      </c>
      <c r="P105" s="741">
        <f t="shared" si="95"/>
        <v>0</v>
      </c>
      <c r="Q105" s="759">
        <f t="shared" si="95"/>
        <v>0</v>
      </c>
      <c r="R105" s="741">
        <f t="shared" si="95"/>
        <v>0</v>
      </c>
      <c r="S105" s="46">
        <f t="shared" si="95"/>
        <v>145622400</v>
      </c>
      <c r="T105" s="46">
        <f t="shared" si="95"/>
        <v>8649205.8399999999</v>
      </c>
      <c r="U105" s="46">
        <f t="shared" si="95"/>
        <v>136973194.16</v>
      </c>
      <c r="V105" s="47">
        <f t="shared" si="65"/>
        <v>5.9394748610103937E-2</v>
      </c>
      <c r="W105" s="46">
        <f t="shared" si="95"/>
        <v>8525589.8399999999</v>
      </c>
      <c r="X105" s="46">
        <f t="shared" si="95"/>
        <v>123616</v>
      </c>
      <c r="Y105" s="47">
        <f t="shared" si="74"/>
        <v>1.4292179222780527E-2</v>
      </c>
      <c r="Z105" s="46">
        <f t="shared" si="95"/>
        <v>8525589.8399999999</v>
      </c>
      <c r="AA105" s="46">
        <f t="shared" si="95"/>
        <v>0</v>
      </c>
      <c r="AB105" s="47">
        <f t="shared" si="63"/>
        <v>0.98570782077721952</v>
      </c>
    </row>
    <row r="106" spans="1:30" ht="24" customHeight="1">
      <c r="A106" s="32" t="e">
        <f>+CONCATENATE(#REF!,"=",J106)</f>
        <v>#REF!</v>
      </c>
      <c r="B106" s="48" t="str">
        <f>CONCATENATE(C106,"-",D106,"-",E106,"-",F106)</f>
        <v>A-08-01-02</v>
      </c>
      <c r="C106" s="48" t="s">
        <v>23</v>
      </c>
      <c r="D106" s="48" t="s">
        <v>148</v>
      </c>
      <c r="E106" s="48" t="s">
        <v>25</v>
      </c>
      <c r="F106" s="48" t="s">
        <v>54</v>
      </c>
      <c r="G106" s="48"/>
      <c r="H106" s="48"/>
      <c r="I106" s="48"/>
      <c r="J106" s="49" t="s">
        <v>28</v>
      </c>
      <c r="K106" s="48" t="s">
        <v>29</v>
      </c>
      <c r="L106" s="48" t="s">
        <v>151</v>
      </c>
      <c r="M106" s="50">
        <f>SUM(M107:M109)</f>
        <v>145622400</v>
      </c>
      <c r="N106" s="742">
        <f t="shared" ref="N106:U106" si="96">SUM(N107:N109)</f>
        <v>0</v>
      </c>
      <c r="O106" s="742">
        <f t="shared" si="96"/>
        <v>0</v>
      </c>
      <c r="P106" s="742">
        <f t="shared" si="96"/>
        <v>0</v>
      </c>
      <c r="Q106" s="760">
        <f t="shared" si="96"/>
        <v>0</v>
      </c>
      <c r="R106" s="742">
        <f t="shared" si="96"/>
        <v>0</v>
      </c>
      <c r="S106" s="50">
        <f t="shared" si="96"/>
        <v>145622400</v>
      </c>
      <c r="T106" s="50">
        <f t="shared" si="96"/>
        <v>8649205.8399999999</v>
      </c>
      <c r="U106" s="50">
        <f t="shared" si="96"/>
        <v>136973194.16</v>
      </c>
      <c r="V106" s="51">
        <f t="shared" si="65"/>
        <v>5.9394748610103937E-2</v>
      </c>
      <c r="W106" s="50">
        <f t="shared" ref="W106:AA106" si="97">SUM(W107:W109)</f>
        <v>8525589.8399999999</v>
      </c>
      <c r="X106" s="50">
        <f t="shared" si="97"/>
        <v>123616</v>
      </c>
      <c r="Y106" s="51">
        <f t="shared" si="74"/>
        <v>1.4292179222780527E-2</v>
      </c>
      <c r="Z106" s="50">
        <f t="shared" si="97"/>
        <v>8525589.8399999999</v>
      </c>
      <c r="AA106" s="50">
        <f t="shared" si="97"/>
        <v>0</v>
      </c>
      <c r="AB106" s="51">
        <f t="shared" si="63"/>
        <v>0.98570782077721952</v>
      </c>
    </row>
    <row r="107" spans="1:30" ht="24.95" customHeight="1">
      <c r="A107" s="32" t="e">
        <f>+CONCATENATE(#REF!,"=",J107)</f>
        <v>#REF!</v>
      </c>
      <c r="B107" s="56" t="str">
        <f t="shared" ref="B107:B109" si="98">CONCATENATE(C107,"-",D107,"-",E107,"-",F107,"-",G107)</f>
        <v>A-08-01-02-001</v>
      </c>
      <c r="C107" s="57" t="s">
        <v>23</v>
      </c>
      <c r="D107" s="57" t="s">
        <v>148</v>
      </c>
      <c r="E107" s="57" t="s">
        <v>25</v>
      </c>
      <c r="F107" s="57" t="s">
        <v>54</v>
      </c>
      <c r="G107" s="57" t="s">
        <v>31</v>
      </c>
      <c r="H107" s="57"/>
      <c r="I107" s="57"/>
      <c r="J107" s="57" t="s">
        <v>28</v>
      </c>
      <c r="K107" s="58" t="s">
        <v>29</v>
      </c>
      <c r="L107" s="59" t="s">
        <v>152</v>
      </c>
      <c r="M107" s="60">
        <v>69216000</v>
      </c>
      <c r="N107" s="60">
        <v>0</v>
      </c>
      <c r="O107" s="60"/>
      <c r="P107" s="60"/>
      <c r="Q107" s="61"/>
      <c r="R107" s="61"/>
      <c r="S107" s="60">
        <f>+M107-R107+N107-O107+P107-Q107</f>
        <v>69216000</v>
      </c>
      <c r="T107" s="60">
        <v>0</v>
      </c>
      <c r="U107" s="60">
        <f t="shared" si="9"/>
        <v>69216000</v>
      </c>
      <c r="V107" s="62">
        <f t="shared" si="65"/>
        <v>0</v>
      </c>
      <c r="W107" s="60">
        <v>0</v>
      </c>
      <c r="X107" s="60">
        <f t="shared" si="12"/>
        <v>0</v>
      </c>
      <c r="Y107" s="62">
        <f t="shared" si="74"/>
        <v>0</v>
      </c>
      <c r="Z107" s="60">
        <v>0</v>
      </c>
      <c r="AA107" s="60">
        <f t="shared" si="10"/>
        <v>0</v>
      </c>
      <c r="AB107" s="62">
        <f t="shared" si="63"/>
        <v>0</v>
      </c>
    </row>
    <row r="108" spans="1:30" ht="24.95" customHeight="1">
      <c r="A108" s="32" t="e">
        <f>+CONCATENATE(#REF!,"=",J108)</f>
        <v>#REF!</v>
      </c>
      <c r="B108" s="56" t="str">
        <f t="shared" si="98"/>
        <v>A-08-01-02-004</v>
      </c>
      <c r="C108" s="57" t="s">
        <v>23</v>
      </c>
      <c r="D108" s="57" t="s">
        <v>148</v>
      </c>
      <c r="E108" s="57" t="s">
        <v>25</v>
      </c>
      <c r="F108" s="57" t="s">
        <v>54</v>
      </c>
      <c r="G108" s="57" t="s">
        <v>38</v>
      </c>
      <c r="H108" s="57"/>
      <c r="I108" s="57"/>
      <c r="J108" s="57" t="s">
        <v>28</v>
      </c>
      <c r="K108" s="58" t="s">
        <v>29</v>
      </c>
      <c r="L108" s="59" t="s">
        <v>153</v>
      </c>
      <c r="M108" s="60">
        <v>56000000</v>
      </c>
      <c r="N108" s="60"/>
      <c r="O108" s="60"/>
      <c r="P108" s="60"/>
      <c r="Q108" s="61"/>
      <c r="R108" s="61"/>
      <c r="S108" s="60">
        <f>+M108-R108+N108-O108+P108-Q108</f>
        <v>56000000</v>
      </c>
      <c r="T108" s="60">
        <v>8649205.8399999999</v>
      </c>
      <c r="U108" s="60">
        <f t="shared" si="9"/>
        <v>47350794.159999996</v>
      </c>
      <c r="V108" s="62">
        <f t="shared" si="65"/>
        <v>0.15445010428571429</v>
      </c>
      <c r="W108" s="60">
        <v>8525589.8399999999</v>
      </c>
      <c r="X108" s="60">
        <f t="shared" si="12"/>
        <v>123616</v>
      </c>
      <c r="Y108" s="62">
        <f t="shared" si="74"/>
        <v>1.4292179222780527E-2</v>
      </c>
      <c r="Z108" s="60">
        <v>8525589.8399999999</v>
      </c>
      <c r="AA108" s="60">
        <f t="shared" si="10"/>
        <v>0</v>
      </c>
      <c r="AB108" s="62">
        <f t="shared" si="63"/>
        <v>0.98570782077721952</v>
      </c>
    </row>
    <row r="109" spans="1:30" ht="24.95" customHeight="1">
      <c r="A109" s="32" t="e">
        <f>+CONCATENATE(#REF!,"=",J109)</f>
        <v>#REF!</v>
      </c>
      <c r="B109" s="56" t="str">
        <f t="shared" si="98"/>
        <v>A-08-01-02-006</v>
      </c>
      <c r="C109" s="57" t="s">
        <v>23</v>
      </c>
      <c r="D109" s="57" t="s">
        <v>148</v>
      </c>
      <c r="E109" s="57" t="s">
        <v>25</v>
      </c>
      <c r="F109" s="57" t="s">
        <v>54</v>
      </c>
      <c r="G109" s="57" t="s">
        <v>42</v>
      </c>
      <c r="H109" s="57"/>
      <c r="I109" s="57"/>
      <c r="J109" s="57" t="s">
        <v>28</v>
      </c>
      <c r="K109" s="58" t="s">
        <v>29</v>
      </c>
      <c r="L109" s="59" t="s">
        <v>154</v>
      </c>
      <c r="M109" s="60">
        <v>20406400</v>
      </c>
      <c r="N109" s="60">
        <v>0</v>
      </c>
      <c r="O109" s="60"/>
      <c r="P109" s="60"/>
      <c r="Q109" s="61"/>
      <c r="R109" s="61"/>
      <c r="S109" s="60">
        <f>+M109-R109+N109-O109+P109-Q109</f>
        <v>20406400</v>
      </c>
      <c r="T109" s="60">
        <v>0</v>
      </c>
      <c r="U109" s="60">
        <f t="shared" si="9"/>
        <v>20406400</v>
      </c>
      <c r="V109" s="62">
        <f t="shared" si="65"/>
        <v>0</v>
      </c>
      <c r="W109" s="60">
        <v>0</v>
      </c>
      <c r="X109" s="60">
        <f t="shared" si="12"/>
        <v>0</v>
      </c>
      <c r="Y109" s="62">
        <f t="shared" si="74"/>
        <v>0</v>
      </c>
      <c r="Z109" s="60">
        <v>0</v>
      </c>
      <c r="AA109" s="60">
        <f t="shared" si="10"/>
        <v>0</v>
      </c>
      <c r="AB109" s="62">
        <f t="shared" si="63"/>
        <v>0</v>
      </c>
    </row>
    <row r="110" spans="1:30" ht="24" customHeight="1">
      <c r="A110" s="32" t="e">
        <f>+CONCATENATE(#REF!,"=",J110)</f>
        <v>#REF!</v>
      </c>
      <c r="B110" s="43" t="str">
        <f>CONCATENATE(C110,"-",D110,"-",E110)</f>
        <v>A-08-04</v>
      </c>
      <c r="C110" s="44" t="s">
        <v>23</v>
      </c>
      <c r="D110" s="44" t="s">
        <v>148</v>
      </c>
      <c r="E110" s="44" t="s">
        <v>136</v>
      </c>
      <c r="F110" s="44"/>
      <c r="G110" s="44"/>
      <c r="H110" s="44"/>
      <c r="I110" s="44"/>
      <c r="J110" s="44"/>
      <c r="K110" s="45"/>
      <c r="L110" s="43" t="s">
        <v>155</v>
      </c>
      <c r="M110" s="46">
        <f t="shared" ref="M110:U110" si="99">SUM(M111:M111)</f>
        <v>29856847814</v>
      </c>
      <c r="N110" s="741">
        <f t="shared" si="99"/>
        <v>0</v>
      </c>
      <c r="O110" s="741">
        <f t="shared" si="99"/>
        <v>0</v>
      </c>
      <c r="P110" s="46">
        <f t="shared" si="99"/>
        <v>0</v>
      </c>
      <c r="Q110" s="741">
        <f t="shared" si="99"/>
        <v>0</v>
      </c>
      <c r="R110" s="741">
        <f t="shared" si="99"/>
        <v>0</v>
      </c>
      <c r="S110" s="46">
        <f t="shared" si="99"/>
        <v>29856847814</v>
      </c>
      <c r="T110" s="46">
        <f t="shared" si="99"/>
        <v>0</v>
      </c>
      <c r="U110" s="46">
        <f t="shared" si="99"/>
        <v>29856847814</v>
      </c>
      <c r="V110" s="47">
        <f t="shared" si="65"/>
        <v>0</v>
      </c>
      <c r="W110" s="46">
        <f>SUM(W111:W111)</f>
        <v>0</v>
      </c>
      <c r="X110" s="46">
        <f>SUM(X111:X111)</f>
        <v>0</v>
      </c>
      <c r="Y110" s="47">
        <f t="shared" si="74"/>
        <v>0</v>
      </c>
      <c r="Z110" s="46">
        <f>SUM(Z111:Z111)</f>
        <v>0</v>
      </c>
      <c r="AA110" s="46">
        <f>SUM(AA111:AA111)</f>
        <v>0</v>
      </c>
      <c r="AB110" s="47">
        <f t="shared" si="63"/>
        <v>0</v>
      </c>
    </row>
    <row r="111" spans="1:30" ht="24.95" customHeight="1">
      <c r="A111" s="32" t="e">
        <f>+CONCATENATE(#REF!,"=",J111)</f>
        <v>#REF!</v>
      </c>
      <c r="B111" s="56" t="str">
        <f>CONCATENATE(C111,"-",D111,"-",E111,"-",F111)</f>
        <v>A-08-04-01</v>
      </c>
      <c r="C111" s="57" t="s">
        <v>23</v>
      </c>
      <c r="D111" s="57" t="s">
        <v>148</v>
      </c>
      <c r="E111" s="57" t="s">
        <v>136</v>
      </c>
      <c r="F111" s="57" t="s">
        <v>25</v>
      </c>
      <c r="G111" s="57"/>
      <c r="H111" s="57"/>
      <c r="I111" s="57"/>
      <c r="J111" s="57" t="s">
        <v>144</v>
      </c>
      <c r="K111" s="58" t="s">
        <v>156</v>
      </c>
      <c r="L111" s="59" t="s">
        <v>157</v>
      </c>
      <c r="M111" s="60">
        <v>29856847814</v>
      </c>
      <c r="N111" s="60"/>
      <c r="O111" s="60"/>
      <c r="P111" s="60"/>
      <c r="Q111" s="60"/>
      <c r="R111" s="61"/>
      <c r="S111" s="60">
        <f>+M111-R111+N111-O111+P111-Q111</f>
        <v>29856847814</v>
      </c>
      <c r="T111" s="61">
        <v>0</v>
      </c>
      <c r="U111" s="60">
        <f t="shared" si="9"/>
        <v>29856847814</v>
      </c>
      <c r="V111" s="62">
        <f t="shared" si="65"/>
        <v>0</v>
      </c>
      <c r="W111" s="60">
        <v>0</v>
      </c>
      <c r="X111" s="60">
        <f t="shared" si="12"/>
        <v>0</v>
      </c>
      <c r="Y111" s="62">
        <f t="shared" si="74"/>
        <v>0</v>
      </c>
      <c r="Z111" s="60">
        <v>0</v>
      </c>
      <c r="AA111" s="60">
        <f t="shared" si="10"/>
        <v>0</v>
      </c>
      <c r="AB111" s="62">
        <f t="shared" si="63"/>
        <v>0</v>
      </c>
    </row>
    <row r="112" spans="1:30" ht="35.1" customHeight="1">
      <c r="A112" s="32" t="e">
        <f>+CONCATENATE(#REF!,"=",J112)</f>
        <v>#REF!</v>
      </c>
      <c r="B112" s="33" t="str">
        <f>CONCATENATE(C115)</f>
        <v>B</v>
      </c>
      <c r="C112" s="34" t="s">
        <v>162</v>
      </c>
      <c r="D112" s="35"/>
      <c r="E112" s="35"/>
      <c r="F112" s="35"/>
      <c r="G112" s="35"/>
      <c r="H112" s="35"/>
      <c r="I112" s="35"/>
      <c r="J112" s="34"/>
      <c r="K112" s="35"/>
      <c r="L112" s="33" t="s">
        <v>163</v>
      </c>
      <c r="M112" s="36">
        <f>+M113</f>
        <v>3731140006</v>
      </c>
      <c r="N112" s="739">
        <f t="shared" ref="N112:AA114" si="100">+N113</f>
        <v>0</v>
      </c>
      <c r="O112" s="739">
        <f t="shared" si="100"/>
        <v>0</v>
      </c>
      <c r="P112" s="739">
        <f t="shared" si="100"/>
        <v>0</v>
      </c>
      <c r="Q112" s="739">
        <f t="shared" si="100"/>
        <v>0</v>
      </c>
      <c r="R112" s="739">
        <f t="shared" si="100"/>
        <v>0</v>
      </c>
      <c r="S112" s="36">
        <f t="shared" si="100"/>
        <v>3731140006</v>
      </c>
      <c r="T112" s="36">
        <f t="shared" si="100"/>
        <v>0</v>
      </c>
      <c r="U112" s="36">
        <f t="shared" si="100"/>
        <v>3731140006</v>
      </c>
      <c r="V112" s="37">
        <f t="shared" si="65"/>
        <v>0</v>
      </c>
      <c r="W112" s="36">
        <f t="shared" si="100"/>
        <v>0</v>
      </c>
      <c r="X112" s="36">
        <f t="shared" si="100"/>
        <v>0</v>
      </c>
      <c r="Y112" s="37">
        <f t="shared" si="74"/>
        <v>0</v>
      </c>
      <c r="Z112" s="36">
        <f t="shared" si="100"/>
        <v>0</v>
      </c>
      <c r="AA112" s="36">
        <f t="shared" si="100"/>
        <v>0</v>
      </c>
      <c r="AB112" s="37">
        <f>+IF(T112&gt;0,(Z112/T112),0)</f>
        <v>0</v>
      </c>
    </row>
    <row r="113" spans="1:28" ht="24" customHeight="1">
      <c r="A113" s="32" t="e">
        <f>+CONCATENATE(#REF!,"=",J113)</f>
        <v>#REF!</v>
      </c>
      <c r="B113" s="38" t="str">
        <f>CONCATENATE(C113,"-",D113)</f>
        <v>B-10</v>
      </c>
      <c r="C113" s="39" t="s">
        <v>162</v>
      </c>
      <c r="D113" s="39">
        <v>10</v>
      </c>
      <c r="E113" s="39"/>
      <c r="F113" s="39"/>
      <c r="G113" s="39"/>
      <c r="H113" s="39"/>
      <c r="I113" s="39"/>
      <c r="J113" s="39"/>
      <c r="K113" s="40"/>
      <c r="L113" s="38" t="s">
        <v>164</v>
      </c>
      <c r="M113" s="41">
        <f>+M114</f>
        <v>3731140006</v>
      </c>
      <c r="N113" s="740">
        <f t="shared" si="100"/>
        <v>0</v>
      </c>
      <c r="O113" s="740">
        <f t="shared" si="100"/>
        <v>0</v>
      </c>
      <c r="P113" s="740">
        <f>+P114</f>
        <v>0</v>
      </c>
      <c r="Q113" s="740">
        <f t="shared" si="100"/>
        <v>0</v>
      </c>
      <c r="R113" s="740">
        <f t="shared" si="100"/>
        <v>0</v>
      </c>
      <c r="S113" s="41">
        <f t="shared" si="100"/>
        <v>3731140006</v>
      </c>
      <c r="T113" s="41">
        <f t="shared" si="100"/>
        <v>0</v>
      </c>
      <c r="U113" s="41">
        <f t="shared" si="100"/>
        <v>3731140006</v>
      </c>
      <c r="V113" s="42">
        <f t="shared" si="65"/>
        <v>0</v>
      </c>
      <c r="W113" s="41">
        <f t="shared" si="100"/>
        <v>0</v>
      </c>
      <c r="X113" s="41">
        <f t="shared" si="100"/>
        <v>0</v>
      </c>
      <c r="Y113" s="42">
        <f t="shared" si="74"/>
        <v>0</v>
      </c>
      <c r="Z113" s="41">
        <f t="shared" si="100"/>
        <v>0</v>
      </c>
      <c r="AA113" s="41">
        <f t="shared" si="100"/>
        <v>0</v>
      </c>
      <c r="AB113" s="42">
        <f t="shared" ref="AB113:AB115" si="101">+IF(T113&gt;0,(Z113/T113),0)</f>
        <v>0</v>
      </c>
    </row>
    <row r="114" spans="1:28" ht="24" customHeight="1">
      <c r="A114" s="32" t="e">
        <f>+CONCATENATE(#REF!,"=",J114)</f>
        <v>#REF!</v>
      </c>
      <c r="B114" s="43" t="str">
        <f>CONCATENATE(C114,"-",D114,"-",E114)</f>
        <v>B-10-04</v>
      </c>
      <c r="C114" s="44" t="s">
        <v>162</v>
      </c>
      <c r="D114" s="44">
        <v>10</v>
      </c>
      <c r="E114" s="44" t="s">
        <v>136</v>
      </c>
      <c r="F114" s="44"/>
      <c r="G114" s="44"/>
      <c r="H114" s="44"/>
      <c r="I114" s="44"/>
      <c r="J114" s="44"/>
      <c r="K114" s="45"/>
      <c r="L114" s="43" t="s">
        <v>165</v>
      </c>
      <c r="M114" s="46">
        <f>+M115</f>
        <v>3731140006</v>
      </c>
      <c r="N114" s="741">
        <f t="shared" si="100"/>
        <v>0</v>
      </c>
      <c r="O114" s="741">
        <f t="shared" si="100"/>
        <v>0</v>
      </c>
      <c r="P114" s="741">
        <f t="shared" si="100"/>
        <v>0</v>
      </c>
      <c r="Q114" s="741">
        <f t="shared" si="100"/>
        <v>0</v>
      </c>
      <c r="R114" s="741">
        <f t="shared" si="100"/>
        <v>0</v>
      </c>
      <c r="S114" s="46">
        <f t="shared" si="100"/>
        <v>3731140006</v>
      </c>
      <c r="T114" s="46">
        <f t="shared" si="100"/>
        <v>0</v>
      </c>
      <c r="U114" s="46">
        <f t="shared" si="100"/>
        <v>3731140006</v>
      </c>
      <c r="V114" s="47">
        <f t="shared" si="65"/>
        <v>0</v>
      </c>
      <c r="W114" s="46">
        <f t="shared" si="100"/>
        <v>0</v>
      </c>
      <c r="X114" s="46">
        <f t="shared" si="100"/>
        <v>0</v>
      </c>
      <c r="Y114" s="47">
        <f t="shared" si="74"/>
        <v>0</v>
      </c>
      <c r="Z114" s="46">
        <f t="shared" si="100"/>
        <v>0</v>
      </c>
      <c r="AA114" s="46">
        <f t="shared" si="100"/>
        <v>0</v>
      </c>
      <c r="AB114" s="47">
        <f t="shared" si="101"/>
        <v>0</v>
      </c>
    </row>
    <row r="115" spans="1:28" ht="24.95" customHeight="1">
      <c r="A115" s="32" t="e">
        <f>+CONCATENATE(#REF!,"=",J115)</f>
        <v>#REF!</v>
      </c>
      <c r="B115" s="56" t="str">
        <f>CONCATENATE(C115,"-",D115,"-",E115,"-",F115)</f>
        <v>B-10-04-01</v>
      </c>
      <c r="C115" s="57" t="s">
        <v>162</v>
      </c>
      <c r="D115" s="57">
        <v>10</v>
      </c>
      <c r="E115" s="57" t="s">
        <v>136</v>
      </c>
      <c r="F115" s="57" t="s">
        <v>25</v>
      </c>
      <c r="G115" s="57"/>
      <c r="H115" s="57"/>
      <c r="I115" s="57"/>
      <c r="J115" s="57" t="s">
        <v>144</v>
      </c>
      <c r="K115" s="58" t="s">
        <v>29</v>
      </c>
      <c r="L115" s="59" t="s">
        <v>166</v>
      </c>
      <c r="M115" s="60">
        <v>3731140006</v>
      </c>
      <c r="N115" s="60"/>
      <c r="O115" s="60"/>
      <c r="P115" s="60"/>
      <c r="Q115" s="60"/>
      <c r="R115" s="61"/>
      <c r="S115" s="60">
        <f>+M115-R115+N115-O115+P115-Q115</f>
        <v>3731140006</v>
      </c>
      <c r="T115" s="61"/>
      <c r="U115" s="60">
        <f t="shared" ref="U115" si="102">+S115-T115</f>
        <v>3731140006</v>
      </c>
      <c r="V115" s="62">
        <f t="shared" si="65"/>
        <v>0</v>
      </c>
      <c r="W115" s="60"/>
      <c r="X115" s="60">
        <f t="shared" ref="X115" si="103">+T115-W115</f>
        <v>0</v>
      </c>
      <c r="Y115" s="62">
        <f t="shared" si="74"/>
        <v>0</v>
      </c>
      <c r="Z115" s="60"/>
      <c r="AA115" s="60">
        <f t="shared" ref="AA115" si="104">+W115-Z115</f>
        <v>0</v>
      </c>
      <c r="AB115" s="62">
        <f t="shared" si="101"/>
        <v>0</v>
      </c>
    </row>
    <row r="116" spans="1:28" ht="35.1" customHeight="1">
      <c r="A116" s="32" t="e">
        <f>+CONCATENATE(#REF!,"=",J116)</f>
        <v>#REF!</v>
      </c>
      <c r="B116" s="33" t="str">
        <f>CONCATENATE(C117)</f>
        <v>C</v>
      </c>
      <c r="C116" s="34" t="s">
        <v>167</v>
      </c>
      <c r="D116" s="35"/>
      <c r="E116" s="35"/>
      <c r="F116" s="35"/>
      <c r="G116" s="35"/>
      <c r="H116" s="35"/>
      <c r="I116" s="35"/>
      <c r="J116" s="34"/>
      <c r="K116" s="35"/>
      <c r="L116" s="33" t="s">
        <v>168</v>
      </c>
      <c r="M116" s="36">
        <f t="shared" ref="M116:U116" si="105">+M117+M133+M221</f>
        <v>6468380211524</v>
      </c>
      <c r="N116" s="36">
        <f t="shared" si="105"/>
        <v>0</v>
      </c>
      <c r="O116" s="739">
        <f t="shared" si="105"/>
        <v>0</v>
      </c>
      <c r="P116" s="36">
        <f t="shared" si="105"/>
        <v>0</v>
      </c>
      <c r="Q116" s="36">
        <f t="shared" si="105"/>
        <v>0</v>
      </c>
      <c r="R116" s="739">
        <f t="shared" si="105"/>
        <v>0</v>
      </c>
      <c r="S116" s="36">
        <f t="shared" si="105"/>
        <v>6468380211524</v>
      </c>
      <c r="T116" s="36">
        <f t="shared" si="105"/>
        <v>443493142811.51001</v>
      </c>
      <c r="U116" s="36">
        <f t="shared" si="105"/>
        <v>6024887068712.4902</v>
      </c>
      <c r="V116" s="37">
        <f t="shared" si="65"/>
        <v>6.8563245868167602E-2</v>
      </c>
      <c r="W116" s="36">
        <f>+W117+W133+W221</f>
        <v>15750541694.259998</v>
      </c>
      <c r="X116" s="36">
        <f>+X117+X133+X221</f>
        <v>427742601117.24994</v>
      </c>
      <c r="Y116" s="37">
        <f t="shared" si="74"/>
        <v>0.96448526442954663</v>
      </c>
      <c r="Z116" s="36">
        <f>+Z117+Z133+Z221</f>
        <v>15278790901.27</v>
      </c>
      <c r="AA116" s="36">
        <f>+AA117+AA133+AA221</f>
        <v>471750792.98999977</v>
      </c>
      <c r="AB116" s="37">
        <f t="shared" si="63"/>
        <v>3.4451019477799848E-2</v>
      </c>
    </row>
    <row r="117" spans="1:28" ht="24" hidden="1" customHeight="1">
      <c r="A117" s="32" t="e">
        <f>+CONCATENATE(#REF!,"=",J117)</f>
        <v>#REF!</v>
      </c>
      <c r="B117" s="69" t="str">
        <f>CONCATENATE(C117,"-",D117)</f>
        <v>C-4101</v>
      </c>
      <c r="C117" s="70" t="s">
        <v>167</v>
      </c>
      <c r="D117" s="70">
        <v>4101</v>
      </c>
      <c r="E117" s="70"/>
      <c r="F117" s="70"/>
      <c r="G117" s="70"/>
      <c r="H117" s="70"/>
      <c r="I117" s="70"/>
      <c r="J117" s="70"/>
      <c r="K117" s="71"/>
      <c r="L117" s="69" t="s">
        <v>169</v>
      </c>
      <c r="M117" s="41">
        <f>+M118</f>
        <v>0</v>
      </c>
      <c r="N117" s="41">
        <f t="shared" ref="N117:R117" si="106">+N118</f>
        <v>0</v>
      </c>
      <c r="O117" s="740">
        <f t="shared" si="106"/>
        <v>0</v>
      </c>
      <c r="P117" s="41">
        <f t="shared" si="106"/>
        <v>0</v>
      </c>
      <c r="Q117" s="41">
        <f t="shared" si="106"/>
        <v>0</v>
      </c>
      <c r="R117" s="740">
        <f t="shared" si="106"/>
        <v>0</v>
      </c>
      <c r="S117" s="41">
        <f>+S118</f>
        <v>0</v>
      </c>
      <c r="T117" s="41">
        <f t="shared" ref="T117:AA117" si="107">+T118</f>
        <v>0</v>
      </c>
      <c r="U117" s="41">
        <f t="shared" si="107"/>
        <v>0</v>
      </c>
      <c r="V117" s="42">
        <f t="shared" si="65"/>
        <v>0</v>
      </c>
      <c r="W117" s="41">
        <f t="shared" si="107"/>
        <v>0</v>
      </c>
      <c r="X117" s="41">
        <f t="shared" si="107"/>
        <v>0</v>
      </c>
      <c r="Y117" s="42">
        <f t="shared" si="74"/>
        <v>0</v>
      </c>
      <c r="Z117" s="41">
        <f t="shared" si="107"/>
        <v>0</v>
      </c>
      <c r="AA117" s="41">
        <f t="shared" si="107"/>
        <v>0</v>
      </c>
      <c r="AB117" s="42">
        <f t="shared" si="63"/>
        <v>0</v>
      </c>
    </row>
    <row r="118" spans="1:28" ht="24" hidden="1" customHeight="1">
      <c r="A118" s="32" t="e">
        <f>+CONCATENATE(#REF!,"=",J118)</f>
        <v>#REF!</v>
      </c>
      <c r="B118" s="72" t="str">
        <f>CONCATENATE(C118,"-",D118,"-",E118)</f>
        <v>C-4101-1500</v>
      </c>
      <c r="C118" s="73" t="s">
        <v>167</v>
      </c>
      <c r="D118" s="73">
        <v>4101</v>
      </c>
      <c r="E118" s="73">
        <v>1500</v>
      </c>
      <c r="F118" s="73"/>
      <c r="G118" s="73"/>
      <c r="H118" s="73"/>
      <c r="I118" s="73"/>
      <c r="J118" s="73"/>
      <c r="K118" s="74"/>
      <c r="L118" s="72" t="s">
        <v>170</v>
      </c>
      <c r="M118" s="46"/>
      <c r="N118" s="46"/>
      <c r="O118" s="741"/>
      <c r="P118" s="46"/>
      <c r="Q118" s="46"/>
      <c r="R118" s="741"/>
      <c r="S118" s="46"/>
      <c r="T118" s="46"/>
      <c r="U118" s="46"/>
      <c r="V118" s="47">
        <f t="shared" si="65"/>
        <v>0</v>
      </c>
      <c r="W118" s="46"/>
      <c r="X118" s="46"/>
      <c r="Y118" s="47">
        <f t="shared" si="74"/>
        <v>0</v>
      </c>
      <c r="Z118" s="46"/>
      <c r="AA118" s="46"/>
      <c r="AB118" s="47">
        <f t="shared" si="63"/>
        <v>0</v>
      </c>
    </row>
    <row r="119" spans="1:28" ht="60" hidden="1" customHeight="1">
      <c r="A119" s="32" t="e">
        <f>+CONCATENATE(#REF!,"=",J119)</f>
        <v>#REF!</v>
      </c>
      <c r="B119" s="75" t="str">
        <f>CONCATENATE(C119,"-",D119,"-",E119,"-",F119)</f>
        <v>C-4101-1500-6</v>
      </c>
      <c r="C119" s="75" t="s">
        <v>167</v>
      </c>
      <c r="D119" s="75" t="s">
        <v>171</v>
      </c>
      <c r="E119" s="75" t="s">
        <v>172</v>
      </c>
      <c r="F119" s="75" t="s">
        <v>173</v>
      </c>
      <c r="G119" s="75"/>
      <c r="H119" s="75"/>
      <c r="I119" s="75"/>
      <c r="J119" s="76"/>
      <c r="K119" s="75"/>
      <c r="L119" s="75" t="s">
        <v>174</v>
      </c>
      <c r="M119" s="50">
        <f>+M124+M126+M128+M130+M120+M122</f>
        <v>0</v>
      </c>
      <c r="N119" s="50">
        <f t="shared" ref="N119:U119" si="108">+N124+N126+N128+N130+N120+N122</f>
        <v>0</v>
      </c>
      <c r="O119" s="742">
        <f t="shared" si="108"/>
        <v>0</v>
      </c>
      <c r="P119" s="50">
        <f t="shared" si="108"/>
        <v>0</v>
      </c>
      <c r="Q119" s="50">
        <f t="shared" si="108"/>
        <v>0</v>
      </c>
      <c r="R119" s="742">
        <f t="shared" si="108"/>
        <v>0</v>
      </c>
      <c r="S119" s="50">
        <f t="shared" si="108"/>
        <v>0</v>
      </c>
      <c r="T119" s="50">
        <f t="shared" si="108"/>
        <v>0</v>
      </c>
      <c r="U119" s="50">
        <f t="shared" si="108"/>
        <v>0</v>
      </c>
      <c r="V119" s="51">
        <f t="shared" si="65"/>
        <v>0</v>
      </c>
      <c r="W119" s="50">
        <f t="shared" ref="W119:AA119" si="109">+W124+W126+W128+W130+W120+W122</f>
        <v>0</v>
      </c>
      <c r="X119" s="50">
        <f t="shared" si="109"/>
        <v>0</v>
      </c>
      <c r="Y119" s="51">
        <f t="shared" si="74"/>
        <v>0</v>
      </c>
      <c r="Z119" s="50">
        <f t="shared" si="109"/>
        <v>0</v>
      </c>
      <c r="AA119" s="50">
        <f t="shared" si="109"/>
        <v>0</v>
      </c>
      <c r="AB119" s="51">
        <f t="shared" si="63"/>
        <v>0</v>
      </c>
    </row>
    <row r="120" spans="1:28" ht="24" hidden="1" customHeight="1">
      <c r="A120" s="32" t="e">
        <f>+CONCATENATE(#REF!,"=",J120)</f>
        <v>#REF!</v>
      </c>
      <c r="B120" s="77" t="str">
        <f>CONCATENATE(C120,"-",D120,"-",E120,"-",F120,"-",G120,"-",H120)</f>
        <v>C-4101-1500-6-0-4101073</v>
      </c>
      <c r="C120" s="52" t="s">
        <v>167</v>
      </c>
      <c r="D120" s="52" t="s">
        <v>171</v>
      </c>
      <c r="E120" s="52" t="s">
        <v>172</v>
      </c>
      <c r="F120" s="52" t="s">
        <v>173</v>
      </c>
      <c r="G120" s="52" t="s">
        <v>175</v>
      </c>
      <c r="H120" s="52" t="s">
        <v>176</v>
      </c>
      <c r="I120" s="52"/>
      <c r="J120" s="53" t="s">
        <v>144</v>
      </c>
      <c r="K120" s="52" t="s">
        <v>29</v>
      </c>
      <c r="L120" s="77" t="s">
        <v>177</v>
      </c>
      <c r="M120" s="54">
        <f t="shared" ref="M120:U120" si="110">SUM(M121:M121)</f>
        <v>0</v>
      </c>
      <c r="N120" s="54">
        <f t="shared" si="110"/>
        <v>0</v>
      </c>
      <c r="O120" s="743">
        <f t="shared" si="110"/>
        <v>0</v>
      </c>
      <c r="P120" s="54">
        <f t="shared" si="110"/>
        <v>0</v>
      </c>
      <c r="Q120" s="54">
        <f t="shared" si="110"/>
        <v>0</v>
      </c>
      <c r="R120" s="743">
        <f t="shared" si="110"/>
        <v>0</v>
      </c>
      <c r="S120" s="54">
        <f t="shared" si="110"/>
        <v>0</v>
      </c>
      <c r="T120" s="54">
        <f t="shared" si="110"/>
        <v>0</v>
      </c>
      <c r="U120" s="54">
        <f t="shared" si="110"/>
        <v>0</v>
      </c>
      <c r="V120" s="55">
        <f t="shared" si="65"/>
        <v>0</v>
      </c>
      <c r="W120" s="54">
        <f t="shared" ref="W120:X120" si="111">SUM(W121:W121)</f>
        <v>0</v>
      </c>
      <c r="X120" s="54">
        <f t="shared" si="111"/>
        <v>0</v>
      </c>
      <c r="Y120" s="55">
        <f t="shared" si="74"/>
        <v>0</v>
      </c>
      <c r="Z120" s="54">
        <f t="shared" ref="Z120:AA120" si="112">SUM(Z121:Z121)</f>
        <v>0</v>
      </c>
      <c r="AA120" s="54">
        <f t="shared" si="112"/>
        <v>0</v>
      </c>
      <c r="AB120" s="55">
        <f t="shared" si="63"/>
        <v>0</v>
      </c>
    </row>
    <row r="121" spans="1:28" ht="24.95" hidden="1" customHeight="1">
      <c r="A121" s="32" t="e">
        <f>+CONCATENATE(#REF!,"=",J121)</f>
        <v>#REF!</v>
      </c>
      <c r="B121" s="78" t="str">
        <f>CONCATENATE(C121,"-",D121,"-",E121,"-",F121,"-",G121,"-",H121,"-",I121)</f>
        <v>C-4101-1500-6-0-4101073-02</v>
      </c>
      <c r="C121" s="79" t="s">
        <v>167</v>
      </c>
      <c r="D121" s="79" t="s">
        <v>171</v>
      </c>
      <c r="E121" s="79" t="s">
        <v>172</v>
      </c>
      <c r="F121" s="79" t="s">
        <v>173</v>
      </c>
      <c r="G121" s="79" t="s">
        <v>175</v>
      </c>
      <c r="H121" s="79" t="s">
        <v>176</v>
      </c>
      <c r="I121" s="79" t="s">
        <v>54</v>
      </c>
      <c r="J121" s="79" t="s">
        <v>144</v>
      </c>
      <c r="K121" s="80" t="s">
        <v>29</v>
      </c>
      <c r="L121" s="59" t="s">
        <v>178</v>
      </c>
      <c r="M121" s="60"/>
      <c r="N121" s="60"/>
      <c r="O121" s="745"/>
      <c r="P121" s="60"/>
      <c r="Q121" s="60"/>
      <c r="R121" s="745"/>
      <c r="S121" s="60">
        <f>+M121-R121+N121-O121+P121-Q121</f>
        <v>0</v>
      </c>
      <c r="T121" s="60"/>
      <c r="U121" s="60">
        <f t="shared" ref="U121:U163" si="113">+S121-T121</f>
        <v>0</v>
      </c>
      <c r="V121" s="62">
        <f t="shared" si="65"/>
        <v>0</v>
      </c>
      <c r="W121" s="60"/>
      <c r="X121" s="60">
        <f t="shared" ref="X121:X163" si="114">+T121-W121</f>
        <v>0</v>
      </c>
      <c r="Y121" s="62">
        <f t="shared" si="74"/>
        <v>0</v>
      </c>
      <c r="Z121" s="60"/>
      <c r="AA121" s="60">
        <f t="shared" ref="AA121:AA163" si="115">+W121-Z121</f>
        <v>0</v>
      </c>
      <c r="AB121" s="62">
        <f t="shared" si="63"/>
        <v>0</v>
      </c>
    </row>
    <row r="122" spans="1:28" ht="33" hidden="1" customHeight="1">
      <c r="A122" s="32" t="e">
        <f>+CONCATENATE(#REF!,"=",J122)</f>
        <v>#REF!</v>
      </c>
      <c r="B122" s="77" t="str">
        <f>CONCATENATE(C122,"-",D122,"-",E122,"-",F122,"-",G122,"-",H122)</f>
        <v>C-4101-1500-6-0-4101074</v>
      </c>
      <c r="C122" s="52" t="s">
        <v>167</v>
      </c>
      <c r="D122" s="52" t="s">
        <v>171</v>
      </c>
      <c r="E122" s="52" t="s">
        <v>172</v>
      </c>
      <c r="F122" s="52" t="s">
        <v>173</v>
      </c>
      <c r="G122" s="52" t="s">
        <v>175</v>
      </c>
      <c r="H122" s="52" t="s">
        <v>179</v>
      </c>
      <c r="I122" s="52"/>
      <c r="J122" s="53" t="s">
        <v>144</v>
      </c>
      <c r="K122" s="52" t="s">
        <v>29</v>
      </c>
      <c r="L122" s="77" t="s">
        <v>180</v>
      </c>
      <c r="M122" s="54">
        <f>+M123</f>
        <v>0</v>
      </c>
      <c r="N122" s="54">
        <f t="shared" ref="N122:AA122" si="116">+N123</f>
        <v>0</v>
      </c>
      <c r="O122" s="743">
        <f t="shared" si="116"/>
        <v>0</v>
      </c>
      <c r="P122" s="54">
        <f t="shared" si="116"/>
        <v>0</v>
      </c>
      <c r="Q122" s="54">
        <f t="shared" si="116"/>
        <v>0</v>
      </c>
      <c r="R122" s="743">
        <f t="shared" si="116"/>
        <v>0</v>
      </c>
      <c r="S122" s="54">
        <f t="shared" si="116"/>
        <v>0</v>
      </c>
      <c r="T122" s="54">
        <f t="shared" si="116"/>
        <v>0</v>
      </c>
      <c r="U122" s="54">
        <f t="shared" si="116"/>
        <v>0</v>
      </c>
      <c r="V122" s="55">
        <f t="shared" si="65"/>
        <v>0</v>
      </c>
      <c r="W122" s="54">
        <f t="shared" si="116"/>
        <v>0</v>
      </c>
      <c r="X122" s="54">
        <f t="shared" si="116"/>
        <v>0</v>
      </c>
      <c r="Y122" s="55">
        <f t="shared" si="74"/>
        <v>0</v>
      </c>
      <c r="Z122" s="54">
        <f t="shared" si="116"/>
        <v>0</v>
      </c>
      <c r="AA122" s="54">
        <f t="shared" si="116"/>
        <v>0</v>
      </c>
      <c r="AB122" s="55">
        <f t="shared" si="63"/>
        <v>0</v>
      </c>
    </row>
    <row r="123" spans="1:28" ht="24.95" hidden="1" customHeight="1">
      <c r="A123" s="32" t="e">
        <f>+CONCATENATE(#REF!,"=",J123)</f>
        <v>#REF!</v>
      </c>
      <c r="B123" s="78" t="str">
        <f t="shared" ref="B123:B129" si="117">CONCATENATE(C123,"-",D123,"-",E123,"-",F123,"-",G123,"-",H123,"-",I123)</f>
        <v>C-4101-1500-6-0-4101074-02</v>
      </c>
      <c r="C123" s="79" t="s">
        <v>167</v>
      </c>
      <c r="D123" s="79" t="s">
        <v>171</v>
      </c>
      <c r="E123" s="79" t="s">
        <v>172</v>
      </c>
      <c r="F123" s="79" t="s">
        <v>173</v>
      </c>
      <c r="G123" s="79" t="s">
        <v>175</v>
      </c>
      <c r="H123" s="79" t="s">
        <v>179</v>
      </c>
      <c r="I123" s="79" t="s">
        <v>54</v>
      </c>
      <c r="J123" s="79" t="s">
        <v>144</v>
      </c>
      <c r="K123" s="80" t="s">
        <v>29</v>
      </c>
      <c r="L123" s="59" t="s">
        <v>178</v>
      </c>
      <c r="M123" s="60"/>
      <c r="N123" s="60"/>
      <c r="O123" s="745"/>
      <c r="P123" s="60"/>
      <c r="Q123" s="60"/>
      <c r="R123" s="745"/>
      <c r="S123" s="60">
        <f>+M123-R123+N123-O123+P123-Q123</f>
        <v>0</v>
      </c>
      <c r="T123" s="60"/>
      <c r="U123" s="60">
        <f t="shared" si="113"/>
        <v>0</v>
      </c>
      <c r="V123" s="62">
        <f t="shared" si="65"/>
        <v>0</v>
      </c>
      <c r="W123" s="60"/>
      <c r="X123" s="60">
        <f t="shared" si="114"/>
        <v>0</v>
      </c>
      <c r="Y123" s="62">
        <f t="shared" si="74"/>
        <v>0</v>
      </c>
      <c r="Z123" s="60"/>
      <c r="AA123" s="60">
        <f t="shared" si="115"/>
        <v>0</v>
      </c>
      <c r="AB123" s="62">
        <f t="shared" si="63"/>
        <v>0</v>
      </c>
    </row>
    <row r="124" spans="1:28" ht="43.5" hidden="1" customHeight="1">
      <c r="A124" s="32" t="e">
        <f>+CONCATENATE(#REF!,"=",J124)</f>
        <v>#REF!</v>
      </c>
      <c r="B124" s="77" t="str">
        <f t="shared" si="117"/>
        <v>C-4101-1500-6-0-4101077-</v>
      </c>
      <c r="C124" s="52" t="s">
        <v>167</v>
      </c>
      <c r="D124" s="52" t="s">
        <v>171</v>
      </c>
      <c r="E124" s="52" t="s">
        <v>172</v>
      </c>
      <c r="F124" s="52" t="s">
        <v>173</v>
      </c>
      <c r="G124" s="52" t="s">
        <v>175</v>
      </c>
      <c r="H124" s="52" t="s">
        <v>181</v>
      </c>
      <c r="I124" s="52"/>
      <c r="J124" s="53" t="s">
        <v>144</v>
      </c>
      <c r="K124" s="52" t="s">
        <v>29</v>
      </c>
      <c r="L124" s="77" t="s">
        <v>182</v>
      </c>
      <c r="M124" s="54">
        <f>+M125</f>
        <v>0</v>
      </c>
      <c r="N124" s="54">
        <f t="shared" ref="N124:AA124" si="118">+N125</f>
        <v>0</v>
      </c>
      <c r="O124" s="743">
        <f t="shared" si="118"/>
        <v>0</v>
      </c>
      <c r="P124" s="54">
        <f t="shared" si="118"/>
        <v>0</v>
      </c>
      <c r="Q124" s="54">
        <f t="shared" si="118"/>
        <v>0</v>
      </c>
      <c r="R124" s="743">
        <f t="shared" si="118"/>
        <v>0</v>
      </c>
      <c r="S124" s="54">
        <f t="shared" si="118"/>
        <v>0</v>
      </c>
      <c r="T124" s="54">
        <f t="shared" si="118"/>
        <v>0</v>
      </c>
      <c r="U124" s="54">
        <f t="shared" si="118"/>
        <v>0</v>
      </c>
      <c r="V124" s="55">
        <f t="shared" si="65"/>
        <v>0</v>
      </c>
      <c r="W124" s="54">
        <f t="shared" si="118"/>
        <v>0</v>
      </c>
      <c r="X124" s="54">
        <f t="shared" si="118"/>
        <v>0</v>
      </c>
      <c r="Y124" s="55">
        <f t="shared" si="74"/>
        <v>0</v>
      </c>
      <c r="Z124" s="54">
        <f t="shared" si="118"/>
        <v>0</v>
      </c>
      <c r="AA124" s="54">
        <f t="shared" si="118"/>
        <v>0</v>
      </c>
      <c r="AB124" s="55">
        <f t="shared" si="63"/>
        <v>0</v>
      </c>
    </row>
    <row r="125" spans="1:28" ht="24.95" hidden="1" customHeight="1">
      <c r="A125" s="32" t="e">
        <f>+CONCATENATE(#REF!,"=",J125)</f>
        <v>#REF!</v>
      </c>
      <c r="B125" s="78" t="str">
        <f t="shared" si="117"/>
        <v>C-4101-1500-6-0-4101077-02</v>
      </c>
      <c r="C125" s="79" t="s">
        <v>167</v>
      </c>
      <c r="D125" s="79" t="s">
        <v>171</v>
      </c>
      <c r="E125" s="79" t="s">
        <v>172</v>
      </c>
      <c r="F125" s="79" t="s">
        <v>173</v>
      </c>
      <c r="G125" s="79" t="s">
        <v>175</v>
      </c>
      <c r="H125" s="79" t="s">
        <v>181</v>
      </c>
      <c r="I125" s="79" t="s">
        <v>54</v>
      </c>
      <c r="J125" s="79" t="s">
        <v>144</v>
      </c>
      <c r="K125" s="80" t="s">
        <v>29</v>
      </c>
      <c r="L125" s="59" t="s">
        <v>178</v>
      </c>
      <c r="M125" s="60"/>
      <c r="N125" s="60"/>
      <c r="O125" s="745"/>
      <c r="P125" s="60"/>
      <c r="Q125" s="60"/>
      <c r="R125" s="745"/>
      <c r="S125" s="60">
        <f>+M125-R125+N125-O125+P125-Q125</f>
        <v>0</v>
      </c>
      <c r="T125" s="60"/>
      <c r="U125" s="60">
        <f t="shared" si="113"/>
        <v>0</v>
      </c>
      <c r="V125" s="62">
        <f t="shared" si="65"/>
        <v>0</v>
      </c>
      <c r="W125" s="60"/>
      <c r="X125" s="60">
        <f t="shared" si="114"/>
        <v>0</v>
      </c>
      <c r="Y125" s="62">
        <f t="shared" si="74"/>
        <v>0</v>
      </c>
      <c r="Z125" s="60"/>
      <c r="AA125" s="60">
        <f t="shared" si="115"/>
        <v>0</v>
      </c>
      <c r="AB125" s="62">
        <f t="shared" si="63"/>
        <v>0</v>
      </c>
    </row>
    <row r="126" spans="1:28" ht="45" hidden="1" customHeight="1">
      <c r="A126" s="32" t="e">
        <f>+CONCATENATE(#REF!,"=",J126)</f>
        <v>#REF!</v>
      </c>
      <c r="B126" s="77" t="str">
        <f t="shared" si="117"/>
        <v>C-4101-1500-6-0-4101078-</v>
      </c>
      <c r="C126" s="52" t="s">
        <v>167</v>
      </c>
      <c r="D126" s="52" t="s">
        <v>171</v>
      </c>
      <c r="E126" s="52" t="s">
        <v>172</v>
      </c>
      <c r="F126" s="52" t="s">
        <v>173</v>
      </c>
      <c r="G126" s="52" t="s">
        <v>175</v>
      </c>
      <c r="H126" s="52" t="s">
        <v>183</v>
      </c>
      <c r="I126" s="52"/>
      <c r="J126" s="53" t="s">
        <v>144</v>
      </c>
      <c r="K126" s="52" t="s">
        <v>29</v>
      </c>
      <c r="L126" s="77" t="s">
        <v>184</v>
      </c>
      <c r="M126" s="54">
        <f t="shared" ref="M126:U126" si="119">SUM(M127:M127)</f>
        <v>0</v>
      </c>
      <c r="N126" s="54">
        <f t="shared" si="119"/>
        <v>0</v>
      </c>
      <c r="O126" s="743">
        <f t="shared" si="119"/>
        <v>0</v>
      </c>
      <c r="P126" s="54">
        <f t="shared" si="119"/>
        <v>0</v>
      </c>
      <c r="Q126" s="54">
        <f t="shared" si="119"/>
        <v>0</v>
      </c>
      <c r="R126" s="743">
        <f t="shared" si="119"/>
        <v>0</v>
      </c>
      <c r="S126" s="54">
        <f t="shared" si="119"/>
        <v>0</v>
      </c>
      <c r="T126" s="54">
        <f t="shared" si="119"/>
        <v>0</v>
      </c>
      <c r="U126" s="54">
        <f t="shared" si="119"/>
        <v>0</v>
      </c>
      <c r="V126" s="55">
        <f t="shared" si="65"/>
        <v>0</v>
      </c>
      <c r="W126" s="54">
        <f t="shared" ref="W126:X126" si="120">SUM(W127:W127)</f>
        <v>0</v>
      </c>
      <c r="X126" s="54">
        <f t="shared" si="120"/>
        <v>0</v>
      </c>
      <c r="Y126" s="55">
        <f t="shared" si="74"/>
        <v>0</v>
      </c>
      <c r="Z126" s="54">
        <f t="shared" ref="Z126:AA126" si="121">SUM(Z127:Z127)</f>
        <v>0</v>
      </c>
      <c r="AA126" s="54">
        <f t="shared" si="121"/>
        <v>0</v>
      </c>
      <c r="AB126" s="55">
        <f t="shared" si="63"/>
        <v>0</v>
      </c>
    </row>
    <row r="127" spans="1:28" ht="24.95" hidden="1" customHeight="1">
      <c r="A127" s="32" t="e">
        <f>+CONCATENATE(#REF!,"=",J127)</f>
        <v>#REF!</v>
      </c>
      <c r="B127" s="78" t="str">
        <f t="shared" si="117"/>
        <v>C-4101-1500-6-0-4101078-02</v>
      </c>
      <c r="C127" s="79" t="s">
        <v>167</v>
      </c>
      <c r="D127" s="79" t="s">
        <v>171</v>
      </c>
      <c r="E127" s="79" t="s">
        <v>172</v>
      </c>
      <c r="F127" s="79" t="s">
        <v>173</v>
      </c>
      <c r="G127" s="79" t="s">
        <v>175</v>
      </c>
      <c r="H127" s="79" t="s">
        <v>183</v>
      </c>
      <c r="I127" s="79" t="s">
        <v>54</v>
      </c>
      <c r="J127" s="79" t="s">
        <v>144</v>
      </c>
      <c r="K127" s="80" t="s">
        <v>29</v>
      </c>
      <c r="L127" s="59" t="s">
        <v>178</v>
      </c>
      <c r="M127" s="60">
        <v>0</v>
      </c>
      <c r="N127" s="60"/>
      <c r="O127" s="745"/>
      <c r="P127" s="60"/>
      <c r="Q127" s="60"/>
      <c r="R127" s="745"/>
      <c r="S127" s="60">
        <f>+M127-R127+N127-O127+P127-Q127</f>
        <v>0</v>
      </c>
      <c r="T127" s="60">
        <v>0</v>
      </c>
      <c r="U127" s="60">
        <f t="shared" si="113"/>
        <v>0</v>
      </c>
      <c r="V127" s="62">
        <f t="shared" si="65"/>
        <v>0</v>
      </c>
      <c r="W127" s="60">
        <v>0</v>
      </c>
      <c r="X127" s="60">
        <f t="shared" si="114"/>
        <v>0</v>
      </c>
      <c r="Y127" s="62">
        <f t="shared" si="74"/>
        <v>0</v>
      </c>
      <c r="Z127" s="60">
        <v>0</v>
      </c>
      <c r="AA127" s="60">
        <f t="shared" si="115"/>
        <v>0</v>
      </c>
      <c r="AB127" s="62">
        <f t="shared" si="63"/>
        <v>0</v>
      </c>
    </row>
    <row r="128" spans="1:28" ht="33.75" hidden="1" customHeight="1">
      <c r="A128" s="32" t="e">
        <f>+CONCATENATE(#REF!,"=",J128)</f>
        <v>#REF!</v>
      </c>
      <c r="B128" s="77" t="str">
        <f>CONCATENATE(C128,"-",D128,"-",E128,"-",F128,"-",G128,"-",H128)</f>
        <v>C-4101-1500-6-0-4101080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185</v>
      </c>
      <c r="I128" s="52"/>
      <c r="J128" s="53" t="s">
        <v>144</v>
      </c>
      <c r="K128" s="52" t="s">
        <v>29</v>
      </c>
      <c r="L128" s="77" t="s">
        <v>186</v>
      </c>
      <c r="M128" s="54">
        <f>+M129</f>
        <v>0</v>
      </c>
      <c r="N128" s="54">
        <f t="shared" ref="N128:AA128" si="122">+N129</f>
        <v>0</v>
      </c>
      <c r="O128" s="743">
        <f t="shared" si="122"/>
        <v>0</v>
      </c>
      <c r="P128" s="54">
        <f t="shared" si="122"/>
        <v>0</v>
      </c>
      <c r="Q128" s="54">
        <f t="shared" si="122"/>
        <v>0</v>
      </c>
      <c r="R128" s="743">
        <f t="shared" si="122"/>
        <v>0</v>
      </c>
      <c r="S128" s="54">
        <f t="shared" si="122"/>
        <v>0</v>
      </c>
      <c r="T128" s="54">
        <f t="shared" si="122"/>
        <v>0</v>
      </c>
      <c r="U128" s="54">
        <f t="shared" si="122"/>
        <v>0</v>
      </c>
      <c r="V128" s="55">
        <f t="shared" si="65"/>
        <v>0</v>
      </c>
      <c r="W128" s="54">
        <f t="shared" si="122"/>
        <v>0</v>
      </c>
      <c r="X128" s="54">
        <f t="shared" si="122"/>
        <v>0</v>
      </c>
      <c r="Y128" s="55">
        <f t="shared" si="74"/>
        <v>0</v>
      </c>
      <c r="Z128" s="54">
        <f t="shared" si="122"/>
        <v>0</v>
      </c>
      <c r="AA128" s="54">
        <f t="shared" si="122"/>
        <v>0</v>
      </c>
      <c r="AB128" s="55">
        <f t="shared" si="63"/>
        <v>0</v>
      </c>
    </row>
    <row r="129" spans="1:28" ht="24.95" hidden="1" customHeight="1">
      <c r="A129" s="32" t="e">
        <f>+CONCATENATE(#REF!,"=",J129)</f>
        <v>#REF!</v>
      </c>
      <c r="B129" s="78" t="str">
        <f t="shared" si="117"/>
        <v>C-4101-1500-6-0-4101080-02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185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/>
      <c r="N129" s="60"/>
      <c r="O129" s="745"/>
      <c r="P129" s="60"/>
      <c r="Q129" s="60"/>
      <c r="R129" s="745"/>
      <c r="S129" s="60">
        <f>+M129-R129+N129-O129+P129-Q129</f>
        <v>0</v>
      </c>
      <c r="T129" s="60"/>
      <c r="U129" s="60">
        <f t="shared" si="113"/>
        <v>0</v>
      </c>
      <c r="V129" s="62">
        <f t="shared" si="65"/>
        <v>0</v>
      </c>
      <c r="W129" s="60"/>
      <c r="X129" s="60">
        <f t="shared" si="114"/>
        <v>0</v>
      </c>
      <c r="Y129" s="62">
        <f t="shared" si="74"/>
        <v>0</v>
      </c>
      <c r="Z129" s="60"/>
      <c r="AA129" s="60">
        <f t="shared" si="115"/>
        <v>0</v>
      </c>
      <c r="AB129" s="62">
        <f t="shared" si="63"/>
        <v>0</v>
      </c>
    </row>
    <row r="130" spans="1:28" ht="24" hidden="1" customHeight="1">
      <c r="A130" s="32" t="e">
        <f>+CONCATENATE(#REF!,"=",J130)</f>
        <v>#REF!</v>
      </c>
      <c r="B130" s="77"/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187</v>
      </c>
      <c r="I130" s="52"/>
      <c r="J130" s="53" t="s">
        <v>144</v>
      </c>
      <c r="K130" s="52" t="s">
        <v>29</v>
      </c>
      <c r="L130" s="77" t="s">
        <v>188</v>
      </c>
      <c r="M130" s="54">
        <f>SUM(M131:M132)</f>
        <v>0</v>
      </c>
      <c r="N130" s="54">
        <f t="shared" ref="N130:AA130" si="123">SUM(N131:N132)</f>
        <v>0</v>
      </c>
      <c r="O130" s="743">
        <f t="shared" si="123"/>
        <v>0</v>
      </c>
      <c r="P130" s="54">
        <f t="shared" si="123"/>
        <v>0</v>
      </c>
      <c r="Q130" s="54">
        <f t="shared" si="123"/>
        <v>0</v>
      </c>
      <c r="R130" s="743">
        <f t="shared" si="123"/>
        <v>0</v>
      </c>
      <c r="S130" s="54">
        <f t="shared" si="123"/>
        <v>0</v>
      </c>
      <c r="T130" s="54">
        <f t="shared" si="123"/>
        <v>0</v>
      </c>
      <c r="U130" s="54">
        <f t="shared" si="123"/>
        <v>0</v>
      </c>
      <c r="V130" s="55">
        <f t="shared" si="65"/>
        <v>0</v>
      </c>
      <c r="W130" s="54">
        <f t="shared" si="123"/>
        <v>0</v>
      </c>
      <c r="X130" s="54">
        <f t="shared" si="123"/>
        <v>0</v>
      </c>
      <c r="Y130" s="55">
        <f t="shared" si="74"/>
        <v>0</v>
      </c>
      <c r="Z130" s="54">
        <f t="shared" si="123"/>
        <v>0</v>
      </c>
      <c r="AA130" s="54">
        <f t="shared" si="123"/>
        <v>0</v>
      </c>
      <c r="AB130" s="55">
        <f t="shared" si="63"/>
        <v>0</v>
      </c>
    </row>
    <row r="131" spans="1:28" ht="24.95" hidden="1" customHeight="1">
      <c r="A131" s="32" t="e">
        <f>+CONCATENATE(#REF!,"=",J131)</f>
        <v>#REF!</v>
      </c>
      <c r="B131" s="78"/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187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>
        <v>0</v>
      </c>
      <c r="N131" s="60"/>
      <c r="O131" s="745"/>
      <c r="P131" s="60"/>
      <c r="Q131" s="60"/>
      <c r="R131" s="745"/>
      <c r="S131" s="60">
        <f>+M131-R131+N131-O131+P131-Q131</f>
        <v>0</v>
      </c>
      <c r="T131" s="60">
        <v>0</v>
      </c>
      <c r="U131" s="60">
        <f t="shared" si="113"/>
        <v>0</v>
      </c>
      <c r="V131" s="62">
        <f t="shared" si="65"/>
        <v>0</v>
      </c>
      <c r="W131" s="60">
        <v>0</v>
      </c>
      <c r="X131" s="60">
        <f t="shared" si="114"/>
        <v>0</v>
      </c>
      <c r="Y131" s="62">
        <f t="shared" si="74"/>
        <v>0</v>
      </c>
      <c r="Z131" s="60">
        <v>0</v>
      </c>
      <c r="AA131" s="60">
        <f t="shared" si="115"/>
        <v>0</v>
      </c>
      <c r="AB131" s="62">
        <f t="shared" si="63"/>
        <v>0</v>
      </c>
    </row>
    <row r="132" spans="1:28" ht="24.95" hidden="1" customHeight="1">
      <c r="A132" s="32" t="e">
        <f>+CONCATENATE(#REF!,"=",J132)</f>
        <v>#REF!</v>
      </c>
      <c r="B132" s="78"/>
      <c r="C132" s="79" t="s">
        <v>167</v>
      </c>
      <c r="D132" s="79" t="s">
        <v>171</v>
      </c>
      <c r="E132" s="79" t="s">
        <v>172</v>
      </c>
      <c r="F132" s="79" t="s">
        <v>173</v>
      </c>
      <c r="G132" s="79" t="s">
        <v>175</v>
      </c>
      <c r="H132" s="79" t="s">
        <v>187</v>
      </c>
      <c r="I132" s="79" t="s">
        <v>65</v>
      </c>
      <c r="J132" s="79" t="s">
        <v>144</v>
      </c>
      <c r="K132" s="80" t="s">
        <v>29</v>
      </c>
      <c r="L132" s="59" t="s">
        <v>127</v>
      </c>
      <c r="M132" s="60">
        <v>0</v>
      </c>
      <c r="N132" s="60"/>
      <c r="O132" s="745"/>
      <c r="P132" s="60"/>
      <c r="Q132" s="60"/>
      <c r="R132" s="745"/>
      <c r="S132" s="60">
        <f>+M132-R132+N132-O132+P132-Q132</f>
        <v>0</v>
      </c>
      <c r="T132" s="60">
        <v>0</v>
      </c>
      <c r="U132" s="60">
        <f t="shared" si="113"/>
        <v>0</v>
      </c>
      <c r="V132" s="62">
        <f t="shared" si="65"/>
        <v>0</v>
      </c>
      <c r="W132" s="60">
        <v>0</v>
      </c>
      <c r="X132" s="60">
        <f t="shared" si="114"/>
        <v>0</v>
      </c>
      <c r="Y132" s="62">
        <f t="shared" si="74"/>
        <v>0</v>
      </c>
      <c r="Z132" s="60">
        <v>0</v>
      </c>
      <c r="AA132" s="60">
        <f t="shared" si="115"/>
        <v>0</v>
      </c>
      <c r="AB132" s="62">
        <f t="shared" si="63"/>
        <v>0</v>
      </c>
    </row>
    <row r="133" spans="1:28" ht="31.5" customHeight="1">
      <c r="A133" s="32" t="e">
        <f>+CONCATENATE(#REF!,"=",J133)</f>
        <v>#REF!</v>
      </c>
      <c r="B133" s="38" t="str">
        <f>CONCATENATE(C133,"-",D133)</f>
        <v>C-4103</v>
      </c>
      <c r="C133" s="39" t="s">
        <v>167</v>
      </c>
      <c r="D133" s="39">
        <v>4103</v>
      </c>
      <c r="E133" s="39"/>
      <c r="F133" s="39"/>
      <c r="G133" s="39"/>
      <c r="H133" s="39"/>
      <c r="I133" s="39"/>
      <c r="J133" s="39"/>
      <c r="K133" s="40"/>
      <c r="L133" s="38" t="s">
        <v>189</v>
      </c>
      <c r="M133" s="41">
        <f>+M134</f>
        <v>6462380211524</v>
      </c>
      <c r="N133" s="41">
        <f t="shared" ref="N133:U133" si="124">+N134</f>
        <v>0</v>
      </c>
      <c r="O133" s="740">
        <f t="shared" si="124"/>
        <v>0</v>
      </c>
      <c r="P133" s="41">
        <f t="shared" si="124"/>
        <v>0</v>
      </c>
      <c r="Q133" s="41">
        <f t="shared" si="124"/>
        <v>0</v>
      </c>
      <c r="R133" s="740">
        <f t="shared" si="124"/>
        <v>0</v>
      </c>
      <c r="S133" s="41">
        <f t="shared" si="124"/>
        <v>6462380211524</v>
      </c>
      <c r="T133" s="41">
        <f t="shared" si="124"/>
        <v>442838377403.51001</v>
      </c>
      <c r="U133" s="41">
        <f t="shared" si="124"/>
        <v>6019541834120.4902</v>
      </c>
      <c r="V133" s="42">
        <f t="shared" si="65"/>
        <v>6.8525583903872006E-2</v>
      </c>
      <c r="W133" s="41">
        <f t="shared" ref="W133:X133" si="125">+W134</f>
        <v>15750541694.259998</v>
      </c>
      <c r="X133" s="41">
        <f t="shared" si="125"/>
        <v>427087835709.24994</v>
      </c>
      <c r="Y133" s="42">
        <f t="shared" si="74"/>
        <v>0.96443275357793046</v>
      </c>
      <c r="Z133" s="41">
        <f t="shared" ref="Z133:AA133" si="126">+Z134</f>
        <v>15278790901.27</v>
      </c>
      <c r="AA133" s="41">
        <f t="shared" si="126"/>
        <v>471750792.98999977</v>
      </c>
      <c r="AB133" s="42">
        <f t="shared" si="63"/>
        <v>3.4501957555833324E-2</v>
      </c>
    </row>
    <row r="134" spans="1:28" ht="24" customHeight="1">
      <c r="A134" s="32" t="e">
        <f>+CONCATENATE(#REF!,"=",J134)</f>
        <v>#REF!</v>
      </c>
      <c r="B134" s="43" t="str">
        <f>CONCATENATE(C134,"-",D134,"-",E134)</f>
        <v>C-4103-1500</v>
      </c>
      <c r="C134" s="44" t="s">
        <v>167</v>
      </c>
      <c r="D134" s="44">
        <v>4103</v>
      </c>
      <c r="E134" s="44">
        <v>1500</v>
      </c>
      <c r="F134" s="44"/>
      <c r="G134" s="44"/>
      <c r="H134" s="44"/>
      <c r="I134" s="44"/>
      <c r="J134" s="44"/>
      <c r="K134" s="45"/>
      <c r="L134" s="43" t="s">
        <v>170</v>
      </c>
      <c r="M134" s="46">
        <f t="shared" ref="M134:U134" si="127">+M135+M143+M152+M159+M164+M172+M179+M184+M210+M195+M215+M169</f>
        <v>6462380211524</v>
      </c>
      <c r="N134" s="46">
        <f t="shared" si="127"/>
        <v>0</v>
      </c>
      <c r="O134" s="46">
        <f t="shared" si="127"/>
        <v>0</v>
      </c>
      <c r="P134" s="46">
        <f t="shared" si="127"/>
        <v>0</v>
      </c>
      <c r="Q134" s="46">
        <f t="shared" si="127"/>
        <v>0</v>
      </c>
      <c r="R134" s="46">
        <f t="shared" si="127"/>
        <v>0</v>
      </c>
      <c r="S134" s="46">
        <f t="shared" si="127"/>
        <v>6462380211524</v>
      </c>
      <c r="T134" s="46">
        <f t="shared" si="127"/>
        <v>442838377403.51001</v>
      </c>
      <c r="U134" s="46">
        <f t="shared" si="127"/>
        <v>6019541834120.4902</v>
      </c>
      <c r="V134" s="47">
        <f t="shared" si="65"/>
        <v>6.8525583903872006E-2</v>
      </c>
      <c r="W134" s="46">
        <f>+W135+W143+W152+W159+W164+W172+W179+W184+W210+W195+W215+W169</f>
        <v>15750541694.259998</v>
      </c>
      <c r="X134" s="46">
        <f>+X135+X143+X152+X159+X164+X172+X179+X184+X210+X195+X215+X169</f>
        <v>427087835709.24994</v>
      </c>
      <c r="Y134" s="47">
        <f t="shared" si="74"/>
        <v>0.96443275357793046</v>
      </c>
      <c r="Z134" s="46">
        <f>+Z135+Z143+Z152+Z159+Z164+Z172+Z179+Z184+Z210+Z195+Z215+Z169</f>
        <v>15278790901.27</v>
      </c>
      <c r="AA134" s="46">
        <f>+AA135+AA143+AA152+AA159+AA164+AA172+AA179+AA184+AA210+AA195+AA215+AA169</f>
        <v>471750792.98999977</v>
      </c>
      <c r="AB134" s="47">
        <f t="shared" si="63"/>
        <v>3.4501957555833324E-2</v>
      </c>
    </row>
    <row r="135" spans="1:28" ht="37.5" customHeight="1">
      <c r="A135" s="32" t="e">
        <f>+CONCATENATE(#REF!,"=",J135)</f>
        <v>#REF!</v>
      </c>
      <c r="B135" s="48" t="str">
        <f>CONCATENATE(C135,"-",D135,"-",E135,"-",F135)</f>
        <v>C-4103-1500-12</v>
      </c>
      <c r="C135" s="48" t="s">
        <v>167</v>
      </c>
      <c r="D135" s="48" t="s">
        <v>190</v>
      </c>
      <c r="E135" s="48" t="s">
        <v>172</v>
      </c>
      <c r="F135" s="48" t="s">
        <v>191</v>
      </c>
      <c r="G135" s="48"/>
      <c r="H135" s="48"/>
      <c r="I135" s="48"/>
      <c r="J135" s="49"/>
      <c r="K135" s="48"/>
      <c r="L135" s="48" t="s">
        <v>192</v>
      </c>
      <c r="M135" s="50">
        <f t="shared" ref="M135:U135" si="128">+M136+M139+M141</f>
        <v>2437607024958</v>
      </c>
      <c r="N135" s="50">
        <f t="shared" si="128"/>
        <v>0</v>
      </c>
      <c r="O135" s="50">
        <f t="shared" si="128"/>
        <v>0</v>
      </c>
      <c r="P135" s="50">
        <f t="shared" si="128"/>
        <v>0</v>
      </c>
      <c r="Q135" s="50">
        <f t="shared" si="128"/>
        <v>0</v>
      </c>
      <c r="R135" s="50">
        <f t="shared" si="128"/>
        <v>0</v>
      </c>
      <c r="S135" s="50">
        <f t="shared" si="128"/>
        <v>2437607024958</v>
      </c>
      <c r="T135" s="50">
        <f t="shared" si="128"/>
        <v>14878597151</v>
      </c>
      <c r="U135" s="50">
        <f t="shared" si="128"/>
        <v>2422728427807</v>
      </c>
      <c r="V135" s="51">
        <f t="shared" si="65"/>
        <v>6.103771854389187E-3</v>
      </c>
      <c r="W135" s="50">
        <f>+W136+W139+W141</f>
        <v>2225350074.1999998</v>
      </c>
      <c r="X135" s="50">
        <f>+X136+X139+X141</f>
        <v>12653247076.799999</v>
      </c>
      <c r="Y135" s="51">
        <f t="shared" si="74"/>
        <v>0.85043280279616729</v>
      </c>
      <c r="Z135" s="50">
        <f>+Z136+Z139+Z141</f>
        <v>1998489598.2</v>
      </c>
      <c r="AA135" s="50">
        <f>+AA136+AA139+AA141</f>
        <v>226860475.99999976</v>
      </c>
      <c r="AB135" s="51">
        <f t="shared" si="63"/>
        <v>0.13431975998259219</v>
      </c>
    </row>
    <row r="136" spans="1:28" ht="27.75" customHeight="1">
      <c r="A136" s="32" t="e">
        <f>+CONCATENATE(#REF!,"=",J136)</f>
        <v>#REF!</v>
      </c>
      <c r="B136" s="52" t="str">
        <f>CONCATENATE(C136,"-",D136,"-",E136,"-",F136,"-",G136,"-",H136)</f>
        <v>C-4103-1500-12-0-4103006</v>
      </c>
      <c r="C136" s="52" t="s">
        <v>167</v>
      </c>
      <c r="D136" s="52" t="s">
        <v>190</v>
      </c>
      <c r="E136" s="52" t="s">
        <v>172</v>
      </c>
      <c r="F136" s="52" t="s">
        <v>191</v>
      </c>
      <c r="G136" s="52" t="s">
        <v>175</v>
      </c>
      <c r="H136" s="52" t="s">
        <v>193</v>
      </c>
      <c r="I136" s="52"/>
      <c r="J136" s="53"/>
      <c r="K136" s="52"/>
      <c r="L136" s="52" t="s">
        <v>194</v>
      </c>
      <c r="M136" s="54">
        <f t="shared" ref="M136:U136" si="129">SUM(M137:M138)</f>
        <v>2430621085885</v>
      </c>
      <c r="N136" s="54">
        <f t="shared" si="129"/>
        <v>0</v>
      </c>
      <c r="O136" s="54">
        <f t="shared" si="129"/>
        <v>0</v>
      </c>
      <c r="P136" s="54">
        <f t="shared" si="129"/>
        <v>0</v>
      </c>
      <c r="Q136" s="54">
        <f t="shared" si="129"/>
        <v>0</v>
      </c>
      <c r="R136" s="54">
        <f t="shared" si="129"/>
        <v>0</v>
      </c>
      <c r="S136" s="54">
        <f t="shared" si="129"/>
        <v>2430621085885</v>
      </c>
      <c r="T136" s="54">
        <f t="shared" si="129"/>
        <v>14878597151</v>
      </c>
      <c r="U136" s="54">
        <f t="shared" si="129"/>
        <v>2415742488734</v>
      </c>
      <c r="V136" s="55">
        <f t="shared" si="65"/>
        <v>6.1213149336202012E-3</v>
      </c>
      <c r="W136" s="54">
        <f>SUM(W137:W138)</f>
        <v>2225350074.1999998</v>
      </c>
      <c r="X136" s="54">
        <f>SUM(X137:X138)</f>
        <v>12653247076.799999</v>
      </c>
      <c r="Y136" s="55">
        <f t="shared" si="74"/>
        <v>0.85043280279616729</v>
      </c>
      <c r="Z136" s="54">
        <f>SUM(Z137:Z138)</f>
        <v>1998489598.2</v>
      </c>
      <c r="AA136" s="54">
        <f>SUM(AA137:AA138)</f>
        <v>226860475.99999976</v>
      </c>
      <c r="AB136" s="55">
        <f t="shared" si="63"/>
        <v>0.13431975998259219</v>
      </c>
    </row>
    <row r="137" spans="1:28" ht="24.95" customHeight="1">
      <c r="A137" s="32" t="e">
        <f>+CONCATENATE(#REF!,"=",J137)</f>
        <v>#REF!</v>
      </c>
      <c r="B137" s="56" t="str">
        <f t="shared" ref="B137:B151" si="130">CONCATENATE(C137,"-",D137,"-",E137,"-",F137,"-",G137,"-",H137,"-",I137)</f>
        <v>C-4103-1500-12-0-4103006-02</v>
      </c>
      <c r="C137" s="57" t="s">
        <v>167</v>
      </c>
      <c r="D137" s="57" t="s">
        <v>190</v>
      </c>
      <c r="E137" s="57" t="s">
        <v>172</v>
      </c>
      <c r="F137" s="57" t="s">
        <v>191</v>
      </c>
      <c r="G137" s="57" t="s">
        <v>175</v>
      </c>
      <c r="H137" s="57" t="s">
        <v>193</v>
      </c>
      <c r="I137" s="57" t="s">
        <v>54</v>
      </c>
      <c r="J137" s="57">
        <v>10</v>
      </c>
      <c r="K137" s="58" t="s">
        <v>29</v>
      </c>
      <c r="L137" s="59" t="s">
        <v>178</v>
      </c>
      <c r="M137" s="60">
        <v>83108753174</v>
      </c>
      <c r="N137" s="60"/>
      <c r="O137" s="60"/>
      <c r="P137" s="60"/>
      <c r="Q137" s="60"/>
      <c r="R137" s="61"/>
      <c r="S137" s="81">
        <f>+M137-R137+N137-O137+P137-Q137</f>
        <v>83108753174</v>
      </c>
      <c r="T137" s="60">
        <v>14878597151</v>
      </c>
      <c r="U137" s="60">
        <f>+S137-T137</f>
        <v>68230156023</v>
      </c>
      <c r="V137" s="62">
        <f t="shared" si="65"/>
        <v>0.17902563307440722</v>
      </c>
      <c r="W137" s="60">
        <v>2225350074.1999998</v>
      </c>
      <c r="X137" s="60">
        <f>+T137-W137</f>
        <v>12653247076.799999</v>
      </c>
      <c r="Y137" s="62">
        <f t="shared" si="74"/>
        <v>0.85043280279616729</v>
      </c>
      <c r="Z137" s="60">
        <v>1998489598.2</v>
      </c>
      <c r="AA137" s="60">
        <f>+W137-Z137</f>
        <v>226860475.99999976</v>
      </c>
      <c r="AB137" s="62">
        <f t="shared" si="63"/>
        <v>0.13431975998259219</v>
      </c>
    </row>
    <row r="138" spans="1:28" ht="24.95" customHeight="1">
      <c r="A138" s="32" t="e">
        <f>+CONCATENATE(#REF!,"=",J138)</f>
        <v>#REF!</v>
      </c>
      <c r="B138" s="56" t="str">
        <f t="shared" si="130"/>
        <v>C-4103-1500-12-0-4103006-03</v>
      </c>
      <c r="C138" s="57" t="s">
        <v>167</v>
      </c>
      <c r="D138" s="57" t="s">
        <v>190</v>
      </c>
      <c r="E138" s="57" t="s">
        <v>172</v>
      </c>
      <c r="F138" s="57" t="s">
        <v>191</v>
      </c>
      <c r="G138" s="57" t="s">
        <v>175</v>
      </c>
      <c r="H138" s="57" t="s">
        <v>193</v>
      </c>
      <c r="I138" s="57" t="s">
        <v>65</v>
      </c>
      <c r="J138" s="57">
        <v>10</v>
      </c>
      <c r="K138" s="58" t="s">
        <v>29</v>
      </c>
      <c r="L138" s="59" t="s">
        <v>127</v>
      </c>
      <c r="M138" s="60">
        <v>2347512332711</v>
      </c>
      <c r="N138" s="60"/>
      <c r="O138" s="60"/>
      <c r="P138" s="81"/>
      <c r="Q138" s="60"/>
      <c r="R138" s="61"/>
      <c r="S138" s="81">
        <f>+M138-R138+N138-O138+P138-Q138</f>
        <v>2347512332711</v>
      </c>
      <c r="T138" s="60">
        <v>0</v>
      </c>
      <c r="U138" s="60">
        <f>+S138-T138</f>
        <v>2347512332711</v>
      </c>
      <c r="V138" s="62">
        <f t="shared" si="65"/>
        <v>0</v>
      </c>
      <c r="W138" s="60">
        <v>0</v>
      </c>
      <c r="X138" s="60">
        <f>+T138-W138</f>
        <v>0</v>
      </c>
      <c r="Y138" s="62">
        <f t="shared" si="74"/>
        <v>0</v>
      </c>
      <c r="Z138" s="60">
        <v>0</v>
      </c>
      <c r="AA138" s="60">
        <f t="shared" ref="AA138" si="131">+W138-Z138</f>
        <v>0</v>
      </c>
      <c r="AB138" s="62">
        <f t="shared" si="63"/>
        <v>0</v>
      </c>
    </row>
    <row r="139" spans="1:28" ht="28.5" customHeight="1">
      <c r="A139" s="32" t="e">
        <f>+CONCATENATE(#REF!,"=",J139)</f>
        <v>#REF!</v>
      </c>
      <c r="B139" s="52" t="str">
        <f>CONCATENATE(C139,"-",D139,"-",E139,"-",F139,"-",G139,"-",H139)</f>
        <v>C-4103-1500-12-0-4103009</v>
      </c>
      <c r="C139" s="52" t="s">
        <v>167</v>
      </c>
      <c r="D139" s="52" t="s">
        <v>190</v>
      </c>
      <c r="E139" s="52" t="s">
        <v>172</v>
      </c>
      <c r="F139" s="52" t="s">
        <v>191</v>
      </c>
      <c r="G139" s="52" t="s">
        <v>175</v>
      </c>
      <c r="H139" s="52">
        <v>4103009</v>
      </c>
      <c r="I139" s="52"/>
      <c r="J139" s="53"/>
      <c r="K139" s="52" t="s">
        <v>29</v>
      </c>
      <c r="L139" s="52" t="s">
        <v>195</v>
      </c>
      <c r="M139" s="54">
        <f>+M140</f>
        <v>6385939073</v>
      </c>
      <c r="N139" s="54">
        <f>+N140</f>
        <v>0</v>
      </c>
      <c r="O139" s="54">
        <f t="shared" ref="O139:AA139" si="132">+O140</f>
        <v>0</v>
      </c>
      <c r="P139" s="54">
        <f t="shared" si="132"/>
        <v>0</v>
      </c>
      <c r="Q139" s="54">
        <f t="shared" si="132"/>
        <v>0</v>
      </c>
      <c r="R139" s="54">
        <f t="shared" si="132"/>
        <v>0</v>
      </c>
      <c r="S139" s="54">
        <f t="shared" si="132"/>
        <v>6385939073</v>
      </c>
      <c r="T139" s="54">
        <f t="shared" si="132"/>
        <v>0</v>
      </c>
      <c r="U139" s="54">
        <f t="shared" si="132"/>
        <v>6385939073</v>
      </c>
      <c r="V139" s="55">
        <f t="shared" si="65"/>
        <v>0</v>
      </c>
      <c r="W139" s="54">
        <f t="shared" si="132"/>
        <v>0</v>
      </c>
      <c r="X139" s="54">
        <f t="shared" si="132"/>
        <v>0</v>
      </c>
      <c r="Y139" s="55">
        <f t="shared" si="74"/>
        <v>0</v>
      </c>
      <c r="Z139" s="54">
        <f t="shared" si="132"/>
        <v>0</v>
      </c>
      <c r="AA139" s="54">
        <f t="shared" si="132"/>
        <v>0</v>
      </c>
      <c r="AB139" s="55">
        <f t="shared" si="63"/>
        <v>0</v>
      </c>
    </row>
    <row r="140" spans="1:28" ht="24.95" customHeight="1">
      <c r="A140" s="32" t="e">
        <f>+CONCATENATE(#REF!,"=",J140)</f>
        <v>#REF!</v>
      </c>
      <c r="B140" s="56" t="str">
        <f t="shared" si="130"/>
        <v>C-4103-1500-12-0-4103009-02</v>
      </c>
      <c r="C140" s="57" t="s">
        <v>167</v>
      </c>
      <c r="D140" s="57" t="s">
        <v>190</v>
      </c>
      <c r="E140" s="57" t="s">
        <v>172</v>
      </c>
      <c r="F140" s="57" t="s">
        <v>191</v>
      </c>
      <c r="G140" s="57" t="s">
        <v>175</v>
      </c>
      <c r="H140" s="57">
        <v>4103009</v>
      </c>
      <c r="I140" s="57" t="s">
        <v>54</v>
      </c>
      <c r="J140" s="57">
        <v>10</v>
      </c>
      <c r="K140" s="58" t="s">
        <v>29</v>
      </c>
      <c r="L140" s="59" t="s">
        <v>178</v>
      </c>
      <c r="M140" s="60">
        <v>6385939073</v>
      </c>
      <c r="N140" s="60"/>
      <c r="O140" s="60"/>
      <c r="P140" s="60"/>
      <c r="Q140" s="60"/>
      <c r="R140" s="61"/>
      <c r="S140" s="81">
        <f>+M140-R140+N140-O140+P140-Q140</f>
        <v>6385939073</v>
      </c>
      <c r="T140" s="60">
        <v>0</v>
      </c>
      <c r="U140" s="60">
        <f>+S140-T140</f>
        <v>6385939073</v>
      </c>
      <c r="V140" s="62">
        <f t="shared" si="65"/>
        <v>0</v>
      </c>
      <c r="W140" s="60">
        <v>0</v>
      </c>
      <c r="X140" s="60">
        <f>+T140-W140</f>
        <v>0</v>
      </c>
      <c r="Y140" s="62">
        <f t="shared" si="74"/>
        <v>0</v>
      </c>
      <c r="Z140" s="60">
        <v>0</v>
      </c>
      <c r="AA140" s="60">
        <f t="shared" ref="AA140" si="133">+W140-Z140</f>
        <v>0</v>
      </c>
      <c r="AB140" s="62">
        <f t="shared" si="63"/>
        <v>0</v>
      </c>
    </row>
    <row r="141" spans="1:28" ht="27.75" customHeight="1">
      <c r="A141" s="32" t="e">
        <f>+CONCATENATE(#REF!,"=",J141)</f>
        <v>#REF!</v>
      </c>
      <c r="B141" s="52" t="str">
        <f>CONCATENATE(C141,"-",D141,"-",E141,"-",F141,"-",G141,"-",H141)</f>
        <v>C-4103-1500-12-0-4103047</v>
      </c>
      <c r="C141" s="52" t="s">
        <v>167</v>
      </c>
      <c r="D141" s="52" t="s">
        <v>190</v>
      </c>
      <c r="E141" s="52" t="s">
        <v>172</v>
      </c>
      <c r="F141" s="52" t="s">
        <v>191</v>
      </c>
      <c r="G141" s="52" t="s">
        <v>175</v>
      </c>
      <c r="H141" s="52">
        <v>4103047</v>
      </c>
      <c r="I141" s="52"/>
      <c r="J141" s="53"/>
      <c r="K141" s="52" t="s">
        <v>29</v>
      </c>
      <c r="L141" s="52" t="s">
        <v>195</v>
      </c>
      <c r="M141" s="54">
        <f>+M142</f>
        <v>600000000</v>
      </c>
      <c r="N141" s="54">
        <f>+N142</f>
        <v>0</v>
      </c>
      <c r="O141" s="54">
        <f t="shared" ref="O141:U141" si="134">+O142</f>
        <v>0</v>
      </c>
      <c r="P141" s="54">
        <f t="shared" si="134"/>
        <v>0</v>
      </c>
      <c r="Q141" s="54">
        <f t="shared" si="134"/>
        <v>0</v>
      </c>
      <c r="R141" s="54">
        <f t="shared" si="134"/>
        <v>0</v>
      </c>
      <c r="S141" s="54">
        <f t="shared" si="134"/>
        <v>600000000</v>
      </c>
      <c r="T141" s="54">
        <f t="shared" si="134"/>
        <v>0</v>
      </c>
      <c r="U141" s="54">
        <f t="shared" si="134"/>
        <v>600000000</v>
      </c>
      <c r="V141" s="55">
        <f t="shared" si="65"/>
        <v>0</v>
      </c>
      <c r="W141" s="54">
        <f t="shared" ref="W141:X141" si="135">+W142</f>
        <v>0</v>
      </c>
      <c r="X141" s="54">
        <f t="shared" si="135"/>
        <v>0</v>
      </c>
      <c r="Y141" s="55">
        <f t="shared" si="74"/>
        <v>0</v>
      </c>
      <c r="Z141" s="54">
        <f t="shared" ref="Z141:AA141" si="136">+Z142</f>
        <v>0</v>
      </c>
      <c r="AA141" s="54">
        <f t="shared" si="136"/>
        <v>0</v>
      </c>
      <c r="AB141" s="55">
        <f t="shared" si="63"/>
        <v>0</v>
      </c>
    </row>
    <row r="142" spans="1:28" ht="24.95" customHeight="1">
      <c r="A142" s="32" t="e">
        <f>+CONCATENATE(#REF!,"=",J142)</f>
        <v>#REF!</v>
      </c>
      <c r="B142" s="56" t="str">
        <f t="shared" ref="B142" si="137">CONCATENATE(C142,"-",D142,"-",E142,"-",F142,"-",G142,"-",H142,"-",I142)</f>
        <v>C-4103-1500-12-0-4103047-02</v>
      </c>
      <c r="C142" s="57" t="s">
        <v>167</v>
      </c>
      <c r="D142" s="57" t="s">
        <v>190</v>
      </c>
      <c r="E142" s="57" t="s">
        <v>172</v>
      </c>
      <c r="F142" s="57" t="s">
        <v>191</v>
      </c>
      <c r="G142" s="57" t="s">
        <v>175</v>
      </c>
      <c r="H142" s="57">
        <v>4103047</v>
      </c>
      <c r="I142" s="57" t="s">
        <v>54</v>
      </c>
      <c r="J142" s="57">
        <v>10</v>
      </c>
      <c r="K142" s="58" t="s">
        <v>29</v>
      </c>
      <c r="L142" s="59" t="s">
        <v>178</v>
      </c>
      <c r="M142" s="60">
        <v>600000000</v>
      </c>
      <c r="N142" s="60"/>
      <c r="O142" s="60"/>
      <c r="P142" s="60"/>
      <c r="Q142" s="60"/>
      <c r="R142" s="61"/>
      <c r="S142" s="60">
        <f>+M142-R142+N142-O142+P142-Q142</f>
        <v>600000000</v>
      </c>
      <c r="T142" s="60">
        <v>0</v>
      </c>
      <c r="U142" s="60">
        <f>+S142-T142</f>
        <v>600000000</v>
      </c>
      <c r="V142" s="62">
        <f t="shared" si="65"/>
        <v>0</v>
      </c>
      <c r="W142" s="60">
        <v>0</v>
      </c>
      <c r="X142" s="60">
        <f>+T142-W142</f>
        <v>0</v>
      </c>
      <c r="Y142" s="62">
        <f t="shared" si="74"/>
        <v>0</v>
      </c>
      <c r="Z142" s="60">
        <v>0</v>
      </c>
      <c r="AA142" s="60">
        <f t="shared" ref="AA142" si="138">+W142-Z142</f>
        <v>0</v>
      </c>
      <c r="AB142" s="62">
        <f t="shared" ref="AB142:AB205" si="139">+IF(T142&gt;0,(Z142/T142),0)</f>
        <v>0</v>
      </c>
    </row>
    <row r="143" spans="1:28" ht="42" customHeight="1">
      <c r="A143" s="32" t="e">
        <f>+CONCATENATE(#REF!,"=",J143)</f>
        <v>#REF!</v>
      </c>
      <c r="B143" s="48" t="str">
        <f>CONCATENATE(C143,"-",D143,"-",E143,"-",F143)</f>
        <v>C-4103-1500-13</v>
      </c>
      <c r="C143" s="48" t="s">
        <v>167</v>
      </c>
      <c r="D143" s="48" t="s">
        <v>190</v>
      </c>
      <c r="E143" s="48" t="s">
        <v>172</v>
      </c>
      <c r="F143" s="48" t="s">
        <v>22</v>
      </c>
      <c r="G143" s="48"/>
      <c r="H143" s="48"/>
      <c r="I143" s="48"/>
      <c r="J143" s="49"/>
      <c r="K143" s="48"/>
      <c r="L143" s="48" t="s">
        <v>196</v>
      </c>
      <c r="M143" s="50">
        <f>+M144+M146+M148+M150</f>
        <v>40000000000</v>
      </c>
      <c r="N143" s="50">
        <f t="shared" ref="N143:AA143" si="140">+N144+N146+N148+N150</f>
        <v>0</v>
      </c>
      <c r="O143" s="50">
        <f t="shared" si="140"/>
        <v>0</v>
      </c>
      <c r="P143" s="50">
        <f t="shared" si="140"/>
        <v>0</v>
      </c>
      <c r="Q143" s="50">
        <f t="shared" si="140"/>
        <v>0</v>
      </c>
      <c r="R143" s="50">
        <f t="shared" si="140"/>
        <v>0</v>
      </c>
      <c r="S143" s="50">
        <f t="shared" si="140"/>
        <v>40000000000</v>
      </c>
      <c r="T143" s="50">
        <f t="shared" si="140"/>
        <v>8364235166</v>
      </c>
      <c r="U143" s="50">
        <f t="shared" si="140"/>
        <v>31635764834</v>
      </c>
      <c r="V143" s="51">
        <f t="shared" si="65"/>
        <v>0.20910587915000001</v>
      </c>
      <c r="W143" s="50">
        <f t="shared" si="140"/>
        <v>10719984</v>
      </c>
      <c r="X143" s="50">
        <f t="shared" si="140"/>
        <v>8353515182</v>
      </c>
      <c r="Y143" s="51">
        <f t="shared" si="74"/>
        <v>0.99871835454321323</v>
      </c>
      <c r="Z143" s="50">
        <f t="shared" si="140"/>
        <v>6000000</v>
      </c>
      <c r="AA143" s="50">
        <f t="shared" si="140"/>
        <v>4719984</v>
      </c>
      <c r="AB143" s="51">
        <f t="shared" si="139"/>
        <v>7.1733994572385513E-4</v>
      </c>
    </row>
    <row r="144" spans="1:28" ht="27.75" customHeight="1">
      <c r="A144" s="32" t="e">
        <f>+CONCATENATE(#REF!,"=",J144)</f>
        <v>#REF!</v>
      </c>
      <c r="B144" s="52" t="str">
        <f>CONCATENATE(C144,"-",D144,"-",E144,"-",F144,"-",G144,"-",H144)</f>
        <v>C-4103-1500-13-0-4103051</v>
      </c>
      <c r="C144" s="52" t="s">
        <v>167</v>
      </c>
      <c r="D144" s="52" t="s">
        <v>190</v>
      </c>
      <c r="E144" s="52" t="s">
        <v>172</v>
      </c>
      <c r="F144" s="52" t="s">
        <v>22</v>
      </c>
      <c r="G144" s="52" t="s">
        <v>175</v>
      </c>
      <c r="H144" s="52" t="s">
        <v>197</v>
      </c>
      <c r="I144" s="52"/>
      <c r="J144" s="53"/>
      <c r="K144" s="52" t="s">
        <v>29</v>
      </c>
      <c r="L144" s="52" t="s">
        <v>198</v>
      </c>
      <c r="M144" s="54">
        <f>+M145</f>
        <v>2721167612</v>
      </c>
      <c r="N144" s="54">
        <f t="shared" ref="N144:AA144" si="141">+N145</f>
        <v>0</v>
      </c>
      <c r="O144" s="54">
        <f t="shared" si="141"/>
        <v>0</v>
      </c>
      <c r="P144" s="54">
        <f t="shared" si="141"/>
        <v>0</v>
      </c>
      <c r="Q144" s="54">
        <f t="shared" si="141"/>
        <v>0</v>
      </c>
      <c r="R144" s="54">
        <f t="shared" si="141"/>
        <v>0</v>
      </c>
      <c r="S144" s="54">
        <f t="shared" si="141"/>
        <v>2721167612</v>
      </c>
      <c r="T144" s="54">
        <f t="shared" si="141"/>
        <v>221895258</v>
      </c>
      <c r="U144" s="54">
        <f t="shared" si="141"/>
        <v>2499272354</v>
      </c>
      <c r="V144" s="55">
        <f t="shared" si="65"/>
        <v>8.1544134591882686E-2</v>
      </c>
      <c r="W144" s="54">
        <f t="shared" si="141"/>
        <v>0</v>
      </c>
      <c r="X144" s="54">
        <f t="shared" si="141"/>
        <v>221895258</v>
      </c>
      <c r="Y144" s="55">
        <f t="shared" si="74"/>
        <v>1</v>
      </c>
      <c r="Z144" s="54">
        <f t="shared" si="141"/>
        <v>0</v>
      </c>
      <c r="AA144" s="54">
        <f t="shared" si="141"/>
        <v>0</v>
      </c>
      <c r="AB144" s="55">
        <f t="shared" si="139"/>
        <v>0</v>
      </c>
    </row>
    <row r="145" spans="1:28" ht="24.95" customHeight="1">
      <c r="A145" s="32" t="e">
        <f>+CONCATENATE(#REF!,"=",J145)</f>
        <v>#REF!</v>
      </c>
      <c r="B145" s="56" t="str">
        <f t="shared" si="130"/>
        <v>C-4103-1500-13-0-4103051-02</v>
      </c>
      <c r="C145" s="57" t="s">
        <v>167</v>
      </c>
      <c r="D145" s="57" t="s">
        <v>190</v>
      </c>
      <c r="E145" s="57" t="s">
        <v>172</v>
      </c>
      <c r="F145" s="57" t="s">
        <v>22</v>
      </c>
      <c r="G145" s="57" t="s">
        <v>175</v>
      </c>
      <c r="H145" s="57" t="s">
        <v>197</v>
      </c>
      <c r="I145" s="57" t="s">
        <v>54</v>
      </c>
      <c r="J145" s="57">
        <v>11</v>
      </c>
      <c r="K145" s="58" t="s">
        <v>29</v>
      </c>
      <c r="L145" s="59" t="s">
        <v>178</v>
      </c>
      <c r="M145" s="60">
        <v>2721167612</v>
      </c>
      <c r="N145" s="60"/>
      <c r="O145" s="60"/>
      <c r="P145" s="60"/>
      <c r="Q145" s="60">
        <v>0</v>
      </c>
      <c r="R145" s="61">
        <v>0</v>
      </c>
      <c r="S145" s="81">
        <f>+M145-R145+N145-O145+P145-Q145</f>
        <v>2721167612</v>
      </c>
      <c r="T145" s="60">
        <v>221895258</v>
      </c>
      <c r="U145" s="60">
        <f t="shared" si="113"/>
        <v>2499272354</v>
      </c>
      <c r="V145" s="62">
        <f t="shared" si="65"/>
        <v>8.1544134591882686E-2</v>
      </c>
      <c r="W145" s="60">
        <v>0</v>
      </c>
      <c r="X145" s="60">
        <f t="shared" si="114"/>
        <v>221895258</v>
      </c>
      <c r="Y145" s="62">
        <f t="shared" si="74"/>
        <v>1</v>
      </c>
      <c r="Z145" s="60">
        <v>0</v>
      </c>
      <c r="AA145" s="60">
        <f t="shared" si="115"/>
        <v>0</v>
      </c>
      <c r="AB145" s="62">
        <f t="shared" si="139"/>
        <v>0</v>
      </c>
    </row>
    <row r="146" spans="1:28" ht="27.75" customHeight="1">
      <c r="A146" s="32" t="e">
        <f>+CONCATENATE(#REF!,"=",J146)</f>
        <v>#REF!</v>
      </c>
      <c r="B146" s="52" t="str">
        <f>CONCATENATE(C146,"-",D146,"-",E146,"-",F146,"-",G146,"-",H146)</f>
        <v>C-4103-1500-13-0-4103053</v>
      </c>
      <c r="C146" s="52" t="s">
        <v>167</v>
      </c>
      <c r="D146" s="52" t="s">
        <v>190</v>
      </c>
      <c r="E146" s="52" t="s">
        <v>172</v>
      </c>
      <c r="F146" s="52" t="s">
        <v>22</v>
      </c>
      <c r="G146" s="52" t="s">
        <v>175</v>
      </c>
      <c r="H146" s="52" t="s">
        <v>199</v>
      </c>
      <c r="I146" s="52"/>
      <c r="J146" s="53"/>
      <c r="K146" s="52" t="s">
        <v>29</v>
      </c>
      <c r="L146" s="52" t="s">
        <v>200</v>
      </c>
      <c r="M146" s="54">
        <f>+M147</f>
        <v>2097587400</v>
      </c>
      <c r="N146" s="54">
        <f t="shared" ref="N146:AA146" si="142">+N147</f>
        <v>0</v>
      </c>
      <c r="O146" s="54">
        <f t="shared" si="142"/>
        <v>0</v>
      </c>
      <c r="P146" s="54">
        <f t="shared" si="142"/>
        <v>0</v>
      </c>
      <c r="Q146" s="54">
        <f t="shared" si="142"/>
        <v>0</v>
      </c>
      <c r="R146" s="54">
        <f t="shared" si="142"/>
        <v>0</v>
      </c>
      <c r="S146" s="54">
        <f t="shared" si="142"/>
        <v>2097587400</v>
      </c>
      <c r="T146" s="54">
        <f t="shared" si="142"/>
        <v>295860342</v>
      </c>
      <c r="U146" s="54">
        <f t="shared" si="142"/>
        <v>1801727058</v>
      </c>
      <c r="V146" s="55">
        <f t="shared" si="65"/>
        <v>0.14104792105444569</v>
      </c>
      <c r="W146" s="54">
        <f t="shared" si="142"/>
        <v>0</v>
      </c>
      <c r="X146" s="54">
        <f t="shared" si="142"/>
        <v>295860342</v>
      </c>
      <c r="Y146" s="55">
        <f t="shared" si="74"/>
        <v>1</v>
      </c>
      <c r="Z146" s="54">
        <f t="shared" si="142"/>
        <v>0</v>
      </c>
      <c r="AA146" s="54">
        <f t="shared" si="142"/>
        <v>0</v>
      </c>
      <c r="AB146" s="55">
        <f t="shared" si="139"/>
        <v>0</v>
      </c>
    </row>
    <row r="147" spans="1:28" ht="24.95" customHeight="1">
      <c r="A147" s="32" t="e">
        <f>+CONCATENATE(#REF!,"=",J147)</f>
        <v>#REF!</v>
      </c>
      <c r="B147" s="56" t="str">
        <f t="shared" si="130"/>
        <v>C-4103-1500-13-0-4103053-02</v>
      </c>
      <c r="C147" s="57" t="s">
        <v>167</v>
      </c>
      <c r="D147" s="57" t="s">
        <v>190</v>
      </c>
      <c r="E147" s="57" t="s">
        <v>172</v>
      </c>
      <c r="F147" s="57" t="s">
        <v>22</v>
      </c>
      <c r="G147" s="57" t="s">
        <v>175</v>
      </c>
      <c r="H147" s="57" t="s">
        <v>199</v>
      </c>
      <c r="I147" s="57" t="s">
        <v>54</v>
      </c>
      <c r="J147" s="57">
        <v>11</v>
      </c>
      <c r="K147" s="58" t="s">
        <v>29</v>
      </c>
      <c r="L147" s="59" t="s">
        <v>178</v>
      </c>
      <c r="M147" s="60">
        <v>2097587400</v>
      </c>
      <c r="N147" s="60"/>
      <c r="O147" s="60"/>
      <c r="P147" s="60"/>
      <c r="Q147" s="61"/>
      <c r="R147" s="61">
        <v>0</v>
      </c>
      <c r="S147" s="60">
        <f>+M147-R147+N147-O147+P147-Q147</f>
        <v>2097587400</v>
      </c>
      <c r="T147" s="60">
        <v>295860342</v>
      </c>
      <c r="U147" s="60">
        <f t="shared" si="113"/>
        <v>1801727058</v>
      </c>
      <c r="V147" s="62">
        <f t="shared" si="65"/>
        <v>0.14104792105444569</v>
      </c>
      <c r="W147" s="60">
        <v>0</v>
      </c>
      <c r="X147" s="60">
        <f t="shared" si="114"/>
        <v>295860342</v>
      </c>
      <c r="Y147" s="62">
        <f t="shared" si="74"/>
        <v>1</v>
      </c>
      <c r="Z147" s="60">
        <v>0</v>
      </c>
      <c r="AA147" s="60">
        <f t="shared" si="115"/>
        <v>0</v>
      </c>
      <c r="AB147" s="62">
        <f t="shared" si="139"/>
        <v>0</v>
      </c>
    </row>
    <row r="148" spans="1:28" ht="43.5" customHeight="1">
      <c r="A148" s="32" t="e">
        <f>+CONCATENATE(#REF!,"=",J148)</f>
        <v>#REF!</v>
      </c>
      <c r="B148" s="52" t="str">
        <f>CONCATENATE(C148,"-",D148,"-",E148,"-",F148,"-",G148,"-",H148)</f>
        <v>C-4103-1500-13-0-4103054</v>
      </c>
      <c r="C148" s="52" t="s">
        <v>167</v>
      </c>
      <c r="D148" s="52" t="s">
        <v>190</v>
      </c>
      <c r="E148" s="52" t="s">
        <v>172</v>
      </c>
      <c r="F148" s="52" t="s">
        <v>22</v>
      </c>
      <c r="G148" s="52" t="s">
        <v>175</v>
      </c>
      <c r="H148" s="52" t="s">
        <v>201</v>
      </c>
      <c r="I148" s="52"/>
      <c r="J148" s="53"/>
      <c r="K148" s="52" t="s">
        <v>29</v>
      </c>
      <c r="L148" s="52" t="s">
        <v>202</v>
      </c>
      <c r="M148" s="54">
        <f>+M149</f>
        <v>2265502874</v>
      </c>
      <c r="N148" s="54">
        <f t="shared" ref="N148:AA148" si="143">+N149</f>
        <v>0</v>
      </c>
      <c r="O148" s="54">
        <f t="shared" si="143"/>
        <v>0</v>
      </c>
      <c r="P148" s="54">
        <f t="shared" si="143"/>
        <v>0</v>
      </c>
      <c r="Q148" s="54">
        <f t="shared" si="143"/>
        <v>0</v>
      </c>
      <c r="R148" s="54">
        <f t="shared" si="143"/>
        <v>0</v>
      </c>
      <c r="S148" s="54">
        <f t="shared" si="143"/>
        <v>2265502874</v>
      </c>
      <c r="T148" s="54">
        <f t="shared" si="143"/>
        <v>816777469</v>
      </c>
      <c r="U148" s="54">
        <f t="shared" si="143"/>
        <v>1448725405</v>
      </c>
      <c r="V148" s="55">
        <f t="shared" ref="V148:V226" si="144">+IF(S148&gt;0,T148/S148,0)</f>
        <v>0.36052810983986416</v>
      </c>
      <c r="W148" s="54">
        <f t="shared" si="143"/>
        <v>10719984</v>
      </c>
      <c r="X148" s="54">
        <f t="shared" si="143"/>
        <v>806057485</v>
      </c>
      <c r="Y148" s="55">
        <f t="shared" si="74"/>
        <v>0.98687526969478634</v>
      </c>
      <c r="Z148" s="54">
        <f t="shared" si="143"/>
        <v>6000000</v>
      </c>
      <c r="AA148" s="54">
        <f t="shared" si="143"/>
        <v>4719984</v>
      </c>
      <c r="AB148" s="55">
        <f t="shared" si="139"/>
        <v>7.3459421050704812E-3</v>
      </c>
    </row>
    <row r="149" spans="1:28" ht="24.95" customHeight="1">
      <c r="A149" s="32" t="e">
        <f>+CONCATENATE(#REF!,"=",J149)</f>
        <v>#REF!</v>
      </c>
      <c r="B149" s="56" t="str">
        <f t="shared" si="130"/>
        <v>C-4103-1500-13-0-4103054-02</v>
      </c>
      <c r="C149" s="57" t="s">
        <v>167</v>
      </c>
      <c r="D149" s="57" t="s">
        <v>190</v>
      </c>
      <c r="E149" s="57" t="s">
        <v>172</v>
      </c>
      <c r="F149" s="57" t="s">
        <v>22</v>
      </c>
      <c r="G149" s="57" t="s">
        <v>175</v>
      </c>
      <c r="H149" s="57" t="s">
        <v>201</v>
      </c>
      <c r="I149" s="57" t="s">
        <v>54</v>
      </c>
      <c r="J149" s="57">
        <v>11</v>
      </c>
      <c r="K149" s="58" t="s">
        <v>29</v>
      </c>
      <c r="L149" s="59" t="s">
        <v>178</v>
      </c>
      <c r="M149" s="60">
        <v>2265502874</v>
      </c>
      <c r="N149" s="60"/>
      <c r="O149" s="60"/>
      <c r="P149" s="60"/>
      <c r="Q149" s="60"/>
      <c r="R149" s="61">
        <v>0</v>
      </c>
      <c r="S149" s="60">
        <f>+M149-R149+N149-O149+P149-Q149</f>
        <v>2265502874</v>
      </c>
      <c r="T149" s="60">
        <v>816777469</v>
      </c>
      <c r="U149" s="60">
        <f t="shared" si="113"/>
        <v>1448725405</v>
      </c>
      <c r="V149" s="62">
        <f t="shared" si="144"/>
        <v>0.36052810983986416</v>
      </c>
      <c r="W149" s="60">
        <v>10719984</v>
      </c>
      <c r="X149" s="60">
        <f t="shared" si="114"/>
        <v>806057485</v>
      </c>
      <c r="Y149" s="62">
        <f t="shared" si="74"/>
        <v>0.98687526969478634</v>
      </c>
      <c r="Z149" s="60">
        <v>6000000</v>
      </c>
      <c r="AA149" s="60">
        <f t="shared" si="115"/>
        <v>4719984</v>
      </c>
      <c r="AB149" s="62">
        <f t="shared" si="139"/>
        <v>7.3459421050704812E-3</v>
      </c>
    </row>
    <row r="150" spans="1:28" ht="44.25" customHeight="1">
      <c r="A150" s="32" t="e">
        <f>+CONCATENATE(#REF!,"=",J150)</f>
        <v>#REF!</v>
      </c>
      <c r="B150" s="52" t="str">
        <f>CONCATENATE(C150,"-",D150,"-",E150,"-",F150,"-",G150,"-",H150)</f>
        <v>C-4103-1500-13-0-4103055</v>
      </c>
      <c r="C150" s="52" t="s">
        <v>167</v>
      </c>
      <c r="D150" s="52" t="s">
        <v>190</v>
      </c>
      <c r="E150" s="52" t="s">
        <v>172</v>
      </c>
      <c r="F150" s="52" t="s">
        <v>22</v>
      </c>
      <c r="G150" s="52" t="s">
        <v>175</v>
      </c>
      <c r="H150" s="52" t="s">
        <v>203</v>
      </c>
      <c r="I150" s="52"/>
      <c r="J150" s="53"/>
      <c r="K150" s="52" t="s">
        <v>29</v>
      </c>
      <c r="L150" s="52" t="s">
        <v>204</v>
      </c>
      <c r="M150" s="54">
        <f t="shared" ref="M150:U150" si="145">SUM(M151:M151)</f>
        <v>32915742114</v>
      </c>
      <c r="N150" s="54">
        <f t="shared" si="145"/>
        <v>0</v>
      </c>
      <c r="O150" s="54">
        <f t="shared" si="145"/>
        <v>0</v>
      </c>
      <c r="P150" s="54">
        <f t="shared" si="145"/>
        <v>0</v>
      </c>
      <c r="Q150" s="54">
        <f t="shared" si="145"/>
        <v>0</v>
      </c>
      <c r="R150" s="54">
        <f t="shared" si="145"/>
        <v>0</v>
      </c>
      <c r="S150" s="54">
        <f t="shared" si="145"/>
        <v>32915742114</v>
      </c>
      <c r="T150" s="54">
        <f t="shared" si="145"/>
        <v>7029702097</v>
      </c>
      <c r="U150" s="54">
        <f t="shared" si="145"/>
        <v>25886040017</v>
      </c>
      <c r="V150" s="55">
        <f t="shared" si="144"/>
        <v>0.21356656862401616</v>
      </c>
      <c r="W150" s="54">
        <f t="shared" ref="W150:X150" si="146">SUM(W151:W151)</f>
        <v>0</v>
      </c>
      <c r="X150" s="54">
        <f t="shared" si="146"/>
        <v>7029702097</v>
      </c>
      <c r="Y150" s="55">
        <f t="shared" si="74"/>
        <v>1</v>
      </c>
      <c r="Z150" s="54">
        <f t="shared" ref="Z150:AA150" si="147">SUM(Z151:Z151)</f>
        <v>0</v>
      </c>
      <c r="AA150" s="54">
        <f t="shared" si="147"/>
        <v>0</v>
      </c>
      <c r="AB150" s="55">
        <f t="shared" si="139"/>
        <v>0</v>
      </c>
    </row>
    <row r="151" spans="1:28" ht="24.95" customHeight="1">
      <c r="A151" s="32" t="e">
        <f>+CONCATENATE(#REF!,"=",J151)</f>
        <v>#REF!</v>
      </c>
      <c r="B151" s="56" t="str">
        <f t="shared" si="130"/>
        <v>C-4103-1500-13-0-4103055-02</v>
      </c>
      <c r="C151" s="57" t="s">
        <v>167</v>
      </c>
      <c r="D151" s="57" t="s">
        <v>190</v>
      </c>
      <c r="E151" s="57" t="s">
        <v>172</v>
      </c>
      <c r="F151" s="57" t="s">
        <v>22</v>
      </c>
      <c r="G151" s="57" t="s">
        <v>175</v>
      </c>
      <c r="H151" s="57" t="s">
        <v>203</v>
      </c>
      <c r="I151" s="57" t="s">
        <v>54</v>
      </c>
      <c r="J151" s="57">
        <v>11</v>
      </c>
      <c r="K151" s="58" t="s">
        <v>29</v>
      </c>
      <c r="L151" s="59" t="s">
        <v>178</v>
      </c>
      <c r="M151" s="60">
        <v>32915742114</v>
      </c>
      <c r="N151" s="60"/>
      <c r="O151" s="60"/>
      <c r="P151" s="60"/>
      <c r="Q151" s="60">
        <v>0</v>
      </c>
      <c r="R151" s="61">
        <v>0</v>
      </c>
      <c r="S151" s="60">
        <f>+M151-R151+N151-O151+P151-Q151</f>
        <v>32915742114</v>
      </c>
      <c r="T151" s="60">
        <v>7029702097</v>
      </c>
      <c r="U151" s="60">
        <f t="shared" si="113"/>
        <v>25886040017</v>
      </c>
      <c r="V151" s="62">
        <f t="shared" si="144"/>
        <v>0.21356656862401616</v>
      </c>
      <c r="W151" s="60">
        <v>0</v>
      </c>
      <c r="X151" s="60">
        <f t="shared" si="114"/>
        <v>7029702097</v>
      </c>
      <c r="Y151" s="62">
        <f t="shared" si="74"/>
        <v>1</v>
      </c>
      <c r="Z151" s="60">
        <v>0</v>
      </c>
      <c r="AA151" s="60">
        <f t="shared" si="115"/>
        <v>0</v>
      </c>
      <c r="AB151" s="62">
        <f t="shared" si="139"/>
        <v>0</v>
      </c>
    </row>
    <row r="152" spans="1:28" ht="45.75" customHeight="1">
      <c r="A152" s="32" t="e">
        <f>+CONCATENATE(#REF!,"=",J152)</f>
        <v>#REF!</v>
      </c>
      <c r="B152" s="48" t="str">
        <f>CONCATENATE(C152,"-",D152,"-",E152,"-",F152)</f>
        <v>C-4103-1500-14</v>
      </c>
      <c r="C152" s="48" t="s">
        <v>167</v>
      </c>
      <c r="D152" s="48" t="s">
        <v>190</v>
      </c>
      <c r="E152" s="48" t="s">
        <v>172</v>
      </c>
      <c r="F152" s="48" t="s">
        <v>205</v>
      </c>
      <c r="G152" s="48"/>
      <c r="H152" s="48"/>
      <c r="I152" s="48"/>
      <c r="J152" s="49"/>
      <c r="K152" s="48"/>
      <c r="L152" s="48" t="s">
        <v>206</v>
      </c>
      <c r="M152" s="50">
        <f t="shared" ref="M152:U152" si="148">+M154+M157+M153</f>
        <v>947599205073</v>
      </c>
      <c r="N152" s="50">
        <f t="shared" si="148"/>
        <v>0</v>
      </c>
      <c r="O152" s="50">
        <f t="shared" si="148"/>
        <v>0</v>
      </c>
      <c r="P152" s="50">
        <f t="shared" si="148"/>
        <v>0</v>
      </c>
      <c r="Q152" s="50">
        <f t="shared" si="148"/>
        <v>0</v>
      </c>
      <c r="R152" s="50">
        <f t="shared" si="148"/>
        <v>0</v>
      </c>
      <c r="S152" s="50">
        <f t="shared" si="148"/>
        <v>947599205073</v>
      </c>
      <c r="T152" s="50">
        <f t="shared" si="148"/>
        <v>372160271882.51001</v>
      </c>
      <c r="U152" s="50">
        <f t="shared" si="148"/>
        <v>575438933190.48999</v>
      </c>
      <c r="V152" s="51">
        <f t="shared" si="144"/>
        <v>0.39274016893443886</v>
      </c>
      <c r="W152" s="50">
        <f>+W154+W157</f>
        <v>12833738982.379999</v>
      </c>
      <c r="X152" s="50">
        <f>+X154+X157</f>
        <v>359326532900.12994</v>
      </c>
      <c r="Y152" s="51">
        <f t="shared" si="74"/>
        <v>0.96551555888149276</v>
      </c>
      <c r="Z152" s="50">
        <f>+Z154+Z157</f>
        <v>12667121982.389999</v>
      </c>
      <c r="AA152" s="50">
        <f>+AA154+AA157</f>
        <v>166616999.99000001</v>
      </c>
      <c r="AB152" s="51">
        <f t="shared" si="139"/>
        <v>3.4036738844572256E-2</v>
      </c>
    </row>
    <row r="153" spans="1:28" ht="24" hidden="1" customHeight="1">
      <c r="A153" s="32"/>
      <c r="B153" s="52"/>
      <c r="C153" s="52"/>
      <c r="D153" s="52"/>
      <c r="E153" s="52"/>
      <c r="F153" s="52"/>
      <c r="G153" s="52"/>
      <c r="H153" s="52"/>
      <c r="I153" s="52"/>
      <c r="J153" s="53"/>
      <c r="K153" s="52"/>
      <c r="L153" s="52"/>
      <c r="M153" s="54"/>
      <c r="N153" s="54"/>
      <c r="O153" s="54"/>
      <c r="P153" s="54"/>
      <c r="Q153" s="54"/>
      <c r="R153" s="54"/>
      <c r="S153" s="54">
        <f>+M153-R153+N153-O153+P153-Q153</f>
        <v>0</v>
      </c>
      <c r="T153" s="54"/>
      <c r="U153" s="54">
        <f t="shared" ref="U153:U155" si="149">+S153-T153</f>
        <v>0</v>
      </c>
      <c r="V153" s="55"/>
      <c r="W153" s="54"/>
      <c r="X153" s="54">
        <f t="shared" ref="X153:X155" si="150">+T153-W153</f>
        <v>0</v>
      </c>
      <c r="Y153" s="55"/>
      <c r="Z153" s="54"/>
      <c r="AA153" s="54">
        <f t="shared" ref="AA153:AA155" si="151">+W153-Z153</f>
        <v>0</v>
      </c>
      <c r="AB153" s="55"/>
    </row>
    <row r="154" spans="1:28" ht="30.75" customHeight="1">
      <c r="A154" s="32" t="e">
        <f>+CONCATENATE(#REF!,"=",J154)</f>
        <v>#REF!</v>
      </c>
      <c r="B154" s="52" t="str">
        <f>CONCATENATE(C154,"-",D154,"-",E154,"-",F154,"-",G154,"-",H154)</f>
        <v>C-4103-1500-14-0-4103016</v>
      </c>
      <c r="C154" s="52" t="s">
        <v>167</v>
      </c>
      <c r="D154" s="52" t="s">
        <v>190</v>
      </c>
      <c r="E154" s="52" t="s">
        <v>172</v>
      </c>
      <c r="F154" s="52" t="s">
        <v>205</v>
      </c>
      <c r="G154" s="52" t="s">
        <v>175</v>
      </c>
      <c r="H154" s="52" t="s">
        <v>207</v>
      </c>
      <c r="I154" s="52"/>
      <c r="J154" s="53"/>
      <c r="K154" s="52"/>
      <c r="L154" s="52" t="s">
        <v>208</v>
      </c>
      <c r="M154" s="54">
        <f>SUM(M155:M156)</f>
        <v>918263049313</v>
      </c>
      <c r="N154" s="54">
        <f t="shared" ref="N154:U154" si="152">SUM(N155:N156)</f>
        <v>0</v>
      </c>
      <c r="O154" s="54">
        <f t="shared" si="152"/>
        <v>0</v>
      </c>
      <c r="P154" s="54">
        <f t="shared" si="152"/>
        <v>0</v>
      </c>
      <c r="Q154" s="54">
        <f t="shared" si="152"/>
        <v>0</v>
      </c>
      <c r="R154" s="54">
        <f t="shared" si="152"/>
        <v>0</v>
      </c>
      <c r="S154" s="54">
        <f t="shared" si="152"/>
        <v>918263049313</v>
      </c>
      <c r="T154" s="54">
        <f t="shared" si="152"/>
        <v>364914638564.14001</v>
      </c>
      <c r="U154" s="54">
        <f t="shared" si="152"/>
        <v>553348410748.85999</v>
      </c>
      <c r="V154" s="55">
        <f t="shared" si="144"/>
        <v>0.39739662707450929</v>
      </c>
      <c r="W154" s="54">
        <f t="shared" ref="W154:X154" si="153">SUM(W155:W156)</f>
        <v>12565958649.379999</v>
      </c>
      <c r="X154" s="54">
        <f t="shared" si="153"/>
        <v>352348679914.75995</v>
      </c>
      <c r="Y154" s="55">
        <f t="shared" si="74"/>
        <v>0.96556466274188291</v>
      </c>
      <c r="Z154" s="54">
        <f t="shared" ref="Z154:AA154" si="154">SUM(Z155:Z156)</f>
        <v>12498458649.389999</v>
      </c>
      <c r="AA154" s="54">
        <f t="shared" si="154"/>
        <v>67499999.99000001</v>
      </c>
      <c r="AB154" s="55">
        <f t="shared" si="139"/>
        <v>3.4250362491811029E-2</v>
      </c>
    </row>
    <row r="155" spans="1:28" ht="24.95" customHeight="1">
      <c r="A155" s="32" t="e">
        <f>+CONCATENATE(#REF!,"=",J155)</f>
        <v>#REF!</v>
      </c>
      <c r="B155" s="56" t="str">
        <f t="shared" ref="B155:B156" si="155">CONCATENATE(C155,"-",D155,"-",E155,"-",F155,"-",G155,"-",H155,"-",I155)</f>
        <v>C-4103-1500-14-0-4103016-02</v>
      </c>
      <c r="C155" s="57" t="s">
        <v>167</v>
      </c>
      <c r="D155" s="57" t="s">
        <v>190</v>
      </c>
      <c r="E155" s="57" t="s">
        <v>172</v>
      </c>
      <c r="F155" s="57" t="s">
        <v>205</v>
      </c>
      <c r="G155" s="57" t="s">
        <v>175</v>
      </c>
      <c r="H155" s="57" t="s">
        <v>207</v>
      </c>
      <c r="I155" s="57" t="s">
        <v>54</v>
      </c>
      <c r="J155" s="57">
        <v>11</v>
      </c>
      <c r="K155" s="58" t="s">
        <v>29</v>
      </c>
      <c r="L155" s="59" t="s">
        <v>178</v>
      </c>
      <c r="M155" s="60">
        <v>101740918684</v>
      </c>
      <c r="N155" s="60"/>
      <c r="O155" s="60"/>
      <c r="P155" s="60"/>
      <c r="Q155" s="761"/>
      <c r="R155" s="61">
        <v>0</v>
      </c>
      <c r="S155" s="81">
        <f>+M155-R155+N155-O155+P155-Q155</f>
        <v>101740918684</v>
      </c>
      <c r="T155" s="60">
        <v>52729723927.139999</v>
      </c>
      <c r="U155" s="60">
        <f t="shared" si="149"/>
        <v>49011194756.860001</v>
      </c>
      <c r="V155" s="62">
        <f t="shared" si="144"/>
        <v>0.51827450163797661</v>
      </c>
      <c r="W155" s="60">
        <v>280106908.98000002</v>
      </c>
      <c r="X155" s="60">
        <f t="shared" si="150"/>
        <v>52449617018.159996</v>
      </c>
      <c r="Y155" s="62">
        <f t="shared" si="74"/>
        <v>0.99468787453985075</v>
      </c>
      <c r="Z155" s="60">
        <v>212606908.99000001</v>
      </c>
      <c r="AA155" s="60">
        <f t="shared" si="151"/>
        <v>67499999.99000001</v>
      </c>
      <c r="AB155" s="62">
        <f t="shared" si="139"/>
        <v>4.0320125567843371E-3</v>
      </c>
    </row>
    <row r="156" spans="1:28" ht="24.95" customHeight="1">
      <c r="A156" s="32" t="e">
        <f>+CONCATENATE(#REF!,"=",J156)</f>
        <v>#REF!</v>
      </c>
      <c r="B156" s="56" t="str">
        <f t="shared" si="155"/>
        <v>C-4103-1500-14-0-4103016-03</v>
      </c>
      <c r="C156" s="57" t="s">
        <v>167</v>
      </c>
      <c r="D156" s="57" t="s">
        <v>190</v>
      </c>
      <c r="E156" s="57" t="s">
        <v>172</v>
      </c>
      <c r="F156" s="57" t="s">
        <v>205</v>
      </c>
      <c r="G156" s="57" t="s">
        <v>175</v>
      </c>
      <c r="H156" s="57" t="s">
        <v>207</v>
      </c>
      <c r="I156" s="57" t="s">
        <v>65</v>
      </c>
      <c r="J156" s="57">
        <v>11</v>
      </c>
      <c r="K156" s="58" t="s">
        <v>29</v>
      </c>
      <c r="L156" s="59" t="s">
        <v>127</v>
      </c>
      <c r="M156" s="60">
        <v>816522130629</v>
      </c>
      <c r="N156" s="60"/>
      <c r="O156" s="60"/>
      <c r="P156" s="60"/>
      <c r="Q156" s="761"/>
      <c r="R156" s="61">
        <v>0</v>
      </c>
      <c r="S156" s="81">
        <f>+M156-R156+N156-O156+P156-Q156</f>
        <v>816522130629</v>
      </c>
      <c r="T156" s="60">
        <v>312184914637</v>
      </c>
      <c r="U156" s="60">
        <f t="shared" si="113"/>
        <v>504337215992</v>
      </c>
      <c r="V156" s="62">
        <f t="shared" si="144"/>
        <v>0.38233490915489499</v>
      </c>
      <c r="W156" s="60">
        <v>12285851740.4</v>
      </c>
      <c r="X156" s="60">
        <f t="shared" si="114"/>
        <v>299899062896.59998</v>
      </c>
      <c r="Y156" s="62">
        <f t="shared" ref="Y156:Y226" si="156">+IF(T156&gt;0,X156/T156,0)</f>
        <v>0.96064559443980291</v>
      </c>
      <c r="Z156" s="60">
        <v>12285851740.4</v>
      </c>
      <c r="AA156" s="60">
        <f t="shared" si="115"/>
        <v>0</v>
      </c>
      <c r="AB156" s="62">
        <f t="shared" si="139"/>
        <v>3.9354405560197064E-2</v>
      </c>
    </row>
    <row r="157" spans="1:28" ht="27.75" customHeight="1">
      <c r="A157" s="32" t="e">
        <f>+CONCATENATE(#REF!,"=",J157)</f>
        <v>#REF!</v>
      </c>
      <c r="B157" s="52" t="str">
        <f>CONCATENATE(C157,"-",D157,"-",E157,"-",F157,"-",G157,"-",H157)</f>
        <v>C-4103-1500-14-0-4103048</v>
      </c>
      <c r="C157" s="52" t="s">
        <v>167</v>
      </c>
      <c r="D157" s="52" t="s">
        <v>190</v>
      </c>
      <c r="E157" s="52" t="s">
        <v>172</v>
      </c>
      <c r="F157" s="52" t="s">
        <v>205</v>
      </c>
      <c r="G157" s="52" t="s">
        <v>175</v>
      </c>
      <c r="H157" s="52" t="s">
        <v>209</v>
      </c>
      <c r="I157" s="52"/>
      <c r="J157" s="53"/>
      <c r="K157" s="52" t="s">
        <v>29</v>
      </c>
      <c r="L157" s="52" t="s">
        <v>210</v>
      </c>
      <c r="M157" s="54">
        <f t="shared" ref="M157:U157" si="157">SUM(M158:M158)</f>
        <v>29336155760</v>
      </c>
      <c r="N157" s="54">
        <f t="shared" si="157"/>
        <v>0</v>
      </c>
      <c r="O157" s="54">
        <f t="shared" si="157"/>
        <v>0</v>
      </c>
      <c r="P157" s="54">
        <f t="shared" si="157"/>
        <v>0</v>
      </c>
      <c r="Q157" s="762">
        <f t="shared" si="157"/>
        <v>0</v>
      </c>
      <c r="R157" s="54">
        <f t="shared" si="157"/>
        <v>0</v>
      </c>
      <c r="S157" s="54">
        <f t="shared" si="157"/>
        <v>29336155760</v>
      </c>
      <c r="T157" s="54">
        <f t="shared" si="157"/>
        <v>7245633318.3699999</v>
      </c>
      <c r="U157" s="54">
        <f t="shared" si="157"/>
        <v>22090522441.630001</v>
      </c>
      <c r="V157" s="55">
        <f t="shared" si="144"/>
        <v>0.24698646194977797</v>
      </c>
      <c r="W157" s="54">
        <f>SUM(W158:W158)</f>
        <v>267780333</v>
      </c>
      <c r="X157" s="54">
        <f>SUM(X158:X158)</f>
        <v>6977852985.3699999</v>
      </c>
      <c r="Y157" s="55">
        <f t="shared" si="156"/>
        <v>0.96304252213245578</v>
      </c>
      <c r="Z157" s="54">
        <f>SUM(Z158:Z158)</f>
        <v>168663333</v>
      </c>
      <c r="AA157" s="54">
        <f>SUM(AA158:AA158)</f>
        <v>99117000</v>
      </c>
      <c r="AB157" s="55">
        <f t="shared" si="139"/>
        <v>2.3277928317512901E-2</v>
      </c>
    </row>
    <row r="158" spans="1:28" ht="24.95" customHeight="1">
      <c r="A158" s="32" t="e">
        <f>+CONCATENATE(#REF!,"=",J158)</f>
        <v>#REF!</v>
      </c>
      <c r="B158" s="56" t="str">
        <f t="shared" ref="B158" si="158">CONCATENATE(C158,"-",D158,"-",E158,"-",F158,"-",G158,"-",H158,"-",I158)</f>
        <v>C-4103-1500-14-0-4103048-02</v>
      </c>
      <c r="C158" s="57" t="s">
        <v>167</v>
      </c>
      <c r="D158" s="57" t="s">
        <v>190</v>
      </c>
      <c r="E158" s="57" t="s">
        <v>172</v>
      </c>
      <c r="F158" s="57" t="s">
        <v>205</v>
      </c>
      <c r="G158" s="57" t="s">
        <v>175</v>
      </c>
      <c r="H158" s="57" t="s">
        <v>209</v>
      </c>
      <c r="I158" s="57" t="s">
        <v>54</v>
      </c>
      <c r="J158" s="57">
        <v>11</v>
      </c>
      <c r="K158" s="58" t="s">
        <v>29</v>
      </c>
      <c r="L158" s="59" t="s">
        <v>178</v>
      </c>
      <c r="M158" s="60">
        <v>29336155760</v>
      </c>
      <c r="N158" s="60"/>
      <c r="O158" s="60"/>
      <c r="P158" s="60"/>
      <c r="Q158" s="61"/>
      <c r="R158" s="61">
        <v>0</v>
      </c>
      <c r="S158" s="81">
        <f>+M158-R158+N158-O158+P158-Q158</f>
        <v>29336155760</v>
      </c>
      <c r="T158" s="60">
        <v>7245633318.3699999</v>
      </c>
      <c r="U158" s="60">
        <f t="shared" ref="U158" si="159">+S158-T158</f>
        <v>22090522441.630001</v>
      </c>
      <c r="V158" s="62">
        <f t="shared" si="144"/>
        <v>0.24698646194977797</v>
      </c>
      <c r="W158" s="60">
        <v>267780333</v>
      </c>
      <c r="X158" s="60">
        <f t="shared" ref="X158" si="160">+T158-W158</f>
        <v>6977852985.3699999</v>
      </c>
      <c r="Y158" s="62">
        <f t="shared" si="156"/>
        <v>0.96304252213245578</v>
      </c>
      <c r="Z158" s="60">
        <v>168663333</v>
      </c>
      <c r="AA158" s="60">
        <f t="shared" ref="AA158" si="161">+W158-Z158</f>
        <v>99117000</v>
      </c>
      <c r="AB158" s="62">
        <f t="shared" si="139"/>
        <v>2.3277928317512901E-2</v>
      </c>
    </row>
    <row r="159" spans="1:28" ht="36" customHeight="1">
      <c r="A159" s="32" t="e">
        <f>+CONCATENATE(#REF!,"=",J159)</f>
        <v>#REF!</v>
      </c>
      <c r="B159" s="48" t="str">
        <f>CONCATENATE(C159,"-",D159,"-",E159,"-",F159)</f>
        <v>C-4103-1500-16</v>
      </c>
      <c r="C159" s="48" t="s">
        <v>167</v>
      </c>
      <c r="D159" s="48" t="s">
        <v>190</v>
      </c>
      <c r="E159" s="48" t="s">
        <v>172</v>
      </c>
      <c r="F159" s="48" t="s">
        <v>211</v>
      </c>
      <c r="G159" s="48"/>
      <c r="H159" s="48"/>
      <c r="I159" s="48"/>
      <c r="J159" s="49"/>
      <c r="K159" s="48"/>
      <c r="L159" s="48" t="s">
        <v>212</v>
      </c>
      <c r="M159" s="50">
        <f>+M160+M162</f>
        <v>500000000</v>
      </c>
      <c r="N159" s="50">
        <f t="shared" ref="N159:U159" si="162">+N160+N162</f>
        <v>0</v>
      </c>
      <c r="O159" s="50">
        <f t="shared" si="162"/>
        <v>0</v>
      </c>
      <c r="P159" s="50">
        <f t="shared" si="162"/>
        <v>0</v>
      </c>
      <c r="Q159" s="50">
        <f t="shared" si="162"/>
        <v>0</v>
      </c>
      <c r="R159" s="50">
        <f t="shared" si="162"/>
        <v>0</v>
      </c>
      <c r="S159" s="50">
        <f t="shared" si="162"/>
        <v>500000000</v>
      </c>
      <c r="T159" s="50">
        <f t="shared" si="162"/>
        <v>0</v>
      </c>
      <c r="U159" s="50">
        <f t="shared" si="162"/>
        <v>500000000</v>
      </c>
      <c r="V159" s="51">
        <f t="shared" si="144"/>
        <v>0</v>
      </c>
      <c r="W159" s="50">
        <f t="shared" ref="W159:AA159" si="163">+W160+W162</f>
        <v>0</v>
      </c>
      <c r="X159" s="50">
        <f t="shared" si="163"/>
        <v>0</v>
      </c>
      <c r="Y159" s="51">
        <f t="shared" si="156"/>
        <v>0</v>
      </c>
      <c r="Z159" s="50">
        <f t="shared" si="163"/>
        <v>0</v>
      </c>
      <c r="AA159" s="50">
        <f t="shared" si="163"/>
        <v>0</v>
      </c>
      <c r="AB159" s="51">
        <f t="shared" si="139"/>
        <v>0</v>
      </c>
    </row>
    <row r="160" spans="1:28" ht="28.5" customHeight="1">
      <c r="A160" s="32" t="e">
        <f>+CONCATENATE(#REF!,"=",J160)</f>
        <v>#REF!</v>
      </c>
      <c r="B160" s="52" t="str">
        <f>CONCATENATE(C160,"-",D160,"-",E160,"-",F160,"-",G160,"-",H160)</f>
        <v>C-4103-1500-16-0-4103056</v>
      </c>
      <c r="C160" s="52" t="s">
        <v>167</v>
      </c>
      <c r="D160" s="52" t="s">
        <v>190</v>
      </c>
      <c r="E160" s="52" t="s">
        <v>172</v>
      </c>
      <c r="F160" s="52" t="s">
        <v>211</v>
      </c>
      <c r="G160" s="52" t="s">
        <v>175</v>
      </c>
      <c r="H160" s="52" t="s">
        <v>213</v>
      </c>
      <c r="I160" s="52"/>
      <c r="J160" s="53"/>
      <c r="K160" s="52" t="s">
        <v>29</v>
      </c>
      <c r="L160" s="52" t="s">
        <v>214</v>
      </c>
      <c r="M160" s="54">
        <f>+M161</f>
        <v>410000000</v>
      </c>
      <c r="N160" s="54">
        <f t="shared" ref="N160:AA160" si="164">+N161</f>
        <v>0</v>
      </c>
      <c r="O160" s="54">
        <f t="shared" si="164"/>
        <v>0</v>
      </c>
      <c r="P160" s="54">
        <f t="shared" si="164"/>
        <v>0</v>
      </c>
      <c r="Q160" s="54">
        <f t="shared" si="164"/>
        <v>0</v>
      </c>
      <c r="R160" s="54">
        <f t="shared" si="164"/>
        <v>0</v>
      </c>
      <c r="S160" s="54">
        <f t="shared" si="164"/>
        <v>410000000</v>
      </c>
      <c r="T160" s="54">
        <f t="shared" si="164"/>
        <v>0</v>
      </c>
      <c r="U160" s="54">
        <f t="shared" si="164"/>
        <v>410000000</v>
      </c>
      <c r="V160" s="55">
        <f t="shared" si="144"/>
        <v>0</v>
      </c>
      <c r="W160" s="54">
        <f t="shared" si="164"/>
        <v>0</v>
      </c>
      <c r="X160" s="54">
        <f t="shared" si="164"/>
        <v>0</v>
      </c>
      <c r="Y160" s="55">
        <f t="shared" si="156"/>
        <v>0</v>
      </c>
      <c r="Z160" s="54">
        <f t="shared" si="164"/>
        <v>0</v>
      </c>
      <c r="AA160" s="54">
        <f t="shared" si="164"/>
        <v>0</v>
      </c>
      <c r="AB160" s="55">
        <f t="shared" si="139"/>
        <v>0</v>
      </c>
    </row>
    <row r="161" spans="1:28" ht="24.95" customHeight="1">
      <c r="A161" s="32" t="e">
        <f>+CONCATENATE(#REF!,"=",J161)</f>
        <v>#REF!</v>
      </c>
      <c r="B161" s="56" t="str">
        <f t="shared" ref="B161:B163" si="165">CONCATENATE(C161,"-",D161,"-",E161,"-",F161,"-",G161,"-",H161,"-",I161)</f>
        <v>C-4103-1500-16-0-4103056-02</v>
      </c>
      <c r="C161" s="57" t="s">
        <v>167</v>
      </c>
      <c r="D161" s="57" t="s">
        <v>190</v>
      </c>
      <c r="E161" s="57" t="s">
        <v>172</v>
      </c>
      <c r="F161" s="57" t="s">
        <v>211</v>
      </c>
      <c r="G161" s="57" t="s">
        <v>175</v>
      </c>
      <c r="H161" s="57" t="s">
        <v>213</v>
      </c>
      <c r="I161" s="57" t="s">
        <v>54</v>
      </c>
      <c r="J161" s="57">
        <v>11</v>
      </c>
      <c r="K161" s="58" t="s">
        <v>29</v>
      </c>
      <c r="L161" s="59" t="s">
        <v>178</v>
      </c>
      <c r="M161" s="60">
        <v>410000000</v>
      </c>
      <c r="N161" s="60"/>
      <c r="O161" s="60"/>
      <c r="P161" s="61"/>
      <c r="Q161" s="61"/>
      <c r="R161" s="61">
        <v>0</v>
      </c>
      <c r="S161" s="60">
        <f>+M161-R161+N161-O161+P161-Q161</f>
        <v>410000000</v>
      </c>
      <c r="T161" s="60">
        <v>0</v>
      </c>
      <c r="U161" s="60">
        <f t="shared" si="113"/>
        <v>410000000</v>
      </c>
      <c r="V161" s="62">
        <f t="shared" si="144"/>
        <v>0</v>
      </c>
      <c r="W161" s="60">
        <v>0</v>
      </c>
      <c r="X161" s="60">
        <f t="shared" si="114"/>
        <v>0</v>
      </c>
      <c r="Y161" s="62">
        <f t="shared" si="156"/>
        <v>0</v>
      </c>
      <c r="Z161" s="60">
        <v>0</v>
      </c>
      <c r="AA161" s="60">
        <f t="shared" si="115"/>
        <v>0</v>
      </c>
      <c r="AB161" s="62">
        <f t="shared" si="139"/>
        <v>0</v>
      </c>
    </row>
    <row r="162" spans="1:28" ht="24" customHeight="1">
      <c r="A162" s="32" t="e">
        <f>+CONCATENATE(#REF!,"=",J162)</f>
        <v>#REF!</v>
      </c>
      <c r="B162" s="52" t="str">
        <f>CONCATENATE(C162,"-",D162,"-",E162,"-",F162,"-",G162,"-",H162)</f>
        <v>C-4103-1500-16-0-4103060</v>
      </c>
      <c r="C162" s="52" t="s">
        <v>167</v>
      </c>
      <c r="D162" s="52" t="s">
        <v>190</v>
      </c>
      <c r="E162" s="52" t="s">
        <v>172</v>
      </c>
      <c r="F162" s="52" t="s">
        <v>211</v>
      </c>
      <c r="G162" s="52" t="s">
        <v>175</v>
      </c>
      <c r="H162" s="52" t="s">
        <v>215</v>
      </c>
      <c r="I162" s="52"/>
      <c r="J162" s="53"/>
      <c r="K162" s="52" t="s">
        <v>29</v>
      </c>
      <c r="L162" s="52" t="s">
        <v>216</v>
      </c>
      <c r="M162" s="54">
        <f>+M163</f>
        <v>90000000</v>
      </c>
      <c r="N162" s="54">
        <f t="shared" ref="N162:AA162" si="166">+N163</f>
        <v>0</v>
      </c>
      <c r="O162" s="54">
        <f t="shared" si="166"/>
        <v>0</v>
      </c>
      <c r="P162" s="54">
        <f t="shared" si="166"/>
        <v>0</v>
      </c>
      <c r="Q162" s="54">
        <f t="shared" si="166"/>
        <v>0</v>
      </c>
      <c r="R162" s="54">
        <f t="shared" si="166"/>
        <v>0</v>
      </c>
      <c r="S162" s="54">
        <f t="shared" si="166"/>
        <v>90000000</v>
      </c>
      <c r="T162" s="54">
        <f t="shared" si="166"/>
        <v>0</v>
      </c>
      <c r="U162" s="54">
        <f t="shared" si="166"/>
        <v>90000000</v>
      </c>
      <c r="V162" s="55">
        <f t="shared" si="144"/>
        <v>0</v>
      </c>
      <c r="W162" s="54">
        <f t="shared" si="166"/>
        <v>0</v>
      </c>
      <c r="X162" s="54">
        <f t="shared" si="166"/>
        <v>0</v>
      </c>
      <c r="Y162" s="55">
        <f t="shared" si="156"/>
        <v>0</v>
      </c>
      <c r="Z162" s="54">
        <f t="shared" si="166"/>
        <v>0</v>
      </c>
      <c r="AA162" s="54">
        <f t="shared" si="166"/>
        <v>0</v>
      </c>
      <c r="AB162" s="55">
        <f t="shared" si="139"/>
        <v>0</v>
      </c>
    </row>
    <row r="163" spans="1:28" ht="24.95" customHeight="1">
      <c r="A163" s="32" t="e">
        <f>+CONCATENATE(#REF!,"=",J163)</f>
        <v>#REF!</v>
      </c>
      <c r="B163" s="56" t="str">
        <f t="shared" si="165"/>
        <v>C-4103-1500-16-0-4103060-02</v>
      </c>
      <c r="C163" s="57" t="s">
        <v>167</v>
      </c>
      <c r="D163" s="57" t="s">
        <v>190</v>
      </c>
      <c r="E163" s="57" t="s">
        <v>172</v>
      </c>
      <c r="F163" s="57" t="s">
        <v>211</v>
      </c>
      <c r="G163" s="57" t="s">
        <v>175</v>
      </c>
      <c r="H163" s="57" t="s">
        <v>215</v>
      </c>
      <c r="I163" s="57" t="s">
        <v>54</v>
      </c>
      <c r="J163" s="57">
        <v>11</v>
      </c>
      <c r="K163" s="58" t="s">
        <v>29</v>
      </c>
      <c r="L163" s="59" t="s">
        <v>178</v>
      </c>
      <c r="M163" s="60">
        <v>90000000</v>
      </c>
      <c r="N163" s="60"/>
      <c r="O163" s="60"/>
      <c r="P163" s="61"/>
      <c r="Q163" s="61"/>
      <c r="R163" s="61">
        <v>0</v>
      </c>
      <c r="S163" s="60">
        <f>+M163-R163+N163-O163+P163-Q163</f>
        <v>90000000</v>
      </c>
      <c r="T163" s="60">
        <v>0</v>
      </c>
      <c r="U163" s="60">
        <f t="shared" si="113"/>
        <v>90000000</v>
      </c>
      <c r="V163" s="62">
        <f t="shared" si="144"/>
        <v>0</v>
      </c>
      <c r="W163" s="60">
        <v>0</v>
      </c>
      <c r="X163" s="60">
        <f t="shared" si="114"/>
        <v>0</v>
      </c>
      <c r="Y163" s="62">
        <f t="shared" si="156"/>
        <v>0</v>
      </c>
      <c r="Z163" s="60">
        <v>0</v>
      </c>
      <c r="AA163" s="60">
        <f t="shared" si="115"/>
        <v>0</v>
      </c>
      <c r="AB163" s="62">
        <f t="shared" si="139"/>
        <v>0</v>
      </c>
    </row>
    <row r="164" spans="1:28" ht="50.25" customHeight="1">
      <c r="A164" s="32" t="e">
        <f>+CONCATENATE(#REF!,"=",J164)</f>
        <v>#REF!</v>
      </c>
      <c r="B164" s="48" t="str">
        <f>CONCATENATE(C164,"-",D164,"-",E164,"-",F164)</f>
        <v>C-4103-1500-17</v>
      </c>
      <c r="C164" s="48" t="s">
        <v>167</v>
      </c>
      <c r="D164" s="48" t="s">
        <v>190</v>
      </c>
      <c r="E164" s="48" t="s">
        <v>172</v>
      </c>
      <c r="F164" s="48" t="s">
        <v>217</v>
      </c>
      <c r="G164" s="48"/>
      <c r="H164" s="48"/>
      <c r="I164" s="48"/>
      <c r="J164" s="49"/>
      <c r="K164" s="48"/>
      <c r="L164" s="48" t="s">
        <v>218</v>
      </c>
      <c r="M164" s="50">
        <f>+M167+M165</f>
        <v>18000000000</v>
      </c>
      <c r="N164" s="50">
        <f t="shared" ref="N164:U164" si="167">+N167+N165</f>
        <v>0</v>
      </c>
      <c r="O164" s="50">
        <f t="shared" si="167"/>
        <v>0</v>
      </c>
      <c r="P164" s="50">
        <f t="shared" si="167"/>
        <v>0</v>
      </c>
      <c r="Q164" s="50">
        <f t="shared" si="167"/>
        <v>0</v>
      </c>
      <c r="R164" s="50">
        <f t="shared" si="167"/>
        <v>0</v>
      </c>
      <c r="S164" s="50">
        <f t="shared" si="167"/>
        <v>18000000000</v>
      </c>
      <c r="T164" s="50">
        <f t="shared" si="167"/>
        <v>325023333</v>
      </c>
      <c r="U164" s="50">
        <f t="shared" si="167"/>
        <v>17674976667</v>
      </c>
      <c r="V164" s="51">
        <f t="shared" si="144"/>
        <v>1.8056851833333332E-2</v>
      </c>
      <c r="W164" s="50">
        <f t="shared" ref="W164:X164" si="168">+W167+W165</f>
        <v>28516667</v>
      </c>
      <c r="X164" s="50">
        <f t="shared" si="168"/>
        <v>296506666</v>
      </c>
      <c r="Y164" s="51">
        <f t="shared" si="156"/>
        <v>0.91226270822839661</v>
      </c>
      <c r="Z164" s="50">
        <f t="shared" ref="Z164:AA164" si="169">+Z167+Z165</f>
        <v>7416667</v>
      </c>
      <c r="AA164" s="50">
        <f t="shared" si="169"/>
        <v>21100000</v>
      </c>
      <c r="AB164" s="51">
        <f t="shared" si="139"/>
        <v>2.2818875591310239E-2</v>
      </c>
    </row>
    <row r="165" spans="1:28" ht="24" customHeight="1">
      <c r="A165" s="32" t="e">
        <f>+CONCATENATE(#REF!,"=",J165)</f>
        <v>#REF!</v>
      </c>
      <c r="B165" s="52" t="str">
        <f>CONCATENATE(C165,"-",D165,"-",E165,"-",F165,"-",G165,"-",H165)</f>
        <v>C-4103-1500-17-0-4103005</v>
      </c>
      <c r="C165" s="52" t="s">
        <v>167</v>
      </c>
      <c r="D165" s="52" t="s">
        <v>190</v>
      </c>
      <c r="E165" s="52" t="s">
        <v>172</v>
      </c>
      <c r="F165" s="52" t="s">
        <v>217</v>
      </c>
      <c r="G165" s="52" t="s">
        <v>175</v>
      </c>
      <c r="H165" s="52" t="s">
        <v>219</v>
      </c>
      <c r="I165" s="52"/>
      <c r="J165" s="53"/>
      <c r="K165" s="52" t="s">
        <v>29</v>
      </c>
      <c r="L165" s="52" t="s">
        <v>220</v>
      </c>
      <c r="M165" s="54">
        <f>M166</f>
        <v>3388943635</v>
      </c>
      <c r="N165" s="54">
        <f t="shared" ref="N165:AA165" si="170">N166</f>
        <v>0</v>
      </c>
      <c r="O165" s="54">
        <f t="shared" si="170"/>
        <v>0</v>
      </c>
      <c r="P165" s="54">
        <f t="shared" si="170"/>
        <v>0</v>
      </c>
      <c r="Q165" s="54">
        <f t="shared" si="170"/>
        <v>0</v>
      </c>
      <c r="R165" s="54">
        <f t="shared" si="170"/>
        <v>0</v>
      </c>
      <c r="S165" s="54">
        <f t="shared" si="170"/>
        <v>3388943635</v>
      </c>
      <c r="T165" s="54">
        <f t="shared" si="170"/>
        <v>325023333</v>
      </c>
      <c r="U165" s="54">
        <f t="shared" si="170"/>
        <v>3063920302</v>
      </c>
      <c r="V165" s="55">
        <f t="shared" si="144"/>
        <v>9.5906975153925808E-2</v>
      </c>
      <c r="W165" s="54">
        <f t="shared" si="170"/>
        <v>28516667</v>
      </c>
      <c r="X165" s="54">
        <f t="shared" si="170"/>
        <v>296506666</v>
      </c>
      <c r="Y165" s="55">
        <f t="shared" si="156"/>
        <v>0.91226270822839661</v>
      </c>
      <c r="Z165" s="54">
        <f t="shared" si="170"/>
        <v>7416667</v>
      </c>
      <c r="AA165" s="54">
        <f t="shared" si="170"/>
        <v>21100000</v>
      </c>
      <c r="AB165" s="55">
        <f t="shared" si="139"/>
        <v>2.2818875591310239E-2</v>
      </c>
    </row>
    <row r="166" spans="1:28" ht="24.95" customHeight="1">
      <c r="A166" s="32" t="e">
        <f>+CONCATENATE(#REF!,"=",J166)</f>
        <v>#REF!</v>
      </c>
      <c r="B166" s="56" t="str">
        <f t="shared" ref="B166:B168" si="171">CONCATENATE(C166,"-",D166,"-",E166,"-",F166,"-",G166,"-",H166,"-",I166)</f>
        <v>C-4103-1500-17-0-4103005-02</v>
      </c>
      <c r="C166" s="57" t="s">
        <v>167</v>
      </c>
      <c r="D166" s="57" t="s">
        <v>190</v>
      </c>
      <c r="E166" s="57" t="s">
        <v>172</v>
      </c>
      <c r="F166" s="57" t="s">
        <v>217</v>
      </c>
      <c r="G166" s="57" t="s">
        <v>175</v>
      </c>
      <c r="H166" s="57" t="s">
        <v>219</v>
      </c>
      <c r="I166" s="57" t="s">
        <v>54</v>
      </c>
      <c r="J166" s="57">
        <v>11</v>
      </c>
      <c r="K166" s="58" t="s">
        <v>29</v>
      </c>
      <c r="L166" s="59" t="s">
        <v>178</v>
      </c>
      <c r="M166" s="60">
        <v>3388943635</v>
      </c>
      <c r="N166" s="60"/>
      <c r="O166" s="60"/>
      <c r="P166" s="60"/>
      <c r="Q166" s="61"/>
      <c r="R166" s="61">
        <v>0</v>
      </c>
      <c r="S166" s="60">
        <f>+M166-R166+N166-O166+P166-Q166</f>
        <v>3388943635</v>
      </c>
      <c r="T166" s="60">
        <v>325023333</v>
      </c>
      <c r="U166" s="60">
        <f>+S166-T166</f>
        <v>3063920302</v>
      </c>
      <c r="V166" s="62">
        <f t="shared" si="144"/>
        <v>9.5906975153925808E-2</v>
      </c>
      <c r="W166" s="60">
        <v>28516667</v>
      </c>
      <c r="X166" s="60">
        <f>+T166-W166</f>
        <v>296506666</v>
      </c>
      <c r="Y166" s="62">
        <f t="shared" si="156"/>
        <v>0.91226270822839661</v>
      </c>
      <c r="Z166" s="60">
        <v>7416667</v>
      </c>
      <c r="AA166" s="60">
        <f>+W166-Z166</f>
        <v>21100000</v>
      </c>
      <c r="AB166" s="62">
        <f t="shared" si="139"/>
        <v>2.2818875591310239E-2</v>
      </c>
    </row>
    <row r="167" spans="1:28" ht="28.5" customHeight="1">
      <c r="A167" s="32" t="e">
        <f>+CONCATENATE(#REF!,"=",J167)</f>
        <v>#REF!</v>
      </c>
      <c r="B167" s="52" t="str">
        <f>CONCATENATE(C167,"-",D167,"-",E167,"-",F167,"-",G167,"-",H167)</f>
        <v>C-4103-1500-17-0-4103057</v>
      </c>
      <c r="C167" s="52" t="s">
        <v>167</v>
      </c>
      <c r="D167" s="52" t="s">
        <v>190</v>
      </c>
      <c r="E167" s="52" t="s">
        <v>172</v>
      </c>
      <c r="F167" s="52" t="s">
        <v>217</v>
      </c>
      <c r="G167" s="52" t="s">
        <v>175</v>
      </c>
      <c r="H167" s="52" t="s">
        <v>221</v>
      </c>
      <c r="I167" s="52"/>
      <c r="J167" s="53"/>
      <c r="K167" s="52" t="s">
        <v>29</v>
      </c>
      <c r="L167" s="52" t="s">
        <v>222</v>
      </c>
      <c r="M167" s="54">
        <f t="shared" ref="M167:U167" si="172">SUM(M168:M168)</f>
        <v>14611056365</v>
      </c>
      <c r="N167" s="54">
        <f t="shared" si="172"/>
        <v>0</v>
      </c>
      <c r="O167" s="54">
        <f t="shared" si="172"/>
        <v>0</v>
      </c>
      <c r="P167" s="54">
        <f t="shared" si="172"/>
        <v>0</v>
      </c>
      <c r="Q167" s="54">
        <f t="shared" si="172"/>
        <v>0</v>
      </c>
      <c r="R167" s="54">
        <f t="shared" si="172"/>
        <v>0</v>
      </c>
      <c r="S167" s="54">
        <f t="shared" si="172"/>
        <v>14611056365</v>
      </c>
      <c r="T167" s="54">
        <f t="shared" si="172"/>
        <v>0</v>
      </c>
      <c r="U167" s="54">
        <f t="shared" si="172"/>
        <v>14611056365</v>
      </c>
      <c r="V167" s="55">
        <f t="shared" si="144"/>
        <v>0</v>
      </c>
      <c r="W167" s="54">
        <f>SUM(W168:W168)</f>
        <v>0</v>
      </c>
      <c r="X167" s="54">
        <f>SUM(X168:X168)</f>
        <v>0</v>
      </c>
      <c r="Y167" s="55">
        <f t="shared" si="156"/>
        <v>0</v>
      </c>
      <c r="Z167" s="54">
        <f>SUM(Z168:Z168)</f>
        <v>0</v>
      </c>
      <c r="AA167" s="54">
        <f>SUM(AA168:AA168)</f>
        <v>0</v>
      </c>
      <c r="AB167" s="55">
        <f t="shared" si="139"/>
        <v>0</v>
      </c>
    </row>
    <row r="168" spans="1:28" ht="24.95" customHeight="1">
      <c r="A168" s="32" t="e">
        <f>+CONCATENATE(#REF!,"=",J168)</f>
        <v>#REF!</v>
      </c>
      <c r="B168" s="56" t="str">
        <f t="shared" si="171"/>
        <v>C-4103-1500-17-0-4103057-02</v>
      </c>
      <c r="C168" s="57" t="s">
        <v>167</v>
      </c>
      <c r="D168" s="57" t="s">
        <v>190</v>
      </c>
      <c r="E168" s="57" t="s">
        <v>172</v>
      </c>
      <c r="F168" s="57" t="s">
        <v>217</v>
      </c>
      <c r="G168" s="57" t="s">
        <v>175</v>
      </c>
      <c r="H168" s="57" t="s">
        <v>221</v>
      </c>
      <c r="I168" s="57" t="s">
        <v>54</v>
      </c>
      <c r="J168" s="57">
        <v>11</v>
      </c>
      <c r="K168" s="58" t="s">
        <v>29</v>
      </c>
      <c r="L168" s="59" t="s">
        <v>178</v>
      </c>
      <c r="M168" s="60">
        <v>14611056365</v>
      </c>
      <c r="N168" s="60"/>
      <c r="O168" s="60"/>
      <c r="P168" s="60"/>
      <c r="Q168" s="61"/>
      <c r="R168" s="61">
        <v>0</v>
      </c>
      <c r="S168" s="60">
        <f>+M168-R168+N168-O168+P168-Q168</f>
        <v>14611056365</v>
      </c>
      <c r="T168" s="60">
        <v>0</v>
      </c>
      <c r="U168" s="60">
        <f t="shared" ref="U168" si="173">+S168-T168</f>
        <v>14611056365</v>
      </c>
      <c r="V168" s="62">
        <f t="shared" si="144"/>
        <v>0</v>
      </c>
      <c r="W168" s="60">
        <v>0</v>
      </c>
      <c r="X168" s="60">
        <f t="shared" ref="X168" si="174">+T168-W168</f>
        <v>0</v>
      </c>
      <c r="Y168" s="62">
        <f t="shared" si="156"/>
        <v>0</v>
      </c>
      <c r="Z168" s="60">
        <v>0</v>
      </c>
      <c r="AA168" s="60">
        <f t="shared" ref="AA168" si="175">+W168-Z168</f>
        <v>0</v>
      </c>
      <c r="AB168" s="62">
        <f t="shared" si="139"/>
        <v>0</v>
      </c>
    </row>
    <row r="169" spans="1:28" ht="39.75" customHeight="1">
      <c r="A169" s="32" t="e">
        <f>+CONCATENATE(#REF!,"=",J169)</f>
        <v>#REF!</v>
      </c>
      <c r="B169" s="48" t="str">
        <f>CONCATENATE(C169,"-",D169,"-",E169,"-",F169)</f>
        <v>C-4103-1500-18</v>
      </c>
      <c r="C169" s="48" t="s">
        <v>167</v>
      </c>
      <c r="D169" s="48" t="s">
        <v>190</v>
      </c>
      <c r="E169" s="48" t="s">
        <v>172</v>
      </c>
      <c r="F169" s="48">
        <v>18</v>
      </c>
      <c r="G169" s="48"/>
      <c r="H169" s="48"/>
      <c r="I169" s="48"/>
      <c r="J169" s="49"/>
      <c r="K169" s="48"/>
      <c r="L169" s="48" t="s">
        <v>823</v>
      </c>
      <c r="M169" s="50">
        <f>+M170</f>
        <v>41200000000</v>
      </c>
      <c r="N169" s="50">
        <f t="shared" ref="N169:U169" si="176">+N170</f>
        <v>0</v>
      </c>
      <c r="O169" s="50">
        <f t="shared" si="176"/>
        <v>0</v>
      </c>
      <c r="P169" s="50">
        <f t="shared" si="176"/>
        <v>0</v>
      </c>
      <c r="Q169" s="50">
        <f t="shared" si="176"/>
        <v>0</v>
      </c>
      <c r="R169" s="50">
        <f t="shared" si="176"/>
        <v>0</v>
      </c>
      <c r="S169" s="50">
        <f t="shared" si="176"/>
        <v>41200000000</v>
      </c>
      <c r="T169" s="50">
        <f t="shared" si="176"/>
        <v>1383650000</v>
      </c>
      <c r="U169" s="50">
        <f t="shared" si="176"/>
        <v>39816350000</v>
      </c>
      <c r="V169" s="51">
        <f t="shared" si="144"/>
        <v>3.3583737864077673E-2</v>
      </c>
      <c r="W169" s="50">
        <f t="shared" ref="W169:X169" si="177">+W170</f>
        <v>17433316.670000002</v>
      </c>
      <c r="X169" s="50">
        <f t="shared" si="177"/>
        <v>1366216683.3299999</v>
      </c>
      <c r="Y169" s="51">
        <f t="shared" si="156"/>
        <v>0.98740048663318025</v>
      </c>
      <c r="Z169" s="50">
        <f t="shared" ref="Z169:AA169" si="178">+Z170</f>
        <v>9516649.6699999999</v>
      </c>
      <c r="AA169" s="50">
        <f t="shared" si="178"/>
        <v>7916667.0000000019</v>
      </c>
      <c r="AB169" s="51">
        <f t="shared" si="139"/>
        <v>6.8779313193365376E-3</v>
      </c>
    </row>
    <row r="170" spans="1:28" ht="30" customHeight="1">
      <c r="A170" s="32" t="e">
        <f>+CONCATENATE(#REF!,"=",J170)</f>
        <v>#REF!</v>
      </c>
      <c r="B170" s="52" t="str">
        <f>CONCATENATE(C170,"-",D170,"-",E170,"-",F170,"-",G170,"-",H170)</f>
        <v>C-4103-1500-18-0-4103050</v>
      </c>
      <c r="C170" s="52" t="s">
        <v>167</v>
      </c>
      <c r="D170" s="52" t="s">
        <v>190</v>
      </c>
      <c r="E170" s="52" t="s">
        <v>172</v>
      </c>
      <c r="F170" s="48">
        <v>18</v>
      </c>
      <c r="G170" s="52" t="s">
        <v>175</v>
      </c>
      <c r="H170" s="52">
        <v>4103050</v>
      </c>
      <c r="I170" s="52"/>
      <c r="J170" s="53"/>
      <c r="K170" s="52" t="s">
        <v>29</v>
      </c>
      <c r="L170" s="52" t="s">
        <v>824</v>
      </c>
      <c r="M170" s="54">
        <f>M171</f>
        <v>41200000000</v>
      </c>
      <c r="N170" s="54">
        <f t="shared" ref="N170:AA170" si="179">N171</f>
        <v>0</v>
      </c>
      <c r="O170" s="54">
        <f t="shared" si="179"/>
        <v>0</v>
      </c>
      <c r="P170" s="54">
        <f t="shared" si="179"/>
        <v>0</v>
      </c>
      <c r="Q170" s="54">
        <f t="shared" si="179"/>
        <v>0</v>
      </c>
      <c r="R170" s="54">
        <f t="shared" si="179"/>
        <v>0</v>
      </c>
      <c r="S170" s="54">
        <f t="shared" si="179"/>
        <v>41200000000</v>
      </c>
      <c r="T170" s="54">
        <f t="shared" si="179"/>
        <v>1383650000</v>
      </c>
      <c r="U170" s="54">
        <f t="shared" si="179"/>
        <v>39816350000</v>
      </c>
      <c r="V170" s="55">
        <f t="shared" si="144"/>
        <v>3.3583737864077673E-2</v>
      </c>
      <c r="W170" s="54">
        <f t="shared" si="179"/>
        <v>17433316.670000002</v>
      </c>
      <c r="X170" s="54">
        <f t="shared" si="179"/>
        <v>1366216683.3299999</v>
      </c>
      <c r="Y170" s="55">
        <f t="shared" si="156"/>
        <v>0.98740048663318025</v>
      </c>
      <c r="Z170" s="54">
        <f t="shared" si="179"/>
        <v>9516649.6699999999</v>
      </c>
      <c r="AA170" s="54">
        <f t="shared" si="179"/>
        <v>7916667.0000000019</v>
      </c>
      <c r="AB170" s="55">
        <f t="shared" si="139"/>
        <v>6.8779313193365376E-3</v>
      </c>
    </row>
    <row r="171" spans="1:28" ht="24.95" customHeight="1">
      <c r="A171" s="32" t="e">
        <f>+CONCATENATE(#REF!,"=",J171)</f>
        <v>#REF!</v>
      </c>
      <c r="B171" s="56" t="str">
        <f t="shared" ref="B171" si="180">CONCATENATE(C171,"-",D171,"-",E171,"-",F171,"-",G171,"-",H171,"-",I171)</f>
        <v>C-4103-1500-18-0-4103050-02</v>
      </c>
      <c r="C171" s="57" t="s">
        <v>167</v>
      </c>
      <c r="D171" s="57" t="s">
        <v>190</v>
      </c>
      <c r="E171" s="57" t="s">
        <v>172</v>
      </c>
      <c r="F171" s="57">
        <v>18</v>
      </c>
      <c r="G171" s="57" t="s">
        <v>175</v>
      </c>
      <c r="H171" s="57">
        <v>4103050</v>
      </c>
      <c r="I171" s="57" t="s">
        <v>54</v>
      </c>
      <c r="J171" s="57">
        <v>11</v>
      </c>
      <c r="K171" s="58" t="s">
        <v>29</v>
      </c>
      <c r="L171" s="59" t="s">
        <v>178</v>
      </c>
      <c r="M171" s="60">
        <v>41200000000</v>
      </c>
      <c r="N171" s="60"/>
      <c r="O171" s="60"/>
      <c r="P171" s="60"/>
      <c r="Q171" s="60">
        <v>0</v>
      </c>
      <c r="R171" s="61">
        <v>0</v>
      </c>
      <c r="S171" s="60">
        <f>+M171-R171+N171-O171+P171-Q171</f>
        <v>41200000000</v>
      </c>
      <c r="T171" s="60">
        <v>1383650000</v>
      </c>
      <c r="U171" s="60">
        <f>+S171-T171</f>
        <v>39816350000</v>
      </c>
      <c r="V171" s="62">
        <f t="shared" si="144"/>
        <v>3.3583737864077673E-2</v>
      </c>
      <c r="W171" s="60">
        <v>17433316.670000002</v>
      </c>
      <c r="X171" s="60">
        <f>+T171-W171</f>
        <v>1366216683.3299999</v>
      </c>
      <c r="Y171" s="62">
        <f t="shared" si="156"/>
        <v>0.98740048663318025</v>
      </c>
      <c r="Z171" s="60">
        <v>9516649.6699999999</v>
      </c>
      <c r="AA171" s="60">
        <f>+W171-Z171</f>
        <v>7916667.0000000019</v>
      </c>
      <c r="AB171" s="62">
        <f t="shared" si="139"/>
        <v>6.8779313193365376E-3</v>
      </c>
    </row>
    <row r="172" spans="1:28" ht="33" customHeight="1">
      <c r="A172" s="32" t="e">
        <f>+CONCATENATE(#REF!,"=",J172)</f>
        <v>#REF!</v>
      </c>
      <c r="B172" s="48" t="str">
        <f>CONCATENATE(C172,"-",D172,"-",E172,"-",F172)</f>
        <v>C-4103-1500-19</v>
      </c>
      <c r="C172" s="48" t="s">
        <v>167</v>
      </c>
      <c r="D172" s="48" t="s">
        <v>190</v>
      </c>
      <c r="E172" s="48" t="s">
        <v>172</v>
      </c>
      <c r="F172" s="48">
        <v>19</v>
      </c>
      <c r="G172" s="48"/>
      <c r="H172" s="48"/>
      <c r="I172" s="48"/>
      <c r="J172" s="49"/>
      <c r="K172" s="48"/>
      <c r="L172" s="48" t="s">
        <v>227</v>
      </c>
      <c r="M172" s="50">
        <f>+M173+M177+M175</f>
        <v>12000000000</v>
      </c>
      <c r="N172" s="50">
        <f t="shared" ref="N172:AA172" si="181">+N173+N177+N175</f>
        <v>0</v>
      </c>
      <c r="O172" s="50">
        <f t="shared" si="181"/>
        <v>0</v>
      </c>
      <c r="P172" s="50">
        <f t="shared" si="181"/>
        <v>0</v>
      </c>
      <c r="Q172" s="50">
        <f t="shared" si="181"/>
        <v>0</v>
      </c>
      <c r="R172" s="50">
        <f t="shared" si="181"/>
        <v>0</v>
      </c>
      <c r="S172" s="50">
        <f t="shared" si="181"/>
        <v>12000000000</v>
      </c>
      <c r="T172" s="50">
        <f t="shared" si="181"/>
        <v>5024748112</v>
      </c>
      <c r="U172" s="50">
        <f t="shared" si="181"/>
        <v>6975251888</v>
      </c>
      <c r="V172" s="51">
        <f t="shared" si="144"/>
        <v>0.41872900933333335</v>
      </c>
      <c r="W172" s="50">
        <f t="shared" si="181"/>
        <v>30319999.329999998</v>
      </c>
      <c r="X172" s="50">
        <f t="shared" si="181"/>
        <v>4994428112.6700001</v>
      </c>
      <c r="Y172" s="51">
        <f t="shared" si="156"/>
        <v>0.99396586681477817</v>
      </c>
      <c r="Z172" s="50">
        <f t="shared" si="181"/>
        <v>13013333.33</v>
      </c>
      <c r="AA172" s="50">
        <f t="shared" si="181"/>
        <v>17306666</v>
      </c>
      <c r="AB172" s="51">
        <f t="shared" si="139"/>
        <v>2.5898478968372218E-3</v>
      </c>
    </row>
    <row r="173" spans="1:28" ht="30" customHeight="1">
      <c r="A173" s="32" t="e">
        <f>+CONCATENATE(#REF!,"=",J173)</f>
        <v>#REF!</v>
      </c>
      <c r="B173" s="52" t="str">
        <f>CONCATENATE(C173,"-",D173,"-",E173,"-",F173,"-",G173,"-",H173)</f>
        <v>C-4103-1500-19-0-4103049</v>
      </c>
      <c r="C173" s="52" t="s">
        <v>167</v>
      </c>
      <c r="D173" s="52" t="s">
        <v>190</v>
      </c>
      <c r="E173" s="52" t="s">
        <v>172</v>
      </c>
      <c r="F173" s="52">
        <v>19</v>
      </c>
      <c r="G173" s="52" t="s">
        <v>175</v>
      </c>
      <c r="H173" s="52">
        <v>4103049</v>
      </c>
      <c r="I173" s="52"/>
      <c r="J173" s="53"/>
      <c r="K173" s="52" t="s">
        <v>29</v>
      </c>
      <c r="L173" s="52" t="s">
        <v>228</v>
      </c>
      <c r="M173" s="54">
        <f>M174</f>
        <v>250000000</v>
      </c>
      <c r="N173" s="54">
        <f t="shared" ref="N173:AA177" si="182">N174</f>
        <v>0</v>
      </c>
      <c r="O173" s="54">
        <f t="shared" si="182"/>
        <v>0</v>
      </c>
      <c r="P173" s="54">
        <f t="shared" si="182"/>
        <v>0</v>
      </c>
      <c r="Q173" s="54">
        <f t="shared" si="182"/>
        <v>0</v>
      </c>
      <c r="R173" s="54">
        <f t="shared" si="182"/>
        <v>0</v>
      </c>
      <c r="S173" s="54">
        <f t="shared" si="182"/>
        <v>250000000</v>
      </c>
      <c r="T173" s="54">
        <f t="shared" si="182"/>
        <v>0</v>
      </c>
      <c r="U173" s="54">
        <f t="shared" si="182"/>
        <v>250000000</v>
      </c>
      <c r="V173" s="55">
        <f t="shared" si="144"/>
        <v>0</v>
      </c>
      <c r="W173" s="54">
        <f t="shared" si="182"/>
        <v>0</v>
      </c>
      <c r="X173" s="54">
        <f t="shared" si="182"/>
        <v>0</v>
      </c>
      <c r="Y173" s="55">
        <f t="shared" si="156"/>
        <v>0</v>
      </c>
      <c r="Z173" s="54">
        <f t="shared" si="182"/>
        <v>0</v>
      </c>
      <c r="AA173" s="54">
        <f t="shared" si="182"/>
        <v>0</v>
      </c>
      <c r="AB173" s="55">
        <f t="shared" si="139"/>
        <v>0</v>
      </c>
    </row>
    <row r="174" spans="1:28" ht="24.95" customHeight="1">
      <c r="A174" s="32" t="e">
        <f>+CONCATENATE(#REF!,"=",J174)</f>
        <v>#REF!</v>
      </c>
      <c r="B174" s="56" t="str">
        <f t="shared" ref="B174" si="183">CONCATENATE(C174,"-",D174,"-",E174,"-",F174,"-",G174,"-",H174,"-",I174)</f>
        <v>C-4103-1500-19-0-4103049-02</v>
      </c>
      <c r="C174" s="57" t="s">
        <v>167</v>
      </c>
      <c r="D174" s="57" t="s">
        <v>190</v>
      </c>
      <c r="E174" s="57" t="s">
        <v>172</v>
      </c>
      <c r="F174" s="57">
        <v>19</v>
      </c>
      <c r="G174" s="57" t="s">
        <v>175</v>
      </c>
      <c r="H174" s="57">
        <v>4103049</v>
      </c>
      <c r="I174" s="57" t="s">
        <v>54</v>
      </c>
      <c r="J174" s="57">
        <v>11</v>
      </c>
      <c r="K174" s="58" t="s">
        <v>29</v>
      </c>
      <c r="L174" s="59" t="s">
        <v>178</v>
      </c>
      <c r="M174" s="60">
        <v>250000000</v>
      </c>
      <c r="N174" s="60"/>
      <c r="O174" s="60"/>
      <c r="P174" s="60"/>
      <c r="Q174" s="60">
        <v>0</v>
      </c>
      <c r="R174" s="61">
        <v>0</v>
      </c>
      <c r="S174" s="60">
        <f>+M174-R174+N174-O174+P174-Q174</f>
        <v>250000000</v>
      </c>
      <c r="T174" s="60">
        <v>0</v>
      </c>
      <c r="U174" s="60">
        <f>+S174-T174</f>
        <v>250000000</v>
      </c>
      <c r="V174" s="62">
        <f t="shared" si="144"/>
        <v>0</v>
      </c>
      <c r="W174" s="60">
        <v>0</v>
      </c>
      <c r="X174" s="60">
        <f>+T174-W174</f>
        <v>0</v>
      </c>
      <c r="Y174" s="62">
        <f t="shared" si="156"/>
        <v>0</v>
      </c>
      <c r="Z174" s="60">
        <v>0</v>
      </c>
      <c r="AA174" s="60">
        <f>+W174-Z174</f>
        <v>0</v>
      </c>
      <c r="AB174" s="62">
        <f t="shared" si="139"/>
        <v>0</v>
      </c>
    </row>
    <row r="175" spans="1:28" ht="30" customHeight="1">
      <c r="A175" s="32" t="e">
        <f>+CONCATENATE(#REF!,"=",J175)</f>
        <v>#REF!</v>
      </c>
      <c r="B175" s="52" t="str">
        <f>CONCATENATE(C175,"-",D175,"-",E175,"-",F175,"-",G175,"-",H175)</f>
        <v>C-4103-1500-19-0-4103052</v>
      </c>
      <c r="C175" s="52" t="s">
        <v>167</v>
      </c>
      <c r="D175" s="52" t="s">
        <v>190</v>
      </c>
      <c r="E175" s="52" t="s">
        <v>172</v>
      </c>
      <c r="F175" s="52">
        <v>19</v>
      </c>
      <c r="G175" s="52" t="s">
        <v>175</v>
      </c>
      <c r="H175" s="52">
        <v>4103052</v>
      </c>
      <c r="I175" s="52"/>
      <c r="J175" s="53"/>
      <c r="K175" s="52" t="s">
        <v>29</v>
      </c>
      <c r="L175" s="52" t="s">
        <v>229</v>
      </c>
      <c r="M175" s="54">
        <f>M176</f>
        <v>11700000000</v>
      </c>
      <c r="N175" s="54">
        <f t="shared" si="182"/>
        <v>0</v>
      </c>
      <c r="O175" s="54">
        <f t="shared" si="182"/>
        <v>0</v>
      </c>
      <c r="P175" s="54">
        <f t="shared" si="182"/>
        <v>0</v>
      </c>
      <c r="Q175" s="54">
        <f t="shared" si="182"/>
        <v>0</v>
      </c>
      <c r="R175" s="54">
        <f t="shared" si="182"/>
        <v>0</v>
      </c>
      <c r="S175" s="54">
        <f t="shared" si="182"/>
        <v>11700000000</v>
      </c>
      <c r="T175" s="54">
        <f t="shared" si="182"/>
        <v>5024748112</v>
      </c>
      <c r="U175" s="54">
        <f t="shared" si="182"/>
        <v>6675251888</v>
      </c>
      <c r="V175" s="55">
        <f t="shared" si="144"/>
        <v>0.42946565059829062</v>
      </c>
      <c r="W175" s="54">
        <f t="shared" si="182"/>
        <v>30319999.329999998</v>
      </c>
      <c r="X175" s="54">
        <f t="shared" si="182"/>
        <v>4994428112.6700001</v>
      </c>
      <c r="Y175" s="55">
        <f t="shared" si="156"/>
        <v>0.99396586681477817</v>
      </c>
      <c r="Z175" s="54">
        <f t="shared" si="182"/>
        <v>13013333.33</v>
      </c>
      <c r="AA175" s="54">
        <f t="shared" si="182"/>
        <v>17306666</v>
      </c>
      <c r="AB175" s="55">
        <f t="shared" si="139"/>
        <v>2.5898478968372218E-3</v>
      </c>
    </row>
    <row r="176" spans="1:28" ht="24.95" customHeight="1">
      <c r="A176" s="32" t="e">
        <f>+CONCATENATE(#REF!,"=",J176)</f>
        <v>#REF!</v>
      </c>
      <c r="B176" s="56" t="str">
        <f t="shared" ref="B176:B178" si="184">CONCATENATE(C176,"-",D176,"-",E176,"-",F176,"-",G176,"-",H176,"-",I176)</f>
        <v>C-4103-1500-19-0-4103052-02</v>
      </c>
      <c r="C176" s="57" t="s">
        <v>167</v>
      </c>
      <c r="D176" s="57" t="s">
        <v>190</v>
      </c>
      <c r="E176" s="57" t="s">
        <v>172</v>
      </c>
      <c r="F176" s="57">
        <v>19</v>
      </c>
      <c r="G176" s="57" t="s">
        <v>175</v>
      </c>
      <c r="H176" s="57">
        <v>4103052</v>
      </c>
      <c r="I176" s="57" t="s">
        <v>54</v>
      </c>
      <c r="J176" s="57">
        <v>11</v>
      </c>
      <c r="K176" s="58" t="s">
        <v>29</v>
      </c>
      <c r="L176" s="59" t="s">
        <v>178</v>
      </c>
      <c r="M176" s="60">
        <v>11700000000</v>
      </c>
      <c r="N176" s="60"/>
      <c r="O176" s="60"/>
      <c r="P176" s="60"/>
      <c r="Q176" s="60">
        <v>0</v>
      </c>
      <c r="R176" s="61">
        <v>0</v>
      </c>
      <c r="S176" s="60">
        <f>+M176-R176+N176-O176+P176-Q176</f>
        <v>11700000000</v>
      </c>
      <c r="T176" s="60">
        <v>5024748112</v>
      </c>
      <c r="U176" s="60">
        <f>+S176-T176</f>
        <v>6675251888</v>
      </c>
      <c r="V176" s="62">
        <f t="shared" si="144"/>
        <v>0.42946565059829062</v>
      </c>
      <c r="W176" s="60">
        <v>30319999.329999998</v>
      </c>
      <c r="X176" s="60">
        <f>+T176-W176</f>
        <v>4994428112.6700001</v>
      </c>
      <c r="Y176" s="62">
        <f t="shared" si="156"/>
        <v>0.99396586681477817</v>
      </c>
      <c r="Z176" s="60">
        <v>13013333.33</v>
      </c>
      <c r="AA176" s="60">
        <f>+W176-Z176</f>
        <v>17306666</v>
      </c>
      <c r="AB176" s="62">
        <f t="shared" si="139"/>
        <v>2.5898478968372218E-3</v>
      </c>
    </row>
    <row r="177" spans="1:28" ht="27.75" customHeight="1">
      <c r="A177" s="32" t="e">
        <f>+CONCATENATE(#REF!,"=",J177)</f>
        <v>#REF!</v>
      </c>
      <c r="B177" s="52" t="str">
        <f>CONCATENATE(C177,"-",D177,"-",E177,"-",F177,"-",G177,"-",H177)</f>
        <v>C-4103-1500-19-0-4103060</v>
      </c>
      <c r="C177" s="52" t="s">
        <v>167</v>
      </c>
      <c r="D177" s="52" t="s">
        <v>190</v>
      </c>
      <c r="E177" s="52" t="s">
        <v>172</v>
      </c>
      <c r="F177" s="52">
        <v>19</v>
      </c>
      <c r="G177" s="52" t="s">
        <v>175</v>
      </c>
      <c r="H177" s="52">
        <v>4103060</v>
      </c>
      <c r="I177" s="52"/>
      <c r="J177" s="53"/>
      <c r="K177" s="52" t="s">
        <v>29</v>
      </c>
      <c r="L177" s="52" t="s">
        <v>216</v>
      </c>
      <c r="M177" s="54">
        <f>M178</f>
        <v>50000000</v>
      </c>
      <c r="N177" s="54">
        <f t="shared" si="182"/>
        <v>0</v>
      </c>
      <c r="O177" s="54">
        <f t="shared" si="182"/>
        <v>0</v>
      </c>
      <c r="P177" s="54">
        <f t="shared" si="182"/>
        <v>0</v>
      </c>
      <c r="Q177" s="54">
        <f t="shared" si="182"/>
        <v>0</v>
      </c>
      <c r="R177" s="54">
        <f t="shared" si="182"/>
        <v>0</v>
      </c>
      <c r="S177" s="54">
        <f t="shared" si="182"/>
        <v>50000000</v>
      </c>
      <c r="T177" s="54">
        <f t="shared" si="182"/>
        <v>0</v>
      </c>
      <c r="U177" s="54">
        <f t="shared" si="182"/>
        <v>50000000</v>
      </c>
      <c r="V177" s="55">
        <f t="shared" si="144"/>
        <v>0</v>
      </c>
      <c r="W177" s="54">
        <f t="shared" si="182"/>
        <v>0</v>
      </c>
      <c r="X177" s="54">
        <f t="shared" si="182"/>
        <v>0</v>
      </c>
      <c r="Y177" s="55">
        <f t="shared" si="156"/>
        <v>0</v>
      </c>
      <c r="Z177" s="54">
        <f t="shared" si="182"/>
        <v>0</v>
      </c>
      <c r="AA177" s="54">
        <f t="shared" si="182"/>
        <v>0</v>
      </c>
      <c r="AB177" s="55">
        <f t="shared" si="139"/>
        <v>0</v>
      </c>
    </row>
    <row r="178" spans="1:28" ht="24.95" customHeight="1">
      <c r="A178" s="32" t="e">
        <f>+CONCATENATE(#REF!,"=",J178)</f>
        <v>#REF!</v>
      </c>
      <c r="B178" s="56" t="str">
        <f t="shared" si="184"/>
        <v>C-4103-1500-19-0-4103060-02</v>
      </c>
      <c r="C178" s="57" t="s">
        <v>167</v>
      </c>
      <c r="D178" s="57" t="s">
        <v>190</v>
      </c>
      <c r="E178" s="57" t="s">
        <v>172</v>
      </c>
      <c r="F178" s="57">
        <v>19</v>
      </c>
      <c r="G178" s="57" t="s">
        <v>175</v>
      </c>
      <c r="H178" s="57">
        <v>4103060</v>
      </c>
      <c r="I178" s="57" t="s">
        <v>54</v>
      </c>
      <c r="J178" s="57">
        <v>11</v>
      </c>
      <c r="K178" s="58" t="s">
        <v>29</v>
      </c>
      <c r="L178" s="59" t="s">
        <v>178</v>
      </c>
      <c r="M178" s="60">
        <v>50000000</v>
      </c>
      <c r="N178" s="60"/>
      <c r="O178" s="60"/>
      <c r="P178" s="60"/>
      <c r="Q178" s="60">
        <v>0</v>
      </c>
      <c r="R178" s="61">
        <v>0</v>
      </c>
      <c r="S178" s="60">
        <f>+M178-R178+N178-O178+P178-Q178</f>
        <v>50000000</v>
      </c>
      <c r="T178" s="60">
        <v>0</v>
      </c>
      <c r="U178" s="60">
        <f>+S178-T178</f>
        <v>50000000</v>
      </c>
      <c r="V178" s="62">
        <f t="shared" si="144"/>
        <v>0</v>
      </c>
      <c r="W178" s="60">
        <v>0</v>
      </c>
      <c r="X178" s="60">
        <f>+T178-W178</f>
        <v>0</v>
      </c>
      <c r="Y178" s="62">
        <f t="shared" si="156"/>
        <v>0</v>
      </c>
      <c r="Z178" s="60">
        <v>0</v>
      </c>
      <c r="AA178" s="60">
        <f>+W178-Z178</f>
        <v>0</v>
      </c>
      <c r="AB178" s="62">
        <f t="shared" si="139"/>
        <v>0</v>
      </c>
    </row>
    <row r="179" spans="1:28" ht="39.75" customHeight="1">
      <c r="A179" s="32" t="e">
        <f>+CONCATENATE(#REF!,"=",J179)</f>
        <v>#REF!</v>
      </c>
      <c r="B179" s="48" t="str">
        <f>CONCATENATE(C179,"-",D179,"-",E179,"-",F179)</f>
        <v>C-4103-1500-20</v>
      </c>
      <c r="C179" s="48" t="s">
        <v>167</v>
      </c>
      <c r="D179" s="48" t="s">
        <v>190</v>
      </c>
      <c r="E179" s="48" t="s">
        <v>172</v>
      </c>
      <c r="F179" s="48">
        <v>20</v>
      </c>
      <c r="G179" s="48"/>
      <c r="H179" s="48"/>
      <c r="I179" s="48"/>
      <c r="J179" s="49"/>
      <c r="K179" s="48"/>
      <c r="L179" s="48" t="s">
        <v>230</v>
      </c>
      <c r="M179" s="50">
        <f>+M180</f>
        <v>1021056959210</v>
      </c>
      <c r="N179" s="50">
        <f t="shared" ref="N179:U179" si="185">+N180</f>
        <v>0</v>
      </c>
      <c r="O179" s="50">
        <f t="shared" si="185"/>
        <v>0</v>
      </c>
      <c r="P179" s="50">
        <f t="shared" si="185"/>
        <v>0</v>
      </c>
      <c r="Q179" s="50">
        <f t="shared" si="185"/>
        <v>0</v>
      </c>
      <c r="R179" s="50">
        <f t="shared" si="185"/>
        <v>0</v>
      </c>
      <c r="S179" s="50">
        <f t="shared" si="185"/>
        <v>1021056959210</v>
      </c>
      <c r="T179" s="50">
        <f t="shared" si="185"/>
        <v>1377177664</v>
      </c>
      <c r="U179" s="50">
        <f t="shared" si="185"/>
        <v>1019679781546</v>
      </c>
      <c r="V179" s="51">
        <f t="shared" si="144"/>
        <v>1.3487765315908853E-3</v>
      </c>
      <c r="W179" s="50">
        <f t="shared" ref="W179:X179" si="186">+W180</f>
        <v>563382674.67999995</v>
      </c>
      <c r="X179" s="50">
        <f t="shared" si="186"/>
        <v>813794989.32000005</v>
      </c>
      <c r="Y179" s="51">
        <f t="shared" si="156"/>
        <v>0.59091503630427744</v>
      </c>
      <c r="Z179" s="50">
        <f t="shared" ref="Z179:AA179" si="187">+Z180</f>
        <v>563382674.67999995</v>
      </c>
      <c r="AA179" s="50">
        <f t="shared" si="187"/>
        <v>0</v>
      </c>
      <c r="AB179" s="51">
        <f t="shared" si="139"/>
        <v>0.4090849636957225</v>
      </c>
    </row>
    <row r="180" spans="1:28" ht="30.75" customHeight="1">
      <c r="A180" s="32" t="e">
        <f>+CONCATENATE(#REF!,"=",J180)</f>
        <v>#REF!</v>
      </c>
      <c r="B180" s="52" t="str">
        <f>CONCATENATE(C180,"-",D180,"-",E180,"-",F180,"-",G180,"-",H180)</f>
        <v>C-4103-1500-20-0-4103061</v>
      </c>
      <c r="C180" s="52" t="s">
        <v>167</v>
      </c>
      <c r="D180" s="52" t="s">
        <v>190</v>
      </c>
      <c r="E180" s="52" t="s">
        <v>172</v>
      </c>
      <c r="F180" s="52">
        <v>20</v>
      </c>
      <c r="G180" s="52" t="s">
        <v>175</v>
      </c>
      <c r="H180" s="52">
        <v>4103061</v>
      </c>
      <c r="I180" s="52"/>
      <c r="J180" s="53"/>
      <c r="K180" s="52" t="s">
        <v>29</v>
      </c>
      <c r="L180" s="52" t="s">
        <v>231</v>
      </c>
      <c r="M180" s="54">
        <f>SUM(M181:M183)</f>
        <v>1021056959210</v>
      </c>
      <c r="N180" s="54">
        <f t="shared" ref="N180:U180" si="188">SUM(N181:N183)</f>
        <v>0</v>
      </c>
      <c r="O180" s="54">
        <f t="shared" si="188"/>
        <v>0</v>
      </c>
      <c r="P180" s="54">
        <f t="shared" si="188"/>
        <v>0</v>
      </c>
      <c r="Q180" s="54">
        <f t="shared" si="188"/>
        <v>0</v>
      </c>
      <c r="R180" s="54">
        <f t="shared" si="188"/>
        <v>0</v>
      </c>
      <c r="S180" s="54">
        <f t="shared" si="188"/>
        <v>1021056959210</v>
      </c>
      <c r="T180" s="54">
        <f t="shared" si="188"/>
        <v>1377177664</v>
      </c>
      <c r="U180" s="54">
        <f t="shared" si="188"/>
        <v>1019679781546</v>
      </c>
      <c r="V180" s="55">
        <f t="shared" si="144"/>
        <v>1.3487765315908853E-3</v>
      </c>
      <c r="W180" s="54">
        <f t="shared" ref="W180:X180" si="189">SUM(W181:W183)</f>
        <v>563382674.67999995</v>
      </c>
      <c r="X180" s="54">
        <f t="shared" si="189"/>
        <v>813794989.32000005</v>
      </c>
      <c r="Y180" s="55">
        <f t="shared" si="156"/>
        <v>0.59091503630427744</v>
      </c>
      <c r="Z180" s="54">
        <f t="shared" ref="Z180:AA180" si="190">SUM(Z181:Z183)</f>
        <v>563382674.67999995</v>
      </c>
      <c r="AA180" s="54">
        <f t="shared" si="190"/>
        <v>0</v>
      </c>
      <c r="AB180" s="55">
        <f t="shared" si="139"/>
        <v>0.4090849636957225</v>
      </c>
    </row>
    <row r="181" spans="1:28" ht="24.95" customHeight="1">
      <c r="A181" s="32" t="e">
        <f>+CONCATENATE(#REF!,"=",J181)</f>
        <v>#REF!</v>
      </c>
      <c r="B181" s="56" t="str">
        <f t="shared" ref="B181:B183" si="191">CONCATENATE(C181,"-",D181,"-",E181,"-",F181,"-",G181,"-",H181,"-",I181)</f>
        <v>C-4103-1500-20-0-4103061-02</v>
      </c>
      <c r="C181" s="57" t="s">
        <v>167</v>
      </c>
      <c r="D181" s="57" t="s">
        <v>190</v>
      </c>
      <c r="E181" s="57" t="s">
        <v>172</v>
      </c>
      <c r="F181" s="57">
        <v>20</v>
      </c>
      <c r="G181" s="57" t="s">
        <v>175</v>
      </c>
      <c r="H181" s="57">
        <v>4103061</v>
      </c>
      <c r="I181" s="57" t="s">
        <v>54</v>
      </c>
      <c r="J181" s="57">
        <v>11</v>
      </c>
      <c r="K181" s="58" t="s">
        <v>29</v>
      </c>
      <c r="L181" s="59" t="s">
        <v>178</v>
      </c>
      <c r="M181" s="60">
        <v>36797363155</v>
      </c>
      <c r="N181" s="60"/>
      <c r="O181" s="60"/>
      <c r="P181" s="60"/>
      <c r="Q181" s="60"/>
      <c r="R181" s="61">
        <v>0</v>
      </c>
      <c r="S181" s="60">
        <f>+M181+N181-O181+P181-Q181-R181</f>
        <v>36797363155</v>
      </c>
      <c r="T181" s="60">
        <v>1377177664</v>
      </c>
      <c r="U181" s="60">
        <f>+S181-T181</f>
        <v>35420185491</v>
      </c>
      <c r="V181" s="62">
        <f t="shared" si="144"/>
        <v>3.7425987786107714E-2</v>
      </c>
      <c r="W181" s="60">
        <v>563382674.67999995</v>
      </c>
      <c r="X181" s="60">
        <f>+T181-W181</f>
        <v>813794989.32000005</v>
      </c>
      <c r="Y181" s="62">
        <f t="shared" si="156"/>
        <v>0.59091503630427744</v>
      </c>
      <c r="Z181" s="60">
        <v>563382674.67999995</v>
      </c>
      <c r="AA181" s="60">
        <f>+W181-Z181</f>
        <v>0</v>
      </c>
      <c r="AB181" s="62">
        <f t="shared" si="139"/>
        <v>0.4090849636957225</v>
      </c>
    </row>
    <row r="182" spans="1:28" ht="24.95" customHeight="1">
      <c r="A182" s="32" t="e">
        <f>+CONCATENATE(#REF!,"=",J182)</f>
        <v>#REF!</v>
      </c>
      <c r="B182" s="56" t="str">
        <f t="shared" si="191"/>
        <v>C-4103-1500-20-0-4103061-03</v>
      </c>
      <c r="C182" s="57" t="s">
        <v>167</v>
      </c>
      <c r="D182" s="57" t="s">
        <v>190</v>
      </c>
      <c r="E182" s="57" t="s">
        <v>172</v>
      </c>
      <c r="F182" s="57">
        <v>20</v>
      </c>
      <c r="G182" s="57" t="s">
        <v>175</v>
      </c>
      <c r="H182" s="57">
        <v>4103061</v>
      </c>
      <c r="I182" s="57" t="s">
        <v>65</v>
      </c>
      <c r="J182" s="57">
        <v>10</v>
      </c>
      <c r="K182" s="58" t="s">
        <v>29</v>
      </c>
      <c r="L182" s="59" t="s">
        <v>127</v>
      </c>
      <c r="M182" s="60">
        <v>777446076033</v>
      </c>
      <c r="N182" s="60"/>
      <c r="O182" s="60"/>
      <c r="P182" s="60"/>
      <c r="Q182" s="60"/>
      <c r="R182" s="61">
        <v>0</v>
      </c>
      <c r="S182" s="60">
        <f>+M182+N182-O182+P182-Q182-R182</f>
        <v>777446076033</v>
      </c>
      <c r="T182" s="60">
        <v>0</v>
      </c>
      <c r="U182" s="60">
        <f>+S182-T182</f>
        <v>777446076033</v>
      </c>
      <c r="V182" s="62">
        <f t="shared" si="144"/>
        <v>0</v>
      </c>
      <c r="W182" s="60">
        <v>0</v>
      </c>
      <c r="X182" s="60">
        <f>+T182-W182</f>
        <v>0</v>
      </c>
      <c r="Y182" s="62">
        <f t="shared" si="156"/>
        <v>0</v>
      </c>
      <c r="Z182" s="60">
        <v>0</v>
      </c>
      <c r="AA182" s="60">
        <f>+W182-Z182</f>
        <v>0</v>
      </c>
      <c r="AB182" s="62">
        <f t="shared" si="139"/>
        <v>0</v>
      </c>
    </row>
    <row r="183" spans="1:28" ht="24.95" customHeight="1">
      <c r="A183" s="32" t="e">
        <f>+CONCATENATE(#REF!,"=",J183)</f>
        <v>#REF!</v>
      </c>
      <c r="B183" s="56" t="str">
        <f t="shared" si="191"/>
        <v>C-4103-1500-20-0-4103061-03</v>
      </c>
      <c r="C183" s="57" t="s">
        <v>167</v>
      </c>
      <c r="D183" s="57" t="s">
        <v>190</v>
      </c>
      <c r="E183" s="57" t="s">
        <v>172</v>
      </c>
      <c r="F183" s="57">
        <v>20</v>
      </c>
      <c r="G183" s="57" t="s">
        <v>175</v>
      </c>
      <c r="H183" s="57">
        <v>4103061</v>
      </c>
      <c r="I183" s="57" t="s">
        <v>65</v>
      </c>
      <c r="J183" s="57">
        <v>11</v>
      </c>
      <c r="K183" s="58" t="s">
        <v>29</v>
      </c>
      <c r="L183" s="59" t="s">
        <v>127</v>
      </c>
      <c r="M183" s="60">
        <v>206813520022</v>
      </c>
      <c r="N183" s="60"/>
      <c r="O183" s="60"/>
      <c r="P183" s="61"/>
      <c r="Q183" s="60"/>
      <c r="R183" s="61">
        <v>0</v>
      </c>
      <c r="S183" s="60">
        <f>+M183+N183-O183+P183-Q183-R183</f>
        <v>206813520022</v>
      </c>
      <c r="T183" s="60">
        <v>0</v>
      </c>
      <c r="U183" s="60">
        <f>+S183-T183</f>
        <v>206813520022</v>
      </c>
      <c r="V183" s="62">
        <f t="shared" si="144"/>
        <v>0</v>
      </c>
      <c r="W183" s="60">
        <v>0</v>
      </c>
      <c r="X183" s="60">
        <f>+T183-W183</f>
        <v>0</v>
      </c>
      <c r="Y183" s="62">
        <f t="shared" si="156"/>
        <v>0</v>
      </c>
      <c r="Z183" s="60">
        <v>0</v>
      </c>
      <c r="AA183" s="60">
        <f>+W183-Z183</f>
        <v>0</v>
      </c>
      <c r="AB183" s="62">
        <f t="shared" si="139"/>
        <v>0</v>
      </c>
    </row>
    <row r="184" spans="1:28" ht="36" customHeight="1">
      <c r="A184" s="32" t="e">
        <f>+CONCATENATE(#REF!,"=",J184)</f>
        <v>#REF!</v>
      </c>
      <c r="B184" s="48" t="str">
        <f>CONCATENATE(C184,"-",D184,"-",E184,"-",F184)</f>
        <v>C-4103-1500-21</v>
      </c>
      <c r="C184" s="48" t="s">
        <v>167</v>
      </c>
      <c r="D184" s="48">
        <v>4103</v>
      </c>
      <c r="E184" s="48" t="s">
        <v>172</v>
      </c>
      <c r="F184" s="48">
        <v>21</v>
      </c>
      <c r="G184" s="48"/>
      <c r="H184" s="48"/>
      <c r="I184" s="48"/>
      <c r="J184" s="49"/>
      <c r="K184" s="48"/>
      <c r="L184" s="48" t="s">
        <v>232</v>
      </c>
      <c r="M184" s="50">
        <f>+M189+M191+M193+M185+M187</f>
        <v>34000000000</v>
      </c>
      <c r="N184" s="50">
        <f t="shared" ref="N184:AA184" si="192">+N189+N191+N193+N185+N187</f>
        <v>0</v>
      </c>
      <c r="O184" s="50">
        <f t="shared" si="192"/>
        <v>0</v>
      </c>
      <c r="P184" s="50">
        <f t="shared" si="192"/>
        <v>0</v>
      </c>
      <c r="Q184" s="50">
        <f t="shared" si="192"/>
        <v>0</v>
      </c>
      <c r="R184" s="50">
        <f t="shared" si="192"/>
        <v>0</v>
      </c>
      <c r="S184" s="50">
        <f t="shared" si="192"/>
        <v>34000000000</v>
      </c>
      <c r="T184" s="50">
        <f t="shared" si="192"/>
        <v>534759956</v>
      </c>
      <c r="U184" s="50">
        <f t="shared" si="192"/>
        <v>33465240044</v>
      </c>
      <c r="V184" s="51">
        <f t="shared" si="144"/>
        <v>1.5728234000000001E-2</v>
      </c>
      <c r="W184" s="50">
        <f t="shared" si="192"/>
        <v>0</v>
      </c>
      <c r="X184" s="50">
        <f t="shared" si="192"/>
        <v>534759956</v>
      </c>
      <c r="Y184" s="51">
        <f t="shared" si="156"/>
        <v>1</v>
      </c>
      <c r="Z184" s="50">
        <f t="shared" si="192"/>
        <v>0</v>
      </c>
      <c r="AA184" s="50">
        <f t="shared" si="192"/>
        <v>0</v>
      </c>
      <c r="AB184" s="51">
        <f t="shared" si="139"/>
        <v>0</v>
      </c>
    </row>
    <row r="185" spans="1:28" ht="30" customHeight="1">
      <c r="A185" s="32" t="e">
        <f>+CONCATENATE(#REF!,"=",J185)</f>
        <v>#REF!</v>
      </c>
      <c r="B185" s="52" t="str">
        <f>CONCATENATE(C185,"-",D185,"-",E185,"-",F185,"-",G185,"-",H185)</f>
        <v>C-4103-1500-21-0-4103005</v>
      </c>
      <c r="C185" s="52" t="s">
        <v>167</v>
      </c>
      <c r="D185" s="52">
        <v>4103</v>
      </c>
      <c r="E185" s="52" t="s">
        <v>172</v>
      </c>
      <c r="F185" s="52">
        <v>21</v>
      </c>
      <c r="G185" s="52" t="s">
        <v>175</v>
      </c>
      <c r="H185" s="52" t="s">
        <v>219</v>
      </c>
      <c r="I185" s="52"/>
      <c r="J185" s="53"/>
      <c r="K185" s="52" t="s">
        <v>29</v>
      </c>
      <c r="L185" s="52" t="s">
        <v>233</v>
      </c>
      <c r="M185" s="54">
        <f t="shared" ref="M185:U185" si="193">SUM(M186:M186)</f>
        <v>4441786439</v>
      </c>
      <c r="N185" s="54">
        <f t="shared" si="193"/>
        <v>0</v>
      </c>
      <c r="O185" s="54">
        <f t="shared" si="193"/>
        <v>0</v>
      </c>
      <c r="P185" s="54">
        <f t="shared" si="193"/>
        <v>0</v>
      </c>
      <c r="Q185" s="54">
        <f t="shared" si="193"/>
        <v>0</v>
      </c>
      <c r="R185" s="54">
        <f t="shared" si="193"/>
        <v>0</v>
      </c>
      <c r="S185" s="54">
        <f t="shared" si="193"/>
        <v>4441786439</v>
      </c>
      <c r="T185" s="54">
        <f t="shared" si="193"/>
        <v>0</v>
      </c>
      <c r="U185" s="54">
        <f t="shared" si="193"/>
        <v>4441786439</v>
      </c>
      <c r="V185" s="55">
        <f t="shared" si="144"/>
        <v>0</v>
      </c>
      <c r="W185" s="54">
        <f t="shared" ref="W185:X185" si="194">SUM(W186:W186)</f>
        <v>0</v>
      </c>
      <c r="X185" s="54">
        <f t="shared" si="194"/>
        <v>0</v>
      </c>
      <c r="Y185" s="55">
        <f t="shared" si="156"/>
        <v>0</v>
      </c>
      <c r="Z185" s="54">
        <f t="shared" ref="Z185:AA185" si="195">SUM(Z186:Z186)</f>
        <v>0</v>
      </c>
      <c r="AA185" s="54">
        <f t="shared" si="195"/>
        <v>0</v>
      </c>
      <c r="AB185" s="55">
        <f t="shared" si="139"/>
        <v>0</v>
      </c>
    </row>
    <row r="186" spans="1:28" ht="24.95" customHeight="1">
      <c r="A186" s="32" t="e">
        <f>+CONCATENATE(#REF!,"=",J186)</f>
        <v>#REF!</v>
      </c>
      <c r="B186" s="56" t="str">
        <f t="shared" ref="B186:B194" si="196">CONCATENATE(C186,"-",D186,"-",E186,"-",F186,"-",G186,"-",H186,"-",I186)</f>
        <v>C-4103-1500-21-0-4103005-02</v>
      </c>
      <c r="C186" s="57" t="s">
        <v>167</v>
      </c>
      <c r="D186" s="57">
        <v>4103</v>
      </c>
      <c r="E186" s="57" t="s">
        <v>172</v>
      </c>
      <c r="F186" s="57">
        <v>21</v>
      </c>
      <c r="G186" s="57" t="s">
        <v>175</v>
      </c>
      <c r="H186" s="57" t="s">
        <v>219</v>
      </c>
      <c r="I186" s="57" t="s">
        <v>54</v>
      </c>
      <c r="J186" s="57">
        <v>11</v>
      </c>
      <c r="K186" s="58" t="s">
        <v>29</v>
      </c>
      <c r="L186" s="59" t="s">
        <v>178</v>
      </c>
      <c r="M186" s="60">
        <v>4441786439</v>
      </c>
      <c r="N186" s="60"/>
      <c r="O186" s="60"/>
      <c r="P186" s="60"/>
      <c r="Q186" s="60"/>
      <c r="R186" s="61">
        <v>0</v>
      </c>
      <c r="S186" s="60">
        <f>+M186-R186+N186-O186+P186-Q186</f>
        <v>4441786439</v>
      </c>
      <c r="T186" s="60">
        <v>0</v>
      </c>
      <c r="U186" s="60">
        <f t="shared" ref="U186" si="197">+S186-T186</f>
        <v>4441786439</v>
      </c>
      <c r="V186" s="62">
        <f t="shared" si="144"/>
        <v>0</v>
      </c>
      <c r="W186" s="60">
        <v>0</v>
      </c>
      <c r="X186" s="60">
        <f t="shared" ref="X186" si="198">+T186-W186</f>
        <v>0</v>
      </c>
      <c r="Y186" s="62">
        <f t="shared" si="156"/>
        <v>0</v>
      </c>
      <c r="Z186" s="60">
        <v>0</v>
      </c>
      <c r="AA186" s="60">
        <f t="shared" ref="AA186" si="199">+W186-Z186</f>
        <v>0</v>
      </c>
      <c r="AB186" s="62">
        <f t="shared" si="139"/>
        <v>0</v>
      </c>
    </row>
    <row r="187" spans="1:28" ht="30" customHeight="1">
      <c r="A187" s="32" t="e">
        <f>+CONCATENATE(#REF!,"=",J187)</f>
        <v>#REF!</v>
      </c>
      <c r="B187" s="52" t="str">
        <f>CONCATENATE(C187,"-",D187,"-",E187,"-",F187,"-",G187,"-",H187)</f>
        <v>C-4103-1500-21-0-4103050</v>
      </c>
      <c r="C187" s="52" t="s">
        <v>167</v>
      </c>
      <c r="D187" s="52">
        <v>4103</v>
      </c>
      <c r="E187" s="52" t="s">
        <v>172</v>
      </c>
      <c r="F187" s="52">
        <v>21</v>
      </c>
      <c r="G187" s="52" t="s">
        <v>175</v>
      </c>
      <c r="H187" s="52" t="s">
        <v>234</v>
      </c>
      <c r="I187" s="52"/>
      <c r="J187" s="53"/>
      <c r="K187" s="52" t="s">
        <v>29</v>
      </c>
      <c r="L187" s="52" t="s">
        <v>235</v>
      </c>
      <c r="M187" s="54">
        <f>+M188</f>
        <v>1567335560</v>
      </c>
      <c r="N187" s="54">
        <f t="shared" ref="N187:AA187" si="200">+N188</f>
        <v>0</v>
      </c>
      <c r="O187" s="54">
        <f t="shared" si="200"/>
        <v>0</v>
      </c>
      <c r="P187" s="54">
        <f t="shared" si="200"/>
        <v>0</v>
      </c>
      <c r="Q187" s="54">
        <f t="shared" si="200"/>
        <v>0</v>
      </c>
      <c r="R187" s="54">
        <f t="shared" si="200"/>
        <v>0</v>
      </c>
      <c r="S187" s="54">
        <f t="shared" si="200"/>
        <v>1567335560</v>
      </c>
      <c r="T187" s="54">
        <f t="shared" si="200"/>
        <v>0</v>
      </c>
      <c r="U187" s="54">
        <f t="shared" si="200"/>
        <v>1567335560</v>
      </c>
      <c r="V187" s="55">
        <f t="shared" si="144"/>
        <v>0</v>
      </c>
      <c r="W187" s="54">
        <f t="shared" si="200"/>
        <v>0</v>
      </c>
      <c r="X187" s="54">
        <f t="shared" si="200"/>
        <v>0</v>
      </c>
      <c r="Y187" s="55">
        <f t="shared" si="156"/>
        <v>0</v>
      </c>
      <c r="Z187" s="54">
        <f t="shared" si="200"/>
        <v>0</v>
      </c>
      <c r="AA187" s="54">
        <f t="shared" si="200"/>
        <v>0</v>
      </c>
      <c r="AB187" s="55">
        <f t="shared" si="139"/>
        <v>0</v>
      </c>
    </row>
    <row r="188" spans="1:28" ht="24.95" customHeight="1">
      <c r="A188" s="32" t="e">
        <f>+CONCATENATE(#REF!,"=",J188)</f>
        <v>#REF!</v>
      </c>
      <c r="B188" s="56" t="str">
        <f t="shared" si="196"/>
        <v>C-4103-1500-21-0-4103050-02</v>
      </c>
      <c r="C188" s="57" t="s">
        <v>167</v>
      </c>
      <c r="D188" s="57">
        <v>4103</v>
      </c>
      <c r="E188" s="57" t="s">
        <v>172</v>
      </c>
      <c r="F188" s="57">
        <v>21</v>
      </c>
      <c r="G188" s="57" t="s">
        <v>175</v>
      </c>
      <c r="H188" s="57" t="s">
        <v>234</v>
      </c>
      <c r="I188" s="57" t="s">
        <v>54</v>
      </c>
      <c r="J188" s="57">
        <v>11</v>
      </c>
      <c r="K188" s="58" t="s">
        <v>29</v>
      </c>
      <c r="L188" s="59" t="s">
        <v>178</v>
      </c>
      <c r="M188" s="60">
        <v>1567335560</v>
      </c>
      <c r="N188" s="60"/>
      <c r="O188" s="60"/>
      <c r="P188" s="60"/>
      <c r="Q188" s="60"/>
      <c r="R188" s="61">
        <v>0</v>
      </c>
      <c r="S188" s="60">
        <f>+M188-R188+N188-O188+P188-Q188</f>
        <v>1567335560</v>
      </c>
      <c r="T188" s="60">
        <v>0</v>
      </c>
      <c r="U188" s="60">
        <f t="shared" ref="U188" si="201">+S188-T188</f>
        <v>1567335560</v>
      </c>
      <c r="V188" s="62">
        <f t="shared" si="144"/>
        <v>0</v>
      </c>
      <c r="W188" s="60">
        <v>0</v>
      </c>
      <c r="X188" s="60">
        <f t="shared" ref="X188" si="202">+T188-W188</f>
        <v>0</v>
      </c>
      <c r="Y188" s="62">
        <f t="shared" si="156"/>
        <v>0</v>
      </c>
      <c r="Z188" s="60">
        <v>0</v>
      </c>
      <c r="AA188" s="60">
        <f t="shared" ref="AA188" si="203">+W188-Z188</f>
        <v>0</v>
      </c>
      <c r="AB188" s="62">
        <f t="shared" si="139"/>
        <v>0</v>
      </c>
    </row>
    <row r="189" spans="1:28" ht="30" customHeight="1">
      <c r="A189" s="32" t="e">
        <f>+CONCATENATE(#REF!,"=",J189)</f>
        <v>#REF!</v>
      </c>
      <c r="B189" s="52" t="str">
        <f>CONCATENATE(C189,"-",D189,"-",E189,"-",F189,"-",G189,"-",H189)</f>
        <v>C-4103-1500-21-0-4103051</v>
      </c>
      <c r="C189" s="52" t="s">
        <v>167</v>
      </c>
      <c r="D189" s="52">
        <v>4103</v>
      </c>
      <c r="E189" s="52" t="s">
        <v>172</v>
      </c>
      <c r="F189" s="52">
        <v>21</v>
      </c>
      <c r="G189" s="52" t="s">
        <v>175</v>
      </c>
      <c r="H189" s="52" t="s">
        <v>197</v>
      </c>
      <c r="I189" s="52"/>
      <c r="J189" s="53"/>
      <c r="K189" s="52" t="s">
        <v>29</v>
      </c>
      <c r="L189" s="52" t="s">
        <v>236</v>
      </c>
      <c r="M189" s="54">
        <f>+M190</f>
        <v>2072835407</v>
      </c>
      <c r="N189" s="54">
        <f t="shared" ref="N189:AA189" si="204">+N190</f>
        <v>0</v>
      </c>
      <c r="O189" s="54">
        <f t="shared" si="204"/>
        <v>0</v>
      </c>
      <c r="P189" s="54">
        <f t="shared" si="204"/>
        <v>0</v>
      </c>
      <c r="Q189" s="54">
        <f t="shared" si="204"/>
        <v>0</v>
      </c>
      <c r="R189" s="54">
        <f t="shared" si="204"/>
        <v>0</v>
      </c>
      <c r="S189" s="54">
        <f t="shared" si="204"/>
        <v>2072835407</v>
      </c>
      <c r="T189" s="54">
        <f t="shared" si="204"/>
        <v>0</v>
      </c>
      <c r="U189" s="54">
        <f t="shared" si="204"/>
        <v>2072835407</v>
      </c>
      <c r="V189" s="55">
        <f t="shared" si="144"/>
        <v>0</v>
      </c>
      <c r="W189" s="54">
        <f t="shared" si="204"/>
        <v>0</v>
      </c>
      <c r="X189" s="54">
        <f t="shared" si="204"/>
        <v>0</v>
      </c>
      <c r="Y189" s="55">
        <f t="shared" si="156"/>
        <v>0</v>
      </c>
      <c r="Z189" s="54">
        <f t="shared" si="204"/>
        <v>0</v>
      </c>
      <c r="AA189" s="54">
        <f t="shared" si="204"/>
        <v>0</v>
      </c>
      <c r="AB189" s="55">
        <f t="shared" si="139"/>
        <v>0</v>
      </c>
    </row>
    <row r="190" spans="1:28" ht="24.95" customHeight="1">
      <c r="A190" s="32" t="e">
        <f>+CONCATENATE(#REF!,"=",J190)</f>
        <v>#REF!</v>
      </c>
      <c r="B190" s="56" t="str">
        <f t="shared" si="196"/>
        <v>C-4103-1500-21-0-4103051-02</v>
      </c>
      <c r="C190" s="57" t="s">
        <v>167</v>
      </c>
      <c r="D190" s="57">
        <v>4103</v>
      </c>
      <c r="E190" s="57" t="s">
        <v>172</v>
      </c>
      <c r="F190" s="57">
        <v>21</v>
      </c>
      <c r="G190" s="57" t="s">
        <v>175</v>
      </c>
      <c r="H190" s="57" t="s">
        <v>197</v>
      </c>
      <c r="I190" s="57" t="s">
        <v>54</v>
      </c>
      <c r="J190" s="57">
        <v>11</v>
      </c>
      <c r="K190" s="58" t="s">
        <v>29</v>
      </c>
      <c r="L190" s="59" t="s">
        <v>178</v>
      </c>
      <c r="M190" s="60">
        <v>2072835407</v>
      </c>
      <c r="N190" s="60"/>
      <c r="O190" s="60"/>
      <c r="P190" s="60"/>
      <c r="Q190" s="761"/>
      <c r="R190" s="61">
        <v>0</v>
      </c>
      <c r="S190" s="60">
        <f>+M190-R190+N190-O190+P190-Q190</f>
        <v>2072835407</v>
      </c>
      <c r="T190" s="60">
        <v>0</v>
      </c>
      <c r="U190" s="60">
        <f t="shared" ref="U190" si="205">+S190-T190</f>
        <v>2072835407</v>
      </c>
      <c r="V190" s="62">
        <f t="shared" si="144"/>
        <v>0</v>
      </c>
      <c r="W190" s="60">
        <v>0</v>
      </c>
      <c r="X190" s="60">
        <f t="shared" ref="X190" si="206">+T190-W190</f>
        <v>0</v>
      </c>
      <c r="Y190" s="62">
        <f t="shared" si="156"/>
        <v>0</v>
      </c>
      <c r="Z190" s="60">
        <v>0</v>
      </c>
      <c r="AA190" s="60">
        <f t="shared" ref="AA190" si="207">+W190-Z190</f>
        <v>0</v>
      </c>
      <c r="AB190" s="62">
        <f t="shared" si="139"/>
        <v>0</v>
      </c>
    </row>
    <row r="191" spans="1:28" ht="30" customHeight="1">
      <c r="A191" s="32" t="e">
        <f>+CONCATENATE(#REF!,"=",J191)</f>
        <v>#REF!</v>
      </c>
      <c r="B191" s="52" t="str">
        <f>CONCATENATE(C191,"-",D191,"-",E191,"-",F191,"-",G191,"-",H191)</f>
        <v>C-4103-1500-21-0-4103055</v>
      </c>
      <c r="C191" s="52" t="s">
        <v>167</v>
      </c>
      <c r="D191" s="52">
        <v>4103</v>
      </c>
      <c r="E191" s="52" t="s">
        <v>172</v>
      </c>
      <c r="F191" s="52">
        <v>21</v>
      </c>
      <c r="G191" s="52" t="s">
        <v>175</v>
      </c>
      <c r="H191" s="52" t="s">
        <v>203</v>
      </c>
      <c r="I191" s="52"/>
      <c r="J191" s="53"/>
      <c r="K191" s="52" t="s">
        <v>29</v>
      </c>
      <c r="L191" s="52" t="s">
        <v>237</v>
      </c>
      <c r="M191" s="54">
        <f t="shared" ref="M191:U191" si="208">SUM(M192:M192)</f>
        <v>5803396375</v>
      </c>
      <c r="N191" s="54">
        <f t="shared" si="208"/>
        <v>0</v>
      </c>
      <c r="O191" s="54">
        <f t="shared" si="208"/>
        <v>0</v>
      </c>
      <c r="P191" s="54">
        <f t="shared" si="208"/>
        <v>0</v>
      </c>
      <c r="Q191" s="54">
        <f t="shared" si="208"/>
        <v>0</v>
      </c>
      <c r="R191" s="54">
        <f t="shared" si="208"/>
        <v>0</v>
      </c>
      <c r="S191" s="54">
        <f t="shared" si="208"/>
        <v>5803396375</v>
      </c>
      <c r="T191" s="54">
        <f t="shared" si="208"/>
        <v>0</v>
      </c>
      <c r="U191" s="54">
        <f t="shared" si="208"/>
        <v>5803396375</v>
      </c>
      <c r="V191" s="55">
        <f t="shared" si="144"/>
        <v>0</v>
      </c>
      <c r="W191" s="54">
        <f t="shared" ref="W191:X191" si="209">SUM(W192:W192)</f>
        <v>0</v>
      </c>
      <c r="X191" s="54">
        <f t="shared" si="209"/>
        <v>0</v>
      </c>
      <c r="Y191" s="55">
        <f t="shared" si="156"/>
        <v>0</v>
      </c>
      <c r="Z191" s="54">
        <f t="shared" ref="Z191:AA191" si="210">SUM(Z192:Z192)</f>
        <v>0</v>
      </c>
      <c r="AA191" s="54">
        <f t="shared" si="210"/>
        <v>0</v>
      </c>
      <c r="AB191" s="55">
        <f t="shared" si="139"/>
        <v>0</v>
      </c>
    </row>
    <row r="192" spans="1:28" ht="24.95" customHeight="1">
      <c r="A192" s="32" t="e">
        <f>+CONCATENATE(#REF!,"=",J192)</f>
        <v>#REF!</v>
      </c>
      <c r="B192" s="56" t="str">
        <f t="shared" si="196"/>
        <v>C-4103-1500-21-0-4103055-02</v>
      </c>
      <c r="C192" s="57" t="s">
        <v>167</v>
      </c>
      <c r="D192" s="57">
        <v>4103</v>
      </c>
      <c r="E192" s="57" t="s">
        <v>172</v>
      </c>
      <c r="F192" s="57">
        <v>21</v>
      </c>
      <c r="G192" s="57" t="s">
        <v>175</v>
      </c>
      <c r="H192" s="57" t="s">
        <v>203</v>
      </c>
      <c r="I192" s="57" t="s">
        <v>54</v>
      </c>
      <c r="J192" s="57">
        <v>11</v>
      </c>
      <c r="K192" s="58" t="s">
        <v>29</v>
      </c>
      <c r="L192" s="59" t="s">
        <v>178</v>
      </c>
      <c r="M192" s="60">
        <v>5803396375</v>
      </c>
      <c r="N192" s="60"/>
      <c r="O192" s="60"/>
      <c r="P192" s="60"/>
      <c r="Q192" s="60"/>
      <c r="R192" s="61">
        <v>0</v>
      </c>
      <c r="S192" s="60">
        <f>+M192-R192+N192-O192+P192-Q192</f>
        <v>5803396375</v>
      </c>
      <c r="T192" s="60">
        <v>0</v>
      </c>
      <c r="U192" s="60">
        <f t="shared" ref="U192" si="211">+S192-T192</f>
        <v>5803396375</v>
      </c>
      <c r="V192" s="62">
        <f t="shared" si="144"/>
        <v>0</v>
      </c>
      <c r="W192" s="60">
        <v>0</v>
      </c>
      <c r="X192" s="60">
        <f t="shared" ref="X192" si="212">+T192-W192</f>
        <v>0</v>
      </c>
      <c r="Y192" s="62">
        <f t="shared" si="156"/>
        <v>0</v>
      </c>
      <c r="Z192" s="60">
        <v>0</v>
      </c>
      <c r="AA192" s="60">
        <f t="shared" ref="AA192" si="213">+W192-Z192</f>
        <v>0</v>
      </c>
      <c r="AB192" s="62">
        <f t="shared" si="139"/>
        <v>0</v>
      </c>
    </row>
    <row r="193" spans="1:28" ht="30" customHeight="1">
      <c r="A193" s="32" t="e">
        <f>+CONCATENATE(#REF!,"=",J193)</f>
        <v>#REF!</v>
      </c>
      <c r="B193" s="52" t="str">
        <f>CONCATENATE(C193,"-",D193,"-",E193,"-",F193,"-",G193,"-",H193)</f>
        <v>C-4103-1500-21-0-4103058</v>
      </c>
      <c r="C193" s="52" t="s">
        <v>167</v>
      </c>
      <c r="D193" s="52">
        <v>4103</v>
      </c>
      <c r="E193" s="52" t="s">
        <v>172</v>
      </c>
      <c r="F193" s="52">
        <v>21</v>
      </c>
      <c r="G193" s="52" t="s">
        <v>175</v>
      </c>
      <c r="H193" s="52" t="s">
        <v>223</v>
      </c>
      <c r="I193" s="52"/>
      <c r="J193" s="53"/>
      <c r="K193" s="52" t="s">
        <v>29</v>
      </c>
      <c r="L193" s="52" t="s">
        <v>238</v>
      </c>
      <c r="M193" s="54">
        <f t="shared" ref="M193:U193" si="214">SUM(M194:M194)</f>
        <v>20114646219</v>
      </c>
      <c r="N193" s="54">
        <f t="shared" si="214"/>
        <v>0</v>
      </c>
      <c r="O193" s="54">
        <f t="shared" si="214"/>
        <v>0</v>
      </c>
      <c r="P193" s="54">
        <f t="shared" si="214"/>
        <v>0</v>
      </c>
      <c r="Q193" s="54">
        <f t="shared" si="214"/>
        <v>0</v>
      </c>
      <c r="R193" s="54">
        <f t="shared" si="214"/>
        <v>0</v>
      </c>
      <c r="S193" s="54">
        <f t="shared" si="214"/>
        <v>20114646219</v>
      </c>
      <c r="T193" s="54">
        <f t="shared" si="214"/>
        <v>534759956</v>
      </c>
      <c r="U193" s="54">
        <f t="shared" si="214"/>
        <v>19579886263</v>
      </c>
      <c r="V193" s="55">
        <f t="shared" si="144"/>
        <v>2.6585600869026151E-2</v>
      </c>
      <c r="W193" s="54">
        <f>SUM(W194:W194)</f>
        <v>0</v>
      </c>
      <c r="X193" s="54">
        <f>SUM(X194:X194)</f>
        <v>534759956</v>
      </c>
      <c r="Y193" s="55">
        <f t="shared" si="156"/>
        <v>1</v>
      </c>
      <c r="Z193" s="54">
        <f>SUM(Z194:Z194)</f>
        <v>0</v>
      </c>
      <c r="AA193" s="54">
        <f>SUM(AA194:AA194)</f>
        <v>0</v>
      </c>
      <c r="AB193" s="55">
        <f t="shared" si="139"/>
        <v>0</v>
      </c>
    </row>
    <row r="194" spans="1:28" ht="24.95" customHeight="1">
      <c r="A194" s="32" t="e">
        <f>+CONCATENATE(#REF!,"=",J194)</f>
        <v>#REF!</v>
      </c>
      <c r="B194" s="56" t="str">
        <f t="shared" si="196"/>
        <v>C-4103-1500-21-0-4103058-02</v>
      </c>
      <c r="C194" s="57" t="s">
        <v>167</v>
      </c>
      <c r="D194" s="57">
        <v>4103</v>
      </c>
      <c r="E194" s="57" t="s">
        <v>172</v>
      </c>
      <c r="F194" s="57">
        <v>21</v>
      </c>
      <c r="G194" s="57" t="s">
        <v>175</v>
      </c>
      <c r="H194" s="57" t="s">
        <v>223</v>
      </c>
      <c r="I194" s="57" t="s">
        <v>54</v>
      </c>
      <c r="J194" s="57">
        <v>11</v>
      </c>
      <c r="K194" s="58" t="s">
        <v>29</v>
      </c>
      <c r="L194" s="59" t="s">
        <v>178</v>
      </c>
      <c r="M194" s="60">
        <v>20114646219</v>
      </c>
      <c r="N194" s="60"/>
      <c r="O194" s="60"/>
      <c r="P194" s="60"/>
      <c r="Q194" s="61"/>
      <c r="R194" s="61">
        <v>0</v>
      </c>
      <c r="S194" s="60">
        <f>+M194-R194+N194-O194+P194-Q194</f>
        <v>20114646219</v>
      </c>
      <c r="T194" s="60">
        <v>534759956</v>
      </c>
      <c r="U194" s="60">
        <f t="shared" ref="U194" si="215">+S194-T194</f>
        <v>19579886263</v>
      </c>
      <c r="V194" s="62">
        <f t="shared" si="144"/>
        <v>2.6585600869026151E-2</v>
      </c>
      <c r="W194" s="60">
        <v>0</v>
      </c>
      <c r="X194" s="60">
        <f t="shared" ref="X194" si="216">+T194-W194</f>
        <v>534759956</v>
      </c>
      <c r="Y194" s="62">
        <f t="shared" si="156"/>
        <v>1</v>
      </c>
      <c r="Z194" s="60">
        <v>0</v>
      </c>
      <c r="AA194" s="60">
        <f t="shared" ref="AA194" si="217">+W194-Z194</f>
        <v>0</v>
      </c>
      <c r="AB194" s="62">
        <f t="shared" si="139"/>
        <v>0</v>
      </c>
    </row>
    <row r="195" spans="1:28" ht="45.75" customHeight="1">
      <c r="A195" s="32" t="e">
        <f>+CONCATENATE(#REF!,"=",J195)</f>
        <v>#REF!</v>
      </c>
      <c r="B195" s="48" t="str">
        <f>CONCATENATE(C195,"-",D195,"-",E195,"-",F195)</f>
        <v>C-4103-1500-22</v>
      </c>
      <c r="C195" s="48" t="s">
        <v>167</v>
      </c>
      <c r="D195" s="48">
        <v>4103</v>
      </c>
      <c r="E195" s="48" t="s">
        <v>172</v>
      </c>
      <c r="F195" s="48">
        <v>22</v>
      </c>
      <c r="G195" s="48"/>
      <c r="H195" s="48"/>
      <c r="I195" s="48"/>
      <c r="J195" s="49"/>
      <c r="K195" s="48"/>
      <c r="L195" s="48" t="s">
        <v>239</v>
      </c>
      <c r="M195" s="50">
        <f t="shared" ref="M195:U195" si="218">+M196+M198+M200+M202+M204+M207</f>
        <v>188272298572</v>
      </c>
      <c r="N195" s="50">
        <f t="shared" si="218"/>
        <v>0</v>
      </c>
      <c r="O195" s="742">
        <f t="shared" si="218"/>
        <v>0</v>
      </c>
      <c r="P195" s="50">
        <f t="shared" si="218"/>
        <v>0</v>
      </c>
      <c r="Q195" s="50">
        <f t="shared" si="218"/>
        <v>0</v>
      </c>
      <c r="R195" s="742">
        <f t="shared" si="218"/>
        <v>0</v>
      </c>
      <c r="S195" s="50">
        <f t="shared" si="218"/>
        <v>188272298572</v>
      </c>
      <c r="T195" s="50">
        <f t="shared" si="218"/>
        <v>37489881552</v>
      </c>
      <c r="U195" s="50">
        <f t="shared" si="218"/>
        <v>150782417020</v>
      </c>
      <c r="V195" s="51">
        <f t="shared" si="144"/>
        <v>0.19912585035797467</v>
      </c>
      <c r="W195" s="50">
        <f>+W196+W198+W200+W202+W204+W207</f>
        <v>38373330</v>
      </c>
      <c r="X195" s="50">
        <f>+X196+X198+X200+X202+X204+X207</f>
        <v>37451508222</v>
      </c>
      <c r="Y195" s="51">
        <f t="shared" si="156"/>
        <v>0.99897643501629163</v>
      </c>
      <c r="Z195" s="50">
        <f>+Z196+Z198+Z200+Z202+Z204+Z207</f>
        <v>11773330</v>
      </c>
      <c r="AA195" s="50">
        <f>+AA196+AA198+AA200+AA202+AA204+AA207</f>
        <v>26600000</v>
      </c>
      <c r="AB195" s="51">
        <f t="shared" si="139"/>
        <v>3.1404020265227855E-4</v>
      </c>
    </row>
    <row r="196" spans="1:28" ht="30" customHeight="1">
      <c r="A196" s="32" t="e">
        <f>+CONCATENATE(#REF!,"=",J196)</f>
        <v>#REF!</v>
      </c>
      <c r="B196" s="52" t="str">
        <f>CONCATENATE(C196,"-",D196,"-",E196,"-",F196,"-",G196,"-",H196)</f>
        <v>C-4103-1500-22-0-4103005</v>
      </c>
      <c r="C196" s="52" t="s">
        <v>167</v>
      </c>
      <c r="D196" s="52">
        <v>4103</v>
      </c>
      <c r="E196" s="52" t="s">
        <v>172</v>
      </c>
      <c r="F196" s="52">
        <v>22</v>
      </c>
      <c r="G196" s="52" t="s">
        <v>175</v>
      </c>
      <c r="H196" s="52" t="s">
        <v>219</v>
      </c>
      <c r="I196" s="52"/>
      <c r="J196" s="53"/>
      <c r="K196" s="52" t="s">
        <v>29</v>
      </c>
      <c r="L196" s="52" t="s">
        <v>240</v>
      </c>
      <c r="M196" s="54">
        <f t="shared" ref="M196:U196" si="219">SUM(M197:M197)</f>
        <v>10954065210</v>
      </c>
      <c r="N196" s="54">
        <f t="shared" si="219"/>
        <v>0</v>
      </c>
      <c r="O196" s="743">
        <f t="shared" si="219"/>
        <v>0</v>
      </c>
      <c r="P196" s="54">
        <f t="shared" si="219"/>
        <v>0</v>
      </c>
      <c r="Q196" s="743">
        <f t="shared" si="219"/>
        <v>0</v>
      </c>
      <c r="R196" s="743">
        <f t="shared" si="219"/>
        <v>0</v>
      </c>
      <c r="S196" s="54">
        <f t="shared" si="219"/>
        <v>10954065210</v>
      </c>
      <c r="T196" s="54">
        <f t="shared" si="219"/>
        <v>678928972</v>
      </c>
      <c r="U196" s="54">
        <f t="shared" si="219"/>
        <v>10275136238</v>
      </c>
      <c r="V196" s="55">
        <f t="shared" si="144"/>
        <v>6.1979635777611002E-2</v>
      </c>
      <c r="W196" s="54">
        <f t="shared" ref="W196:X196" si="220">SUM(W197:W197)</f>
        <v>0</v>
      </c>
      <c r="X196" s="54">
        <f t="shared" si="220"/>
        <v>678928972</v>
      </c>
      <c r="Y196" s="55">
        <f t="shared" si="156"/>
        <v>1</v>
      </c>
      <c r="Z196" s="54">
        <f t="shared" ref="Z196:AA196" si="221">SUM(Z197:Z197)</f>
        <v>0</v>
      </c>
      <c r="AA196" s="54">
        <f t="shared" si="221"/>
        <v>0</v>
      </c>
      <c r="AB196" s="55">
        <f t="shared" si="139"/>
        <v>0</v>
      </c>
    </row>
    <row r="197" spans="1:28" ht="24.95" customHeight="1">
      <c r="A197" s="32" t="e">
        <f>+CONCATENATE(#REF!,"=",J197)</f>
        <v>#REF!</v>
      </c>
      <c r="B197" s="56" t="str">
        <f t="shared" ref="B197:B209" si="222">CONCATENATE(C197,"-",D197,"-",E197,"-",F197,"-",G197,"-",H197,"-",I197)</f>
        <v>C-4103-1500-22-0-4103005-02</v>
      </c>
      <c r="C197" s="57" t="s">
        <v>167</v>
      </c>
      <c r="D197" s="57">
        <v>4103</v>
      </c>
      <c r="E197" s="57" t="s">
        <v>172</v>
      </c>
      <c r="F197" s="57">
        <v>22</v>
      </c>
      <c r="G197" s="57" t="s">
        <v>175</v>
      </c>
      <c r="H197" s="57" t="s">
        <v>219</v>
      </c>
      <c r="I197" s="57" t="s">
        <v>54</v>
      </c>
      <c r="J197" s="57">
        <v>11</v>
      </c>
      <c r="K197" s="58" t="s">
        <v>29</v>
      </c>
      <c r="L197" s="59" t="s">
        <v>178</v>
      </c>
      <c r="M197" s="60">
        <v>10954065210</v>
      </c>
      <c r="N197" s="60"/>
      <c r="O197" s="60"/>
      <c r="P197" s="60"/>
      <c r="Q197" s="60">
        <v>0</v>
      </c>
      <c r="R197" s="61">
        <v>0</v>
      </c>
      <c r="S197" s="60">
        <f>+M197-R197+N197-O197+P197-Q197</f>
        <v>10954065210</v>
      </c>
      <c r="T197" s="60">
        <v>678928972</v>
      </c>
      <c r="U197" s="60">
        <f t="shared" ref="U197" si="223">+S197-T197</f>
        <v>10275136238</v>
      </c>
      <c r="V197" s="62">
        <f t="shared" si="144"/>
        <v>6.1979635777611002E-2</v>
      </c>
      <c r="W197" s="60">
        <v>0</v>
      </c>
      <c r="X197" s="60">
        <f t="shared" ref="X197" si="224">+T197-W197</f>
        <v>678928972</v>
      </c>
      <c r="Y197" s="62">
        <f t="shared" si="156"/>
        <v>1</v>
      </c>
      <c r="Z197" s="60">
        <v>0</v>
      </c>
      <c r="AA197" s="60">
        <f t="shared" ref="AA197" si="225">+W197-Z197</f>
        <v>0</v>
      </c>
      <c r="AB197" s="62">
        <f t="shared" si="139"/>
        <v>0</v>
      </c>
    </row>
    <row r="198" spans="1:28" ht="26.25" customHeight="1">
      <c r="A198" s="32" t="e">
        <f>+CONCATENATE(#REF!,"=",J198)</f>
        <v>#REF!</v>
      </c>
      <c r="B198" s="52" t="str">
        <f>CONCATENATE(C198,"-",D198,"-",E198,"-",F198,"-",G198,"-",H198)</f>
        <v>C-4103-1500-22-0-4103050</v>
      </c>
      <c r="C198" s="52" t="s">
        <v>167</v>
      </c>
      <c r="D198" s="52">
        <v>4103</v>
      </c>
      <c r="E198" s="52" t="s">
        <v>172</v>
      </c>
      <c r="F198" s="52">
        <v>22</v>
      </c>
      <c r="G198" s="52" t="s">
        <v>175</v>
      </c>
      <c r="H198" s="52" t="s">
        <v>234</v>
      </c>
      <c r="I198" s="52"/>
      <c r="J198" s="53"/>
      <c r="K198" s="52" t="s">
        <v>29</v>
      </c>
      <c r="L198" s="52" t="s">
        <v>241</v>
      </c>
      <c r="M198" s="54">
        <f t="shared" ref="M198:U198" si="226">SUM(M199:M199)</f>
        <v>23566120170</v>
      </c>
      <c r="N198" s="54">
        <f t="shared" si="226"/>
        <v>0</v>
      </c>
      <c r="O198" s="743">
        <f t="shared" si="226"/>
        <v>0</v>
      </c>
      <c r="P198" s="54">
        <f t="shared" si="226"/>
        <v>0</v>
      </c>
      <c r="Q198" s="743">
        <f t="shared" si="226"/>
        <v>0</v>
      </c>
      <c r="R198" s="743">
        <f t="shared" si="226"/>
        <v>0</v>
      </c>
      <c r="S198" s="54">
        <f t="shared" si="226"/>
        <v>23566120170</v>
      </c>
      <c r="T198" s="54">
        <f t="shared" si="226"/>
        <v>2147189188</v>
      </c>
      <c r="U198" s="54">
        <f t="shared" si="226"/>
        <v>21418930982</v>
      </c>
      <c r="V198" s="55">
        <f t="shared" si="144"/>
        <v>9.1113393825997785E-2</v>
      </c>
      <c r="W198" s="54">
        <f>SUM(W199:W199)</f>
        <v>0</v>
      </c>
      <c r="X198" s="54">
        <f>SUM(X199:X199)</f>
        <v>2147189188</v>
      </c>
      <c r="Y198" s="55">
        <f t="shared" si="156"/>
        <v>1</v>
      </c>
      <c r="Z198" s="54">
        <f>SUM(Z199:Z199)</f>
        <v>0</v>
      </c>
      <c r="AA198" s="54">
        <f>SUM(AA199:AA199)</f>
        <v>0</v>
      </c>
      <c r="AB198" s="55">
        <f t="shared" si="139"/>
        <v>0</v>
      </c>
    </row>
    <row r="199" spans="1:28" ht="24.95" customHeight="1">
      <c r="A199" s="32" t="e">
        <f>+CONCATENATE(#REF!,"=",J199)</f>
        <v>#REF!</v>
      </c>
      <c r="B199" s="56" t="str">
        <f t="shared" si="222"/>
        <v>C-4103-1500-22-0-4103050-02</v>
      </c>
      <c r="C199" s="57" t="s">
        <v>167</v>
      </c>
      <c r="D199" s="57">
        <v>4103</v>
      </c>
      <c r="E199" s="57" t="s">
        <v>172</v>
      </c>
      <c r="F199" s="57">
        <v>22</v>
      </c>
      <c r="G199" s="57" t="s">
        <v>175</v>
      </c>
      <c r="H199" s="57" t="s">
        <v>234</v>
      </c>
      <c r="I199" s="57" t="s">
        <v>54</v>
      </c>
      <c r="J199" s="57">
        <v>11</v>
      </c>
      <c r="K199" s="58" t="s">
        <v>29</v>
      </c>
      <c r="L199" s="59" t="s">
        <v>178</v>
      </c>
      <c r="M199" s="60">
        <v>23566120170</v>
      </c>
      <c r="N199" s="60"/>
      <c r="O199" s="60"/>
      <c r="P199" s="60"/>
      <c r="Q199" s="60">
        <v>0</v>
      </c>
      <c r="R199" s="61">
        <v>0</v>
      </c>
      <c r="S199" s="60">
        <f>+M199-R199+N199-O199+P199-Q199</f>
        <v>23566120170</v>
      </c>
      <c r="T199" s="60">
        <v>2147189188</v>
      </c>
      <c r="U199" s="60">
        <f t="shared" ref="U199" si="227">+S199-T199</f>
        <v>21418930982</v>
      </c>
      <c r="V199" s="62">
        <f t="shared" si="144"/>
        <v>9.1113393825997785E-2</v>
      </c>
      <c r="W199" s="60">
        <v>0</v>
      </c>
      <c r="X199" s="60">
        <f t="shared" ref="X199" si="228">+T199-W199</f>
        <v>2147189188</v>
      </c>
      <c r="Y199" s="62">
        <f t="shared" si="156"/>
        <v>1</v>
      </c>
      <c r="Z199" s="60">
        <v>0</v>
      </c>
      <c r="AA199" s="60">
        <f t="shared" ref="AA199" si="229">+W199-Z199</f>
        <v>0</v>
      </c>
      <c r="AB199" s="62">
        <f t="shared" si="139"/>
        <v>0</v>
      </c>
    </row>
    <row r="200" spans="1:28" ht="24.75" customHeight="1">
      <c r="A200" s="32" t="e">
        <f>+CONCATENATE(#REF!,"=",J200)</f>
        <v>#REF!</v>
      </c>
      <c r="B200" s="52" t="str">
        <f>CONCATENATE(C200,"-",D200,"-",E200,"-",F200,"-",G200,"-",H200)</f>
        <v>C-4103-1500-22-0-4103051</v>
      </c>
      <c r="C200" s="52" t="s">
        <v>167</v>
      </c>
      <c r="D200" s="52">
        <v>4103</v>
      </c>
      <c r="E200" s="52" t="s">
        <v>172</v>
      </c>
      <c r="F200" s="52">
        <v>22</v>
      </c>
      <c r="G200" s="52" t="s">
        <v>175</v>
      </c>
      <c r="H200" s="52">
        <v>4103051</v>
      </c>
      <c r="I200" s="52"/>
      <c r="J200" s="53"/>
      <c r="K200" s="52" t="s">
        <v>29</v>
      </c>
      <c r="L200" s="52" t="s">
        <v>242</v>
      </c>
      <c r="M200" s="54">
        <f t="shared" ref="M200:U200" si="230">SUM(M201:M201)</f>
        <v>18826252848</v>
      </c>
      <c r="N200" s="54">
        <f t="shared" si="230"/>
        <v>0</v>
      </c>
      <c r="O200" s="743">
        <f t="shared" si="230"/>
        <v>0</v>
      </c>
      <c r="P200" s="54">
        <f t="shared" si="230"/>
        <v>0</v>
      </c>
      <c r="Q200" s="743">
        <f t="shared" si="230"/>
        <v>0</v>
      </c>
      <c r="R200" s="743">
        <f t="shared" si="230"/>
        <v>0</v>
      </c>
      <c r="S200" s="54">
        <f t="shared" si="230"/>
        <v>18826252848</v>
      </c>
      <c r="T200" s="54">
        <f t="shared" si="230"/>
        <v>738303143</v>
      </c>
      <c r="U200" s="54">
        <f t="shared" si="230"/>
        <v>18087949705</v>
      </c>
      <c r="V200" s="55">
        <f t="shared" si="144"/>
        <v>3.9216680502537356E-2</v>
      </c>
      <c r="W200" s="54">
        <f t="shared" ref="W200:X200" si="231">SUM(W201:W201)</f>
        <v>0</v>
      </c>
      <c r="X200" s="54">
        <f t="shared" si="231"/>
        <v>738303143</v>
      </c>
      <c r="Y200" s="55">
        <f t="shared" si="156"/>
        <v>1</v>
      </c>
      <c r="Z200" s="54">
        <f t="shared" ref="Z200:AA200" si="232">SUM(Z201:Z201)</f>
        <v>0</v>
      </c>
      <c r="AA200" s="54">
        <f t="shared" si="232"/>
        <v>0</v>
      </c>
      <c r="AB200" s="55">
        <f t="shared" si="139"/>
        <v>0</v>
      </c>
    </row>
    <row r="201" spans="1:28" ht="24.95" customHeight="1">
      <c r="A201" s="32" t="e">
        <f>+CONCATENATE(#REF!,"=",J201)</f>
        <v>#REF!</v>
      </c>
      <c r="B201" s="56" t="str">
        <f t="shared" si="222"/>
        <v>C-4103-1500-22-0-4103051-02</v>
      </c>
      <c r="C201" s="57" t="s">
        <v>167</v>
      </c>
      <c r="D201" s="57">
        <v>4103</v>
      </c>
      <c r="E201" s="57" t="s">
        <v>172</v>
      </c>
      <c r="F201" s="57">
        <v>22</v>
      </c>
      <c r="G201" s="57" t="s">
        <v>175</v>
      </c>
      <c r="H201" s="57">
        <v>4103051</v>
      </c>
      <c r="I201" s="57" t="s">
        <v>54</v>
      </c>
      <c r="J201" s="57">
        <v>11</v>
      </c>
      <c r="K201" s="58" t="s">
        <v>29</v>
      </c>
      <c r="L201" s="59" t="s">
        <v>178</v>
      </c>
      <c r="M201" s="60">
        <v>18826252848</v>
      </c>
      <c r="N201" s="60"/>
      <c r="O201" s="60"/>
      <c r="P201" s="60"/>
      <c r="Q201" s="60">
        <v>0</v>
      </c>
      <c r="R201" s="61">
        <v>0</v>
      </c>
      <c r="S201" s="60">
        <f>+M201-R201+N201-O201+P201-Q201</f>
        <v>18826252848</v>
      </c>
      <c r="T201" s="60">
        <v>738303143</v>
      </c>
      <c r="U201" s="60">
        <f t="shared" ref="U201" si="233">+S201-T201</f>
        <v>18087949705</v>
      </c>
      <c r="V201" s="62">
        <f t="shared" si="144"/>
        <v>3.9216680502537356E-2</v>
      </c>
      <c r="W201" s="60">
        <v>0</v>
      </c>
      <c r="X201" s="60">
        <f t="shared" ref="X201" si="234">+T201-W201</f>
        <v>738303143</v>
      </c>
      <c r="Y201" s="62">
        <f t="shared" si="156"/>
        <v>1</v>
      </c>
      <c r="Z201" s="60">
        <v>0</v>
      </c>
      <c r="AA201" s="60">
        <f t="shared" ref="AA201" si="235">+W201-Z201</f>
        <v>0</v>
      </c>
      <c r="AB201" s="62">
        <f t="shared" si="139"/>
        <v>0</v>
      </c>
    </row>
    <row r="202" spans="1:28" ht="26.25" customHeight="1">
      <c r="A202" s="32" t="e">
        <f>+CONCATENATE(#REF!,"=",J202)</f>
        <v>#REF!</v>
      </c>
      <c r="B202" s="52" t="str">
        <f>CONCATENATE(C202,"-",D202,"-",E202,"-",F202,"-",G202,"-",H202)</f>
        <v>C-4103-1500-22-0-4103055</v>
      </c>
      <c r="C202" s="52" t="s">
        <v>167</v>
      </c>
      <c r="D202" s="52">
        <v>4103</v>
      </c>
      <c r="E202" s="52" t="s">
        <v>172</v>
      </c>
      <c r="F202" s="52">
        <v>22</v>
      </c>
      <c r="G202" s="52" t="s">
        <v>175</v>
      </c>
      <c r="H202" s="52">
        <v>4103055</v>
      </c>
      <c r="I202" s="52"/>
      <c r="J202" s="53"/>
      <c r="K202" s="52" t="s">
        <v>29</v>
      </c>
      <c r="L202" s="52" t="s">
        <v>243</v>
      </c>
      <c r="M202" s="54">
        <f t="shared" ref="M202:U202" si="236">SUM(M203:M203)</f>
        <v>9355356380</v>
      </c>
      <c r="N202" s="54">
        <f t="shared" si="236"/>
        <v>0</v>
      </c>
      <c r="O202" s="743">
        <f t="shared" si="236"/>
        <v>0</v>
      </c>
      <c r="P202" s="743">
        <f t="shared" si="236"/>
        <v>0</v>
      </c>
      <c r="Q202" s="54">
        <f t="shared" si="236"/>
        <v>0</v>
      </c>
      <c r="R202" s="743">
        <f t="shared" si="236"/>
        <v>0</v>
      </c>
      <c r="S202" s="54">
        <f t="shared" si="236"/>
        <v>9355356380</v>
      </c>
      <c r="T202" s="54">
        <f t="shared" si="236"/>
        <v>1315527073</v>
      </c>
      <c r="U202" s="54">
        <f t="shared" si="236"/>
        <v>8039829307</v>
      </c>
      <c r="V202" s="55">
        <f t="shared" si="144"/>
        <v>0.14061752642714398</v>
      </c>
      <c r="W202" s="54">
        <f>SUM(W203:W203)</f>
        <v>0</v>
      </c>
      <c r="X202" s="54">
        <f>SUM(X203:X203)</f>
        <v>1315527073</v>
      </c>
      <c r="Y202" s="55">
        <f t="shared" si="156"/>
        <v>1</v>
      </c>
      <c r="Z202" s="54">
        <f>SUM(Z203:Z203)</f>
        <v>0</v>
      </c>
      <c r="AA202" s="54">
        <f>SUM(AA203:AA203)</f>
        <v>0</v>
      </c>
      <c r="AB202" s="55">
        <f t="shared" si="139"/>
        <v>0</v>
      </c>
    </row>
    <row r="203" spans="1:28" ht="24.95" customHeight="1">
      <c r="A203" s="32" t="e">
        <f>+CONCATENATE(#REF!,"=",J203)</f>
        <v>#REF!</v>
      </c>
      <c r="B203" s="56" t="str">
        <f t="shared" si="222"/>
        <v>C-4103-1500-22-0-4103055-02</v>
      </c>
      <c r="C203" s="57" t="s">
        <v>167</v>
      </c>
      <c r="D203" s="57">
        <v>4103</v>
      </c>
      <c r="E203" s="57" t="s">
        <v>172</v>
      </c>
      <c r="F203" s="57">
        <v>22</v>
      </c>
      <c r="G203" s="57" t="s">
        <v>175</v>
      </c>
      <c r="H203" s="57" t="s">
        <v>203</v>
      </c>
      <c r="I203" s="57" t="s">
        <v>54</v>
      </c>
      <c r="J203" s="57">
        <v>11</v>
      </c>
      <c r="K203" s="58" t="s">
        <v>29</v>
      </c>
      <c r="L203" s="59" t="s">
        <v>178</v>
      </c>
      <c r="M203" s="60">
        <v>9355356380</v>
      </c>
      <c r="N203" s="60"/>
      <c r="O203" s="60"/>
      <c r="P203" s="60"/>
      <c r="Q203" s="60"/>
      <c r="R203" s="61">
        <v>0</v>
      </c>
      <c r="S203" s="60">
        <f>+M203-R203+N203-O203+P203-Q203</f>
        <v>9355356380</v>
      </c>
      <c r="T203" s="60">
        <v>1315527073</v>
      </c>
      <c r="U203" s="60">
        <f t="shared" ref="U203" si="237">+S203-T203</f>
        <v>8039829307</v>
      </c>
      <c r="V203" s="62">
        <f t="shared" si="144"/>
        <v>0.14061752642714398</v>
      </c>
      <c r="W203" s="60">
        <v>0</v>
      </c>
      <c r="X203" s="60">
        <f t="shared" ref="X203" si="238">+T203-W203</f>
        <v>1315527073</v>
      </c>
      <c r="Y203" s="62">
        <f t="shared" si="156"/>
        <v>1</v>
      </c>
      <c r="Z203" s="60">
        <v>0</v>
      </c>
      <c r="AA203" s="60">
        <f t="shared" ref="AA203" si="239">+W203-Z203</f>
        <v>0</v>
      </c>
      <c r="AB203" s="62">
        <f t="shared" si="139"/>
        <v>0</v>
      </c>
    </row>
    <row r="204" spans="1:28" ht="27.75" customHeight="1">
      <c r="A204" s="32" t="e">
        <f>+CONCATENATE(#REF!,"=",J204)</f>
        <v>#REF!</v>
      </c>
      <c r="B204" s="52" t="str">
        <f>CONCATENATE(C204,"-",D204,"-",E204,"-",F204,"-",G204,"-",H204)</f>
        <v>C-4103-1500-22-0-4103057</v>
      </c>
      <c r="C204" s="52" t="s">
        <v>167</v>
      </c>
      <c r="D204" s="52">
        <v>4103</v>
      </c>
      <c r="E204" s="52" t="s">
        <v>172</v>
      </c>
      <c r="F204" s="52">
        <v>22</v>
      </c>
      <c r="G204" s="52" t="s">
        <v>175</v>
      </c>
      <c r="H204" s="52">
        <v>4103057</v>
      </c>
      <c r="I204" s="52"/>
      <c r="J204" s="53"/>
      <c r="K204" s="52" t="s">
        <v>29</v>
      </c>
      <c r="L204" s="52" t="s">
        <v>244</v>
      </c>
      <c r="M204" s="54">
        <f>SUM(M205:M206)</f>
        <v>42878440876</v>
      </c>
      <c r="N204" s="54">
        <f t="shared" ref="N204:U204" si="240">SUM(N205:N206)</f>
        <v>0</v>
      </c>
      <c r="O204" s="743">
        <f t="shared" si="240"/>
        <v>0</v>
      </c>
      <c r="P204" s="743">
        <f t="shared" si="240"/>
        <v>0</v>
      </c>
      <c r="Q204" s="54">
        <f t="shared" si="240"/>
        <v>0</v>
      </c>
      <c r="R204" s="743">
        <f t="shared" si="240"/>
        <v>0</v>
      </c>
      <c r="S204" s="54">
        <f t="shared" si="240"/>
        <v>42878440876</v>
      </c>
      <c r="T204" s="54">
        <f t="shared" si="240"/>
        <v>32072203488</v>
      </c>
      <c r="U204" s="54">
        <f t="shared" si="240"/>
        <v>10806237388</v>
      </c>
      <c r="V204" s="55">
        <f t="shared" si="144"/>
        <v>0.74797970338402653</v>
      </c>
      <c r="W204" s="54">
        <f t="shared" ref="W204:X204" si="241">SUM(W205:W206)</f>
        <v>38373330</v>
      </c>
      <c r="X204" s="54">
        <f t="shared" si="241"/>
        <v>32033830158</v>
      </c>
      <c r="Y204" s="55">
        <f t="shared" si="156"/>
        <v>0.99880353309636627</v>
      </c>
      <c r="Z204" s="54">
        <f t="shared" ref="Z204:AA204" si="242">SUM(Z205:Z206)</f>
        <v>11773330</v>
      </c>
      <c r="AA204" s="54">
        <f t="shared" si="242"/>
        <v>26600000</v>
      </c>
      <c r="AB204" s="55">
        <f t="shared" si="139"/>
        <v>3.6708827955662791E-4</v>
      </c>
    </row>
    <row r="205" spans="1:28" ht="24.95" customHeight="1">
      <c r="A205" s="32" t="e">
        <f>+CONCATENATE(#REF!,"=",J205)</f>
        <v>#REF!</v>
      </c>
      <c r="B205" s="56" t="str">
        <f t="shared" si="222"/>
        <v>C-4103-1500-22-0-4103057-02</v>
      </c>
      <c r="C205" s="57" t="s">
        <v>167</v>
      </c>
      <c r="D205" s="57">
        <v>4103</v>
      </c>
      <c r="E205" s="57" t="s">
        <v>172</v>
      </c>
      <c r="F205" s="57">
        <v>22</v>
      </c>
      <c r="G205" s="57" t="s">
        <v>175</v>
      </c>
      <c r="H205" s="57" t="s">
        <v>221</v>
      </c>
      <c r="I205" s="57" t="s">
        <v>54</v>
      </c>
      <c r="J205" s="57">
        <v>11</v>
      </c>
      <c r="K205" s="58" t="s">
        <v>29</v>
      </c>
      <c r="L205" s="59" t="s">
        <v>178</v>
      </c>
      <c r="M205" s="60">
        <v>4467871684</v>
      </c>
      <c r="N205" s="60"/>
      <c r="O205" s="60"/>
      <c r="P205" s="60"/>
      <c r="Q205" s="60"/>
      <c r="R205" s="61">
        <v>0</v>
      </c>
      <c r="S205" s="60">
        <f>+M205-R205+N205-O205+P205-Q205</f>
        <v>4467871684</v>
      </c>
      <c r="T205" s="60">
        <v>1317503488</v>
      </c>
      <c r="U205" s="60">
        <f t="shared" ref="U205:U206" si="243">+S205-T205</f>
        <v>3150368196</v>
      </c>
      <c r="V205" s="62">
        <f t="shared" si="144"/>
        <v>0.29488391368045386</v>
      </c>
      <c r="W205" s="60">
        <v>38373330</v>
      </c>
      <c r="X205" s="60">
        <f t="shared" ref="X205:X206" si="244">+T205-W205</f>
        <v>1279130158</v>
      </c>
      <c r="Y205" s="62">
        <f t="shared" si="156"/>
        <v>0.97087420993605744</v>
      </c>
      <c r="Z205" s="60">
        <v>11773330</v>
      </c>
      <c r="AA205" s="60">
        <f t="shared" ref="AA205:AA206" si="245">+W205-Z205</f>
        <v>26600000</v>
      </c>
      <c r="AB205" s="62">
        <f t="shared" si="139"/>
        <v>8.9360901942447078E-3</v>
      </c>
    </row>
    <row r="206" spans="1:28" ht="24.95" customHeight="1">
      <c r="A206" s="32" t="e">
        <f>+CONCATENATE(#REF!,"=",J206)</f>
        <v>#REF!</v>
      </c>
      <c r="B206" s="56" t="str">
        <f t="shared" si="222"/>
        <v>C-4103-1500-22-0-4103057-03</v>
      </c>
      <c r="C206" s="57" t="s">
        <v>167</v>
      </c>
      <c r="D206" s="57">
        <v>4103</v>
      </c>
      <c r="E206" s="57" t="s">
        <v>172</v>
      </c>
      <c r="F206" s="57">
        <v>22</v>
      </c>
      <c r="G206" s="57" t="s">
        <v>175</v>
      </c>
      <c r="H206" s="57" t="s">
        <v>221</v>
      </c>
      <c r="I206" s="57" t="s">
        <v>65</v>
      </c>
      <c r="J206" s="57">
        <v>11</v>
      </c>
      <c r="K206" s="58" t="s">
        <v>29</v>
      </c>
      <c r="L206" s="59" t="s">
        <v>127</v>
      </c>
      <c r="M206" s="60">
        <v>38410569192</v>
      </c>
      <c r="N206" s="60"/>
      <c r="O206" s="60"/>
      <c r="P206" s="60"/>
      <c r="Q206" s="60"/>
      <c r="R206" s="61">
        <v>0</v>
      </c>
      <c r="S206" s="60">
        <f>+M206-R206+N206-O206+P206-Q206</f>
        <v>38410569192</v>
      </c>
      <c r="T206" s="60">
        <v>30754700000</v>
      </c>
      <c r="U206" s="60">
        <f t="shared" si="243"/>
        <v>7655869192</v>
      </c>
      <c r="V206" s="62">
        <f t="shared" si="144"/>
        <v>0.80068326627155184</v>
      </c>
      <c r="W206" s="60">
        <v>0</v>
      </c>
      <c r="X206" s="60">
        <f t="shared" si="244"/>
        <v>30754700000</v>
      </c>
      <c r="Y206" s="62">
        <f t="shared" si="156"/>
        <v>1</v>
      </c>
      <c r="Z206" s="60">
        <v>0</v>
      </c>
      <c r="AA206" s="60">
        <f t="shared" si="245"/>
        <v>0</v>
      </c>
      <c r="AB206" s="62">
        <f t="shared" ref="AB206:AB226" si="246">+IF(T206&gt;0,(Z206/T206),0)</f>
        <v>0</v>
      </c>
    </row>
    <row r="207" spans="1:28" ht="23.25" customHeight="1">
      <c r="A207" s="32" t="e">
        <f>+CONCATENATE(#REF!,"=",J207)</f>
        <v>#REF!</v>
      </c>
      <c r="B207" s="52" t="str">
        <f>CONCATENATE(C207,"-",D207,"-",E207,"-",F207,"-",G207,"-",H207)</f>
        <v>C-4103-1500-22-0-4103062</v>
      </c>
      <c r="C207" s="52" t="s">
        <v>167</v>
      </c>
      <c r="D207" s="52">
        <v>4103</v>
      </c>
      <c r="E207" s="52" t="s">
        <v>172</v>
      </c>
      <c r="F207" s="52">
        <v>22</v>
      </c>
      <c r="G207" s="52" t="s">
        <v>175</v>
      </c>
      <c r="H207" s="52">
        <v>4103062</v>
      </c>
      <c r="I207" s="52"/>
      <c r="J207" s="53"/>
      <c r="K207" s="52" t="s">
        <v>29</v>
      </c>
      <c r="L207" s="52" t="s">
        <v>245</v>
      </c>
      <c r="M207" s="54">
        <f>SUM(M208:M209)</f>
        <v>82692063088</v>
      </c>
      <c r="N207" s="54">
        <f t="shared" ref="N207:U207" si="247">SUM(N208:N209)</f>
        <v>0</v>
      </c>
      <c r="O207" s="743">
        <f t="shared" si="247"/>
        <v>0</v>
      </c>
      <c r="P207" s="54">
        <f t="shared" si="247"/>
        <v>0</v>
      </c>
      <c r="Q207" s="743">
        <f t="shared" si="247"/>
        <v>0</v>
      </c>
      <c r="R207" s="743">
        <f t="shared" si="247"/>
        <v>0</v>
      </c>
      <c r="S207" s="54">
        <f t="shared" si="247"/>
        <v>82692063088</v>
      </c>
      <c r="T207" s="54">
        <f t="shared" si="247"/>
        <v>537729688</v>
      </c>
      <c r="U207" s="54">
        <f t="shared" si="247"/>
        <v>82154333400</v>
      </c>
      <c r="V207" s="55">
        <f t="shared" si="144"/>
        <v>6.5027968576349812E-3</v>
      </c>
      <c r="W207" s="54">
        <f t="shared" ref="W207:X207" si="248">SUM(W208:W209)</f>
        <v>0</v>
      </c>
      <c r="X207" s="54">
        <f t="shared" si="248"/>
        <v>537729688</v>
      </c>
      <c r="Y207" s="55">
        <f t="shared" si="156"/>
        <v>1</v>
      </c>
      <c r="Z207" s="54">
        <f t="shared" ref="Z207:AA207" si="249">SUM(Z208:Z209)</f>
        <v>0</v>
      </c>
      <c r="AA207" s="54">
        <f t="shared" si="249"/>
        <v>0</v>
      </c>
      <c r="AB207" s="55">
        <f t="shared" si="246"/>
        <v>0</v>
      </c>
    </row>
    <row r="208" spans="1:28" ht="24.95" customHeight="1">
      <c r="A208" s="32" t="e">
        <f>+CONCATENATE(#REF!,"=",J208)</f>
        <v>#REF!</v>
      </c>
      <c r="B208" s="56" t="str">
        <f t="shared" si="222"/>
        <v>C-4103-1500-22-0-4103062-02</v>
      </c>
      <c r="C208" s="57" t="s">
        <v>167</v>
      </c>
      <c r="D208" s="57">
        <v>4103</v>
      </c>
      <c r="E208" s="57" t="s">
        <v>172</v>
      </c>
      <c r="F208" s="57">
        <v>22</v>
      </c>
      <c r="G208" s="57" t="s">
        <v>175</v>
      </c>
      <c r="H208" s="57" t="s">
        <v>246</v>
      </c>
      <c r="I208" s="57" t="s">
        <v>54</v>
      </c>
      <c r="J208" s="57">
        <v>11</v>
      </c>
      <c r="K208" s="58" t="s">
        <v>29</v>
      </c>
      <c r="L208" s="59" t="s">
        <v>178</v>
      </c>
      <c r="M208" s="60">
        <v>11892063088</v>
      </c>
      <c r="N208" s="60"/>
      <c r="O208" s="60"/>
      <c r="P208" s="60"/>
      <c r="Q208" s="60">
        <v>0</v>
      </c>
      <c r="R208" s="61">
        <v>0</v>
      </c>
      <c r="S208" s="60">
        <f>+M208-R208+N208-O208+P208-Q208</f>
        <v>11892063088</v>
      </c>
      <c r="T208" s="60">
        <v>537729688</v>
      </c>
      <c r="U208" s="60">
        <f t="shared" ref="U208:U209" si="250">+S208-T208</f>
        <v>11354333400</v>
      </c>
      <c r="V208" s="62">
        <f t="shared" si="144"/>
        <v>4.5217527355922819E-2</v>
      </c>
      <c r="W208" s="60">
        <v>0</v>
      </c>
      <c r="X208" s="60">
        <f t="shared" ref="X208:X209" si="251">+T208-W208</f>
        <v>537729688</v>
      </c>
      <c r="Y208" s="62">
        <f t="shared" si="156"/>
        <v>1</v>
      </c>
      <c r="Z208" s="60">
        <v>0</v>
      </c>
      <c r="AA208" s="60">
        <f t="shared" ref="AA208:AA209" si="252">+W208-Z208</f>
        <v>0</v>
      </c>
      <c r="AB208" s="62">
        <f t="shared" si="246"/>
        <v>0</v>
      </c>
    </row>
    <row r="209" spans="1:28" ht="24.95" customHeight="1">
      <c r="A209" s="32" t="e">
        <f>+CONCATENATE(#REF!,"=",J209)</f>
        <v>#REF!</v>
      </c>
      <c r="B209" s="56" t="str">
        <f t="shared" si="222"/>
        <v>C-4103-1500-22-0-4103062-03</v>
      </c>
      <c r="C209" s="57" t="s">
        <v>167</v>
      </c>
      <c r="D209" s="57">
        <v>4103</v>
      </c>
      <c r="E209" s="57" t="s">
        <v>172</v>
      </c>
      <c r="F209" s="57">
        <v>22</v>
      </c>
      <c r="G209" s="57" t="s">
        <v>175</v>
      </c>
      <c r="H209" s="57" t="s">
        <v>246</v>
      </c>
      <c r="I209" s="57" t="s">
        <v>65</v>
      </c>
      <c r="J209" s="57">
        <v>11</v>
      </c>
      <c r="K209" s="58" t="s">
        <v>29</v>
      </c>
      <c r="L209" s="59" t="s">
        <v>127</v>
      </c>
      <c r="M209" s="60">
        <v>70800000000</v>
      </c>
      <c r="N209" s="60"/>
      <c r="O209" s="60"/>
      <c r="P209" s="60"/>
      <c r="Q209" s="60">
        <v>0</v>
      </c>
      <c r="R209" s="61">
        <v>0</v>
      </c>
      <c r="S209" s="60">
        <f>+M209-R209+N209-O209+P209-Q209</f>
        <v>70800000000</v>
      </c>
      <c r="T209" s="60">
        <v>0</v>
      </c>
      <c r="U209" s="60">
        <f t="shared" si="250"/>
        <v>70800000000</v>
      </c>
      <c r="V209" s="62">
        <f t="shared" si="144"/>
        <v>0</v>
      </c>
      <c r="W209" s="60">
        <v>0</v>
      </c>
      <c r="X209" s="60">
        <f t="shared" si="251"/>
        <v>0</v>
      </c>
      <c r="Y209" s="62">
        <f t="shared" si="156"/>
        <v>0</v>
      </c>
      <c r="Z209" s="60">
        <v>0</v>
      </c>
      <c r="AA209" s="60">
        <f t="shared" si="252"/>
        <v>0</v>
      </c>
      <c r="AB209" s="62">
        <f t="shared" si="246"/>
        <v>0</v>
      </c>
    </row>
    <row r="210" spans="1:28" ht="36" customHeight="1">
      <c r="A210" s="32"/>
      <c r="B210" s="48" t="str">
        <f>CONCATENATE(C210,"-",D210,"-",E210,"-",F210)</f>
        <v>C-4103-1500-23</v>
      </c>
      <c r="C210" s="48" t="s">
        <v>167</v>
      </c>
      <c r="D210" s="48" t="s">
        <v>190</v>
      </c>
      <c r="E210" s="48" t="s">
        <v>172</v>
      </c>
      <c r="F210" s="48">
        <v>23</v>
      </c>
      <c r="G210" s="48"/>
      <c r="H210" s="48"/>
      <c r="I210" s="48"/>
      <c r="J210" s="49"/>
      <c r="K210" s="48"/>
      <c r="L210" s="48" t="s">
        <v>247</v>
      </c>
      <c r="M210" s="50">
        <f>+M211</f>
        <v>1716644723711</v>
      </c>
      <c r="N210" s="50">
        <f t="shared" ref="N210:U210" si="253">+N211</f>
        <v>0</v>
      </c>
      <c r="O210" s="742">
        <f t="shared" si="253"/>
        <v>0</v>
      </c>
      <c r="P210" s="50">
        <f t="shared" si="253"/>
        <v>0</v>
      </c>
      <c r="Q210" s="50">
        <f t="shared" si="253"/>
        <v>0</v>
      </c>
      <c r="R210" s="742">
        <f t="shared" si="253"/>
        <v>0</v>
      </c>
      <c r="S210" s="50">
        <f t="shared" si="253"/>
        <v>1716644723711</v>
      </c>
      <c r="T210" s="50">
        <f t="shared" si="253"/>
        <v>1300032587</v>
      </c>
      <c r="U210" s="50">
        <f t="shared" si="253"/>
        <v>1715344691124</v>
      </c>
      <c r="V210" s="51">
        <f t="shared" si="144"/>
        <v>7.5731021628611757E-4</v>
      </c>
      <c r="W210" s="50">
        <f t="shared" ref="W210:X210" si="254">+W211</f>
        <v>2706666</v>
      </c>
      <c r="X210" s="50">
        <f t="shared" si="254"/>
        <v>1297325921</v>
      </c>
      <c r="Y210" s="51">
        <f t="shared" si="156"/>
        <v>0.99791800142006748</v>
      </c>
      <c r="Z210" s="50">
        <f t="shared" ref="Z210:AA210" si="255">+Z211</f>
        <v>2076666</v>
      </c>
      <c r="AA210" s="50">
        <f t="shared" si="255"/>
        <v>630000</v>
      </c>
      <c r="AB210" s="51">
        <f t="shared" si="246"/>
        <v>1.5973953428292025E-3</v>
      </c>
    </row>
    <row r="211" spans="1:28" ht="33.75" customHeight="1">
      <c r="A211" s="32"/>
      <c r="B211" s="52" t="str">
        <f>CONCATENATE(C211,"-",D211,"-",E211,"-",F211,"-",G211,"-",H211)</f>
        <v>C-4103-1500-23-0-4103065</v>
      </c>
      <c r="C211" s="52" t="s">
        <v>167</v>
      </c>
      <c r="D211" s="52" t="s">
        <v>190</v>
      </c>
      <c r="E211" s="52" t="s">
        <v>172</v>
      </c>
      <c r="F211" s="52">
        <v>23</v>
      </c>
      <c r="G211" s="52" t="s">
        <v>175</v>
      </c>
      <c r="H211" s="52">
        <v>4103065</v>
      </c>
      <c r="I211" s="52"/>
      <c r="J211" s="53"/>
      <c r="K211" s="52" t="s">
        <v>29</v>
      </c>
      <c r="L211" s="52" t="s">
        <v>248</v>
      </c>
      <c r="M211" s="54">
        <f t="shared" ref="M211:U211" si="256">SUM(M212:M214)</f>
        <v>1716644723711</v>
      </c>
      <c r="N211" s="54">
        <f t="shared" si="256"/>
        <v>0</v>
      </c>
      <c r="O211" s="743">
        <f t="shared" si="256"/>
        <v>0</v>
      </c>
      <c r="P211" s="54">
        <f t="shared" si="256"/>
        <v>0</v>
      </c>
      <c r="Q211" s="54">
        <f t="shared" si="256"/>
        <v>0</v>
      </c>
      <c r="R211" s="743">
        <f t="shared" si="256"/>
        <v>0</v>
      </c>
      <c r="S211" s="54">
        <f t="shared" si="256"/>
        <v>1716644723711</v>
      </c>
      <c r="T211" s="54">
        <f t="shared" si="256"/>
        <v>1300032587</v>
      </c>
      <c r="U211" s="54">
        <f t="shared" si="256"/>
        <v>1715344691124</v>
      </c>
      <c r="V211" s="55">
        <f t="shared" si="144"/>
        <v>7.5731021628611757E-4</v>
      </c>
      <c r="W211" s="54">
        <f>SUM(W212:W214)</f>
        <v>2706666</v>
      </c>
      <c r="X211" s="54">
        <f>SUM(X212:X214)</f>
        <v>1297325921</v>
      </c>
      <c r="Y211" s="55">
        <f t="shared" si="156"/>
        <v>0.99791800142006748</v>
      </c>
      <c r="Z211" s="54">
        <f>SUM(Z212:Z214)</f>
        <v>2076666</v>
      </c>
      <c r="AA211" s="54">
        <f>SUM(AA212:AA214)</f>
        <v>630000</v>
      </c>
      <c r="AB211" s="55">
        <f t="shared" si="246"/>
        <v>1.5973953428292025E-3</v>
      </c>
    </row>
    <row r="212" spans="1:28" ht="24.95" customHeight="1">
      <c r="A212" s="32"/>
      <c r="B212" s="56" t="str">
        <f t="shared" ref="B212:B214" si="257">CONCATENATE(C212,"-",D212,"-",E212,"-",F212,"-",G212,"-",H212,"-",I212)</f>
        <v>C-4103-1500-23-0-4103065-02</v>
      </c>
      <c r="C212" s="57" t="s">
        <v>167</v>
      </c>
      <c r="D212" s="57" t="s">
        <v>190</v>
      </c>
      <c r="E212" s="57" t="s">
        <v>172</v>
      </c>
      <c r="F212" s="57">
        <v>23</v>
      </c>
      <c r="G212" s="57" t="s">
        <v>175</v>
      </c>
      <c r="H212" s="57">
        <v>4103065</v>
      </c>
      <c r="I212" s="57" t="s">
        <v>54</v>
      </c>
      <c r="J212" s="57">
        <v>10</v>
      </c>
      <c r="K212" s="58" t="s">
        <v>29</v>
      </c>
      <c r="L212" s="59" t="s">
        <v>178</v>
      </c>
      <c r="M212" s="60">
        <v>58404083711</v>
      </c>
      <c r="N212" s="60"/>
      <c r="O212" s="60"/>
      <c r="P212" s="60"/>
      <c r="Q212" s="60"/>
      <c r="R212" s="61">
        <v>0</v>
      </c>
      <c r="S212" s="60">
        <f>+M212+N212-O212+P212-Q212-R212</f>
        <v>58404083711</v>
      </c>
      <c r="T212" s="60">
        <v>1300032587</v>
      </c>
      <c r="U212" s="60">
        <f>+S212-T212</f>
        <v>57104051124</v>
      </c>
      <c r="V212" s="62">
        <f t="shared" si="144"/>
        <v>2.2259275454657085E-2</v>
      </c>
      <c r="W212" s="60">
        <v>2706666</v>
      </c>
      <c r="X212" s="60">
        <f>+T212-W212</f>
        <v>1297325921</v>
      </c>
      <c r="Y212" s="62">
        <f t="shared" si="156"/>
        <v>0.99791800142006748</v>
      </c>
      <c r="Z212" s="60">
        <v>2076666</v>
      </c>
      <c r="AA212" s="60">
        <f>+W212-Z212</f>
        <v>630000</v>
      </c>
      <c r="AB212" s="62">
        <f t="shared" si="246"/>
        <v>1.5973953428292025E-3</v>
      </c>
    </row>
    <row r="213" spans="1:28" ht="24.95" customHeight="1">
      <c r="A213" s="32"/>
      <c r="B213" s="56" t="str">
        <f t="shared" si="257"/>
        <v>C-4103-1500-23-0-4103065-03</v>
      </c>
      <c r="C213" s="57" t="s">
        <v>167</v>
      </c>
      <c r="D213" s="57" t="s">
        <v>190</v>
      </c>
      <c r="E213" s="57" t="s">
        <v>172</v>
      </c>
      <c r="F213" s="57">
        <v>23</v>
      </c>
      <c r="G213" s="57" t="s">
        <v>175</v>
      </c>
      <c r="H213" s="57">
        <v>4103065</v>
      </c>
      <c r="I213" s="57" t="s">
        <v>65</v>
      </c>
      <c r="J213" s="57">
        <v>10</v>
      </c>
      <c r="K213" s="58" t="s">
        <v>29</v>
      </c>
      <c r="L213" s="59" t="s">
        <v>127</v>
      </c>
      <c r="M213" s="60">
        <v>794540092896</v>
      </c>
      <c r="N213" s="60"/>
      <c r="O213" s="60"/>
      <c r="P213" s="60"/>
      <c r="Q213" s="60"/>
      <c r="R213" s="61">
        <v>0</v>
      </c>
      <c r="S213" s="60">
        <f>+M213+N213-O213+P213-Q213-R213</f>
        <v>794540092896</v>
      </c>
      <c r="T213" s="60">
        <v>0</v>
      </c>
      <c r="U213" s="60">
        <f>+S213-T213</f>
        <v>794540092896</v>
      </c>
      <c r="V213" s="62">
        <f t="shared" si="144"/>
        <v>0</v>
      </c>
      <c r="W213" s="60">
        <v>0</v>
      </c>
      <c r="X213" s="60">
        <f>+T213-W213</f>
        <v>0</v>
      </c>
      <c r="Y213" s="62">
        <f t="shared" si="156"/>
        <v>0</v>
      </c>
      <c r="Z213" s="60">
        <v>0</v>
      </c>
      <c r="AA213" s="60">
        <f>+W213-Z213</f>
        <v>0</v>
      </c>
      <c r="AB213" s="62">
        <f t="shared" si="246"/>
        <v>0</v>
      </c>
    </row>
    <row r="214" spans="1:28" ht="24.95" customHeight="1">
      <c r="A214" s="32"/>
      <c r="B214" s="56" t="str">
        <f t="shared" si="257"/>
        <v>C-4103-1500-23-0-4103065-03</v>
      </c>
      <c r="C214" s="57" t="s">
        <v>167</v>
      </c>
      <c r="D214" s="57" t="s">
        <v>190</v>
      </c>
      <c r="E214" s="57" t="s">
        <v>172</v>
      </c>
      <c r="F214" s="57">
        <v>23</v>
      </c>
      <c r="G214" s="57" t="s">
        <v>175</v>
      </c>
      <c r="H214" s="57">
        <v>4103065</v>
      </c>
      <c r="I214" s="57" t="s">
        <v>65</v>
      </c>
      <c r="J214" s="57">
        <v>16</v>
      </c>
      <c r="K214" s="58" t="s">
        <v>156</v>
      </c>
      <c r="L214" s="59" t="s">
        <v>127</v>
      </c>
      <c r="M214" s="60">
        <v>863700547104</v>
      </c>
      <c r="N214" s="60"/>
      <c r="O214" s="60"/>
      <c r="P214" s="60"/>
      <c r="Q214" s="60"/>
      <c r="R214" s="61">
        <v>0</v>
      </c>
      <c r="S214" s="60">
        <f>+M214+N214-O214+P214-Q214-R214</f>
        <v>863700547104</v>
      </c>
      <c r="T214" s="60">
        <v>0</v>
      </c>
      <c r="U214" s="60">
        <f>+S214-T214</f>
        <v>863700547104</v>
      </c>
      <c r="V214" s="62">
        <f t="shared" si="144"/>
        <v>0</v>
      </c>
      <c r="W214" s="60">
        <v>0</v>
      </c>
      <c r="X214" s="60">
        <f>+T214-W214</f>
        <v>0</v>
      </c>
      <c r="Y214" s="62">
        <f t="shared" si="156"/>
        <v>0</v>
      </c>
      <c r="Z214" s="60">
        <v>0</v>
      </c>
      <c r="AA214" s="60">
        <f>+W214-Z214</f>
        <v>0</v>
      </c>
      <c r="AB214" s="62">
        <f t="shared" si="246"/>
        <v>0</v>
      </c>
    </row>
    <row r="215" spans="1:28" ht="36" customHeight="1">
      <c r="A215" s="32" t="e">
        <f>+CONCATENATE(#REF!,"=",J215)</f>
        <v>#REF!</v>
      </c>
      <c r="B215" s="48" t="str">
        <f>CONCATENATE(C215,"-",D215,"-",E215,"-",F215)</f>
        <v>C-4103-1500-25</v>
      </c>
      <c r="C215" s="48" t="s">
        <v>167</v>
      </c>
      <c r="D215" s="48" t="s">
        <v>190</v>
      </c>
      <c r="E215" s="48" t="s">
        <v>172</v>
      </c>
      <c r="F215" s="48">
        <v>25</v>
      </c>
      <c r="G215" s="48"/>
      <c r="H215" s="48"/>
      <c r="I215" s="48"/>
      <c r="J215" s="49"/>
      <c r="K215" s="48"/>
      <c r="L215" s="48" t="s">
        <v>825</v>
      </c>
      <c r="M215" s="50">
        <f>+M216+M218</f>
        <v>5500000000</v>
      </c>
      <c r="N215" s="50">
        <f t="shared" ref="N215:U215" si="258">+N216+N218</f>
        <v>0</v>
      </c>
      <c r="O215" s="50">
        <f t="shared" si="258"/>
        <v>0</v>
      </c>
      <c r="P215" s="50">
        <f t="shared" si="258"/>
        <v>0</v>
      </c>
      <c r="Q215" s="50">
        <f t="shared" si="258"/>
        <v>0</v>
      </c>
      <c r="R215" s="50">
        <f t="shared" si="258"/>
        <v>0</v>
      </c>
      <c r="S215" s="50">
        <f t="shared" si="258"/>
        <v>5500000000</v>
      </c>
      <c r="T215" s="50">
        <f t="shared" si="258"/>
        <v>0</v>
      </c>
      <c r="U215" s="50">
        <f t="shared" si="258"/>
        <v>5500000000</v>
      </c>
      <c r="V215" s="51">
        <f t="shared" si="144"/>
        <v>0</v>
      </c>
      <c r="W215" s="50">
        <f t="shared" ref="W215:X215" si="259">+W216+W218</f>
        <v>0</v>
      </c>
      <c r="X215" s="50">
        <f t="shared" si="259"/>
        <v>0</v>
      </c>
      <c r="Y215" s="51">
        <f t="shared" si="156"/>
        <v>0</v>
      </c>
      <c r="Z215" s="50">
        <f t="shared" ref="Z215:AA215" si="260">+Z216+Z218</f>
        <v>0</v>
      </c>
      <c r="AA215" s="50">
        <f t="shared" si="260"/>
        <v>0</v>
      </c>
      <c r="AB215" s="51">
        <f t="shared" si="246"/>
        <v>0</v>
      </c>
    </row>
    <row r="216" spans="1:28" ht="33.75" customHeight="1">
      <c r="A216" s="32" t="e">
        <f>+CONCATENATE(#REF!,"=",J216)</f>
        <v>#REF!</v>
      </c>
      <c r="B216" s="52" t="str">
        <f>CONCATENATE(C216,"-",D216,"-",E216,"-",F216,"-",G216,"-",H216)</f>
        <v>C-4103-1500-25-0-4103050</v>
      </c>
      <c r="C216" s="52" t="s">
        <v>167</v>
      </c>
      <c r="D216" s="52" t="s">
        <v>190</v>
      </c>
      <c r="E216" s="52" t="s">
        <v>172</v>
      </c>
      <c r="F216" s="52">
        <v>25</v>
      </c>
      <c r="G216" s="52" t="s">
        <v>175</v>
      </c>
      <c r="H216" s="52">
        <v>4103050</v>
      </c>
      <c r="I216" s="52"/>
      <c r="J216" s="53"/>
      <c r="K216" s="52" t="s">
        <v>29</v>
      </c>
      <c r="L216" s="52" t="s">
        <v>269</v>
      </c>
      <c r="M216" s="54">
        <f t="shared" ref="M216:U216" si="261">SUM(M217:M217)</f>
        <v>1283500000</v>
      </c>
      <c r="N216" s="54">
        <f t="shared" si="261"/>
        <v>0</v>
      </c>
      <c r="O216" s="743">
        <f t="shared" si="261"/>
        <v>0</v>
      </c>
      <c r="P216" s="54">
        <f t="shared" si="261"/>
        <v>0</v>
      </c>
      <c r="Q216" s="54">
        <f t="shared" si="261"/>
        <v>0</v>
      </c>
      <c r="R216" s="743">
        <f t="shared" si="261"/>
        <v>0</v>
      </c>
      <c r="S216" s="54">
        <f t="shared" si="261"/>
        <v>1283500000</v>
      </c>
      <c r="T216" s="54">
        <f t="shared" si="261"/>
        <v>0</v>
      </c>
      <c r="U216" s="54">
        <f t="shared" si="261"/>
        <v>1283500000</v>
      </c>
      <c r="V216" s="55">
        <f t="shared" si="144"/>
        <v>0</v>
      </c>
      <c r="W216" s="54">
        <f>SUM(W217:W217)</f>
        <v>0</v>
      </c>
      <c r="X216" s="54">
        <f>SUM(X217:X217)</f>
        <v>0</v>
      </c>
      <c r="Y216" s="55">
        <f t="shared" si="156"/>
        <v>0</v>
      </c>
      <c r="Z216" s="54">
        <f>SUM(Z217:Z217)</f>
        <v>0</v>
      </c>
      <c r="AA216" s="54">
        <f>SUM(AA217:AA217)</f>
        <v>0</v>
      </c>
      <c r="AB216" s="55">
        <f t="shared" si="246"/>
        <v>0</v>
      </c>
    </row>
    <row r="217" spans="1:28" ht="24.95" customHeight="1">
      <c r="A217" s="32" t="e">
        <f>+CONCATENATE(#REF!,"=",J217)</f>
        <v>#REF!</v>
      </c>
      <c r="B217" s="56" t="str">
        <f t="shared" ref="B217" si="262">CONCATENATE(C217,"-",D217,"-",E217,"-",F217,"-",G217,"-",H217,"-",I217)</f>
        <v>C-4103-1500-25-0-4103050-02</v>
      </c>
      <c r="C217" s="57" t="s">
        <v>167</v>
      </c>
      <c r="D217" s="57" t="s">
        <v>190</v>
      </c>
      <c r="E217" s="57" t="s">
        <v>172</v>
      </c>
      <c r="F217" s="57">
        <v>25</v>
      </c>
      <c r="G217" s="57" t="s">
        <v>175</v>
      </c>
      <c r="H217" s="57">
        <v>4103050</v>
      </c>
      <c r="I217" s="57" t="s">
        <v>54</v>
      </c>
      <c r="J217" s="57">
        <v>11</v>
      </c>
      <c r="K217" s="58" t="s">
        <v>29</v>
      </c>
      <c r="L217" s="59" t="s">
        <v>178</v>
      </c>
      <c r="M217" s="60">
        <v>1283500000</v>
      </c>
      <c r="N217" s="60"/>
      <c r="O217" s="60"/>
      <c r="P217" s="60"/>
      <c r="Q217" s="60"/>
      <c r="R217" s="61">
        <v>0</v>
      </c>
      <c r="S217" s="60">
        <f>+M217+N217-O217+P217-Q217-R217</f>
        <v>1283500000</v>
      </c>
      <c r="T217" s="60">
        <v>0</v>
      </c>
      <c r="U217" s="60">
        <f>+S217-T217</f>
        <v>1283500000</v>
      </c>
      <c r="V217" s="62">
        <f t="shared" si="144"/>
        <v>0</v>
      </c>
      <c r="W217" s="60">
        <v>0</v>
      </c>
      <c r="X217" s="60">
        <f>+T217-W217</f>
        <v>0</v>
      </c>
      <c r="Y217" s="62">
        <f t="shared" si="156"/>
        <v>0</v>
      </c>
      <c r="Z217" s="60">
        <v>0</v>
      </c>
      <c r="AA217" s="60">
        <f>+W217-Z217</f>
        <v>0</v>
      </c>
      <c r="AB217" s="62">
        <f t="shared" si="246"/>
        <v>0</v>
      </c>
    </row>
    <row r="218" spans="1:28" ht="33.75" customHeight="1">
      <c r="A218" s="32" t="e">
        <f>+CONCATENATE(#REF!,"=",J218)</f>
        <v>#REF!</v>
      </c>
      <c r="B218" s="52" t="str">
        <f>CONCATENATE(C218,"-",D218,"-",E218,"-",F218,"-",G218,"-",H218)</f>
        <v>C-4103-1500-25-0-4103057</v>
      </c>
      <c r="C218" s="52" t="s">
        <v>167</v>
      </c>
      <c r="D218" s="52" t="s">
        <v>190</v>
      </c>
      <c r="E218" s="52" t="s">
        <v>172</v>
      </c>
      <c r="F218" s="52">
        <v>25</v>
      </c>
      <c r="G218" s="52" t="s">
        <v>175</v>
      </c>
      <c r="H218" s="52">
        <v>4103057</v>
      </c>
      <c r="I218" s="52"/>
      <c r="J218" s="53"/>
      <c r="K218" s="52" t="s">
        <v>29</v>
      </c>
      <c r="L218" s="52" t="s">
        <v>222</v>
      </c>
      <c r="M218" s="54">
        <f t="shared" ref="M218:U218" si="263">SUM(M219:M220)</f>
        <v>4216500000</v>
      </c>
      <c r="N218" s="54">
        <f t="shared" si="263"/>
        <v>0</v>
      </c>
      <c r="O218" s="743">
        <f t="shared" si="263"/>
        <v>0</v>
      </c>
      <c r="P218" s="54">
        <f t="shared" si="263"/>
        <v>0</v>
      </c>
      <c r="Q218" s="54">
        <f t="shared" si="263"/>
        <v>0</v>
      </c>
      <c r="R218" s="743">
        <f t="shared" si="263"/>
        <v>0</v>
      </c>
      <c r="S218" s="54">
        <f t="shared" si="263"/>
        <v>4216500000</v>
      </c>
      <c r="T218" s="54">
        <f t="shared" si="263"/>
        <v>0</v>
      </c>
      <c r="U218" s="54">
        <f t="shared" si="263"/>
        <v>4216500000</v>
      </c>
      <c r="V218" s="55">
        <f t="shared" si="144"/>
        <v>0</v>
      </c>
      <c r="W218" s="54">
        <f>SUM(W219:W220)</f>
        <v>0</v>
      </c>
      <c r="X218" s="54">
        <f>SUM(X219:X220)</f>
        <v>0</v>
      </c>
      <c r="Y218" s="55">
        <f t="shared" si="156"/>
        <v>0</v>
      </c>
      <c r="Z218" s="54">
        <f>SUM(Z219:Z220)</f>
        <v>0</v>
      </c>
      <c r="AA218" s="54">
        <f>SUM(AA219:AA220)</f>
        <v>0</v>
      </c>
      <c r="AB218" s="55">
        <f t="shared" si="246"/>
        <v>0</v>
      </c>
    </row>
    <row r="219" spans="1:28" ht="24.95" customHeight="1">
      <c r="A219" s="32" t="e">
        <f>+CONCATENATE(#REF!,"=",J219)</f>
        <v>#REF!</v>
      </c>
      <c r="B219" s="56" t="str">
        <f t="shared" ref="B219:B220" si="264">CONCATENATE(C219,"-",D219,"-",E219,"-",F219,"-",G219,"-",H219,"-",I219)</f>
        <v>C-4103-1500-25-0-4103057-02</v>
      </c>
      <c r="C219" s="57" t="s">
        <v>167</v>
      </c>
      <c r="D219" s="57" t="s">
        <v>190</v>
      </c>
      <c r="E219" s="57" t="s">
        <v>172</v>
      </c>
      <c r="F219" s="57">
        <v>25</v>
      </c>
      <c r="G219" s="57" t="s">
        <v>175</v>
      </c>
      <c r="H219" s="57">
        <v>4103057</v>
      </c>
      <c r="I219" s="57" t="s">
        <v>54</v>
      </c>
      <c r="J219" s="57">
        <v>11</v>
      </c>
      <c r="K219" s="58" t="s">
        <v>29</v>
      </c>
      <c r="L219" s="59" t="s">
        <v>178</v>
      </c>
      <c r="M219" s="60">
        <v>315000000</v>
      </c>
      <c r="N219" s="60"/>
      <c r="O219" s="60"/>
      <c r="P219" s="60"/>
      <c r="Q219" s="60"/>
      <c r="R219" s="61">
        <v>0</v>
      </c>
      <c r="S219" s="60">
        <f>+M219+N219-O219+P219-Q219-R219</f>
        <v>315000000</v>
      </c>
      <c r="T219" s="60">
        <v>0</v>
      </c>
      <c r="U219" s="60">
        <f>+S219-T219</f>
        <v>315000000</v>
      </c>
      <c r="V219" s="62">
        <f t="shared" si="144"/>
        <v>0</v>
      </c>
      <c r="W219" s="60">
        <v>0</v>
      </c>
      <c r="X219" s="60">
        <f>+T219-W219</f>
        <v>0</v>
      </c>
      <c r="Y219" s="62">
        <f t="shared" si="156"/>
        <v>0</v>
      </c>
      <c r="Z219" s="60">
        <v>0</v>
      </c>
      <c r="AA219" s="60">
        <f>+W219-Z219</f>
        <v>0</v>
      </c>
      <c r="AB219" s="62">
        <f t="shared" si="246"/>
        <v>0</v>
      </c>
    </row>
    <row r="220" spans="1:28" ht="24.95" customHeight="1">
      <c r="A220" s="32" t="e">
        <f>+CONCATENATE(#REF!,"=",J220)</f>
        <v>#REF!</v>
      </c>
      <c r="B220" s="56" t="str">
        <f t="shared" si="264"/>
        <v>C-4103-1500-25-0-4103057-03</v>
      </c>
      <c r="C220" s="57" t="s">
        <v>167</v>
      </c>
      <c r="D220" s="57" t="s">
        <v>190</v>
      </c>
      <c r="E220" s="57" t="s">
        <v>172</v>
      </c>
      <c r="F220" s="57">
        <v>25</v>
      </c>
      <c r="G220" s="57" t="s">
        <v>175</v>
      </c>
      <c r="H220" s="57">
        <v>4103057</v>
      </c>
      <c r="I220" s="57" t="s">
        <v>65</v>
      </c>
      <c r="J220" s="57">
        <v>11</v>
      </c>
      <c r="K220" s="58" t="s">
        <v>29</v>
      </c>
      <c r="L220" s="59" t="s">
        <v>127</v>
      </c>
      <c r="M220" s="60">
        <v>3901500000</v>
      </c>
      <c r="N220" s="60"/>
      <c r="O220" s="60"/>
      <c r="P220" s="60"/>
      <c r="Q220" s="60"/>
      <c r="R220" s="61">
        <v>0</v>
      </c>
      <c r="S220" s="60">
        <f>+M220+N220-O220+P220-Q220-R220</f>
        <v>3901500000</v>
      </c>
      <c r="T220" s="60">
        <v>0</v>
      </c>
      <c r="U220" s="60">
        <f>+S220-T220</f>
        <v>3901500000</v>
      </c>
      <c r="V220" s="62">
        <f t="shared" si="144"/>
        <v>0</v>
      </c>
      <c r="W220" s="60">
        <v>0</v>
      </c>
      <c r="X220" s="60">
        <f>+T220-W220</f>
        <v>0</v>
      </c>
      <c r="Y220" s="62">
        <f t="shared" si="156"/>
        <v>0</v>
      </c>
      <c r="Z220" s="60">
        <v>0</v>
      </c>
      <c r="AA220" s="60">
        <f>+W220-Z220</f>
        <v>0</v>
      </c>
      <c r="AB220" s="62">
        <f t="shared" si="246"/>
        <v>0</v>
      </c>
    </row>
    <row r="221" spans="1:28" ht="24" customHeight="1">
      <c r="A221" s="32" t="e">
        <f>+CONCATENATE(#REF!,"=",J221)</f>
        <v>#REF!</v>
      </c>
      <c r="B221" s="38" t="str">
        <f>CONCATENATE(C221,"-",D221)</f>
        <v>C-4199</v>
      </c>
      <c r="C221" s="39" t="s">
        <v>167</v>
      </c>
      <c r="D221" s="39">
        <v>4199</v>
      </c>
      <c r="E221" s="39"/>
      <c r="F221" s="39"/>
      <c r="G221" s="39"/>
      <c r="H221" s="39"/>
      <c r="I221" s="39"/>
      <c r="J221" s="39"/>
      <c r="K221" s="40"/>
      <c r="L221" s="38" t="s">
        <v>250</v>
      </c>
      <c r="M221" s="41">
        <f>+M222</f>
        <v>6000000000</v>
      </c>
      <c r="N221" s="41">
        <f t="shared" ref="N221:AA224" si="265">+N222</f>
        <v>0</v>
      </c>
      <c r="O221" s="740">
        <f t="shared" si="265"/>
        <v>0</v>
      </c>
      <c r="P221" s="740">
        <f t="shared" si="265"/>
        <v>0</v>
      </c>
      <c r="Q221" s="740">
        <f t="shared" si="265"/>
        <v>0</v>
      </c>
      <c r="R221" s="740">
        <f t="shared" si="265"/>
        <v>0</v>
      </c>
      <c r="S221" s="41">
        <f t="shared" si="265"/>
        <v>6000000000</v>
      </c>
      <c r="T221" s="41">
        <f t="shared" si="265"/>
        <v>654765408</v>
      </c>
      <c r="U221" s="41">
        <f t="shared" si="265"/>
        <v>5345234592</v>
      </c>
      <c r="V221" s="42">
        <f t="shared" si="144"/>
        <v>0.10912756799999999</v>
      </c>
      <c r="W221" s="41">
        <f t="shared" si="265"/>
        <v>0</v>
      </c>
      <c r="X221" s="41">
        <f t="shared" si="265"/>
        <v>654765408</v>
      </c>
      <c r="Y221" s="42">
        <f t="shared" si="156"/>
        <v>1</v>
      </c>
      <c r="Z221" s="41">
        <f t="shared" si="265"/>
        <v>0</v>
      </c>
      <c r="AA221" s="41">
        <f t="shared" si="265"/>
        <v>0</v>
      </c>
      <c r="AB221" s="42">
        <f t="shared" si="246"/>
        <v>0</v>
      </c>
    </row>
    <row r="222" spans="1:28" ht="24" customHeight="1">
      <c r="A222" s="32" t="e">
        <f>+CONCATENATE(#REF!,"=",J222)</f>
        <v>#REF!</v>
      </c>
      <c r="B222" s="43" t="str">
        <f>CONCATENATE(C222,"-",D222,"-",E222)</f>
        <v>C-4199-1500</v>
      </c>
      <c r="C222" s="44" t="s">
        <v>167</v>
      </c>
      <c r="D222" s="44">
        <v>4199</v>
      </c>
      <c r="E222" s="44">
        <v>1500</v>
      </c>
      <c r="F222" s="44"/>
      <c r="G222" s="44"/>
      <c r="H222" s="44"/>
      <c r="I222" s="44"/>
      <c r="J222" s="44"/>
      <c r="K222" s="45"/>
      <c r="L222" s="43" t="s">
        <v>170</v>
      </c>
      <c r="M222" s="46">
        <f>+M223</f>
        <v>6000000000</v>
      </c>
      <c r="N222" s="46">
        <f t="shared" si="265"/>
        <v>0</v>
      </c>
      <c r="O222" s="741">
        <f t="shared" si="265"/>
        <v>0</v>
      </c>
      <c r="P222" s="741">
        <f t="shared" si="265"/>
        <v>0</v>
      </c>
      <c r="Q222" s="741">
        <f t="shared" si="265"/>
        <v>0</v>
      </c>
      <c r="R222" s="741">
        <f t="shared" si="265"/>
        <v>0</v>
      </c>
      <c r="S222" s="46">
        <f t="shared" si="265"/>
        <v>6000000000</v>
      </c>
      <c r="T222" s="46">
        <f t="shared" si="265"/>
        <v>654765408</v>
      </c>
      <c r="U222" s="46">
        <f t="shared" si="265"/>
        <v>5345234592</v>
      </c>
      <c r="V222" s="47">
        <f t="shared" si="144"/>
        <v>0.10912756799999999</v>
      </c>
      <c r="W222" s="46">
        <f t="shared" si="265"/>
        <v>0</v>
      </c>
      <c r="X222" s="46">
        <f t="shared" si="265"/>
        <v>654765408</v>
      </c>
      <c r="Y222" s="47">
        <f t="shared" si="156"/>
        <v>1</v>
      </c>
      <c r="Z222" s="46">
        <f t="shared" si="265"/>
        <v>0</v>
      </c>
      <c r="AA222" s="46">
        <f t="shared" si="265"/>
        <v>0</v>
      </c>
      <c r="AB222" s="47">
        <f t="shared" si="246"/>
        <v>0</v>
      </c>
    </row>
    <row r="223" spans="1:28" ht="39" customHeight="1">
      <c r="A223" s="32" t="e">
        <f>+CONCATENATE(#REF!,"=",J223)</f>
        <v>#REF!</v>
      </c>
      <c r="B223" s="48" t="str">
        <f>CONCATENATE(C223,"-",D223,"-",E223,"-",F223)</f>
        <v>C-4199-1500-2</v>
      </c>
      <c r="C223" s="48" t="s">
        <v>167</v>
      </c>
      <c r="D223" s="48" t="s">
        <v>251</v>
      </c>
      <c r="E223" s="48" t="s">
        <v>172</v>
      </c>
      <c r="F223" s="48" t="s">
        <v>252</v>
      </c>
      <c r="G223" s="48"/>
      <c r="H223" s="48"/>
      <c r="I223" s="48"/>
      <c r="J223" s="49"/>
      <c r="K223" s="48"/>
      <c r="L223" s="48" t="s">
        <v>253</v>
      </c>
      <c r="M223" s="50">
        <f>+M224</f>
        <v>6000000000</v>
      </c>
      <c r="N223" s="50">
        <f t="shared" si="265"/>
        <v>0</v>
      </c>
      <c r="O223" s="742">
        <f t="shared" si="265"/>
        <v>0</v>
      </c>
      <c r="P223" s="742">
        <f t="shared" si="265"/>
        <v>0</v>
      </c>
      <c r="Q223" s="742">
        <f t="shared" si="265"/>
        <v>0</v>
      </c>
      <c r="R223" s="742">
        <f t="shared" si="265"/>
        <v>0</v>
      </c>
      <c r="S223" s="50">
        <f t="shared" si="265"/>
        <v>6000000000</v>
      </c>
      <c r="T223" s="50">
        <f t="shared" si="265"/>
        <v>654765408</v>
      </c>
      <c r="U223" s="50">
        <f t="shared" si="265"/>
        <v>5345234592</v>
      </c>
      <c r="V223" s="51">
        <f t="shared" si="144"/>
        <v>0.10912756799999999</v>
      </c>
      <c r="W223" s="50">
        <f t="shared" si="265"/>
        <v>0</v>
      </c>
      <c r="X223" s="50">
        <f t="shared" si="265"/>
        <v>654765408</v>
      </c>
      <c r="Y223" s="51">
        <f t="shared" si="156"/>
        <v>1</v>
      </c>
      <c r="Z223" s="50">
        <f t="shared" si="265"/>
        <v>0</v>
      </c>
      <c r="AA223" s="50">
        <f t="shared" si="265"/>
        <v>0</v>
      </c>
      <c r="AB223" s="51">
        <f t="shared" si="246"/>
        <v>0</v>
      </c>
    </row>
    <row r="224" spans="1:28" ht="24" customHeight="1">
      <c r="A224" s="32" t="e">
        <f>+CONCATENATE(#REF!,"=",J224)</f>
        <v>#REF!</v>
      </c>
      <c r="B224" s="52" t="str">
        <f>CONCATENATE(C224,"-",D224,"-",E224,"-",F224,"-",G224,"-",H224)</f>
        <v>C-4199-1500-2-0-4199062</v>
      </c>
      <c r="C224" s="52" t="s">
        <v>167</v>
      </c>
      <c r="D224" s="52" t="s">
        <v>251</v>
      </c>
      <c r="E224" s="52" t="s">
        <v>172</v>
      </c>
      <c r="F224" s="52" t="s">
        <v>252</v>
      </c>
      <c r="G224" s="52" t="s">
        <v>175</v>
      </c>
      <c r="H224" s="52" t="s">
        <v>254</v>
      </c>
      <c r="I224" s="52"/>
      <c r="J224" s="53"/>
      <c r="K224" s="52" t="s">
        <v>29</v>
      </c>
      <c r="L224" s="52" t="s">
        <v>255</v>
      </c>
      <c r="M224" s="54">
        <f>+M225</f>
        <v>6000000000</v>
      </c>
      <c r="N224" s="54">
        <f t="shared" si="265"/>
        <v>0</v>
      </c>
      <c r="O224" s="743">
        <f t="shared" si="265"/>
        <v>0</v>
      </c>
      <c r="P224" s="743">
        <f t="shared" si="265"/>
        <v>0</v>
      </c>
      <c r="Q224" s="743">
        <f t="shared" si="265"/>
        <v>0</v>
      </c>
      <c r="R224" s="743">
        <f t="shared" si="265"/>
        <v>0</v>
      </c>
      <c r="S224" s="54">
        <f t="shared" si="265"/>
        <v>6000000000</v>
      </c>
      <c r="T224" s="54">
        <f t="shared" si="265"/>
        <v>654765408</v>
      </c>
      <c r="U224" s="54">
        <f t="shared" si="265"/>
        <v>5345234592</v>
      </c>
      <c r="V224" s="55">
        <f t="shared" si="144"/>
        <v>0.10912756799999999</v>
      </c>
      <c r="W224" s="54">
        <f t="shared" si="265"/>
        <v>0</v>
      </c>
      <c r="X224" s="54">
        <f t="shared" si="265"/>
        <v>654765408</v>
      </c>
      <c r="Y224" s="55">
        <f t="shared" si="156"/>
        <v>1</v>
      </c>
      <c r="Z224" s="54">
        <f t="shared" si="265"/>
        <v>0</v>
      </c>
      <c r="AA224" s="54">
        <f t="shared" si="265"/>
        <v>0</v>
      </c>
      <c r="AB224" s="55">
        <f t="shared" si="246"/>
        <v>0</v>
      </c>
    </row>
    <row r="225" spans="1:28" ht="24.95" customHeight="1">
      <c r="A225" s="32" t="e">
        <f>+CONCATENATE(#REF!,"=",J225)</f>
        <v>#REF!</v>
      </c>
      <c r="B225" s="56" t="str">
        <f t="shared" ref="B225" si="266">CONCATENATE(C225,"-",D225,"-",E225,"-",F225,"-",G225,"-",H225,"-",I225)</f>
        <v>C-4199-1500-2-0-4199062-02</v>
      </c>
      <c r="C225" s="57" t="s">
        <v>167</v>
      </c>
      <c r="D225" s="57" t="s">
        <v>251</v>
      </c>
      <c r="E225" s="57" t="s">
        <v>172</v>
      </c>
      <c r="F225" s="57" t="s">
        <v>252</v>
      </c>
      <c r="G225" s="57" t="s">
        <v>175</v>
      </c>
      <c r="H225" s="57" t="s">
        <v>254</v>
      </c>
      <c r="I225" s="57" t="s">
        <v>54</v>
      </c>
      <c r="J225" s="57">
        <v>11</v>
      </c>
      <c r="K225" s="58" t="s">
        <v>29</v>
      </c>
      <c r="L225" s="59" t="s">
        <v>178</v>
      </c>
      <c r="M225" s="60">
        <v>6000000000</v>
      </c>
      <c r="N225" s="60">
        <v>0</v>
      </c>
      <c r="O225" s="60">
        <v>0</v>
      </c>
      <c r="P225" s="60">
        <v>0</v>
      </c>
      <c r="Q225" s="60">
        <v>0</v>
      </c>
      <c r="R225" s="61">
        <v>0</v>
      </c>
      <c r="S225" s="60">
        <f>+M225-R225+N225-O225+P225-Q225</f>
        <v>6000000000</v>
      </c>
      <c r="T225" s="60">
        <v>654765408</v>
      </c>
      <c r="U225" s="60">
        <f t="shared" ref="U225" si="267">+S225-T225</f>
        <v>5345234592</v>
      </c>
      <c r="V225" s="62">
        <f t="shared" si="144"/>
        <v>0.10912756799999999</v>
      </c>
      <c r="W225" s="60">
        <v>0</v>
      </c>
      <c r="X225" s="60">
        <f t="shared" ref="X225" si="268">+T225-W225</f>
        <v>654765408</v>
      </c>
      <c r="Y225" s="62">
        <f t="shared" si="156"/>
        <v>1</v>
      </c>
      <c r="Z225" s="60">
        <v>0</v>
      </c>
      <c r="AA225" s="60">
        <f t="shared" ref="AA225" si="269">+W225-Z225</f>
        <v>0</v>
      </c>
      <c r="AB225" s="62">
        <f t="shared" si="246"/>
        <v>0</v>
      </c>
    </row>
    <row r="226" spans="1:28" ht="35.1" customHeight="1">
      <c r="A226" s="32"/>
      <c r="B226" s="33"/>
      <c r="C226" s="34"/>
      <c r="D226" s="35"/>
      <c r="E226" s="35"/>
      <c r="F226" s="35"/>
      <c r="G226" s="35"/>
      <c r="H226" s="35"/>
      <c r="I226" s="35"/>
      <c r="J226" s="34"/>
      <c r="K226" s="35"/>
      <c r="L226" s="33" t="s">
        <v>256</v>
      </c>
      <c r="M226" s="36">
        <f t="shared" ref="M226:U226" si="270">+M8+M116+M112</f>
        <v>6684523821744</v>
      </c>
      <c r="N226" s="36">
        <f t="shared" si="270"/>
        <v>0</v>
      </c>
      <c r="O226" s="36">
        <f t="shared" si="270"/>
        <v>0</v>
      </c>
      <c r="P226" s="36">
        <f t="shared" si="270"/>
        <v>3170048097</v>
      </c>
      <c r="Q226" s="36">
        <f t="shared" si="270"/>
        <v>3170048097</v>
      </c>
      <c r="R226" s="36">
        <f t="shared" si="270"/>
        <v>5880000000</v>
      </c>
      <c r="S226" s="36">
        <f t="shared" si="270"/>
        <v>6678643821744</v>
      </c>
      <c r="T226" s="36">
        <f t="shared" si="270"/>
        <v>484753240291.47003</v>
      </c>
      <c r="U226" s="36">
        <f t="shared" si="270"/>
        <v>6193890581452.5303</v>
      </c>
      <c r="V226" s="37">
        <f t="shared" si="144"/>
        <v>7.2582586110257044E-2</v>
      </c>
      <c r="W226" s="36">
        <f>+W8+W116+W112</f>
        <v>34609598861.479996</v>
      </c>
      <c r="X226" s="36">
        <f>+X8+X116+X112</f>
        <v>450143641429.98993</v>
      </c>
      <c r="Y226" s="37">
        <f t="shared" si="156"/>
        <v>0.92860367711896008</v>
      </c>
      <c r="Z226" s="36">
        <f>+Z8+Z116+Z112</f>
        <v>33608829298.490002</v>
      </c>
      <c r="AA226" s="36">
        <f>+AA8+AA116+AA112</f>
        <v>1000769562.9899998</v>
      </c>
      <c r="AB226" s="37">
        <f t="shared" si="246"/>
        <v>6.9331830104491621E-2</v>
      </c>
    </row>
    <row r="227" spans="1:28" s="107" customFormat="1" ht="16.5">
      <c r="A227" s="763"/>
      <c r="B227" s="763"/>
      <c r="C227" s="299"/>
      <c r="D227" s="299"/>
      <c r="E227" s="299"/>
      <c r="F227" s="299"/>
      <c r="G227" s="299"/>
      <c r="H227" s="300"/>
      <c r="I227" s="301"/>
      <c r="J227" s="301"/>
      <c r="K227" s="764"/>
      <c r="L227" s="301"/>
      <c r="M227" s="103"/>
      <c r="N227" s="103"/>
      <c r="O227" s="103"/>
      <c r="P227" s="103"/>
      <c r="Q227" s="103"/>
      <c r="R227" s="103"/>
      <c r="S227" s="103"/>
      <c r="T227" s="103"/>
      <c r="U227" s="103"/>
      <c r="V227" s="765"/>
      <c r="W227" s="766"/>
      <c r="X227" s="103"/>
      <c r="Y227" s="765"/>
      <c r="Z227" s="103"/>
      <c r="AA227" s="103"/>
      <c r="AB227" s="767"/>
    </row>
    <row r="228" spans="1:28" s="8" customFormat="1" ht="16.5">
      <c r="A228" s="32"/>
      <c r="B228" s="32"/>
      <c r="C228" s="91"/>
      <c r="D228" s="91"/>
      <c r="E228" s="91"/>
      <c r="F228" s="91"/>
      <c r="G228" s="91"/>
      <c r="H228" s="92"/>
      <c r="I228" s="93"/>
      <c r="J228" s="93"/>
      <c r="K228" s="94"/>
      <c r="L228" s="93"/>
      <c r="M228" s="95">
        <v>6684523821744</v>
      </c>
      <c r="N228" s="95"/>
      <c r="O228" s="95">
        <v>0</v>
      </c>
      <c r="P228" s="95">
        <f>3170048097</f>
        <v>3170048097</v>
      </c>
      <c r="Q228" s="95">
        <f>3170048097</f>
        <v>3170048097</v>
      </c>
      <c r="R228" s="95">
        <v>5880000000</v>
      </c>
      <c r="S228" s="95">
        <v>6678643821744</v>
      </c>
      <c r="T228" s="95">
        <v>484753240291.46997</v>
      </c>
      <c r="U228" s="95">
        <f>+S226-T226</f>
        <v>6193890581452.5303</v>
      </c>
      <c r="V228" s="96">
        <f>+V226</f>
        <v>7.2582586110257044E-2</v>
      </c>
      <c r="W228" s="95">
        <v>34609598861.480003</v>
      </c>
      <c r="X228" s="95">
        <f>+T228-W228</f>
        <v>450143641429.98999</v>
      </c>
      <c r="Y228" s="96">
        <f>+Y226</f>
        <v>0.92860367711896008</v>
      </c>
      <c r="Z228" s="95">
        <v>33608829298.490002</v>
      </c>
      <c r="AA228" s="95">
        <f>+W228-Z228</f>
        <v>1000769562.9900017</v>
      </c>
      <c r="AB228" s="96">
        <f>+AB226</f>
        <v>6.9331830104491621E-2</v>
      </c>
    </row>
    <row r="229" spans="1:28" s="8" customFormat="1" ht="16.5">
      <c r="A229" s="32"/>
      <c r="B229" s="32"/>
      <c r="C229" s="94"/>
      <c r="D229" s="93"/>
      <c r="E229" s="93"/>
      <c r="F229" s="93"/>
      <c r="G229" s="93"/>
      <c r="H229" s="93"/>
      <c r="I229" s="93"/>
      <c r="J229" s="93"/>
      <c r="K229" s="94"/>
      <c r="L229" s="97"/>
      <c r="M229" s="98">
        <f t="shared" ref="M229" si="271">+M226-M228</f>
        <v>0</v>
      </c>
      <c r="N229" s="98">
        <f>+N226-N228</f>
        <v>0</v>
      </c>
      <c r="O229" s="98">
        <f>+O226-O228</f>
        <v>0</v>
      </c>
      <c r="P229" s="98">
        <f t="shared" ref="P229:W229" si="272">+P226-P228</f>
        <v>0</v>
      </c>
      <c r="Q229" s="98">
        <f t="shared" si="272"/>
        <v>0</v>
      </c>
      <c r="R229" s="98">
        <f t="shared" si="272"/>
        <v>0</v>
      </c>
      <c r="S229" s="98">
        <f t="shared" si="272"/>
        <v>0</v>
      </c>
      <c r="T229" s="98">
        <f t="shared" si="272"/>
        <v>0</v>
      </c>
      <c r="U229" s="98">
        <f t="shared" si="272"/>
        <v>0</v>
      </c>
      <c r="V229" s="98"/>
      <c r="W229" s="98">
        <f t="shared" si="272"/>
        <v>0</v>
      </c>
      <c r="X229" s="98">
        <f>+X226-X228</f>
        <v>0</v>
      </c>
      <c r="Y229" s="98"/>
      <c r="Z229" s="98">
        <f>+Z226-Z228</f>
        <v>0</v>
      </c>
      <c r="AA229" s="98">
        <f>+AA226-AA228</f>
        <v>-1.9073486328125E-6</v>
      </c>
      <c r="AB229" s="98"/>
    </row>
    <row r="230" spans="1:28" s="108" customFormat="1" ht="16.5">
      <c r="A230" s="99"/>
      <c r="B230" s="100"/>
      <c r="C230" s="101"/>
      <c r="D230" s="102"/>
      <c r="E230" s="102"/>
      <c r="F230" s="102"/>
      <c r="G230" s="102"/>
      <c r="H230" s="102"/>
      <c r="I230" s="102"/>
      <c r="J230" s="102"/>
      <c r="K230" s="101"/>
      <c r="L230" s="103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4"/>
      <c r="X230" s="104"/>
      <c r="Y230" s="105"/>
      <c r="Z230" s="104"/>
      <c r="AA230" s="104"/>
      <c r="AB230" s="106"/>
    </row>
    <row r="231" spans="1:28" ht="18">
      <c r="A231" s="30"/>
      <c r="B231" s="31"/>
      <c r="C231" s="312"/>
      <c r="D231" s="317"/>
      <c r="E231" s="312"/>
      <c r="F231" s="312"/>
      <c r="G231" s="312"/>
      <c r="H231" s="312"/>
      <c r="I231" s="312"/>
      <c r="J231" s="312"/>
      <c r="K231" s="317"/>
      <c r="L231" s="312"/>
      <c r="M231" s="335"/>
      <c r="N231" s="364"/>
      <c r="O231" s="332"/>
      <c r="P231" s="332"/>
      <c r="Q231" s="329"/>
      <c r="R231" s="633"/>
      <c r="S231" s="359"/>
      <c r="T231" s="332"/>
      <c r="U231" s="332"/>
      <c r="V231" s="333"/>
      <c r="W231" s="332"/>
      <c r="X231" s="332"/>
      <c r="Y231" s="333"/>
      <c r="Z231" s="332"/>
      <c r="AA231" s="332"/>
      <c r="AB231" s="333"/>
    </row>
    <row r="232" spans="1:28" ht="18">
      <c r="A232" s="30"/>
      <c r="B232" s="31"/>
      <c r="C232" s="312"/>
      <c r="D232" s="317"/>
      <c r="E232" s="312"/>
      <c r="F232" s="312"/>
      <c r="G232" s="312"/>
      <c r="H232" s="312"/>
      <c r="I232" s="312"/>
      <c r="J232" s="312"/>
      <c r="K232" s="317"/>
      <c r="L232" s="312"/>
      <c r="M232" s="332"/>
      <c r="N232" s="632"/>
      <c r="O232" s="332"/>
      <c r="P232" s="359"/>
      <c r="Q232" s="633"/>
      <c r="R232" s="633"/>
      <c r="S232" s="332"/>
      <c r="T232" s="332"/>
      <c r="U232" s="332"/>
      <c r="V232" s="333"/>
      <c r="W232" s="332"/>
      <c r="X232" s="332"/>
      <c r="Y232" s="333"/>
      <c r="Z232" s="332"/>
      <c r="AA232" s="332"/>
      <c r="AB232" s="333"/>
    </row>
    <row r="233" spans="1:28" ht="18">
      <c r="A233" s="1"/>
      <c r="B233" s="2"/>
      <c r="C233" s="312"/>
      <c r="D233" s="312"/>
      <c r="E233" s="312"/>
      <c r="F233" s="312"/>
      <c r="G233" s="312"/>
      <c r="H233" s="312"/>
      <c r="I233" s="312"/>
      <c r="J233" s="312"/>
      <c r="K233" s="317"/>
      <c r="L233" s="312"/>
      <c r="M233" s="332"/>
      <c r="N233" s="632"/>
      <c r="O233" s="332"/>
      <c r="P233" s="332"/>
      <c r="Q233" s="332"/>
      <c r="R233" s="332"/>
      <c r="S233" s="332"/>
      <c r="T233" s="332"/>
      <c r="U233" s="332"/>
      <c r="V233" s="333"/>
      <c r="W233" s="332"/>
      <c r="X233" s="631"/>
      <c r="Y233" s="333"/>
      <c r="Z233" s="332"/>
      <c r="AA233" s="332"/>
      <c r="AB233" s="333"/>
    </row>
    <row r="234" spans="1:28" ht="30">
      <c r="A234" s="1"/>
      <c r="B234" s="2"/>
      <c r="C234" s="318"/>
      <c r="D234" s="318"/>
      <c r="E234" s="318"/>
      <c r="F234" s="318"/>
      <c r="G234" s="318"/>
      <c r="H234" s="318"/>
      <c r="I234" s="312"/>
      <c r="J234" s="312"/>
      <c r="K234" s="317"/>
      <c r="L234" s="336" t="s">
        <v>738</v>
      </c>
      <c r="M234" s="628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20"/>
      <c r="Z234" s="376"/>
      <c r="AA234" s="319"/>
      <c r="AB234" s="319"/>
    </row>
    <row r="235" spans="1:28" ht="30">
      <c r="A235" s="1"/>
      <c r="B235" s="2"/>
      <c r="C235" s="321"/>
      <c r="D235" s="322"/>
      <c r="E235" s="322"/>
      <c r="F235" s="322"/>
      <c r="G235" s="322"/>
      <c r="H235" s="322"/>
      <c r="I235" s="322"/>
      <c r="J235" s="322"/>
      <c r="K235" s="321"/>
      <c r="L235" s="337" t="s">
        <v>739</v>
      </c>
      <c r="M235" s="628"/>
      <c r="O235" s="323"/>
      <c r="P235" s="323"/>
      <c r="Q235" s="323"/>
      <c r="R235" s="323"/>
      <c r="S235" s="360"/>
      <c r="T235" s="323"/>
      <c r="U235" s="323"/>
      <c r="V235" s="323"/>
      <c r="W235" s="323"/>
      <c r="X235" s="323"/>
      <c r="Y235" s="324"/>
      <c r="Z235" s="323"/>
      <c r="AA235" s="323"/>
      <c r="AB235" s="323"/>
    </row>
    <row r="236" spans="1:28" ht="30">
      <c r="A236" s="325"/>
      <c r="B236" s="313"/>
      <c r="C236" s="308"/>
      <c r="D236" s="308"/>
      <c r="E236" s="308"/>
      <c r="F236" s="308"/>
      <c r="G236" s="308"/>
      <c r="H236" s="308"/>
      <c r="I236" s="308"/>
      <c r="J236" s="308"/>
      <c r="K236" s="336"/>
      <c r="L236" s="308"/>
      <c r="M236" s="628"/>
      <c r="O236" s="309"/>
      <c r="P236" s="746"/>
      <c r="Q236" s="630"/>
      <c r="R236" s="630"/>
      <c r="S236" s="334"/>
      <c r="T236" s="334"/>
      <c r="U236" s="629"/>
      <c r="V236" s="329"/>
      <c r="W236" s="329"/>
      <c r="X236" s="329"/>
      <c r="Y236" s="329"/>
    </row>
  </sheetData>
  <sheetProtection selectLockedCells="1" selectUnlockedCells="1"/>
  <autoFilter ref="A6:AB229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6D1A5-E7BB-4D8A-B532-8EF25DFCEEAD}">
  <sheetPr>
    <tabColor rgb="FFFFC000"/>
    <pageSetUpPr fitToPage="1"/>
  </sheetPr>
  <dimension ref="A1:AP237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30.4257812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9.85546875" style="9" hidden="1" customWidth="1" outlineLevel="1"/>
    <col min="9" max="9" width="5.28515625" style="9" hidden="1" customWidth="1" outlineLevel="1"/>
    <col min="10" max="10" width="5.140625" style="110" customWidth="1" collapsed="1"/>
    <col min="11" max="11" width="7.42578125" style="111" customWidth="1"/>
    <col min="12" max="12" width="75.85546875" style="9" customWidth="1"/>
    <col min="13" max="13" width="23.7109375" style="13" customWidth="1"/>
    <col min="14" max="14" width="22" style="13" customWidth="1"/>
    <col min="15" max="15" width="12.85546875" style="13" customWidth="1"/>
    <col min="16" max="16" width="23.7109375" style="13" bestFit="1" customWidth="1"/>
    <col min="17" max="17" width="12.5703125" style="13" customWidth="1"/>
    <col min="18" max="18" width="22" style="13" customWidth="1"/>
    <col min="19" max="19" width="12.7109375" style="13" customWidth="1"/>
    <col min="20" max="20" width="12.7109375" style="13" bestFit="1" customWidth="1"/>
    <col min="21" max="21" width="13.85546875" style="13" customWidth="1"/>
    <col min="22" max="16384" width="11.42578125" style="13"/>
  </cols>
  <sheetData>
    <row r="1" spans="1:19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6"/>
      <c r="N1" s="5">
        <v>13</v>
      </c>
      <c r="O1" s="7"/>
      <c r="P1" s="5">
        <v>14</v>
      </c>
      <c r="Q1" s="7"/>
      <c r="R1" s="5">
        <v>16</v>
      </c>
      <c r="S1" s="7"/>
    </row>
    <row r="2" spans="1:19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307" t="s">
        <v>0</v>
      </c>
      <c r="N2" s="307"/>
      <c r="O2" s="307"/>
      <c r="P2" s="307"/>
      <c r="Q2" s="307"/>
      <c r="R2" s="307"/>
      <c r="S2" s="307"/>
    </row>
    <row r="3" spans="1:19" ht="28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306" t="s">
        <v>821</v>
      </c>
      <c r="N3" s="306"/>
      <c r="O3" s="306"/>
      <c r="P3" s="306"/>
      <c r="Q3" s="306"/>
      <c r="R3" s="306"/>
      <c r="S3" s="306"/>
    </row>
    <row r="4" spans="1:19" ht="29.2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1"/>
      <c r="P4" s="20"/>
      <c r="Q4" s="21"/>
      <c r="R4" s="20"/>
      <c r="S4" s="21"/>
    </row>
    <row r="5" spans="1:19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29" t="s">
        <v>6</v>
      </c>
      <c r="N5" s="831" t="s">
        <v>7</v>
      </c>
      <c r="O5" s="832"/>
      <c r="P5" s="833" t="s">
        <v>8</v>
      </c>
      <c r="Q5" s="834"/>
      <c r="R5" s="831" t="s">
        <v>9</v>
      </c>
      <c r="S5" s="832"/>
    </row>
    <row r="6" spans="1:19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0" t="s">
        <v>6</v>
      </c>
      <c r="N6" s="23" t="s">
        <v>18</v>
      </c>
      <c r="O6" s="28" t="s">
        <v>19</v>
      </c>
      <c r="P6" s="23" t="s">
        <v>18</v>
      </c>
      <c r="Q6" s="29" t="s">
        <v>813</v>
      </c>
      <c r="R6" s="27" t="s">
        <v>18</v>
      </c>
      <c r="S6" s="29" t="s">
        <v>20</v>
      </c>
    </row>
    <row r="7" spans="1:19" ht="35.1" customHeight="1">
      <c r="A7" s="32" t="e">
        <v>#REF!</v>
      </c>
      <c r="B7" s="33" t="s">
        <v>23</v>
      </c>
      <c r="C7" s="34" t="s">
        <v>23</v>
      </c>
      <c r="D7" s="35"/>
      <c r="E7" s="35"/>
      <c r="F7" s="35"/>
      <c r="G7" s="35"/>
      <c r="H7" s="35"/>
      <c r="I7" s="35"/>
      <c r="J7" s="34"/>
      <c r="K7" s="35"/>
      <c r="L7" s="33" t="s">
        <v>24</v>
      </c>
      <c r="M7" s="36">
        <v>206532470214</v>
      </c>
      <c r="N7" s="36">
        <v>49806962904.389999</v>
      </c>
      <c r="O7" s="37">
        <f>+N7/$M7</f>
        <v>0.24115802640031458</v>
      </c>
      <c r="P7" s="36">
        <v>29808639867.719997</v>
      </c>
      <c r="Q7" s="37">
        <f>+P7/$M7</f>
        <v>0.14432907250290269</v>
      </c>
      <c r="R7" s="36">
        <v>29555892965.719997</v>
      </c>
      <c r="S7" s="37">
        <f>+R7/$M7</f>
        <v>0.14310530898650203</v>
      </c>
    </row>
    <row r="8" spans="1:19" ht="24" customHeight="1">
      <c r="A8" s="32" t="e">
        <v>#REF!</v>
      </c>
      <c r="B8" s="38" t="s">
        <v>303</v>
      </c>
      <c r="C8" s="39" t="s">
        <v>23</v>
      </c>
      <c r="D8" s="39" t="s">
        <v>25</v>
      </c>
      <c r="E8" s="39"/>
      <c r="F8" s="39"/>
      <c r="G8" s="39"/>
      <c r="H8" s="39"/>
      <c r="I8" s="39"/>
      <c r="J8" s="39"/>
      <c r="K8" s="40"/>
      <c r="L8" s="38" t="s">
        <v>26</v>
      </c>
      <c r="M8" s="41">
        <v>128915000000</v>
      </c>
      <c r="N8" s="41">
        <v>25321020876</v>
      </c>
      <c r="O8" s="42">
        <f t="shared" ref="O8:Q71" si="0">+N8/$M8</f>
        <v>0.19641640519722298</v>
      </c>
      <c r="P8" s="41">
        <v>22906957123</v>
      </c>
      <c r="Q8" s="42">
        <f t="shared" si="0"/>
        <v>0.17769039384865998</v>
      </c>
      <c r="R8" s="41">
        <v>22906957123</v>
      </c>
      <c r="S8" s="42">
        <f t="shared" ref="S8" si="1">+R8/$M8</f>
        <v>0.17769039384865998</v>
      </c>
    </row>
    <row r="9" spans="1:19" ht="24" customHeight="1">
      <c r="A9" s="32" t="e">
        <v>#REF!</v>
      </c>
      <c r="B9" s="43" t="s">
        <v>305</v>
      </c>
      <c r="C9" s="44" t="s">
        <v>23</v>
      </c>
      <c r="D9" s="44" t="s">
        <v>25</v>
      </c>
      <c r="E9" s="44" t="s">
        <v>25</v>
      </c>
      <c r="F9" s="44"/>
      <c r="G9" s="44"/>
      <c r="H9" s="44"/>
      <c r="I9" s="44"/>
      <c r="J9" s="44"/>
      <c r="K9" s="45"/>
      <c r="L9" s="43" t="s">
        <v>27</v>
      </c>
      <c r="M9" s="46">
        <v>128915000000</v>
      </c>
      <c r="N9" s="46">
        <v>25321020876</v>
      </c>
      <c r="O9" s="47">
        <f t="shared" si="0"/>
        <v>0.19641640519722298</v>
      </c>
      <c r="P9" s="46">
        <v>22906957123</v>
      </c>
      <c r="Q9" s="47">
        <f t="shared" si="0"/>
        <v>0.17769039384865998</v>
      </c>
      <c r="R9" s="46">
        <v>22906957123</v>
      </c>
      <c r="S9" s="47">
        <f t="shared" ref="S9" si="2">+R9/$M9</f>
        <v>0.17769039384865998</v>
      </c>
    </row>
    <row r="10" spans="1:19" ht="24" customHeight="1">
      <c r="A10" s="32" t="e">
        <v>#REF!</v>
      </c>
      <c r="B10" s="48" t="s">
        <v>307</v>
      </c>
      <c r="C10" s="48" t="s">
        <v>23</v>
      </c>
      <c r="D10" s="48" t="s">
        <v>25</v>
      </c>
      <c r="E10" s="48" t="s">
        <v>25</v>
      </c>
      <c r="F10" s="48" t="s">
        <v>25</v>
      </c>
      <c r="G10" s="48"/>
      <c r="H10" s="48"/>
      <c r="I10" s="48"/>
      <c r="J10" s="49" t="s">
        <v>28</v>
      </c>
      <c r="K10" s="48" t="s">
        <v>29</v>
      </c>
      <c r="L10" s="48" t="s">
        <v>30</v>
      </c>
      <c r="M10" s="50">
        <v>87725000000</v>
      </c>
      <c r="N10" s="50">
        <v>15348359832</v>
      </c>
      <c r="O10" s="51">
        <f t="shared" si="0"/>
        <v>0.17495992968937019</v>
      </c>
      <c r="P10" s="50">
        <v>15347527800</v>
      </c>
      <c r="Q10" s="51">
        <f t="shared" si="0"/>
        <v>0.17495044514106584</v>
      </c>
      <c r="R10" s="50">
        <v>15347527800</v>
      </c>
      <c r="S10" s="51">
        <f t="shared" ref="S10" si="3">+R10/$M10</f>
        <v>0.17495044514106584</v>
      </c>
    </row>
    <row r="11" spans="1:19" ht="25.5" customHeight="1">
      <c r="A11" s="32" t="e">
        <v>#REF!</v>
      </c>
      <c r="B11" s="52" t="s">
        <v>309</v>
      </c>
      <c r="C11" s="52" t="s">
        <v>23</v>
      </c>
      <c r="D11" s="52" t="s">
        <v>25</v>
      </c>
      <c r="E11" s="52" t="s">
        <v>25</v>
      </c>
      <c r="F11" s="52" t="s">
        <v>25</v>
      </c>
      <c r="G11" s="52" t="s">
        <v>31</v>
      </c>
      <c r="H11" s="52"/>
      <c r="I11" s="52"/>
      <c r="J11" s="53" t="s">
        <v>28</v>
      </c>
      <c r="K11" s="52" t="s">
        <v>29</v>
      </c>
      <c r="L11" s="52" t="s">
        <v>32</v>
      </c>
      <c r="M11" s="54">
        <v>87725000000</v>
      </c>
      <c r="N11" s="54">
        <v>15348359832</v>
      </c>
      <c r="O11" s="55">
        <f t="shared" si="0"/>
        <v>0.17495992968937019</v>
      </c>
      <c r="P11" s="54">
        <v>15347527800</v>
      </c>
      <c r="Q11" s="55">
        <f t="shared" si="0"/>
        <v>0.17495044514106584</v>
      </c>
      <c r="R11" s="54">
        <v>15347527800</v>
      </c>
      <c r="S11" s="55">
        <f t="shared" ref="S11" si="4">+R11/$M11</f>
        <v>0.17495044514106584</v>
      </c>
    </row>
    <row r="12" spans="1:19" ht="24.95" customHeight="1">
      <c r="A12" s="32" t="e">
        <v>#REF!</v>
      </c>
      <c r="B12" s="56" t="s">
        <v>311</v>
      </c>
      <c r="C12" s="57" t="s">
        <v>23</v>
      </c>
      <c r="D12" s="57" t="s">
        <v>25</v>
      </c>
      <c r="E12" s="57" t="s">
        <v>25</v>
      </c>
      <c r="F12" s="57" t="s">
        <v>25</v>
      </c>
      <c r="G12" s="57" t="s">
        <v>31</v>
      </c>
      <c r="H12" s="57" t="s">
        <v>31</v>
      </c>
      <c r="I12" s="57"/>
      <c r="J12" s="57" t="s">
        <v>28</v>
      </c>
      <c r="K12" s="58" t="s">
        <v>29</v>
      </c>
      <c r="L12" s="59" t="s">
        <v>33</v>
      </c>
      <c r="M12" s="60">
        <v>71741000000</v>
      </c>
      <c r="N12" s="60">
        <v>13994864078</v>
      </c>
      <c r="O12" s="62">
        <f t="shared" si="0"/>
        <v>0.19507483974296427</v>
      </c>
      <c r="P12" s="60">
        <v>13994032046</v>
      </c>
      <c r="Q12" s="62">
        <f t="shared" si="0"/>
        <v>0.1950632420233897</v>
      </c>
      <c r="R12" s="60">
        <v>13994032046</v>
      </c>
      <c r="S12" s="62">
        <f t="shared" ref="S12" si="5">+R12/$M12</f>
        <v>0.1950632420233897</v>
      </c>
    </row>
    <row r="13" spans="1:19" ht="24.95" customHeight="1">
      <c r="A13" s="32" t="e">
        <v>#REF!</v>
      </c>
      <c r="B13" s="56" t="s">
        <v>313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34</v>
      </c>
      <c r="I13" s="57"/>
      <c r="J13" s="57" t="s">
        <v>28</v>
      </c>
      <c r="K13" s="58" t="s">
        <v>29</v>
      </c>
      <c r="L13" s="59" t="s">
        <v>35</v>
      </c>
      <c r="M13" s="60">
        <v>360000000</v>
      </c>
      <c r="N13" s="60">
        <v>68376977</v>
      </c>
      <c r="O13" s="62">
        <f t="shared" si="0"/>
        <v>0.18993604722222221</v>
      </c>
      <c r="P13" s="60">
        <v>68376977</v>
      </c>
      <c r="Q13" s="62">
        <f t="shared" si="0"/>
        <v>0.18993604722222221</v>
      </c>
      <c r="R13" s="60">
        <v>68376977</v>
      </c>
      <c r="S13" s="62">
        <f t="shared" ref="S13" si="6">+R13/$M13</f>
        <v>0.18993604722222221</v>
      </c>
    </row>
    <row r="14" spans="1:19" ht="24.95" customHeight="1">
      <c r="A14" s="32" t="e">
        <v>#REF!</v>
      </c>
      <c r="B14" s="56" t="s">
        <v>315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36</v>
      </c>
      <c r="I14" s="57"/>
      <c r="J14" s="57" t="s">
        <v>28</v>
      </c>
      <c r="K14" s="58" t="s">
        <v>29</v>
      </c>
      <c r="L14" s="59" t="s">
        <v>37</v>
      </c>
      <c r="M14" s="60">
        <v>840000000</v>
      </c>
      <c r="N14" s="60">
        <v>216379908</v>
      </c>
      <c r="O14" s="62">
        <f t="shared" si="0"/>
        <v>0.25759512857142858</v>
      </c>
      <c r="P14" s="60">
        <v>216379908</v>
      </c>
      <c r="Q14" s="62">
        <f t="shared" si="0"/>
        <v>0.25759512857142858</v>
      </c>
      <c r="R14" s="60">
        <v>216379908</v>
      </c>
      <c r="S14" s="62">
        <f t="shared" ref="S14" si="7">+R14/$M14</f>
        <v>0.25759512857142858</v>
      </c>
    </row>
    <row r="15" spans="1:19" ht="24.95" customHeight="1">
      <c r="A15" s="32" t="e">
        <v>#REF!</v>
      </c>
      <c r="B15" s="56" t="s">
        <v>317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38</v>
      </c>
      <c r="I15" s="57"/>
      <c r="J15" s="57" t="s">
        <v>28</v>
      </c>
      <c r="K15" s="58" t="s">
        <v>29</v>
      </c>
      <c r="L15" s="59" t="s">
        <v>39</v>
      </c>
      <c r="M15" s="60">
        <v>180000000</v>
      </c>
      <c r="N15" s="60">
        <v>19849888</v>
      </c>
      <c r="O15" s="62">
        <f t="shared" si="0"/>
        <v>0.11027715555555556</v>
      </c>
      <c r="P15" s="60">
        <v>19849888</v>
      </c>
      <c r="Q15" s="62">
        <f t="shared" si="0"/>
        <v>0.11027715555555556</v>
      </c>
      <c r="R15" s="60">
        <v>19849888</v>
      </c>
      <c r="S15" s="62">
        <f t="shared" ref="S15" si="8">+R15/$M15</f>
        <v>0.11027715555555556</v>
      </c>
    </row>
    <row r="16" spans="1:19" ht="24.95" customHeight="1">
      <c r="A16" s="32" t="e">
        <v>#REF!</v>
      </c>
      <c r="B16" s="56" t="s">
        <v>319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40</v>
      </c>
      <c r="I16" s="57"/>
      <c r="J16" s="57" t="s">
        <v>28</v>
      </c>
      <c r="K16" s="58" t="s">
        <v>29</v>
      </c>
      <c r="L16" s="59" t="s">
        <v>41</v>
      </c>
      <c r="M16" s="60">
        <v>204000000</v>
      </c>
      <c r="N16" s="60">
        <v>53251975</v>
      </c>
      <c r="O16" s="62">
        <f t="shared" si="0"/>
        <v>0.26103909313725493</v>
      </c>
      <c r="P16" s="60">
        <v>53251975</v>
      </c>
      <c r="Q16" s="62">
        <f t="shared" si="0"/>
        <v>0.26103909313725493</v>
      </c>
      <c r="R16" s="60">
        <v>53251975</v>
      </c>
      <c r="S16" s="62">
        <f t="shared" ref="S16" si="9">+R16/$M16</f>
        <v>0.26103909313725493</v>
      </c>
    </row>
    <row r="17" spans="1:19" ht="24.95" customHeight="1">
      <c r="A17" s="32" t="e">
        <v>#REF!</v>
      </c>
      <c r="B17" s="56" t="s">
        <v>321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42</v>
      </c>
      <c r="I17" s="57"/>
      <c r="J17" s="57" t="s">
        <v>28</v>
      </c>
      <c r="K17" s="58" t="s">
        <v>29</v>
      </c>
      <c r="L17" s="59" t="s">
        <v>43</v>
      </c>
      <c r="M17" s="60">
        <v>3000000000</v>
      </c>
      <c r="N17" s="60">
        <v>34779802</v>
      </c>
      <c r="O17" s="62">
        <f t="shared" si="0"/>
        <v>1.1593267333333334E-2</v>
      </c>
      <c r="P17" s="60">
        <v>34779802</v>
      </c>
      <c r="Q17" s="62">
        <f t="shared" si="0"/>
        <v>1.1593267333333334E-2</v>
      </c>
      <c r="R17" s="60">
        <v>34779802</v>
      </c>
      <c r="S17" s="62">
        <f t="shared" ref="S17" si="10">+R17/$M17</f>
        <v>1.1593267333333334E-2</v>
      </c>
    </row>
    <row r="18" spans="1:19" ht="24.95" customHeight="1">
      <c r="A18" s="32" t="e">
        <v>#REF!</v>
      </c>
      <c r="B18" s="56" t="s">
        <v>323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44</v>
      </c>
      <c r="I18" s="57"/>
      <c r="J18" s="57" t="s">
        <v>28</v>
      </c>
      <c r="K18" s="58" t="s">
        <v>29</v>
      </c>
      <c r="L18" s="59" t="s">
        <v>45</v>
      </c>
      <c r="M18" s="60">
        <v>2000000000</v>
      </c>
      <c r="N18" s="60">
        <v>485248871</v>
      </c>
      <c r="O18" s="62">
        <f t="shared" si="0"/>
        <v>0.24262443550000001</v>
      </c>
      <c r="P18" s="60">
        <v>485248871</v>
      </c>
      <c r="Q18" s="62">
        <f t="shared" si="0"/>
        <v>0.24262443550000001</v>
      </c>
      <c r="R18" s="60">
        <v>485248871</v>
      </c>
      <c r="S18" s="62">
        <f t="shared" ref="S18" si="11">+R18/$M18</f>
        <v>0.24262443550000001</v>
      </c>
    </row>
    <row r="19" spans="1:19" ht="24.95" customHeight="1">
      <c r="A19" s="32" t="e">
        <v>#REF!</v>
      </c>
      <c r="B19" s="56" t="s">
        <v>325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46</v>
      </c>
      <c r="I19" s="57"/>
      <c r="J19" s="57" t="s">
        <v>28</v>
      </c>
      <c r="K19" s="58" t="s">
        <v>29</v>
      </c>
      <c r="L19" s="59" t="s">
        <v>47</v>
      </c>
      <c r="M19" s="60">
        <v>200000000</v>
      </c>
      <c r="N19" s="60">
        <v>27624712</v>
      </c>
      <c r="O19" s="62">
        <f t="shared" si="0"/>
        <v>0.13812356000000001</v>
      </c>
      <c r="P19" s="60">
        <v>27624712</v>
      </c>
      <c r="Q19" s="62">
        <f t="shared" si="0"/>
        <v>0.13812356000000001</v>
      </c>
      <c r="R19" s="60">
        <v>27624712</v>
      </c>
      <c r="S19" s="62">
        <f t="shared" ref="S19" si="12">+R19/$M19</f>
        <v>0.13812356000000001</v>
      </c>
    </row>
    <row r="20" spans="1:19" ht="24.95" customHeight="1">
      <c r="A20" s="32" t="e">
        <v>#REF!</v>
      </c>
      <c r="B20" s="56" t="s">
        <v>327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48</v>
      </c>
      <c r="I20" s="57"/>
      <c r="J20" s="57" t="s">
        <v>28</v>
      </c>
      <c r="K20" s="58" t="s">
        <v>29</v>
      </c>
      <c r="L20" s="59" t="s">
        <v>49</v>
      </c>
      <c r="M20" s="60">
        <v>5900000000</v>
      </c>
      <c r="N20" s="60">
        <v>11816922</v>
      </c>
      <c r="O20" s="62">
        <f t="shared" si="0"/>
        <v>2.0028681355932203E-3</v>
      </c>
      <c r="P20" s="60">
        <v>11816922</v>
      </c>
      <c r="Q20" s="62">
        <f t="shared" si="0"/>
        <v>2.0028681355932203E-3</v>
      </c>
      <c r="R20" s="60">
        <v>11816922</v>
      </c>
      <c r="S20" s="62">
        <f t="shared" ref="S20" si="13">+R20/$M20</f>
        <v>2.0028681355932203E-3</v>
      </c>
    </row>
    <row r="21" spans="1:19" ht="24.95" customHeight="1">
      <c r="A21" s="32" t="e">
        <v>#REF!</v>
      </c>
      <c r="B21" s="56" t="s">
        <v>329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50</v>
      </c>
      <c r="I21" s="57"/>
      <c r="J21" s="57" t="s">
        <v>28</v>
      </c>
      <c r="K21" s="58" t="s">
        <v>29</v>
      </c>
      <c r="L21" s="59" t="s">
        <v>51</v>
      </c>
      <c r="M21" s="60">
        <v>3300000000</v>
      </c>
      <c r="N21" s="60">
        <v>436166699</v>
      </c>
      <c r="O21" s="62">
        <f t="shared" si="0"/>
        <v>0.13217172696969698</v>
      </c>
      <c r="P21" s="60">
        <v>436166699</v>
      </c>
      <c r="Q21" s="62">
        <f t="shared" si="0"/>
        <v>0.13217172696969698</v>
      </c>
      <c r="R21" s="60">
        <v>436166699</v>
      </c>
      <c r="S21" s="62">
        <f t="shared" ref="S21" si="14">+R21/$M21</f>
        <v>0.13217172696969698</v>
      </c>
    </row>
    <row r="22" spans="1:19" ht="24" customHeight="1">
      <c r="A22" s="32" t="e">
        <v>#REF!</v>
      </c>
      <c r="B22" s="48" t="s">
        <v>331</v>
      </c>
      <c r="C22" s="48" t="s">
        <v>23</v>
      </c>
      <c r="D22" s="48" t="s">
        <v>25</v>
      </c>
      <c r="E22" s="48" t="s">
        <v>25</v>
      </c>
      <c r="F22" s="48" t="s">
        <v>54</v>
      </c>
      <c r="G22" s="48"/>
      <c r="H22" s="48"/>
      <c r="I22" s="48"/>
      <c r="J22" s="49" t="s">
        <v>28</v>
      </c>
      <c r="K22" s="48" t="s">
        <v>29</v>
      </c>
      <c r="L22" s="48" t="s">
        <v>55</v>
      </c>
      <c r="M22" s="50">
        <v>32057000000</v>
      </c>
      <c r="N22" s="50">
        <v>8619501000</v>
      </c>
      <c r="O22" s="51">
        <f t="shared" si="0"/>
        <v>0.26888046292541412</v>
      </c>
      <c r="P22" s="50">
        <v>6206529047</v>
      </c>
      <c r="Q22" s="51">
        <f t="shared" si="0"/>
        <v>0.19360916639111583</v>
      </c>
      <c r="R22" s="50">
        <v>6206529047</v>
      </c>
      <c r="S22" s="51">
        <f t="shared" ref="S22" si="15">+R22/$M22</f>
        <v>0.19360916639111583</v>
      </c>
    </row>
    <row r="23" spans="1:19" ht="24.95" customHeight="1">
      <c r="A23" s="32" t="e">
        <v>#REF!</v>
      </c>
      <c r="B23" s="56" t="s">
        <v>333</v>
      </c>
      <c r="C23" s="57" t="s">
        <v>23</v>
      </c>
      <c r="D23" s="57" t="s">
        <v>25</v>
      </c>
      <c r="E23" s="57" t="s">
        <v>25</v>
      </c>
      <c r="F23" s="57" t="s">
        <v>54</v>
      </c>
      <c r="G23" s="57" t="s">
        <v>31</v>
      </c>
      <c r="H23" s="57"/>
      <c r="I23" s="57"/>
      <c r="J23" s="57" t="s">
        <v>28</v>
      </c>
      <c r="K23" s="58" t="s">
        <v>29</v>
      </c>
      <c r="L23" s="59" t="s">
        <v>56</v>
      </c>
      <c r="M23" s="60">
        <v>10048180000</v>
      </c>
      <c r="N23" s="60">
        <v>1904404700</v>
      </c>
      <c r="O23" s="62">
        <f t="shared" si="0"/>
        <v>0.18952732733689087</v>
      </c>
      <c r="P23" s="60">
        <v>1904404700</v>
      </c>
      <c r="Q23" s="62">
        <f t="shared" si="0"/>
        <v>0.18952732733689087</v>
      </c>
      <c r="R23" s="60">
        <v>1904404700</v>
      </c>
      <c r="S23" s="62">
        <f t="shared" ref="S23" si="16">+R23/$M23</f>
        <v>0.18952732733689087</v>
      </c>
    </row>
    <row r="24" spans="1:19" ht="24.95" customHeight="1">
      <c r="A24" s="32" t="e">
        <v>#REF!</v>
      </c>
      <c r="B24" s="56" t="s">
        <v>335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34</v>
      </c>
      <c r="H24" s="57"/>
      <c r="I24" s="57"/>
      <c r="J24" s="57" t="s">
        <v>28</v>
      </c>
      <c r="K24" s="58" t="s">
        <v>29</v>
      </c>
      <c r="L24" s="59" t="s">
        <v>57</v>
      </c>
      <c r="M24" s="60">
        <v>7117460000</v>
      </c>
      <c r="N24" s="60">
        <v>1357606800</v>
      </c>
      <c r="O24" s="62">
        <f t="shared" si="0"/>
        <v>0.19074315837391428</v>
      </c>
      <c r="P24" s="60">
        <v>1357606800</v>
      </c>
      <c r="Q24" s="62">
        <f t="shared" si="0"/>
        <v>0.19074315837391428</v>
      </c>
      <c r="R24" s="60">
        <v>1357606800</v>
      </c>
      <c r="S24" s="62">
        <f t="shared" ref="S24" si="17">+R24/$M24</f>
        <v>0.19074315837391428</v>
      </c>
    </row>
    <row r="25" spans="1:19" ht="24.95" customHeight="1">
      <c r="A25" s="32" t="e">
        <v>#REF!</v>
      </c>
      <c r="B25" s="56" t="s">
        <v>337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36</v>
      </c>
      <c r="H25" s="57"/>
      <c r="I25" s="57"/>
      <c r="J25" s="57" t="s">
        <v>28</v>
      </c>
      <c r="K25" s="58" t="s">
        <v>29</v>
      </c>
      <c r="L25" s="59" t="s">
        <v>58</v>
      </c>
      <c r="M25" s="60">
        <v>5734390000</v>
      </c>
      <c r="N25" s="60">
        <v>3769390000</v>
      </c>
      <c r="O25" s="62">
        <f t="shared" si="0"/>
        <v>0.65733059662841209</v>
      </c>
      <c r="P25" s="60">
        <v>1356418047</v>
      </c>
      <c r="Q25" s="62">
        <f t="shared" si="0"/>
        <v>0.23654094803457734</v>
      </c>
      <c r="R25" s="60">
        <v>1356418047</v>
      </c>
      <c r="S25" s="62">
        <f t="shared" ref="S25" si="18">+R25/$M25</f>
        <v>0.23654094803457734</v>
      </c>
    </row>
    <row r="26" spans="1:19" ht="24.95" customHeight="1">
      <c r="A26" s="32" t="e">
        <v>#REF!</v>
      </c>
      <c r="B26" s="56" t="s">
        <v>339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38</v>
      </c>
      <c r="H26" s="57"/>
      <c r="I26" s="57"/>
      <c r="J26" s="57" t="s">
        <v>28</v>
      </c>
      <c r="K26" s="58" t="s">
        <v>29</v>
      </c>
      <c r="L26" s="59" t="s">
        <v>59</v>
      </c>
      <c r="M26" s="60">
        <v>3803090000</v>
      </c>
      <c r="N26" s="60">
        <v>640532600</v>
      </c>
      <c r="O26" s="62">
        <f t="shared" si="0"/>
        <v>0.16842425501368624</v>
      </c>
      <c r="P26" s="60">
        <v>640532600</v>
      </c>
      <c r="Q26" s="62">
        <f t="shared" si="0"/>
        <v>0.16842425501368624</v>
      </c>
      <c r="R26" s="60">
        <v>640532600</v>
      </c>
      <c r="S26" s="62">
        <f t="shared" ref="S26" si="19">+R26/$M26</f>
        <v>0.16842425501368624</v>
      </c>
    </row>
    <row r="27" spans="1:19" ht="24.95" customHeight="1">
      <c r="A27" s="32" t="e">
        <v>#REF!</v>
      </c>
      <c r="B27" s="56" t="s">
        <v>341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40</v>
      </c>
      <c r="H27" s="57"/>
      <c r="I27" s="57"/>
      <c r="J27" s="57" t="s">
        <v>28</v>
      </c>
      <c r="K27" s="58" t="s">
        <v>29</v>
      </c>
      <c r="L27" s="59" t="s">
        <v>60</v>
      </c>
      <c r="M27" s="60">
        <v>600000000</v>
      </c>
      <c r="N27" s="60">
        <v>146527100</v>
      </c>
      <c r="O27" s="62">
        <f t="shared" si="0"/>
        <v>0.24421183333333332</v>
      </c>
      <c r="P27" s="60">
        <v>146527100</v>
      </c>
      <c r="Q27" s="62">
        <f t="shared" si="0"/>
        <v>0.24421183333333332</v>
      </c>
      <c r="R27" s="60">
        <v>146527100</v>
      </c>
      <c r="S27" s="62">
        <f t="shared" ref="S27" si="20">+R27/$M27</f>
        <v>0.24421183333333332</v>
      </c>
    </row>
    <row r="28" spans="1:19" ht="24.95" customHeight="1">
      <c r="A28" s="32" t="e">
        <v>#REF!</v>
      </c>
      <c r="B28" s="56" t="s">
        <v>343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42</v>
      </c>
      <c r="H28" s="57"/>
      <c r="I28" s="57"/>
      <c r="J28" s="57" t="s">
        <v>28</v>
      </c>
      <c r="K28" s="58" t="s">
        <v>29</v>
      </c>
      <c r="L28" s="59" t="s">
        <v>61</v>
      </c>
      <c r="M28" s="60">
        <v>2852320000</v>
      </c>
      <c r="N28" s="60">
        <v>480422600</v>
      </c>
      <c r="O28" s="62">
        <f t="shared" si="0"/>
        <v>0.16843222359342569</v>
      </c>
      <c r="P28" s="60">
        <v>480422600</v>
      </c>
      <c r="Q28" s="62">
        <f t="shared" si="0"/>
        <v>0.16843222359342569</v>
      </c>
      <c r="R28" s="60">
        <v>480422600</v>
      </c>
      <c r="S28" s="62">
        <f t="shared" ref="S28" si="21">+R28/$M28</f>
        <v>0.16843222359342569</v>
      </c>
    </row>
    <row r="29" spans="1:19" ht="24.95" customHeight="1">
      <c r="A29" s="32" t="e">
        <v>#REF!</v>
      </c>
      <c r="B29" s="56" t="s">
        <v>345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44</v>
      </c>
      <c r="H29" s="57"/>
      <c r="I29" s="57"/>
      <c r="J29" s="57" t="s">
        <v>28</v>
      </c>
      <c r="K29" s="58" t="s">
        <v>29</v>
      </c>
      <c r="L29" s="59" t="s">
        <v>62</v>
      </c>
      <c r="M29" s="60">
        <v>475390000</v>
      </c>
      <c r="N29" s="60">
        <v>80186300</v>
      </c>
      <c r="O29" s="62">
        <f t="shared" si="0"/>
        <v>0.16867477229222322</v>
      </c>
      <c r="P29" s="60">
        <v>80186300</v>
      </c>
      <c r="Q29" s="62">
        <f t="shared" si="0"/>
        <v>0.16867477229222322</v>
      </c>
      <c r="R29" s="60">
        <v>80186300</v>
      </c>
      <c r="S29" s="62">
        <f t="shared" ref="S29" si="22">+R29/$M29</f>
        <v>0.16867477229222322</v>
      </c>
    </row>
    <row r="30" spans="1:19" ht="24.95" customHeight="1">
      <c r="A30" s="32" t="e">
        <v>#REF!</v>
      </c>
      <c r="B30" s="56" t="s">
        <v>347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46</v>
      </c>
      <c r="H30" s="57"/>
      <c r="I30" s="57"/>
      <c r="J30" s="57" t="s">
        <v>28</v>
      </c>
      <c r="K30" s="58" t="s">
        <v>29</v>
      </c>
      <c r="L30" s="59" t="s">
        <v>63</v>
      </c>
      <c r="M30" s="60">
        <v>475390000</v>
      </c>
      <c r="N30" s="60">
        <v>80186300</v>
      </c>
      <c r="O30" s="62">
        <f t="shared" si="0"/>
        <v>0.16867477229222322</v>
      </c>
      <c r="P30" s="60">
        <v>80186300</v>
      </c>
      <c r="Q30" s="62">
        <f t="shared" si="0"/>
        <v>0.16867477229222322</v>
      </c>
      <c r="R30" s="60">
        <v>80186300</v>
      </c>
      <c r="S30" s="62">
        <f t="shared" ref="S30" si="23">+R30/$M30</f>
        <v>0.16867477229222322</v>
      </c>
    </row>
    <row r="31" spans="1:19" ht="24.95" customHeight="1">
      <c r="A31" s="32" t="e">
        <v>#REF!</v>
      </c>
      <c r="B31" s="56" t="s">
        <v>349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48</v>
      </c>
      <c r="H31" s="57"/>
      <c r="I31" s="57"/>
      <c r="J31" s="57" t="s">
        <v>28</v>
      </c>
      <c r="K31" s="58" t="s">
        <v>29</v>
      </c>
      <c r="L31" s="59" t="s">
        <v>64</v>
      </c>
      <c r="M31" s="60">
        <v>950780000</v>
      </c>
      <c r="N31" s="60">
        <v>160244600</v>
      </c>
      <c r="O31" s="62">
        <f t="shared" si="0"/>
        <v>0.16854014598540146</v>
      </c>
      <c r="P31" s="60">
        <v>160244600</v>
      </c>
      <c r="Q31" s="62">
        <f t="shared" si="0"/>
        <v>0.16854014598540146</v>
      </c>
      <c r="R31" s="60">
        <v>160244600</v>
      </c>
      <c r="S31" s="62">
        <f t="shared" ref="S31" si="24">+R31/$M31</f>
        <v>0.16854014598540146</v>
      </c>
    </row>
    <row r="32" spans="1:19" ht="24" customHeight="1">
      <c r="A32" s="32" t="e">
        <v>#REF!</v>
      </c>
      <c r="B32" s="48" t="s">
        <v>351</v>
      </c>
      <c r="C32" s="48" t="s">
        <v>23</v>
      </c>
      <c r="D32" s="48" t="s">
        <v>25</v>
      </c>
      <c r="E32" s="48" t="s">
        <v>25</v>
      </c>
      <c r="F32" s="48" t="s">
        <v>65</v>
      </c>
      <c r="G32" s="48"/>
      <c r="H32" s="48"/>
      <c r="I32" s="48"/>
      <c r="J32" s="49" t="s">
        <v>28</v>
      </c>
      <c r="K32" s="48" t="s">
        <v>29</v>
      </c>
      <c r="L32" s="48" t="s">
        <v>66</v>
      </c>
      <c r="M32" s="50">
        <v>9133000000</v>
      </c>
      <c r="N32" s="50">
        <v>1353160044</v>
      </c>
      <c r="O32" s="51">
        <f t="shared" si="0"/>
        <v>0.14816161655534874</v>
      </c>
      <c r="P32" s="50">
        <v>1352900276</v>
      </c>
      <c r="Q32" s="51">
        <f t="shared" si="0"/>
        <v>0.14813317376546589</v>
      </c>
      <c r="R32" s="50">
        <v>1352900276</v>
      </c>
      <c r="S32" s="51">
        <f t="shared" ref="S32" si="25">+R32/$M32</f>
        <v>0.14813317376546589</v>
      </c>
    </row>
    <row r="33" spans="1:19" ht="24" customHeight="1">
      <c r="A33" s="32" t="e">
        <v>#REF!</v>
      </c>
      <c r="B33" s="52" t="s">
        <v>353</v>
      </c>
      <c r="C33" s="52" t="s">
        <v>23</v>
      </c>
      <c r="D33" s="52" t="s">
        <v>25</v>
      </c>
      <c r="E33" s="52" t="s">
        <v>25</v>
      </c>
      <c r="F33" s="52" t="s">
        <v>65</v>
      </c>
      <c r="G33" s="52" t="s">
        <v>31</v>
      </c>
      <c r="H33" s="52"/>
      <c r="I33" s="52"/>
      <c r="J33" s="53" t="s">
        <v>28</v>
      </c>
      <c r="K33" s="52" t="s">
        <v>29</v>
      </c>
      <c r="L33" s="52" t="s">
        <v>67</v>
      </c>
      <c r="M33" s="54">
        <v>4840000000</v>
      </c>
      <c r="N33" s="54">
        <v>683050688</v>
      </c>
      <c r="O33" s="55">
        <f t="shared" si="0"/>
        <v>0.14112617520661158</v>
      </c>
      <c r="P33" s="54">
        <v>683050688</v>
      </c>
      <c r="Q33" s="55">
        <f t="shared" si="0"/>
        <v>0.14112617520661158</v>
      </c>
      <c r="R33" s="54">
        <v>683050688</v>
      </c>
      <c r="S33" s="55">
        <f t="shared" ref="S33" si="26">+R33/$M33</f>
        <v>0.14112617520661158</v>
      </c>
    </row>
    <row r="34" spans="1:19" ht="24.95" customHeight="1">
      <c r="A34" s="32" t="e">
        <v>#REF!</v>
      </c>
      <c r="B34" s="56" t="s">
        <v>355</v>
      </c>
      <c r="C34" s="57" t="s">
        <v>23</v>
      </c>
      <c r="D34" s="57" t="s">
        <v>25</v>
      </c>
      <c r="E34" s="57" t="s">
        <v>25</v>
      </c>
      <c r="F34" s="57" t="s">
        <v>65</v>
      </c>
      <c r="G34" s="57" t="s">
        <v>31</v>
      </c>
      <c r="H34" s="57" t="s">
        <v>31</v>
      </c>
      <c r="I34" s="57"/>
      <c r="J34" s="57" t="s">
        <v>28</v>
      </c>
      <c r="K34" s="58" t="s">
        <v>29</v>
      </c>
      <c r="L34" s="59" t="s">
        <v>68</v>
      </c>
      <c r="M34" s="60">
        <v>3560000000</v>
      </c>
      <c r="N34" s="60">
        <v>461215017</v>
      </c>
      <c r="O34" s="62">
        <f t="shared" si="0"/>
        <v>0.12955478005617976</v>
      </c>
      <c r="P34" s="60">
        <v>461215017</v>
      </c>
      <c r="Q34" s="62">
        <f t="shared" si="0"/>
        <v>0.12955478005617976</v>
      </c>
      <c r="R34" s="60">
        <v>461215017</v>
      </c>
      <c r="S34" s="62">
        <f t="shared" ref="S34" si="27">+R34/$M34</f>
        <v>0.12955478005617976</v>
      </c>
    </row>
    <row r="35" spans="1:19" ht="24.95" customHeight="1">
      <c r="A35" s="32" t="e">
        <v>#REF!</v>
      </c>
      <c r="B35" s="56" t="s">
        <v>357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34</v>
      </c>
      <c r="I35" s="57"/>
      <c r="J35" s="57" t="s">
        <v>28</v>
      </c>
      <c r="K35" s="58" t="s">
        <v>29</v>
      </c>
      <c r="L35" s="59" t="s">
        <v>69</v>
      </c>
      <c r="M35" s="60">
        <v>900000000</v>
      </c>
      <c r="N35" s="60">
        <v>168046633</v>
      </c>
      <c r="O35" s="62">
        <f t="shared" si="0"/>
        <v>0.18671848111111111</v>
      </c>
      <c r="P35" s="60">
        <v>168046633</v>
      </c>
      <c r="Q35" s="62">
        <f t="shared" si="0"/>
        <v>0.18671848111111111</v>
      </c>
      <c r="R35" s="60">
        <v>168046633</v>
      </c>
      <c r="S35" s="62">
        <f t="shared" ref="S35" si="28">+R35/$M35</f>
        <v>0.18671848111111111</v>
      </c>
    </row>
    <row r="36" spans="1:19" ht="24.95" customHeight="1">
      <c r="A36" s="32" t="e">
        <v>#REF!</v>
      </c>
      <c r="B36" s="56" t="s">
        <v>359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36</v>
      </c>
      <c r="I36" s="57"/>
      <c r="J36" s="57" t="s">
        <v>28</v>
      </c>
      <c r="K36" s="58" t="s">
        <v>29</v>
      </c>
      <c r="L36" s="59" t="s">
        <v>70</v>
      </c>
      <c r="M36" s="60">
        <v>380000000</v>
      </c>
      <c r="N36" s="60">
        <v>53789038</v>
      </c>
      <c r="O36" s="62">
        <f t="shared" si="0"/>
        <v>0.14155010000000001</v>
      </c>
      <c r="P36" s="60">
        <v>53789038</v>
      </c>
      <c r="Q36" s="62">
        <f t="shared" si="0"/>
        <v>0.14155010000000001</v>
      </c>
      <c r="R36" s="60">
        <v>53789038</v>
      </c>
      <c r="S36" s="62">
        <f t="shared" ref="S36" si="29">+R36/$M36</f>
        <v>0.14155010000000001</v>
      </c>
    </row>
    <row r="37" spans="1:19" ht="24.95" customHeight="1">
      <c r="A37" s="32" t="e">
        <v>#REF!</v>
      </c>
      <c r="B37" s="56" t="s">
        <v>361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34</v>
      </c>
      <c r="H37" s="57"/>
      <c r="I37" s="57"/>
      <c r="J37" s="57" t="s">
        <v>28</v>
      </c>
      <c r="K37" s="58" t="s">
        <v>29</v>
      </c>
      <c r="L37" s="59" t="s">
        <v>71</v>
      </c>
      <c r="M37" s="60">
        <v>2600000000</v>
      </c>
      <c r="N37" s="60">
        <v>406131878</v>
      </c>
      <c r="O37" s="62">
        <f t="shared" si="0"/>
        <v>0.15620456846153846</v>
      </c>
      <c r="P37" s="60">
        <v>406131878</v>
      </c>
      <c r="Q37" s="62">
        <f t="shared" si="0"/>
        <v>0.15620456846153846</v>
      </c>
      <c r="R37" s="60">
        <v>406131878</v>
      </c>
      <c r="S37" s="62">
        <f t="shared" ref="S37" si="30">+R37/$M37</f>
        <v>0.15620456846153846</v>
      </c>
    </row>
    <row r="38" spans="1:19" ht="24.95" customHeight="1">
      <c r="A38" s="32" t="e">
        <v>#REF!</v>
      </c>
      <c r="B38" s="56" t="s">
        <v>363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40</v>
      </c>
      <c r="H38" s="57"/>
      <c r="I38" s="57"/>
      <c r="J38" s="57" t="s">
        <v>28</v>
      </c>
      <c r="K38" s="58" t="s">
        <v>29</v>
      </c>
      <c r="L38" s="59" t="s">
        <v>72</v>
      </c>
      <c r="M38" s="60">
        <v>6000000</v>
      </c>
      <c r="N38" s="60">
        <v>2048543</v>
      </c>
      <c r="O38" s="62">
        <f t="shared" si="0"/>
        <v>0.34142383333333332</v>
      </c>
      <c r="P38" s="60">
        <v>2048543</v>
      </c>
      <c r="Q38" s="62">
        <f t="shared" si="0"/>
        <v>0.34142383333333332</v>
      </c>
      <c r="R38" s="60">
        <v>2048543</v>
      </c>
      <c r="S38" s="62">
        <f t="shared" ref="S38" si="31">+R38/$M38</f>
        <v>0.34142383333333332</v>
      </c>
    </row>
    <row r="39" spans="1:19" ht="24.95" customHeight="1">
      <c r="A39" s="32" t="e">
        <v>#REF!</v>
      </c>
      <c r="B39" s="56" t="s">
        <v>364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44</v>
      </c>
      <c r="H39" s="57"/>
      <c r="I39" s="57"/>
      <c r="J39" s="57" t="s">
        <v>28</v>
      </c>
      <c r="K39" s="58" t="s">
        <v>29</v>
      </c>
      <c r="L39" s="59" t="s">
        <v>73</v>
      </c>
      <c r="M39" s="60">
        <v>13000000</v>
      </c>
      <c r="N39" s="60">
        <v>0</v>
      </c>
      <c r="O39" s="62">
        <f t="shared" si="0"/>
        <v>0</v>
      </c>
      <c r="P39" s="60">
        <v>0</v>
      </c>
      <c r="Q39" s="62">
        <f t="shared" si="0"/>
        <v>0</v>
      </c>
      <c r="R39" s="60">
        <v>0</v>
      </c>
      <c r="S39" s="62">
        <f t="shared" ref="S39" si="32">+R39/$M39</f>
        <v>0</v>
      </c>
    </row>
    <row r="40" spans="1:19" ht="24.95" customHeight="1">
      <c r="A40" s="32" t="e">
        <v>#REF!</v>
      </c>
      <c r="B40" s="56" t="s">
        <v>366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74</v>
      </c>
      <c r="H40" s="57"/>
      <c r="I40" s="57"/>
      <c r="J40" s="57" t="s">
        <v>28</v>
      </c>
      <c r="K40" s="58" t="s">
        <v>29</v>
      </c>
      <c r="L40" s="59" t="s">
        <v>75</v>
      </c>
      <c r="M40" s="60">
        <v>40000000</v>
      </c>
      <c r="N40" s="60">
        <v>0</v>
      </c>
      <c r="O40" s="62">
        <f t="shared" si="0"/>
        <v>0</v>
      </c>
      <c r="P40" s="60">
        <v>0</v>
      </c>
      <c r="Q40" s="62">
        <f t="shared" si="0"/>
        <v>0</v>
      </c>
      <c r="R40" s="60">
        <v>0</v>
      </c>
      <c r="S40" s="62">
        <f t="shared" ref="S40" si="33">+R40/$M40</f>
        <v>0</v>
      </c>
    </row>
    <row r="41" spans="1:19" ht="24.95" customHeight="1">
      <c r="A41" s="32" t="e">
        <v>#REF!</v>
      </c>
      <c r="B41" s="56" t="s">
        <v>368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76</v>
      </c>
      <c r="H41" s="57"/>
      <c r="I41" s="57"/>
      <c r="J41" s="57" t="s">
        <v>28</v>
      </c>
      <c r="K41" s="58" t="s">
        <v>29</v>
      </c>
      <c r="L41" s="59" t="s">
        <v>77</v>
      </c>
      <c r="M41" s="60">
        <v>984000000</v>
      </c>
      <c r="N41" s="60">
        <v>249150706</v>
      </c>
      <c r="O41" s="62">
        <f t="shared" si="0"/>
        <v>0.25320193699186994</v>
      </c>
      <c r="P41" s="60">
        <v>248890938</v>
      </c>
      <c r="Q41" s="62">
        <f t="shared" si="0"/>
        <v>0.25293794512195122</v>
      </c>
      <c r="R41" s="60">
        <v>248890938</v>
      </c>
      <c r="S41" s="62">
        <f t="shared" ref="S41" si="34">+R41/$M41</f>
        <v>0.25293794512195122</v>
      </c>
    </row>
    <row r="42" spans="1:19" ht="24.95" customHeight="1">
      <c r="A42" s="32" t="e">
        <v>#REF!</v>
      </c>
      <c r="B42" s="56" t="s">
        <v>370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78</v>
      </c>
      <c r="H42" s="57"/>
      <c r="I42" s="57"/>
      <c r="J42" s="57" t="s">
        <v>28</v>
      </c>
      <c r="K42" s="58" t="s">
        <v>29</v>
      </c>
      <c r="L42" s="59" t="s">
        <v>79</v>
      </c>
      <c r="M42" s="60">
        <v>650000000</v>
      </c>
      <c r="N42" s="60">
        <v>12778229</v>
      </c>
      <c r="O42" s="62">
        <f t="shared" si="0"/>
        <v>1.9658813846153846E-2</v>
      </c>
      <c r="P42" s="60">
        <v>12778229</v>
      </c>
      <c r="Q42" s="62">
        <f t="shared" si="0"/>
        <v>1.9658813846153846E-2</v>
      </c>
      <c r="R42" s="60">
        <v>12778229</v>
      </c>
      <c r="S42" s="62">
        <f t="shared" ref="S42" si="35">+R42/$M42</f>
        <v>1.9658813846153846E-2</v>
      </c>
    </row>
    <row r="43" spans="1:19" ht="24" customHeight="1">
      <c r="A43" s="32" t="e">
        <v>#REF!</v>
      </c>
      <c r="B43" s="38" t="s">
        <v>372</v>
      </c>
      <c r="C43" s="39" t="s">
        <v>23</v>
      </c>
      <c r="D43" s="39" t="s">
        <v>54</v>
      </c>
      <c r="E43" s="39"/>
      <c r="F43" s="39"/>
      <c r="G43" s="39"/>
      <c r="H43" s="39"/>
      <c r="I43" s="39"/>
      <c r="J43" s="39"/>
      <c r="K43" s="40"/>
      <c r="L43" s="38" t="s">
        <v>80</v>
      </c>
      <c r="M43" s="41">
        <v>44658000000</v>
      </c>
      <c r="N43" s="41">
        <v>24252572466.549999</v>
      </c>
      <c r="O43" s="42">
        <f t="shared" si="0"/>
        <v>0.54307341274911547</v>
      </c>
      <c r="P43" s="41">
        <v>6798995213.8799992</v>
      </c>
      <c r="Q43" s="42">
        <f t="shared" si="0"/>
        <v>0.15224585099825338</v>
      </c>
      <c r="R43" s="41">
        <v>6546515595.8799992</v>
      </c>
      <c r="S43" s="42">
        <f t="shared" ref="S43" si="36">+R43/$M43</f>
        <v>0.14659222526490212</v>
      </c>
    </row>
    <row r="44" spans="1:19" ht="24" customHeight="1">
      <c r="A44" s="32" t="e">
        <v>#REF!</v>
      </c>
      <c r="B44" s="43" t="s">
        <v>373</v>
      </c>
      <c r="C44" s="44" t="s">
        <v>23</v>
      </c>
      <c r="D44" s="44" t="s">
        <v>54</v>
      </c>
      <c r="E44" s="44" t="s">
        <v>25</v>
      </c>
      <c r="F44" s="44"/>
      <c r="G44" s="44"/>
      <c r="H44" s="44"/>
      <c r="I44" s="44"/>
      <c r="J44" s="44"/>
      <c r="K44" s="45"/>
      <c r="L44" s="43" t="s">
        <v>81</v>
      </c>
      <c r="M44" s="46">
        <v>80658448</v>
      </c>
      <c r="N44" s="46">
        <v>0</v>
      </c>
      <c r="O44" s="47">
        <f t="shared" si="0"/>
        <v>0</v>
      </c>
      <c r="P44" s="46">
        <v>0</v>
      </c>
      <c r="Q44" s="47">
        <f t="shared" si="0"/>
        <v>0</v>
      </c>
      <c r="R44" s="46">
        <v>0</v>
      </c>
      <c r="S44" s="47">
        <f t="shared" ref="S44" si="37">+R44/$M44</f>
        <v>0</v>
      </c>
    </row>
    <row r="45" spans="1:19" ht="24" customHeight="1">
      <c r="A45" s="32" t="e">
        <v>#REF!</v>
      </c>
      <c r="B45" s="48" t="s">
        <v>374</v>
      </c>
      <c r="C45" s="48" t="s">
        <v>23</v>
      </c>
      <c r="D45" s="48" t="s">
        <v>54</v>
      </c>
      <c r="E45" s="48" t="s">
        <v>25</v>
      </c>
      <c r="F45" s="48" t="s">
        <v>25</v>
      </c>
      <c r="G45" s="48"/>
      <c r="H45" s="48"/>
      <c r="I45" s="48"/>
      <c r="J45" s="49" t="s">
        <v>28</v>
      </c>
      <c r="K45" s="48" t="s">
        <v>29</v>
      </c>
      <c r="L45" s="48" t="s">
        <v>82</v>
      </c>
      <c r="M45" s="50">
        <v>80658448</v>
      </c>
      <c r="N45" s="50">
        <v>0</v>
      </c>
      <c r="O45" s="51">
        <f t="shared" si="0"/>
        <v>0</v>
      </c>
      <c r="P45" s="50">
        <v>0</v>
      </c>
      <c r="Q45" s="51">
        <f t="shared" si="0"/>
        <v>0</v>
      </c>
      <c r="R45" s="50">
        <v>0</v>
      </c>
      <c r="S45" s="51">
        <f t="shared" ref="S45" si="38">+R45/$M45</f>
        <v>0</v>
      </c>
    </row>
    <row r="46" spans="1:19" ht="24" customHeight="1">
      <c r="A46" s="32" t="e">
        <v>#REF!</v>
      </c>
      <c r="B46" s="52" t="s">
        <v>375</v>
      </c>
      <c r="C46" s="52" t="s">
        <v>23</v>
      </c>
      <c r="D46" s="52" t="s">
        <v>54</v>
      </c>
      <c r="E46" s="52" t="s">
        <v>25</v>
      </c>
      <c r="F46" s="52" t="s">
        <v>25</v>
      </c>
      <c r="G46" s="52" t="s">
        <v>38</v>
      </c>
      <c r="H46" s="52"/>
      <c r="I46" s="52"/>
      <c r="J46" s="53" t="s">
        <v>28</v>
      </c>
      <c r="K46" s="52" t="s">
        <v>29</v>
      </c>
      <c r="L46" s="52" t="s">
        <v>83</v>
      </c>
      <c r="M46" s="54">
        <v>80658448</v>
      </c>
      <c r="N46" s="54">
        <v>0</v>
      </c>
      <c r="O46" s="55">
        <f t="shared" si="0"/>
        <v>0</v>
      </c>
      <c r="P46" s="54">
        <v>0</v>
      </c>
      <c r="Q46" s="55">
        <f t="shared" si="0"/>
        <v>0</v>
      </c>
      <c r="R46" s="54">
        <v>0</v>
      </c>
      <c r="S46" s="55">
        <f t="shared" ref="S46" si="39">+R46/$M46</f>
        <v>0</v>
      </c>
    </row>
    <row r="47" spans="1:19" ht="24.95" customHeight="1">
      <c r="A47" s="32" t="e">
        <v>#REF!</v>
      </c>
      <c r="B47" s="56" t="s">
        <v>725</v>
      </c>
      <c r="C47" s="57" t="s">
        <v>23</v>
      </c>
      <c r="D47" s="57" t="s">
        <v>54</v>
      </c>
      <c r="E47" s="57" t="s">
        <v>25</v>
      </c>
      <c r="F47" s="57" t="s">
        <v>25</v>
      </c>
      <c r="G47" s="57" t="s">
        <v>38</v>
      </c>
      <c r="H47" s="63" t="s">
        <v>44</v>
      </c>
      <c r="I47" s="57"/>
      <c r="J47" s="57">
        <v>10</v>
      </c>
      <c r="K47" s="58" t="s">
        <v>29</v>
      </c>
      <c r="L47" s="59" t="s">
        <v>85</v>
      </c>
      <c r="M47" s="60">
        <v>80658448</v>
      </c>
      <c r="N47" s="60">
        <v>0</v>
      </c>
      <c r="O47" s="62">
        <f t="shared" si="0"/>
        <v>0</v>
      </c>
      <c r="P47" s="60">
        <v>0</v>
      </c>
      <c r="Q47" s="62">
        <f t="shared" si="0"/>
        <v>0</v>
      </c>
      <c r="R47" s="60">
        <v>0</v>
      </c>
      <c r="S47" s="62">
        <f t="shared" ref="S47" si="40">+R47/$M47</f>
        <v>0</v>
      </c>
    </row>
    <row r="48" spans="1:19" ht="24" customHeight="1">
      <c r="A48" s="32" t="e">
        <v>#REF!</v>
      </c>
      <c r="B48" s="43" t="s">
        <v>377</v>
      </c>
      <c r="C48" s="44" t="s">
        <v>23</v>
      </c>
      <c r="D48" s="44" t="s">
        <v>54</v>
      </c>
      <c r="E48" s="44" t="s">
        <v>54</v>
      </c>
      <c r="F48" s="44"/>
      <c r="G48" s="44"/>
      <c r="H48" s="44"/>
      <c r="I48" s="44"/>
      <c r="J48" s="44"/>
      <c r="K48" s="45"/>
      <c r="L48" s="43" t="s">
        <v>86</v>
      </c>
      <c r="M48" s="46">
        <v>44577341552</v>
      </c>
      <c r="N48" s="46">
        <v>24252572466.549999</v>
      </c>
      <c r="O48" s="47">
        <f t="shared" si="0"/>
        <v>0.5440560522941702</v>
      </c>
      <c r="P48" s="46">
        <v>6798995213.8799992</v>
      </c>
      <c r="Q48" s="47">
        <f t="shared" si="0"/>
        <v>0.15252132534527413</v>
      </c>
      <c r="R48" s="46">
        <v>6546515595.8799992</v>
      </c>
      <c r="S48" s="47">
        <f t="shared" ref="S48" si="41">+R48/$M48</f>
        <v>0.14685746991536969</v>
      </c>
    </row>
    <row r="49" spans="1:19" ht="24" customHeight="1">
      <c r="A49" s="32" t="e">
        <v>#REF!</v>
      </c>
      <c r="B49" s="48" t="s">
        <v>379</v>
      </c>
      <c r="C49" s="48" t="s">
        <v>23</v>
      </c>
      <c r="D49" s="48" t="s">
        <v>54</v>
      </c>
      <c r="E49" s="48" t="s">
        <v>54</v>
      </c>
      <c r="F49" s="48" t="s">
        <v>25</v>
      </c>
      <c r="G49" s="48"/>
      <c r="H49" s="48"/>
      <c r="I49" s="48"/>
      <c r="J49" s="49" t="s">
        <v>28</v>
      </c>
      <c r="K49" s="48" t="s">
        <v>29</v>
      </c>
      <c r="L49" s="48" t="s">
        <v>87</v>
      </c>
      <c r="M49" s="50">
        <v>1819410954</v>
      </c>
      <c r="N49" s="50">
        <v>23635779</v>
      </c>
      <c r="O49" s="51">
        <f t="shared" si="0"/>
        <v>1.2990896283237394E-2</v>
      </c>
      <c r="P49" s="50">
        <v>12993145.550000001</v>
      </c>
      <c r="Q49" s="51">
        <f t="shared" si="0"/>
        <v>7.1414022881605673E-3</v>
      </c>
      <c r="R49" s="50">
        <v>12993145.550000001</v>
      </c>
      <c r="S49" s="51">
        <f t="shared" ref="S49" si="42">+R49/$M49</f>
        <v>7.1414022881605673E-3</v>
      </c>
    </row>
    <row r="50" spans="1:19" ht="24" customHeight="1">
      <c r="A50" s="32" t="e">
        <v>#REF!</v>
      </c>
      <c r="B50" s="52" t="s">
        <v>381</v>
      </c>
      <c r="C50" s="52" t="s">
        <v>23</v>
      </c>
      <c r="D50" s="52" t="s">
        <v>54</v>
      </c>
      <c r="E50" s="52" t="s">
        <v>54</v>
      </c>
      <c r="F50" s="52" t="s">
        <v>25</v>
      </c>
      <c r="G50" s="52" t="s">
        <v>31</v>
      </c>
      <c r="H50" s="52"/>
      <c r="I50" s="52"/>
      <c r="J50" s="53" t="s">
        <v>28</v>
      </c>
      <c r="K50" s="52" t="s">
        <v>29</v>
      </c>
      <c r="L50" s="52" t="s">
        <v>88</v>
      </c>
      <c r="M50" s="54">
        <v>19000000</v>
      </c>
      <c r="N50" s="54">
        <v>0</v>
      </c>
      <c r="O50" s="55">
        <f t="shared" si="0"/>
        <v>0</v>
      </c>
      <c r="P50" s="54">
        <v>0</v>
      </c>
      <c r="Q50" s="55">
        <f t="shared" si="0"/>
        <v>0</v>
      </c>
      <c r="R50" s="54">
        <v>0</v>
      </c>
      <c r="S50" s="55">
        <f t="shared" ref="S50" si="43">+R50/$M50</f>
        <v>0</v>
      </c>
    </row>
    <row r="51" spans="1:19" ht="24.95" customHeight="1">
      <c r="A51" s="32" t="e">
        <v>#REF!</v>
      </c>
      <c r="B51" s="56" t="s">
        <v>555</v>
      </c>
      <c r="C51" s="57" t="s">
        <v>23</v>
      </c>
      <c r="D51" s="57" t="s">
        <v>54</v>
      </c>
      <c r="E51" s="57" t="s">
        <v>54</v>
      </c>
      <c r="F51" s="57" t="s">
        <v>25</v>
      </c>
      <c r="G51" s="57" t="s">
        <v>31</v>
      </c>
      <c r="H51" s="57" t="s">
        <v>40</v>
      </c>
      <c r="I51" s="57"/>
      <c r="J51" s="57">
        <v>10</v>
      </c>
      <c r="K51" s="58" t="s">
        <v>29</v>
      </c>
      <c r="L51" s="59" t="s">
        <v>89</v>
      </c>
      <c r="M51" s="60">
        <v>6000000</v>
      </c>
      <c r="N51" s="60">
        <v>0</v>
      </c>
      <c r="O51" s="62">
        <f t="shared" si="0"/>
        <v>0</v>
      </c>
      <c r="P51" s="60">
        <v>0</v>
      </c>
      <c r="Q51" s="62">
        <f t="shared" si="0"/>
        <v>0</v>
      </c>
      <c r="R51" s="60">
        <v>0</v>
      </c>
      <c r="S51" s="62">
        <f t="shared" ref="S51" si="44">+R51/$M51</f>
        <v>0</v>
      </c>
    </row>
    <row r="52" spans="1:19" ht="24.95" customHeight="1">
      <c r="A52" s="32" t="e">
        <v>#REF!</v>
      </c>
      <c r="B52" s="56" t="s">
        <v>557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44</v>
      </c>
      <c r="I52" s="57"/>
      <c r="J52" s="57">
        <v>10</v>
      </c>
      <c r="K52" s="58" t="s">
        <v>29</v>
      </c>
      <c r="L52" s="59" t="s">
        <v>90</v>
      </c>
      <c r="M52" s="60">
        <v>13000000</v>
      </c>
      <c r="N52" s="60">
        <v>0</v>
      </c>
      <c r="O52" s="62">
        <f t="shared" si="0"/>
        <v>0</v>
      </c>
      <c r="P52" s="60">
        <v>0</v>
      </c>
      <c r="Q52" s="62">
        <f t="shared" si="0"/>
        <v>0</v>
      </c>
      <c r="R52" s="60">
        <v>0</v>
      </c>
      <c r="S52" s="62">
        <f t="shared" ref="S52" si="45">+R52/$M52</f>
        <v>0</v>
      </c>
    </row>
    <row r="53" spans="1:19" ht="24" customHeight="1">
      <c r="A53" s="32" t="e">
        <v>#REF!</v>
      </c>
      <c r="B53" s="52" t="s">
        <v>383</v>
      </c>
      <c r="C53" s="52" t="s">
        <v>23</v>
      </c>
      <c r="D53" s="52" t="s">
        <v>54</v>
      </c>
      <c r="E53" s="52" t="s">
        <v>54</v>
      </c>
      <c r="F53" s="52" t="s">
        <v>25</v>
      </c>
      <c r="G53" s="52" t="s">
        <v>34</v>
      </c>
      <c r="H53" s="52"/>
      <c r="I53" s="52"/>
      <c r="J53" s="53" t="s">
        <v>28</v>
      </c>
      <c r="K53" s="52" t="s">
        <v>29</v>
      </c>
      <c r="L53" s="52" t="s">
        <v>91</v>
      </c>
      <c r="M53" s="54">
        <v>174000000</v>
      </c>
      <c r="N53" s="54">
        <v>0</v>
      </c>
      <c r="O53" s="55">
        <f t="shared" si="0"/>
        <v>0</v>
      </c>
      <c r="P53" s="54">
        <v>0</v>
      </c>
      <c r="Q53" s="55">
        <f t="shared" si="0"/>
        <v>0</v>
      </c>
      <c r="R53" s="54">
        <v>0</v>
      </c>
      <c r="S53" s="55">
        <f t="shared" ref="S53" si="46">+R53/$M53</f>
        <v>0</v>
      </c>
    </row>
    <row r="54" spans="1:19" ht="24.95" customHeight="1">
      <c r="A54" s="32" t="e">
        <v>#REF!</v>
      </c>
      <c r="B54" s="56" t="s">
        <v>826</v>
      </c>
      <c r="C54" s="57" t="s">
        <v>23</v>
      </c>
      <c r="D54" s="57" t="s">
        <v>54</v>
      </c>
      <c r="E54" s="57" t="s">
        <v>54</v>
      </c>
      <c r="F54" s="57" t="s">
        <v>25</v>
      </c>
      <c r="G54" s="57" t="s">
        <v>34</v>
      </c>
      <c r="H54" s="63" t="s">
        <v>36</v>
      </c>
      <c r="I54" s="57"/>
      <c r="J54" s="57">
        <v>10</v>
      </c>
      <c r="K54" s="58" t="s">
        <v>29</v>
      </c>
      <c r="L54" s="59" t="s">
        <v>822</v>
      </c>
      <c r="M54" s="60">
        <v>44000000</v>
      </c>
      <c r="N54" s="60">
        <v>0</v>
      </c>
      <c r="O54" s="62">
        <f t="shared" si="0"/>
        <v>0</v>
      </c>
      <c r="P54" s="60">
        <v>0</v>
      </c>
      <c r="Q54" s="62">
        <f t="shared" si="0"/>
        <v>0</v>
      </c>
      <c r="R54" s="60">
        <v>0</v>
      </c>
      <c r="S54" s="62">
        <f t="shared" ref="S54" si="47">+R54/$M54</f>
        <v>0</v>
      </c>
    </row>
    <row r="55" spans="1:19" ht="24.95" customHeight="1">
      <c r="A55" s="32" t="e">
        <v>#REF!</v>
      </c>
      <c r="B55" s="56" t="s">
        <v>559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57" t="s">
        <v>46</v>
      </c>
      <c r="I55" s="57"/>
      <c r="J55" s="57">
        <v>10</v>
      </c>
      <c r="K55" s="58" t="s">
        <v>29</v>
      </c>
      <c r="L55" s="59" t="s">
        <v>92</v>
      </c>
      <c r="M55" s="60">
        <v>130000000</v>
      </c>
      <c r="N55" s="60">
        <v>0</v>
      </c>
      <c r="O55" s="62">
        <f t="shared" si="0"/>
        <v>0</v>
      </c>
      <c r="P55" s="60">
        <v>0</v>
      </c>
      <c r="Q55" s="62">
        <f t="shared" si="0"/>
        <v>0</v>
      </c>
      <c r="R55" s="60">
        <v>0</v>
      </c>
      <c r="S55" s="62">
        <f t="shared" ref="S55" si="48">+R55/$M55</f>
        <v>0</v>
      </c>
    </row>
    <row r="56" spans="1:19" ht="24" customHeight="1">
      <c r="A56" s="32" t="e">
        <v>#REF!</v>
      </c>
      <c r="B56" s="52" t="s">
        <v>385</v>
      </c>
      <c r="C56" s="52" t="s">
        <v>23</v>
      </c>
      <c r="D56" s="52" t="s">
        <v>54</v>
      </c>
      <c r="E56" s="52" t="s">
        <v>54</v>
      </c>
      <c r="F56" s="52" t="s">
        <v>25</v>
      </c>
      <c r="G56" s="52" t="s">
        <v>36</v>
      </c>
      <c r="H56" s="52"/>
      <c r="I56" s="52"/>
      <c r="J56" s="53" t="s">
        <v>28</v>
      </c>
      <c r="K56" s="52" t="s">
        <v>29</v>
      </c>
      <c r="L56" s="52" t="s">
        <v>93</v>
      </c>
      <c r="M56" s="54">
        <v>701410954</v>
      </c>
      <c r="N56" s="54">
        <v>23635779</v>
      </c>
      <c r="O56" s="55">
        <f t="shared" si="0"/>
        <v>3.3697476301460784E-2</v>
      </c>
      <c r="P56" s="54">
        <v>12993145.550000001</v>
      </c>
      <c r="Q56" s="55">
        <f t="shared" si="0"/>
        <v>1.8524298025148891E-2</v>
      </c>
      <c r="R56" s="54">
        <v>12993145.550000001</v>
      </c>
      <c r="S56" s="55">
        <f t="shared" ref="S56" si="49">+R56/$M56</f>
        <v>1.8524298025148891E-2</v>
      </c>
    </row>
    <row r="57" spans="1:19" ht="24.95" customHeight="1">
      <c r="A57" s="32" t="e">
        <v>#REF!</v>
      </c>
      <c r="B57" s="56" t="s">
        <v>561</v>
      </c>
      <c r="C57" s="57" t="s">
        <v>23</v>
      </c>
      <c r="D57" s="57" t="s">
        <v>54</v>
      </c>
      <c r="E57" s="57" t="s">
        <v>54</v>
      </c>
      <c r="F57" s="57" t="s">
        <v>25</v>
      </c>
      <c r="G57" s="57" t="s">
        <v>36</v>
      </c>
      <c r="H57" s="57" t="s">
        <v>34</v>
      </c>
      <c r="I57" s="57"/>
      <c r="J57" s="57">
        <v>10</v>
      </c>
      <c r="K57" s="58" t="s">
        <v>29</v>
      </c>
      <c r="L57" s="59" t="s">
        <v>94</v>
      </c>
      <c r="M57" s="60">
        <v>407575175</v>
      </c>
      <c r="N57" s="60">
        <v>300000</v>
      </c>
      <c r="O57" s="62">
        <f t="shared" si="0"/>
        <v>7.3606053165529528E-4</v>
      </c>
      <c r="P57" s="60">
        <v>300000</v>
      </c>
      <c r="Q57" s="62">
        <f t="shared" si="0"/>
        <v>7.3606053165529528E-4</v>
      </c>
      <c r="R57" s="60">
        <v>300000</v>
      </c>
      <c r="S57" s="62">
        <f t="shared" ref="S57" si="50">+R57/$M57</f>
        <v>7.3606053165529528E-4</v>
      </c>
    </row>
    <row r="58" spans="1:19" ht="24.95" customHeight="1">
      <c r="A58" s="32" t="e">
        <v>#REF!</v>
      </c>
      <c r="B58" s="56" t="s">
        <v>563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36</v>
      </c>
      <c r="I58" s="57"/>
      <c r="J58" s="57">
        <v>10</v>
      </c>
      <c r="K58" s="58" t="s">
        <v>29</v>
      </c>
      <c r="L58" s="59" t="s">
        <v>95</v>
      </c>
      <c r="M58" s="60">
        <v>110835779</v>
      </c>
      <c r="N58" s="60">
        <v>23335779</v>
      </c>
      <c r="O58" s="62">
        <f t="shared" si="0"/>
        <v>0.21054373606198049</v>
      </c>
      <c r="P58" s="60">
        <v>12693145.550000001</v>
      </c>
      <c r="Q58" s="62">
        <f t="shared" si="0"/>
        <v>0.11452209444027998</v>
      </c>
      <c r="R58" s="60">
        <v>12693145.550000001</v>
      </c>
      <c r="S58" s="62">
        <f t="shared" ref="S58" si="51">+R58/$M58</f>
        <v>0.11452209444027998</v>
      </c>
    </row>
    <row r="59" spans="1:19" ht="24.95" customHeight="1">
      <c r="A59" s="32" t="e">
        <v>#REF!</v>
      </c>
      <c r="B59" s="56" t="s">
        <v>565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40</v>
      </c>
      <c r="I59" s="57"/>
      <c r="J59" s="57">
        <v>10</v>
      </c>
      <c r="K59" s="58" t="s">
        <v>29</v>
      </c>
      <c r="L59" s="59" t="s">
        <v>96</v>
      </c>
      <c r="M59" s="60">
        <v>80000000</v>
      </c>
      <c r="N59" s="60">
        <v>0</v>
      </c>
      <c r="O59" s="62">
        <f t="shared" si="0"/>
        <v>0</v>
      </c>
      <c r="P59" s="60">
        <v>0</v>
      </c>
      <c r="Q59" s="62">
        <f t="shared" si="0"/>
        <v>0</v>
      </c>
      <c r="R59" s="60">
        <v>0</v>
      </c>
      <c r="S59" s="62">
        <f t="shared" ref="S59" si="52">+R59/$M59</f>
        <v>0</v>
      </c>
    </row>
    <row r="60" spans="1:19" ht="24.95" customHeight="1">
      <c r="A60" s="32" t="e">
        <v>#REF!</v>
      </c>
      <c r="B60" s="56" t="s">
        <v>567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42</v>
      </c>
      <c r="I60" s="57"/>
      <c r="J60" s="57">
        <v>10</v>
      </c>
      <c r="K60" s="58" t="s">
        <v>29</v>
      </c>
      <c r="L60" s="59" t="s">
        <v>97</v>
      </c>
      <c r="M60" s="60">
        <v>20000000</v>
      </c>
      <c r="N60" s="60">
        <v>0</v>
      </c>
      <c r="O60" s="62">
        <f t="shared" si="0"/>
        <v>0</v>
      </c>
      <c r="P60" s="60">
        <v>0</v>
      </c>
      <c r="Q60" s="62">
        <f t="shared" si="0"/>
        <v>0</v>
      </c>
      <c r="R60" s="60">
        <v>0</v>
      </c>
      <c r="S60" s="62">
        <f t="shared" ref="S60" si="53">+R60/$M60</f>
        <v>0</v>
      </c>
    </row>
    <row r="61" spans="1:19" ht="24.95" customHeight="1">
      <c r="A61" s="32" t="e">
        <v>#REF!</v>
      </c>
      <c r="B61" s="56" t="s">
        <v>571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46</v>
      </c>
      <c r="I61" s="57"/>
      <c r="J61" s="57">
        <v>10</v>
      </c>
      <c r="K61" s="58" t="s">
        <v>29</v>
      </c>
      <c r="L61" s="59" t="s">
        <v>99</v>
      </c>
      <c r="M61" s="60">
        <v>83000000</v>
      </c>
      <c r="N61" s="60">
        <v>0</v>
      </c>
      <c r="O61" s="62">
        <f t="shared" si="0"/>
        <v>0</v>
      </c>
      <c r="P61" s="60">
        <v>0</v>
      </c>
      <c r="Q61" s="62">
        <f t="shared" si="0"/>
        <v>0</v>
      </c>
      <c r="R61" s="60">
        <v>0</v>
      </c>
      <c r="S61" s="62">
        <f t="shared" ref="S61" si="54">+R61/$M61</f>
        <v>0</v>
      </c>
    </row>
    <row r="62" spans="1:19" ht="24" customHeight="1">
      <c r="A62" s="32" t="e">
        <v>#REF!</v>
      </c>
      <c r="B62" s="52" t="s">
        <v>387</v>
      </c>
      <c r="C62" s="52" t="s">
        <v>23</v>
      </c>
      <c r="D62" s="52" t="s">
        <v>54</v>
      </c>
      <c r="E62" s="52" t="s">
        <v>54</v>
      </c>
      <c r="F62" s="52" t="s">
        <v>25</v>
      </c>
      <c r="G62" s="52" t="s">
        <v>38</v>
      </c>
      <c r="H62" s="52"/>
      <c r="I62" s="52"/>
      <c r="J62" s="53" t="s">
        <v>28</v>
      </c>
      <c r="K62" s="52" t="s">
        <v>29</v>
      </c>
      <c r="L62" s="52" t="s">
        <v>100</v>
      </c>
      <c r="M62" s="54">
        <v>925000000</v>
      </c>
      <c r="N62" s="54">
        <v>0</v>
      </c>
      <c r="O62" s="55">
        <f t="shared" si="0"/>
        <v>0</v>
      </c>
      <c r="P62" s="54">
        <v>0</v>
      </c>
      <c r="Q62" s="55">
        <f t="shared" si="0"/>
        <v>0</v>
      </c>
      <c r="R62" s="54">
        <v>0</v>
      </c>
      <c r="S62" s="55">
        <f t="shared" ref="S62" si="55">+R62/$M62</f>
        <v>0</v>
      </c>
    </row>
    <row r="63" spans="1:19" ht="24.95" customHeight="1">
      <c r="A63" s="32" t="e">
        <v>#REF!</v>
      </c>
      <c r="B63" s="56" t="s">
        <v>573</v>
      </c>
      <c r="C63" s="57" t="s">
        <v>23</v>
      </c>
      <c r="D63" s="57" t="s">
        <v>54</v>
      </c>
      <c r="E63" s="57" t="s">
        <v>54</v>
      </c>
      <c r="F63" s="57" t="s">
        <v>25</v>
      </c>
      <c r="G63" s="57" t="s">
        <v>38</v>
      </c>
      <c r="H63" s="57" t="s">
        <v>34</v>
      </c>
      <c r="I63" s="57"/>
      <c r="J63" s="57">
        <v>10</v>
      </c>
      <c r="K63" s="58" t="s">
        <v>29</v>
      </c>
      <c r="L63" s="59" t="s">
        <v>101</v>
      </c>
      <c r="M63" s="60">
        <v>30000000</v>
      </c>
      <c r="N63" s="60">
        <v>0</v>
      </c>
      <c r="O63" s="62">
        <f t="shared" si="0"/>
        <v>0</v>
      </c>
      <c r="P63" s="60">
        <v>0</v>
      </c>
      <c r="Q63" s="62">
        <f t="shared" si="0"/>
        <v>0</v>
      </c>
      <c r="R63" s="60">
        <v>0</v>
      </c>
      <c r="S63" s="62">
        <f t="shared" ref="S63" si="56">+R63/$M63</f>
        <v>0</v>
      </c>
    </row>
    <row r="64" spans="1:19" ht="24.95" customHeight="1">
      <c r="A64" s="32" t="e">
        <v>#REF!</v>
      </c>
      <c r="B64" s="56" t="s">
        <v>575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40</v>
      </c>
      <c r="I64" s="57"/>
      <c r="J64" s="57">
        <v>10</v>
      </c>
      <c r="K64" s="58" t="s">
        <v>29</v>
      </c>
      <c r="L64" s="59" t="s">
        <v>102</v>
      </c>
      <c r="M64" s="60">
        <v>565000000</v>
      </c>
      <c r="N64" s="60">
        <v>0</v>
      </c>
      <c r="O64" s="62">
        <f t="shared" si="0"/>
        <v>0</v>
      </c>
      <c r="P64" s="60">
        <v>0</v>
      </c>
      <c r="Q64" s="62">
        <f t="shared" si="0"/>
        <v>0</v>
      </c>
      <c r="R64" s="60">
        <v>0</v>
      </c>
      <c r="S64" s="62">
        <f t="shared" ref="S64" si="57">+R64/$M64</f>
        <v>0</v>
      </c>
    </row>
    <row r="65" spans="1:19" ht="24.95" customHeight="1">
      <c r="A65" s="32" t="e">
        <v>#REF!</v>
      </c>
      <c r="B65" s="56" t="s">
        <v>577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42</v>
      </c>
      <c r="I65" s="57"/>
      <c r="J65" s="57">
        <v>10</v>
      </c>
      <c r="K65" s="58" t="s">
        <v>29</v>
      </c>
      <c r="L65" s="59" t="s">
        <v>84</v>
      </c>
      <c r="M65" s="60">
        <v>148000000</v>
      </c>
      <c r="N65" s="60">
        <v>0</v>
      </c>
      <c r="O65" s="62">
        <f t="shared" si="0"/>
        <v>0</v>
      </c>
      <c r="P65" s="60">
        <v>0</v>
      </c>
      <c r="Q65" s="62">
        <f t="shared" si="0"/>
        <v>0</v>
      </c>
      <c r="R65" s="60">
        <v>0</v>
      </c>
      <c r="S65" s="62">
        <f t="shared" ref="S65" si="58">+R65/$M65</f>
        <v>0</v>
      </c>
    </row>
    <row r="66" spans="1:19" ht="24.95" customHeight="1">
      <c r="A66" s="32" t="e">
        <v>#REF!</v>
      </c>
      <c r="B66" s="56" t="s">
        <v>579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44</v>
      </c>
      <c r="I66" s="57"/>
      <c r="J66" s="57">
        <v>10</v>
      </c>
      <c r="K66" s="58" t="s">
        <v>29</v>
      </c>
      <c r="L66" s="59" t="s">
        <v>85</v>
      </c>
      <c r="M66" s="60">
        <v>182000000</v>
      </c>
      <c r="N66" s="60">
        <v>0</v>
      </c>
      <c r="O66" s="62">
        <f t="shared" si="0"/>
        <v>0</v>
      </c>
      <c r="P66" s="60">
        <v>0</v>
      </c>
      <c r="Q66" s="62">
        <f t="shared" si="0"/>
        <v>0</v>
      </c>
      <c r="R66" s="60">
        <v>0</v>
      </c>
      <c r="S66" s="62">
        <f t="shared" ref="S66" si="59">+R66/$M66</f>
        <v>0</v>
      </c>
    </row>
    <row r="67" spans="1:19" ht="24" customHeight="1">
      <c r="A67" s="32" t="e">
        <v>#REF!</v>
      </c>
      <c r="B67" s="48" t="s">
        <v>389</v>
      </c>
      <c r="C67" s="48" t="s">
        <v>23</v>
      </c>
      <c r="D67" s="48" t="s">
        <v>54</v>
      </c>
      <c r="E67" s="48" t="s">
        <v>54</v>
      </c>
      <c r="F67" s="48" t="s">
        <v>54</v>
      </c>
      <c r="G67" s="48"/>
      <c r="H67" s="48"/>
      <c r="I67" s="48"/>
      <c r="J67" s="49" t="s">
        <v>28</v>
      </c>
      <c r="K67" s="48" t="s">
        <v>29</v>
      </c>
      <c r="L67" s="48" t="s">
        <v>103</v>
      </c>
      <c r="M67" s="50">
        <v>42757930598</v>
      </c>
      <c r="N67" s="50">
        <v>24228936687.549999</v>
      </c>
      <c r="O67" s="51">
        <f t="shared" si="0"/>
        <v>0.56665363240669342</v>
      </c>
      <c r="P67" s="50">
        <v>6786002068.329999</v>
      </c>
      <c r="Q67" s="51">
        <f t="shared" si="0"/>
        <v>0.15870744849956359</v>
      </c>
      <c r="R67" s="50">
        <v>6533522450.329999</v>
      </c>
      <c r="S67" s="51">
        <f t="shared" ref="S67" si="60">+R67/$M67</f>
        <v>0.15280258793992252</v>
      </c>
    </row>
    <row r="68" spans="1:19" ht="24.75" customHeight="1">
      <c r="A68" s="32" t="e">
        <v>#REF!</v>
      </c>
      <c r="B68" s="52" t="s">
        <v>391</v>
      </c>
      <c r="C68" s="52" t="s">
        <v>23</v>
      </c>
      <c r="D68" s="52" t="s">
        <v>54</v>
      </c>
      <c r="E68" s="52" t="s">
        <v>54</v>
      </c>
      <c r="F68" s="52" t="s">
        <v>54</v>
      </c>
      <c r="G68" s="52" t="s">
        <v>42</v>
      </c>
      <c r="H68" s="52"/>
      <c r="I68" s="52"/>
      <c r="J68" s="53" t="s">
        <v>28</v>
      </c>
      <c r="K68" s="52" t="s">
        <v>29</v>
      </c>
      <c r="L68" s="52" t="s">
        <v>104</v>
      </c>
      <c r="M68" s="54">
        <v>5553279341</v>
      </c>
      <c r="N68" s="54">
        <v>2620669171.73</v>
      </c>
      <c r="O68" s="55">
        <f t="shared" si="0"/>
        <v>0.47191380278343537</v>
      </c>
      <c r="P68" s="54">
        <v>1691087118.3099999</v>
      </c>
      <c r="Q68" s="55">
        <f t="shared" si="0"/>
        <v>0.30452044899392355</v>
      </c>
      <c r="R68" s="54">
        <v>1685007259.3099999</v>
      </c>
      <c r="S68" s="55">
        <f t="shared" ref="S68" si="61">+R68/$M68</f>
        <v>0.30342562580447724</v>
      </c>
    </row>
    <row r="69" spans="1:19" ht="24.95" customHeight="1">
      <c r="A69" s="32" t="e">
        <v>#REF!</v>
      </c>
      <c r="B69" s="56" t="s">
        <v>583</v>
      </c>
      <c r="C69" s="57" t="s">
        <v>23</v>
      </c>
      <c r="D69" s="57" t="s">
        <v>54</v>
      </c>
      <c r="E69" s="57" t="s">
        <v>54</v>
      </c>
      <c r="F69" s="57" t="s">
        <v>54</v>
      </c>
      <c r="G69" s="57" t="s">
        <v>42</v>
      </c>
      <c r="H69" s="57" t="s">
        <v>36</v>
      </c>
      <c r="I69" s="57"/>
      <c r="J69" s="57">
        <v>10</v>
      </c>
      <c r="K69" s="58" t="s">
        <v>29</v>
      </c>
      <c r="L69" s="59" t="s">
        <v>105</v>
      </c>
      <c r="M69" s="60">
        <v>182500000</v>
      </c>
      <c r="N69" s="60">
        <v>98280706</v>
      </c>
      <c r="O69" s="62">
        <f t="shared" si="0"/>
        <v>0.53852441643835613</v>
      </c>
      <c r="P69" s="60">
        <v>17131755</v>
      </c>
      <c r="Q69" s="62">
        <f t="shared" si="0"/>
        <v>9.3872630136986296E-2</v>
      </c>
      <c r="R69" s="60">
        <v>17131755</v>
      </c>
      <c r="S69" s="62">
        <f t="shared" ref="S69" si="62">+R69/$M69</f>
        <v>9.3872630136986296E-2</v>
      </c>
    </row>
    <row r="70" spans="1:19" ht="24.95" customHeight="1">
      <c r="A70" s="32" t="e">
        <v>#REF!</v>
      </c>
      <c r="B70" s="56" t="s">
        <v>585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38</v>
      </c>
      <c r="I70" s="57"/>
      <c r="J70" s="57">
        <v>10</v>
      </c>
      <c r="K70" s="58" t="s">
        <v>29</v>
      </c>
      <c r="L70" s="59" t="s">
        <v>106</v>
      </c>
      <c r="M70" s="60">
        <v>2460219321</v>
      </c>
      <c r="N70" s="60">
        <v>1652194648</v>
      </c>
      <c r="O70" s="62">
        <f t="shared" si="0"/>
        <v>0.67156396744678681</v>
      </c>
      <c r="P70" s="60">
        <v>907046752</v>
      </c>
      <c r="Q70" s="62">
        <f t="shared" si="0"/>
        <v>0.36868532177501745</v>
      </c>
      <c r="R70" s="60">
        <v>906028192</v>
      </c>
      <c r="S70" s="62">
        <f t="shared" ref="S70" si="63">+R70/$M70</f>
        <v>0.36827130990570739</v>
      </c>
    </row>
    <row r="71" spans="1:19" ht="24.95" customHeight="1">
      <c r="A71" s="32" t="e">
        <v>#REF!</v>
      </c>
      <c r="B71" s="56" t="s">
        <v>587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40</v>
      </c>
      <c r="I71" s="57"/>
      <c r="J71" s="57">
        <v>10</v>
      </c>
      <c r="K71" s="58" t="s">
        <v>29</v>
      </c>
      <c r="L71" s="59" t="s">
        <v>107</v>
      </c>
      <c r="M71" s="60">
        <v>114000000</v>
      </c>
      <c r="N71" s="60">
        <v>38140000</v>
      </c>
      <c r="O71" s="62">
        <f t="shared" si="0"/>
        <v>0.33456140350877195</v>
      </c>
      <c r="P71" s="60">
        <v>5140000</v>
      </c>
      <c r="Q71" s="62">
        <f t="shared" si="0"/>
        <v>4.5087719298245614E-2</v>
      </c>
      <c r="R71" s="60">
        <v>2800000</v>
      </c>
      <c r="S71" s="62">
        <f t="shared" ref="S71" si="64">+R71/$M71</f>
        <v>2.456140350877193E-2</v>
      </c>
    </row>
    <row r="72" spans="1:19" ht="24.95" customHeight="1">
      <c r="A72" s="32" t="e">
        <v>#REF!</v>
      </c>
      <c r="B72" s="56" t="s">
        <v>591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46</v>
      </c>
      <c r="I72" s="57"/>
      <c r="J72" s="57">
        <v>10</v>
      </c>
      <c r="K72" s="58" t="s">
        <v>29</v>
      </c>
      <c r="L72" s="59" t="s">
        <v>108</v>
      </c>
      <c r="M72" s="60">
        <v>1530960020</v>
      </c>
      <c r="N72" s="60">
        <v>646615648</v>
      </c>
      <c r="O72" s="62">
        <f t="shared" ref="O72:Q135" si="65">+N72/$M72</f>
        <v>0.42235959107540899</v>
      </c>
      <c r="P72" s="60">
        <v>576340978.58000004</v>
      </c>
      <c r="Q72" s="62">
        <f t="shared" si="65"/>
        <v>0.37645723666905428</v>
      </c>
      <c r="R72" s="60">
        <v>576340978.58000004</v>
      </c>
      <c r="S72" s="62">
        <f t="shared" ref="S72" si="66">+R72/$M72</f>
        <v>0.37645723666905428</v>
      </c>
    </row>
    <row r="73" spans="1:19" ht="24.95" customHeight="1">
      <c r="A73" s="32" t="e">
        <v>#REF!</v>
      </c>
      <c r="B73" s="56" t="s">
        <v>593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48</v>
      </c>
      <c r="I73" s="57"/>
      <c r="J73" s="57">
        <v>10</v>
      </c>
      <c r="K73" s="58" t="s">
        <v>29</v>
      </c>
      <c r="L73" s="59" t="s">
        <v>109</v>
      </c>
      <c r="M73" s="60">
        <v>1265600000</v>
      </c>
      <c r="N73" s="60">
        <v>185438169.72999999</v>
      </c>
      <c r="O73" s="62">
        <f t="shared" si="65"/>
        <v>0.14652194194848292</v>
      </c>
      <c r="P73" s="60">
        <v>185427632.72999999</v>
      </c>
      <c r="Q73" s="62">
        <f t="shared" si="65"/>
        <v>0.14651361625316056</v>
      </c>
      <c r="R73" s="60">
        <v>182706333.72999999</v>
      </c>
      <c r="S73" s="62">
        <f t="shared" ref="S73" si="67">+R73/$M73</f>
        <v>0.14436341160714286</v>
      </c>
    </row>
    <row r="74" spans="1:19" ht="28.5" customHeight="1">
      <c r="A74" s="32" t="e">
        <v>#REF!</v>
      </c>
      <c r="B74" s="52" t="s">
        <v>393</v>
      </c>
      <c r="C74" s="52" t="s">
        <v>23</v>
      </c>
      <c r="D74" s="52" t="s">
        <v>54</v>
      </c>
      <c r="E74" s="52" t="s">
        <v>54</v>
      </c>
      <c r="F74" s="52" t="s">
        <v>54</v>
      </c>
      <c r="G74" s="52" t="s">
        <v>44</v>
      </c>
      <c r="H74" s="52"/>
      <c r="I74" s="52"/>
      <c r="J74" s="53" t="s">
        <v>28</v>
      </c>
      <c r="K74" s="52" t="s">
        <v>29</v>
      </c>
      <c r="L74" s="52" t="s">
        <v>110</v>
      </c>
      <c r="M74" s="54">
        <v>16189463994</v>
      </c>
      <c r="N74" s="54">
        <v>13845804900</v>
      </c>
      <c r="O74" s="55">
        <f t="shared" si="65"/>
        <v>0.8552355349832097</v>
      </c>
      <c r="P74" s="54">
        <v>3150778543.5</v>
      </c>
      <c r="Q74" s="55">
        <f t="shared" si="65"/>
        <v>0.19461907723861113</v>
      </c>
      <c r="R74" s="54">
        <v>3150778543.5</v>
      </c>
      <c r="S74" s="55">
        <f t="shared" ref="S74" si="68">+R74/$M74</f>
        <v>0.19461907723861113</v>
      </c>
    </row>
    <row r="75" spans="1:19" ht="24.95" customHeight="1">
      <c r="A75" s="32" t="e">
        <v>#REF!</v>
      </c>
      <c r="B75" s="56" t="s">
        <v>595</v>
      </c>
      <c r="C75" s="57" t="s">
        <v>23</v>
      </c>
      <c r="D75" s="57" t="s">
        <v>54</v>
      </c>
      <c r="E75" s="57" t="s">
        <v>54</v>
      </c>
      <c r="F75" s="57" t="s">
        <v>54</v>
      </c>
      <c r="G75" s="57" t="s">
        <v>44</v>
      </c>
      <c r="H75" s="57" t="s">
        <v>31</v>
      </c>
      <c r="I75" s="57"/>
      <c r="J75" s="57">
        <v>10</v>
      </c>
      <c r="K75" s="58" t="s">
        <v>29</v>
      </c>
      <c r="L75" s="59" t="s">
        <v>111</v>
      </c>
      <c r="M75" s="60">
        <v>718200000</v>
      </c>
      <c r="N75" s="60">
        <v>3200000</v>
      </c>
      <c r="O75" s="62">
        <f t="shared" si="65"/>
        <v>4.4555834029518238E-3</v>
      </c>
      <c r="P75" s="60">
        <v>372100</v>
      </c>
      <c r="Q75" s="62">
        <f t="shared" si="65"/>
        <v>5.1810080757449183E-4</v>
      </c>
      <c r="R75" s="60">
        <v>372100</v>
      </c>
      <c r="S75" s="62">
        <f t="shared" ref="S75" si="69">+R75/$M75</f>
        <v>5.1810080757449183E-4</v>
      </c>
    </row>
    <row r="76" spans="1:19" ht="24.95" customHeight="1">
      <c r="A76" s="32" t="e">
        <v>#REF!</v>
      </c>
      <c r="B76" s="56" t="s">
        <v>597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34</v>
      </c>
      <c r="I76" s="57"/>
      <c r="J76" s="57">
        <v>10</v>
      </c>
      <c r="K76" s="58" t="s">
        <v>29</v>
      </c>
      <c r="L76" s="59" t="s">
        <v>112</v>
      </c>
      <c r="M76" s="60">
        <v>15471263994</v>
      </c>
      <c r="N76" s="60">
        <v>13842604900</v>
      </c>
      <c r="O76" s="62">
        <f t="shared" si="65"/>
        <v>0.89473005601665001</v>
      </c>
      <c r="P76" s="60">
        <v>3150406443.5</v>
      </c>
      <c r="Q76" s="62">
        <f t="shared" si="65"/>
        <v>0.20362954473026751</v>
      </c>
      <c r="R76" s="60">
        <v>3150406443.5</v>
      </c>
      <c r="S76" s="62">
        <f t="shared" ref="S76" si="70">+R76/$M76</f>
        <v>0.20362954473026751</v>
      </c>
    </row>
    <row r="77" spans="1:19" ht="27.75" customHeight="1">
      <c r="A77" s="32" t="e">
        <v>#REF!</v>
      </c>
      <c r="B77" s="52" t="s">
        <v>395</v>
      </c>
      <c r="C77" s="52" t="s">
        <v>23</v>
      </c>
      <c r="D77" s="52" t="s">
        <v>54</v>
      </c>
      <c r="E77" s="52" t="s">
        <v>54</v>
      </c>
      <c r="F77" s="52" t="s">
        <v>54</v>
      </c>
      <c r="G77" s="52" t="s">
        <v>46</v>
      </c>
      <c r="H77" s="52"/>
      <c r="I77" s="52"/>
      <c r="J77" s="53" t="s">
        <v>28</v>
      </c>
      <c r="K77" s="52" t="s">
        <v>29</v>
      </c>
      <c r="L77" s="52" t="s">
        <v>113</v>
      </c>
      <c r="M77" s="54">
        <v>14774572606</v>
      </c>
      <c r="N77" s="54">
        <v>7486156379.71</v>
      </c>
      <c r="O77" s="55">
        <f t="shared" si="65"/>
        <v>0.50669190773544603</v>
      </c>
      <c r="P77" s="54">
        <v>1831047232.4099998</v>
      </c>
      <c r="Q77" s="55">
        <f t="shared" si="65"/>
        <v>0.12393233166463345</v>
      </c>
      <c r="R77" s="54">
        <v>1585005452.4099998</v>
      </c>
      <c r="S77" s="55">
        <f t="shared" ref="S77" si="71">+R77/$M77</f>
        <v>0.10727927600195515</v>
      </c>
    </row>
    <row r="78" spans="1:19" ht="24.95" customHeight="1">
      <c r="A78" s="32" t="e">
        <v>#REF!</v>
      </c>
      <c r="B78" s="56" t="s">
        <v>599</v>
      </c>
      <c r="C78" s="57" t="s">
        <v>23</v>
      </c>
      <c r="D78" s="57" t="s">
        <v>54</v>
      </c>
      <c r="E78" s="57" t="s">
        <v>54</v>
      </c>
      <c r="F78" s="57" t="s">
        <v>54</v>
      </c>
      <c r="G78" s="57" t="s">
        <v>46</v>
      </c>
      <c r="H78" s="57" t="s">
        <v>34</v>
      </c>
      <c r="I78" s="57"/>
      <c r="J78" s="57">
        <v>10</v>
      </c>
      <c r="K78" s="58" t="s">
        <v>29</v>
      </c>
      <c r="L78" s="59" t="s">
        <v>114</v>
      </c>
      <c r="M78" s="60">
        <v>57307000</v>
      </c>
      <c r="N78" s="60">
        <v>33043500</v>
      </c>
      <c r="O78" s="62">
        <f t="shared" si="65"/>
        <v>0.57660495227459119</v>
      </c>
      <c r="P78" s="60">
        <v>0</v>
      </c>
      <c r="Q78" s="62">
        <f t="shared" si="65"/>
        <v>0</v>
      </c>
      <c r="R78" s="60">
        <v>0</v>
      </c>
      <c r="S78" s="62">
        <f t="shared" ref="S78" si="72">+R78/$M78</f>
        <v>0</v>
      </c>
    </row>
    <row r="79" spans="1:19" ht="24.95" customHeight="1">
      <c r="A79" s="32" t="e">
        <v>#REF!</v>
      </c>
      <c r="B79" s="56" t="s">
        <v>601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36</v>
      </c>
      <c r="I79" s="57"/>
      <c r="J79" s="57">
        <v>10</v>
      </c>
      <c r="K79" s="58" t="s">
        <v>29</v>
      </c>
      <c r="L79" s="59" t="s">
        <v>115</v>
      </c>
      <c r="M79" s="60">
        <v>3478453324</v>
      </c>
      <c r="N79" s="60">
        <v>3121404034</v>
      </c>
      <c r="O79" s="62">
        <f t="shared" si="65"/>
        <v>0.89735400859442438</v>
      </c>
      <c r="P79" s="60">
        <v>775459027</v>
      </c>
      <c r="Q79" s="62">
        <f t="shared" si="65"/>
        <v>0.22293213528254893</v>
      </c>
      <c r="R79" s="60">
        <v>529460162</v>
      </c>
      <c r="S79" s="62">
        <f t="shared" ref="S79" si="73">+R79/$M79</f>
        <v>0.15221137462070483</v>
      </c>
    </row>
    <row r="80" spans="1:19" ht="24.95" customHeight="1">
      <c r="A80" s="32" t="e">
        <v>#REF!</v>
      </c>
      <c r="B80" s="56" t="s">
        <v>603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38</v>
      </c>
      <c r="I80" s="57"/>
      <c r="J80" s="57">
        <v>10</v>
      </c>
      <c r="K80" s="58" t="s">
        <v>29</v>
      </c>
      <c r="L80" s="59" t="s">
        <v>116</v>
      </c>
      <c r="M80" s="60">
        <v>2672983340</v>
      </c>
      <c r="N80" s="60">
        <v>344421451.44</v>
      </c>
      <c r="O80" s="62">
        <f t="shared" si="65"/>
        <v>0.12885282384139363</v>
      </c>
      <c r="P80" s="60">
        <v>282597842.5</v>
      </c>
      <c r="Q80" s="62">
        <f t="shared" si="65"/>
        <v>0.10572375752255904</v>
      </c>
      <c r="R80" s="60">
        <v>282554927.5</v>
      </c>
      <c r="S80" s="62">
        <f t="shared" ref="S80" si="74">+R80/$M80</f>
        <v>0.10570770242810418</v>
      </c>
    </row>
    <row r="81" spans="1:19" ht="24.95" customHeight="1">
      <c r="A81" s="32" t="e">
        <v>#REF!</v>
      </c>
      <c r="B81" s="56" t="s">
        <v>605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40</v>
      </c>
      <c r="I81" s="57"/>
      <c r="J81" s="57">
        <v>10</v>
      </c>
      <c r="K81" s="58" t="s">
        <v>29</v>
      </c>
      <c r="L81" s="59" t="s">
        <v>117</v>
      </c>
      <c r="M81" s="60">
        <v>7423521619</v>
      </c>
      <c r="N81" s="60">
        <v>3691140359.6900001</v>
      </c>
      <c r="O81" s="62">
        <f t="shared" si="65"/>
        <v>0.49722228197500989</v>
      </c>
      <c r="P81" s="60">
        <v>701937163.67999995</v>
      </c>
      <c r="Q81" s="62">
        <f t="shared" si="65"/>
        <v>9.4555818613559287E-2</v>
      </c>
      <c r="R81" s="60">
        <v>701937163.67999995</v>
      </c>
      <c r="S81" s="62">
        <f t="shared" ref="S81" si="75">+R81/$M81</f>
        <v>9.4555818613559287E-2</v>
      </c>
    </row>
    <row r="82" spans="1:19" ht="24.75" customHeight="1">
      <c r="A82" s="32" t="e">
        <v>#REF!</v>
      </c>
      <c r="B82" s="56" t="s">
        <v>607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44</v>
      </c>
      <c r="I82" s="57"/>
      <c r="J82" s="57">
        <v>10</v>
      </c>
      <c r="K82" s="58" t="s">
        <v>29</v>
      </c>
      <c r="L82" s="59" t="s">
        <v>118</v>
      </c>
      <c r="M82" s="60">
        <v>814307323</v>
      </c>
      <c r="N82" s="60">
        <v>144147034.58000001</v>
      </c>
      <c r="O82" s="62">
        <f t="shared" si="65"/>
        <v>0.17701797651646564</v>
      </c>
      <c r="P82" s="60">
        <v>69053199.230000004</v>
      </c>
      <c r="Q82" s="62">
        <f t="shared" si="65"/>
        <v>8.4799924155907425E-2</v>
      </c>
      <c r="R82" s="60">
        <v>69053199.230000004</v>
      </c>
      <c r="S82" s="62">
        <f t="shared" ref="S82" si="76">+R82/$M82</f>
        <v>8.4799924155907425E-2</v>
      </c>
    </row>
    <row r="83" spans="1:19" ht="24.95" customHeight="1">
      <c r="A83" s="32" t="e">
        <v>#REF!</v>
      </c>
      <c r="B83" s="56" t="s">
        <v>609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48</v>
      </c>
      <c r="I83" s="57"/>
      <c r="J83" s="57">
        <v>10</v>
      </c>
      <c r="K83" s="58" t="s">
        <v>29</v>
      </c>
      <c r="L83" s="59" t="s">
        <v>119</v>
      </c>
      <c r="M83" s="60">
        <v>328000000</v>
      </c>
      <c r="N83" s="60">
        <v>152000000</v>
      </c>
      <c r="O83" s="62">
        <f t="shared" si="65"/>
        <v>0.46341463414634149</v>
      </c>
      <c r="P83" s="60">
        <v>2000000</v>
      </c>
      <c r="Q83" s="62">
        <f t="shared" si="65"/>
        <v>6.0975609756097563E-3</v>
      </c>
      <c r="R83" s="60">
        <v>2000000</v>
      </c>
      <c r="S83" s="62">
        <f t="shared" ref="S83" si="77">+R83/$M83</f>
        <v>6.0975609756097563E-3</v>
      </c>
    </row>
    <row r="84" spans="1:19" ht="24" customHeight="1">
      <c r="A84" s="32" t="e">
        <v>#REF!</v>
      </c>
      <c r="B84" s="52" t="s">
        <v>397</v>
      </c>
      <c r="C84" s="52" t="s">
        <v>23</v>
      </c>
      <c r="D84" s="52" t="s">
        <v>54</v>
      </c>
      <c r="E84" s="52" t="s">
        <v>54</v>
      </c>
      <c r="F84" s="52" t="s">
        <v>54</v>
      </c>
      <c r="G84" s="52" t="s">
        <v>48</v>
      </c>
      <c r="H84" s="52"/>
      <c r="I84" s="52"/>
      <c r="J84" s="53" t="s">
        <v>28</v>
      </c>
      <c r="K84" s="52" t="s">
        <v>29</v>
      </c>
      <c r="L84" s="52" t="s">
        <v>120</v>
      </c>
      <c r="M84" s="54">
        <v>5240614657</v>
      </c>
      <c r="N84" s="54">
        <v>54188872.109999999</v>
      </c>
      <c r="O84" s="55">
        <f t="shared" si="65"/>
        <v>1.0340174894870161E-2</v>
      </c>
      <c r="P84" s="54">
        <v>12973267.109999999</v>
      </c>
      <c r="Q84" s="55">
        <f t="shared" si="65"/>
        <v>2.4755239526476789E-3</v>
      </c>
      <c r="R84" s="54">
        <v>12615288.109999999</v>
      </c>
      <c r="S84" s="55">
        <f t="shared" ref="S84" si="78">+R84/$M84</f>
        <v>2.4072153622570766E-3</v>
      </c>
    </row>
    <row r="85" spans="1:19" ht="24.95" customHeight="1">
      <c r="A85" s="32" t="e">
        <v>#REF!</v>
      </c>
      <c r="B85" s="56" t="s">
        <v>611</v>
      </c>
      <c r="C85" s="57" t="s">
        <v>23</v>
      </c>
      <c r="D85" s="57" t="s">
        <v>54</v>
      </c>
      <c r="E85" s="57" t="s">
        <v>54</v>
      </c>
      <c r="F85" s="57" t="s">
        <v>54</v>
      </c>
      <c r="G85" s="57" t="s">
        <v>48</v>
      </c>
      <c r="H85" s="57" t="s">
        <v>34</v>
      </c>
      <c r="I85" s="57"/>
      <c r="J85" s="57">
        <v>10</v>
      </c>
      <c r="K85" s="58" t="s">
        <v>29</v>
      </c>
      <c r="L85" s="59" t="s">
        <v>121</v>
      </c>
      <c r="M85" s="60">
        <v>150000000</v>
      </c>
      <c r="N85" s="60">
        <v>0</v>
      </c>
      <c r="O85" s="62">
        <f t="shared" si="65"/>
        <v>0</v>
      </c>
      <c r="P85" s="60">
        <v>0</v>
      </c>
      <c r="Q85" s="62">
        <f t="shared" si="65"/>
        <v>0</v>
      </c>
      <c r="R85" s="60">
        <v>0</v>
      </c>
      <c r="S85" s="62">
        <f t="shared" ref="S85" si="79">+R85/$M85</f>
        <v>0</v>
      </c>
    </row>
    <row r="86" spans="1:19" ht="24.95" customHeight="1">
      <c r="A86" s="32" t="e">
        <v>#REF!</v>
      </c>
      <c r="B86" s="56" t="s">
        <v>613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36</v>
      </c>
      <c r="I86" s="57"/>
      <c r="J86" s="57">
        <v>10</v>
      </c>
      <c r="K86" s="58" t="s">
        <v>29</v>
      </c>
      <c r="L86" s="59" t="s">
        <v>122</v>
      </c>
      <c r="M86" s="60">
        <v>285000000</v>
      </c>
      <c r="N86" s="60">
        <v>43909567</v>
      </c>
      <c r="O86" s="62">
        <f t="shared" si="65"/>
        <v>0.15406865614035087</v>
      </c>
      <c r="P86" s="60">
        <v>2713350</v>
      </c>
      <c r="Q86" s="62">
        <f t="shared" si="65"/>
        <v>9.5205263157894741E-3</v>
      </c>
      <c r="R86" s="60">
        <v>2713350</v>
      </c>
      <c r="S86" s="62">
        <f t="shared" ref="S86" si="80">+R86/$M86</f>
        <v>9.5205263157894741E-3</v>
      </c>
    </row>
    <row r="87" spans="1:19" ht="24.95" customHeight="1">
      <c r="A87" s="32" t="e">
        <v>#REF!</v>
      </c>
      <c r="B87" s="56" t="s">
        <v>615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38</v>
      </c>
      <c r="I87" s="57"/>
      <c r="J87" s="57">
        <v>10</v>
      </c>
      <c r="K87" s="58" t="s">
        <v>29</v>
      </c>
      <c r="L87" s="59" t="s">
        <v>123</v>
      </c>
      <c r="M87" s="60">
        <v>105720000</v>
      </c>
      <c r="N87" s="60">
        <v>10279305.109999999</v>
      </c>
      <c r="O87" s="62">
        <f t="shared" si="65"/>
        <v>9.7231414207340133E-2</v>
      </c>
      <c r="P87" s="60">
        <v>10259917.109999999</v>
      </c>
      <c r="Q87" s="62">
        <f t="shared" si="65"/>
        <v>9.7048024120317822E-2</v>
      </c>
      <c r="R87" s="60">
        <v>9901938.1099999994</v>
      </c>
      <c r="S87" s="62">
        <f t="shared" ref="S87" si="81">+R87/$M87</f>
        <v>9.3661919315172149E-2</v>
      </c>
    </row>
    <row r="88" spans="1:19" ht="24.95" customHeight="1">
      <c r="A88" s="32" t="e">
        <v>#REF!</v>
      </c>
      <c r="B88" s="56" t="s">
        <v>617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42</v>
      </c>
      <c r="I88" s="57"/>
      <c r="J88" s="57">
        <v>10</v>
      </c>
      <c r="K88" s="58" t="s">
        <v>29</v>
      </c>
      <c r="L88" s="59" t="s">
        <v>124</v>
      </c>
      <c r="M88" s="60">
        <v>1481000000</v>
      </c>
      <c r="N88" s="60">
        <v>0</v>
      </c>
      <c r="O88" s="62">
        <f t="shared" si="65"/>
        <v>0</v>
      </c>
      <c r="P88" s="60">
        <v>0</v>
      </c>
      <c r="Q88" s="62">
        <f t="shared" si="65"/>
        <v>0</v>
      </c>
      <c r="R88" s="60">
        <v>0</v>
      </c>
      <c r="S88" s="62">
        <f t="shared" ref="S88" si="82">+R88/$M88</f>
        <v>0</v>
      </c>
    </row>
    <row r="89" spans="1:19" ht="24.95" customHeight="1">
      <c r="A89" s="32" t="e">
        <v>#REF!</v>
      </c>
      <c r="B89" s="56" t="s">
        <v>619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44</v>
      </c>
      <c r="I89" s="57"/>
      <c r="J89" s="57">
        <v>10</v>
      </c>
      <c r="K89" s="58" t="s">
        <v>29</v>
      </c>
      <c r="L89" s="59" t="s">
        <v>125</v>
      </c>
      <c r="M89" s="60">
        <v>3218894657</v>
      </c>
      <c r="N89" s="60">
        <v>0</v>
      </c>
      <c r="O89" s="62">
        <f t="shared" si="65"/>
        <v>0</v>
      </c>
      <c r="P89" s="60">
        <v>0</v>
      </c>
      <c r="Q89" s="62">
        <f t="shared" si="65"/>
        <v>0</v>
      </c>
      <c r="R89" s="60">
        <v>0</v>
      </c>
      <c r="S89" s="62">
        <f t="shared" ref="S89" si="83">+R89/$M89</f>
        <v>0</v>
      </c>
    </row>
    <row r="90" spans="1:19" ht="24.95" customHeight="1">
      <c r="A90" s="32" t="e">
        <v>#REF!</v>
      </c>
      <c r="B90" s="56" t="s">
        <v>399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50</v>
      </c>
      <c r="H90" s="57"/>
      <c r="I90" s="57"/>
      <c r="J90" s="57" t="s">
        <v>28</v>
      </c>
      <c r="K90" s="58" t="s">
        <v>29</v>
      </c>
      <c r="L90" s="65" t="s">
        <v>126</v>
      </c>
      <c r="M90" s="66">
        <v>1000000000</v>
      </c>
      <c r="N90" s="66">
        <v>222117364</v>
      </c>
      <c r="O90" s="67">
        <f t="shared" si="65"/>
        <v>0.22211736400000001</v>
      </c>
      <c r="P90" s="66">
        <v>100115907</v>
      </c>
      <c r="Q90" s="67">
        <f t="shared" si="65"/>
        <v>0.100115907</v>
      </c>
      <c r="R90" s="66">
        <v>100115907</v>
      </c>
      <c r="S90" s="67">
        <f t="shared" ref="S90" si="84">+R90/$M90</f>
        <v>0.100115907</v>
      </c>
    </row>
    <row r="91" spans="1:19" ht="24" customHeight="1">
      <c r="A91" s="32" t="e">
        <v>#REF!</v>
      </c>
      <c r="B91" s="38" t="s">
        <v>401</v>
      </c>
      <c r="C91" s="39" t="s">
        <v>23</v>
      </c>
      <c r="D91" s="39" t="s">
        <v>65</v>
      </c>
      <c r="E91" s="39"/>
      <c r="F91" s="39"/>
      <c r="G91" s="39"/>
      <c r="H91" s="39"/>
      <c r="I91" s="39"/>
      <c r="J91" s="39"/>
      <c r="K91" s="40"/>
      <c r="L91" s="38" t="s">
        <v>127</v>
      </c>
      <c r="M91" s="41">
        <v>2957000000</v>
      </c>
      <c r="N91" s="41">
        <v>220355813</v>
      </c>
      <c r="O91" s="42">
        <f t="shared" si="65"/>
        <v>7.4520058505241793E-2</v>
      </c>
      <c r="P91" s="41">
        <v>89673782</v>
      </c>
      <c r="Q91" s="42">
        <f t="shared" si="65"/>
        <v>3.0325932363882313E-2</v>
      </c>
      <c r="R91" s="41">
        <v>89673782</v>
      </c>
      <c r="S91" s="42">
        <f t="shared" ref="S91" si="85">+R91/$M91</f>
        <v>3.0325932363882313E-2</v>
      </c>
    </row>
    <row r="92" spans="1:19" ht="19.5" customHeight="1">
      <c r="A92" s="32" t="e">
        <v>#REF!</v>
      </c>
      <c r="B92" s="43" t="s">
        <v>621</v>
      </c>
      <c r="C92" s="44" t="s">
        <v>23</v>
      </c>
      <c r="D92" s="44" t="s">
        <v>65</v>
      </c>
      <c r="E92" s="44" t="s">
        <v>65</v>
      </c>
      <c r="F92" s="44"/>
      <c r="G92" s="44"/>
      <c r="H92" s="44"/>
      <c r="I92" s="44"/>
      <c r="J92" s="44"/>
      <c r="K92" s="45"/>
      <c r="L92" s="43" t="s">
        <v>128</v>
      </c>
      <c r="M92" s="46">
        <v>0</v>
      </c>
      <c r="N92" s="46">
        <v>0</v>
      </c>
      <c r="O92" s="47" t="e">
        <f t="shared" si="65"/>
        <v>#DIV/0!</v>
      </c>
      <c r="P92" s="46">
        <v>0</v>
      </c>
      <c r="Q92" s="47" t="e">
        <f t="shared" si="65"/>
        <v>#DIV/0!</v>
      </c>
      <c r="R92" s="46">
        <v>0</v>
      </c>
      <c r="S92" s="47" t="e">
        <f t="shared" ref="S92" si="86">+R92/$M92</f>
        <v>#DIV/0!</v>
      </c>
    </row>
    <row r="93" spans="1:19" ht="20.25" customHeight="1">
      <c r="A93" s="32" t="e">
        <v>#REF!</v>
      </c>
      <c r="B93" s="48" t="s">
        <v>623</v>
      </c>
      <c r="C93" s="48" t="s">
        <v>23</v>
      </c>
      <c r="D93" s="48" t="s">
        <v>65</v>
      </c>
      <c r="E93" s="48" t="s">
        <v>65</v>
      </c>
      <c r="F93" s="48" t="s">
        <v>25</v>
      </c>
      <c r="G93" s="48"/>
      <c r="H93" s="48"/>
      <c r="I93" s="48"/>
      <c r="J93" s="49"/>
      <c r="K93" s="48"/>
      <c r="L93" s="48" t="s">
        <v>129</v>
      </c>
      <c r="M93" s="50">
        <v>0</v>
      </c>
      <c r="N93" s="50">
        <v>0</v>
      </c>
      <c r="O93" s="51" t="e">
        <f t="shared" si="65"/>
        <v>#DIV/0!</v>
      </c>
      <c r="P93" s="50">
        <v>0</v>
      </c>
      <c r="Q93" s="51" t="e">
        <f t="shared" si="65"/>
        <v>#DIV/0!</v>
      </c>
      <c r="R93" s="50">
        <v>0</v>
      </c>
      <c r="S93" s="51" t="e">
        <f t="shared" ref="S93" si="87">+R93/$M93</f>
        <v>#DIV/0!</v>
      </c>
    </row>
    <row r="94" spans="1:19" ht="24.95" customHeight="1">
      <c r="A94" s="32" t="e">
        <v>#REF!</v>
      </c>
      <c r="B94" s="56" t="s">
        <v>627</v>
      </c>
      <c r="C94" s="57" t="s">
        <v>23</v>
      </c>
      <c r="D94" s="57" t="s">
        <v>65</v>
      </c>
      <c r="E94" s="57" t="s">
        <v>65</v>
      </c>
      <c r="F94" s="57" t="s">
        <v>25</v>
      </c>
      <c r="G94" s="57" t="s">
        <v>134</v>
      </c>
      <c r="H94" s="57"/>
      <c r="I94" s="57"/>
      <c r="J94" s="57" t="s">
        <v>28</v>
      </c>
      <c r="K94" s="58" t="s">
        <v>29</v>
      </c>
      <c r="L94" s="59" t="s">
        <v>135</v>
      </c>
      <c r="M94" s="60">
        <v>0</v>
      </c>
      <c r="N94" s="61">
        <v>0</v>
      </c>
      <c r="O94" s="62" t="e">
        <f t="shared" si="65"/>
        <v>#DIV/0!</v>
      </c>
      <c r="P94" s="60">
        <v>0</v>
      </c>
      <c r="Q94" s="62" t="e">
        <f t="shared" si="65"/>
        <v>#DIV/0!</v>
      </c>
      <c r="R94" s="60">
        <v>0</v>
      </c>
      <c r="S94" s="62" t="e">
        <f t="shared" ref="S94" si="88">+R94/$M94</f>
        <v>#DIV/0!</v>
      </c>
    </row>
    <row r="95" spans="1:19" ht="24" customHeight="1">
      <c r="A95" s="32" t="e">
        <v>#REF!</v>
      </c>
      <c r="B95" s="43" t="s">
        <v>403</v>
      </c>
      <c r="C95" s="44" t="s">
        <v>23</v>
      </c>
      <c r="D95" s="44" t="s">
        <v>65</v>
      </c>
      <c r="E95" s="44" t="s">
        <v>136</v>
      </c>
      <c r="F95" s="44"/>
      <c r="G95" s="44"/>
      <c r="H95" s="44"/>
      <c r="I95" s="44"/>
      <c r="J95" s="44"/>
      <c r="K95" s="45"/>
      <c r="L95" s="43" t="s">
        <v>137</v>
      </c>
      <c r="M95" s="46">
        <v>598000000</v>
      </c>
      <c r="N95" s="46">
        <v>220355813</v>
      </c>
      <c r="O95" s="47">
        <f t="shared" si="65"/>
        <v>0.36848798160535118</v>
      </c>
      <c r="P95" s="46">
        <v>89673782</v>
      </c>
      <c r="Q95" s="47">
        <f t="shared" si="65"/>
        <v>0.14995615719063546</v>
      </c>
      <c r="R95" s="46">
        <v>89673782</v>
      </c>
      <c r="S95" s="47">
        <f t="shared" ref="S95" si="89">+R95/$M95</f>
        <v>0.14995615719063546</v>
      </c>
    </row>
    <row r="96" spans="1:19" ht="21" customHeight="1">
      <c r="A96" s="32" t="e">
        <v>#REF!</v>
      </c>
      <c r="B96" s="48" t="s">
        <v>405</v>
      </c>
      <c r="C96" s="48" t="s">
        <v>23</v>
      </c>
      <c r="D96" s="48" t="s">
        <v>65</v>
      </c>
      <c r="E96" s="48" t="s">
        <v>136</v>
      </c>
      <c r="F96" s="48" t="s">
        <v>54</v>
      </c>
      <c r="G96" s="48"/>
      <c r="H96" s="48"/>
      <c r="I96" s="48"/>
      <c r="J96" s="49" t="s">
        <v>28</v>
      </c>
      <c r="K96" s="48" t="s">
        <v>29</v>
      </c>
      <c r="L96" s="48" t="s">
        <v>138</v>
      </c>
      <c r="M96" s="50">
        <v>598000000</v>
      </c>
      <c r="N96" s="50">
        <v>220355813</v>
      </c>
      <c r="O96" s="51">
        <f t="shared" si="65"/>
        <v>0.36848798160535118</v>
      </c>
      <c r="P96" s="50">
        <v>89673782</v>
      </c>
      <c r="Q96" s="51">
        <f t="shared" si="65"/>
        <v>0.14995615719063546</v>
      </c>
      <c r="R96" s="50">
        <v>89673782</v>
      </c>
      <c r="S96" s="51">
        <f t="shared" ref="S96" si="90">+R96/$M96</f>
        <v>0.14995615719063546</v>
      </c>
    </row>
    <row r="97" spans="1:21" ht="21" customHeight="1">
      <c r="A97" s="32" t="e">
        <v>#REF!</v>
      </c>
      <c r="B97" s="52" t="s">
        <v>407</v>
      </c>
      <c r="C97" s="52" t="s">
        <v>23</v>
      </c>
      <c r="D97" s="52" t="s">
        <v>65</v>
      </c>
      <c r="E97" s="52" t="s">
        <v>136</v>
      </c>
      <c r="F97" s="52" t="s">
        <v>54</v>
      </c>
      <c r="G97" s="52" t="s">
        <v>52</v>
      </c>
      <c r="H97" s="52"/>
      <c r="I97" s="52"/>
      <c r="J97" s="53" t="s">
        <v>28</v>
      </c>
      <c r="K97" s="52" t="s">
        <v>29</v>
      </c>
      <c r="L97" s="52" t="s">
        <v>139</v>
      </c>
      <c r="M97" s="54">
        <v>598000000</v>
      </c>
      <c r="N97" s="54">
        <v>220355813</v>
      </c>
      <c r="O97" s="55">
        <f t="shared" si="65"/>
        <v>0.36848798160535118</v>
      </c>
      <c r="P97" s="54">
        <v>89673782</v>
      </c>
      <c r="Q97" s="55">
        <f t="shared" si="65"/>
        <v>0.14995615719063546</v>
      </c>
      <c r="R97" s="54">
        <v>89673782</v>
      </c>
      <c r="S97" s="55">
        <f t="shared" ref="S97" si="91">+R97/$M97</f>
        <v>0.14995615719063546</v>
      </c>
    </row>
    <row r="98" spans="1:21" ht="24.95" customHeight="1">
      <c r="A98" s="32" t="e">
        <v>#REF!</v>
      </c>
      <c r="B98" s="56" t="s">
        <v>409</v>
      </c>
      <c r="C98" s="57" t="s">
        <v>23</v>
      </c>
      <c r="D98" s="57" t="s">
        <v>65</v>
      </c>
      <c r="E98" s="57" t="s">
        <v>136</v>
      </c>
      <c r="F98" s="57" t="s">
        <v>54</v>
      </c>
      <c r="G98" s="57" t="s">
        <v>52</v>
      </c>
      <c r="H98" s="57" t="s">
        <v>31</v>
      </c>
      <c r="I98" s="57"/>
      <c r="J98" s="57" t="s">
        <v>28</v>
      </c>
      <c r="K98" s="58" t="s">
        <v>29</v>
      </c>
      <c r="L98" s="59" t="s">
        <v>140</v>
      </c>
      <c r="M98" s="60">
        <v>398000000</v>
      </c>
      <c r="N98" s="60">
        <v>128431056</v>
      </c>
      <c r="O98" s="62">
        <f t="shared" si="65"/>
        <v>0.32269109547738695</v>
      </c>
      <c r="P98" s="60">
        <v>73266364</v>
      </c>
      <c r="Q98" s="62">
        <f t="shared" si="65"/>
        <v>0.18408634170854271</v>
      </c>
      <c r="R98" s="60">
        <v>73266364</v>
      </c>
      <c r="S98" s="62">
        <f t="shared" ref="S98" si="92">+R98/$M98</f>
        <v>0.18408634170854271</v>
      </c>
    </row>
    <row r="99" spans="1:21" ht="24.95" customHeight="1">
      <c r="A99" s="32" t="e">
        <v>#REF!</v>
      </c>
      <c r="B99" s="56" t="s">
        <v>411</v>
      </c>
      <c r="C99" s="57" t="s">
        <v>23</v>
      </c>
      <c r="D99" s="57" t="s">
        <v>65</v>
      </c>
      <c r="E99" s="57" t="s">
        <v>136</v>
      </c>
      <c r="F99" s="57" t="s">
        <v>54</v>
      </c>
      <c r="G99" s="57" t="s">
        <v>52</v>
      </c>
      <c r="H99" s="57" t="s">
        <v>34</v>
      </c>
      <c r="I99" s="57"/>
      <c r="J99" s="57" t="s">
        <v>28</v>
      </c>
      <c r="K99" s="58" t="s">
        <v>29</v>
      </c>
      <c r="L99" s="59" t="s">
        <v>141</v>
      </c>
      <c r="M99" s="60">
        <v>200000000</v>
      </c>
      <c r="N99" s="60">
        <v>91924757</v>
      </c>
      <c r="O99" s="62">
        <f t="shared" si="65"/>
        <v>0.45962378500000001</v>
      </c>
      <c r="P99" s="60">
        <v>16407418</v>
      </c>
      <c r="Q99" s="62">
        <f t="shared" si="65"/>
        <v>8.2037089999999993E-2</v>
      </c>
      <c r="R99" s="60">
        <v>16407418</v>
      </c>
      <c r="S99" s="62">
        <f t="shared" ref="S99" si="93">+R99/$M99</f>
        <v>8.2037089999999993E-2</v>
      </c>
    </row>
    <row r="100" spans="1:21" ht="24.95" hidden="1" customHeight="1">
      <c r="A100" s="32" t="e">
        <v>#REF!</v>
      </c>
      <c r="B100" s="56"/>
      <c r="C100" s="57" t="s">
        <v>23</v>
      </c>
      <c r="D100" s="57" t="s">
        <v>65</v>
      </c>
      <c r="E100" s="57" t="s">
        <v>136</v>
      </c>
      <c r="F100" s="57" t="s">
        <v>54</v>
      </c>
      <c r="G100" s="57" t="s">
        <v>142</v>
      </c>
      <c r="H100" s="57"/>
      <c r="I100" s="57"/>
      <c r="J100" s="57" t="s">
        <v>28</v>
      </c>
      <c r="K100" s="58" t="s">
        <v>29</v>
      </c>
      <c r="L100" s="59"/>
      <c r="M100" s="60">
        <v>0</v>
      </c>
      <c r="N100" s="60">
        <v>0</v>
      </c>
      <c r="O100" s="62" t="e">
        <f t="shared" si="65"/>
        <v>#DIV/0!</v>
      </c>
      <c r="P100" s="60">
        <v>0</v>
      </c>
      <c r="Q100" s="62" t="e">
        <f t="shared" si="65"/>
        <v>#DIV/0!</v>
      </c>
      <c r="R100" s="60">
        <v>0</v>
      </c>
      <c r="S100" s="62" t="e">
        <f t="shared" ref="S100" si="94">+R100/$M100</f>
        <v>#DIV/0!</v>
      </c>
    </row>
    <row r="101" spans="1:21" ht="24" customHeight="1">
      <c r="A101" s="32" t="e">
        <v>#REF!</v>
      </c>
      <c r="B101" s="43" t="s">
        <v>415</v>
      </c>
      <c r="C101" s="44" t="s">
        <v>23</v>
      </c>
      <c r="D101" s="44" t="s">
        <v>65</v>
      </c>
      <c r="E101" s="44" t="s">
        <v>28</v>
      </c>
      <c r="F101" s="44"/>
      <c r="G101" s="44"/>
      <c r="H101" s="44"/>
      <c r="I101" s="44"/>
      <c r="J101" s="44"/>
      <c r="K101" s="45"/>
      <c r="L101" s="43" t="s">
        <v>143</v>
      </c>
      <c r="M101" s="46">
        <v>2359000000</v>
      </c>
      <c r="N101" s="46">
        <v>0</v>
      </c>
      <c r="O101" s="47">
        <f t="shared" si="65"/>
        <v>0</v>
      </c>
      <c r="P101" s="46">
        <v>0</v>
      </c>
      <c r="Q101" s="47">
        <f t="shared" si="65"/>
        <v>0</v>
      </c>
      <c r="R101" s="46">
        <v>0</v>
      </c>
      <c r="S101" s="47">
        <f t="shared" ref="S101" si="95">+R101/$M101</f>
        <v>0</v>
      </c>
    </row>
    <row r="102" spans="1:21" ht="21.75" customHeight="1">
      <c r="A102" s="32" t="e">
        <v>#REF!</v>
      </c>
      <c r="B102" s="48" t="s">
        <v>417</v>
      </c>
      <c r="C102" s="48" t="s">
        <v>23</v>
      </c>
      <c r="D102" s="48" t="s">
        <v>65</v>
      </c>
      <c r="E102" s="48" t="s">
        <v>28</v>
      </c>
      <c r="F102" s="48" t="s">
        <v>25</v>
      </c>
      <c r="G102" s="48"/>
      <c r="H102" s="48"/>
      <c r="I102" s="48"/>
      <c r="J102" s="49">
        <v>10</v>
      </c>
      <c r="K102" s="48" t="s">
        <v>29</v>
      </c>
      <c r="L102" s="48" t="s">
        <v>145</v>
      </c>
      <c r="M102" s="50">
        <v>2359000000</v>
      </c>
      <c r="N102" s="50">
        <v>0</v>
      </c>
      <c r="O102" s="51">
        <f t="shared" si="65"/>
        <v>0</v>
      </c>
      <c r="P102" s="50">
        <v>0</v>
      </c>
      <c r="Q102" s="51">
        <f t="shared" si="65"/>
        <v>0</v>
      </c>
      <c r="R102" s="50">
        <v>0</v>
      </c>
      <c r="S102" s="51">
        <f t="shared" ref="S102" si="96">+R102/$M102</f>
        <v>0</v>
      </c>
    </row>
    <row r="103" spans="1:21" ht="24.95" customHeight="1">
      <c r="A103" s="32" t="e">
        <v>#REF!</v>
      </c>
      <c r="B103" s="56" t="s">
        <v>418</v>
      </c>
      <c r="C103" s="57" t="s">
        <v>23</v>
      </c>
      <c r="D103" s="57" t="s">
        <v>65</v>
      </c>
      <c r="E103" s="57" t="s">
        <v>28</v>
      </c>
      <c r="F103" s="57" t="s">
        <v>25</v>
      </c>
      <c r="G103" s="57" t="s">
        <v>31</v>
      </c>
      <c r="H103" s="57"/>
      <c r="I103" s="57"/>
      <c r="J103" s="57">
        <v>10</v>
      </c>
      <c r="K103" s="58" t="s">
        <v>29</v>
      </c>
      <c r="L103" s="59" t="s">
        <v>146</v>
      </c>
      <c r="M103" s="60">
        <v>2303841548</v>
      </c>
      <c r="N103" s="60">
        <v>0</v>
      </c>
      <c r="O103" s="62">
        <f t="shared" si="65"/>
        <v>0</v>
      </c>
      <c r="P103" s="60">
        <v>0</v>
      </c>
      <c r="Q103" s="62">
        <f t="shared" si="65"/>
        <v>0</v>
      </c>
      <c r="R103" s="60">
        <v>0</v>
      </c>
      <c r="S103" s="62">
        <f t="shared" ref="S103" si="97">+R103/$M103</f>
        <v>0</v>
      </c>
    </row>
    <row r="104" spans="1:21" ht="24.95" customHeight="1">
      <c r="A104" s="32" t="e">
        <v>#REF!</v>
      </c>
      <c r="B104" s="56" t="s">
        <v>419</v>
      </c>
      <c r="C104" s="57" t="s">
        <v>23</v>
      </c>
      <c r="D104" s="57" t="s">
        <v>65</v>
      </c>
      <c r="E104" s="57" t="s">
        <v>28</v>
      </c>
      <c r="F104" s="57" t="s">
        <v>25</v>
      </c>
      <c r="G104" s="63" t="s">
        <v>34</v>
      </c>
      <c r="H104" s="57"/>
      <c r="I104" s="57"/>
      <c r="J104" s="57">
        <v>10</v>
      </c>
      <c r="K104" s="58" t="s">
        <v>29</v>
      </c>
      <c r="L104" s="59" t="s">
        <v>147</v>
      </c>
      <c r="M104" s="60">
        <v>55158452</v>
      </c>
      <c r="N104" s="60">
        <v>0</v>
      </c>
      <c r="O104" s="62">
        <f t="shared" si="65"/>
        <v>0</v>
      </c>
      <c r="P104" s="60">
        <v>0</v>
      </c>
      <c r="Q104" s="62">
        <f t="shared" si="65"/>
        <v>0</v>
      </c>
      <c r="R104" s="60">
        <v>0</v>
      </c>
      <c r="S104" s="62">
        <f t="shared" ref="S104" si="98">+R104/$M104</f>
        <v>0</v>
      </c>
    </row>
    <row r="105" spans="1:21" ht="24" customHeight="1">
      <c r="A105" s="32" t="e">
        <v>#REF!</v>
      </c>
      <c r="B105" s="38" t="s">
        <v>421</v>
      </c>
      <c r="C105" s="39" t="s">
        <v>23</v>
      </c>
      <c r="D105" s="39" t="s">
        <v>148</v>
      </c>
      <c r="E105" s="39"/>
      <c r="F105" s="39"/>
      <c r="G105" s="39"/>
      <c r="H105" s="39"/>
      <c r="I105" s="39"/>
      <c r="J105" s="39"/>
      <c r="K105" s="40"/>
      <c r="L105" s="38" t="s">
        <v>149</v>
      </c>
      <c r="M105" s="41">
        <v>30002470214</v>
      </c>
      <c r="N105" s="41">
        <v>13013748.84</v>
      </c>
      <c r="O105" s="42">
        <f t="shared" si="65"/>
        <v>4.3375591233575883E-4</v>
      </c>
      <c r="P105" s="41">
        <v>13013748.84</v>
      </c>
      <c r="Q105" s="42">
        <f t="shared" si="65"/>
        <v>4.3375591233575883E-4</v>
      </c>
      <c r="R105" s="41">
        <v>12746464.84</v>
      </c>
      <c r="S105" s="42">
        <f t="shared" ref="S105" si="99">+R105/$M105</f>
        <v>4.2484717921833446E-4</v>
      </c>
    </row>
    <row r="106" spans="1:21" ht="24" customHeight="1">
      <c r="A106" s="32" t="e">
        <v>#REF!</v>
      </c>
      <c r="B106" s="43" t="s">
        <v>423</v>
      </c>
      <c r="C106" s="44" t="s">
        <v>23</v>
      </c>
      <c r="D106" s="44" t="s">
        <v>148</v>
      </c>
      <c r="E106" s="44" t="s">
        <v>25</v>
      </c>
      <c r="F106" s="44"/>
      <c r="G106" s="44"/>
      <c r="H106" s="44"/>
      <c r="I106" s="44"/>
      <c r="J106" s="44"/>
      <c r="K106" s="45"/>
      <c r="L106" s="43" t="s">
        <v>150</v>
      </c>
      <c r="M106" s="46">
        <v>145622400</v>
      </c>
      <c r="N106" s="46">
        <v>13013748.84</v>
      </c>
      <c r="O106" s="47">
        <f t="shared" si="65"/>
        <v>8.9366394455798012E-2</v>
      </c>
      <c r="P106" s="46">
        <v>13013748.84</v>
      </c>
      <c r="Q106" s="47">
        <f t="shared" si="65"/>
        <v>8.9366394455798012E-2</v>
      </c>
      <c r="R106" s="46">
        <v>12746464.84</v>
      </c>
      <c r="S106" s="47">
        <f t="shared" ref="S106" si="100">+R106/$M106</f>
        <v>8.7530935075922384E-2</v>
      </c>
    </row>
    <row r="107" spans="1:21" ht="24" customHeight="1">
      <c r="A107" s="32" t="e">
        <v>#REF!</v>
      </c>
      <c r="B107" s="48" t="s">
        <v>425</v>
      </c>
      <c r="C107" s="48" t="s">
        <v>23</v>
      </c>
      <c r="D107" s="48" t="s">
        <v>148</v>
      </c>
      <c r="E107" s="48" t="s">
        <v>25</v>
      </c>
      <c r="F107" s="48" t="s">
        <v>54</v>
      </c>
      <c r="G107" s="48"/>
      <c r="H107" s="48"/>
      <c r="I107" s="48"/>
      <c r="J107" s="49" t="s">
        <v>28</v>
      </c>
      <c r="K107" s="48" t="s">
        <v>29</v>
      </c>
      <c r="L107" s="48" t="s">
        <v>151</v>
      </c>
      <c r="M107" s="50">
        <v>145622400</v>
      </c>
      <c r="N107" s="50">
        <v>13013748.84</v>
      </c>
      <c r="O107" s="51">
        <f t="shared" si="65"/>
        <v>8.9366394455798012E-2</v>
      </c>
      <c r="P107" s="50">
        <v>13013748.84</v>
      </c>
      <c r="Q107" s="51">
        <f t="shared" si="65"/>
        <v>8.9366394455798012E-2</v>
      </c>
      <c r="R107" s="50">
        <v>12746464.84</v>
      </c>
      <c r="S107" s="51">
        <f t="shared" ref="S107" si="101">+R107/$M107</f>
        <v>8.7530935075922384E-2</v>
      </c>
    </row>
    <row r="108" spans="1:21" ht="24.95" customHeight="1">
      <c r="A108" s="32" t="e">
        <v>#REF!</v>
      </c>
      <c r="B108" s="56" t="s">
        <v>427</v>
      </c>
      <c r="C108" s="57" t="s">
        <v>23</v>
      </c>
      <c r="D108" s="57" t="s">
        <v>148</v>
      </c>
      <c r="E108" s="57" t="s">
        <v>25</v>
      </c>
      <c r="F108" s="57" t="s">
        <v>54</v>
      </c>
      <c r="G108" s="57" t="s">
        <v>31</v>
      </c>
      <c r="H108" s="57"/>
      <c r="I108" s="57"/>
      <c r="J108" s="57" t="s">
        <v>28</v>
      </c>
      <c r="K108" s="58" t="s">
        <v>29</v>
      </c>
      <c r="L108" s="59" t="s">
        <v>152</v>
      </c>
      <c r="M108" s="60">
        <v>69216000</v>
      </c>
      <c r="N108" s="60">
        <v>0</v>
      </c>
      <c r="O108" s="62">
        <f t="shared" si="65"/>
        <v>0</v>
      </c>
      <c r="P108" s="60">
        <v>0</v>
      </c>
      <c r="Q108" s="62">
        <f t="shared" si="65"/>
        <v>0</v>
      </c>
      <c r="R108" s="60">
        <v>0</v>
      </c>
      <c r="S108" s="62">
        <f t="shared" ref="S108" si="102">+R108/$M108</f>
        <v>0</v>
      </c>
    </row>
    <row r="109" spans="1:21" ht="24.95" customHeight="1">
      <c r="A109" s="32" t="e">
        <v>#REF!</v>
      </c>
      <c r="B109" s="56" t="s">
        <v>429</v>
      </c>
      <c r="C109" s="57" t="s">
        <v>23</v>
      </c>
      <c r="D109" s="57" t="s">
        <v>148</v>
      </c>
      <c r="E109" s="57" t="s">
        <v>25</v>
      </c>
      <c r="F109" s="57" t="s">
        <v>54</v>
      </c>
      <c r="G109" s="57" t="s">
        <v>38</v>
      </c>
      <c r="H109" s="57"/>
      <c r="I109" s="57"/>
      <c r="J109" s="57" t="s">
        <v>28</v>
      </c>
      <c r="K109" s="58" t="s">
        <v>29</v>
      </c>
      <c r="L109" s="59" t="s">
        <v>153</v>
      </c>
      <c r="M109" s="60">
        <v>56000000</v>
      </c>
      <c r="N109" s="60">
        <v>13013748.84</v>
      </c>
      <c r="O109" s="62">
        <f t="shared" si="65"/>
        <v>0.23238837214285715</v>
      </c>
      <c r="P109" s="60">
        <v>13013748.84</v>
      </c>
      <c r="Q109" s="62">
        <f t="shared" si="65"/>
        <v>0.23238837214285715</v>
      </c>
      <c r="R109" s="60">
        <v>12746464.84</v>
      </c>
      <c r="S109" s="62">
        <f t="shared" ref="S109" si="103">+R109/$M109</f>
        <v>0.22761544357142857</v>
      </c>
    </row>
    <row r="110" spans="1:21" ht="24.95" customHeight="1">
      <c r="A110" s="32" t="e">
        <v>#REF!</v>
      </c>
      <c r="B110" s="56" t="s">
        <v>431</v>
      </c>
      <c r="C110" s="57" t="s">
        <v>23</v>
      </c>
      <c r="D110" s="57" t="s">
        <v>148</v>
      </c>
      <c r="E110" s="57" t="s">
        <v>25</v>
      </c>
      <c r="F110" s="57" t="s">
        <v>54</v>
      </c>
      <c r="G110" s="57" t="s">
        <v>42</v>
      </c>
      <c r="H110" s="57"/>
      <c r="I110" s="57"/>
      <c r="J110" s="57" t="s">
        <v>28</v>
      </c>
      <c r="K110" s="58" t="s">
        <v>29</v>
      </c>
      <c r="L110" s="59" t="s">
        <v>154</v>
      </c>
      <c r="M110" s="60">
        <v>20406400</v>
      </c>
      <c r="N110" s="60">
        <v>0</v>
      </c>
      <c r="O110" s="62">
        <f t="shared" si="65"/>
        <v>0</v>
      </c>
      <c r="P110" s="60">
        <v>0</v>
      </c>
      <c r="Q110" s="62">
        <f t="shared" si="65"/>
        <v>0</v>
      </c>
      <c r="R110" s="60">
        <v>0</v>
      </c>
      <c r="S110" s="62">
        <f t="shared" ref="S110" si="104">+R110/$M110</f>
        <v>0</v>
      </c>
    </row>
    <row r="111" spans="1:21" ht="24" customHeight="1">
      <c r="A111" s="32" t="e">
        <v>#REF!</v>
      </c>
      <c r="B111" s="43" t="s">
        <v>432</v>
      </c>
      <c r="C111" s="44" t="s">
        <v>23</v>
      </c>
      <c r="D111" s="44" t="s">
        <v>148</v>
      </c>
      <c r="E111" s="44" t="s">
        <v>136</v>
      </c>
      <c r="F111" s="44"/>
      <c r="G111" s="44"/>
      <c r="H111" s="44"/>
      <c r="I111" s="44"/>
      <c r="J111" s="44"/>
      <c r="K111" s="45"/>
      <c r="L111" s="43" t="s">
        <v>155</v>
      </c>
      <c r="M111" s="46">
        <v>29856847814</v>
      </c>
      <c r="N111" s="46">
        <v>0</v>
      </c>
      <c r="O111" s="47">
        <f t="shared" si="65"/>
        <v>0</v>
      </c>
      <c r="P111" s="46">
        <v>0</v>
      </c>
      <c r="Q111" s="47">
        <f t="shared" si="65"/>
        <v>0</v>
      </c>
      <c r="R111" s="46">
        <v>0</v>
      </c>
      <c r="S111" s="47">
        <f t="shared" ref="S111" si="105">+R111/$M111</f>
        <v>0</v>
      </c>
    </row>
    <row r="112" spans="1:21" ht="24.95" customHeight="1">
      <c r="A112" s="32" t="e">
        <v>#REF!</v>
      </c>
      <c r="B112" s="56" t="s">
        <v>434</v>
      </c>
      <c r="C112" s="57" t="s">
        <v>23</v>
      </c>
      <c r="D112" s="57" t="s">
        <v>148</v>
      </c>
      <c r="E112" s="57" t="s">
        <v>136</v>
      </c>
      <c r="F112" s="57" t="s">
        <v>25</v>
      </c>
      <c r="G112" s="57"/>
      <c r="H112" s="57"/>
      <c r="I112" s="57"/>
      <c r="J112" s="57" t="s">
        <v>144</v>
      </c>
      <c r="K112" s="58" t="s">
        <v>156</v>
      </c>
      <c r="L112" s="59" t="s">
        <v>157</v>
      </c>
      <c r="M112" s="60">
        <v>29856847814</v>
      </c>
      <c r="N112" s="61">
        <v>0</v>
      </c>
      <c r="O112" s="62">
        <f t="shared" si="65"/>
        <v>0</v>
      </c>
      <c r="P112" s="60">
        <v>0</v>
      </c>
      <c r="Q112" s="62">
        <f t="shared" si="65"/>
        <v>0</v>
      </c>
      <c r="R112" s="60">
        <v>0</v>
      </c>
      <c r="S112" s="62">
        <f t="shared" ref="S112" si="106">+R112/$M112</f>
        <v>0</v>
      </c>
    </row>
    <row r="113" spans="1:19" ht="35.1" customHeight="1">
      <c r="A113" s="32" t="e">
        <v>#REF!</v>
      </c>
      <c r="B113" s="33" t="s">
        <v>162</v>
      </c>
      <c r="C113" s="34" t="s">
        <v>162</v>
      </c>
      <c r="D113" s="35"/>
      <c r="E113" s="35"/>
      <c r="F113" s="35"/>
      <c r="G113" s="35"/>
      <c r="H113" s="35"/>
      <c r="I113" s="35"/>
      <c r="J113" s="34"/>
      <c r="K113" s="35"/>
      <c r="L113" s="33" t="s">
        <v>163</v>
      </c>
      <c r="M113" s="36">
        <v>3731140006</v>
      </c>
      <c r="N113" s="36">
        <v>0</v>
      </c>
      <c r="O113" s="37">
        <f t="shared" si="65"/>
        <v>0</v>
      </c>
      <c r="P113" s="36">
        <v>0</v>
      </c>
      <c r="Q113" s="37">
        <f t="shared" si="65"/>
        <v>0</v>
      </c>
      <c r="R113" s="36">
        <v>0</v>
      </c>
      <c r="S113" s="37">
        <f t="shared" ref="S113" si="107">+R113/$M113</f>
        <v>0</v>
      </c>
    </row>
    <row r="114" spans="1:19" ht="24" customHeight="1">
      <c r="A114" s="32" t="e">
        <v>#REF!</v>
      </c>
      <c r="B114" s="38" t="s">
        <v>729</v>
      </c>
      <c r="C114" s="39" t="s">
        <v>162</v>
      </c>
      <c r="D114" s="39">
        <v>10</v>
      </c>
      <c r="E114" s="39"/>
      <c r="F114" s="39"/>
      <c r="G114" s="39"/>
      <c r="H114" s="39"/>
      <c r="I114" s="39"/>
      <c r="J114" s="39"/>
      <c r="K114" s="40"/>
      <c r="L114" s="38" t="s">
        <v>164</v>
      </c>
      <c r="M114" s="41">
        <v>3731140006</v>
      </c>
      <c r="N114" s="41">
        <v>0</v>
      </c>
      <c r="O114" s="42">
        <f t="shared" si="65"/>
        <v>0</v>
      </c>
      <c r="P114" s="41">
        <v>0</v>
      </c>
      <c r="Q114" s="42">
        <f t="shared" si="65"/>
        <v>0</v>
      </c>
      <c r="R114" s="41">
        <v>0</v>
      </c>
      <c r="S114" s="42">
        <f t="shared" ref="S114" si="108">+R114/$M114</f>
        <v>0</v>
      </c>
    </row>
    <row r="115" spans="1:19" ht="24" customHeight="1">
      <c r="A115" s="32" t="e">
        <v>#REF!</v>
      </c>
      <c r="B115" s="43" t="s">
        <v>730</v>
      </c>
      <c r="C115" s="44" t="s">
        <v>162</v>
      </c>
      <c r="D115" s="44">
        <v>10</v>
      </c>
      <c r="E115" s="44" t="s">
        <v>136</v>
      </c>
      <c r="F115" s="44"/>
      <c r="G115" s="44"/>
      <c r="H115" s="44"/>
      <c r="I115" s="44"/>
      <c r="J115" s="44"/>
      <c r="K115" s="45"/>
      <c r="L115" s="43" t="s">
        <v>165</v>
      </c>
      <c r="M115" s="46">
        <v>3731140006</v>
      </c>
      <c r="N115" s="46">
        <v>0</v>
      </c>
      <c r="O115" s="47">
        <f t="shared" si="65"/>
        <v>0</v>
      </c>
      <c r="P115" s="46">
        <v>0</v>
      </c>
      <c r="Q115" s="47">
        <f t="shared" si="65"/>
        <v>0</v>
      </c>
      <c r="R115" s="46">
        <v>0</v>
      </c>
      <c r="S115" s="47">
        <f t="shared" ref="S115" si="109">+R115/$M115</f>
        <v>0</v>
      </c>
    </row>
    <row r="116" spans="1:19" ht="24.95" customHeight="1">
      <c r="A116" s="32" t="e">
        <v>#REF!</v>
      </c>
      <c r="B116" s="56" t="s">
        <v>731</v>
      </c>
      <c r="C116" s="57" t="s">
        <v>162</v>
      </c>
      <c r="D116" s="57">
        <v>10</v>
      </c>
      <c r="E116" s="57" t="s">
        <v>136</v>
      </c>
      <c r="F116" s="57" t="s">
        <v>25</v>
      </c>
      <c r="G116" s="57"/>
      <c r="H116" s="57"/>
      <c r="I116" s="57"/>
      <c r="J116" s="57" t="s">
        <v>144</v>
      </c>
      <c r="K116" s="58" t="s">
        <v>29</v>
      </c>
      <c r="L116" s="59" t="s">
        <v>166</v>
      </c>
      <c r="M116" s="60">
        <v>3731140006</v>
      </c>
      <c r="N116" s="61">
        <v>0</v>
      </c>
      <c r="O116" s="62">
        <f t="shared" si="65"/>
        <v>0</v>
      </c>
      <c r="P116" s="60">
        <v>0</v>
      </c>
      <c r="Q116" s="62">
        <f t="shared" si="65"/>
        <v>0</v>
      </c>
      <c r="R116" s="60">
        <v>0</v>
      </c>
      <c r="S116" s="62">
        <f t="shared" ref="S116" si="110">+R116/$M116</f>
        <v>0</v>
      </c>
    </row>
    <row r="117" spans="1:19" ht="35.1" customHeight="1">
      <c r="A117" s="32" t="e">
        <v>#REF!</v>
      </c>
      <c r="B117" s="33" t="s">
        <v>167</v>
      </c>
      <c r="C117" s="34" t="s">
        <v>167</v>
      </c>
      <c r="D117" s="35"/>
      <c r="E117" s="35"/>
      <c r="F117" s="35"/>
      <c r="G117" s="35"/>
      <c r="H117" s="35"/>
      <c r="I117" s="35"/>
      <c r="J117" s="34"/>
      <c r="K117" s="35"/>
      <c r="L117" s="33" t="s">
        <v>168</v>
      </c>
      <c r="M117" s="36">
        <v>6468380211524</v>
      </c>
      <c r="N117" s="36">
        <v>806807689513.51001</v>
      </c>
      <c r="O117" s="37">
        <f t="shared" si="65"/>
        <v>0.12473102432601436</v>
      </c>
      <c r="P117" s="36">
        <v>377751745852.40997</v>
      </c>
      <c r="Q117" s="37">
        <f t="shared" si="65"/>
        <v>5.8399743598777844E-2</v>
      </c>
      <c r="R117" s="36">
        <v>375067815228.07996</v>
      </c>
      <c r="S117" s="37">
        <f t="shared" ref="S117" si="111">+R117/$M117</f>
        <v>5.7984812729447006E-2</v>
      </c>
    </row>
    <row r="118" spans="1:19" ht="24" hidden="1" customHeight="1">
      <c r="A118" s="32" t="e">
        <v>#REF!</v>
      </c>
      <c r="B118" s="69" t="s">
        <v>437</v>
      </c>
      <c r="C118" s="70" t="s">
        <v>167</v>
      </c>
      <c r="D118" s="70">
        <v>4101</v>
      </c>
      <c r="E118" s="70"/>
      <c r="F118" s="70"/>
      <c r="G118" s="70"/>
      <c r="H118" s="70"/>
      <c r="I118" s="70"/>
      <c r="J118" s="70"/>
      <c r="K118" s="71"/>
      <c r="L118" s="69" t="s">
        <v>169</v>
      </c>
      <c r="M118" s="41">
        <v>0</v>
      </c>
      <c r="N118" s="41">
        <v>0</v>
      </c>
      <c r="O118" s="42" t="e">
        <f t="shared" si="65"/>
        <v>#DIV/0!</v>
      </c>
      <c r="P118" s="41">
        <v>0</v>
      </c>
      <c r="Q118" s="42" t="e">
        <f t="shared" si="65"/>
        <v>#DIV/0!</v>
      </c>
      <c r="R118" s="41">
        <v>0</v>
      </c>
      <c r="S118" s="42" t="e">
        <f t="shared" ref="S118" si="112">+R118/$M118</f>
        <v>#DIV/0!</v>
      </c>
    </row>
    <row r="119" spans="1:19" ht="24" hidden="1" customHeight="1">
      <c r="A119" s="32" t="e">
        <v>#REF!</v>
      </c>
      <c r="B119" s="72" t="s">
        <v>295</v>
      </c>
      <c r="C119" s="73" t="s">
        <v>167</v>
      </c>
      <c r="D119" s="73">
        <v>4101</v>
      </c>
      <c r="E119" s="73">
        <v>1500</v>
      </c>
      <c r="F119" s="73"/>
      <c r="G119" s="73"/>
      <c r="H119" s="73"/>
      <c r="I119" s="73"/>
      <c r="J119" s="73"/>
      <c r="K119" s="74"/>
      <c r="L119" s="72" t="s">
        <v>170</v>
      </c>
      <c r="M119" s="46"/>
      <c r="N119" s="46"/>
      <c r="O119" s="47" t="e">
        <f t="shared" si="65"/>
        <v>#DIV/0!</v>
      </c>
      <c r="P119" s="46"/>
      <c r="Q119" s="47" t="e">
        <f t="shared" si="65"/>
        <v>#DIV/0!</v>
      </c>
      <c r="R119" s="46"/>
      <c r="S119" s="47" t="e">
        <f t="shared" ref="S119" si="113">+R119/$M119</f>
        <v>#DIV/0!</v>
      </c>
    </row>
    <row r="120" spans="1:19" ht="60" hidden="1" customHeight="1">
      <c r="A120" s="32" t="e">
        <v>#REF!</v>
      </c>
      <c r="B120" s="75" t="s">
        <v>454</v>
      </c>
      <c r="C120" s="75" t="s">
        <v>167</v>
      </c>
      <c r="D120" s="75" t="s">
        <v>171</v>
      </c>
      <c r="E120" s="75" t="s">
        <v>172</v>
      </c>
      <c r="F120" s="75" t="s">
        <v>173</v>
      </c>
      <c r="G120" s="75"/>
      <c r="H120" s="75"/>
      <c r="I120" s="75"/>
      <c r="J120" s="76"/>
      <c r="K120" s="75"/>
      <c r="L120" s="75" t="s">
        <v>174</v>
      </c>
      <c r="M120" s="50">
        <v>0</v>
      </c>
      <c r="N120" s="50">
        <v>0</v>
      </c>
      <c r="O120" s="51" t="e">
        <f t="shared" si="65"/>
        <v>#DIV/0!</v>
      </c>
      <c r="P120" s="50">
        <v>0</v>
      </c>
      <c r="Q120" s="51" t="e">
        <f t="shared" si="65"/>
        <v>#DIV/0!</v>
      </c>
      <c r="R120" s="50">
        <v>0</v>
      </c>
      <c r="S120" s="51" t="e">
        <f t="shared" ref="S120" si="114">+R120/$M120</f>
        <v>#DIV/0!</v>
      </c>
    </row>
    <row r="121" spans="1:19" ht="24" hidden="1" customHeight="1">
      <c r="A121" s="32" t="e">
        <v>#REF!</v>
      </c>
      <c r="B121" s="77" t="s">
        <v>456</v>
      </c>
      <c r="C121" s="52" t="s">
        <v>167</v>
      </c>
      <c r="D121" s="52" t="s">
        <v>171</v>
      </c>
      <c r="E121" s="52" t="s">
        <v>172</v>
      </c>
      <c r="F121" s="52" t="s">
        <v>173</v>
      </c>
      <c r="G121" s="52" t="s">
        <v>175</v>
      </c>
      <c r="H121" s="52" t="s">
        <v>176</v>
      </c>
      <c r="I121" s="52"/>
      <c r="J121" s="53" t="s">
        <v>144</v>
      </c>
      <c r="K121" s="52" t="s">
        <v>29</v>
      </c>
      <c r="L121" s="77" t="s">
        <v>177</v>
      </c>
      <c r="M121" s="54">
        <v>0</v>
      </c>
      <c r="N121" s="54">
        <v>0</v>
      </c>
      <c r="O121" s="55" t="e">
        <f t="shared" si="65"/>
        <v>#DIV/0!</v>
      </c>
      <c r="P121" s="54">
        <v>0</v>
      </c>
      <c r="Q121" s="55" t="e">
        <f t="shared" si="65"/>
        <v>#DIV/0!</v>
      </c>
      <c r="R121" s="54">
        <v>0</v>
      </c>
      <c r="S121" s="55" t="e">
        <f t="shared" ref="S121" si="115">+R121/$M121</f>
        <v>#DIV/0!</v>
      </c>
    </row>
    <row r="122" spans="1:19" ht="24.95" hidden="1" customHeight="1">
      <c r="A122" s="32" t="e">
        <v>#REF!</v>
      </c>
      <c r="B122" s="78" t="s">
        <v>458</v>
      </c>
      <c r="C122" s="79" t="s">
        <v>167</v>
      </c>
      <c r="D122" s="79" t="s">
        <v>171</v>
      </c>
      <c r="E122" s="79" t="s">
        <v>172</v>
      </c>
      <c r="F122" s="79" t="s">
        <v>173</v>
      </c>
      <c r="G122" s="79" t="s">
        <v>175</v>
      </c>
      <c r="H122" s="79" t="s">
        <v>176</v>
      </c>
      <c r="I122" s="79" t="s">
        <v>54</v>
      </c>
      <c r="J122" s="79" t="s">
        <v>144</v>
      </c>
      <c r="K122" s="80" t="s">
        <v>29</v>
      </c>
      <c r="L122" s="59" t="s">
        <v>178</v>
      </c>
      <c r="M122" s="60">
        <v>0</v>
      </c>
      <c r="N122" s="60"/>
      <c r="O122" s="62" t="e">
        <f t="shared" si="65"/>
        <v>#DIV/0!</v>
      </c>
      <c r="P122" s="60"/>
      <c r="Q122" s="62" t="e">
        <f t="shared" si="65"/>
        <v>#DIV/0!</v>
      </c>
      <c r="R122" s="60"/>
      <c r="S122" s="62" t="e">
        <f t="shared" ref="S122" si="116">+R122/$M122</f>
        <v>#DIV/0!</v>
      </c>
    </row>
    <row r="123" spans="1:19" ht="33" hidden="1" customHeight="1">
      <c r="A123" s="32" t="e">
        <v>#REF!</v>
      </c>
      <c r="B123" s="77" t="s">
        <v>460</v>
      </c>
      <c r="C123" s="52" t="s">
        <v>167</v>
      </c>
      <c r="D123" s="52" t="s">
        <v>171</v>
      </c>
      <c r="E123" s="52" t="s">
        <v>172</v>
      </c>
      <c r="F123" s="52" t="s">
        <v>173</v>
      </c>
      <c r="G123" s="52" t="s">
        <v>175</v>
      </c>
      <c r="H123" s="52" t="s">
        <v>179</v>
      </c>
      <c r="I123" s="52"/>
      <c r="J123" s="53" t="s">
        <v>144</v>
      </c>
      <c r="K123" s="52" t="s">
        <v>29</v>
      </c>
      <c r="L123" s="77" t="s">
        <v>180</v>
      </c>
      <c r="M123" s="54">
        <v>0</v>
      </c>
      <c r="N123" s="54">
        <v>0</v>
      </c>
      <c r="O123" s="55" t="e">
        <f t="shared" si="65"/>
        <v>#DIV/0!</v>
      </c>
      <c r="P123" s="54">
        <v>0</v>
      </c>
      <c r="Q123" s="55" t="e">
        <f t="shared" si="65"/>
        <v>#DIV/0!</v>
      </c>
      <c r="R123" s="54">
        <v>0</v>
      </c>
      <c r="S123" s="55" t="e">
        <f t="shared" ref="S123" si="117">+R123/$M123</f>
        <v>#DIV/0!</v>
      </c>
    </row>
    <row r="124" spans="1:19" ht="24.95" hidden="1" customHeight="1">
      <c r="A124" s="32" t="e">
        <v>#REF!</v>
      </c>
      <c r="B124" s="78" t="s">
        <v>462</v>
      </c>
      <c r="C124" s="79" t="s">
        <v>167</v>
      </c>
      <c r="D124" s="79" t="s">
        <v>171</v>
      </c>
      <c r="E124" s="79" t="s">
        <v>172</v>
      </c>
      <c r="F124" s="79" t="s">
        <v>173</v>
      </c>
      <c r="G124" s="79" t="s">
        <v>175</v>
      </c>
      <c r="H124" s="79" t="s">
        <v>179</v>
      </c>
      <c r="I124" s="79" t="s">
        <v>54</v>
      </c>
      <c r="J124" s="79" t="s">
        <v>144</v>
      </c>
      <c r="K124" s="80" t="s">
        <v>29</v>
      </c>
      <c r="L124" s="59" t="s">
        <v>178</v>
      </c>
      <c r="M124" s="60">
        <v>0</v>
      </c>
      <c r="N124" s="60"/>
      <c r="O124" s="62" t="e">
        <f t="shared" si="65"/>
        <v>#DIV/0!</v>
      </c>
      <c r="P124" s="60"/>
      <c r="Q124" s="62" t="e">
        <f t="shared" si="65"/>
        <v>#DIV/0!</v>
      </c>
      <c r="R124" s="60"/>
      <c r="S124" s="62" t="e">
        <f t="shared" ref="S124" si="118">+R124/$M124</f>
        <v>#DIV/0!</v>
      </c>
    </row>
    <row r="125" spans="1:19" ht="43.5" hidden="1" customHeight="1">
      <c r="A125" s="32" t="e">
        <v>#REF!</v>
      </c>
      <c r="B125" s="77" t="s">
        <v>690</v>
      </c>
      <c r="C125" s="52" t="s">
        <v>167</v>
      </c>
      <c r="D125" s="52" t="s">
        <v>171</v>
      </c>
      <c r="E125" s="52" t="s">
        <v>172</v>
      </c>
      <c r="F125" s="52" t="s">
        <v>173</v>
      </c>
      <c r="G125" s="52" t="s">
        <v>175</v>
      </c>
      <c r="H125" s="52" t="s">
        <v>181</v>
      </c>
      <c r="I125" s="52"/>
      <c r="J125" s="53" t="s">
        <v>144</v>
      </c>
      <c r="K125" s="52" t="s">
        <v>29</v>
      </c>
      <c r="L125" s="77" t="s">
        <v>182</v>
      </c>
      <c r="M125" s="54">
        <v>0</v>
      </c>
      <c r="N125" s="54">
        <v>0</v>
      </c>
      <c r="O125" s="55" t="e">
        <f t="shared" si="65"/>
        <v>#DIV/0!</v>
      </c>
      <c r="P125" s="54">
        <v>0</v>
      </c>
      <c r="Q125" s="55" t="e">
        <f t="shared" si="65"/>
        <v>#DIV/0!</v>
      </c>
      <c r="R125" s="54">
        <v>0</v>
      </c>
      <c r="S125" s="55" t="e">
        <f t="shared" ref="S125" si="119">+R125/$M125</f>
        <v>#DIV/0!</v>
      </c>
    </row>
    <row r="126" spans="1:19" ht="24.95" hidden="1" customHeight="1">
      <c r="A126" s="32" t="e">
        <v>#REF!</v>
      </c>
      <c r="B126" s="78" t="s">
        <v>466</v>
      </c>
      <c r="C126" s="79" t="s">
        <v>167</v>
      </c>
      <c r="D126" s="79" t="s">
        <v>171</v>
      </c>
      <c r="E126" s="79" t="s">
        <v>172</v>
      </c>
      <c r="F126" s="79" t="s">
        <v>173</v>
      </c>
      <c r="G126" s="79" t="s">
        <v>175</v>
      </c>
      <c r="H126" s="79" t="s">
        <v>181</v>
      </c>
      <c r="I126" s="79" t="s">
        <v>54</v>
      </c>
      <c r="J126" s="79" t="s">
        <v>144</v>
      </c>
      <c r="K126" s="80" t="s">
        <v>29</v>
      </c>
      <c r="L126" s="59" t="s">
        <v>178</v>
      </c>
      <c r="M126" s="60">
        <v>0</v>
      </c>
      <c r="N126" s="60"/>
      <c r="O126" s="62" t="e">
        <f t="shared" si="65"/>
        <v>#DIV/0!</v>
      </c>
      <c r="P126" s="60"/>
      <c r="Q126" s="62" t="e">
        <f t="shared" si="65"/>
        <v>#DIV/0!</v>
      </c>
      <c r="R126" s="60"/>
      <c r="S126" s="62" t="e">
        <f t="shared" ref="S126" si="120">+R126/$M126</f>
        <v>#DIV/0!</v>
      </c>
    </row>
    <row r="127" spans="1:19" ht="45" hidden="1" customHeight="1">
      <c r="A127" s="32" t="e">
        <v>#REF!</v>
      </c>
      <c r="B127" s="77" t="s">
        <v>691</v>
      </c>
      <c r="C127" s="52" t="s">
        <v>167</v>
      </c>
      <c r="D127" s="52" t="s">
        <v>171</v>
      </c>
      <c r="E127" s="52" t="s">
        <v>172</v>
      </c>
      <c r="F127" s="52" t="s">
        <v>173</v>
      </c>
      <c r="G127" s="52" t="s">
        <v>175</v>
      </c>
      <c r="H127" s="52" t="s">
        <v>183</v>
      </c>
      <c r="I127" s="52"/>
      <c r="J127" s="53" t="s">
        <v>144</v>
      </c>
      <c r="K127" s="52" t="s">
        <v>29</v>
      </c>
      <c r="L127" s="77" t="s">
        <v>184</v>
      </c>
      <c r="M127" s="54">
        <v>0</v>
      </c>
      <c r="N127" s="54">
        <v>0</v>
      </c>
      <c r="O127" s="55" t="e">
        <f t="shared" si="65"/>
        <v>#DIV/0!</v>
      </c>
      <c r="P127" s="54">
        <v>0</v>
      </c>
      <c r="Q127" s="55" t="e">
        <f t="shared" si="65"/>
        <v>#DIV/0!</v>
      </c>
      <c r="R127" s="54">
        <v>0</v>
      </c>
      <c r="S127" s="55" t="e">
        <f t="shared" ref="S127" si="121">+R127/$M127</f>
        <v>#DIV/0!</v>
      </c>
    </row>
    <row r="128" spans="1:19" ht="24.95" hidden="1" customHeight="1">
      <c r="A128" s="32" t="e">
        <v>#REF!</v>
      </c>
      <c r="B128" s="78" t="s">
        <v>470</v>
      </c>
      <c r="C128" s="79" t="s">
        <v>167</v>
      </c>
      <c r="D128" s="79" t="s">
        <v>171</v>
      </c>
      <c r="E128" s="79" t="s">
        <v>172</v>
      </c>
      <c r="F128" s="79" t="s">
        <v>173</v>
      </c>
      <c r="G128" s="79" t="s">
        <v>175</v>
      </c>
      <c r="H128" s="79" t="s">
        <v>183</v>
      </c>
      <c r="I128" s="79" t="s">
        <v>54</v>
      </c>
      <c r="J128" s="79" t="s">
        <v>144</v>
      </c>
      <c r="K128" s="80" t="s">
        <v>29</v>
      </c>
      <c r="L128" s="59" t="s">
        <v>178</v>
      </c>
      <c r="M128" s="60">
        <v>0</v>
      </c>
      <c r="N128" s="60">
        <v>0</v>
      </c>
      <c r="O128" s="62" t="e">
        <f t="shared" si="65"/>
        <v>#DIV/0!</v>
      </c>
      <c r="P128" s="60">
        <v>0</v>
      </c>
      <c r="Q128" s="62" t="e">
        <f t="shared" si="65"/>
        <v>#DIV/0!</v>
      </c>
      <c r="R128" s="60">
        <v>0</v>
      </c>
      <c r="S128" s="62" t="e">
        <f t="shared" ref="S128" si="122">+R128/$M128</f>
        <v>#DIV/0!</v>
      </c>
    </row>
    <row r="129" spans="1:19" ht="33.75" hidden="1" customHeight="1">
      <c r="A129" s="32" t="e">
        <v>#REF!</v>
      </c>
      <c r="B129" s="77" t="s">
        <v>472</v>
      </c>
      <c r="C129" s="52" t="s">
        <v>167</v>
      </c>
      <c r="D129" s="52" t="s">
        <v>171</v>
      </c>
      <c r="E129" s="52" t="s">
        <v>172</v>
      </c>
      <c r="F129" s="52" t="s">
        <v>173</v>
      </c>
      <c r="G129" s="52" t="s">
        <v>175</v>
      </c>
      <c r="H129" s="52" t="s">
        <v>185</v>
      </c>
      <c r="I129" s="52"/>
      <c r="J129" s="53" t="s">
        <v>144</v>
      </c>
      <c r="K129" s="52" t="s">
        <v>29</v>
      </c>
      <c r="L129" s="77" t="s">
        <v>186</v>
      </c>
      <c r="M129" s="54">
        <v>0</v>
      </c>
      <c r="N129" s="54">
        <v>0</v>
      </c>
      <c r="O129" s="55" t="e">
        <f t="shared" si="65"/>
        <v>#DIV/0!</v>
      </c>
      <c r="P129" s="54">
        <v>0</v>
      </c>
      <c r="Q129" s="55" t="e">
        <f t="shared" si="65"/>
        <v>#DIV/0!</v>
      </c>
      <c r="R129" s="54">
        <v>0</v>
      </c>
      <c r="S129" s="55" t="e">
        <f t="shared" ref="S129" si="123">+R129/$M129</f>
        <v>#DIV/0!</v>
      </c>
    </row>
    <row r="130" spans="1:19" ht="24.95" hidden="1" customHeight="1">
      <c r="A130" s="32" t="e">
        <v>#REF!</v>
      </c>
      <c r="B130" s="78" t="s">
        <v>474</v>
      </c>
      <c r="C130" s="79" t="s">
        <v>167</v>
      </c>
      <c r="D130" s="79" t="s">
        <v>171</v>
      </c>
      <c r="E130" s="79" t="s">
        <v>172</v>
      </c>
      <c r="F130" s="79" t="s">
        <v>173</v>
      </c>
      <c r="G130" s="79" t="s">
        <v>175</v>
      </c>
      <c r="H130" s="79" t="s">
        <v>185</v>
      </c>
      <c r="I130" s="79" t="s">
        <v>54</v>
      </c>
      <c r="J130" s="79" t="s">
        <v>144</v>
      </c>
      <c r="K130" s="80" t="s">
        <v>29</v>
      </c>
      <c r="L130" s="59" t="s">
        <v>178</v>
      </c>
      <c r="M130" s="60">
        <v>0</v>
      </c>
      <c r="N130" s="60"/>
      <c r="O130" s="62" t="e">
        <f t="shared" si="65"/>
        <v>#DIV/0!</v>
      </c>
      <c r="P130" s="60"/>
      <c r="Q130" s="62" t="e">
        <f t="shared" si="65"/>
        <v>#DIV/0!</v>
      </c>
      <c r="R130" s="60"/>
      <c r="S130" s="62" t="e">
        <f t="shared" ref="S130" si="124">+R130/$M130</f>
        <v>#DIV/0!</v>
      </c>
    </row>
    <row r="131" spans="1:19" ht="24" hidden="1" customHeight="1">
      <c r="A131" s="32" t="e">
        <v>#REF!</v>
      </c>
      <c r="B131" s="77"/>
      <c r="C131" s="52" t="s">
        <v>167</v>
      </c>
      <c r="D131" s="52" t="s">
        <v>171</v>
      </c>
      <c r="E131" s="52" t="s">
        <v>172</v>
      </c>
      <c r="F131" s="52" t="s">
        <v>173</v>
      </c>
      <c r="G131" s="52" t="s">
        <v>175</v>
      </c>
      <c r="H131" s="52" t="s">
        <v>187</v>
      </c>
      <c r="I131" s="52"/>
      <c r="J131" s="53" t="s">
        <v>144</v>
      </c>
      <c r="K131" s="52" t="s">
        <v>29</v>
      </c>
      <c r="L131" s="77" t="s">
        <v>188</v>
      </c>
      <c r="M131" s="54">
        <v>0</v>
      </c>
      <c r="N131" s="54">
        <v>0</v>
      </c>
      <c r="O131" s="55" t="e">
        <f t="shared" si="65"/>
        <v>#DIV/0!</v>
      </c>
      <c r="P131" s="54">
        <v>0</v>
      </c>
      <c r="Q131" s="55" t="e">
        <f t="shared" si="65"/>
        <v>#DIV/0!</v>
      </c>
      <c r="R131" s="54">
        <v>0</v>
      </c>
      <c r="S131" s="55" t="e">
        <f t="shared" ref="S131" si="125">+R131/$M131</f>
        <v>#DIV/0!</v>
      </c>
    </row>
    <row r="132" spans="1:19" ht="24.95" hidden="1" customHeight="1">
      <c r="A132" s="32" t="e">
        <v>#REF!</v>
      </c>
      <c r="B132" s="78"/>
      <c r="C132" s="79" t="s">
        <v>167</v>
      </c>
      <c r="D132" s="79" t="s">
        <v>171</v>
      </c>
      <c r="E132" s="79" t="s">
        <v>172</v>
      </c>
      <c r="F132" s="79" t="s">
        <v>173</v>
      </c>
      <c r="G132" s="79" t="s">
        <v>175</v>
      </c>
      <c r="H132" s="79" t="s">
        <v>187</v>
      </c>
      <c r="I132" s="79" t="s">
        <v>54</v>
      </c>
      <c r="J132" s="79" t="s">
        <v>144</v>
      </c>
      <c r="K132" s="80" t="s">
        <v>29</v>
      </c>
      <c r="L132" s="59" t="s">
        <v>178</v>
      </c>
      <c r="M132" s="60">
        <v>0</v>
      </c>
      <c r="N132" s="60">
        <v>0</v>
      </c>
      <c r="O132" s="62" t="e">
        <f t="shared" si="65"/>
        <v>#DIV/0!</v>
      </c>
      <c r="P132" s="60">
        <v>0</v>
      </c>
      <c r="Q132" s="62" t="e">
        <f t="shared" si="65"/>
        <v>#DIV/0!</v>
      </c>
      <c r="R132" s="60">
        <v>0</v>
      </c>
      <c r="S132" s="62" t="e">
        <f t="shared" ref="S132" si="126">+R132/$M132</f>
        <v>#DIV/0!</v>
      </c>
    </row>
    <row r="133" spans="1:19" ht="24.95" hidden="1" customHeight="1">
      <c r="A133" s="32" t="e">
        <v>#REF!</v>
      </c>
      <c r="B133" s="78"/>
      <c r="C133" s="79" t="s">
        <v>167</v>
      </c>
      <c r="D133" s="79" t="s">
        <v>171</v>
      </c>
      <c r="E133" s="79" t="s">
        <v>172</v>
      </c>
      <c r="F133" s="79" t="s">
        <v>173</v>
      </c>
      <c r="G133" s="79" t="s">
        <v>175</v>
      </c>
      <c r="H133" s="79" t="s">
        <v>187</v>
      </c>
      <c r="I133" s="79" t="s">
        <v>65</v>
      </c>
      <c r="J133" s="79" t="s">
        <v>144</v>
      </c>
      <c r="K133" s="80" t="s">
        <v>29</v>
      </c>
      <c r="L133" s="59" t="s">
        <v>127</v>
      </c>
      <c r="M133" s="60">
        <v>0</v>
      </c>
      <c r="N133" s="60">
        <v>0</v>
      </c>
      <c r="O133" s="62" t="e">
        <f t="shared" si="65"/>
        <v>#DIV/0!</v>
      </c>
      <c r="P133" s="60">
        <v>0</v>
      </c>
      <c r="Q133" s="62" t="e">
        <f t="shared" si="65"/>
        <v>#DIV/0!</v>
      </c>
      <c r="R133" s="60">
        <v>0</v>
      </c>
      <c r="S133" s="62" t="e">
        <f t="shared" ref="S133" si="127">+R133/$M133</f>
        <v>#DIV/0!</v>
      </c>
    </row>
    <row r="134" spans="1:19" ht="31.5" customHeight="1">
      <c r="A134" s="32" t="e">
        <v>#REF!</v>
      </c>
      <c r="B134" s="38" t="s">
        <v>482</v>
      </c>
      <c r="C134" s="39" t="s">
        <v>167</v>
      </c>
      <c r="D134" s="39">
        <v>4103</v>
      </c>
      <c r="E134" s="39"/>
      <c r="F134" s="39"/>
      <c r="G134" s="39"/>
      <c r="H134" s="39"/>
      <c r="I134" s="39"/>
      <c r="J134" s="39"/>
      <c r="K134" s="40"/>
      <c r="L134" s="38" t="s">
        <v>189</v>
      </c>
      <c r="M134" s="41">
        <v>6462380211524</v>
      </c>
      <c r="N134" s="41">
        <v>806152924105.51001</v>
      </c>
      <c r="O134" s="42">
        <f t="shared" si="65"/>
        <v>0.12474551136250739</v>
      </c>
      <c r="P134" s="41">
        <v>377751745852.40997</v>
      </c>
      <c r="Q134" s="42">
        <f t="shared" si="65"/>
        <v>5.8453964868669668E-2</v>
      </c>
      <c r="R134" s="41">
        <v>375067815228.07996</v>
      </c>
      <c r="S134" s="42">
        <f t="shared" ref="S134" si="128">+R134/$M134</f>
        <v>5.8038648756574641E-2</v>
      </c>
    </row>
    <row r="135" spans="1:19" ht="24" customHeight="1">
      <c r="A135" s="32" t="e">
        <v>#REF!</v>
      </c>
      <c r="B135" s="43" t="s">
        <v>296</v>
      </c>
      <c r="C135" s="44" t="s">
        <v>167</v>
      </c>
      <c r="D135" s="44">
        <v>4103</v>
      </c>
      <c r="E135" s="44">
        <v>1500</v>
      </c>
      <c r="F135" s="44"/>
      <c r="G135" s="44"/>
      <c r="H135" s="44"/>
      <c r="I135" s="44"/>
      <c r="J135" s="44"/>
      <c r="K135" s="45"/>
      <c r="L135" s="43" t="s">
        <v>170</v>
      </c>
      <c r="M135" s="46">
        <v>6462380211524</v>
      </c>
      <c r="N135" s="46">
        <v>806152924105.51001</v>
      </c>
      <c r="O135" s="47">
        <f t="shared" si="65"/>
        <v>0.12474551136250739</v>
      </c>
      <c r="P135" s="46">
        <v>377751745852.40997</v>
      </c>
      <c r="Q135" s="47">
        <f t="shared" si="65"/>
        <v>5.8453964868669668E-2</v>
      </c>
      <c r="R135" s="46">
        <v>375067815228.07996</v>
      </c>
      <c r="S135" s="47">
        <f t="shared" ref="S135" si="129">+R135/$M135</f>
        <v>5.8038648756574641E-2</v>
      </c>
    </row>
    <row r="136" spans="1:19" ht="37.5" customHeight="1">
      <c r="A136" s="32" t="e">
        <v>#REF!</v>
      </c>
      <c r="B136" s="48" t="s">
        <v>297</v>
      </c>
      <c r="C136" s="48" t="s">
        <v>167</v>
      </c>
      <c r="D136" s="48" t="s">
        <v>190</v>
      </c>
      <c r="E136" s="48" t="s">
        <v>172</v>
      </c>
      <c r="F136" s="48" t="s">
        <v>191</v>
      </c>
      <c r="G136" s="48"/>
      <c r="H136" s="48"/>
      <c r="I136" s="48"/>
      <c r="J136" s="49"/>
      <c r="K136" s="48"/>
      <c r="L136" s="48" t="s">
        <v>192</v>
      </c>
      <c r="M136" s="50">
        <v>2437607024958</v>
      </c>
      <c r="N136" s="50">
        <v>86263957481.270004</v>
      </c>
      <c r="O136" s="51">
        <f t="shared" ref="O136:Q199" si="130">+N136/$M136</f>
        <v>3.538878769138612E-2</v>
      </c>
      <c r="P136" s="50">
        <v>73050916031.429993</v>
      </c>
      <c r="Q136" s="51">
        <f t="shared" si="130"/>
        <v>2.9968290739024541E-2</v>
      </c>
      <c r="R136" s="50">
        <v>72594616031.429993</v>
      </c>
      <c r="S136" s="51">
        <f t="shared" ref="S136" si="131">+R136/$M136</f>
        <v>2.978109895818043E-2</v>
      </c>
    </row>
    <row r="137" spans="1:19" ht="27.75" customHeight="1">
      <c r="A137" s="32" t="e">
        <v>#REF!</v>
      </c>
      <c r="B137" s="52" t="s">
        <v>486</v>
      </c>
      <c r="C137" s="52" t="s">
        <v>167</v>
      </c>
      <c r="D137" s="52" t="s">
        <v>190</v>
      </c>
      <c r="E137" s="52" t="s">
        <v>172</v>
      </c>
      <c r="F137" s="52" t="s">
        <v>191</v>
      </c>
      <c r="G137" s="52" t="s">
        <v>175</v>
      </c>
      <c r="H137" s="52" t="s">
        <v>193</v>
      </c>
      <c r="I137" s="52"/>
      <c r="J137" s="53"/>
      <c r="K137" s="52"/>
      <c r="L137" s="52" t="s">
        <v>194</v>
      </c>
      <c r="M137" s="54">
        <v>2430621085885</v>
      </c>
      <c r="N137" s="54">
        <v>86263957481.270004</v>
      </c>
      <c r="O137" s="55">
        <f t="shared" si="130"/>
        <v>3.5490499931156862E-2</v>
      </c>
      <c r="P137" s="54">
        <v>73050916031.429993</v>
      </c>
      <c r="Q137" s="55">
        <f t="shared" si="130"/>
        <v>3.0054423725544135E-2</v>
      </c>
      <c r="R137" s="54">
        <v>72594616031.429993</v>
      </c>
      <c r="S137" s="55">
        <f t="shared" ref="S137" si="132">+R137/$M137</f>
        <v>2.9866693929793655E-2</v>
      </c>
    </row>
    <row r="138" spans="1:19" ht="24.95" customHeight="1">
      <c r="A138" s="32" t="e">
        <v>#REF!</v>
      </c>
      <c r="B138" s="56" t="s">
        <v>488</v>
      </c>
      <c r="C138" s="57" t="s">
        <v>167</v>
      </c>
      <c r="D138" s="57" t="s">
        <v>190</v>
      </c>
      <c r="E138" s="57" t="s">
        <v>172</v>
      </c>
      <c r="F138" s="57" t="s">
        <v>191</v>
      </c>
      <c r="G138" s="57" t="s">
        <v>175</v>
      </c>
      <c r="H138" s="57" t="s">
        <v>193</v>
      </c>
      <c r="I138" s="57" t="s">
        <v>54</v>
      </c>
      <c r="J138" s="57">
        <v>10</v>
      </c>
      <c r="K138" s="58" t="s">
        <v>29</v>
      </c>
      <c r="L138" s="59" t="s">
        <v>178</v>
      </c>
      <c r="M138" s="81">
        <v>117033484003.39999</v>
      </c>
      <c r="N138" s="60">
        <v>18860815231.27</v>
      </c>
      <c r="O138" s="62">
        <f t="shared" si="130"/>
        <v>0.16115742765311564</v>
      </c>
      <c r="P138" s="60">
        <v>5650173781.4300003</v>
      </c>
      <c r="Q138" s="62">
        <f t="shared" si="130"/>
        <v>4.8278266938253794E-2</v>
      </c>
      <c r="R138" s="60">
        <v>5193873781.4300003</v>
      </c>
      <c r="S138" s="62">
        <f t="shared" ref="S138" si="133">+R138/$M138</f>
        <v>4.4379382752367781E-2</v>
      </c>
    </row>
    <row r="139" spans="1:19" ht="24.95" customHeight="1">
      <c r="A139" s="32" t="e">
        <v>#REF!</v>
      </c>
      <c r="B139" s="56" t="s">
        <v>491</v>
      </c>
      <c r="C139" s="57" t="s">
        <v>167</v>
      </c>
      <c r="D139" s="57" t="s">
        <v>190</v>
      </c>
      <c r="E139" s="57" t="s">
        <v>172</v>
      </c>
      <c r="F139" s="57" t="s">
        <v>191</v>
      </c>
      <c r="G139" s="57" t="s">
        <v>175</v>
      </c>
      <c r="H139" s="57" t="s">
        <v>193</v>
      </c>
      <c r="I139" s="57" t="s">
        <v>65</v>
      </c>
      <c r="J139" s="57">
        <v>10</v>
      </c>
      <c r="K139" s="58" t="s">
        <v>29</v>
      </c>
      <c r="L139" s="59" t="s">
        <v>127</v>
      </c>
      <c r="M139" s="81">
        <v>2313587601881.6001</v>
      </c>
      <c r="N139" s="60">
        <v>67403142250</v>
      </c>
      <c r="O139" s="62">
        <f t="shared" si="130"/>
        <v>2.9133602805954791E-2</v>
      </c>
      <c r="P139" s="60">
        <v>67400742250</v>
      </c>
      <c r="Q139" s="62">
        <f t="shared" si="130"/>
        <v>2.9132565455997499E-2</v>
      </c>
      <c r="R139" s="60">
        <v>67400742250</v>
      </c>
      <c r="S139" s="62">
        <f t="shared" ref="S139" si="134">+R139/$M139</f>
        <v>2.9132565455997499E-2</v>
      </c>
    </row>
    <row r="140" spans="1:19" ht="28.5" customHeight="1">
      <c r="A140" s="32" t="e">
        <v>#REF!</v>
      </c>
      <c r="B140" s="52" t="s">
        <v>494</v>
      </c>
      <c r="C140" s="52" t="s">
        <v>167</v>
      </c>
      <c r="D140" s="52" t="s">
        <v>190</v>
      </c>
      <c r="E140" s="52" t="s">
        <v>172</v>
      </c>
      <c r="F140" s="52" t="s">
        <v>191</v>
      </c>
      <c r="G140" s="52" t="s">
        <v>175</v>
      </c>
      <c r="H140" s="52">
        <v>4103009</v>
      </c>
      <c r="I140" s="52"/>
      <c r="J140" s="53"/>
      <c r="K140" s="52" t="s">
        <v>29</v>
      </c>
      <c r="L140" s="52" t="s">
        <v>195</v>
      </c>
      <c r="M140" s="54">
        <v>6385939073</v>
      </c>
      <c r="N140" s="54">
        <v>0</v>
      </c>
      <c r="O140" s="55">
        <f t="shared" si="130"/>
        <v>0</v>
      </c>
      <c r="P140" s="54">
        <v>0</v>
      </c>
      <c r="Q140" s="55">
        <f t="shared" si="130"/>
        <v>0</v>
      </c>
      <c r="R140" s="54">
        <v>0</v>
      </c>
      <c r="S140" s="55">
        <f t="shared" ref="S140" si="135">+R140/$M140</f>
        <v>0</v>
      </c>
    </row>
    <row r="141" spans="1:19" ht="24.95" customHeight="1">
      <c r="A141" s="32" t="e">
        <v>#REF!</v>
      </c>
      <c r="B141" s="56" t="s">
        <v>496</v>
      </c>
      <c r="C141" s="57" t="s">
        <v>167</v>
      </c>
      <c r="D141" s="57" t="s">
        <v>190</v>
      </c>
      <c r="E141" s="57" t="s">
        <v>172</v>
      </c>
      <c r="F141" s="57" t="s">
        <v>191</v>
      </c>
      <c r="G141" s="57" t="s">
        <v>175</v>
      </c>
      <c r="H141" s="57">
        <v>4103009</v>
      </c>
      <c r="I141" s="57" t="s">
        <v>54</v>
      </c>
      <c r="J141" s="57">
        <v>10</v>
      </c>
      <c r="K141" s="58" t="s">
        <v>29</v>
      </c>
      <c r="L141" s="59" t="s">
        <v>178</v>
      </c>
      <c r="M141" s="81">
        <v>6385939073</v>
      </c>
      <c r="N141" s="60">
        <v>0</v>
      </c>
      <c r="O141" s="62">
        <f t="shared" si="130"/>
        <v>0</v>
      </c>
      <c r="P141" s="60">
        <v>0</v>
      </c>
      <c r="Q141" s="62">
        <f t="shared" si="130"/>
        <v>0</v>
      </c>
      <c r="R141" s="60">
        <v>0</v>
      </c>
      <c r="S141" s="62">
        <f t="shared" ref="S141" si="136">+R141/$M141</f>
        <v>0</v>
      </c>
    </row>
    <row r="142" spans="1:19" ht="27.75" customHeight="1">
      <c r="A142" s="32" t="e">
        <v>#REF!</v>
      </c>
      <c r="B142" s="52" t="s">
        <v>497</v>
      </c>
      <c r="C142" s="52" t="s">
        <v>167</v>
      </c>
      <c r="D142" s="52" t="s">
        <v>190</v>
      </c>
      <c r="E142" s="52" t="s">
        <v>172</v>
      </c>
      <c r="F142" s="52" t="s">
        <v>191</v>
      </c>
      <c r="G142" s="52" t="s">
        <v>175</v>
      </c>
      <c r="H142" s="52">
        <v>4103047</v>
      </c>
      <c r="I142" s="52"/>
      <c r="J142" s="53"/>
      <c r="K142" s="52" t="s">
        <v>29</v>
      </c>
      <c r="L142" s="52" t="s">
        <v>195</v>
      </c>
      <c r="M142" s="54">
        <v>600000000</v>
      </c>
      <c r="N142" s="54">
        <v>0</v>
      </c>
      <c r="O142" s="55">
        <f t="shared" si="130"/>
        <v>0</v>
      </c>
      <c r="P142" s="54">
        <v>0</v>
      </c>
      <c r="Q142" s="55">
        <f t="shared" si="130"/>
        <v>0</v>
      </c>
      <c r="R142" s="54">
        <v>0</v>
      </c>
      <c r="S142" s="55">
        <f t="shared" ref="S142" si="137">+R142/$M142</f>
        <v>0</v>
      </c>
    </row>
    <row r="143" spans="1:19" ht="24.95" customHeight="1">
      <c r="A143" s="32" t="e">
        <v>#REF!</v>
      </c>
      <c r="B143" s="56" t="s">
        <v>498</v>
      </c>
      <c r="C143" s="57" t="s">
        <v>167</v>
      </c>
      <c r="D143" s="57" t="s">
        <v>190</v>
      </c>
      <c r="E143" s="57" t="s">
        <v>172</v>
      </c>
      <c r="F143" s="57" t="s">
        <v>191</v>
      </c>
      <c r="G143" s="57" t="s">
        <v>175</v>
      </c>
      <c r="H143" s="57">
        <v>4103047</v>
      </c>
      <c r="I143" s="57" t="s">
        <v>54</v>
      </c>
      <c r="J143" s="57">
        <v>10</v>
      </c>
      <c r="K143" s="58" t="s">
        <v>29</v>
      </c>
      <c r="L143" s="59" t="s">
        <v>178</v>
      </c>
      <c r="M143" s="60">
        <v>600000000</v>
      </c>
      <c r="N143" s="60">
        <v>0</v>
      </c>
      <c r="O143" s="62">
        <f t="shared" si="130"/>
        <v>0</v>
      </c>
      <c r="P143" s="60">
        <v>0</v>
      </c>
      <c r="Q143" s="62">
        <f t="shared" si="130"/>
        <v>0</v>
      </c>
      <c r="R143" s="60">
        <v>0</v>
      </c>
      <c r="S143" s="62">
        <f t="shared" ref="S143" si="138">+R143/$M143</f>
        <v>0</v>
      </c>
    </row>
    <row r="144" spans="1:19" ht="42" customHeight="1">
      <c r="A144" s="32" t="e">
        <v>#REF!</v>
      </c>
      <c r="B144" s="48" t="s">
        <v>298</v>
      </c>
      <c r="C144" s="48" t="s">
        <v>167</v>
      </c>
      <c r="D144" s="48" t="s">
        <v>190</v>
      </c>
      <c r="E144" s="48" t="s">
        <v>172</v>
      </c>
      <c r="F144" s="48" t="s">
        <v>22</v>
      </c>
      <c r="G144" s="48"/>
      <c r="H144" s="48"/>
      <c r="I144" s="48"/>
      <c r="J144" s="49"/>
      <c r="K144" s="48"/>
      <c r="L144" s="48" t="s">
        <v>196</v>
      </c>
      <c r="M144" s="50">
        <v>40000000000</v>
      </c>
      <c r="N144" s="50">
        <v>8494593981</v>
      </c>
      <c r="O144" s="51">
        <f t="shared" si="130"/>
        <v>0.21236484952500001</v>
      </c>
      <c r="P144" s="50">
        <v>149034183</v>
      </c>
      <c r="Q144" s="51">
        <f t="shared" si="130"/>
        <v>3.7258545750000001E-3</v>
      </c>
      <c r="R144" s="50">
        <v>90034183</v>
      </c>
      <c r="S144" s="51">
        <f t="shared" ref="S144" si="139">+R144/$M144</f>
        <v>2.2508545749999999E-3</v>
      </c>
    </row>
    <row r="145" spans="1:19" ht="27.75" customHeight="1">
      <c r="A145" s="32" t="e">
        <v>#REF!</v>
      </c>
      <c r="B145" s="52" t="s">
        <v>500</v>
      </c>
      <c r="C145" s="52" t="s">
        <v>167</v>
      </c>
      <c r="D145" s="52" t="s">
        <v>190</v>
      </c>
      <c r="E145" s="52" t="s">
        <v>172</v>
      </c>
      <c r="F145" s="52" t="s">
        <v>22</v>
      </c>
      <c r="G145" s="52" t="s">
        <v>175</v>
      </c>
      <c r="H145" s="52" t="s">
        <v>197</v>
      </c>
      <c r="I145" s="52"/>
      <c r="J145" s="53"/>
      <c r="K145" s="52" t="s">
        <v>29</v>
      </c>
      <c r="L145" s="52" t="s">
        <v>198</v>
      </c>
      <c r="M145" s="54">
        <v>2721167612</v>
      </c>
      <c r="N145" s="54">
        <v>221895258</v>
      </c>
      <c r="O145" s="55">
        <f t="shared" si="130"/>
        <v>8.1544134591882686E-2</v>
      </c>
      <c r="P145" s="54">
        <v>0</v>
      </c>
      <c r="Q145" s="55">
        <f t="shared" si="130"/>
        <v>0</v>
      </c>
      <c r="R145" s="54">
        <v>0</v>
      </c>
      <c r="S145" s="55">
        <f t="shared" ref="S145" si="140">+R145/$M145</f>
        <v>0</v>
      </c>
    </row>
    <row r="146" spans="1:19" ht="24.95" customHeight="1">
      <c r="A146" s="32" t="e">
        <v>#REF!</v>
      </c>
      <c r="B146" s="56" t="s">
        <v>501</v>
      </c>
      <c r="C146" s="57" t="s">
        <v>167</v>
      </c>
      <c r="D146" s="57" t="s">
        <v>190</v>
      </c>
      <c r="E146" s="57" t="s">
        <v>172</v>
      </c>
      <c r="F146" s="57" t="s">
        <v>22</v>
      </c>
      <c r="G146" s="57" t="s">
        <v>175</v>
      </c>
      <c r="H146" s="57" t="s">
        <v>197</v>
      </c>
      <c r="I146" s="57" t="s">
        <v>54</v>
      </c>
      <c r="J146" s="57">
        <v>11</v>
      </c>
      <c r="K146" s="58" t="s">
        <v>29</v>
      </c>
      <c r="L146" s="59" t="s">
        <v>178</v>
      </c>
      <c r="M146" s="81">
        <v>2721167612</v>
      </c>
      <c r="N146" s="60">
        <v>221895258</v>
      </c>
      <c r="O146" s="62">
        <f t="shared" si="130"/>
        <v>8.1544134591882686E-2</v>
      </c>
      <c r="P146" s="60">
        <v>0</v>
      </c>
      <c r="Q146" s="62">
        <f t="shared" si="130"/>
        <v>0</v>
      </c>
      <c r="R146" s="60">
        <v>0</v>
      </c>
      <c r="S146" s="62">
        <f t="shared" ref="S146" si="141">+R146/$M146</f>
        <v>0</v>
      </c>
    </row>
    <row r="147" spans="1:19" ht="27.75" customHeight="1">
      <c r="A147" s="32" t="e">
        <v>#REF!</v>
      </c>
      <c r="B147" s="52" t="s">
        <v>502</v>
      </c>
      <c r="C147" s="52" t="s">
        <v>167</v>
      </c>
      <c r="D147" s="52" t="s">
        <v>190</v>
      </c>
      <c r="E147" s="52" t="s">
        <v>172</v>
      </c>
      <c r="F147" s="52" t="s">
        <v>22</v>
      </c>
      <c r="G147" s="52" t="s">
        <v>175</v>
      </c>
      <c r="H147" s="52" t="s">
        <v>199</v>
      </c>
      <c r="I147" s="52"/>
      <c r="J147" s="53"/>
      <c r="K147" s="52" t="s">
        <v>29</v>
      </c>
      <c r="L147" s="52" t="s">
        <v>200</v>
      </c>
      <c r="M147" s="54">
        <v>2097587400</v>
      </c>
      <c r="N147" s="54">
        <v>295860342</v>
      </c>
      <c r="O147" s="55">
        <f t="shared" si="130"/>
        <v>0.14104792105444569</v>
      </c>
      <c r="P147" s="54">
        <v>0</v>
      </c>
      <c r="Q147" s="55">
        <f t="shared" si="130"/>
        <v>0</v>
      </c>
      <c r="R147" s="54">
        <v>0</v>
      </c>
      <c r="S147" s="55">
        <f t="shared" ref="S147" si="142">+R147/$M147</f>
        <v>0</v>
      </c>
    </row>
    <row r="148" spans="1:19" ht="24.95" customHeight="1">
      <c r="A148" s="32" t="e">
        <v>#REF!</v>
      </c>
      <c r="B148" s="56" t="s">
        <v>503</v>
      </c>
      <c r="C148" s="57" t="s">
        <v>167</v>
      </c>
      <c r="D148" s="57" t="s">
        <v>190</v>
      </c>
      <c r="E148" s="57" t="s">
        <v>172</v>
      </c>
      <c r="F148" s="57" t="s">
        <v>22</v>
      </c>
      <c r="G148" s="57" t="s">
        <v>175</v>
      </c>
      <c r="H148" s="57" t="s">
        <v>199</v>
      </c>
      <c r="I148" s="57" t="s">
        <v>54</v>
      </c>
      <c r="J148" s="57">
        <v>11</v>
      </c>
      <c r="K148" s="58" t="s">
        <v>29</v>
      </c>
      <c r="L148" s="59" t="s">
        <v>178</v>
      </c>
      <c r="M148" s="60">
        <v>2097587400</v>
      </c>
      <c r="N148" s="60">
        <v>295860342</v>
      </c>
      <c r="O148" s="62">
        <f t="shared" si="130"/>
        <v>0.14104792105444569</v>
      </c>
      <c r="P148" s="60">
        <v>0</v>
      </c>
      <c r="Q148" s="62">
        <f t="shared" si="130"/>
        <v>0</v>
      </c>
      <c r="R148" s="60">
        <v>0</v>
      </c>
      <c r="S148" s="62">
        <f t="shared" ref="S148" si="143">+R148/$M148</f>
        <v>0</v>
      </c>
    </row>
    <row r="149" spans="1:19" ht="43.5" customHeight="1">
      <c r="A149" s="32" t="e">
        <v>#REF!</v>
      </c>
      <c r="B149" s="52" t="s">
        <v>504</v>
      </c>
      <c r="C149" s="52" t="s">
        <v>167</v>
      </c>
      <c r="D149" s="52" t="s">
        <v>190</v>
      </c>
      <c r="E149" s="52" t="s">
        <v>172</v>
      </c>
      <c r="F149" s="52" t="s">
        <v>22</v>
      </c>
      <c r="G149" s="52" t="s">
        <v>175</v>
      </c>
      <c r="H149" s="52" t="s">
        <v>201</v>
      </c>
      <c r="I149" s="52"/>
      <c r="J149" s="53"/>
      <c r="K149" s="52" t="s">
        <v>29</v>
      </c>
      <c r="L149" s="52" t="s">
        <v>202</v>
      </c>
      <c r="M149" s="54">
        <v>2265502874</v>
      </c>
      <c r="N149" s="54">
        <v>947136284</v>
      </c>
      <c r="O149" s="55">
        <f t="shared" si="130"/>
        <v>0.41806889537408726</v>
      </c>
      <c r="P149" s="54">
        <v>149034183</v>
      </c>
      <c r="Q149" s="55">
        <f t="shared" si="130"/>
        <v>6.5784150931957719E-2</v>
      </c>
      <c r="R149" s="54">
        <v>90034183</v>
      </c>
      <c r="S149" s="55">
        <f t="shared" ref="S149" si="144">+R149/$M149</f>
        <v>3.9741367814305407E-2</v>
      </c>
    </row>
    <row r="150" spans="1:19" ht="24.95" customHeight="1">
      <c r="A150" s="32" t="e">
        <v>#REF!</v>
      </c>
      <c r="B150" s="56" t="s">
        <v>505</v>
      </c>
      <c r="C150" s="57" t="s">
        <v>167</v>
      </c>
      <c r="D150" s="57" t="s">
        <v>190</v>
      </c>
      <c r="E150" s="57" t="s">
        <v>172</v>
      </c>
      <c r="F150" s="57" t="s">
        <v>22</v>
      </c>
      <c r="G150" s="57" t="s">
        <v>175</v>
      </c>
      <c r="H150" s="57" t="s">
        <v>201</v>
      </c>
      <c r="I150" s="57" t="s">
        <v>54</v>
      </c>
      <c r="J150" s="57">
        <v>11</v>
      </c>
      <c r="K150" s="58" t="s">
        <v>29</v>
      </c>
      <c r="L150" s="59" t="s">
        <v>178</v>
      </c>
      <c r="M150" s="60">
        <v>2265502874</v>
      </c>
      <c r="N150" s="60">
        <v>947136284</v>
      </c>
      <c r="O150" s="62">
        <f t="shared" si="130"/>
        <v>0.41806889537408726</v>
      </c>
      <c r="P150" s="60">
        <v>149034183</v>
      </c>
      <c r="Q150" s="62">
        <f t="shared" si="130"/>
        <v>6.5784150931957719E-2</v>
      </c>
      <c r="R150" s="60">
        <v>90034183</v>
      </c>
      <c r="S150" s="62">
        <f t="shared" ref="S150" si="145">+R150/$M150</f>
        <v>3.9741367814305407E-2</v>
      </c>
    </row>
    <row r="151" spans="1:19" ht="44.25" customHeight="1">
      <c r="A151" s="32" t="e">
        <v>#REF!</v>
      </c>
      <c r="B151" s="52" t="s">
        <v>506</v>
      </c>
      <c r="C151" s="52" t="s">
        <v>167</v>
      </c>
      <c r="D151" s="52" t="s">
        <v>190</v>
      </c>
      <c r="E151" s="52" t="s">
        <v>172</v>
      </c>
      <c r="F151" s="52" t="s">
        <v>22</v>
      </c>
      <c r="G151" s="52" t="s">
        <v>175</v>
      </c>
      <c r="H151" s="52" t="s">
        <v>203</v>
      </c>
      <c r="I151" s="52"/>
      <c r="J151" s="53"/>
      <c r="K151" s="52" t="s">
        <v>29</v>
      </c>
      <c r="L151" s="52" t="s">
        <v>204</v>
      </c>
      <c r="M151" s="54">
        <v>32915742114</v>
      </c>
      <c r="N151" s="54">
        <v>7029702097</v>
      </c>
      <c r="O151" s="55">
        <f t="shared" si="130"/>
        <v>0.21356656862401616</v>
      </c>
      <c r="P151" s="54">
        <v>0</v>
      </c>
      <c r="Q151" s="55">
        <f t="shared" si="130"/>
        <v>0</v>
      </c>
      <c r="R151" s="54">
        <v>0</v>
      </c>
      <c r="S151" s="55">
        <f t="shared" ref="S151" si="146">+R151/$M151</f>
        <v>0</v>
      </c>
    </row>
    <row r="152" spans="1:19" ht="24.95" customHeight="1">
      <c r="A152" s="32" t="e">
        <v>#REF!</v>
      </c>
      <c r="B152" s="56" t="s">
        <v>507</v>
      </c>
      <c r="C152" s="57" t="s">
        <v>167</v>
      </c>
      <c r="D152" s="57" t="s">
        <v>190</v>
      </c>
      <c r="E152" s="57" t="s">
        <v>172</v>
      </c>
      <c r="F152" s="57" t="s">
        <v>22</v>
      </c>
      <c r="G152" s="57" t="s">
        <v>175</v>
      </c>
      <c r="H152" s="57" t="s">
        <v>203</v>
      </c>
      <c r="I152" s="57" t="s">
        <v>54</v>
      </c>
      <c r="J152" s="57">
        <v>11</v>
      </c>
      <c r="K152" s="58" t="s">
        <v>29</v>
      </c>
      <c r="L152" s="59" t="s">
        <v>178</v>
      </c>
      <c r="M152" s="60">
        <v>32915742114</v>
      </c>
      <c r="N152" s="60">
        <v>7029702097</v>
      </c>
      <c r="O152" s="62">
        <f t="shared" si="130"/>
        <v>0.21356656862401616</v>
      </c>
      <c r="P152" s="60">
        <v>0</v>
      </c>
      <c r="Q152" s="62">
        <f t="shared" si="130"/>
        <v>0</v>
      </c>
      <c r="R152" s="60">
        <v>0</v>
      </c>
      <c r="S152" s="62">
        <f t="shared" ref="S152" si="147">+R152/$M152</f>
        <v>0</v>
      </c>
    </row>
    <row r="153" spans="1:19" ht="45.75" customHeight="1">
      <c r="A153" s="32" t="e">
        <v>#REF!</v>
      </c>
      <c r="B153" s="48" t="s">
        <v>299</v>
      </c>
      <c r="C153" s="48" t="s">
        <v>167</v>
      </c>
      <c r="D153" s="48" t="s">
        <v>190</v>
      </c>
      <c r="E153" s="48" t="s">
        <v>172</v>
      </c>
      <c r="F153" s="48" t="s">
        <v>205</v>
      </c>
      <c r="G153" s="48"/>
      <c r="H153" s="48"/>
      <c r="I153" s="48"/>
      <c r="J153" s="49"/>
      <c r="K153" s="48"/>
      <c r="L153" s="48" t="s">
        <v>206</v>
      </c>
      <c r="M153" s="50">
        <v>947599205073</v>
      </c>
      <c r="N153" s="50">
        <v>372764917996.51001</v>
      </c>
      <c r="O153" s="51">
        <f t="shared" si="130"/>
        <v>0.39337825105899427</v>
      </c>
      <c r="P153" s="50">
        <v>33926686965.190002</v>
      </c>
      <c r="Q153" s="51">
        <f t="shared" si="130"/>
        <v>3.5802781158492426E-2</v>
      </c>
      <c r="R153" s="50">
        <v>31997156340.860001</v>
      </c>
      <c r="S153" s="51">
        <f t="shared" ref="S153" si="148">+R153/$M153</f>
        <v>3.3766550425076647E-2</v>
      </c>
    </row>
    <row r="154" spans="1:19" ht="24" hidden="1" customHeight="1">
      <c r="A154" s="32"/>
      <c r="B154" s="52"/>
      <c r="C154" s="52"/>
      <c r="D154" s="52"/>
      <c r="E154" s="52"/>
      <c r="F154" s="52"/>
      <c r="G154" s="52"/>
      <c r="H154" s="52"/>
      <c r="I154" s="52"/>
      <c r="J154" s="53"/>
      <c r="K154" s="52"/>
      <c r="L154" s="52"/>
      <c r="M154" s="54">
        <v>0</v>
      </c>
      <c r="N154" s="54"/>
      <c r="O154" s="55" t="e">
        <f t="shared" si="130"/>
        <v>#DIV/0!</v>
      </c>
      <c r="P154" s="54"/>
      <c r="Q154" s="55" t="e">
        <f t="shared" si="130"/>
        <v>#DIV/0!</v>
      </c>
      <c r="R154" s="54"/>
      <c r="S154" s="55" t="e">
        <f t="shared" ref="S154" si="149">+R154/$M154</f>
        <v>#DIV/0!</v>
      </c>
    </row>
    <row r="155" spans="1:19" ht="30.75" customHeight="1">
      <c r="A155" s="32" t="e">
        <v>#REF!</v>
      </c>
      <c r="B155" s="52" t="s">
        <v>510</v>
      </c>
      <c r="C155" s="52" t="s">
        <v>167</v>
      </c>
      <c r="D155" s="52" t="s">
        <v>190</v>
      </c>
      <c r="E155" s="52" t="s">
        <v>172</v>
      </c>
      <c r="F155" s="52" t="s">
        <v>205</v>
      </c>
      <c r="G155" s="52" t="s">
        <v>175</v>
      </c>
      <c r="H155" s="52" t="s">
        <v>207</v>
      </c>
      <c r="I155" s="52"/>
      <c r="J155" s="53"/>
      <c r="K155" s="52"/>
      <c r="L155" s="52" t="s">
        <v>208</v>
      </c>
      <c r="M155" s="54">
        <v>918263049313</v>
      </c>
      <c r="N155" s="54">
        <v>364914638564.14001</v>
      </c>
      <c r="O155" s="55">
        <f t="shared" si="130"/>
        <v>0.39739662707450929</v>
      </c>
      <c r="P155" s="54">
        <v>32693271334.860001</v>
      </c>
      <c r="Q155" s="55">
        <f t="shared" si="130"/>
        <v>3.5603383321717592E-2</v>
      </c>
      <c r="R155" s="54">
        <v>31041974044.529999</v>
      </c>
      <c r="S155" s="55">
        <f t="shared" ref="S155" si="150">+R155/$M155</f>
        <v>3.3805099821618764E-2</v>
      </c>
    </row>
    <row r="156" spans="1:19" ht="24.95" customHeight="1">
      <c r="A156" s="32" t="e">
        <v>#REF!</v>
      </c>
      <c r="B156" s="56" t="s">
        <v>511</v>
      </c>
      <c r="C156" s="57" t="s">
        <v>167</v>
      </c>
      <c r="D156" s="57" t="s">
        <v>190</v>
      </c>
      <c r="E156" s="57" t="s">
        <v>172</v>
      </c>
      <c r="F156" s="57" t="s">
        <v>205</v>
      </c>
      <c r="G156" s="57" t="s">
        <v>175</v>
      </c>
      <c r="H156" s="57" t="s">
        <v>207</v>
      </c>
      <c r="I156" s="57" t="s">
        <v>54</v>
      </c>
      <c r="J156" s="57">
        <v>11</v>
      </c>
      <c r="K156" s="58" t="s">
        <v>29</v>
      </c>
      <c r="L156" s="59" t="s">
        <v>178</v>
      </c>
      <c r="M156" s="81">
        <v>101740918684</v>
      </c>
      <c r="N156" s="60">
        <v>52729723927.139999</v>
      </c>
      <c r="O156" s="62">
        <f t="shared" si="130"/>
        <v>0.51827450163797661</v>
      </c>
      <c r="P156" s="60">
        <v>4871723174.8500004</v>
      </c>
      <c r="Q156" s="62">
        <f t="shared" si="130"/>
        <v>4.78836169150509E-2</v>
      </c>
      <c r="R156" s="60">
        <v>3220425885.52</v>
      </c>
      <c r="S156" s="62">
        <f t="shared" ref="S156" si="151">+R156/$M156</f>
        <v>3.1653202341551605E-2</v>
      </c>
    </row>
    <row r="157" spans="1:19" ht="24.95" customHeight="1">
      <c r="A157" s="32" t="e">
        <v>#REF!</v>
      </c>
      <c r="B157" s="56" t="s">
        <v>514</v>
      </c>
      <c r="C157" s="57" t="s">
        <v>167</v>
      </c>
      <c r="D157" s="57" t="s">
        <v>190</v>
      </c>
      <c r="E157" s="57" t="s">
        <v>172</v>
      </c>
      <c r="F157" s="57" t="s">
        <v>205</v>
      </c>
      <c r="G157" s="57" t="s">
        <v>175</v>
      </c>
      <c r="H157" s="57" t="s">
        <v>207</v>
      </c>
      <c r="I157" s="57" t="s">
        <v>65</v>
      </c>
      <c r="J157" s="57">
        <v>11</v>
      </c>
      <c r="K157" s="58" t="s">
        <v>29</v>
      </c>
      <c r="L157" s="59" t="s">
        <v>127</v>
      </c>
      <c r="M157" s="81">
        <v>816522130629</v>
      </c>
      <c r="N157" s="60">
        <v>312184914637</v>
      </c>
      <c r="O157" s="62">
        <f t="shared" si="130"/>
        <v>0.38233490915489499</v>
      </c>
      <c r="P157" s="60">
        <v>27821548160.009998</v>
      </c>
      <c r="Q157" s="62">
        <f t="shared" si="130"/>
        <v>3.4073232208143504E-2</v>
      </c>
      <c r="R157" s="60">
        <v>27821548159.009998</v>
      </c>
      <c r="S157" s="62">
        <f t="shared" ref="S157" si="152">+R157/$M157</f>
        <v>3.4073232206918797E-2</v>
      </c>
    </row>
    <row r="158" spans="1:19" ht="27.75" customHeight="1">
      <c r="A158" s="32" t="e">
        <v>#REF!</v>
      </c>
      <c r="B158" s="52" t="s">
        <v>516</v>
      </c>
      <c r="C158" s="52" t="s">
        <v>167</v>
      </c>
      <c r="D158" s="52" t="s">
        <v>190</v>
      </c>
      <c r="E158" s="52" t="s">
        <v>172</v>
      </c>
      <c r="F158" s="52" t="s">
        <v>205</v>
      </c>
      <c r="G158" s="52" t="s">
        <v>175</v>
      </c>
      <c r="H158" s="52" t="s">
        <v>209</v>
      </c>
      <c r="I158" s="52"/>
      <c r="J158" s="53"/>
      <c r="K158" s="52" t="s">
        <v>29</v>
      </c>
      <c r="L158" s="52" t="s">
        <v>210</v>
      </c>
      <c r="M158" s="54">
        <v>29336155760</v>
      </c>
      <c r="N158" s="54">
        <v>7850279432.3699999</v>
      </c>
      <c r="O158" s="55">
        <f t="shared" si="130"/>
        <v>0.26759741448720753</v>
      </c>
      <c r="P158" s="54">
        <v>1233415630.3299999</v>
      </c>
      <c r="Q158" s="55">
        <f t="shared" si="130"/>
        <v>4.2044214668772943E-2</v>
      </c>
      <c r="R158" s="54">
        <v>955182296.33000004</v>
      </c>
      <c r="S158" s="55">
        <f t="shared" ref="S158" si="153">+R158/$M158</f>
        <v>3.2559899945458978E-2</v>
      </c>
    </row>
    <row r="159" spans="1:19" ht="24.95" customHeight="1">
      <c r="A159" s="32" t="e">
        <v>#REF!</v>
      </c>
      <c r="B159" s="56" t="s">
        <v>517</v>
      </c>
      <c r="C159" s="57" t="s">
        <v>167</v>
      </c>
      <c r="D159" s="57" t="s">
        <v>190</v>
      </c>
      <c r="E159" s="57" t="s">
        <v>172</v>
      </c>
      <c r="F159" s="57" t="s">
        <v>205</v>
      </c>
      <c r="G159" s="57" t="s">
        <v>175</v>
      </c>
      <c r="H159" s="57" t="s">
        <v>209</v>
      </c>
      <c r="I159" s="57" t="s">
        <v>54</v>
      </c>
      <c r="J159" s="57">
        <v>11</v>
      </c>
      <c r="K159" s="58" t="s">
        <v>29</v>
      </c>
      <c r="L159" s="59" t="s">
        <v>178</v>
      </c>
      <c r="M159" s="81">
        <v>29336155760</v>
      </c>
      <c r="N159" s="60">
        <v>7850279432.3699999</v>
      </c>
      <c r="O159" s="62">
        <f t="shared" si="130"/>
        <v>0.26759741448720753</v>
      </c>
      <c r="P159" s="60">
        <v>1233415630.3299999</v>
      </c>
      <c r="Q159" s="62">
        <f t="shared" si="130"/>
        <v>4.2044214668772943E-2</v>
      </c>
      <c r="R159" s="60">
        <v>955182296.33000004</v>
      </c>
      <c r="S159" s="62">
        <f t="shared" ref="S159" si="154">+R159/$M159</f>
        <v>3.2559899945458978E-2</v>
      </c>
    </row>
    <row r="160" spans="1:19" ht="36" customHeight="1">
      <c r="A160" s="32" t="e">
        <v>#REF!</v>
      </c>
      <c r="B160" s="48" t="s">
        <v>520</v>
      </c>
      <c r="C160" s="48" t="s">
        <v>167</v>
      </c>
      <c r="D160" s="48" t="s">
        <v>190</v>
      </c>
      <c r="E160" s="48" t="s">
        <v>172</v>
      </c>
      <c r="F160" s="48" t="s">
        <v>211</v>
      </c>
      <c r="G160" s="48"/>
      <c r="H160" s="48"/>
      <c r="I160" s="48"/>
      <c r="J160" s="49"/>
      <c r="K160" s="48"/>
      <c r="L160" s="48" t="s">
        <v>212</v>
      </c>
      <c r="M160" s="50">
        <v>500000000</v>
      </c>
      <c r="N160" s="50">
        <v>0</v>
      </c>
      <c r="O160" s="51">
        <f t="shared" si="130"/>
        <v>0</v>
      </c>
      <c r="P160" s="50">
        <v>0</v>
      </c>
      <c r="Q160" s="51">
        <f t="shared" si="130"/>
        <v>0</v>
      </c>
      <c r="R160" s="50">
        <v>0</v>
      </c>
      <c r="S160" s="51">
        <f t="shared" ref="S160" si="155">+R160/$M160</f>
        <v>0</v>
      </c>
    </row>
    <row r="161" spans="1:19" ht="28.5" customHeight="1">
      <c r="A161" s="32" t="e">
        <v>#REF!</v>
      </c>
      <c r="B161" s="52" t="s">
        <v>522</v>
      </c>
      <c r="C161" s="52" t="s">
        <v>167</v>
      </c>
      <c r="D161" s="52" t="s">
        <v>190</v>
      </c>
      <c r="E161" s="52" t="s">
        <v>172</v>
      </c>
      <c r="F161" s="52" t="s">
        <v>211</v>
      </c>
      <c r="G161" s="52" t="s">
        <v>175</v>
      </c>
      <c r="H161" s="52" t="s">
        <v>213</v>
      </c>
      <c r="I161" s="52"/>
      <c r="J161" s="53"/>
      <c r="K161" s="52" t="s">
        <v>29</v>
      </c>
      <c r="L161" s="52" t="s">
        <v>214</v>
      </c>
      <c r="M161" s="54">
        <v>410000000</v>
      </c>
      <c r="N161" s="54">
        <v>0</v>
      </c>
      <c r="O161" s="55">
        <f t="shared" si="130"/>
        <v>0</v>
      </c>
      <c r="P161" s="54">
        <v>0</v>
      </c>
      <c r="Q161" s="55">
        <f t="shared" si="130"/>
        <v>0</v>
      </c>
      <c r="R161" s="54">
        <v>0</v>
      </c>
      <c r="S161" s="55">
        <f t="shared" ref="S161" si="156">+R161/$M161</f>
        <v>0</v>
      </c>
    </row>
    <row r="162" spans="1:19" ht="24.95" customHeight="1">
      <c r="A162" s="32" t="e">
        <v>#REF!</v>
      </c>
      <c r="B162" s="56" t="s">
        <v>524</v>
      </c>
      <c r="C162" s="57" t="s">
        <v>167</v>
      </c>
      <c r="D162" s="57" t="s">
        <v>190</v>
      </c>
      <c r="E162" s="57" t="s">
        <v>172</v>
      </c>
      <c r="F162" s="57" t="s">
        <v>211</v>
      </c>
      <c r="G162" s="57" t="s">
        <v>175</v>
      </c>
      <c r="H162" s="57" t="s">
        <v>213</v>
      </c>
      <c r="I162" s="57" t="s">
        <v>54</v>
      </c>
      <c r="J162" s="57">
        <v>11</v>
      </c>
      <c r="K162" s="58" t="s">
        <v>29</v>
      </c>
      <c r="L162" s="59" t="s">
        <v>178</v>
      </c>
      <c r="M162" s="60">
        <v>410000000</v>
      </c>
      <c r="N162" s="60">
        <v>0</v>
      </c>
      <c r="O162" s="62">
        <f t="shared" si="130"/>
        <v>0</v>
      </c>
      <c r="P162" s="60">
        <v>0</v>
      </c>
      <c r="Q162" s="62">
        <f t="shared" si="130"/>
        <v>0</v>
      </c>
      <c r="R162" s="60">
        <v>0</v>
      </c>
      <c r="S162" s="62">
        <f t="shared" ref="S162" si="157">+R162/$M162</f>
        <v>0</v>
      </c>
    </row>
    <row r="163" spans="1:19" ht="24" customHeight="1">
      <c r="A163" s="32" t="e">
        <v>#REF!</v>
      </c>
      <c r="B163" s="52" t="s">
        <v>526</v>
      </c>
      <c r="C163" s="52" t="s">
        <v>167</v>
      </c>
      <c r="D163" s="52" t="s">
        <v>190</v>
      </c>
      <c r="E163" s="52" t="s">
        <v>172</v>
      </c>
      <c r="F163" s="52" t="s">
        <v>211</v>
      </c>
      <c r="G163" s="52" t="s">
        <v>175</v>
      </c>
      <c r="H163" s="52" t="s">
        <v>215</v>
      </c>
      <c r="I163" s="52"/>
      <c r="J163" s="53"/>
      <c r="K163" s="52" t="s">
        <v>29</v>
      </c>
      <c r="L163" s="52" t="s">
        <v>216</v>
      </c>
      <c r="M163" s="54">
        <v>90000000</v>
      </c>
      <c r="N163" s="54">
        <v>0</v>
      </c>
      <c r="O163" s="55">
        <f t="shared" si="130"/>
        <v>0</v>
      </c>
      <c r="P163" s="54">
        <v>0</v>
      </c>
      <c r="Q163" s="55">
        <f t="shared" si="130"/>
        <v>0</v>
      </c>
      <c r="R163" s="54">
        <v>0</v>
      </c>
      <c r="S163" s="55">
        <f t="shared" ref="S163" si="158">+R163/$M163</f>
        <v>0</v>
      </c>
    </row>
    <row r="164" spans="1:19" ht="24.95" customHeight="1">
      <c r="A164" s="32" t="e">
        <v>#REF!</v>
      </c>
      <c r="B164" s="56" t="s">
        <v>528</v>
      </c>
      <c r="C164" s="57" t="s">
        <v>167</v>
      </c>
      <c r="D164" s="57" t="s">
        <v>190</v>
      </c>
      <c r="E164" s="57" t="s">
        <v>172</v>
      </c>
      <c r="F164" s="57" t="s">
        <v>211</v>
      </c>
      <c r="G164" s="57" t="s">
        <v>175</v>
      </c>
      <c r="H164" s="57" t="s">
        <v>215</v>
      </c>
      <c r="I164" s="57" t="s">
        <v>54</v>
      </c>
      <c r="J164" s="57">
        <v>11</v>
      </c>
      <c r="K164" s="58" t="s">
        <v>29</v>
      </c>
      <c r="L164" s="59" t="s">
        <v>178</v>
      </c>
      <c r="M164" s="60">
        <v>90000000</v>
      </c>
      <c r="N164" s="60">
        <v>0</v>
      </c>
      <c r="O164" s="62">
        <f t="shared" si="130"/>
        <v>0</v>
      </c>
      <c r="P164" s="60">
        <v>0</v>
      </c>
      <c r="Q164" s="62">
        <f t="shared" si="130"/>
        <v>0</v>
      </c>
      <c r="R164" s="60">
        <v>0</v>
      </c>
      <c r="S164" s="62">
        <f t="shared" ref="S164" si="159">+R164/$M164</f>
        <v>0</v>
      </c>
    </row>
    <row r="165" spans="1:19" ht="50.25" customHeight="1">
      <c r="A165" s="32" t="e">
        <v>#REF!</v>
      </c>
      <c r="B165" s="48" t="s">
        <v>530</v>
      </c>
      <c r="C165" s="48" t="s">
        <v>167</v>
      </c>
      <c r="D165" s="48" t="s">
        <v>190</v>
      </c>
      <c r="E165" s="48" t="s">
        <v>172</v>
      </c>
      <c r="F165" s="48" t="s">
        <v>217</v>
      </c>
      <c r="G165" s="48"/>
      <c r="H165" s="48"/>
      <c r="I165" s="48"/>
      <c r="J165" s="49"/>
      <c r="K165" s="48"/>
      <c r="L165" s="48" t="s">
        <v>218</v>
      </c>
      <c r="M165" s="50">
        <v>18000000000</v>
      </c>
      <c r="N165" s="50">
        <v>452274823</v>
      </c>
      <c r="O165" s="51">
        <f t="shared" si="130"/>
        <v>2.5126379055555554E-2</v>
      </c>
      <c r="P165" s="50">
        <v>75543333</v>
      </c>
      <c r="Q165" s="51">
        <f t="shared" si="130"/>
        <v>4.1968518333333335E-3</v>
      </c>
      <c r="R165" s="50">
        <v>45543333</v>
      </c>
      <c r="S165" s="51">
        <f t="shared" ref="S165" si="160">+R165/$M165</f>
        <v>2.5301851666666665E-3</v>
      </c>
    </row>
    <row r="166" spans="1:19" ht="24" customHeight="1">
      <c r="A166" s="32" t="e">
        <v>#REF!</v>
      </c>
      <c r="B166" s="52" t="s">
        <v>531</v>
      </c>
      <c r="C166" s="52" t="s">
        <v>167</v>
      </c>
      <c r="D166" s="52" t="s">
        <v>190</v>
      </c>
      <c r="E166" s="52" t="s">
        <v>172</v>
      </c>
      <c r="F166" s="52" t="s">
        <v>217</v>
      </c>
      <c r="G166" s="52" t="s">
        <v>175</v>
      </c>
      <c r="H166" s="52" t="s">
        <v>219</v>
      </c>
      <c r="I166" s="52"/>
      <c r="J166" s="53"/>
      <c r="K166" s="52" t="s">
        <v>29</v>
      </c>
      <c r="L166" s="52" t="s">
        <v>220</v>
      </c>
      <c r="M166" s="54">
        <v>3388943635</v>
      </c>
      <c r="N166" s="54">
        <v>452274823</v>
      </c>
      <c r="O166" s="55">
        <f t="shared" si="130"/>
        <v>0.1334559885650031</v>
      </c>
      <c r="P166" s="54">
        <v>75543333</v>
      </c>
      <c r="Q166" s="55">
        <f t="shared" si="130"/>
        <v>2.2291115207644933E-2</v>
      </c>
      <c r="R166" s="54">
        <v>45543333</v>
      </c>
      <c r="S166" s="55">
        <f t="shared" ref="S166" si="161">+R166/$M166</f>
        <v>1.3438799196788647E-2</v>
      </c>
    </row>
    <row r="167" spans="1:19" ht="24.95" customHeight="1">
      <c r="A167" s="32" t="e">
        <v>#REF!</v>
      </c>
      <c r="B167" s="56" t="s">
        <v>532</v>
      </c>
      <c r="C167" s="57" t="s">
        <v>167</v>
      </c>
      <c r="D167" s="57" t="s">
        <v>190</v>
      </c>
      <c r="E167" s="57" t="s">
        <v>172</v>
      </c>
      <c r="F167" s="57" t="s">
        <v>217</v>
      </c>
      <c r="G167" s="57" t="s">
        <v>175</v>
      </c>
      <c r="H167" s="57" t="s">
        <v>219</v>
      </c>
      <c r="I167" s="57" t="s">
        <v>54</v>
      </c>
      <c r="J167" s="57">
        <v>11</v>
      </c>
      <c r="K167" s="58" t="s">
        <v>29</v>
      </c>
      <c r="L167" s="59" t="s">
        <v>178</v>
      </c>
      <c r="M167" s="60">
        <v>3388943635</v>
      </c>
      <c r="N167" s="60">
        <v>452274823</v>
      </c>
      <c r="O167" s="62">
        <f t="shared" si="130"/>
        <v>0.1334559885650031</v>
      </c>
      <c r="P167" s="60">
        <v>75543333</v>
      </c>
      <c r="Q167" s="62">
        <f t="shared" si="130"/>
        <v>2.2291115207644933E-2</v>
      </c>
      <c r="R167" s="60">
        <v>45543333</v>
      </c>
      <c r="S167" s="62">
        <f t="shared" ref="S167" si="162">+R167/$M167</f>
        <v>1.3438799196788647E-2</v>
      </c>
    </row>
    <row r="168" spans="1:19" ht="28.5" customHeight="1">
      <c r="A168" s="32" t="e">
        <v>#REF!</v>
      </c>
      <c r="B168" s="52" t="s">
        <v>533</v>
      </c>
      <c r="C168" s="52" t="s">
        <v>167</v>
      </c>
      <c r="D168" s="52" t="s">
        <v>190</v>
      </c>
      <c r="E168" s="52" t="s">
        <v>172</v>
      </c>
      <c r="F168" s="52" t="s">
        <v>217</v>
      </c>
      <c r="G168" s="52" t="s">
        <v>175</v>
      </c>
      <c r="H168" s="52" t="s">
        <v>221</v>
      </c>
      <c r="I168" s="52"/>
      <c r="J168" s="53"/>
      <c r="K168" s="52" t="s">
        <v>29</v>
      </c>
      <c r="L168" s="52" t="s">
        <v>222</v>
      </c>
      <c r="M168" s="54">
        <v>14611056365</v>
      </c>
      <c r="N168" s="54">
        <v>0</v>
      </c>
      <c r="O168" s="55">
        <f t="shared" si="130"/>
        <v>0</v>
      </c>
      <c r="P168" s="54">
        <v>0</v>
      </c>
      <c r="Q168" s="55">
        <f t="shared" si="130"/>
        <v>0</v>
      </c>
      <c r="R168" s="54">
        <v>0</v>
      </c>
      <c r="S168" s="55">
        <f t="shared" ref="S168" si="163">+R168/$M168</f>
        <v>0</v>
      </c>
    </row>
    <row r="169" spans="1:19" ht="24.95" customHeight="1">
      <c r="A169" s="32" t="e">
        <v>#REF!</v>
      </c>
      <c r="B169" s="56" t="s">
        <v>534</v>
      </c>
      <c r="C169" s="57" t="s">
        <v>167</v>
      </c>
      <c r="D169" s="57" t="s">
        <v>190</v>
      </c>
      <c r="E169" s="57" t="s">
        <v>172</v>
      </c>
      <c r="F169" s="57" t="s">
        <v>217</v>
      </c>
      <c r="G169" s="57" t="s">
        <v>175</v>
      </c>
      <c r="H169" s="57" t="s">
        <v>221</v>
      </c>
      <c r="I169" s="57" t="s">
        <v>54</v>
      </c>
      <c r="J169" s="57">
        <v>11</v>
      </c>
      <c r="K169" s="58" t="s">
        <v>29</v>
      </c>
      <c r="L169" s="59" t="s">
        <v>178</v>
      </c>
      <c r="M169" s="60">
        <v>14611056365</v>
      </c>
      <c r="N169" s="60">
        <v>0</v>
      </c>
      <c r="O169" s="62">
        <f t="shared" si="130"/>
        <v>0</v>
      </c>
      <c r="P169" s="60">
        <v>0</v>
      </c>
      <c r="Q169" s="62">
        <f t="shared" si="130"/>
        <v>0</v>
      </c>
      <c r="R169" s="60">
        <v>0</v>
      </c>
      <c r="S169" s="62">
        <f t="shared" ref="S169" si="164">+R169/$M169</f>
        <v>0</v>
      </c>
    </row>
    <row r="170" spans="1:19" ht="39.75" customHeight="1">
      <c r="A170" s="32" t="e">
        <v>#REF!</v>
      </c>
      <c r="B170" s="48" t="s">
        <v>658</v>
      </c>
      <c r="C170" s="48" t="s">
        <v>167</v>
      </c>
      <c r="D170" s="48" t="s">
        <v>190</v>
      </c>
      <c r="E170" s="48" t="s">
        <v>172</v>
      </c>
      <c r="F170" s="48">
        <v>18</v>
      </c>
      <c r="G170" s="48"/>
      <c r="H170" s="48"/>
      <c r="I170" s="48"/>
      <c r="J170" s="49"/>
      <c r="K170" s="48"/>
      <c r="L170" s="48" t="s">
        <v>823</v>
      </c>
      <c r="M170" s="50">
        <v>41200000000</v>
      </c>
      <c r="N170" s="50">
        <v>2247906044</v>
      </c>
      <c r="O170" s="51">
        <f t="shared" si="130"/>
        <v>5.4560826310679614E-2</v>
      </c>
      <c r="P170" s="50">
        <v>131346650.67</v>
      </c>
      <c r="Q170" s="51">
        <f t="shared" si="130"/>
        <v>3.1880255016990293E-3</v>
      </c>
      <c r="R170" s="50">
        <v>125846650.67</v>
      </c>
      <c r="S170" s="51">
        <f t="shared" ref="S170" si="165">+R170/$M170</f>
        <v>3.0545303560679613E-3</v>
      </c>
    </row>
    <row r="171" spans="1:19" ht="30" customHeight="1">
      <c r="A171" s="32" t="e">
        <v>#REF!</v>
      </c>
      <c r="B171" s="52" t="s">
        <v>660</v>
      </c>
      <c r="C171" s="52" t="s">
        <v>167</v>
      </c>
      <c r="D171" s="52" t="s">
        <v>190</v>
      </c>
      <c r="E171" s="52" t="s">
        <v>172</v>
      </c>
      <c r="F171" s="48">
        <v>18</v>
      </c>
      <c r="G171" s="52" t="s">
        <v>175</v>
      </c>
      <c r="H171" s="52">
        <v>4103050</v>
      </c>
      <c r="I171" s="52"/>
      <c r="J171" s="53"/>
      <c r="K171" s="52" t="s">
        <v>29</v>
      </c>
      <c r="L171" s="52" t="s">
        <v>824</v>
      </c>
      <c r="M171" s="54">
        <v>41200000000</v>
      </c>
      <c r="N171" s="54">
        <v>2247906044</v>
      </c>
      <c r="O171" s="55">
        <f t="shared" si="130"/>
        <v>5.4560826310679614E-2</v>
      </c>
      <c r="P171" s="54">
        <v>131346650.67</v>
      </c>
      <c r="Q171" s="55">
        <f t="shared" si="130"/>
        <v>3.1880255016990293E-3</v>
      </c>
      <c r="R171" s="54">
        <v>125846650.67</v>
      </c>
      <c r="S171" s="55">
        <f t="shared" ref="S171" si="166">+R171/$M171</f>
        <v>3.0545303560679613E-3</v>
      </c>
    </row>
    <row r="172" spans="1:19" ht="24.95" customHeight="1">
      <c r="A172" s="32" t="e">
        <v>#REF!</v>
      </c>
      <c r="B172" s="56" t="s">
        <v>662</v>
      </c>
      <c r="C172" s="57" t="s">
        <v>167</v>
      </c>
      <c r="D172" s="57" t="s">
        <v>190</v>
      </c>
      <c r="E172" s="57" t="s">
        <v>172</v>
      </c>
      <c r="F172" s="57">
        <v>18</v>
      </c>
      <c r="G172" s="57" t="s">
        <v>175</v>
      </c>
      <c r="H172" s="57">
        <v>4103050</v>
      </c>
      <c r="I172" s="57" t="s">
        <v>54</v>
      </c>
      <c r="J172" s="57">
        <v>11</v>
      </c>
      <c r="K172" s="58" t="s">
        <v>29</v>
      </c>
      <c r="L172" s="59" t="s">
        <v>178</v>
      </c>
      <c r="M172" s="60">
        <v>41200000000</v>
      </c>
      <c r="N172" s="60">
        <v>2247906044</v>
      </c>
      <c r="O172" s="62">
        <f t="shared" si="130"/>
        <v>5.4560826310679614E-2</v>
      </c>
      <c r="P172" s="60">
        <v>131346650.67</v>
      </c>
      <c r="Q172" s="62">
        <f t="shared" si="130"/>
        <v>3.1880255016990293E-3</v>
      </c>
      <c r="R172" s="60">
        <v>125846650.67</v>
      </c>
      <c r="S172" s="62">
        <f t="shared" ref="S172" si="167">+R172/$M172</f>
        <v>3.0545303560679613E-3</v>
      </c>
    </row>
    <row r="173" spans="1:19" ht="33" customHeight="1">
      <c r="A173" s="32" t="e">
        <v>#REF!</v>
      </c>
      <c r="B173" s="48" t="s">
        <v>664</v>
      </c>
      <c r="C173" s="48" t="s">
        <v>167</v>
      </c>
      <c r="D173" s="48" t="s">
        <v>190</v>
      </c>
      <c r="E173" s="48" t="s">
        <v>172</v>
      </c>
      <c r="F173" s="48">
        <v>19</v>
      </c>
      <c r="G173" s="48"/>
      <c r="H173" s="48"/>
      <c r="I173" s="48"/>
      <c r="J173" s="49"/>
      <c r="K173" s="48"/>
      <c r="L173" s="48" t="s">
        <v>227</v>
      </c>
      <c r="M173" s="50">
        <v>12000000000</v>
      </c>
      <c r="N173" s="50">
        <v>5850154082</v>
      </c>
      <c r="O173" s="51">
        <f t="shared" si="130"/>
        <v>0.48751284016666668</v>
      </c>
      <c r="P173" s="50">
        <v>284439939.32999998</v>
      </c>
      <c r="Q173" s="51">
        <f t="shared" si="130"/>
        <v>2.3703328277499998E-2</v>
      </c>
      <c r="R173" s="50">
        <v>234139939.33000001</v>
      </c>
      <c r="S173" s="51">
        <f t="shared" ref="S173" si="168">+R173/$M173</f>
        <v>1.9511661610833335E-2</v>
      </c>
    </row>
    <row r="174" spans="1:19" ht="30" customHeight="1">
      <c r="A174" s="32" t="e">
        <v>#REF!</v>
      </c>
      <c r="B174" s="52" t="s">
        <v>666</v>
      </c>
      <c r="C174" s="52" t="s">
        <v>167</v>
      </c>
      <c r="D174" s="52" t="s">
        <v>190</v>
      </c>
      <c r="E174" s="52" t="s">
        <v>172</v>
      </c>
      <c r="F174" s="52">
        <v>19</v>
      </c>
      <c r="G174" s="52" t="s">
        <v>175</v>
      </c>
      <c r="H174" s="52">
        <v>4103049</v>
      </c>
      <c r="I174" s="52"/>
      <c r="J174" s="53"/>
      <c r="K174" s="52" t="s">
        <v>29</v>
      </c>
      <c r="L174" s="52" t="s">
        <v>228</v>
      </c>
      <c r="M174" s="54">
        <v>250000000</v>
      </c>
      <c r="N174" s="54">
        <v>0</v>
      </c>
      <c r="O174" s="55">
        <f t="shared" si="130"/>
        <v>0</v>
      </c>
      <c r="P174" s="54">
        <v>0</v>
      </c>
      <c r="Q174" s="55">
        <f t="shared" si="130"/>
        <v>0</v>
      </c>
      <c r="R174" s="54">
        <v>0</v>
      </c>
      <c r="S174" s="55">
        <f t="shared" ref="S174" si="169">+R174/$M174</f>
        <v>0</v>
      </c>
    </row>
    <row r="175" spans="1:19" ht="24.95" customHeight="1">
      <c r="A175" s="32" t="e">
        <v>#REF!</v>
      </c>
      <c r="B175" s="56" t="s">
        <v>668</v>
      </c>
      <c r="C175" s="57" t="s">
        <v>167</v>
      </c>
      <c r="D175" s="57" t="s">
        <v>190</v>
      </c>
      <c r="E175" s="57" t="s">
        <v>172</v>
      </c>
      <c r="F175" s="57">
        <v>19</v>
      </c>
      <c r="G175" s="57" t="s">
        <v>175</v>
      </c>
      <c r="H175" s="57">
        <v>4103049</v>
      </c>
      <c r="I175" s="57" t="s">
        <v>54</v>
      </c>
      <c r="J175" s="57">
        <v>11</v>
      </c>
      <c r="K175" s="58" t="s">
        <v>29</v>
      </c>
      <c r="L175" s="59" t="s">
        <v>178</v>
      </c>
      <c r="M175" s="60">
        <v>250000000</v>
      </c>
      <c r="N175" s="60">
        <v>0</v>
      </c>
      <c r="O175" s="62">
        <f t="shared" si="130"/>
        <v>0</v>
      </c>
      <c r="P175" s="60">
        <v>0</v>
      </c>
      <c r="Q175" s="62">
        <f t="shared" si="130"/>
        <v>0</v>
      </c>
      <c r="R175" s="60">
        <v>0</v>
      </c>
      <c r="S175" s="62">
        <f t="shared" ref="S175" si="170">+R175/$M175</f>
        <v>0</v>
      </c>
    </row>
    <row r="176" spans="1:19" ht="30" customHeight="1">
      <c r="A176" s="32" t="e">
        <v>#REF!</v>
      </c>
      <c r="B176" s="52" t="s">
        <v>670</v>
      </c>
      <c r="C176" s="52" t="s">
        <v>167</v>
      </c>
      <c r="D176" s="52" t="s">
        <v>190</v>
      </c>
      <c r="E176" s="52" t="s">
        <v>172</v>
      </c>
      <c r="F176" s="52">
        <v>19</v>
      </c>
      <c r="G176" s="52" t="s">
        <v>175</v>
      </c>
      <c r="H176" s="52">
        <v>4103052</v>
      </c>
      <c r="I176" s="52"/>
      <c r="J176" s="53"/>
      <c r="K176" s="52" t="s">
        <v>29</v>
      </c>
      <c r="L176" s="52" t="s">
        <v>229</v>
      </c>
      <c r="M176" s="54">
        <v>11700000000</v>
      </c>
      <c r="N176" s="54">
        <v>5850154082</v>
      </c>
      <c r="O176" s="55">
        <f t="shared" si="130"/>
        <v>0.50001316940170937</v>
      </c>
      <c r="P176" s="54">
        <v>284439939.32999998</v>
      </c>
      <c r="Q176" s="55">
        <f t="shared" si="130"/>
        <v>2.4311105925641025E-2</v>
      </c>
      <c r="R176" s="54">
        <v>234139939.33000001</v>
      </c>
      <c r="S176" s="55">
        <f t="shared" ref="S176" si="171">+R176/$M176</f>
        <v>2.0011960626495729E-2</v>
      </c>
    </row>
    <row r="177" spans="1:19" ht="24.95" customHeight="1">
      <c r="A177" s="32" t="e">
        <v>#REF!</v>
      </c>
      <c r="B177" s="56" t="s">
        <v>672</v>
      </c>
      <c r="C177" s="57" t="s">
        <v>167</v>
      </c>
      <c r="D177" s="57" t="s">
        <v>190</v>
      </c>
      <c r="E177" s="57" t="s">
        <v>172</v>
      </c>
      <c r="F177" s="57">
        <v>19</v>
      </c>
      <c r="G177" s="57" t="s">
        <v>175</v>
      </c>
      <c r="H177" s="57">
        <v>4103052</v>
      </c>
      <c r="I177" s="57" t="s">
        <v>54</v>
      </c>
      <c r="J177" s="57">
        <v>11</v>
      </c>
      <c r="K177" s="58" t="s">
        <v>29</v>
      </c>
      <c r="L177" s="59" t="s">
        <v>178</v>
      </c>
      <c r="M177" s="60">
        <v>11700000000</v>
      </c>
      <c r="N177" s="60">
        <v>5850154082</v>
      </c>
      <c r="O177" s="62">
        <f t="shared" si="130"/>
        <v>0.50001316940170937</v>
      </c>
      <c r="P177" s="60">
        <v>284439939.32999998</v>
      </c>
      <c r="Q177" s="62">
        <f t="shared" si="130"/>
        <v>2.4311105925641025E-2</v>
      </c>
      <c r="R177" s="60">
        <v>234139939.33000001</v>
      </c>
      <c r="S177" s="62">
        <f t="shared" ref="S177" si="172">+R177/$M177</f>
        <v>2.0011960626495729E-2</v>
      </c>
    </row>
    <row r="178" spans="1:19" ht="27.75" customHeight="1">
      <c r="A178" s="32" t="e">
        <v>#REF!</v>
      </c>
      <c r="B178" s="52" t="s">
        <v>674</v>
      </c>
      <c r="C178" s="52" t="s">
        <v>167</v>
      </c>
      <c r="D178" s="52" t="s">
        <v>190</v>
      </c>
      <c r="E178" s="52" t="s">
        <v>172</v>
      </c>
      <c r="F178" s="52">
        <v>19</v>
      </c>
      <c r="G178" s="52" t="s">
        <v>175</v>
      </c>
      <c r="H178" s="52">
        <v>4103060</v>
      </c>
      <c r="I178" s="52"/>
      <c r="J178" s="53"/>
      <c r="K178" s="52" t="s">
        <v>29</v>
      </c>
      <c r="L178" s="52" t="s">
        <v>216</v>
      </c>
      <c r="M178" s="54">
        <v>50000000</v>
      </c>
      <c r="N178" s="54">
        <v>0</v>
      </c>
      <c r="O178" s="55">
        <f t="shared" si="130"/>
        <v>0</v>
      </c>
      <c r="P178" s="54">
        <v>0</v>
      </c>
      <c r="Q178" s="55">
        <f t="shared" si="130"/>
        <v>0</v>
      </c>
      <c r="R178" s="54">
        <v>0</v>
      </c>
      <c r="S178" s="55">
        <f t="shared" ref="S178" si="173">+R178/$M178</f>
        <v>0</v>
      </c>
    </row>
    <row r="179" spans="1:19" ht="24.95" customHeight="1">
      <c r="A179" s="32" t="e">
        <v>#REF!</v>
      </c>
      <c r="B179" s="56" t="s">
        <v>676</v>
      </c>
      <c r="C179" s="57" t="s">
        <v>167</v>
      </c>
      <c r="D179" s="57" t="s">
        <v>190</v>
      </c>
      <c r="E179" s="57" t="s">
        <v>172</v>
      </c>
      <c r="F179" s="57">
        <v>19</v>
      </c>
      <c r="G179" s="57" t="s">
        <v>175</v>
      </c>
      <c r="H179" s="57">
        <v>4103060</v>
      </c>
      <c r="I179" s="57" t="s">
        <v>54</v>
      </c>
      <c r="J179" s="57">
        <v>11</v>
      </c>
      <c r="K179" s="58" t="s">
        <v>29</v>
      </c>
      <c r="L179" s="59" t="s">
        <v>178</v>
      </c>
      <c r="M179" s="60">
        <v>50000000</v>
      </c>
      <c r="N179" s="60">
        <v>0</v>
      </c>
      <c r="O179" s="62">
        <f t="shared" si="130"/>
        <v>0</v>
      </c>
      <c r="P179" s="60">
        <v>0</v>
      </c>
      <c r="Q179" s="62">
        <f t="shared" si="130"/>
        <v>0</v>
      </c>
      <c r="R179" s="60">
        <v>0</v>
      </c>
      <c r="S179" s="62">
        <f t="shared" ref="S179" si="174">+R179/$M179</f>
        <v>0</v>
      </c>
    </row>
    <row r="180" spans="1:19" ht="39.75" customHeight="1">
      <c r="A180" s="32" t="e">
        <v>#REF!</v>
      </c>
      <c r="B180" s="48" t="s">
        <v>678</v>
      </c>
      <c r="C180" s="48" t="s">
        <v>167</v>
      </c>
      <c r="D180" s="48" t="s">
        <v>190</v>
      </c>
      <c r="E180" s="48" t="s">
        <v>172</v>
      </c>
      <c r="F180" s="48">
        <v>20</v>
      </c>
      <c r="G180" s="48"/>
      <c r="H180" s="48"/>
      <c r="I180" s="48"/>
      <c r="J180" s="49"/>
      <c r="K180" s="48"/>
      <c r="L180" s="48" t="s">
        <v>230</v>
      </c>
      <c r="M180" s="50">
        <v>1021056959210</v>
      </c>
      <c r="N180" s="50">
        <v>1888623270</v>
      </c>
      <c r="O180" s="51">
        <f t="shared" si="130"/>
        <v>1.8496747443563217E-3</v>
      </c>
      <c r="P180" s="50">
        <v>1309692248.79</v>
      </c>
      <c r="Q180" s="51">
        <f t="shared" si="130"/>
        <v>1.2826828483724546E-3</v>
      </c>
      <c r="R180" s="50">
        <v>1304192248.79</v>
      </c>
      <c r="S180" s="51">
        <f t="shared" ref="S180" si="175">+R180/$M180</f>
        <v>1.2772962732647785E-3</v>
      </c>
    </row>
    <row r="181" spans="1:19" ht="30.75" customHeight="1">
      <c r="A181" s="32" t="e">
        <v>#REF!</v>
      </c>
      <c r="B181" s="52" t="s">
        <v>680</v>
      </c>
      <c r="C181" s="52" t="s">
        <v>167</v>
      </c>
      <c r="D181" s="52" t="s">
        <v>190</v>
      </c>
      <c r="E181" s="52" t="s">
        <v>172</v>
      </c>
      <c r="F181" s="52">
        <v>20</v>
      </c>
      <c r="G181" s="52" t="s">
        <v>175</v>
      </c>
      <c r="H181" s="52">
        <v>4103061</v>
      </c>
      <c r="I181" s="52"/>
      <c r="J181" s="53"/>
      <c r="K181" s="52" t="s">
        <v>29</v>
      </c>
      <c r="L181" s="52" t="s">
        <v>231</v>
      </c>
      <c r="M181" s="54">
        <v>1021056959210</v>
      </c>
      <c r="N181" s="54">
        <v>1888623270</v>
      </c>
      <c r="O181" s="55">
        <f t="shared" si="130"/>
        <v>1.8496747443563217E-3</v>
      </c>
      <c r="P181" s="54">
        <v>1309692248.79</v>
      </c>
      <c r="Q181" s="55">
        <f t="shared" si="130"/>
        <v>1.2826828483724546E-3</v>
      </c>
      <c r="R181" s="54">
        <v>1304192248.79</v>
      </c>
      <c r="S181" s="55">
        <f t="shared" ref="S181" si="176">+R181/$M181</f>
        <v>1.2772962732647785E-3</v>
      </c>
    </row>
    <row r="182" spans="1:19" ht="24.95" customHeight="1">
      <c r="A182" s="32" t="e">
        <v>#REF!</v>
      </c>
      <c r="B182" s="56" t="s">
        <v>682</v>
      </c>
      <c r="C182" s="57" t="s">
        <v>167</v>
      </c>
      <c r="D182" s="57" t="s">
        <v>190</v>
      </c>
      <c r="E182" s="57" t="s">
        <v>172</v>
      </c>
      <c r="F182" s="57">
        <v>20</v>
      </c>
      <c r="G182" s="57" t="s">
        <v>175</v>
      </c>
      <c r="H182" s="57">
        <v>4103061</v>
      </c>
      <c r="I182" s="57" t="s">
        <v>54</v>
      </c>
      <c r="J182" s="57">
        <v>11</v>
      </c>
      <c r="K182" s="58" t="s">
        <v>29</v>
      </c>
      <c r="L182" s="59" t="s">
        <v>178</v>
      </c>
      <c r="M182" s="60">
        <v>36797363155</v>
      </c>
      <c r="N182" s="60">
        <v>1888623270</v>
      </c>
      <c r="O182" s="62">
        <f t="shared" si="130"/>
        <v>5.1324962118742878E-2</v>
      </c>
      <c r="P182" s="60">
        <v>1309692248.79</v>
      </c>
      <c r="Q182" s="62">
        <f t="shared" si="130"/>
        <v>3.5592013571006102E-2</v>
      </c>
      <c r="R182" s="60">
        <v>1304192248.79</v>
      </c>
      <c r="S182" s="62">
        <f t="shared" ref="S182" si="177">+R182/$M182</f>
        <v>3.5442546339432127E-2</v>
      </c>
    </row>
    <row r="183" spans="1:19" ht="24.95" customHeight="1">
      <c r="A183" s="32" t="e">
        <v>#REF!</v>
      </c>
      <c r="B183" s="56" t="s">
        <v>684</v>
      </c>
      <c r="C183" s="57" t="s">
        <v>167</v>
      </c>
      <c r="D183" s="57" t="s">
        <v>190</v>
      </c>
      <c r="E183" s="57" t="s">
        <v>172</v>
      </c>
      <c r="F183" s="57">
        <v>20</v>
      </c>
      <c r="G183" s="57" t="s">
        <v>175</v>
      </c>
      <c r="H183" s="57">
        <v>4103061</v>
      </c>
      <c r="I183" s="57" t="s">
        <v>65</v>
      </c>
      <c r="J183" s="57">
        <v>10</v>
      </c>
      <c r="K183" s="58" t="s">
        <v>29</v>
      </c>
      <c r="L183" s="59" t="s">
        <v>127</v>
      </c>
      <c r="M183" s="60">
        <v>777446076033</v>
      </c>
      <c r="N183" s="60">
        <v>0</v>
      </c>
      <c r="O183" s="62">
        <f t="shared" si="130"/>
        <v>0</v>
      </c>
      <c r="P183" s="60">
        <v>0</v>
      </c>
      <c r="Q183" s="62">
        <f t="shared" si="130"/>
        <v>0</v>
      </c>
      <c r="R183" s="60">
        <v>0</v>
      </c>
      <c r="S183" s="62">
        <f t="shared" ref="S183" si="178">+R183/$M183</f>
        <v>0</v>
      </c>
    </row>
    <row r="184" spans="1:19" ht="24.95" customHeight="1">
      <c r="A184" s="32" t="e">
        <v>#REF!</v>
      </c>
      <c r="B184" s="56" t="s">
        <v>684</v>
      </c>
      <c r="C184" s="57" t="s">
        <v>167</v>
      </c>
      <c r="D184" s="57" t="s">
        <v>190</v>
      </c>
      <c r="E184" s="57" t="s">
        <v>172</v>
      </c>
      <c r="F184" s="57">
        <v>20</v>
      </c>
      <c r="G184" s="57" t="s">
        <v>175</v>
      </c>
      <c r="H184" s="57">
        <v>4103061</v>
      </c>
      <c r="I184" s="57" t="s">
        <v>65</v>
      </c>
      <c r="J184" s="57">
        <v>11</v>
      </c>
      <c r="K184" s="58" t="s">
        <v>29</v>
      </c>
      <c r="L184" s="59" t="s">
        <v>127</v>
      </c>
      <c r="M184" s="60">
        <v>206813520022</v>
      </c>
      <c r="N184" s="60">
        <v>0</v>
      </c>
      <c r="O184" s="62">
        <f t="shared" si="130"/>
        <v>0</v>
      </c>
      <c r="P184" s="60">
        <v>0</v>
      </c>
      <c r="Q184" s="62">
        <f t="shared" si="130"/>
        <v>0</v>
      </c>
      <c r="R184" s="60">
        <v>0</v>
      </c>
      <c r="S184" s="62">
        <f t="shared" ref="S184" si="179">+R184/$M184</f>
        <v>0</v>
      </c>
    </row>
    <row r="185" spans="1:19" ht="36" customHeight="1">
      <c r="A185" s="32" t="e">
        <v>#REF!</v>
      </c>
      <c r="B185" s="48" t="s">
        <v>692</v>
      </c>
      <c r="C185" s="48" t="s">
        <v>167</v>
      </c>
      <c r="D185" s="48">
        <v>4103</v>
      </c>
      <c r="E185" s="48" t="s">
        <v>172</v>
      </c>
      <c r="F185" s="48">
        <v>21</v>
      </c>
      <c r="G185" s="48"/>
      <c r="H185" s="48"/>
      <c r="I185" s="48"/>
      <c r="J185" s="49"/>
      <c r="K185" s="48"/>
      <c r="L185" s="48" t="s">
        <v>232</v>
      </c>
      <c r="M185" s="50">
        <v>34000000000</v>
      </c>
      <c r="N185" s="50">
        <v>669657462</v>
      </c>
      <c r="O185" s="51">
        <f t="shared" si="130"/>
        <v>1.9695807705882352E-2</v>
      </c>
      <c r="P185" s="50">
        <v>55684839</v>
      </c>
      <c r="Q185" s="51">
        <f t="shared" si="130"/>
        <v>1.6377893823529411E-3</v>
      </c>
      <c r="R185" s="50">
        <v>38184839</v>
      </c>
      <c r="S185" s="51">
        <f t="shared" ref="S185" si="180">+R185/$M185</f>
        <v>1.1230834999999999E-3</v>
      </c>
    </row>
    <row r="186" spans="1:19" ht="30" customHeight="1">
      <c r="A186" s="32" t="e">
        <v>#REF!</v>
      </c>
      <c r="B186" s="52" t="s">
        <v>693</v>
      </c>
      <c r="C186" s="52" t="s">
        <v>167</v>
      </c>
      <c r="D186" s="52">
        <v>4103</v>
      </c>
      <c r="E186" s="52" t="s">
        <v>172</v>
      </c>
      <c r="F186" s="52">
        <v>21</v>
      </c>
      <c r="G186" s="52" t="s">
        <v>175</v>
      </c>
      <c r="H186" s="52" t="s">
        <v>219</v>
      </c>
      <c r="I186" s="52"/>
      <c r="J186" s="53"/>
      <c r="K186" s="52" t="s">
        <v>29</v>
      </c>
      <c r="L186" s="52" t="s">
        <v>233</v>
      </c>
      <c r="M186" s="54">
        <v>4441786439</v>
      </c>
      <c r="N186" s="54">
        <v>0</v>
      </c>
      <c r="O186" s="55">
        <f t="shared" si="130"/>
        <v>0</v>
      </c>
      <c r="P186" s="54">
        <v>0</v>
      </c>
      <c r="Q186" s="55">
        <f t="shared" si="130"/>
        <v>0</v>
      </c>
      <c r="R186" s="54">
        <v>0</v>
      </c>
      <c r="S186" s="55">
        <f t="shared" ref="S186" si="181">+R186/$M186</f>
        <v>0</v>
      </c>
    </row>
    <row r="187" spans="1:19" ht="24.95" customHeight="1">
      <c r="A187" s="32" t="e">
        <v>#REF!</v>
      </c>
      <c r="B187" s="56" t="s">
        <v>694</v>
      </c>
      <c r="C187" s="57" t="s">
        <v>167</v>
      </c>
      <c r="D187" s="57">
        <v>4103</v>
      </c>
      <c r="E187" s="57" t="s">
        <v>172</v>
      </c>
      <c r="F187" s="57">
        <v>21</v>
      </c>
      <c r="G187" s="57" t="s">
        <v>175</v>
      </c>
      <c r="H187" s="57" t="s">
        <v>219</v>
      </c>
      <c r="I187" s="57" t="s">
        <v>54</v>
      </c>
      <c r="J187" s="57">
        <v>11</v>
      </c>
      <c r="K187" s="58" t="s">
        <v>29</v>
      </c>
      <c r="L187" s="59" t="s">
        <v>178</v>
      </c>
      <c r="M187" s="60">
        <v>4441786439</v>
      </c>
      <c r="N187" s="60">
        <v>0</v>
      </c>
      <c r="O187" s="62">
        <f t="shared" si="130"/>
        <v>0</v>
      </c>
      <c r="P187" s="60">
        <v>0</v>
      </c>
      <c r="Q187" s="62">
        <f t="shared" si="130"/>
        <v>0</v>
      </c>
      <c r="R187" s="60">
        <v>0</v>
      </c>
      <c r="S187" s="62">
        <f t="shared" ref="S187" si="182">+R187/$M187</f>
        <v>0</v>
      </c>
    </row>
    <row r="188" spans="1:19" ht="30" customHeight="1">
      <c r="A188" s="32" t="e">
        <v>#REF!</v>
      </c>
      <c r="B188" s="52" t="s">
        <v>695</v>
      </c>
      <c r="C188" s="52" t="s">
        <v>167</v>
      </c>
      <c r="D188" s="52">
        <v>4103</v>
      </c>
      <c r="E188" s="52" t="s">
        <v>172</v>
      </c>
      <c r="F188" s="52">
        <v>21</v>
      </c>
      <c r="G188" s="52" t="s">
        <v>175</v>
      </c>
      <c r="H188" s="52" t="s">
        <v>234</v>
      </c>
      <c r="I188" s="52"/>
      <c r="J188" s="53"/>
      <c r="K188" s="52" t="s">
        <v>29</v>
      </c>
      <c r="L188" s="52" t="s">
        <v>235</v>
      </c>
      <c r="M188" s="54">
        <v>1567335560</v>
      </c>
      <c r="N188" s="54">
        <v>0</v>
      </c>
      <c r="O188" s="55">
        <f t="shared" si="130"/>
        <v>0</v>
      </c>
      <c r="P188" s="54">
        <v>0</v>
      </c>
      <c r="Q188" s="55">
        <f t="shared" si="130"/>
        <v>0</v>
      </c>
      <c r="R188" s="54">
        <v>0</v>
      </c>
      <c r="S188" s="55">
        <f t="shared" ref="S188" si="183">+R188/$M188</f>
        <v>0</v>
      </c>
    </row>
    <row r="189" spans="1:19" ht="24.95" customHeight="1">
      <c r="A189" s="32" t="e">
        <v>#REF!</v>
      </c>
      <c r="B189" s="56" t="s">
        <v>696</v>
      </c>
      <c r="C189" s="57" t="s">
        <v>167</v>
      </c>
      <c r="D189" s="57">
        <v>4103</v>
      </c>
      <c r="E189" s="57" t="s">
        <v>172</v>
      </c>
      <c r="F189" s="57">
        <v>21</v>
      </c>
      <c r="G189" s="57" t="s">
        <v>175</v>
      </c>
      <c r="H189" s="57" t="s">
        <v>234</v>
      </c>
      <c r="I189" s="57" t="s">
        <v>54</v>
      </c>
      <c r="J189" s="57">
        <v>11</v>
      </c>
      <c r="K189" s="58" t="s">
        <v>29</v>
      </c>
      <c r="L189" s="59" t="s">
        <v>178</v>
      </c>
      <c r="M189" s="60">
        <v>1567335560</v>
      </c>
      <c r="N189" s="60">
        <v>0</v>
      </c>
      <c r="O189" s="62">
        <f t="shared" si="130"/>
        <v>0</v>
      </c>
      <c r="P189" s="60">
        <v>0</v>
      </c>
      <c r="Q189" s="62">
        <f t="shared" si="130"/>
        <v>0</v>
      </c>
      <c r="R189" s="60">
        <v>0</v>
      </c>
      <c r="S189" s="62">
        <f t="shared" ref="S189" si="184">+R189/$M189</f>
        <v>0</v>
      </c>
    </row>
    <row r="190" spans="1:19" ht="30" customHeight="1">
      <c r="A190" s="32" t="e">
        <v>#REF!</v>
      </c>
      <c r="B190" s="52" t="s">
        <v>697</v>
      </c>
      <c r="C190" s="52" t="s">
        <v>167</v>
      </c>
      <c r="D190" s="52">
        <v>4103</v>
      </c>
      <c r="E190" s="52" t="s">
        <v>172</v>
      </c>
      <c r="F190" s="52">
        <v>21</v>
      </c>
      <c r="G190" s="52" t="s">
        <v>175</v>
      </c>
      <c r="H190" s="52" t="s">
        <v>197</v>
      </c>
      <c r="I190" s="52"/>
      <c r="J190" s="53"/>
      <c r="K190" s="52" t="s">
        <v>29</v>
      </c>
      <c r="L190" s="52" t="s">
        <v>236</v>
      </c>
      <c r="M190" s="54">
        <v>2072835407</v>
      </c>
      <c r="N190" s="54">
        <v>0</v>
      </c>
      <c r="O190" s="55">
        <f t="shared" si="130"/>
        <v>0</v>
      </c>
      <c r="P190" s="54">
        <v>0</v>
      </c>
      <c r="Q190" s="55">
        <f t="shared" si="130"/>
        <v>0</v>
      </c>
      <c r="R190" s="54">
        <v>0</v>
      </c>
      <c r="S190" s="55">
        <f t="shared" ref="S190" si="185">+R190/$M190</f>
        <v>0</v>
      </c>
    </row>
    <row r="191" spans="1:19" ht="24.95" customHeight="1">
      <c r="A191" s="32" t="e">
        <v>#REF!</v>
      </c>
      <c r="B191" s="56" t="s">
        <v>698</v>
      </c>
      <c r="C191" s="57" t="s">
        <v>167</v>
      </c>
      <c r="D191" s="57">
        <v>4103</v>
      </c>
      <c r="E191" s="57" t="s">
        <v>172</v>
      </c>
      <c r="F191" s="57">
        <v>21</v>
      </c>
      <c r="G191" s="57" t="s">
        <v>175</v>
      </c>
      <c r="H191" s="57" t="s">
        <v>197</v>
      </c>
      <c r="I191" s="57" t="s">
        <v>54</v>
      </c>
      <c r="J191" s="57">
        <v>11</v>
      </c>
      <c r="K191" s="58" t="s">
        <v>29</v>
      </c>
      <c r="L191" s="59" t="s">
        <v>178</v>
      </c>
      <c r="M191" s="60">
        <v>2072835407</v>
      </c>
      <c r="N191" s="60">
        <v>0</v>
      </c>
      <c r="O191" s="62">
        <f t="shared" si="130"/>
        <v>0</v>
      </c>
      <c r="P191" s="60">
        <v>0</v>
      </c>
      <c r="Q191" s="62">
        <f t="shared" si="130"/>
        <v>0</v>
      </c>
      <c r="R191" s="60">
        <v>0</v>
      </c>
      <c r="S191" s="62">
        <f t="shared" ref="S191" si="186">+R191/$M191</f>
        <v>0</v>
      </c>
    </row>
    <row r="192" spans="1:19" ht="30" customHeight="1">
      <c r="A192" s="32" t="e">
        <v>#REF!</v>
      </c>
      <c r="B192" s="52" t="s">
        <v>699</v>
      </c>
      <c r="C192" s="52" t="s">
        <v>167</v>
      </c>
      <c r="D192" s="52">
        <v>4103</v>
      </c>
      <c r="E192" s="52" t="s">
        <v>172</v>
      </c>
      <c r="F192" s="52">
        <v>21</v>
      </c>
      <c r="G192" s="52" t="s">
        <v>175</v>
      </c>
      <c r="H192" s="52" t="s">
        <v>203</v>
      </c>
      <c r="I192" s="52"/>
      <c r="J192" s="53"/>
      <c r="K192" s="52" t="s">
        <v>29</v>
      </c>
      <c r="L192" s="52" t="s">
        <v>237</v>
      </c>
      <c r="M192" s="54">
        <v>5803396375</v>
      </c>
      <c r="N192" s="54">
        <v>0</v>
      </c>
      <c r="O192" s="55">
        <f t="shared" si="130"/>
        <v>0</v>
      </c>
      <c r="P192" s="54">
        <v>0</v>
      </c>
      <c r="Q192" s="55">
        <f t="shared" si="130"/>
        <v>0</v>
      </c>
      <c r="R192" s="54">
        <v>0</v>
      </c>
      <c r="S192" s="55">
        <f t="shared" ref="S192" si="187">+R192/$M192</f>
        <v>0</v>
      </c>
    </row>
    <row r="193" spans="1:19" ht="24.95" customHeight="1">
      <c r="A193" s="32" t="e">
        <v>#REF!</v>
      </c>
      <c r="B193" s="56" t="s">
        <v>700</v>
      </c>
      <c r="C193" s="57" t="s">
        <v>167</v>
      </c>
      <c r="D193" s="57">
        <v>4103</v>
      </c>
      <c r="E193" s="57" t="s">
        <v>172</v>
      </c>
      <c r="F193" s="57">
        <v>21</v>
      </c>
      <c r="G193" s="57" t="s">
        <v>175</v>
      </c>
      <c r="H193" s="57" t="s">
        <v>203</v>
      </c>
      <c r="I193" s="57" t="s">
        <v>54</v>
      </c>
      <c r="J193" s="57">
        <v>11</v>
      </c>
      <c r="K193" s="58" t="s">
        <v>29</v>
      </c>
      <c r="L193" s="59" t="s">
        <v>178</v>
      </c>
      <c r="M193" s="60">
        <v>5803396375</v>
      </c>
      <c r="N193" s="60">
        <v>0</v>
      </c>
      <c r="O193" s="62">
        <f t="shared" si="130"/>
        <v>0</v>
      </c>
      <c r="P193" s="60">
        <v>0</v>
      </c>
      <c r="Q193" s="62">
        <f t="shared" si="130"/>
        <v>0</v>
      </c>
      <c r="R193" s="60">
        <v>0</v>
      </c>
      <c r="S193" s="62">
        <f t="shared" ref="S193" si="188">+R193/$M193</f>
        <v>0</v>
      </c>
    </row>
    <row r="194" spans="1:19" ht="30" customHeight="1">
      <c r="A194" s="32" t="e">
        <v>#REF!</v>
      </c>
      <c r="B194" s="52" t="s">
        <v>701</v>
      </c>
      <c r="C194" s="52" t="s">
        <v>167</v>
      </c>
      <c r="D194" s="52">
        <v>4103</v>
      </c>
      <c r="E194" s="52" t="s">
        <v>172</v>
      </c>
      <c r="F194" s="52">
        <v>21</v>
      </c>
      <c r="G194" s="52" t="s">
        <v>175</v>
      </c>
      <c r="H194" s="52" t="s">
        <v>223</v>
      </c>
      <c r="I194" s="52"/>
      <c r="J194" s="53"/>
      <c r="K194" s="52" t="s">
        <v>29</v>
      </c>
      <c r="L194" s="52" t="s">
        <v>238</v>
      </c>
      <c r="M194" s="54">
        <v>20114646219</v>
      </c>
      <c r="N194" s="54">
        <v>669657462</v>
      </c>
      <c r="O194" s="55">
        <f t="shared" si="130"/>
        <v>3.3292032815742563E-2</v>
      </c>
      <c r="P194" s="54">
        <v>55684839</v>
      </c>
      <c r="Q194" s="55">
        <f t="shared" si="130"/>
        <v>2.7683727764200453E-3</v>
      </c>
      <c r="R194" s="54">
        <v>38184839</v>
      </c>
      <c r="S194" s="55">
        <f t="shared" ref="S194" si="189">+R194/$M194</f>
        <v>1.8983599604118894E-3</v>
      </c>
    </row>
    <row r="195" spans="1:19" ht="24.95" customHeight="1">
      <c r="A195" s="32" t="e">
        <v>#REF!</v>
      </c>
      <c r="B195" s="56" t="s">
        <v>702</v>
      </c>
      <c r="C195" s="57" t="s">
        <v>167</v>
      </c>
      <c r="D195" s="57">
        <v>4103</v>
      </c>
      <c r="E195" s="57" t="s">
        <v>172</v>
      </c>
      <c r="F195" s="57">
        <v>21</v>
      </c>
      <c r="G195" s="57" t="s">
        <v>175</v>
      </c>
      <c r="H195" s="57" t="s">
        <v>223</v>
      </c>
      <c r="I195" s="57" t="s">
        <v>54</v>
      </c>
      <c r="J195" s="57">
        <v>11</v>
      </c>
      <c r="K195" s="58" t="s">
        <v>29</v>
      </c>
      <c r="L195" s="59" t="s">
        <v>178</v>
      </c>
      <c r="M195" s="60">
        <v>20114646219</v>
      </c>
      <c r="N195" s="60">
        <v>669657462</v>
      </c>
      <c r="O195" s="62">
        <f t="shared" si="130"/>
        <v>3.3292032815742563E-2</v>
      </c>
      <c r="P195" s="60">
        <v>55684839</v>
      </c>
      <c r="Q195" s="62">
        <f t="shared" si="130"/>
        <v>2.7683727764200453E-3</v>
      </c>
      <c r="R195" s="60">
        <v>38184839</v>
      </c>
      <c r="S195" s="62">
        <f t="shared" ref="S195" si="190">+R195/$M195</f>
        <v>1.8983599604118894E-3</v>
      </c>
    </row>
    <row r="196" spans="1:19" ht="45.75" customHeight="1">
      <c r="A196" s="32" t="e">
        <v>#REF!</v>
      </c>
      <c r="B196" s="48" t="s">
        <v>704</v>
      </c>
      <c r="C196" s="48" t="s">
        <v>167</v>
      </c>
      <c r="D196" s="48">
        <v>4103</v>
      </c>
      <c r="E196" s="48" t="s">
        <v>172</v>
      </c>
      <c r="F196" s="48">
        <v>22</v>
      </c>
      <c r="G196" s="48"/>
      <c r="H196" s="48"/>
      <c r="I196" s="48"/>
      <c r="J196" s="49"/>
      <c r="K196" s="48"/>
      <c r="L196" s="48" t="s">
        <v>239</v>
      </c>
      <c r="M196" s="50">
        <v>188272298572</v>
      </c>
      <c r="N196" s="50">
        <v>37546775067</v>
      </c>
      <c r="O196" s="51">
        <f t="shared" si="130"/>
        <v>0.19942803775055193</v>
      </c>
      <c r="P196" s="50">
        <v>232629996</v>
      </c>
      <c r="Q196" s="51">
        <f t="shared" si="130"/>
        <v>1.2356039511093372E-3</v>
      </c>
      <c r="R196" s="50">
        <v>125329996</v>
      </c>
      <c r="S196" s="51">
        <f t="shared" ref="S196" si="191">+R196/$M196</f>
        <v>6.6568473934082602E-4</v>
      </c>
    </row>
    <row r="197" spans="1:19" ht="30" customHeight="1">
      <c r="A197" s="32" t="e">
        <v>#REF!</v>
      </c>
      <c r="B197" s="52" t="s">
        <v>705</v>
      </c>
      <c r="C197" s="52" t="s">
        <v>167</v>
      </c>
      <c r="D197" s="52">
        <v>4103</v>
      </c>
      <c r="E197" s="52" t="s">
        <v>172</v>
      </c>
      <c r="F197" s="52">
        <v>22</v>
      </c>
      <c r="G197" s="52" t="s">
        <v>175</v>
      </c>
      <c r="H197" s="52" t="s">
        <v>219</v>
      </c>
      <c r="I197" s="52"/>
      <c r="J197" s="53"/>
      <c r="K197" s="52" t="s">
        <v>29</v>
      </c>
      <c r="L197" s="52" t="s">
        <v>240</v>
      </c>
      <c r="M197" s="54">
        <v>10954065210</v>
      </c>
      <c r="N197" s="54">
        <v>678928972</v>
      </c>
      <c r="O197" s="55">
        <f t="shared" si="130"/>
        <v>6.1979635777611002E-2</v>
      </c>
      <c r="P197" s="54">
        <v>0</v>
      </c>
      <c r="Q197" s="55">
        <f t="shared" si="130"/>
        <v>0</v>
      </c>
      <c r="R197" s="54">
        <v>0</v>
      </c>
      <c r="S197" s="55">
        <f t="shared" ref="S197" si="192">+R197/$M197</f>
        <v>0</v>
      </c>
    </row>
    <row r="198" spans="1:19" ht="24.95" customHeight="1">
      <c r="A198" s="32" t="e">
        <v>#REF!</v>
      </c>
      <c r="B198" s="56" t="s">
        <v>706</v>
      </c>
      <c r="C198" s="57" t="s">
        <v>167</v>
      </c>
      <c r="D198" s="57">
        <v>4103</v>
      </c>
      <c r="E198" s="57" t="s">
        <v>172</v>
      </c>
      <c r="F198" s="57">
        <v>22</v>
      </c>
      <c r="G198" s="57" t="s">
        <v>175</v>
      </c>
      <c r="H198" s="57" t="s">
        <v>219</v>
      </c>
      <c r="I198" s="57" t="s">
        <v>54</v>
      </c>
      <c r="J198" s="57">
        <v>11</v>
      </c>
      <c r="K198" s="58" t="s">
        <v>29</v>
      </c>
      <c r="L198" s="59" t="s">
        <v>178</v>
      </c>
      <c r="M198" s="60">
        <v>10954065210</v>
      </c>
      <c r="N198" s="60">
        <v>678928972</v>
      </c>
      <c r="O198" s="62">
        <f t="shared" si="130"/>
        <v>6.1979635777611002E-2</v>
      </c>
      <c r="P198" s="60">
        <v>0</v>
      </c>
      <c r="Q198" s="62">
        <f t="shared" si="130"/>
        <v>0</v>
      </c>
      <c r="R198" s="60">
        <v>0</v>
      </c>
      <c r="S198" s="62">
        <f t="shared" ref="S198" si="193">+R198/$M198</f>
        <v>0</v>
      </c>
    </row>
    <row r="199" spans="1:19" ht="26.25" customHeight="1">
      <c r="A199" s="32" t="e">
        <v>#REF!</v>
      </c>
      <c r="B199" s="52" t="s">
        <v>707</v>
      </c>
      <c r="C199" s="52" t="s">
        <v>167</v>
      </c>
      <c r="D199" s="52">
        <v>4103</v>
      </c>
      <c r="E199" s="52" t="s">
        <v>172</v>
      </c>
      <c r="F199" s="52">
        <v>22</v>
      </c>
      <c r="G199" s="52" t="s">
        <v>175</v>
      </c>
      <c r="H199" s="52" t="s">
        <v>234</v>
      </c>
      <c r="I199" s="52"/>
      <c r="J199" s="53"/>
      <c r="K199" s="52" t="s">
        <v>29</v>
      </c>
      <c r="L199" s="52" t="s">
        <v>241</v>
      </c>
      <c r="M199" s="54">
        <v>23566120170</v>
      </c>
      <c r="N199" s="54">
        <v>2147189188</v>
      </c>
      <c r="O199" s="55">
        <f t="shared" si="130"/>
        <v>9.1113393825997785E-2</v>
      </c>
      <c r="P199" s="54">
        <v>0</v>
      </c>
      <c r="Q199" s="55">
        <f t="shared" si="130"/>
        <v>0</v>
      </c>
      <c r="R199" s="54">
        <v>0</v>
      </c>
      <c r="S199" s="55">
        <f t="shared" ref="S199" si="194">+R199/$M199</f>
        <v>0</v>
      </c>
    </row>
    <row r="200" spans="1:19" ht="24.95" customHeight="1">
      <c r="A200" s="32" t="e">
        <v>#REF!</v>
      </c>
      <c r="B200" s="56" t="s">
        <v>708</v>
      </c>
      <c r="C200" s="57" t="s">
        <v>167</v>
      </c>
      <c r="D200" s="57">
        <v>4103</v>
      </c>
      <c r="E200" s="57" t="s">
        <v>172</v>
      </c>
      <c r="F200" s="57">
        <v>22</v>
      </c>
      <c r="G200" s="57" t="s">
        <v>175</v>
      </c>
      <c r="H200" s="57" t="s">
        <v>234</v>
      </c>
      <c r="I200" s="57" t="s">
        <v>54</v>
      </c>
      <c r="J200" s="57">
        <v>11</v>
      </c>
      <c r="K200" s="58" t="s">
        <v>29</v>
      </c>
      <c r="L200" s="59" t="s">
        <v>178</v>
      </c>
      <c r="M200" s="60">
        <v>23566120170</v>
      </c>
      <c r="N200" s="60">
        <v>2147189188</v>
      </c>
      <c r="O200" s="62">
        <f t="shared" ref="O200:Q227" si="195">+N200/$M200</f>
        <v>9.1113393825997785E-2</v>
      </c>
      <c r="P200" s="60">
        <v>0</v>
      </c>
      <c r="Q200" s="62">
        <f t="shared" si="195"/>
        <v>0</v>
      </c>
      <c r="R200" s="60">
        <v>0</v>
      </c>
      <c r="S200" s="62">
        <f t="shared" ref="S200" si="196">+R200/$M200</f>
        <v>0</v>
      </c>
    </row>
    <row r="201" spans="1:19" ht="24.75" customHeight="1">
      <c r="A201" s="32" t="e">
        <v>#REF!</v>
      </c>
      <c r="B201" s="52" t="s">
        <v>710</v>
      </c>
      <c r="C201" s="52" t="s">
        <v>167</v>
      </c>
      <c r="D201" s="52">
        <v>4103</v>
      </c>
      <c r="E201" s="52" t="s">
        <v>172</v>
      </c>
      <c r="F201" s="52">
        <v>22</v>
      </c>
      <c r="G201" s="52" t="s">
        <v>175</v>
      </c>
      <c r="H201" s="52">
        <v>4103051</v>
      </c>
      <c r="I201" s="52"/>
      <c r="J201" s="53"/>
      <c r="K201" s="52" t="s">
        <v>29</v>
      </c>
      <c r="L201" s="52" t="s">
        <v>242</v>
      </c>
      <c r="M201" s="54">
        <v>18826252848</v>
      </c>
      <c r="N201" s="54">
        <v>738303143</v>
      </c>
      <c r="O201" s="55">
        <f t="shared" si="195"/>
        <v>3.9216680502537356E-2</v>
      </c>
      <c r="P201" s="54">
        <v>0</v>
      </c>
      <c r="Q201" s="55">
        <f t="shared" si="195"/>
        <v>0</v>
      </c>
      <c r="R201" s="54">
        <v>0</v>
      </c>
      <c r="S201" s="55">
        <f t="shared" ref="S201" si="197">+R201/$M201</f>
        <v>0</v>
      </c>
    </row>
    <row r="202" spans="1:19" ht="24.95" customHeight="1">
      <c r="A202" s="32" t="e">
        <v>#REF!</v>
      </c>
      <c r="B202" s="56" t="s">
        <v>711</v>
      </c>
      <c r="C202" s="57" t="s">
        <v>167</v>
      </c>
      <c r="D202" s="57">
        <v>4103</v>
      </c>
      <c r="E202" s="57" t="s">
        <v>172</v>
      </c>
      <c r="F202" s="57">
        <v>22</v>
      </c>
      <c r="G202" s="57" t="s">
        <v>175</v>
      </c>
      <c r="H202" s="57">
        <v>4103051</v>
      </c>
      <c r="I202" s="57" t="s">
        <v>54</v>
      </c>
      <c r="J202" s="57">
        <v>11</v>
      </c>
      <c r="K202" s="58" t="s">
        <v>29</v>
      </c>
      <c r="L202" s="59" t="s">
        <v>178</v>
      </c>
      <c r="M202" s="60">
        <v>18826252848</v>
      </c>
      <c r="N202" s="60">
        <v>738303143</v>
      </c>
      <c r="O202" s="62">
        <f t="shared" si="195"/>
        <v>3.9216680502537356E-2</v>
      </c>
      <c r="P202" s="60">
        <v>0</v>
      </c>
      <c r="Q202" s="62">
        <f t="shared" si="195"/>
        <v>0</v>
      </c>
      <c r="R202" s="60">
        <v>0</v>
      </c>
      <c r="S202" s="62">
        <f t="shared" ref="S202" si="198">+R202/$M202</f>
        <v>0</v>
      </c>
    </row>
    <row r="203" spans="1:19" ht="26.25" customHeight="1">
      <c r="A203" s="32" t="e">
        <v>#REF!</v>
      </c>
      <c r="B203" s="52" t="s">
        <v>712</v>
      </c>
      <c r="C203" s="52" t="s">
        <v>167</v>
      </c>
      <c r="D203" s="52">
        <v>4103</v>
      </c>
      <c r="E203" s="52" t="s">
        <v>172</v>
      </c>
      <c r="F203" s="52">
        <v>22</v>
      </c>
      <c r="G203" s="52" t="s">
        <v>175</v>
      </c>
      <c r="H203" s="52">
        <v>4103055</v>
      </c>
      <c r="I203" s="52"/>
      <c r="J203" s="53"/>
      <c r="K203" s="52" t="s">
        <v>29</v>
      </c>
      <c r="L203" s="52" t="s">
        <v>243</v>
      </c>
      <c r="M203" s="54">
        <v>9355356380</v>
      </c>
      <c r="N203" s="54">
        <v>1315527073</v>
      </c>
      <c r="O203" s="55">
        <f t="shared" si="195"/>
        <v>0.14061752642714398</v>
      </c>
      <c r="P203" s="54">
        <v>0</v>
      </c>
      <c r="Q203" s="55">
        <f t="shared" si="195"/>
        <v>0</v>
      </c>
      <c r="R203" s="54">
        <v>0</v>
      </c>
      <c r="S203" s="55">
        <f t="shared" ref="S203" si="199">+R203/$M203</f>
        <v>0</v>
      </c>
    </row>
    <row r="204" spans="1:19" ht="24.95" customHeight="1">
      <c r="A204" s="32" t="e">
        <v>#REF!</v>
      </c>
      <c r="B204" s="56" t="s">
        <v>713</v>
      </c>
      <c r="C204" s="57" t="s">
        <v>167</v>
      </c>
      <c r="D204" s="57">
        <v>4103</v>
      </c>
      <c r="E204" s="57" t="s">
        <v>172</v>
      </c>
      <c r="F204" s="57">
        <v>22</v>
      </c>
      <c r="G204" s="57" t="s">
        <v>175</v>
      </c>
      <c r="H204" s="57" t="s">
        <v>203</v>
      </c>
      <c r="I204" s="57" t="s">
        <v>54</v>
      </c>
      <c r="J204" s="57">
        <v>11</v>
      </c>
      <c r="K204" s="58" t="s">
        <v>29</v>
      </c>
      <c r="L204" s="59" t="s">
        <v>178</v>
      </c>
      <c r="M204" s="60">
        <v>9355356380</v>
      </c>
      <c r="N204" s="60">
        <v>1315527073</v>
      </c>
      <c r="O204" s="62">
        <f t="shared" si="195"/>
        <v>0.14061752642714398</v>
      </c>
      <c r="P204" s="60">
        <v>0</v>
      </c>
      <c r="Q204" s="62">
        <f t="shared" si="195"/>
        <v>0</v>
      </c>
      <c r="R204" s="60">
        <v>0</v>
      </c>
      <c r="S204" s="62">
        <f t="shared" ref="S204" si="200">+R204/$M204</f>
        <v>0</v>
      </c>
    </row>
    <row r="205" spans="1:19" ht="27.75" customHeight="1">
      <c r="A205" s="32" t="e">
        <v>#REF!</v>
      </c>
      <c r="B205" s="52" t="s">
        <v>715</v>
      </c>
      <c r="C205" s="52" t="s">
        <v>167</v>
      </c>
      <c r="D205" s="52">
        <v>4103</v>
      </c>
      <c r="E205" s="52" t="s">
        <v>172</v>
      </c>
      <c r="F205" s="52">
        <v>22</v>
      </c>
      <c r="G205" s="52" t="s">
        <v>175</v>
      </c>
      <c r="H205" s="52">
        <v>4103057</v>
      </c>
      <c r="I205" s="52"/>
      <c r="J205" s="53"/>
      <c r="K205" s="52" t="s">
        <v>29</v>
      </c>
      <c r="L205" s="52" t="s">
        <v>244</v>
      </c>
      <c r="M205" s="54">
        <v>42878440876</v>
      </c>
      <c r="N205" s="54">
        <v>32129097003</v>
      </c>
      <c r="O205" s="55">
        <f t="shared" si="195"/>
        <v>0.74930655934794865</v>
      </c>
      <c r="P205" s="54">
        <v>232629996</v>
      </c>
      <c r="Q205" s="55">
        <f t="shared" si="195"/>
        <v>5.4253370982574158E-3</v>
      </c>
      <c r="R205" s="54">
        <v>125329996</v>
      </c>
      <c r="S205" s="55">
        <f t="shared" ref="S205" si="201">+R205/$M205</f>
        <v>2.9229140201818752E-3</v>
      </c>
    </row>
    <row r="206" spans="1:19" ht="24.95" customHeight="1">
      <c r="A206" s="32" t="e">
        <v>#REF!</v>
      </c>
      <c r="B206" s="56" t="s">
        <v>716</v>
      </c>
      <c r="C206" s="57" t="s">
        <v>167</v>
      </c>
      <c r="D206" s="57">
        <v>4103</v>
      </c>
      <c r="E206" s="57" t="s">
        <v>172</v>
      </c>
      <c r="F206" s="57">
        <v>22</v>
      </c>
      <c r="G206" s="57" t="s">
        <v>175</v>
      </c>
      <c r="H206" s="57" t="s">
        <v>221</v>
      </c>
      <c r="I206" s="57" t="s">
        <v>54</v>
      </c>
      <c r="J206" s="57">
        <v>11</v>
      </c>
      <c r="K206" s="58" t="s">
        <v>29</v>
      </c>
      <c r="L206" s="59" t="s">
        <v>178</v>
      </c>
      <c r="M206" s="60">
        <v>4467871684</v>
      </c>
      <c r="N206" s="60">
        <v>1374397003</v>
      </c>
      <c r="O206" s="62">
        <f t="shared" si="195"/>
        <v>0.30761783242833168</v>
      </c>
      <c r="P206" s="60">
        <v>232629996</v>
      </c>
      <c r="Q206" s="62">
        <f t="shared" si="195"/>
        <v>5.2067295673033032E-2</v>
      </c>
      <c r="R206" s="60">
        <v>125329996</v>
      </c>
      <c r="S206" s="62">
        <f t="shared" ref="S206" si="202">+R206/$M206</f>
        <v>2.8051386625274441E-2</v>
      </c>
    </row>
    <row r="207" spans="1:19" ht="24.95" customHeight="1">
      <c r="A207" s="32" t="e">
        <v>#REF!</v>
      </c>
      <c r="B207" s="56" t="s">
        <v>717</v>
      </c>
      <c r="C207" s="57" t="s">
        <v>167</v>
      </c>
      <c r="D207" s="57">
        <v>4103</v>
      </c>
      <c r="E207" s="57" t="s">
        <v>172</v>
      </c>
      <c r="F207" s="57">
        <v>22</v>
      </c>
      <c r="G207" s="57" t="s">
        <v>175</v>
      </c>
      <c r="H207" s="57" t="s">
        <v>221</v>
      </c>
      <c r="I207" s="57" t="s">
        <v>65</v>
      </c>
      <c r="J207" s="57">
        <v>11</v>
      </c>
      <c r="K207" s="58" t="s">
        <v>29</v>
      </c>
      <c r="L207" s="59" t="s">
        <v>127</v>
      </c>
      <c r="M207" s="60">
        <v>38410569192</v>
      </c>
      <c r="N207" s="60">
        <v>30754700000</v>
      </c>
      <c r="O207" s="62">
        <f t="shared" si="195"/>
        <v>0.80068326627155184</v>
      </c>
      <c r="P207" s="60">
        <v>0</v>
      </c>
      <c r="Q207" s="62">
        <f t="shared" si="195"/>
        <v>0</v>
      </c>
      <c r="R207" s="60">
        <v>0</v>
      </c>
      <c r="S207" s="62">
        <f t="shared" ref="S207" si="203">+R207/$M207</f>
        <v>0</v>
      </c>
    </row>
    <row r="208" spans="1:19" ht="23.25" customHeight="1">
      <c r="A208" s="32" t="e">
        <v>#REF!</v>
      </c>
      <c r="B208" s="52" t="s">
        <v>718</v>
      </c>
      <c r="C208" s="52" t="s">
        <v>167</v>
      </c>
      <c r="D208" s="52">
        <v>4103</v>
      </c>
      <c r="E208" s="52" t="s">
        <v>172</v>
      </c>
      <c r="F208" s="52">
        <v>22</v>
      </c>
      <c r="G208" s="52" t="s">
        <v>175</v>
      </c>
      <c r="H208" s="52">
        <v>4103062</v>
      </c>
      <c r="I208" s="52"/>
      <c r="J208" s="53"/>
      <c r="K208" s="52" t="s">
        <v>29</v>
      </c>
      <c r="L208" s="52" t="s">
        <v>245</v>
      </c>
      <c r="M208" s="54">
        <v>82692063088</v>
      </c>
      <c r="N208" s="54">
        <v>537729688</v>
      </c>
      <c r="O208" s="55">
        <f t="shared" si="195"/>
        <v>6.5027968576349812E-3</v>
      </c>
      <c r="P208" s="54">
        <v>0</v>
      </c>
      <c r="Q208" s="55">
        <f t="shared" si="195"/>
        <v>0</v>
      </c>
      <c r="R208" s="54">
        <v>0</v>
      </c>
      <c r="S208" s="55">
        <f t="shared" ref="S208" si="204">+R208/$M208</f>
        <v>0</v>
      </c>
    </row>
    <row r="209" spans="1:19" ht="24.95" customHeight="1">
      <c r="A209" s="32" t="e">
        <v>#REF!</v>
      </c>
      <c r="B209" s="56" t="s">
        <v>719</v>
      </c>
      <c r="C209" s="57" t="s">
        <v>167</v>
      </c>
      <c r="D209" s="57">
        <v>4103</v>
      </c>
      <c r="E209" s="57" t="s">
        <v>172</v>
      </c>
      <c r="F209" s="57">
        <v>22</v>
      </c>
      <c r="G209" s="57" t="s">
        <v>175</v>
      </c>
      <c r="H209" s="57" t="s">
        <v>246</v>
      </c>
      <c r="I209" s="57" t="s">
        <v>54</v>
      </c>
      <c r="J209" s="57">
        <v>11</v>
      </c>
      <c r="K209" s="58" t="s">
        <v>29</v>
      </c>
      <c r="L209" s="59" t="s">
        <v>178</v>
      </c>
      <c r="M209" s="60">
        <v>11892063088</v>
      </c>
      <c r="N209" s="60">
        <v>537729688</v>
      </c>
      <c r="O209" s="62">
        <f t="shared" si="195"/>
        <v>4.5217527355922819E-2</v>
      </c>
      <c r="P209" s="60">
        <v>0</v>
      </c>
      <c r="Q209" s="62">
        <f t="shared" si="195"/>
        <v>0</v>
      </c>
      <c r="R209" s="60">
        <v>0</v>
      </c>
      <c r="S209" s="62">
        <f t="shared" ref="S209" si="205">+R209/$M209</f>
        <v>0</v>
      </c>
    </row>
    <row r="210" spans="1:19" ht="24.95" customHeight="1">
      <c r="A210" s="32" t="e">
        <v>#REF!</v>
      </c>
      <c r="B210" s="56" t="s">
        <v>720</v>
      </c>
      <c r="C210" s="57" t="s">
        <v>167</v>
      </c>
      <c r="D210" s="57">
        <v>4103</v>
      </c>
      <c r="E210" s="57" t="s">
        <v>172</v>
      </c>
      <c r="F210" s="57">
        <v>22</v>
      </c>
      <c r="G210" s="57" t="s">
        <v>175</v>
      </c>
      <c r="H210" s="57" t="s">
        <v>246</v>
      </c>
      <c r="I210" s="57" t="s">
        <v>65</v>
      </c>
      <c r="J210" s="57">
        <v>11</v>
      </c>
      <c r="K210" s="58" t="s">
        <v>29</v>
      </c>
      <c r="L210" s="59" t="s">
        <v>127</v>
      </c>
      <c r="M210" s="60">
        <v>70800000000</v>
      </c>
      <c r="N210" s="60">
        <v>0</v>
      </c>
      <c r="O210" s="62">
        <f t="shared" si="195"/>
        <v>0</v>
      </c>
      <c r="P210" s="60">
        <v>0</v>
      </c>
      <c r="Q210" s="62">
        <f t="shared" si="195"/>
        <v>0</v>
      </c>
      <c r="R210" s="60">
        <v>0</v>
      </c>
      <c r="S210" s="62">
        <f t="shared" ref="S210" si="206">+R210/$M210</f>
        <v>0</v>
      </c>
    </row>
    <row r="211" spans="1:19" ht="36" customHeight="1">
      <c r="A211" s="32"/>
      <c r="B211" s="48" t="s">
        <v>685</v>
      </c>
      <c r="C211" s="48" t="s">
        <v>167</v>
      </c>
      <c r="D211" s="48" t="s">
        <v>190</v>
      </c>
      <c r="E211" s="48" t="s">
        <v>172</v>
      </c>
      <c r="F211" s="48">
        <v>23</v>
      </c>
      <c r="G211" s="48"/>
      <c r="H211" s="48"/>
      <c r="I211" s="48"/>
      <c r="J211" s="49"/>
      <c r="K211" s="48"/>
      <c r="L211" s="48" t="s">
        <v>247</v>
      </c>
      <c r="M211" s="50">
        <v>1716644723711</v>
      </c>
      <c r="N211" s="50">
        <v>289974063898.72998</v>
      </c>
      <c r="O211" s="51">
        <f t="shared" si="195"/>
        <v>0.16891908960164526</v>
      </c>
      <c r="P211" s="50">
        <v>268535771666</v>
      </c>
      <c r="Q211" s="51">
        <f t="shared" si="195"/>
        <v>0.15643060439756343</v>
      </c>
      <c r="R211" s="50">
        <v>268512771666</v>
      </c>
      <c r="S211" s="51">
        <f t="shared" ref="S211" si="207">+R211/$M211</f>
        <v>0.15641720616805074</v>
      </c>
    </row>
    <row r="212" spans="1:19" ht="33.75" customHeight="1">
      <c r="A212" s="32"/>
      <c r="B212" s="52" t="s">
        <v>721</v>
      </c>
      <c r="C212" s="52" t="s">
        <v>167</v>
      </c>
      <c r="D212" s="52" t="s">
        <v>190</v>
      </c>
      <c r="E212" s="52" t="s">
        <v>172</v>
      </c>
      <c r="F212" s="52">
        <v>23</v>
      </c>
      <c r="G212" s="52" t="s">
        <v>175</v>
      </c>
      <c r="H212" s="52">
        <v>4103065</v>
      </c>
      <c r="I212" s="52"/>
      <c r="J212" s="53"/>
      <c r="K212" s="52" t="s">
        <v>29</v>
      </c>
      <c r="L212" s="52" t="s">
        <v>248</v>
      </c>
      <c r="M212" s="54">
        <v>1716644723711</v>
      </c>
      <c r="N212" s="54">
        <v>289974063898.72998</v>
      </c>
      <c r="O212" s="55">
        <f t="shared" si="195"/>
        <v>0.16891908960164526</v>
      </c>
      <c r="P212" s="54">
        <v>268535771666</v>
      </c>
      <c r="Q212" s="55">
        <f t="shared" si="195"/>
        <v>0.15643060439756343</v>
      </c>
      <c r="R212" s="54">
        <v>268512771666</v>
      </c>
      <c r="S212" s="55">
        <f t="shared" ref="S212" si="208">+R212/$M212</f>
        <v>0.15641720616805074</v>
      </c>
    </row>
    <row r="213" spans="1:19" ht="24.95" customHeight="1">
      <c r="A213" s="32"/>
      <c r="B213" s="56" t="s">
        <v>722</v>
      </c>
      <c r="C213" s="57" t="s">
        <v>167</v>
      </c>
      <c r="D213" s="57" t="s">
        <v>190</v>
      </c>
      <c r="E213" s="57" t="s">
        <v>172</v>
      </c>
      <c r="F213" s="57">
        <v>23</v>
      </c>
      <c r="G213" s="57" t="s">
        <v>175</v>
      </c>
      <c r="H213" s="57">
        <v>4103065</v>
      </c>
      <c r="I213" s="57" t="s">
        <v>54</v>
      </c>
      <c r="J213" s="57">
        <v>10</v>
      </c>
      <c r="K213" s="58" t="s">
        <v>29</v>
      </c>
      <c r="L213" s="59" t="s">
        <v>178</v>
      </c>
      <c r="M213" s="60">
        <v>58404083711</v>
      </c>
      <c r="N213" s="60">
        <v>21494198898.73</v>
      </c>
      <c r="O213" s="62">
        <f t="shared" si="195"/>
        <v>0.36802561624097047</v>
      </c>
      <c r="P213" s="60">
        <v>55906666</v>
      </c>
      <c r="Q213" s="62">
        <f t="shared" si="195"/>
        <v>9.5723898822969416E-4</v>
      </c>
      <c r="R213" s="60">
        <v>32906666</v>
      </c>
      <c r="S213" s="62">
        <f t="shared" ref="S213" si="209">+R213/$M213</f>
        <v>5.6343090943488695E-4</v>
      </c>
    </row>
    <row r="214" spans="1:19" ht="24.95" customHeight="1">
      <c r="A214" s="32"/>
      <c r="B214" s="56" t="s">
        <v>723</v>
      </c>
      <c r="C214" s="57" t="s">
        <v>167</v>
      </c>
      <c r="D214" s="57" t="s">
        <v>190</v>
      </c>
      <c r="E214" s="57" t="s">
        <v>172</v>
      </c>
      <c r="F214" s="57">
        <v>23</v>
      </c>
      <c r="G214" s="57" t="s">
        <v>175</v>
      </c>
      <c r="H214" s="57">
        <v>4103065</v>
      </c>
      <c r="I214" s="57" t="s">
        <v>65</v>
      </c>
      <c r="J214" s="57">
        <v>10</v>
      </c>
      <c r="K214" s="58" t="s">
        <v>29</v>
      </c>
      <c r="L214" s="59" t="s">
        <v>127</v>
      </c>
      <c r="M214" s="60">
        <v>794540092896</v>
      </c>
      <c r="N214" s="60">
        <v>189961633445</v>
      </c>
      <c r="O214" s="62">
        <f t="shared" si="195"/>
        <v>0.2390837607106942</v>
      </c>
      <c r="P214" s="60">
        <v>189961633445</v>
      </c>
      <c r="Q214" s="62">
        <f t="shared" si="195"/>
        <v>0.2390837607106942</v>
      </c>
      <c r="R214" s="60">
        <v>189961633445</v>
      </c>
      <c r="S214" s="62">
        <f t="shared" ref="S214" si="210">+R214/$M214</f>
        <v>0.2390837607106942</v>
      </c>
    </row>
    <row r="215" spans="1:19" ht="24.95" customHeight="1">
      <c r="A215" s="32"/>
      <c r="B215" s="56" t="s">
        <v>723</v>
      </c>
      <c r="C215" s="57" t="s">
        <v>167</v>
      </c>
      <c r="D215" s="57" t="s">
        <v>190</v>
      </c>
      <c r="E215" s="57" t="s">
        <v>172</v>
      </c>
      <c r="F215" s="57">
        <v>23</v>
      </c>
      <c r="G215" s="57" t="s">
        <v>175</v>
      </c>
      <c r="H215" s="57">
        <v>4103065</v>
      </c>
      <c r="I215" s="57" t="s">
        <v>65</v>
      </c>
      <c r="J215" s="57">
        <v>16</v>
      </c>
      <c r="K215" s="58" t="s">
        <v>156</v>
      </c>
      <c r="L215" s="59" t="s">
        <v>127</v>
      </c>
      <c r="M215" s="60">
        <v>863700547104</v>
      </c>
      <c r="N215" s="60">
        <v>78518231555</v>
      </c>
      <c r="O215" s="62">
        <f t="shared" si="195"/>
        <v>9.0909090909196161E-2</v>
      </c>
      <c r="P215" s="60">
        <v>78518231555</v>
      </c>
      <c r="Q215" s="62">
        <f t="shared" si="195"/>
        <v>9.0909090909196161E-2</v>
      </c>
      <c r="R215" s="60">
        <v>78518231555</v>
      </c>
      <c r="S215" s="62">
        <f t="shared" ref="S215" si="211">+R215/$M215</f>
        <v>9.0909090909196161E-2</v>
      </c>
    </row>
    <row r="216" spans="1:19" ht="36" customHeight="1">
      <c r="A216" s="32" t="e">
        <v>#REF!</v>
      </c>
      <c r="B216" s="48" t="s">
        <v>827</v>
      </c>
      <c r="C216" s="48" t="s">
        <v>167</v>
      </c>
      <c r="D216" s="48" t="s">
        <v>190</v>
      </c>
      <c r="E216" s="48" t="s">
        <v>172</v>
      </c>
      <c r="F216" s="48">
        <v>25</v>
      </c>
      <c r="G216" s="48"/>
      <c r="H216" s="48"/>
      <c r="I216" s="48"/>
      <c r="J216" s="49"/>
      <c r="K216" s="48"/>
      <c r="L216" s="48" t="s">
        <v>825</v>
      </c>
      <c r="M216" s="50">
        <v>5500000000</v>
      </c>
      <c r="N216" s="50">
        <v>0</v>
      </c>
      <c r="O216" s="51">
        <f t="shared" si="195"/>
        <v>0</v>
      </c>
      <c r="P216" s="50">
        <v>0</v>
      </c>
      <c r="Q216" s="51">
        <f t="shared" si="195"/>
        <v>0</v>
      </c>
      <c r="R216" s="50">
        <v>0</v>
      </c>
      <c r="S216" s="51">
        <f t="shared" ref="S216" si="212">+R216/$M216</f>
        <v>0</v>
      </c>
    </row>
    <row r="217" spans="1:19" ht="33.75" customHeight="1">
      <c r="A217" s="32" t="e">
        <v>#REF!</v>
      </c>
      <c r="B217" s="52" t="s">
        <v>828</v>
      </c>
      <c r="C217" s="52" t="s">
        <v>167</v>
      </c>
      <c r="D217" s="52" t="s">
        <v>190</v>
      </c>
      <c r="E217" s="52" t="s">
        <v>172</v>
      </c>
      <c r="F217" s="52">
        <v>25</v>
      </c>
      <c r="G217" s="52" t="s">
        <v>175</v>
      </c>
      <c r="H217" s="52">
        <v>4103050</v>
      </c>
      <c r="I217" s="52"/>
      <c r="J217" s="53"/>
      <c r="K217" s="52" t="s">
        <v>29</v>
      </c>
      <c r="L217" s="52" t="s">
        <v>269</v>
      </c>
      <c r="M217" s="54">
        <v>1283500000</v>
      </c>
      <c r="N217" s="54">
        <v>0</v>
      </c>
      <c r="O217" s="55">
        <f t="shared" si="195"/>
        <v>0</v>
      </c>
      <c r="P217" s="54">
        <v>0</v>
      </c>
      <c r="Q217" s="55">
        <f t="shared" si="195"/>
        <v>0</v>
      </c>
      <c r="R217" s="54">
        <v>0</v>
      </c>
      <c r="S217" s="55">
        <f t="shared" ref="S217" si="213">+R217/$M217</f>
        <v>0</v>
      </c>
    </row>
    <row r="218" spans="1:19" ht="24.95" customHeight="1">
      <c r="A218" s="32" t="e">
        <v>#REF!</v>
      </c>
      <c r="B218" s="56" t="s">
        <v>829</v>
      </c>
      <c r="C218" s="57" t="s">
        <v>167</v>
      </c>
      <c r="D218" s="57" t="s">
        <v>190</v>
      </c>
      <c r="E218" s="57" t="s">
        <v>172</v>
      </c>
      <c r="F218" s="57">
        <v>25</v>
      </c>
      <c r="G218" s="57" t="s">
        <v>175</v>
      </c>
      <c r="H218" s="57">
        <v>4103050</v>
      </c>
      <c r="I218" s="57" t="s">
        <v>54</v>
      </c>
      <c r="J218" s="57">
        <v>11</v>
      </c>
      <c r="K218" s="58" t="s">
        <v>29</v>
      </c>
      <c r="L218" s="59" t="s">
        <v>178</v>
      </c>
      <c r="M218" s="60">
        <v>1283500000</v>
      </c>
      <c r="N218" s="60">
        <v>0</v>
      </c>
      <c r="O218" s="62">
        <f t="shared" si="195"/>
        <v>0</v>
      </c>
      <c r="P218" s="60">
        <v>0</v>
      </c>
      <c r="Q218" s="62">
        <f t="shared" si="195"/>
        <v>0</v>
      </c>
      <c r="R218" s="60">
        <v>0</v>
      </c>
      <c r="S218" s="62">
        <f t="shared" ref="S218" si="214">+R218/$M218</f>
        <v>0</v>
      </c>
    </row>
    <row r="219" spans="1:19" ht="33.75" customHeight="1">
      <c r="A219" s="32" t="e">
        <v>#REF!</v>
      </c>
      <c r="B219" s="52" t="s">
        <v>830</v>
      </c>
      <c r="C219" s="52" t="s">
        <v>167</v>
      </c>
      <c r="D219" s="52" t="s">
        <v>190</v>
      </c>
      <c r="E219" s="52" t="s">
        <v>172</v>
      </c>
      <c r="F219" s="52">
        <v>25</v>
      </c>
      <c r="G219" s="52" t="s">
        <v>175</v>
      </c>
      <c r="H219" s="52">
        <v>4103057</v>
      </c>
      <c r="I219" s="52"/>
      <c r="J219" s="53"/>
      <c r="K219" s="52" t="s">
        <v>29</v>
      </c>
      <c r="L219" s="52" t="s">
        <v>222</v>
      </c>
      <c r="M219" s="54">
        <v>4216500000</v>
      </c>
      <c r="N219" s="54">
        <v>0</v>
      </c>
      <c r="O219" s="55">
        <f t="shared" si="195"/>
        <v>0</v>
      </c>
      <c r="P219" s="54">
        <v>0</v>
      </c>
      <c r="Q219" s="55">
        <f t="shared" si="195"/>
        <v>0</v>
      </c>
      <c r="R219" s="54">
        <v>0</v>
      </c>
      <c r="S219" s="55">
        <f t="shared" ref="S219" si="215">+R219/$M219</f>
        <v>0</v>
      </c>
    </row>
    <row r="220" spans="1:19" ht="24.95" customHeight="1">
      <c r="A220" s="32" t="e">
        <v>#REF!</v>
      </c>
      <c r="B220" s="56" t="s">
        <v>831</v>
      </c>
      <c r="C220" s="57" t="s">
        <v>167</v>
      </c>
      <c r="D220" s="57" t="s">
        <v>190</v>
      </c>
      <c r="E220" s="57" t="s">
        <v>172</v>
      </c>
      <c r="F220" s="57">
        <v>25</v>
      </c>
      <c r="G220" s="57" t="s">
        <v>175</v>
      </c>
      <c r="H220" s="57">
        <v>4103057</v>
      </c>
      <c r="I220" s="57" t="s">
        <v>54</v>
      </c>
      <c r="J220" s="57">
        <v>11</v>
      </c>
      <c r="K220" s="58" t="s">
        <v>29</v>
      </c>
      <c r="L220" s="59" t="s">
        <v>178</v>
      </c>
      <c r="M220" s="60">
        <v>315000000</v>
      </c>
      <c r="N220" s="60">
        <v>0</v>
      </c>
      <c r="O220" s="62">
        <f t="shared" si="195"/>
        <v>0</v>
      </c>
      <c r="P220" s="60">
        <v>0</v>
      </c>
      <c r="Q220" s="62">
        <f t="shared" si="195"/>
        <v>0</v>
      </c>
      <c r="R220" s="60">
        <v>0</v>
      </c>
      <c r="S220" s="62">
        <f t="shared" ref="S220" si="216">+R220/$M220</f>
        <v>0</v>
      </c>
    </row>
    <row r="221" spans="1:19" ht="24.95" customHeight="1">
      <c r="A221" s="32" t="e">
        <v>#REF!</v>
      </c>
      <c r="B221" s="56" t="s">
        <v>832</v>
      </c>
      <c r="C221" s="57" t="s">
        <v>167</v>
      </c>
      <c r="D221" s="57" t="s">
        <v>190</v>
      </c>
      <c r="E221" s="57" t="s">
        <v>172</v>
      </c>
      <c r="F221" s="57">
        <v>25</v>
      </c>
      <c r="G221" s="57" t="s">
        <v>175</v>
      </c>
      <c r="H221" s="57">
        <v>4103057</v>
      </c>
      <c r="I221" s="57" t="s">
        <v>65</v>
      </c>
      <c r="J221" s="57">
        <v>11</v>
      </c>
      <c r="K221" s="58" t="s">
        <v>29</v>
      </c>
      <c r="L221" s="59" t="s">
        <v>127</v>
      </c>
      <c r="M221" s="60">
        <v>3901500000</v>
      </c>
      <c r="N221" s="60">
        <v>0</v>
      </c>
      <c r="O221" s="62">
        <f t="shared" si="195"/>
        <v>0</v>
      </c>
      <c r="P221" s="60">
        <v>0</v>
      </c>
      <c r="Q221" s="62">
        <f t="shared" si="195"/>
        <v>0</v>
      </c>
      <c r="R221" s="60">
        <v>0</v>
      </c>
      <c r="S221" s="62">
        <f t="shared" ref="S221" si="217">+R221/$M221</f>
        <v>0</v>
      </c>
    </row>
    <row r="222" spans="1:19" ht="24" customHeight="1">
      <c r="A222" s="32" t="e">
        <v>#REF!</v>
      </c>
      <c r="B222" s="38" t="s">
        <v>544</v>
      </c>
      <c r="C222" s="39" t="s">
        <v>167</v>
      </c>
      <c r="D222" s="39">
        <v>4199</v>
      </c>
      <c r="E222" s="39"/>
      <c r="F222" s="39"/>
      <c r="G222" s="39"/>
      <c r="H222" s="39"/>
      <c r="I222" s="39"/>
      <c r="J222" s="39"/>
      <c r="K222" s="40"/>
      <c r="L222" s="38" t="s">
        <v>250</v>
      </c>
      <c r="M222" s="41">
        <v>6000000000</v>
      </c>
      <c r="N222" s="41">
        <v>654765408</v>
      </c>
      <c r="O222" s="42">
        <f t="shared" si="195"/>
        <v>0.10912756799999999</v>
      </c>
      <c r="P222" s="41">
        <v>0</v>
      </c>
      <c r="Q222" s="42">
        <f t="shared" si="195"/>
        <v>0</v>
      </c>
      <c r="R222" s="41">
        <v>0</v>
      </c>
      <c r="S222" s="42">
        <f t="shared" ref="S222" si="218">+R222/$M222</f>
        <v>0</v>
      </c>
    </row>
    <row r="223" spans="1:19" ht="24" customHeight="1">
      <c r="A223" s="32" t="e">
        <v>#REF!</v>
      </c>
      <c r="B223" s="43" t="s">
        <v>300</v>
      </c>
      <c r="C223" s="44" t="s">
        <v>167</v>
      </c>
      <c r="D223" s="44">
        <v>4199</v>
      </c>
      <c r="E223" s="44">
        <v>1500</v>
      </c>
      <c r="F223" s="44"/>
      <c r="G223" s="44"/>
      <c r="H223" s="44"/>
      <c r="I223" s="44"/>
      <c r="J223" s="44"/>
      <c r="K223" s="45"/>
      <c r="L223" s="43" t="s">
        <v>170</v>
      </c>
      <c r="M223" s="46">
        <v>6000000000</v>
      </c>
      <c r="N223" s="46">
        <v>654765408</v>
      </c>
      <c r="O223" s="47">
        <f t="shared" si="195"/>
        <v>0.10912756799999999</v>
      </c>
      <c r="P223" s="46">
        <v>0</v>
      </c>
      <c r="Q223" s="47">
        <f t="shared" si="195"/>
        <v>0</v>
      </c>
      <c r="R223" s="46">
        <v>0</v>
      </c>
      <c r="S223" s="47">
        <f t="shared" ref="S223" si="219">+R223/$M223</f>
        <v>0</v>
      </c>
    </row>
    <row r="224" spans="1:19" ht="39" customHeight="1">
      <c r="A224" s="32" t="e">
        <v>#REF!</v>
      </c>
      <c r="B224" s="48" t="s">
        <v>547</v>
      </c>
      <c r="C224" s="48" t="s">
        <v>167</v>
      </c>
      <c r="D224" s="48" t="s">
        <v>251</v>
      </c>
      <c r="E224" s="48" t="s">
        <v>172</v>
      </c>
      <c r="F224" s="48" t="s">
        <v>252</v>
      </c>
      <c r="G224" s="48"/>
      <c r="H224" s="48"/>
      <c r="I224" s="48"/>
      <c r="J224" s="49"/>
      <c r="K224" s="48"/>
      <c r="L224" s="48" t="s">
        <v>253</v>
      </c>
      <c r="M224" s="50">
        <v>6000000000</v>
      </c>
      <c r="N224" s="50">
        <v>654765408</v>
      </c>
      <c r="O224" s="51">
        <f t="shared" si="195"/>
        <v>0.10912756799999999</v>
      </c>
      <c r="P224" s="50">
        <v>0</v>
      </c>
      <c r="Q224" s="51">
        <f t="shared" si="195"/>
        <v>0</v>
      </c>
      <c r="R224" s="50">
        <v>0</v>
      </c>
      <c r="S224" s="51">
        <f t="shared" ref="S224" si="220">+R224/$M224</f>
        <v>0</v>
      </c>
    </row>
    <row r="225" spans="1:42" ht="24" customHeight="1">
      <c r="A225" s="32" t="e">
        <v>#REF!</v>
      </c>
      <c r="B225" s="52" t="s">
        <v>548</v>
      </c>
      <c r="C225" s="52" t="s">
        <v>167</v>
      </c>
      <c r="D225" s="52" t="s">
        <v>251</v>
      </c>
      <c r="E225" s="52" t="s">
        <v>172</v>
      </c>
      <c r="F225" s="52" t="s">
        <v>252</v>
      </c>
      <c r="G225" s="52" t="s">
        <v>175</v>
      </c>
      <c r="H225" s="52" t="s">
        <v>254</v>
      </c>
      <c r="I225" s="52"/>
      <c r="J225" s="53"/>
      <c r="K225" s="52" t="s">
        <v>29</v>
      </c>
      <c r="L225" s="52" t="s">
        <v>255</v>
      </c>
      <c r="M225" s="54">
        <v>6000000000</v>
      </c>
      <c r="N225" s="54">
        <v>654765408</v>
      </c>
      <c r="O225" s="55">
        <f t="shared" si="195"/>
        <v>0.10912756799999999</v>
      </c>
      <c r="P225" s="54">
        <v>0</v>
      </c>
      <c r="Q225" s="55">
        <f t="shared" si="195"/>
        <v>0</v>
      </c>
      <c r="R225" s="54">
        <v>0</v>
      </c>
      <c r="S225" s="55">
        <f t="shared" ref="S225" si="221">+R225/$M225</f>
        <v>0</v>
      </c>
    </row>
    <row r="226" spans="1:42" ht="24.95" customHeight="1">
      <c r="A226" s="32" t="e">
        <v>#REF!</v>
      </c>
      <c r="B226" s="56" t="s">
        <v>549</v>
      </c>
      <c r="C226" s="57" t="s">
        <v>167</v>
      </c>
      <c r="D226" s="57" t="s">
        <v>251</v>
      </c>
      <c r="E226" s="57" t="s">
        <v>172</v>
      </c>
      <c r="F226" s="57" t="s">
        <v>252</v>
      </c>
      <c r="G226" s="57" t="s">
        <v>175</v>
      </c>
      <c r="H226" s="57" t="s">
        <v>254</v>
      </c>
      <c r="I226" s="57" t="s">
        <v>54</v>
      </c>
      <c r="J226" s="57">
        <v>11</v>
      </c>
      <c r="K226" s="58" t="s">
        <v>29</v>
      </c>
      <c r="L226" s="59" t="s">
        <v>178</v>
      </c>
      <c r="M226" s="60">
        <v>6000000000</v>
      </c>
      <c r="N226" s="60">
        <v>654765408</v>
      </c>
      <c r="O226" s="62">
        <f t="shared" si="195"/>
        <v>0.10912756799999999</v>
      </c>
      <c r="P226" s="60">
        <v>0</v>
      </c>
      <c r="Q226" s="62">
        <f t="shared" si="195"/>
        <v>0</v>
      </c>
      <c r="R226" s="60">
        <v>0</v>
      </c>
      <c r="S226" s="62">
        <f t="shared" ref="S226" si="222">+R226/$M226</f>
        <v>0</v>
      </c>
    </row>
    <row r="227" spans="1:42" ht="35.1" customHeight="1">
      <c r="A227" s="32"/>
      <c r="B227" s="33"/>
      <c r="C227" s="34"/>
      <c r="D227" s="35"/>
      <c r="E227" s="35"/>
      <c r="F227" s="35"/>
      <c r="G227" s="35"/>
      <c r="H227" s="35"/>
      <c r="I227" s="35"/>
      <c r="J227" s="34"/>
      <c r="K227" s="35"/>
      <c r="L227" s="33" t="s">
        <v>256</v>
      </c>
      <c r="M227" s="36">
        <v>6678643821744</v>
      </c>
      <c r="N227" s="36">
        <v>856614652417.90002</v>
      </c>
      <c r="O227" s="37">
        <f t="shared" si="195"/>
        <v>0.12826176620303903</v>
      </c>
      <c r="P227" s="36">
        <v>407560385720.12994</v>
      </c>
      <c r="Q227" s="37">
        <f t="shared" si="195"/>
        <v>6.1024423011332762E-2</v>
      </c>
      <c r="R227" s="36">
        <v>404623708193.79993</v>
      </c>
      <c r="S227" s="37">
        <f t="shared" ref="S227" si="223">+R227/$M227</f>
        <v>6.0584711356584997E-2</v>
      </c>
    </row>
    <row r="228" spans="1:42" ht="16.5">
      <c r="A228" s="377"/>
      <c r="B228" s="377"/>
      <c r="C228" s="378"/>
      <c r="D228" s="378"/>
      <c r="E228" s="378"/>
      <c r="F228" s="378"/>
      <c r="G228" s="378"/>
      <c r="H228" s="379"/>
      <c r="I228" s="380"/>
      <c r="J228" s="380"/>
      <c r="K228" s="381"/>
      <c r="L228" s="380"/>
      <c r="M228" s="335"/>
      <c r="N228" s="335"/>
      <c r="O228" s="382"/>
      <c r="P228" s="383"/>
      <c r="Q228" s="382"/>
      <c r="R228" s="335"/>
      <c r="S228" s="384"/>
    </row>
    <row r="229" spans="1:42" s="8" customFormat="1" ht="16.5">
      <c r="A229" s="32"/>
      <c r="B229" s="32"/>
      <c r="C229" s="91"/>
      <c r="D229" s="91"/>
      <c r="E229" s="91"/>
      <c r="F229" s="91"/>
      <c r="G229" s="91"/>
      <c r="H229" s="92"/>
      <c r="I229" s="93"/>
      <c r="J229" s="93"/>
      <c r="K229" s="94"/>
      <c r="L229" s="93"/>
      <c r="M229" s="559">
        <f>+M227-'VIG_2022-IVTrim'!M242</f>
        <v>-6565554417992</v>
      </c>
      <c r="N229" s="95">
        <v>856614652417.90002</v>
      </c>
      <c r="O229" s="96">
        <v>0.12826176620303903</v>
      </c>
      <c r="P229" s="95">
        <v>407560385720.13</v>
      </c>
      <c r="Q229" s="96" t="e">
        <v>#REF!</v>
      </c>
      <c r="R229" s="95">
        <v>404623708193.79999</v>
      </c>
      <c r="S229" s="96">
        <v>0.47235207459001527</v>
      </c>
    </row>
    <row r="230" spans="1:42" s="8" customFormat="1" ht="16.5">
      <c r="A230" s="32"/>
      <c r="B230" s="32"/>
      <c r="C230" s="94"/>
      <c r="D230" s="93"/>
      <c r="E230" s="93"/>
      <c r="F230" s="93"/>
      <c r="G230" s="93"/>
      <c r="H230" s="93"/>
      <c r="I230" s="93"/>
      <c r="J230" s="93"/>
      <c r="K230" s="94"/>
      <c r="L230" s="97"/>
      <c r="M230" s="98">
        <v>0</v>
      </c>
      <c r="N230" s="98">
        <v>0</v>
      </c>
      <c r="O230" s="98"/>
      <c r="P230" s="98">
        <v>0</v>
      </c>
      <c r="Q230" s="98"/>
      <c r="R230" s="98">
        <v>0</v>
      </c>
      <c r="S230" s="98"/>
    </row>
    <row r="231" spans="1:42" s="108" customFormat="1" ht="16.5">
      <c r="A231" s="99"/>
      <c r="B231" s="100"/>
      <c r="C231" s="101"/>
      <c r="D231" s="102"/>
      <c r="E231" s="102"/>
      <c r="F231" s="102"/>
      <c r="G231" s="102"/>
      <c r="H231" s="102"/>
      <c r="I231" s="102"/>
      <c r="J231" s="102"/>
      <c r="K231" s="101"/>
      <c r="L231" s="103"/>
      <c r="M231" s="104"/>
      <c r="N231" s="104"/>
      <c r="O231" s="105"/>
      <c r="P231" s="104"/>
      <c r="Q231" s="105"/>
      <c r="R231" s="104"/>
      <c r="S231" s="106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</row>
    <row r="232" spans="1:42" ht="18">
      <c r="A232" s="30"/>
      <c r="B232" s="31"/>
      <c r="C232" s="312"/>
      <c r="D232" s="317"/>
      <c r="E232" s="312"/>
      <c r="F232" s="312"/>
      <c r="G232" s="312"/>
      <c r="H232" s="312"/>
      <c r="I232" s="312"/>
      <c r="J232" s="312"/>
      <c r="K232" s="317"/>
      <c r="L232" s="312"/>
      <c r="M232" s="359"/>
      <c r="N232" s="332"/>
      <c r="O232" s="333"/>
      <c r="P232" s="332"/>
      <c r="Q232" s="333"/>
      <c r="R232" s="332"/>
      <c r="S232" s="333"/>
    </row>
    <row r="233" spans="1:42" ht="18">
      <c r="A233" s="30"/>
      <c r="B233" s="31"/>
      <c r="C233" s="312"/>
      <c r="D233" s="317"/>
      <c r="E233" s="312"/>
      <c r="F233" s="312"/>
      <c r="G233" s="312"/>
      <c r="H233" s="312"/>
      <c r="I233" s="312"/>
      <c r="J233" s="312"/>
      <c r="K233" s="317"/>
      <c r="L233" s="312"/>
      <c r="M233" s="332"/>
      <c r="N233" s="332"/>
      <c r="O233" s="333"/>
      <c r="P233" s="332"/>
      <c r="Q233" s="333"/>
      <c r="R233" s="332"/>
      <c r="S233" s="333"/>
    </row>
    <row r="234" spans="1:42" ht="18">
      <c r="A234" s="1"/>
      <c r="B234" s="2"/>
      <c r="C234" s="312"/>
      <c r="D234" s="312"/>
      <c r="E234" s="312"/>
      <c r="F234" s="312"/>
      <c r="G234" s="312"/>
      <c r="H234" s="312"/>
      <c r="I234" s="312"/>
      <c r="J234" s="312"/>
      <c r="K234" s="317"/>
      <c r="L234" s="312"/>
      <c r="M234" s="332"/>
      <c r="N234" s="332"/>
      <c r="O234" s="333"/>
      <c r="P234" s="332"/>
      <c r="Q234" s="333"/>
      <c r="R234" s="332"/>
      <c r="S234" s="333"/>
      <c r="T234" s="315"/>
    </row>
    <row r="235" spans="1:42" ht="30">
      <c r="A235" s="1"/>
      <c r="B235" s="2"/>
      <c r="C235" s="318"/>
      <c r="D235" s="318"/>
      <c r="E235" s="318"/>
      <c r="F235" s="318"/>
      <c r="G235" s="318"/>
      <c r="H235" s="318"/>
      <c r="I235" s="312"/>
      <c r="J235" s="312"/>
      <c r="K235" s="317"/>
      <c r="L235" s="336" t="s">
        <v>738</v>
      </c>
      <c r="M235" s="319"/>
      <c r="N235" s="319"/>
      <c r="O235" s="319"/>
      <c r="P235" s="319"/>
      <c r="Q235" s="320"/>
      <c r="R235" s="376"/>
      <c r="S235" s="319"/>
    </row>
    <row r="236" spans="1:42" ht="30">
      <c r="A236" s="1"/>
      <c r="B236" s="2"/>
      <c r="C236" s="321"/>
      <c r="D236" s="322"/>
      <c r="E236" s="322"/>
      <c r="F236" s="322"/>
      <c r="G236" s="322"/>
      <c r="H236" s="322"/>
      <c r="I236" s="322"/>
      <c r="J236" s="322"/>
      <c r="K236" s="321"/>
      <c r="L236" s="337" t="s">
        <v>739</v>
      </c>
      <c r="M236" s="360"/>
      <c r="N236" s="323"/>
      <c r="O236" s="323"/>
      <c r="P236" s="323"/>
      <c r="Q236" s="324"/>
      <c r="R236" s="323"/>
      <c r="S236" s="323"/>
    </row>
    <row r="237" spans="1:42" ht="30">
      <c r="A237" s="325"/>
      <c r="B237" s="313"/>
      <c r="C237" s="308"/>
      <c r="D237" s="308"/>
      <c r="E237" s="308"/>
      <c r="F237" s="308"/>
      <c r="G237" s="308"/>
      <c r="H237" s="308"/>
      <c r="I237" s="308"/>
      <c r="J237" s="308"/>
      <c r="K237" s="336"/>
      <c r="L237" s="308"/>
      <c r="M237" s="334"/>
      <c r="N237" s="334"/>
      <c r="O237" s="329"/>
      <c r="P237" s="329"/>
      <c r="Q237" s="329"/>
    </row>
  </sheetData>
  <sheetProtection selectLockedCells="1" selectUnlockedCells="1"/>
  <autoFilter ref="A6:S230" xr:uid="{00000000-0009-0000-0000-000002000000}"/>
  <mergeCells count="8">
    <mergeCell ref="M5:M6"/>
    <mergeCell ref="N5:O5"/>
    <mergeCell ref="P5:Q5"/>
    <mergeCell ref="R5:S5"/>
    <mergeCell ref="B5:B6"/>
    <mergeCell ref="C5:I5"/>
    <mergeCell ref="J5:J6"/>
    <mergeCell ref="L5:L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272C1-9934-4B89-A3F3-3F7808359793}">
  <sheetPr>
    <tabColor rgb="FF00B0F0"/>
    <pageSetUpPr fitToPage="1"/>
  </sheetPr>
  <dimension ref="A1:AY278"/>
  <sheetViews>
    <sheetView showGridLines="0" zoomScale="80" zoomScaleNormal="80" workbookViewId="0"/>
  </sheetViews>
  <sheetFormatPr baseColWidth="10" defaultRowHeight="12.75" outlineLevelCol="1"/>
  <cols>
    <col min="1" max="1" width="1.28515625" style="109" customWidth="1"/>
    <col min="2" max="2" width="30.85546875" style="8" customWidth="1"/>
    <col min="3" max="3" width="11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9.85546875" style="9" hidden="1" customWidth="1" outlineLevel="1"/>
    <col min="9" max="9" width="1.140625" style="9" hidden="1" customWidth="1" outlineLevel="1"/>
    <col min="10" max="10" width="5.140625" style="110" customWidth="1" collapsed="1"/>
    <col min="11" max="11" width="7.42578125" style="111" customWidth="1"/>
    <col min="12" max="12" width="41.710937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2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8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845" t="s">
        <v>940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29.2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878</v>
      </c>
      <c r="Y6" s="29" t="s">
        <v>879</v>
      </c>
      <c r="Z6" s="27" t="s">
        <v>18</v>
      </c>
      <c r="AA6" s="27" t="s">
        <v>880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47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v>#REF!</v>
      </c>
      <c r="B8" s="33" t="s">
        <v>23</v>
      </c>
      <c r="C8" s="34" t="s">
        <v>23</v>
      </c>
      <c r="D8" s="35"/>
      <c r="E8" s="35"/>
      <c r="F8" s="35"/>
      <c r="G8" s="35"/>
      <c r="H8" s="35"/>
      <c r="I8" s="35"/>
      <c r="J8" s="34"/>
      <c r="K8" s="35"/>
      <c r="L8" s="33" t="s">
        <v>24</v>
      </c>
      <c r="M8" s="36">
        <v>212412470214</v>
      </c>
      <c r="N8" s="739">
        <v>0</v>
      </c>
      <c r="O8" s="739">
        <v>0</v>
      </c>
      <c r="P8" s="36">
        <v>4892321043</v>
      </c>
      <c r="Q8" s="36">
        <v>4892321043</v>
      </c>
      <c r="R8" s="36">
        <v>5880000000</v>
      </c>
      <c r="S8" s="36">
        <v>206532470214</v>
      </c>
      <c r="T8" s="36">
        <v>58878483658.409996</v>
      </c>
      <c r="U8" s="36">
        <v>147653986555.59</v>
      </c>
      <c r="V8" s="37">
        <v>0.28508100250484902</v>
      </c>
      <c r="W8" s="36">
        <v>40462544525.619995</v>
      </c>
      <c r="X8" s="36">
        <v>18415939132.790001</v>
      </c>
      <c r="Y8" s="37">
        <v>0.31277876039797659</v>
      </c>
      <c r="Z8" s="36">
        <v>39479269549.619995</v>
      </c>
      <c r="AA8" s="36">
        <v>983274976</v>
      </c>
      <c r="AB8" s="37">
        <v>0.67052116658885652</v>
      </c>
    </row>
    <row r="9" spans="1:28" ht="24" customHeight="1">
      <c r="A9" s="32" t="e">
        <v>#REF!</v>
      </c>
      <c r="B9" s="38" t="s">
        <v>303</v>
      </c>
      <c r="C9" s="39" t="s">
        <v>23</v>
      </c>
      <c r="D9" s="39" t="s">
        <v>25</v>
      </c>
      <c r="E9" s="39"/>
      <c r="F9" s="39"/>
      <c r="G9" s="39"/>
      <c r="H9" s="39"/>
      <c r="I9" s="39"/>
      <c r="J9" s="39"/>
      <c r="K9" s="40"/>
      <c r="L9" s="38" t="s">
        <v>26</v>
      </c>
      <c r="M9" s="41">
        <v>128915000000</v>
      </c>
      <c r="N9" s="740">
        <v>0</v>
      </c>
      <c r="O9" s="740">
        <v>0</v>
      </c>
      <c r="P9" s="41">
        <v>0</v>
      </c>
      <c r="Q9" s="41">
        <v>0</v>
      </c>
      <c r="R9" s="740">
        <v>0</v>
      </c>
      <c r="S9" s="41">
        <v>128915000000</v>
      </c>
      <c r="T9" s="41">
        <v>32805574955</v>
      </c>
      <c r="U9" s="41">
        <v>96109425045</v>
      </c>
      <c r="V9" s="42">
        <v>0.25447445956638093</v>
      </c>
      <c r="W9" s="41">
        <v>30817735428</v>
      </c>
      <c r="X9" s="41">
        <v>1987839527</v>
      </c>
      <c r="Y9" s="42">
        <v>6.0594564482614778E-2</v>
      </c>
      <c r="Z9" s="41">
        <v>30363014803</v>
      </c>
      <c r="AA9" s="41">
        <v>454720625</v>
      </c>
      <c r="AB9" s="42">
        <v>0.92554435776996735</v>
      </c>
    </row>
    <row r="10" spans="1:28" ht="24" customHeight="1">
      <c r="A10" s="32" t="e">
        <v>#REF!</v>
      </c>
      <c r="B10" s="43" t="s">
        <v>305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4"/>
      <c r="K10" s="45"/>
      <c r="L10" s="43" t="s">
        <v>27</v>
      </c>
      <c r="M10" s="46">
        <v>128915000000</v>
      </c>
      <c r="N10" s="741">
        <v>0</v>
      </c>
      <c r="O10" s="741">
        <v>0</v>
      </c>
      <c r="P10" s="46">
        <v>0</v>
      </c>
      <c r="Q10" s="46">
        <v>0</v>
      </c>
      <c r="R10" s="741">
        <v>0</v>
      </c>
      <c r="S10" s="46">
        <v>128915000000</v>
      </c>
      <c r="T10" s="46">
        <v>32805574955</v>
      </c>
      <c r="U10" s="46">
        <v>96109425045</v>
      </c>
      <c r="V10" s="47">
        <v>0.25447445956638093</v>
      </c>
      <c r="W10" s="46">
        <v>30817735428</v>
      </c>
      <c r="X10" s="46">
        <v>1987839527</v>
      </c>
      <c r="Y10" s="47">
        <v>6.0594564482614778E-2</v>
      </c>
      <c r="Z10" s="46">
        <v>30363014803</v>
      </c>
      <c r="AA10" s="46">
        <v>454720625</v>
      </c>
      <c r="AB10" s="47">
        <v>0.92554435776996735</v>
      </c>
    </row>
    <row r="11" spans="1:28" ht="24" customHeight="1">
      <c r="A11" s="32" t="e">
        <v>#REF!</v>
      </c>
      <c r="B11" s="48" t="s">
        <v>307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9" t="s">
        <v>28</v>
      </c>
      <c r="K11" s="48" t="s">
        <v>29</v>
      </c>
      <c r="L11" s="48" t="s">
        <v>30</v>
      </c>
      <c r="M11" s="50">
        <v>87725000000</v>
      </c>
      <c r="N11" s="742">
        <v>0</v>
      </c>
      <c r="O11" s="742">
        <v>0</v>
      </c>
      <c r="P11" s="50">
        <v>0</v>
      </c>
      <c r="Q11" s="50">
        <v>0</v>
      </c>
      <c r="R11" s="742">
        <v>0</v>
      </c>
      <c r="S11" s="50">
        <v>87725000000</v>
      </c>
      <c r="T11" s="50">
        <v>20628866453</v>
      </c>
      <c r="U11" s="50">
        <v>67096133547</v>
      </c>
      <c r="V11" s="51">
        <v>0.2351537925676831</v>
      </c>
      <c r="W11" s="50">
        <v>20615027853</v>
      </c>
      <c r="X11" s="50">
        <v>13838600</v>
      </c>
      <c r="Y11" s="51">
        <v>6.7083666625741768E-4</v>
      </c>
      <c r="Z11" s="50">
        <v>20615027853</v>
      </c>
      <c r="AA11" s="50">
        <v>0</v>
      </c>
      <c r="AB11" s="51">
        <v>0.99932916333374255</v>
      </c>
    </row>
    <row r="12" spans="1:28" ht="25.5" customHeight="1">
      <c r="A12" s="32" t="e">
        <v>#REF!</v>
      </c>
      <c r="B12" s="52" t="s">
        <v>309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3" t="s">
        <v>28</v>
      </c>
      <c r="K12" s="52" t="s">
        <v>29</v>
      </c>
      <c r="L12" s="52" t="s">
        <v>32</v>
      </c>
      <c r="M12" s="54">
        <v>87725000000</v>
      </c>
      <c r="N12" s="743">
        <v>0</v>
      </c>
      <c r="O12" s="743">
        <v>0</v>
      </c>
      <c r="P12" s="54">
        <v>0</v>
      </c>
      <c r="Q12" s="54">
        <v>0</v>
      </c>
      <c r="R12" s="743">
        <v>0</v>
      </c>
      <c r="S12" s="54">
        <v>87725000000</v>
      </c>
      <c r="T12" s="54">
        <v>20628866453</v>
      </c>
      <c r="U12" s="54">
        <v>67096133547</v>
      </c>
      <c r="V12" s="55">
        <v>0.2351537925676831</v>
      </c>
      <c r="W12" s="54">
        <v>20615027853</v>
      </c>
      <c r="X12" s="54">
        <v>13838600</v>
      </c>
      <c r="Y12" s="55">
        <v>6.7083666625741768E-4</v>
      </c>
      <c r="Z12" s="54">
        <v>20615027853</v>
      </c>
      <c r="AA12" s="54">
        <v>0</v>
      </c>
      <c r="AB12" s="55">
        <v>0.99932916333374255</v>
      </c>
    </row>
    <row r="13" spans="1:28" ht="24.95" customHeight="1">
      <c r="A13" s="32" t="e">
        <v>#REF!</v>
      </c>
      <c r="B13" s="56" t="s">
        <v>311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71741000000</v>
      </c>
      <c r="N13" s="60"/>
      <c r="O13" s="60"/>
      <c r="P13" s="61"/>
      <c r="Q13" s="61"/>
      <c r="R13" s="61"/>
      <c r="S13" s="60">
        <v>71741000000</v>
      </c>
      <c r="T13" s="60">
        <v>18782691189</v>
      </c>
      <c r="U13" s="60">
        <v>52958308811</v>
      </c>
      <c r="V13" s="62">
        <v>0.26181250873280271</v>
      </c>
      <c r="W13" s="60">
        <v>18779174220</v>
      </c>
      <c r="X13" s="60">
        <v>3516969</v>
      </c>
      <c r="Y13" s="62">
        <v>1.8724521233994931E-4</v>
      </c>
      <c r="Z13" s="60">
        <v>18779174220</v>
      </c>
      <c r="AA13" s="60">
        <v>0</v>
      </c>
      <c r="AB13" s="62">
        <v>0.99981275478766007</v>
      </c>
    </row>
    <row r="14" spans="1:28" ht="24.95" customHeight="1">
      <c r="A14" s="32" t="e">
        <v>#REF!</v>
      </c>
      <c r="B14" s="56" t="s">
        <v>313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360000000</v>
      </c>
      <c r="N14" s="60"/>
      <c r="O14" s="60"/>
      <c r="P14" s="61"/>
      <c r="Q14" s="61"/>
      <c r="R14" s="60"/>
      <c r="S14" s="60">
        <v>360000000</v>
      </c>
      <c r="T14" s="60">
        <v>93670584</v>
      </c>
      <c r="U14" s="60">
        <v>266329416</v>
      </c>
      <c r="V14" s="62">
        <v>0.26019606666666667</v>
      </c>
      <c r="W14" s="60">
        <v>93670584</v>
      </c>
      <c r="X14" s="60">
        <v>0</v>
      </c>
      <c r="Y14" s="62">
        <v>0</v>
      </c>
      <c r="Z14" s="60">
        <v>93670584</v>
      </c>
      <c r="AA14" s="60">
        <v>0</v>
      </c>
      <c r="AB14" s="62">
        <v>1</v>
      </c>
    </row>
    <row r="15" spans="1:28" ht="24.95" customHeight="1">
      <c r="A15" s="32" t="e">
        <v>#REF!</v>
      </c>
      <c r="B15" s="56" t="s">
        <v>315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840000000</v>
      </c>
      <c r="N15" s="60"/>
      <c r="O15" s="60"/>
      <c r="P15" s="61"/>
      <c r="Q15" s="61"/>
      <c r="R15" s="60"/>
      <c r="S15" s="60">
        <v>840000000</v>
      </c>
      <c r="T15" s="60">
        <v>302215407</v>
      </c>
      <c r="U15" s="60">
        <v>537784593</v>
      </c>
      <c r="V15" s="62">
        <v>0.35978024642857143</v>
      </c>
      <c r="W15" s="60">
        <v>302215407</v>
      </c>
      <c r="X15" s="60">
        <v>0</v>
      </c>
      <c r="Y15" s="62">
        <v>0</v>
      </c>
      <c r="Z15" s="60">
        <v>302215407</v>
      </c>
      <c r="AA15" s="60">
        <v>0</v>
      </c>
      <c r="AB15" s="62">
        <v>1</v>
      </c>
    </row>
    <row r="16" spans="1:28" ht="24.95" customHeight="1">
      <c r="A16" s="32" t="e">
        <v>#REF!</v>
      </c>
      <c r="B16" s="56" t="s">
        <v>317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180000000</v>
      </c>
      <c r="N16" s="60"/>
      <c r="O16" s="60"/>
      <c r="P16" s="61"/>
      <c r="Q16" s="61"/>
      <c r="R16" s="60"/>
      <c r="S16" s="60">
        <v>180000000</v>
      </c>
      <c r="T16" s="60">
        <v>27052009</v>
      </c>
      <c r="U16" s="60">
        <v>152947991</v>
      </c>
      <c r="V16" s="62">
        <v>0.15028893888888889</v>
      </c>
      <c r="W16" s="60">
        <v>27039884</v>
      </c>
      <c r="X16" s="60">
        <v>12125</v>
      </c>
      <c r="Y16" s="62">
        <v>4.4821070405528845E-4</v>
      </c>
      <c r="Z16" s="60">
        <v>27039884</v>
      </c>
      <c r="AA16" s="60">
        <v>0</v>
      </c>
      <c r="AB16" s="62">
        <v>0.99955178929594468</v>
      </c>
    </row>
    <row r="17" spans="1:28" ht="24.95" customHeight="1">
      <c r="A17" s="32" t="e">
        <v>#REF!</v>
      </c>
      <c r="B17" s="56" t="s">
        <v>319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204000000</v>
      </c>
      <c r="N17" s="60"/>
      <c r="O17" s="60"/>
      <c r="P17" s="61"/>
      <c r="Q17" s="61"/>
      <c r="R17" s="60"/>
      <c r="S17" s="60">
        <v>204000000</v>
      </c>
      <c r="T17" s="60">
        <v>72004126</v>
      </c>
      <c r="U17" s="60">
        <v>131995874</v>
      </c>
      <c r="V17" s="62">
        <v>0.35296140196078429</v>
      </c>
      <c r="W17" s="60">
        <v>71980692</v>
      </c>
      <c r="X17" s="60">
        <v>23434</v>
      </c>
      <c r="Y17" s="62">
        <v>3.2545357192447557E-4</v>
      </c>
      <c r="Z17" s="60">
        <v>71980692</v>
      </c>
      <c r="AA17" s="60">
        <v>0</v>
      </c>
      <c r="AB17" s="62">
        <v>0.99967454642807552</v>
      </c>
    </row>
    <row r="18" spans="1:28" ht="24.95" customHeight="1">
      <c r="A18" s="32" t="e">
        <v>#REF!</v>
      </c>
      <c r="B18" s="56" t="s">
        <v>321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3000000000</v>
      </c>
      <c r="N18" s="60"/>
      <c r="O18" s="60"/>
      <c r="P18" s="61"/>
      <c r="Q18" s="61"/>
      <c r="R18" s="60"/>
      <c r="S18" s="60">
        <v>3000000000</v>
      </c>
      <c r="T18" s="60">
        <v>47547420</v>
      </c>
      <c r="U18" s="60">
        <v>2952452580</v>
      </c>
      <c r="V18" s="62">
        <v>1.5849140000000001E-2</v>
      </c>
      <c r="W18" s="60">
        <v>46011042</v>
      </c>
      <c r="X18" s="60">
        <v>1536378</v>
      </c>
      <c r="Y18" s="62">
        <v>3.2312541879243921E-2</v>
      </c>
      <c r="Z18" s="60">
        <v>46011042</v>
      </c>
      <c r="AA18" s="60">
        <v>0</v>
      </c>
      <c r="AB18" s="62">
        <v>0.96768745812075607</v>
      </c>
    </row>
    <row r="19" spans="1:28" ht="24.95" customHeight="1">
      <c r="A19" s="32" t="e">
        <v>#REF!</v>
      </c>
      <c r="B19" s="56" t="s">
        <v>323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2000000000</v>
      </c>
      <c r="N19" s="60"/>
      <c r="O19" s="60"/>
      <c r="P19" s="61"/>
      <c r="Q19" s="61"/>
      <c r="R19" s="60"/>
      <c r="S19" s="60">
        <v>2000000000</v>
      </c>
      <c r="T19" s="60">
        <v>626947024</v>
      </c>
      <c r="U19" s="60">
        <v>1373052976</v>
      </c>
      <c r="V19" s="62">
        <v>0.31347351200000001</v>
      </c>
      <c r="W19" s="60">
        <v>624709629</v>
      </c>
      <c r="X19" s="60">
        <v>2237395</v>
      </c>
      <c r="Y19" s="62">
        <v>3.5687146032293789E-3</v>
      </c>
      <c r="Z19" s="60">
        <v>624709629</v>
      </c>
      <c r="AA19" s="60">
        <v>0</v>
      </c>
      <c r="AB19" s="62">
        <v>0.99643128539677062</v>
      </c>
    </row>
    <row r="20" spans="1:28" ht="24.95" customHeight="1">
      <c r="A20" s="32" t="e">
        <v>#REF!</v>
      </c>
      <c r="B20" s="56" t="s">
        <v>325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200000000</v>
      </c>
      <c r="N20" s="60"/>
      <c r="O20" s="60"/>
      <c r="P20" s="61"/>
      <c r="Q20" s="61"/>
      <c r="R20" s="60"/>
      <c r="S20" s="60">
        <v>200000000</v>
      </c>
      <c r="T20" s="60">
        <v>41282572</v>
      </c>
      <c r="U20" s="60">
        <v>158717428</v>
      </c>
      <c r="V20" s="62">
        <v>0.20641286</v>
      </c>
      <c r="W20" s="60">
        <v>41282572</v>
      </c>
      <c r="X20" s="60">
        <v>0</v>
      </c>
      <c r="Y20" s="62">
        <v>0</v>
      </c>
      <c r="Z20" s="60">
        <v>41282572</v>
      </c>
      <c r="AA20" s="60">
        <v>0</v>
      </c>
      <c r="AB20" s="62">
        <v>1</v>
      </c>
    </row>
    <row r="21" spans="1:28" ht="24.95" customHeight="1">
      <c r="A21" s="32" t="e">
        <v>#REF!</v>
      </c>
      <c r="B21" s="56" t="s">
        <v>327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1"/>
      <c r="Q21" s="61"/>
      <c r="R21" s="60"/>
      <c r="S21" s="60">
        <v>5900000000</v>
      </c>
      <c r="T21" s="60">
        <v>20826531</v>
      </c>
      <c r="U21" s="60">
        <v>5879173469</v>
      </c>
      <c r="V21" s="62">
        <v>3.5299205084745764E-3</v>
      </c>
      <c r="W21" s="60">
        <v>20356458</v>
      </c>
      <c r="X21" s="60">
        <v>470073</v>
      </c>
      <c r="Y21" s="62">
        <v>2.2570873661100832E-2</v>
      </c>
      <c r="Z21" s="60">
        <v>20356458</v>
      </c>
      <c r="AA21" s="60">
        <v>0</v>
      </c>
      <c r="AB21" s="62">
        <v>0.97742912633889911</v>
      </c>
    </row>
    <row r="22" spans="1:28" ht="24.95" customHeight="1">
      <c r="A22" s="32" t="e">
        <v>#REF!</v>
      </c>
      <c r="B22" s="56" t="s">
        <v>329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3300000000</v>
      </c>
      <c r="N22" s="60"/>
      <c r="O22" s="60"/>
      <c r="P22" s="61"/>
      <c r="Q22" s="61"/>
      <c r="R22" s="60"/>
      <c r="S22" s="60">
        <v>3300000000</v>
      </c>
      <c r="T22" s="60">
        <v>614629591</v>
      </c>
      <c r="U22" s="60">
        <v>2685370409</v>
      </c>
      <c r="V22" s="62">
        <v>0.18625139121212123</v>
      </c>
      <c r="W22" s="60">
        <v>608587365</v>
      </c>
      <c r="X22" s="60">
        <v>6042226</v>
      </c>
      <c r="Y22" s="62">
        <v>9.8306786534135479E-3</v>
      </c>
      <c r="Z22" s="60">
        <v>608587365</v>
      </c>
      <c r="AA22" s="60">
        <v>0</v>
      </c>
      <c r="AB22" s="62">
        <v>0.99016932134658642</v>
      </c>
    </row>
    <row r="23" spans="1:28" ht="24" customHeight="1">
      <c r="A23" s="32" t="e">
        <v>#REF!</v>
      </c>
      <c r="B23" s="48" t="s">
        <v>331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9" t="s">
        <v>28</v>
      </c>
      <c r="K23" s="48" t="s">
        <v>29</v>
      </c>
      <c r="L23" s="48" t="s">
        <v>55</v>
      </c>
      <c r="M23" s="50">
        <v>32057000000</v>
      </c>
      <c r="N23" s="742">
        <v>0</v>
      </c>
      <c r="O23" s="742">
        <v>0</v>
      </c>
      <c r="P23" s="50">
        <v>0</v>
      </c>
      <c r="Q23" s="50">
        <v>0</v>
      </c>
      <c r="R23" s="742">
        <v>0</v>
      </c>
      <c r="S23" s="50">
        <v>32057000000</v>
      </c>
      <c r="T23" s="50">
        <v>10247048000</v>
      </c>
      <c r="U23" s="50">
        <v>21809952000</v>
      </c>
      <c r="V23" s="51">
        <v>0.31965087188445579</v>
      </c>
      <c r="W23" s="50">
        <v>8288274872</v>
      </c>
      <c r="X23" s="50">
        <v>1958773128</v>
      </c>
      <c r="Y23" s="51">
        <v>0.19115486996840456</v>
      </c>
      <c r="Z23" s="50">
        <v>7833554247</v>
      </c>
      <c r="AA23" s="50">
        <v>454720625</v>
      </c>
      <c r="AB23" s="51">
        <v>0.76446936200552584</v>
      </c>
    </row>
    <row r="24" spans="1:28" ht="24.95" customHeight="1">
      <c r="A24" s="32" t="e">
        <v>#REF!</v>
      </c>
      <c r="B24" s="56" t="s">
        <v>333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10048180000</v>
      </c>
      <c r="N24" s="60"/>
      <c r="O24" s="60"/>
      <c r="P24" s="60"/>
      <c r="Q24" s="60"/>
      <c r="R24" s="61"/>
      <c r="S24" s="60">
        <v>10048180000</v>
      </c>
      <c r="T24" s="60">
        <v>2535233000</v>
      </c>
      <c r="U24" s="60">
        <v>7512947000</v>
      </c>
      <c r="V24" s="62">
        <v>0.25230768159009892</v>
      </c>
      <c r="W24" s="60">
        <v>2534711200</v>
      </c>
      <c r="X24" s="60">
        <v>521800</v>
      </c>
      <c r="Y24" s="62">
        <v>2.0581934678193286E-4</v>
      </c>
      <c r="Z24" s="60">
        <v>2534711200</v>
      </c>
      <c r="AA24" s="60">
        <v>0</v>
      </c>
      <c r="AB24" s="62">
        <v>0.99979418065321801</v>
      </c>
    </row>
    <row r="25" spans="1:28" ht="24.95" customHeight="1">
      <c r="A25" s="32" t="e">
        <v>#REF!</v>
      </c>
      <c r="B25" s="56" t="s">
        <v>335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7117460000</v>
      </c>
      <c r="N25" s="60"/>
      <c r="O25" s="60"/>
      <c r="P25" s="60"/>
      <c r="Q25" s="60"/>
      <c r="R25" s="61"/>
      <c r="S25" s="60">
        <v>7117460000</v>
      </c>
      <c r="T25" s="60">
        <v>1807719400</v>
      </c>
      <c r="U25" s="60">
        <v>5309740600</v>
      </c>
      <c r="V25" s="62">
        <v>0.25398378073076633</v>
      </c>
      <c r="W25" s="60">
        <v>1807719400</v>
      </c>
      <c r="X25" s="60">
        <v>0</v>
      </c>
      <c r="Y25" s="62">
        <v>0</v>
      </c>
      <c r="Z25" s="60">
        <v>1807719400</v>
      </c>
      <c r="AA25" s="60">
        <v>0</v>
      </c>
      <c r="AB25" s="62">
        <v>1</v>
      </c>
    </row>
    <row r="26" spans="1:28" ht="24.95" customHeight="1">
      <c r="A26" s="32" t="e">
        <v>#REF!</v>
      </c>
      <c r="B26" s="56" t="s">
        <v>337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5734390000</v>
      </c>
      <c r="N26" s="60"/>
      <c r="O26" s="60"/>
      <c r="P26" s="60"/>
      <c r="Q26" s="60"/>
      <c r="R26" s="61"/>
      <c r="S26" s="60">
        <v>5734390000</v>
      </c>
      <c r="T26" s="60">
        <v>3769390000</v>
      </c>
      <c r="U26" s="60">
        <v>1965000000</v>
      </c>
      <c r="V26" s="62">
        <v>0.65733059662841209</v>
      </c>
      <c r="W26" s="60">
        <v>1811138672</v>
      </c>
      <c r="X26" s="60">
        <v>1958251328</v>
      </c>
      <c r="Y26" s="62">
        <v>0.51951411979126594</v>
      </c>
      <c r="Z26" s="60">
        <v>1356418047</v>
      </c>
      <c r="AA26" s="60">
        <v>454720625</v>
      </c>
      <c r="AB26" s="62">
        <v>0.35985081060861307</v>
      </c>
    </row>
    <row r="27" spans="1:28" ht="24.95" customHeight="1">
      <c r="A27" s="32" t="e">
        <v>#REF!</v>
      </c>
      <c r="B27" s="56" t="s">
        <v>339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3803090000</v>
      </c>
      <c r="N27" s="60"/>
      <c r="O27" s="60"/>
      <c r="P27" s="60"/>
      <c r="Q27" s="60"/>
      <c r="R27" s="61"/>
      <c r="S27" s="60">
        <v>3803090000</v>
      </c>
      <c r="T27" s="60">
        <v>861182600</v>
      </c>
      <c r="U27" s="60">
        <v>2941907400</v>
      </c>
      <c r="V27" s="62">
        <v>0.22644286619564616</v>
      </c>
      <c r="W27" s="60">
        <v>861182600</v>
      </c>
      <c r="X27" s="60">
        <v>0</v>
      </c>
      <c r="Y27" s="62">
        <v>0</v>
      </c>
      <c r="Z27" s="60">
        <v>861182600</v>
      </c>
      <c r="AA27" s="60">
        <v>0</v>
      </c>
      <c r="AB27" s="62">
        <v>1</v>
      </c>
    </row>
    <row r="28" spans="1:28" ht="24.95" customHeight="1">
      <c r="A28" s="32" t="e">
        <v>#REF!</v>
      </c>
      <c r="B28" s="56" t="s">
        <v>341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600000000</v>
      </c>
      <c r="N28" s="60"/>
      <c r="O28" s="60"/>
      <c r="P28" s="60"/>
      <c r="Q28" s="60"/>
      <c r="R28" s="61"/>
      <c r="S28" s="60">
        <v>600000000</v>
      </c>
      <c r="T28" s="60">
        <v>196546900</v>
      </c>
      <c r="U28" s="60">
        <v>403453100</v>
      </c>
      <c r="V28" s="62">
        <v>0.32757816666666667</v>
      </c>
      <c r="W28" s="60">
        <v>196546900</v>
      </c>
      <c r="X28" s="60">
        <v>0</v>
      </c>
      <c r="Y28" s="62">
        <v>0</v>
      </c>
      <c r="Z28" s="60">
        <v>196546900</v>
      </c>
      <c r="AA28" s="60">
        <v>0</v>
      </c>
      <c r="AB28" s="62">
        <v>1</v>
      </c>
    </row>
    <row r="29" spans="1:28" ht="24.95" customHeight="1">
      <c r="A29" s="32" t="e">
        <v>#REF!</v>
      </c>
      <c r="B29" s="56" t="s">
        <v>343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2852320000</v>
      </c>
      <c r="N29" s="60"/>
      <c r="O29" s="60"/>
      <c r="P29" s="60"/>
      <c r="Q29" s="60"/>
      <c r="R29" s="61"/>
      <c r="S29" s="60">
        <v>2852320000</v>
      </c>
      <c r="T29" s="60">
        <v>645916900</v>
      </c>
      <c r="U29" s="60">
        <v>2206403100</v>
      </c>
      <c r="V29" s="62">
        <v>0.22645316794749537</v>
      </c>
      <c r="W29" s="60">
        <v>645916900</v>
      </c>
      <c r="X29" s="60">
        <v>0</v>
      </c>
      <c r="Y29" s="62">
        <v>0</v>
      </c>
      <c r="Z29" s="60">
        <v>645916900</v>
      </c>
      <c r="AA29" s="60">
        <v>0</v>
      </c>
      <c r="AB29" s="62">
        <v>1</v>
      </c>
    </row>
    <row r="30" spans="1:28" ht="24.95" customHeight="1">
      <c r="A30" s="32" t="e">
        <v>#REF!</v>
      </c>
      <c r="B30" s="56" t="s">
        <v>345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475390000</v>
      </c>
      <c r="N30" s="60"/>
      <c r="O30" s="60"/>
      <c r="P30" s="60"/>
      <c r="Q30" s="60"/>
      <c r="R30" s="61"/>
      <c r="S30" s="60">
        <v>475390000</v>
      </c>
      <c r="T30" s="60">
        <v>107807400</v>
      </c>
      <c r="U30" s="60">
        <v>367582600</v>
      </c>
      <c r="V30" s="62">
        <v>0.22677675171964071</v>
      </c>
      <c r="W30" s="60">
        <v>107807400</v>
      </c>
      <c r="X30" s="60">
        <v>0</v>
      </c>
      <c r="Y30" s="62">
        <v>0</v>
      </c>
      <c r="Z30" s="60">
        <v>107807400</v>
      </c>
      <c r="AA30" s="60">
        <v>0</v>
      </c>
      <c r="AB30" s="62">
        <v>1</v>
      </c>
    </row>
    <row r="31" spans="1:28" ht="24.95" customHeight="1">
      <c r="A31" s="32" t="e">
        <v>#REF!</v>
      </c>
      <c r="B31" s="56" t="s">
        <v>347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475390000</v>
      </c>
      <c r="N31" s="60"/>
      <c r="O31" s="60"/>
      <c r="P31" s="60"/>
      <c r="Q31" s="60"/>
      <c r="R31" s="61"/>
      <c r="S31" s="60">
        <v>475390000</v>
      </c>
      <c r="T31" s="60">
        <v>107807400</v>
      </c>
      <c r="U31" s="60">
        <v>367582600</v>
      </c>
      <c r="V31" s="62">
        <v>0.22677675171964071</v>
      </c>
      <c r="W31" s="60">
        <v>107807400</v>
      </c>
      <c r="X31" s="60">
        <v>0</v>
      </c>
      <c r="Y31" s="62">
        <v>0</v>
      </c>
      <c r="Z31" s="60">
        <v>107807400</v>
      </c>
      <c r="AA31" s="60">
        <v>0</v>
      </c>
      <c r="AB31" s="62">
        <v>1</v>
      </c>
    </row>
    <row r="32" spans="1:28" ht="24.95" customHeight="1">
      <c r="A32" s="32" t="e">
        <v>#REF!</v>
      </c>
      <c r="B32" s="56" t="s">
        <v>349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950780000</v>
      </c>
      <c r="N32" s="60"/>
      <c r="O32" s="60"/>
      <c r="P32" s="60"/>
      <c r="Q32" s="60"/>
      <c r="R32" s="61"/>
      <c r="S32" s="60">
        <v>950780000</v>
      </c>
      <c r="T32" s="60">
        <v>215444400</v>
      </c>
      <c r="U32" s="60">
        <v>735335600</v>
      </c>
      <c r="V32" s="62">
        <v>0.22659753044868425</v>
      </c>
      <c r="W32" s="60">
        <v>215444400</v>
      </c>
      <c r="X32" s="60">
        <v>0</v>
      </c>
      <c r="Y32" s="62">
        <v>0</v>
      </c>
      <c r="Z32" s="60">
        <v>215444400</v>
      </c>
      <c r="AA32" s="60">
        <v>0</v>
      </c>
      <c r="AB32" s="62">
        <v>1</v>
      </c>
    </row>
    <row r="33" spans="1:28" ht="24" customHeight="1">
      <c r="A33" s="32" t="e">
        <v>#REF!</v>
      </c>
      <c r="B33" s="48" t="s">
        <v>351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9" t="s">
        <v>28</v>
      </c>
      <c r="K33" s="48" t="s">
        <v>29</v>
      </c>
      <c r="L33" s="48" t="s">
        <v>66</v>
      </c>
      <c r="M33" s="50">
        <v>9133000000</v>
      </c>
      <c r="N33" s="742">
        <v>0</v>
      </c>
      <c r="O33" s="742">
        <v>0</v>
      </c>
      <c r="P33" s="50">
        <v>0</v>
      </c>
      <c r="Q33" s="50">
        <v>0</v>
      </c>
      <c r="R33" s="742">
        <v>0</v>
      </c>
      <c r="S33" s="50">
        <v>9133000000</v>
      </c>
      <c r="T33" s="50">
        <v>1929660502</v>
      </c>
      <c r="U33" s="50">
        <v>7203339498</v>
      </c>
      <c r="V33" s="51">
        <v>0.21128440840906604</v>
      </c>
      <c r="W33" s="50">
        <v>1914432703</v>
      </c>
      <c r="X33" s="50">
        <v>15227799</v>
      </c>
      <c r="Y33" s="51">
        <v>7.8914394445121928E-3</v>
      </c>
      <c r="Z33" s="50">
        <v>1914432703</v>
      </c>
      <c r="AA33" s="50">
        <v>0</v>
      </c>
      <c r="AB33" s="51">
        <v>0.9921085605554878</v>
      </c>
    </row>
    <row r="34" spans="1:28" ht="24" customHeight="1">
      <c r="A34" s="32" t="e">
        <v>#REF!</v>
      </c>
      <c r="B34" s="52" t="s">
        <v>353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3" t="s">
        <v>28</v>
      </c>
      <c r="K34" s="52" t="s">
        <v>29</v>
      </c>
      <c r="L34" s="52" t="s">
        <v>67</v>
      </c>
      <c r="M34" s="54">
        <v>4840000000</v>
      </c>
      <c r="N34" s="743">
        <v>0</v>
      </c>
      <c r="O34" s="743">
        <v>0</v>
      </c>
      <c r="P34" s="54">
        <v>0</v>
      </c>
      <c r="Q34" s="54">
        <v>0</v>
      </c>
      <c r="R34" s="743">
        <v>0</v>
      </c>
      <c r="S34" s="54">
        <v>4840000000</v>
      </c>
      <c r="T34" s="54">
        <v>970905975</v>
      </c>
      <c r="U34" s="54">
        <v>3869094025</v>
      </c>
      <c r="V34" s="55">
        <v>0.20060040805785123</v>
      </c>
      <c r="W34" s="54">
        <v>957624838</v>
      </c>
      <c r="X34" s="54">
        <v>13281137</v>
      </c>
      <c r="Y34" s="55">
        <v>1.367911758911567E-2</v>
      </c>
      <c r="Z34" s="54">
        <v>957624838</v>
      </c>
      <c r="AA34" s="54">
        <v>0</v>
      </c>
      <c r="AB34" s="55">
        <v>0.98632088241088434</v>
      </c>
    </row>
    <row r="35" spans="1:28" ht="24.95" customHeight="1">
      <c r="A35" s="32" t="e">
        <v>#REF!</v>
      </c>
      <c r="B35" s="56" t="s">
        <v>355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3560000000</v>
      </c>
      <c r="N35" s="60"/>
      <c r="O35" s="60"/>
      <c r="P35" s="61"/>
      <c r="Q35" s="61"/>
      <c r="R35" s="61"/>
      <c r="S35" s="60">
        <v>3560000000</v>
      </c>
      <c r="T35" s="60">
        <v>686846663</v>
      </c>
      <c r="U35" s="60">
        <v>2873153337</v>
      </c>
      <c r="V35" s="62">
        <v>0.19293445589887639</v>
      </c>
      <c r="W35" s="60">
        <v>679538249</v>
      </c>
      <c r="X35" s="60">
        <v>7308414</v>
      </c>
      <c r="Y35" s="62">
        <v>1.0640532150332366E-2</v>
      </c>
      <c r="Z35" s="60">
        <v>679538249</v>
      </c>
      <c r="AA35" s="60">
        <v>0</v>
      </c>
      <c r="AB35" s="62">
        <v>0.98935946784966766</v>
      </c>
    </row>
    <row r="36" spans="1:28" ht="24.95" customHeight="1">
      <c r="A36" s="32" t="e">
        <v>#REF!</v>
      </c>
      <c r="B36" s="56" t="s">
        <v>357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900000000</v>
      </c>
      <c r="N36" s="60"/>
      <c r="O36" s="60"/>
      <c r="P36" s="61"/>
      <c r="Q36" s="61"/>
      <c r="R36" s="61"/>
      <c r="S36" s="60">
        <v>900000000</v>
      </c>
      <c r="T36" s="60">
        <v>208201604</v>
      </c>
      <c r="U36" s="60">
        <v>691798396</v>
      </c>
      <c r="V36" s="62">
        <v>0.23133511555555555</v>
      </c>
      <c r="W36" s="60">
        <v>202983484</v>
      </c>
      <c r="X36" s="60">
        <v>5218120</v>
      </c>
      <c r="Y36" s="62">
        <v>2.5062823243186927E-2</v>
      </c>
      <c r="Z36" s="60">
        <v>202983484</v>
      </c>
      <c r="AA36" s="60">
        <v>0</v>
      </c>
      <c r="AB36" s="62">
        <v>0.97493717675681313</v>
      </c>
    </row>
    <row r="37" spans="1:28" ht="24.95" customHeight="1">
      <c r="A37" s="32" t="e">
        <v>#REF!</v>
      </c>
      <c r="B37" s="56" t="s">
        <v>359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380000000</v>
      </c>
      <c r="N37" s="60"/>
      <c r="O37" s="60"/>
      <c r="P37" s="61"/>
      <c r="Q37" s="61"/>
      <c r="R37" s="61"/>
      <c r="S37" s="60">
        <v>380000000</v>
      </c>
      <c r="T37" s="60">
        <v>75857708</v>
      </c>
      <c r="U37" s="60">
        <v>304142292</v>
      </c>
      <c r="V37" s="62">
        <v>0.19962554736842106</v>
      </c>
      <c r="W37" s="60">
        <v>75103105</v>
      </c>
      <c r="X37" s="60">
        <v>754603</v>
      </c>
      <c r="Y37" s="62">
        <v>9.9476113884168493E-3</v>
      </c>
      <c r="Z37" s="60">
        <v>75103105</v>
      </c>
      <c r="AA37" s="60">
        <v>0</v>
      </c>
      <c r="AB37" s="62">
        <v>0.99005238861158318</v>
      </c>
    </row>
    <row r="38" spans="1:28" ht="24.95" customHeight="1">
      <c r="A38" s="32" t="e">
        <v>#REF!</v>
      </c>
      <c r="B38" s="56" t="s">
        <v>361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2600000000</v>
      </c>
      <c r="N38" s="60"/>
      <c r="O38" s="60"/>
      <c r="P38" s="61"/>
      <c r="Q38" s="61"/>
      <c r="R38" s="61"/>
      <c r="S38" s="60">
        <v>2600000000</v>
      </c>
      <c r="T38" s="60">
        <v>582689283</v>
      </c>
      <c r="U38" s="60">
        <v>2017310717</v>
      </c>
      <c r="V38" s="62">
        <v>0.22411126269230769</v>
      </c>
      <c r="W38" s="60">
        <v>581002389</v>
      </c>
      <c r="X38" s="60">
        <v>1686894</v>
      </c>
      <c r="Y38" s="62">
        <v>2.8950146316660502E-3</v>
      </c>
      <c r="Z38" s="60">
        <v>581002389</v>
      </c>
      <c r="AA38" s="60">
        <v>0</v>
      </c>
      <c r="AB38" s="62">
        <v>0.99710498536833392</v>
      </c>
    </row>
    <row r="39" spans="1:28" ht="24.95" customHeight="1">
      <c r="A39" s="32" t="e">
        <v>#REF!</v>
      </c>
      <c r="B39" s="56" t="s">
        <v>363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6000000</v>
      </c>
      <c r="N39" s="60"/>
      <c r="O39" s="60"/>
      <c r="P39" s="61"/>
      <c r="Q39" s="61"/>
      <c r="R39" s="61"/>
      <c r="S39" s="60">
        <v>6000000</v>
      </c>
      <c r="T39" s="60">
        <v>2765054</v>
      </c>
      <c r="U39" s="60">
        <v>3234946</v>
      </c>
      <c r="V39" s="62">
        <v>0.46084233333333335</v>
      </c>
      <c r="W39" s="60">
        <v>2765054</v>
      </c>
      <c r="X39" s="60">
        <v>0</v>
      </c>
      <c r="Y39" s="62">
        <v>0</v>
      </c>
      <c r="Z39" s="60">
        <v>2765054</v>
      </c>
      <c r="AA39" s="60">
        <v>0</v>
      </c>
      <c r="AB39" s="62">
        <v>1</v>
      </c>
    </row>
    <row r="40" spans="1:28" ht="24.95" customHeight="1">
      <c r="A40" s="32" t="e">
        <v>#REF!</v>
      </c>
      <c r="B40" s="56" t="s">
        <v>364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13000000</v>
      </c>
      <c r="N40" s="60"/>
      <c r="O40" s="60"/>
      <c r="P40" s="61"/>
      <c r="Q40" s="61"/>
      <c r="R40" s="61"/>
      <c r="S40" s="60">
        <v>13000000</v>
      </c>
      <c r="T40" s="60">
        <v>0</v>
      </c>
      <c r="U40" s="60">
        <v>13000000</v>
      </c>
      <c r="V40" s="62">
        <v>0</v>
      </c>
      <c r="W40" s="60">
        <v>0</v>
      </c>
      <c r="X40" s="60">
        <v>0</v>
      </c>
      <c r="Y40" s="62">
        <v>0</v>
      </c>
      <c r="Z40" s="60">
        <v>0</v>
      </c>
      <c r="AA40" s="60">
        <v>0</v>
      </c>
      <c r="AB40" s="62">
        <v>0</v>
      </c>
    </row>
    <row r="41" spans="1:28" ht="24.95" customHeight="1">
      <c r="A41" s="32" t="e">
        <v>#REF!</v>
      </c>
      <c r="B41" s="56" t="s">
        <v>366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40000000</v>
      </c>
      <c r="N41" s="60"/>
      <c r="O41" s="60"/>
      <c r="P41" s="61"/>
      <c r="Q41" s="61"/>
      <c r="R41" s="61"/>
      <c r="S41" s="60">
        <v>40000000</v>
      </c>
      <c r="T41" s="60">
        <v>0</v>
      </c>
      <c r="U41" s="60">
        <v>40000000</v>
      </c>
      <c r="V41" s="62">
        <v>0</v>
      </c>
      <c r="W41" s="60">
        <v>0</v>
      </c>
      <c r="X41" s="60">
        <v>0</v>
      </c>
      <c r="Y41" s="62">
        <v>0</v>
      </c>
      <c r="Z41" s="60">
        <v>0</v>
      </c>
      <c r="AA41" s="60">
        <v>0</v>
      </c>
      <c r="AB41" s="62">
        <v>0</v>
      </c>
    </row>
    <row r="42" spans="1:28" ht="24.95" customHeight="1">
      <c r="A42" s="32" t="e">
        <v>#REF!</v>
      </c>
      <c r="B42" s="56" t="s">
        <v>368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984000000</v>
      </c>
      <c r="N42" s="60"/>
      <c r="O42" s="60"/>
      <c r="P42" s="61"/>
      <c r="Q42" s="61"/>
      <c r="R42" s="61"/>
      <c r="S42" s="60">
        <v>984000000</v>
      </c>
      <c r="T42" s="60">
        <v>335218537</v>
      </c>
      <c r="U42" s="60">
        <v>648781463</v>
      </c>
      <c r="V42" s="62">
        <v>0.34066924491869921</v>
      </c>
      <c r="W42" s="60">
        <v>334958769</v>
      </c>
      <c r="X42" s="60">
        <v>259768</v>
      </c>
      <c r="Y42" s="62">
        <v>7.7492134630967617E-4</v>
      </c>
      <c r="Z42" s="60">
        <v>334958769</v>
      </c>
      <c r="AA42" s="60">
        <v>0</v>
      </c>
      <c r="AB42" s="62">
        <v>0.99922507865369037</v>
      </c>
    </row>
    <row r="43" spans="1:28" ht="24.95" customHeight="1">
      <c r="A43" s="32" t="e">
        <v>#REF!</v>
      </c>
      <c r="B43" s="56" t="s">
        <v>370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650000000</v>
      </c>
      <c r="N43" s="60"/>
      <c r="O43" s="60"/>
      <c r="P43" s="61"/>
      <c r="Q43" s="61"/>
      <c r="R43" s="61"/>
      <c r="S43" s="60">
        <v>650000000</v>
      </c>
      <c r="T43" s="60">
        <v>38081653</v>
      </c>
      <c r="U43" s="60">
        <v>611918347</v>
      </c>
      <c r="V43" s="62">
        <v>5.8587158461538461E-2</v>
      </c>
      <c r="W43" s="60">
        <v>38081653</v>
      </c>
      <c r="X43" s="60">
        <v>0</v>
      </c>
      <c r="Y43" s="62">
        <v>0</v>
      </c>
      <c r="Z43" s="60">
        <v>38081653</v>
      </c>
      <c r="AA43" s="60">
        <v>0</v>
      </c>
      <c r="AB43" s="62">
        <v>1</v>
      </c>
    </row>
    <row r="44" spans="1:28" ht="24" customHeight="1">
      <c r="A44" s="32" t="e">
        <v>#REF!</v>
      </c>
      <c r="B44" s="38" t="s">
        <v>372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39"/>
      <c r="K44" s="40"/>
      <c r="L44" s="38" t="s">
        <v>80</v>
      </c>
      <c r="M44" s="41">
        <v>44658000000</v>
      </c>
      <c r="N44" s="740">
        <v>0</v>
      </c>
      <c r="O44" s="740">
        <v>0</v>
      </c>
      <c r="P44" s="41">
        <v>4837162591</v>
      </c>
      <c r="Q44" s="41">
        <v>4837162591</v>
      </c>
      <c r="R44" s="740">
        <v>0</v>
      </c>
      <c r="S44" s="41">
        <v>44658000000</v>
      </c>
      <c r="T44" s="41">
        <v>25437150788.57</v>
      </c>
      <c r="U44" s="41">
        <v>19220849211.43</v>
      </c>
      <c r="V44" s="42">
        <v>0.56959896969344792</v>
      </c>
      <c r="W44" s="41">
        <v>9175890877.7799988</v>
      </c>
      <c r="X44" s="41">
        <v>16261259910.790001</v>
      </c>
      <c r="Y44" s="42">
        <v>0.63927206493963473</v>
      </c>
      <c r="Z44" s="41">
        <v>8994920612.7799988</v>
      </c>
      <c r="AA44" s="41">
        <v>180970265</v>
      </c>
      <c r="AB44" s="42">
        <v>0.35361352722026562</v>
      </c>
    </row>
    <row r="45" spans="1:28" ht="24" customHeight="1">
      <c r="A45" s="32" t="e">
        <v>#REF!</v>
      </c>
      <c r="B45" s="43" t="s">
        <v>373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4"/>
      <c r="K45" s="45"/>
      <c r="L45" s="43" t="s">
        <v>81</v>
      </c>
      <c r="M45" s="759">
        <v>100000000</v>
      </c>
      <c r="N45" s="741">
        <v>0</v>
      </c>
      <c r="O45" s="741">
        <v>0</v>
      </c>
      <c r="P45" s="46">
        <v>0</v>
      </c>
      <c r="Q45" s="759">
        <v>19341552</v>
      </c>
      <c r="R45" s="741">
        <v>0</v>
      </c>
      <c r="S45" s="46">
        <v>80658448</v>
      </c>
      <c r="T45" s="46">
        <v>0</v>
      </c>
      <c r="U45" s="46">
        <v>80658448</v>
      </c>
      <c r="V45" s="47">
        <v>0</v>
      </c>
      <c r="W45" s="46">
        <v>0</v>
      </c>
      <c r="X45" s="46">
        <v>0</v>
      </c>
      <c r="Y45" s="47">
        <v>0</v>
      </c>
      <c r="Z45" s="46">
        <v>0</v>
      </c>
      <c r="AA45" s="46">
        <v>0</v>
      </c>
      <c r="AB45" s="47">
        <v>0</v>
      </c>
    </row>
    <row r="46" spans="1:28" ht="24" customHeight="1">
      <c r="A46" s="32" t="e">
        <v>#REF!</v>
      </c>
      <c r="B46" s="48" t="s">
        <v>374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9" t="s">
        <v>28</v>
      </c>
      <c r="K46" s="48" t="s">
        <v>29</v>
      </c>
      <c r="L46" s="48" t="s">
        <v>82</v>
      </c>
      <c r="M46" s="760">
        <v>100000000</v>
      </c>
      <c r="N46" s="742">
        <v>0</v>
      </c>
      <c r="O46" s="742">
        <v>0</v>
      </c>
      <c r="P46" s="50">
        <v>0</v>
      </c>
      <c r="Q46" s="760">
        <v>19341552</v>
      </c>
      <c r="R46" s="742">
        <v>0</v>
      </c>
      <c r="S46" s="50">
        <v>80658448</v>
      </c>
      <c r="T46" s="50">
        <v>0</v>
      </c>
      <c r="U46" s="50">
        <v>80658448</v>
      </c>
      <c r="V46" s="51">
        <v>0</v>
      </c>
      <c r="W46" s="50">
        <v>0</v>
      </c>
      <c r="X46" s="50">
        <v>0</v>
      </c>
      <c r="Y46" s="51">
        <v>0</v>
      </c>
      <c r="Z46" s="50">
        <v>0</v>
      </c>
      <c r="AA46" s="50">
        <v>0</v>
      </c>
      <c r="AB46" s="51">
        <v>0</v>
      </c>
    </row>
    <row r="47" spans="1:28" ht="24" customHeight="1">
      <c r="A47" s="32" t="e">
        <v>#REF!</v>
      </c>
      <c r="B47" s="52" t="s">
        <v>375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3" t="s">
        <v>28</v>
      </c>
      <c r="K47" s="52" t="s">
        <v>29</v>
      </c>
      <c r="L47" s="52" t="s">
        <v>83</v>
      </c>
      <c r="M47" s="760">
        <v>100000000</v>
      </c>
      <c r="N47" s="742">
        <v>0</v>
      </c>
      <c r="O47" s="742">
        <v>0</v>
      </c>
      <c r="P47" s="54">
        <v>0</v>
      </c>
      <c r="Q47" s="54">
        <v>19341552</v>
      </c>
      <c r="R47" s="54">
        <v>0</v>
      </c>
      <c r="S47" s="54">
        <v>80658448</v>
      </c>
      <c r="T47" s="54">
        <v>0</v>
      </c>
      <c r="U47" s="54">
        <v>80658448</v>
      </c>
      <c r="V47" s="55">
        <v>0</v>
      </c>
      <c r="W47" s="54">
        <v>0</v>
      </c>
      <c r="X47" s="54">
        <v>0</v>
      </c>
      <c r="Y47" s="55">
        <v>0</v>
      </c>
      <c r="Z47" s="54">
        <v>0</v>
      </c>
      <c r="AA47" s="54">
        <v>0</v>
      </c>
      <c r="AB47" s="55">
        <v>0</v>
      </c>
    </row>
    <row r="48" spans="1:28" ht="24.95" customHeight="1">
      <c r="A48" s="32" t="e">
        <v>#REF!</v>
      </c>
      <c r="B48" s="56" t="s">
        <v>725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63" t="s">
        <v>44</v>
      </c>
      <c r="I48" s="57"/>
      <c r="J48" s="57">
        <v>10</v>
      </c>
      <c r="K48" s="58" t="s">
        <v>29</v>
      </c>
      <c r="L48" s="59" t="s">
        <v>85</v>
      </c>
      <c r="M48" s="60">
        <v>100000000</v>
      </c>
      <c r="N48" s="60"/>
      <c r="O48" s="60"/>
      <c r="P48" s="61"/>
      <c r="Q48" s="60">
        <v>19341552</v>
      </c>
      <c r="R48" s="61"/>
      <c r="S48" s="60">
        <v>80658448</v>
      </c>
      <c r="T48" s="60">
        <v>0</v>
      </c>
      <c r="U48" s="60">
        <v>80658448</v>
      </c>
      <c r="V48" s="62">
        <v>0</v>
      </c>
      <c r="W48" s="60">
        <v>0</v>
      </c>
      <c r="X48" s="60">
        <v>0</v>
      </c>
      <c r="Y48" s="62">
        <v>0</v>
      </c>
      <c r="Z48" s="60">
        <v>0</v>
      </c>
      <c r="AA48" s="60">
        <v>0</v>
      </c>
      <c r="AB48" s="62">
        <v>0</v>
      </c>
    </row>
    <row r="49" spans="1:28" ht="24" customHeight="1">
      <c r="A49" s="32" t="e">
        <v>#REF!</v>
      </c>
      <c r="B49" s="43" t="s">
        <v>377</v>
      </c>
      <c r="C49" s="44" t="s">
        <v>23</v>
      </c>
      <c r="D49" s="44" t="s">
        <v>54</v>
      </c>
      <c r="E49" s="44" t="s">
        <v>54</v>
      </c>
      <c r="F49" s="44"/>
      <c r="G49" s="44"/>
      <c r="H49" s="44"/>
      <c r="I49" s="44"/>
      <c r="J49" s="44"/>
      <c r="K49" s="45"/>
      <c r="L49" s="43" t="s">
        <v>86</v>
      </c>
      <c r="M49" s="46">
        <v>44558000000</v>
      </c>
      <c r="N49" s="741">
        <v>0</v>
      </c>
      <c r="O49" s="741">
        <v>0</v>
      </c>
      <c r="P49" s="46">
        <v>4837162591</v>
      </c>
      <c r="Q49" s="46">
        <v>4817821039</v>
      </c>
      <c r="R49" s="46">
        <v>0</v>
      </c>
      <c r="S49" s="46">
        <v>44577341552</v>
      </c>
      <c r="T49" s="46">
        <v>25437150788.57</v>
      </c>
      <c r="U49" s="46">
        <v>19140190763.43</v>
      </c>
      <c r="V49" s="47">
        <v>0.57062960470393376</v>
      </c>
      <c r="W49" s="46">
        <v>9175890877.7799988</v>
      </c>
      <c r="X49" s="46">
        <v>16261259910.790001</v>
      </c>
      <c r="Y49" s="47">
        <v>0.63927206493963473</v>
      </c>
      <c r="Z49" s="46">
        <v>8994920612.7799988</v>
      </c>
      <c r="AA49" s="46">
        <v>180970265</v>
      </c>
      <c r="AB49" s="47">
        <v>0.35361352722026562</v>
      </c>
    </row>
    <row r="50" spans="1:28" ht="24" customHeight="1">
      <c r="A50" s="32" t="e">
        <v>#REF!</v>
      </c>
      <c r="B50" s="48" t="s">
        <v>379</v>
      </c>
      <c r="C50" s="48" t="s">
        <v>23</v>
      </c>
      <c r="D50" s="48" t="s">
        <v>54</v>
      </c>
      <c r="E50" s="48" t="s">
        <v>54</v>
      </c>
      <c r="F50" s="48" t="s">
        <v>25</v>
      </c>
      <c r="G50" s="48"/>
      <c r="H50" s="48"/>
      <c r="I50" s="48"/>
      <c r="J50" s="49" t="s">
        <v>28</v>
      </c>
      <c r="K50" s="48" t="s">
        <v>29</v>
      </c>
      <c r="L50" s="48" t="s">
        <v>87</v>
      </c>
      <c r="M50" s="50">
        <v>1434662489</v>
      </c>
      <c r="N50" s="742">
        <v>0</v>
      </c>
      <c r="O50" s="742">
        <v>0</v>
      </c>
      <c r="P50" s="50">
        <v>439748465</v>
      </c>
      <c r="Q50" s="50">
        <v>0</v>
      </c>
      <c r="R50" s="742">
        <v>0</v>
      </c>
      <c r="S50" s="50">
        <v>1874410954</v>
      </c>
      <c r="T50" s="50">
        <v>268635779</v>
      </c>
      <c r="U50" s="50">
        <v>1605775175</v>
      </c>
      <c r="V50" s="51">
        <v>0.14331743976780026</v>
      </c>
      <c r="W50" s="50">
        <v>21619665.48</v>
      </c>
      <c r="X50" s="50">
        <v>247016113.51999998</v>
      </c>
      <c r="Y50" s="51">
        <v>0.91952052864856837</v>
      </c>
      <c r="Z50" s="50">
        <v>21619665.48</v>
      </c>
      <c r="AA50" s="50">
        <v>0</v>
      </c>
      <c r="AB50" s="51">
        <v>8.0479471351431561E-2</v>
      </c>
    </row>
    <row r="51" spans="1:28" ht="24" customHeight="1">
      <c r="A51" s="32" t="e">
        <v>#REF!</v>
      </c>
      <c r="B51" s="52" t="s">
        <v>381</v>
      </c>
      <c r="C51" s="52" t="s">
        <v>23</v>
      </c>
      <c r="D51" s="52" t="s">
        <v>54</v>
      </c>
      <c r="E51" s="52" t="s">
        <v>54</v>
      </c>
      <c r="F51" s="52" t="s">
        <v>25</v>
      </c>
      <c r="G51" s="52" t="s">
        <v>31</v>
      </c>
      <c r="H51" s="52"/>
      <c r="I51" s="52"/>
      <c r="J51" s="53" t="s">
        <v>28</v>
      </c>
      <c r="K51" s="52" t="s">
        <v>29</v>
      </c>
      <c r="L51" s="52" t="s">
        <v>88</v>
      </c>
      <c r="M51" s="54">
        <v>19000000</v>
      </c>
      <c r="N51" s="743">
        <v>0</v>
      </c>
      <c r="O51" s="743">
        <v>0</v>
      </c>
      <c r="P51" s="54">
        <v>0</v>
      </c>
      <c r="Q51" s="743">
        <v>0</v>
      </c>
      <c r="R51" s="743">
        <v>0</v>
      </c>
      <c r="S51" s="54">
        <v>19000000</v>
      </c>
      <c r="T51" s="54">
        <v>0</v>
      </c>
      <c r="U51" s="54">
        <v>19000000</v>
      </c>
      <c r="V51" s="55">
        <v>0</v>
      </c>
      <c r="W51" s="54">
        <v>0</v>
      </c>
      <c r="X51" s="54">
        <v>0</v>
      </c>
      <c r="Y51" s="55">
        <v>0</v>
      </c>
      <c r="Z51" s="54">
        <v>0</v>
      </c>
      <c r="AA51" s="54">
        <v>0</v>
      </c>
      <c r="AB51" s="55">
        <v>0</v>
      </c>
    </row>
    <row r="52" spans="1:28" ht="24.95" customHeight="1">
      <c r="A52" s="32" t="e">
        <v>#REF!</v>
      </c>
      <c r="B52" s="56" t="s">
        <v>555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40</v>
      </c>
      <c r="I52" s="57"/>
      <c r="J52" s="57">
        <v>10</v>
      </c>
      <c r="K52" s="58" t="s">
        <v>29</v>
      </c>
      <c r="L52" s="59" t="s">
        <v>89</v>
      </c>
      <c r="M52" s="60">
        <v>6000000</v>
      </c>
      <c r="N52" s="60"/>
      <c r="O52" s="60"/>
      <c r="P52" s="60"/>
      <c r="Q52" s="60"/>
      <c r="R52" s="61"/>
      <c r="S52" s="60">
        <v>6000000</v>
      </c>
      <c r="T52" s="60">
        <v>0</v>
      </c>
      <c r="U52" s="60">
        <v>6000000</v>
      </c>
      <c r="V52" s="62">
        <v>0</v>
      </c>
      <c r="W52" s="60">
        <v>0</v>
      </c>
      <c r="X52" s="60">
        <v>0</v>
      </c>
      <c r="Y52" s="62">
        <v>0</v>
      </c>
      <c r="Z52" s="60">
        <v>0</v>
      </c>
      <c r="AA52" s="60">
        <v>0</v>
      </c>
      <c r="AB52" s="62">
        <v>0</v>
      </c>
    </row>
    <row r="53" spans="1:28" ht="24.95" customHeight="1">
      <c r="A53" s="32" t="e">
        <v>#REF!</v>
      </c>
      <c r="B53" s="56" t="s">
        <v>557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44</v>
      </c>
      <c r="I53" s="57"/>
      <c r="J53" s="57">
        <v>10</v>
      </c>
      <c r="K53" s="58" t="s">
        <v>29</v>
      </c>
      <c r="L53" s="59" t="s">
        <v>90</v>
      </c>
      <c r="M53" s="60">
        <v>13000000</v>
      </c>
      <c r="N53" s="60"/>
      <c r="O53" s="60"/>
      <c r="P53" s="60"/>
      <c r="Q53" s="60"/>
      <c r="R53" s="61"/>
      <c r="S53" s="60">
        <v>13000000</v>
      </c>
      <c r="T53" s="60">
        <v>0</v>
      </c>
      <c r="U53" s="60">
        <v>13000000</v>
      </c>
      <c r="V53" s="62">
        <v>0</v>
      </c>
      <c r="W53" s="60">
        <v>0</v>
      </c>
      <c r="X53" s="60">
        <v>0</v>
      </c>
      <c r="Y53" s="62">
        <v>0</v>
      </c>
      <c r="Z53" s="60">
        <v>0</v>
      </c>
      <c r="AA53" s="60">
        <v>0</v>
      </c>
      <c r="AB53" s="62">
        <v>0</v>
      </c>
    </row>
    <row r="54" spans="1:28" ht="24" customHeight="1">
      <c r="A54" s="32" t="e">
        <v>#REF!</v>
      </c>
      <c r="B54" s="52" t="s">
        <v>383</v>
      </c>
      <c r="C54" s="52" t="s">
        <v>23</v>
      </c>
      <c r="D54" s="52" t="s">
        <v>54</v>
      </c>
      <c r="E54" s="52" t="s">
        <v>54</v>
      </c>
      <c r="F54" s="52" t="s">
        <v>25</v>
      </c>
      <c r="G54" s="52" t="s">
        <v>34</v>
      </c>
      <c r="H54" s="52"/>
      <c r="I54" s="52"/>
      <c r="J54" s="53" t="s">
        <v>28</v>
      </c>
      <c r="K54" s="52" t="s">
        <v>29</v>
      </c>
      <c r="L54" s="52" t="s">
        <v>91</v>
      </c>
      <c r="M54" s="54">
        <v>130000000</v>
      </c>
      <c r="N54" s="54">
        <v>0</v>
      </c>
      <c r="O54" s="54">
        <v>0</v>
      </c>
      <c r="P54" s="54">
        <v>66000000</v>
      </c>
      <c r="Q54" s="54">
        <v>0</v>
      </c>
      <c r="R54" s="54">
        <v>0</v>
      </c>
      <c r="S54" s="54">
        <v>196000000</v>
      </c>
      <c r="T54" s="54">
        <v>66000000</v>
      </c>
      <c r="U54" s="54">
        <v>130000000</v>
      </c>
      <c r="V54" s="55">
        <v>0.33673469387755101</v>
      </c>
      <c r="W54" s="54">
        <v>0</v>
      </c>
      <c r="X54" s="54">
        <v>66000000</v>
      </c>
      <c r="Y54" s="55">
        <v>1</v>
      </c>
      <c r="Z54" s="54">
        <v>0</v>
      </c>
      <c r="AA54" s="54">
        <v>0</v>
      </c>
      <c r="AB54" s="55">
        <v>0</v>
      </c>
    </row>
    <row r="55" spans="1:28" ht="24.95" customHeight="1">
      <c r="A55" s="32" t="e">
        <v>#REF!</v>
      </c>
      <c r="B55" s="56" t="s">
        <v>826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63" t="s">
        <v>36</v>
      </c>
      <c r="I55" s="57"/>
      <c r="J55" s="57">
        <v>10</v>
      </c>
      <c r="K55" s="58" t="s">
        <v>29</v>
      </c>
      <c r="L55" s="59" t="s">
        <v>822</v>
      </c>
      <c r="M55" s="60"/>
      <c r="N55" s="60"/>
      <c r="O55" s="60"/>
      <c r="P55" s="60">
        <v>66000000</v>
      </c>
      <c r="Q55" s="60"/>
      <c r="R55" s="61"/>
      <c r="S55" s="60">
        <v>66000000</v>
      </c>
      <c r="T55" s="60">
        <v>66000000</v>
      </c>
      <c r="U55" s="60">
        <v>0</v>
      </c>
      <c r="V55" s="62">
        <v>1</v>
      </c>
      <c r="W55" s="60">
        <v>0</v>
      </c>
      <c r="X55" s="60">
        <v>66000000</v>
      </c>
      <c r="Y55" s="62">
        <v>1</v>
      </c>
      <c r="Z55" s="60">
        <v>0</v>
      </c>
      <c r="AA55" s="60">
        <v>0</v>
      </c>
      <c r="AB55" s="62">
        <v>0</v>
      </c>
    </row>
    <row r="56" spans="1:28" ht="24.95" customHeight="1">
      <c r="A56" s="32" t="e">
        <v>#REF!</v>
      </c>
      <c r="B56" s="56" t="s">
        <v>559</v>
      </c>
      <c r="C56" s="57" t="s">
        <v>23</v>
      </c>
      <c r="D56" s="57" t="s">
        <v>54</v>
      </c>
      <c r="E56" s="57" t="s">
        <v>54</v>
      </c>
      <c r="F56" s="57" t="s">
        <v>25</v>
      </c>
      <c r="G56" s="57" t="s">
        <v>34</v>
      </c>
      <c r="H56" s="57" t="s">
        <v>46</v>
      </c>
      <c r="I56" s="57"/>
      <c r="J56" s="57">
        <v>10</v>
      </c>
      <c r="K56" s="58" t="s">
        <v>29</v>
      </c>
      <c r="L56" s="59" t="s">
        <v>92</v>
      </c>
      <c r="M56" s="60">
        <v>130000000</v>
      </c>
      <c r="N56" s="60"/>
      <c r="O56" s="60"/>
      <c r="P56" s="60"/>
      <c r="Q56" s="60"/>
      <c r="R56" s="61"/>
      <c r="S56" s="60">
        <v>130000000</v>
      </c>
      <c r="T56" s="60">
        <v>0</v>
      </c>
      <c r="U56" s="60">
        <v>130000000</v>
      </c>
      <c r="V56" s="62">
        <v>0</v>
      </c>
      <c r="W56" s="60">
        <v>0</v>
      </c>
      <c r="X56" s="60">
        <v>0</v>
      </c>
      <c r="Y56" s="62">
        <v>0</v>
      </c>
      <c r="Z56" s="60">
        <v>0</v>
      </c>
      <c r="AA56" s="60">
        <v>0</v>
      </c>
      <c r="AB56" s="62">
        <v>0</v>
      </c>
    </row>
    <row r="57" spans="1:28" ht="24" customHeight="1">
      <c r="A57" s="32" t="e">
        <v>#REF!</v>
      </c>
      <c r="B57" s="52" t="s">
        <v>385</v>
      </c>
      <c r="C57" s="52" t="s">
        <v>23</v>
      </c>
      <c r="D57" s="52" t="s">
        <v>54</v>
      </c>
      <c r="E57" s="52" t="s">
        <v>54</v>
      </c>
      <c r="F57" s="52" t="s">
        <v>25</v>
      </c>
      <c r="G57" s="52" t="s">
        <v>36</v>
      </c>
      <c r="H57" s="52"/>
      <c r="I57" s="52"/>
      <c r="J57" s="53" t="s">
        <v>28</v>
      </c>
      <c r="K57" s="52" t="s">
        <v>29</v>
      </c>
      <c r="L57" s="52" t="s">
        <v>93</v>
      </c>
      <c r="M57" s="54">
        <v>360662489</v>
      </c>
      <c r="N57" s="743">
        <v>0</v>
      </c>
      <c r="O57" s="743">
        <v>0</v>
      </c>
      <c r="P57" s="54">
        <v>373748465</v>
      </c>
      <c r="Q57" s="54">
        <v>0</v>
      </c>
      <c r="R57" s="743">
        <v>0</v>
      </c>
      <c r="S57" s="54">
        <v>734410954</v>
      </c>
      <c r="T57" s="54">
        <v>202635779</v>
      </c>
      <c r="U57" s="54">
        <v>531775175</v>
      </c>
      <c r="V57" s="55">
        <v>0.2759160629295298</v>
      </c>
      <c r="W57" s="54">
        <v>21619665.48</v>
      </c>
      <c r="X57" s="54">
        <v>181016113.51999998</v>
      </c>
      <c r="Y57" s="55">
        <v>0.8933077584487189</v>
      </c>
      <c r="Z57" s="54">
        <v>21619665.48</v>
      </c>
      <c r="AA57" s="54">
        <v>0</v>
      </c>
      <c r="AB57" s="55">
        <v>0.10669224155128103</v>
      </c>
    </row>
    <row r="58" spans="1:28" ht="24.95" customHeight="1">
      <c r="A58" s="32" t="e">
        <v>#REF!</v>
      </c>
      <c r="B58" s="56" t="s">
        <v>561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34</v>
      </c>
      <c r="I58" s="57"/>
      <c r="J58" s="57">
        <v>10</v>
      </c>
      <c r="K58" s="58" t="s">
        <v>29</v>
      </c>
      <c r="L58" s="59" t="s">
        <v>94</v>
      </c>
      <c r="M58" s="60">
        <v>154100000</v>
      </c>
      <c r="N58" s="60"/>
      <c r="O58" s="60"/>
      <c r="P58" s="60">
        <v>253475175</v>
      </c>
      <c r="Q58" s="60"/>
      <c r="R58" s="61"/>
      <c r="S58" s="60">
        <v>407575175</v>
      </c>
      <c r="T58" s="60">
        <v>300000</v>
      </c>
      <c r="U58" s="60">
        <v>407275175</v>
      </c>
      <c r="V58" s="62">
        <v>7.3606053165529528E-4</v>
      </c>
      <c r="W58" s="60">
        <v>300000</v>
      </c>
      <c r="X58" s="60">
        <v>0</v>
      </c>
      <c r="Y58" s="62">
        <v>0</v>
      </c>
      <c r="Z58" s="60">
        <v>300000</v>
      </c>
      <c r="AA58" s="60">
        <v>0</v>
      </c>
      <c r="AB58" s="62">
        <v>1</v>
      </c>
    </row>
    <row r="59" spans="1:28" ht="24.95" customHeight="1">
      <c r="A59" s="32" t="e">
        <v>#REF!</v>
      </c>
      <c r="B59" s="56" t="s">
        <v>563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36</v>
      </c>
      <c r="I59" s="57"/>
      <c r="J59" s="57">
        <v>10</v>
      </c>
      <c r="K59" s="58" t="s">
        <v>29</v>
      </c>
      <c r="L59" s="59" t="s">
        <v>95</v>
      </c>
      <c r="M59" s="60">
        <v>89562489</v>
      </c>
      <c r="N59" s="60"/>
      <c r="O59" s="60"/>
      <c r="P59" s="60">
        <v>21273290</v>
      </c>
      <c r="Q59" s="60"/>
      <c r="R59" s="61"/>
      <c r="S59" s="60">
        <v>110835779</v>
      </c>
      <c r="T59" s="60">
        <v>103335779</v>
      </c>
      <c r="U59" s="60">
        <v>7500000</v>
      </c>
      <c r="V59" s="62">
        <v>0.93233232023388402</v>
      </c>
      <c r="W59" s="60">
        <v>21319665.48</v>
      </c>
      <c r="X59" s="60">
        <v>82016113.519999996</v>
      </c>
      <c r="Y59" s="62">
        <v>0.7936855396425665</v>
      </c>
      <c r="Z59" s="60">
        <v>21319665.48</v>
      </c>
      <c r="AA59" s="60">
        <v>0</v>
      </c>
      <c r="AB59" s="62">
        <v>0.20631446035743342</v>
      </c>
    </row>
    <row r="60" spans="1:28" ht="24.95" customHeight="1">
      <c r="A60" s="32" t="e">
        <v>#REF!</v>
      </c>
      <c r="B60" s="56" t="s">
        <v>565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40</v>
      </c>
      <c r="I60" s="57"/>
      <c r="J60" s="57">
        <v>10</v>
      </c>
      <c r="K60" s="58" t="s">
        <v>29</v>
      </c>
      <c r="L60" s="59" t="s">
        <v>96</v>
      </c>
      <c r="M60" s="60">
        <v>14000000</v>
      </c>
      <c r="N60" s="60"/>
      <c r="O60" s="60"/>
      <c r="P60" s="60">
        <v>99000000</v>
      </c>
      <c r="Q60" s="60"/>
      <c r="R60" s="61"/>
      <c r="S60" s="60">
        <v>113000000</v>
      </c>
      <c r="T60" s="60">
        <v>99000000</v>
      </c>
      <c r="U60" s="60">
        <v>14000000</v>
      </c>
      <c r="V60" s="62">
        <v>0.87610619469026552</v>
      </c>
      <c r="W60" s="60">
        <v>0</v>
      </c>
      <c r="X60" s="60">
        <v>99000000</v>
      </c>
      <c r="Y60" s="62">
        <v>1</v>
      </c>
      <c r="Z60" s="60">
        <v>0</v>
      </c>
      <c r="AA60" s="60">
        <v>0</v>
      </c>
      <c r="AB60" s="62">
        <v>0</v>
      </c>
    </row>
    <row r="61" spans="1:28" ht="24.95" customHeight="1">
      <c r="A61" s="32" t="e">
        <v>#REF!</v>
      </c>
      <c r="B61" s="56" t="s">
        <v>567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42</v>
      </c>
      <c r="I61" s="57"/>
      <c r="J61" s="57">
        <v>10</v>
      </c>
      <c r="K61" s="58" t="s">
        <v>29</v>
      </c>
      <c r="L61" s="59" t="s">
        <v>97</v>
      </c>
      <c r="M61" s="60">
        <v>20000000</v>
      </c>
      <c r="N61" s="60"/>
      <c r="O61" s="60"/>
      <c r="P61" s="60"/>
      <c r="Q61" s="60"/>
      <c r="R61" s="61"/>
      <c r="S61" s="60">
        <v>20000000</v>
      </c>
      <c r="T61" s="60">
        <v>0</v>
      </c>
      <c r="U61" s="60">
        <v>20000000</v>
      </c>
      <c r="V61" s="62">
        <v>0</v>
      </c>
      <c r="W61" s="60">
        <v>0</v>
      </c>
      <c r="X61" s="60">
        <v>0</v>
      </c>
      <c r="Y61" s="62">
        <v>0</v>
      </c>
      <c r="Z61" s="60">
        <v>0</v>
      </c>
      <c r="AA61" s="60">
        <v>0</v>
      </c>
      <c r="AB61" s="62">
        <v>0</v>
      </c>
    </row>
    <row r="62" spans="1:28" ht="24.95" customHeight="1">
      <c r="A62" s="32" t="e">
        <v>#REF!</v>
      </c>
      <c r="B62" s="56" t="s">
        <v>571</v>
      </c>
      <c r="C62" s="57" t="s">
        <v>23</v>
      </c>
      <c r="D62" s="57" t="s">
        <v>54</v>
      </c>
      <c r="E62" s="57" t="s">
        <v>54</v>
      </c>
      <c r="F62" s="57" t="s">
        <v>25</v>
      </c>
      <c r="G62" s="57" t="s">
        <v>36</v>
      </c>
      <c r="H62" s="57" t="s">
        <v>46</v>
      </c>
      <c r="I62" s="57"/>
      <c r="J62" s="57">
        <v>10</v>
      </c>
      <c r="K62" s="58" t="s">
        <v>29</v>
      </c>
      <c r="L62" s="59" t="s">
        <v>99</v>
      </c>
      <c r="M62" s="60">
        <v>83000000</v>
      </c>
      <c r="N62" s="60"/>
      <c r="O62" s="60"/>
      <c r="P62" s="60"/>
      <c r="Q62" s="60"/>
      <c r="R62" s="61"/>
      <c r="S62" s="60">
        <v>83000000</v>
      </c>
      <c r="T62" s="60">
        <v>0</v>
      </c>
      <c r="U62" s="60">
        <v>83000000</v>
      </c>
      <c r="V62" s="62">
        <v>0</v>
      </c>
      <c r="W62" s="60">
        <v>0</v>
      </c>
      <c r="X62" s="60">
        <v>0</v>
      </c>
      <c r="Y62" s="62">
        <v>0</v>
      </c>
      <c r="Z62" s="60">
        <v>0</v>
      </c>
      <c r="AA62" s="60">
        <v>0</v>
      </c>
      <c r="AB62" s="62">
        <v>0</v>
      </c>
    </row>
    <row r="63" spans="1:28" ht="24" customHeight="1">
      <c r="A63" s="32" t="e">
        <v>#REF!</v>
      </c>
      <c r="B63" s="52" t="s">
        <v>387</v>
      </c>
      <c r="C63" s="52" t="s">
        <v>23</v>
      </c>
      <c r="D63" s="52" t="s">
        <v>54</v>
      </c>
      <c r="E63" s="52" t="s">
        <v>54</v>
      </c>
      <c r="F63" s="52" t="s">
        <v>25</v>
      </c>
      <c r="G63" s="52" t="s">
        <v>38</v>
      </c>
      <c r="H63" s="52"/>
      <c r="I63" s="52"/>
      <c r="J63" s="53" t="s">
        <v>28</v>
      </c>
      <c r="K63" s="52" t="s">
        <v>29</v>
      </c>
      <c r="L63" s="52" t="s">
        <v>100</v>
      </c>
      <c r="M63" s="54">
        <v>925000000</v>
      </c>
      <c r="N63" s="743">
        <v>0</v>
      </c>
      <c r="O63" s="743">
        <v>0</v>
      </c>
      <c r="P63" s="54">
        <v>0</v>
      </c>
      <c r="Q63" s="54">
        <v>0</v>
      </c>
      <c r="R63" s="743">
        <v>0</v>
      </c>
      <c r="S63" s="54">
        <v>925000000</v>
      </c>
      <c r="T63" s="54">
        <v>0</v>
      </c>
      <c r="U63" s="54">
        <v>925000000</v>
      </c>
      <c r="V63" s="55">
        <v>0</v>
      </c>
      <c r="W63" s="54">
        <v>0</v>
      </c>
      <c r="X63" s="54">
        <v>0</v>
      </c>
      <c r="Y63" s="55">
        <v>0</v>
      </c>
      <c r="Z63" s="54">
        <v>0</v>
      </c>
      <c r="AA63" s="54">
        <v>0</v>
      </c>
      <c r="AB63" s="55">
        <v>0</v>
      </c>
    </row>
    <row r="64" spans="1:28" ht="24.95" customHeight="1">
      <c r="A64" s="32" t="e">
        <v>#REF!</v>
      </c>
      <c r="B64" s="56" t="s">
        <v>573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34</v>
      </c>
      <c r="I64" s="57"/>
      <c r="J64" s="57">
        <v>10</v>
      </c>
      <c r="K64" s="58" t="s">
        <v>29</v>
      </c>
      <c r="L64" s="59" t="s">
        <v>101</v>
      </c>
      <c r="M64" s="60">
        <v>30000000</v>
      </c>
      <c r="N64" s="60"/>
      <c r="O64" s="60"/>
      <c r="P64" s="60"/>
      <c r="Q64" s="60"/>
      <c r="R64" s="61"/>
      <c r="S64" s="60">
        <v>30000000</v>
      </c>
      <c r="T64" s="60">
        <v>0</v>
      </c>
      <c r="U64" s="60">
        <v>30000000</v>
      </c>
      <c r="V64" s="62">
        <v>0</v>
      </c>
      <c r="W64" s="60">
        <v>0</v>
      </c>
      <c r="X64" s="60">
        <v>0</v>
      </c>
      <c r="Y64" s="62">
        <v>0</v>
      </c>
      <c r="Z64" s="60">
        <v>0</v>
      </c>
      <c r="AA64" s="60">
        <v>0</v>
      </c>
      <c r="AB64" s="62">
        <v>0</v>
      </c>
    </row>
    <row r="65" spans="1:28" ht="24.95" customHeight="1">
      <c r="A65" s="32" t="e">
        <v>#REF!</v>
      </c>
      <c r="B65" s="56" t="s">
        <v>575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40</v>
      </c>
      <c r="I65" s="57"/>
      <c r="J65" s="57">
        <v>10</v>
      </c>
      <c r="K65" s="58" t="s">
        <v>29</v>
      </c>
      <c r="L65" s="59" t="s">
        <v>102</v>
      </c>
      <c r="M65" s="60">
        <v>565000000</v>
      </c>
      <c r="N65" s="60"/>
      <c r="O65" s="60"/>
      <c r="P65" s="60"/>
      <c r="Q65" s="60"/>
      <c r="R65" s="61"/>
      <c r="S65" s="60">
        <v>565000000</v>
      </c>
      <c r="T65" s="60">
        <v>0</v>
      </c>
      <c r="U65" s="60">
        <v>565000000</v>
      </c>
      <c r="V65" s="62">
        <v>0</v>
      </c>
      <c r="W65" s="60">
        <v>0</v>
      </c>
      <c r="X65" s="60">
        <v>0</v>
      </c>
      <c r="Y65" s="62">
        <v>0</v>
      </c>
      <c r="Z65" s="60">
        <v>0</v>
      </c>
      <c r="AA65" s="60">
        <v>0</v>
      </c>
      <c r="AB65" s="62">
        <v>0</v>
      </c>
    </row>
    <row r="66" spans="1:28" ht="24.95" customHeight="1">
      <c r="A66" s="32" t="e">
        <v>#REF!</v>
      </c>
      <c r="B66" s="56" t="s">
        <v>577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42</v>
      </c>
      <c r="I66" s="57"/>
      <c r="J66" s="57">
        <v>10</v>
      </c>
      <c r="K66" s="58" t="s">
        <v>29</v>
      </c>
      <c r="L66" s="59" t="s">
        <v>84</v>
      </c>
      <c r="M66" s="60">
        <v>148000000</v>
      </c>
      <c r="N66" s="60"/>
      <c r="O66" s="60"/>
      <c r="P66" s="60"/>
      <c r="Q66" s="60"/>
      <c r="R66" s="61"/>
      <c r="S66" s="60">
        <v>148000000</v>
      </c>
      <c r="T66" s="60">
        <v>0</v>
      </c>
      <c r="U66" s="60">
        <v>148000000</v>
      </c>
      <c r="V66" s="62">
        <v>0</v>
      </c>
      <c r="W66" s="60">
        <v>0</v>
      </c>
      <c r="X66" s="60">
        <v>0</v>
      </c>
      <c r="Y66" s="62">
        <v>0</v>
      </c>
      <c r="Z66" s="60">
        <v>0</v>
      </c>
      <c r="AA66" s="60">
        <v>0</v>
      </c>
      <c r="AB66" s="62">
        <v>0</v>
      </c>
    </row>
    <row r="67" spans="1:28" ht="24.95" customHeight="1">
      <c r="A67" s="32" t="e">
        <v>#REF!</v>
      </c>
      <c r="B67" s="56" t="s">
        <v>579</v>
      </c>
      <c r="C67" s="57" t="s">
        <v>23</v>
      </c>
      <c r="D67" s="57" t="s">
        <v>54</v>
      </c>
      <c r="E67" s="57" t="s">
        <v>54</v>
      </c>
      <c r="F67" s="57" t="s">
        <v>25</v>
      </c>
      <c r="G67" s="57" t="s">
        <v>38</v>
      </c>
      <c r="H67" s="57" t="s">
        <v>44</v>
      </c>
      <c r="I67" s="57"/>
      <c r="J67" s="57">
        <v>10</v>
      </c>
      <c r="K67" s="58" t="s">
        <v>29</v>
      </c>
      <c r="L67" s="59" t="s">
        <v>85</v>
      </c>
      <c r="M67" s="60">
        <v>182000000</v>
      </c>
      <c r="N67" s="60"/>
      <c r="O67" s="60"/>
      <c r="P67" s="60"/>
      <c r="Q67" s="60"/>
      <c r="R67" s="61"/>
      <c r="S67" s="60">
        <v>182000000</v>
      </c>
      <c r="T67" s="60">
        <v>0</v>
      </c>
      <c r="U67" s="60">
        <v>182000000</v>
      </c>
      <c r="V67" s="62">
        <v>0</v>
      </c>
      <c r="W67" s="60">
        <v>0</v>
      </c>
      <c r="X67" s="60">
        <v>0</v>
      </c>
      <c r="Y67" s="62">
        <v>0</v>
      </c>
      <c r="Z67" s="60">
        <v>0</v>
      </c>
      <c r="AA67" s="60">
        <v>0</v>
      </c>
      <c r="AB67" s="62">
        <v>0</v>
      </c>
    </row>
    <row r="68" spans="1:28" ht="24" customHeight="1">
      <c r="A68" s="32" t="e">
        <v>#REF!</v>
      </c>
      <c r="B68" s="48" t="s">
        <v>389</v>
      </c>
      <c r="C68" s="48" t="s">
        <v>23</v>
      </c>
      <c r="D68" s="48" t="s">
        <v>54</v>
      </c>
      <c r="E68" s="48" t="s">
        <v>54</v>
      </c>
      <c r="F68" s="48" t="s">
        <v>54</v>
      </c>
      <c r="G68" s="48"/>
      <c r="H68" s="48"/>
      <c r="I68" s="48"/>
      <c r="J68" s="49" t="s">
        <v>28</v>
      </c>
      <c r="K68" s="48" t="s">
        <v>29</v>
      </c>
      <c r="L68" s="48" t="s">
        <v>103</v>
      </c>
      <c r="M68" s="50">
        <v>43123337511</v>
      </c>
      <c r="N68" s="743">
        <v>0</v>
      </c>
      <c r="O68" s="743">
        <v>0</v>
      </c>
      <c r="P68" s="50">
        <v>4397414126</v>
      </c>
      <c r="Q68" s="50">
        <v>4817821039</v>
      </c>
      <c r="R68" s="743">
        <v>0</v>
      </c>
      <c r="S68" s="50">
        <v>42702930598</v>
      </c>
      <c r="T68" s="50">
        <v>25168515009.57</v>
      </c>
      <c r="U68" s="50">
        <v>17534415588.43</v>
      </c>
      <c r="V68" s="51">
        <v>0.58938613011137864</v>
      </c>
      <c r="W68" s="50">
        <v>9154271212.2999992</v>
      </c>
      <c r="X68" s="50">
        <v>16014243797.27</v>
      </c>
      <c r="Y68" s="51">
        <v>0.63628083703709948</v>
      </c>
      <c r="Z68" s="50">
        <v>8973300947.2999992</v>
      </c>
      <c r="AA68" s="50">
        <v>180970265</v>
      </c>
      <c r="AB68" s="51">
        <v>0.35652881959416433</v>
      </c>
    </row>
    <row r="69" spans="1:28" ht="24.75" customHeight="1">
      <c r="A69" s="32" t="e">
        <v>#REF!</v>
      </c>
      <c r="B69" s="52" t="s">
        <v>391</v>
      </c>
      <c r="C69" s="52" t="s">
        <v>23</v>
      </c>
      <c r="D69" s="52" t="s">
        <v>54</v>
      </c>
      <c r="E69" s="52" t="s">
        <v>54</v>
      </c>
      <c r="F69" s="52" t="s">
        <v>54</v>
      </c>
      <c r="G69" s="52" t="s">
        <v>42</v>
      </c>
      <c r="H69" s="52"/>
      <c r="I69" s="52"/>
      <c r="J69" s="53" t="s">
        <v>28</v>
      </c>
      <c r="K69" s="52" t="s">
        <v>29</v>
      </c>
      <c r="L69" s="52" t="s">
        <v>104</v>
      </c>
      <c r="M69" s="54">
        <v>5553279341</v>
      </c>
      <c r="N69" s="743">
        <v>0</v>
      </c>
      <c r="O69" s="743">
        <v>0</v>
      </c>
      <c r="P69" s="54">
        <v>0</v>
      </c>
      <c r="Q69" s="54">
        <v>0</v>
      </c>
      <c r="R69" s="743">
        <v>0</v>
      </c>
      <c r="S69" s="54">
        <v>5553279341</v>
      </c>
      <c r="T69" s="54">
        <v>2684898139.73</v>
      </c>
      <c r="U69" s="54">
        <v>2868381201.27</v>
      </c>
      <c r="V69" s="55">
        <v>0.48347975580974833</v>
      </c>
      <c r="W69" s="54">
        <v>1995296665.3099999</v>
      </c>
      <c r="X69" s="54">
        <v>689601474.41999996</v>
      </c>
      <c r="Y69" s="55">
        <v>0.2568445574212167</v>
      </c>
      <c r="Z69" s="54">
        <v>1994351964.3099999</v>
      </c>
      <c r="AA69" s="54">
        <v>944701</v>
      </c>
      <c r="AB69" s="55">
        <v>0.74280358528258983</v>
      </c>
    </row>
    <row r="70" spans="1:28" ht="24.95" customHeight="1">
      <c r="A70" s="32" t="e">
        <v>#REF!</v>
      </c>
      <c r="B70" s="56" t="s">
        <v>583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36</v>
      </c>
      <c r="I70" s="57"/>
      <c r="J70" s="57">
        <v>10</v>
      </c>
      <c r="K70" s="58" t="s">
        <v>29</v>
      </c>
      <c r="L70" s="59" t="s">
        <v>105</v>
      </c>
      <c r="M70" s="60">
        <v>182500000</v>
      </c>
      <c r="N70" s="60"/>
      <c r="O70" s="60"/>
      <c r="P70" s="60"/>
      <c r="Q70" s="60"/>
      <c r="R70" s="61"/>
      <c r="S70" s="60">
        <v>182500000</v>
      </c>
      <c r="T70" s="60">
        <v>109471623</v>
      </c>
      <c r="U70" s="60">
        <v>73028377</v>
      </c>
      <c r="V70" s="62">
        <v>0.59984450958904112</v>
      </c>
      <c r="W70" s="60">
        <v>27700954</v>
      </c>
      <c r="X70" s="60">
        <v>81770669</v>
      </c>
      <c r="Y70" s="62">
        <v>0.74695767504972499</v>
      </c>
      <c r="Z70" s="60">
        <v>27700954</v>
      </c>
      <c r="AA70" s="60">
        <v>0</v>
      </c>
      <c r="AB70" s="62">
        <v>0.25304232495027501</v>
      </c>
    </row>
    <row r="71" spans="1:28" ht="24.95" customHeight="1">
      <c r="A71" s="32" t="e">
        <v>#REF!</v>
      </c>
      <c r="B71" s="56" t="s">
        <v>585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38</v>
      </c>
      <c r="I71" s="57"/>
      <c r="J71" s="57">
        <v>10</v>
      </c>
      <c r="K71" s="58" t="s">
        <v>29</v>
      </c>
      <c r="L71" s="59" t="s">
        <v>106</v>
      </c>
      <c r="M71" s="60">
        <v>2460219321</v>
      </c>
      <c r="N71" s="60"/>
      <c r="O71" s="60"/>
      <c r="P71" s="60"/>
      <c r="Q71" s="60"/>
      <c r="R71" s="61"/>
      <c r="S71" s="60">
        <v>2460219321</v>
      </c>
      <c r="T71" s="60">
        <v>1661255045</v>
      </c>
      <c r="U71" s="60">
        <v>798964276</v>
      </c>
      <c r="V71" s="62">
        <v>0.6752467273221614</v>
      </c>
      <c r="W71" s="60">
        <v>1161353676</v>
      </c>
      <c r="X71" s="60">
        <v>499901369</v>
      </c>
      <c r="Y71" s="62">
        <v>0.30091789367598276</v>
      </c>
      <c r="Z71" s="60">
        <v>1161353676</v>
      </c>
      <c r="AA71" s="60">
        <v>0</v>
      </c>
      <c r="AB71" s="62">
        <v>0.69908210632401724</v>
      </c>
    </row>
    <row r="72" spans="1:28" ht="24.95" customHeight="1">
      <c r="A72" s="32" t="e">
        <v>#REF!</v>
      </c>
      <c r="B72" s="56" t="s">
        <v>587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40</v>
      </c>
      <c r="I72" s="57"/>
      <c r="J72" s="57">
        <v>10</v>
      </c>
      <c r="K72" s="58" t="s">
        <v>29</v>
      </c>
      <c r="L72" s="59" t="s">
        <v>107</v>
      </c>
      <c r="M72" s="60">
        <v>114000000</v>
      </c>
      <c r="N72" s="60"/>
      <c r="O72" s="60"/>
      <c r="P72" s="60"/>
      <c r="Q72" s="60"/>
      <c r="R72" s="61"/>
      <c r="S72" s="60">
        <v>114000000</v>
      </c>
      <c r="T72" s="60">
        <v>38140000</v>
      </c>
      <c r="U72" s="60">
        <v>75860000</v>
      </c>
      <c r="V72" s="62">
        <v>0.33456140350877195</v>
      </c>
      <c r="W72" s="60">
        <v>5140000</v>
      </c>
      <c r="X72" s="60">
        <v>33000000</v>
      </c>
      <c r="Y72" s="62">
        <v>0.86523335081279495</v>
      </c>
      <c r="Z72" s="60">
        <v>5140000</v>
      </c>
      <c r="AA72" s="60">
        <v>0</v>
      </c>
      <c r="AB72" s="62">
        <v>0.13476664918720505</v>
      </c>
    </row>
    <row r="73" spans="1:28" ht="24.95" customHeight="1">
      <c r="A73" s="32" t="e">
        <v>#REF!</v>
      </c>
      <c r="B73" s="56" t="s">
        <v>591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46</v>
      </c>
      <c r="I73" s="57"/>
      <c r="J73" s="57">
        <v>10</v>
      </c>
      <c r="K73" s="58" t="s">
        <v>29</v>
      </c>
      <c r="L73" s="59" t="s">
        <v>108</v>
      </c>
      <c r="M73" s="60">
        <v>1530960020</v>
      </c>
      <c r="N73" s="60"/>
      <c r="O73" s="60"/>
      <c r="P73" s="60"/>
      <c r="Q73" s="60"/>
      <c r="R73" s="61"/>
      <c r="S73" s="60">
        <v>1530960020</v>
      </c>
      <c r="T73" s="60">
        <v>646615648</v>
      </c>
      <c r="U73" s="60">
        <v>884344372</v>
      </c>
      <c r="V73" s="62">
        <v>0.42235959107540899</v>
      </c>
      <c r="W73" s="60">
        <v>576340978.58000004</v>
      </c>
      <c r="X73" s="60">
        <v>70274669.419999957</v>
      </c>
      <c r="Y73" s="62">
        <v>0.1086807435566421</v>
      </c>
      <c r="Z73" s="60">
        <v>576340978.58000004</v>
      </c>
      <c r="AA73" s="60">
        <v>0</v>
      </c>
      <c r="AB73" s="62">
        <v>0.89131925644335785</v>
      </c>
    </row>
    <row r="74" spans="1:28" ht="24.95" customHeight="1">
      <c r="A74" s="32" t="e">
        <v>#REF!</v>
      </c>
      <c r="B74" s="56" t="s">
        <v>593</v>
      </c>
      <c r="C74" s="57" t="s">
        <v>23</v>
      </c>
      <c r="D74" s="57" t="s">
        <v>54</v>
      </c>
      <c r="E74" s="57" t="s">
        <v>54</v>
      </c>
      <c r="F74" s="57" t="s">
        <v>54</v>
      </c>
      <c r="G74" s="57" t="s">
        <v>42</v>
      </c>
      <c r="H74" s="57" t="s">
        <v>48</v>
      </c>
      <c r="I74" s="57"/>
      <c r="J74" s="57">
        <v>10</v>
      </c>
      <c r="K74" s="58" t="s">
        <v>29</v>
      </c>
      <c r="L74" s="59" t="s">
        <v>109</v>
      </c>
      <c r="M74" s="60">
        <v>1265600000</v>
      </c>
      <c r="N74" s="60"/>
      <c r="O74" s="60"/>
      <c r="P74" s="60"/>
      <c r="Q74" s="60"/>
      <c r="R74" s="61"/>
      <c r="S74" s="60">
        <v>1265600000</v>
      </c>
      <c r="T74" s="60">
        <v>229415823.72999999</v>
      </c>
      <c r="U74" s="60">
        <v>1036184176.27</v>
      </c>
      <c r="V74" s="62">
        <v>0.18127040433786346</v>
      </c>
      <c r="W74" s="60">
        <v>224761056.72999999</v>
      </c>
      <c r="X74" s="60">
        <v>4654767</v>
      </c>
      <c r="Y74" s="62">
        <v>2.0289651011510899E-2</v>
      </c>
      <c r="Z74" s="60">
        <v>223816355.72999999</v>
      </c>
      <c r="AA74" s="60">
        <v>944701</v>
      </c>
      <c r="AB74" s="62">
        <v>0.97559249441054241</v>
      </c>
    </row>
    <row r="75" spans="1:28" ht="28.5" customHeight="1">
      <c r="A75" s="32" t="e">
        <v>#REF!</v>
      </c>
      <c r="B75" s="52" t="s">
        <v>393</v>
      </c>
      <c r="C75" s="52" t="s">
        <v>23</v>
      </c>
      <c r="D75" s="52" t="s">
        <v>54</v>
      </c>
      <c r="E75" s="52" t="s">
        <v>54</v>
      </c>
      <c r="F75" s="52" t="s">
        <v>54</v>
      </c>
      <c r="G75" s="52" t="s">
        <v>44</v>
      </c>
      <c r="H75" s="52"/>
      <c r="I75" s="52"/>
      <c r="J75" s="53" t="s">
        <v>28</v>
      </c>
      <c r="K75" s="52" t="s">
        <v>29</v>
      </c>
      <c r="L75" s="52" t="s">
        <v>110</v>
      </c>
      <c r="M75" s="54">
        <v>16189463994</v>
      </c>
      <c r="N75" s="743">
        <v>0</v>
      </c>
      <c r="O75" s="743">
        <v>0</v>
      </c>
      <c r="P75" s="54">
        <v>0</v>
      </c>
      <c r="Q75" s="54">
        <v>0</v>
      </c>
      <c r="R75" s="743">
        <v>0</v>
      </c>
      <c r="S75" s="54">
        <v>16189463994</v>
      </c>
      <c r="T75" s="54">
        <v>13900430803</v>
      </c>
      <c r="U75" s="54">
        <v>2289033191</v>
      </c>
      <c r="V75" s="55">
        <v>0.85860969876159321</v>
      </c>
      <c r="W75" s="54">
        <v>4337936597.5</v>
      </c>
      <c r="X75" s="54">
        <v>9562494205.5</v>
      </c>
      <c r="Y75" s="55">
        <v>0.68792790245293811</v>
      </c>
      <c r="Z75" s="54">
        <v>4337936597.5</v>
      </c>
      <c r="AA75" s="54">
        <v>0</v>
      </c>
      <c r="AB75" s="55">
        <v>0.31207209754706189</v>
      </c>
    </row>
    <row r="76" spans="1:28" ht="24.95" customHeight="1">
      <c r="A76" s="32" t="e">
        <v>#REF!</v>
      </c>
      <c r="B76" s="56" t="s">
        <v>595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31</v>
      </c>
      <c r="I76" s="57"/>
      <c r="J76" s="57">
        <v>10</v>
      </c>
      <c r="K76" s="58" t="s">
        <v>29</v>
      </c>
      <c r="L76" s="59" t="s">
        <v>111</v>
      </c>
      <c r="M76" s="60">
        <v>718200000</v>
      </c>
      <c r="N76" s="60"/>
      <c r="O76" s="60"/>
      <c r="P76" s="60"/>
      <c r="Q76" s="60"/>
      <c r="R76" s="61"/>
      <c r="S76" s="60">
        <v>718200000</v>
      </c>
      <c r="T76" s="60">
        <v>3200000</v>
      </c>
      <c r="U76" s="60">
        <v>715000000</v>
      </c>
      <c r="V76" s="62">
        <v>4.4555834029518238E-3</v>
      </c>
      <c r="W76" s="60">
        <v>646600</v>
      </c>
      <c r="X76" s="60">
        <v>2553400</v>
      </c>
      <c r="Y76" s="62">
        <v>0.79793749999999997</v>
      </c>
      <c r="Z76" s="60">
        <v>646600</v>
      </c>
      <c r="AA76" s="60">
        <v>0</v>
      </c>
      <c r="AB76" s="62">
        <v>0.20206250000000001</v>
      </c>
    </row>
    <row r="77" spans="1:28" ht="24.95" customHeight="1">
      <c r="A77" s="32" t="e">
        <v>#REF!</v>
      </c>
      <c r="B77" s="56" t="s">
        <v>597</v>
      </c>
      <c r="C77" s="57" t="s">
        <v>23</v>
      </c>
      <c r="D77" s="57" t="s">
        <v>54</v>
      </c>
      <c r="E77" s="57" t="s">
        <v>54</v>
      </c>
      <c r="F77" s="57" t="s">
        <v>54</v>
      </c>
      <c r="G77" s="57" t="s">
        <v>44</v>
      </c>
      <c r="H77" s="57" t="s">
        <v>34</v>
      </c>
      <c r="I77" s="57"/>
      <c r="J77" s="57">
        <v>10</v>
      </c>
      <c r="K77" s="58" t="s">
        <v>29</v>
      </c>
      <c r="L77" s="59" t="s">
        <v>112</v>
      </c>
      <c r="M77" s="60">
        <v>15471263994</v>
      </c>
      <c r="N77" s="60"/>
      <c r="O77" s="60"/>
      <c r="P77" s="60"/>
      <c r="Q77" s="60"/>
      <c r="R77" s="61"/>
      <c r="S77" s="60">
        <v>15471263994</v>
      </c>
      <c r="T77" s="60">
        <v>13897230803</v>
      </c>
      <c r="U77" s="60">
        <v>1574033191</v>
      </c>
      <c r="V77" s="62">
        <v>0.89826085369557174</v>
      </c>
      <c r="W77" s="60">
        <v>4337289997.5</v>
      </c>
      <c r="X77" s="60">
        <v>9559940805.5</v>
      </c>
      <c r="Y77" s="62">
        <v>0.68790257145591138</v>
      </c>
      <c r="Z77" s="60">
        <v>4337289997.5</v>
      </c>
      <c r="AA77" s="60">
        <v>0</v>
      </c>
      <c r="AB77" s="62">
        <v>0.31209742854408862</v>
      </c>
    </row>
    <row r="78" spans="1:28" ht="27.75" customHeight="1">
      <c r="A78" s="32" t="e">
        <v>#REF!</v>
      </c>
      <c r="B78" s="52" t="s">
        <v>395</v>
      </c>
      <c r="C78" s="52" t="s">
        <v>23</v>
      </c>
      <c r="D78" s="52" t="s">
        <v>54</v>
      </c>
      <c r="E78" s="52" t="s">
        <v>54</v>
      </c>
      <c r="F78" s="52" t="s">
        <v>54</v>
      </c>
      <c r="G78" s="52" t="s">
        <v>46</v>
      </c>
      <c r="H78" s="52"/>
      <c r="I78" s="52"/>
      <c r="J78" s="53" t="s">
        <v>28</v>
      </c>
      <c r="K78" s="52" t="s">
        <v>29</v>
      </c>
      <c r="L78" s="52" t="s">
        <v>113</v>
      </c>
      <c r="M78" s="54">
        <v>18297410176</v>
      </c>
      <c r="N78" s="743">
        <v>0</v>
      </c>
      <c r="O78" s="743">
        <v>0</v>
      </c>
      <c r="P78" s="54">
        <v>1227366029</v>
      </c>
      <c r="Q78" s="54">
        <v>3609796562</v>
      </c>
      <c r="R78" s="743">
        <v>0</v>
      </c>
      <c r="S78" s="54">
        <v>15914979643</v>
      </c>
      <c r="T78" s="54">
        <v>8125052950.7299995</v>
      </c>
      <c r="U78" s="54">
        <v>7789926692.2700005</v>
      </c>
      <c r="V78" s="55">
        <v>0.51052864238527007</v>
      </c>
      <c r="W78" s="54">
        <v>2592064952.3800001</v>
      </c>
      <c r="X78" s="54">
        <v>5532987998.3500004</v>
      </c>
      <c r="Y78" s="55">
        <v>0.68097870031147134</v>
      </c>
      <c r="Z78" s="54">
        <v>2412144554.3800001</v>
      </c>
      <c r="AA78" s="54">
        <v>179920398</v>
      </c>
      <c r="AB78" s="55">
        <v>0.29687739501602628</v>
      </c>
    </row>
    <row r="79" spans="1:28" ht="24.95" customHeight="1">
      <c r="A79" s="32" t="e">
        <v>#REF!</v>
      </c>
      <c r="B79" s="56" t="s">
        <v>599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34</v>
      </c>
      <c r="I79" s="57"/>
      <c r="J79" s="57">
        <v>10</v>
      </c>
      <c r="K79" s="58" t="s">
        <v>29</v>
      </c>
      <c r="L79" s="59" t="s">
        <v>114</v>
      </c>
      <c r="M79" s="60">
        <v>57307000</v>
      </c>
      <c r="N79" s="60"/>
      <c r="O79" s="60"/>
      <c r="P79" s="60"/>
      <c r="Q79" s="60"/>
      <c r="R79" s="61"/>
      <c r="S79" s="60">
        <v>57307000</v>
      </c>
      <c r="T79" s="60">
        <v>33043500</v>
      </c>
      <c r="U79" s="60">
        <v>24263500</v>
      </c>
      <c r="V79" s="62">
        <v>0.57660495227459119</v>
      </c>
      <c r="W79" s="60">
        <v>0</v>
      </c>
      <c r="X79" s="60">
        <v>33043500</v>
      </c>
      <c r="Y79" s="62">
        <v>1</v>
      </c>
      <c r="Z79" s="60">
        <v>0</v>
      </c>
      <c r="AA79" s="60">
        <v>0</v>
      </c>
      <c r="AB79" s="62">
        <v>0</v>
      </c>
    </row>
    <row r="80" spans="1:28" ht="24.95" customHeight="1">
      <c r="A80" s="32" t="e">
        <v>#REF!</v>
      </c>
      <c r="B80" s="56" t="s">
        <v>601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36</v>
      </c>
      <c r="I80" s="57"/>
      <c r="J80" s="57">
        <v>10</v>
      </c>
      <c r="K80" s="58" t="s">
        <v>29</v>
      </c>
      <c r="L80" s="59" t="s">
        <v>115</v>
      </c>
      <c r="M80" s="60">
        <v>6648501421</v>
      </c>
      <c r="N80" s="60"/>
      <c r="O80" s="60"/>
      <c r="P80" s="60">
        <v>1062000000</v>
      </c>
      <c r="Q80" s="60">
        <v>3170048097</v>
      </c>
      <c r="R80" s="61"/>
      <c r="S80" s="60">
        <v>4540453324</v>
      </c>
      <c r="T80" s="60">
        <v>3205567363</v>
      </c>
      <c r="U80" s="60">
        <v>1334885961</v>
      </c>
      <c r="V80" s="62">
        <v>0.70600161134923711</v>
      </c>
      <c r="W80" s="60">
        <v>1126872948</v>
      </c>
      <c r="X80" s="60">
        <v>2078694415</v>
      </c>
      <c r="Y80" s="62">
        <v>0.64846380674858395</v>
      </c>
      <c r="Z80" s="60">
        <v>946952550</v>
      </c>
      <c r="AA80" s="60">
        <v>179920398</v>
      </c>
      <c r="AB80" s="62">
        <v>0.29540871950785458</v>
      </c>
    </row>
    <row r="81" spans="1:28" ht="24.95" customHeight="1">
      <c r="A81" s="32" t="e">
        <v>#REF!</v>
      </c>
      <c r="B81" s="56" t="s">
        <v>603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38</v>
      </c>
      <c r="I81" s="57"/>
      <c r="J81" s="57">
        <v>10</v>
      </c>
      <c r="K81" s="58" t="s">
        <v>29</v>
      </c>
      <c r="L81" s="59" t="s">
        <v>116</v>
      </c>
      <c r="M81" s="60">
        <v>2672983340</v>
      </c>
      <c r="N81" s="60"/>
      <c r="O81" s="60"/>
      <c r="P81" s="60"/>
      <c r="Q81" s="60"/>
      <c r="R81" s="61"/>
      <c r="S81" s="60">
        <v>2672983340</v>
      </c>
      <c r="T81" s="60">
        <v>863658693.46000004</v>
      </c>
      <c r="U81" s="60">
        <v>1809324646.54</v>
      </c>
      <c r="V81" s="62">
        <v>0.32310665036168912</v>
      </c>
      <c r="W81" s="60">
        <v>387924717.06</v>
      </c>
      <c r="X81" s="60">
        <v>475733976.40000004</v>
      </c>
      <c r="Y81" s="62">
        <v>0.55083562523305218</v>
      </c>
      <c r="Z81" s="60">
        <v>387924717.06</v>
      </c>
      <c r="AA81" s="60">
        <v>0</v>
      </c>
      <c r="AB81" s="62">
        <v>0.44916437476694787</v>
      </c>
    </row>
    <row r="82" spans="1:28" ht="24.95" customHeight="1">
      <c r="A82" s="32" t="e">
        <v>#REF!</v>
      </c>
      <c r="B82" s="56" t="s">
        <v>605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40</v>
      </c>
      <c r="I82" s="57"/>
      <c r="J82" s="57">
        <v>10</v>
      </c>
      <c r="K82" s="58" t="s">
        <v>29</v>
      </c>
      <c r="L82" s="59" t="s">
        <v>117</v>
      </c>
      <c r="M82" s="60">
        <v>7515815535</v>
      </c>
      <c r="N82" s="60"/>
      <c r="O82" s="60"/>
      <c r="P82" s="60">
        <v>151113121</v>
      </c>
      <c r="Q82" s="60">
        <v>165000000</v>
      </c>
      <c r="R82" s="61"/>
      <c r="S82" s="60">
        <v>7501928656</v>
      </c>
      <c r="T82" s="60">
        <v>3726636359.6900001</v>
      </c>
      <c r="U82" s="60">
        <v>3775292296.3099999</v>
      </c>
      <c r="V82" s="62">
        <v>0.49675710481590057</v>
      </c>
      <c r="W82" s="60">
        <v>974648895.66999996</v>
      </c>
      <c r="X82" s="60">
        <v>2751987464.02</v>
      </c>
      <c r="Y82" s="62">
        <v>0.73846418013506521</v>
      </c>
      <c r="Z82" s="60">
        <v>974648895.66999996</v>
      </c>
      <c r="AA82" s="60">
        <v>0</v>
      </c>
      <c r="AB82" s="62">
        <v>0.26153581986493474</v>
      </c>
    </row>
    <row r="83" spans="1:28" ht="24.75" customHeight="1">
      <c r="A83" s="32" t="e">
        <v>#REF!</v>
      </c>
      <c r="B83" s="56" t="s">
        <v>607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44</v>
      </c>
      <c r="I83" s="57"/>
      <c r="J83" s="57">
        <v>10</v>
      </c>
      <c r="K83" s="58" t="s">
        <v>29</v>
      </c>
      <c r="L83" s="59" t="s">
        <v>118</v>
      </c>
      <c r="M83" s="60">
        <v>1074802880</v>
      </c>
      <c r="N83" s="60"/>
      <c r="O83" s="60"/>
      <c r="P83" s="60">
        <v>14252908</v>
      </c>
      <c r="Q83" s="60">
        <v>274748465</v>
      </c>
      <c r="R83" s="61"/>
      <c r="S83" s="60">
        <v>814307323</v>
      </c>
      <c r="T83" s="60">
        <v>144147034.58000001</v>
      </c>
      <c r="U83" s="60">
        <v>670160288.41999996</v>
      </c>
      <c r="V83" s="62">
        <v>0.17701797651646564</v>
      </c>
      <c r="W83" s="60">
        <v>100618391.65000001</v>
      </c>
      <c r="X83" s="60">
        <v>43528642.930000007</v>
      </c>
      <c r="Y83" s="62">
        <v>0.30197390502571936</v>
      </c>
      <c r="Z83" s="60">
        <v>100618391.65000001</v>
      </c>
      <c r="AA83" s="60">
        <v>0</v>
      </c>
      <c r="AB83" s="62">
        <v>0.6980260949742807</v>
      </c>
    </row>
    <row r="84" spans="1:28" ht="24.95" customHeight="1">
      <c r="A84" s="32" t="e">
        <v>#REF!</v>
      </c>
      <c r="B84" s="56" t="s">
        <v>609</v>
      </c>
      <c r="C84" s="57" t="s">
        <v>23</v>
      </c>
      <c r="D84" s="57" t="s">
        <v>54</v>
      </c>
      <c r="E84" s="57" t="s">
        <v>54</v>
      </c>
      <c r="F84" s="57" t="s">
        <v>54</v>
      </c>
      <c r="G84" s="57" t="s">
        <v>46</v>
      </c>
      <c r="H84" s="57" t="s">
        <v>48</v>
      </c>
      <c r="I84" s="57"/>
      <c r="J84" s="57">
        <v>10</v>
      </c>
      <c r="K84" s="58" t="s">
        <v>29</v>
      </c>
      <c r="L84" s="59" t="s">
        <v>119</v>
      </c>
      <c r="M84" s="60">
        <v>328000000</v>
      </c>
      <c r="N84" s="60"/>
      <c r="O84" s="60"/>
      <c r="P84" s="60"/>
      <c r="Q84" s="60"/>
      <c r="R84" s="61"/>
      <c r="S84" s="60">
        <v>328000000</v>
      </c>
      <c r="T84" s="60">
        <v>152000000</v>
      </c>
      <c r="U84" s="60">
        <v>176000000</v>
      </c>
      <c r="V84" s="62">
        <v>0.46341463414634149</v>
      </c>
      <c r="W84" s="60">
        <v>2000000</v>
      </c>
      <c r="X84" s="60">
        <v>150000000</v>
      </c>
      <c r="Y84" s="62">
        <v>0.98684210526315785</v>
      </c>
      <c r="Z84" s="60">
        <v>2000000</v>
      </c>
      <c r="AA84" s="60">
        <v>0</v>
      </c>
      <c r="AB84" s="62">
        <v>1.3157894736842105E-2</v>
      </c>
    </row>
    <row r="85" spans="1:28" ht="24" customHeight="1">
      <c r="A85" s="32" t="e">
        <v>#REF!</v>
      </c>
      <c r="B85" s="52" t="s">
        <v>397</v>
      </c>
      <c r="C85" s="52" t="s">
        <v>23</v>
      </c>
      <c r="D85" s="52" t="s">
        <v>54</v>
      </c>
      <c r="E85" s="52" t="s">
        <v>54</v>
      </c>
      <c r="F85" s="52" t="s">
        <v>54</v>
      </c>
      <c r="G85" s="52" t="s">
        <v>48</v>
      </c>
      <c r="H85" s="52"/>
      <c r="I85" s="52"/>
      <c r="J85" s="53" t="s">
        <v>28</v>
      </c>
      <c r="K85" s="52" t="s">
        <v>29</v>
      </c>
      <c r="L85" s="52" t="s">
        <v>120</v>
      </c>
      <c r="M85" s="54">
        <v>2083184000</v>
      </c>
      <c r="N85" s="743">
        <v>0</v>
      </c>
      <c r="O85" s="743">
        <v>0</v>
      </c>
      <c r="P85" s="54">
        <v>3170048097</v>
      </c>
      <c r="Q85" s="54">
        <v>1208024477</v>
      </c>
      <c r="R85" s="743">
        <v>0</v>
      </c>
      <c r="S85" s="54">
        <v>4045207620</v>
      </c>
      <c r="T85" s="54">
        <v>147687140.11000001</v>
      </c>
      <c r="U85" s="54">
        <v>3897520479.8899999</v>
      </c>
      <c r="V85" s="55">
        <v>3.6509161947539302E-2</v>
      </c>
      <c r="W85" s="54">
        <v>23508758.109999999</v>
      </c>
      <c r="X85" s="54">
        <v>124178382</v>
      </c>
      <c r="Y85" s="55">
        <v>0.84082054745937751</v>
      </c>
      <c r="Z85" s="54">
        <v>23403592.109999999</v>
      </c>
      <c r="AA85" s="54">
        <v>105166</v>
      </c>
      <c r="AB85" s="55">
        <v>0.15846736616721394</v>
      </c>
    </row>
    <row r="86" spans="1:28" ht="24.95" customHeight="1">
      <c r="A86" s="32" t="e">
        <v>#REF!</v>
      </c>
      <c r="B86" s="56" t="s">
        <v>611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34</v>
      </c>
      <c r="I86" s="57"/>
      <c r="J86" s="57">
        <v>10</v>
      </c>
      <c r="K86" s="58" t="s">
        <v>29</v>
      </c>
      <c r="L86" s="59" t="s">
        <v>121</v>
      </c>
      <c r="M86" s="60">
        <v>150000000</v>
      </c>
      <c r="N86" s="60"/>
      <c r="O86" s="60"/>
      <c r="P86" s="60"/>
      <c r="Q86" s="60"/>
      <c r="R86" s="61"/>
      <c r="S86" s="60">
        <v>150000000</v>
      </c>
      <c r="T86" s="60">
        <v>0</v>
      </c>
      <c r="U86" s="60">
        <v>150000000</v>
      </c>
      <c r="V86" s="62">
        <v>0</v>
      </c>
      <c r="W86" s="60">
        <v>0</v>
      </c>
      <c r="X86" s="60">
        <v>0</v>
      </c>
      <c r="Y86" s="62">
        <v>0</v>
      </c>
      <c r="Z86" s="60">
        <v>0</v>
      </c>
      <c r="AA86" s="60">
        <v>0</v>
      </c>
      <c r="AB86" s="62">
        <v>0</v>
      </c>
    </row>
    <row r="87" spans="1:28" ht="24.95" customHeight="1">
      <c r="A87" s="32" t="e">
        <v>#REF!</v>
      </c>
      <c r="B87" s="56" t="s">
        <v>613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36</v>
      </c>
      <c r="I87" s="57"/>
      <c r="J87" s="57">
        <v>10</v>
      </c>
      <c r="K87" s="58" t="s">
        <v>29</v>
      </c>
      <c r="L87" s="59" t="s">
        <v>122</v>
      </c>
      <c r="M87" s="60">
        <v>285000000</v>
      </c>
      <c r="N87" s="60"/>
      <c r="O87" s="60"/>
      <c r="P87" s="60"/>
      <c r="Q87" s="60"/>
      <c r="R87" s="61"/>
      <c r="S87" s="60">
        <v>285000000</v>
      </c>
      <c r="T87" s="60">
        <v>43909567</v>
      </c>
      <c r="U87" s="60">
        <v>241090433</v>
      </c>
      <c r="V87" s="62">
        <v>0.15406865614035087</v>
      </c>
      <c r="W87" s="60">
        <v>10196869</v>
      </c>
      <c r="X87" s="60">
        <v>33712698</v>
      </c>
      <c r="Y87" s="62">
        <v>0.76777568769922055</v>
      </c>
      <c r="Z87" s="60">
        <v>10196869</v>
      </c>
      <c r="AA87" s="60">
        <v>0</v>
      </c>
      <c r="AB87" s="62">
        <v>0.23222431230077947</v>
      </c>
    </row>
    <row r="88" spans="1:28" ht="24.95" customHeight="1">
      <c r="A88" s="32" t="e">
        <v>#REF!</v>
      </c>
      <c r="B88" s="56" t="s">
        <v>615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38</v>
      </c>
      <c r="I88" s="57"/>
      <c r="J88" s="57">
        <v>10</v>
      </c>
      <c r="K88" s="58" t="s">
        <v>29</v>
      </c>
      <c r="L88" s="59" t="s">
        <v>123</v>
      </c>
      <c r="M88" s="60">
        <v>105720000</v>
      </c>
      <c r="N88" s="60"/>
      <c r="O88" s="60"/>
      <c r="P88" s="60"/>
      <c r="Q88" s="60"/>
      <c r="R88" s="61"/>
      <c r="S88" s="60">
        <v>105720000</v>
      </c>
      <c r="T88" s="60">
        <v>13777573.109999999</v>
      </c>
      <c r="U88" s="60">
        <v>91942426.890000001</v>
      </c>
      <c r="V88" s="62">
        <v>0.1303213498864926</v>
      </c>
      <c r="W88" s="60">
        <v>13311889.109999999</v>
      </c>
      <c r="X88" s="60">
        <v>465684</v>
      </c>
      <c r="Y88" s="62">
        <v>3.3800147259752049E-2</v>
      </c>
      <c r="Z88" s="60">
        <v>13206723.109999999</v>
      </c>
      <c r="AA88" s="60">
        <v>105166</v>
      </c>
      <c r="AB88" s="62">
        <v>0.95856672322169223</v>
      </c>
    </row>
    <row r="89" spans="1:28" ht="24.95" customHeight="1">
      <c r="A89" s="32" t="e">
        <v>#REF!</v>
      </c>
      <c r="B89" s="56" t="s">
        <v>617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42</v>
      </c>
      <c r="I89" s="57"/>
      <c r="J89" s="57">
        <v>10</v>
      </c>
      <c r="K89" s="58" t="s">
        <v>29</v>
      </c>
      <c r="L89" s="59" t="s">
        <v>124</v>
      </c>
      <c r="M89" s="60">
        <v>1481000000</v>
      </c>
      <c r="N89" s="60"/>
      <c r="O89" s="60"/>
      <c r="P89" s="60"/>
      <c r="Q89" s="60"/>
      <c r="R89" s="61"/>
      <c r="S89" s="60">
        <v>1481000000</v>
      </c>
      <c r="T89" s="60">
        <v>90000000</v>
      </c>
      <c r="U89" s="60">
        <v>1391000000</v>
      </c>
      <c r="V89" s="62">
        <v>6.0769750168804863E-2</v>
      </c>
      <c r="W89" s="60">
        <v>0</v>
      </c>
      <c r="X89" s="60">
        <v>90000000</v>
      </c>
      <c r="Y89" s="62">
        <v>1</v>
      </c>
      <c r="Z89" s="60">
        <v>0</v>
      </c>
      <c r="AA89" s="60">
        <v>0</v>
      </c>
      <c r="AB89" s="62">
        <v>0</v>
      </c>
    </row>
    <row r="90" spans="1:28" ht="24.95" customHeight="1">
      <c r="A90" s="32" t="e">
        <v>#REF!</v>
      </c>
      <c r="B90" s="56" t="s">
        <v>619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48</v>
      </c>
      <c r="H90" s="57" t="s">
        <v>44</v>
      </c>
      <c r="I90" s="57"/>
      <c r="J90" s="57">
        <v>10</v>
      </c>
      <c r="K90" s="58" t="s">
        <v>29</v>
      </c>
      <c r="L90" s="59" t="s">
        <v>125</v>
      </c>
      <c r="M90" s="60">
        <v>61464000</v>
      </c>
      <c r="N90" s="60"/>
      <c r="O90" s="60"/>
      <c r="P90" s="60">
        <v>3170048097</v>
      </c>
      <c r="Q90" s="60">
        <v>1208024477</v>
      </c>
      <c r="R90" s="61"/>
      <c r="S90" s="60">
        <v>2023487620</v>
      </c>
      <c r="T90" s="60">
        <v>0</v>
      </c>
      <c r="U90" s="60">
        <v>2023487620</v>
      </c>
      <c r="V90" s="62">
        <v>0</v>
      </c>
      <c r="W90" s="60">
        <v>0</v>
      </c>
      <c r="X90" s="60">
        <v>0</v>
      </c>
      <c r="Y90" s="62">
        <v>0</v>
      </c>
      <c r="Z90" s="60">
        <v>0</v>
      </c>
      <c r="AA90" s="60">
        <v>0</v>
      </c>
      <c r="AB90" s="62">
        <v>0</v>
      </c>
    </row>
    <row r="91" spans="1:28" ht="24.95" customHeight="1">
      <c r="A91" s="32" t="e">
        <v>#REF!</v>
      </c>
      <c r="B91" s="56" t="s">
        <v>399</v>
      </c>
      <c r="C91" s="57" t="s">
        <v>23</v>
      </c>
      <c r="D91" s="57" t="s">
        <v>54</v>
      </c>
      <c r="E91" s="57" t="s">
        <v>54</v>
      </c>
      <c r="F91" s="57" t="s">
        <v>54</v>
      </c>
      <c r="G91" s="57" t="s">
        <v>50</v>
      </c>
      <c r="H91" s="57"/>
      <c r="I91" s="57"/>
      <c r="J91" s="57" t="s">
        <v>28</v>
      </c>
      <c r="K91" s="58" t="s">
        <v>29</v>
      </c>
      <c r="L91" s="65" t="s">
        <v>126</v>
      </c>
      <c r="M91" s="66">
        <v>1000000000</v>
      </c>
      <c r="N91" s="66"/>
      <c r="O91" s="66"/>
      <c r="P91" s="60"/>
      <c r="Q91" s="66"/>
      <c r="R91" s="744"/>
      <c r="S91" s="66">
        <v>1000000000</v>
      </c>
      <c r="T91" s="66">
        <v>310445976</v>
      </c>
      <c r="U91" s="66">
        <v>689554024</v>
      </c>
      <c r="V91" s="67">
        <v>0.31044597600000001</v>
      </c>
      <c r="W91" s="66">
        <v>205464239</v>
      </c>
      <c r="X91" s="66">
        <v>104981737</v>
      </c>
      <c r="Y91" s="67">
        <v>0.33816427048808001</v>
      </c>
      <c r="Z91" s="66">
        <v>205464239</v>
      </c>
      <c r="AA91" s="66">
        <v>0</v>
      </c>
      <c r="AB91" s="67">
        <v>0.66183572951191993</v>
      </c>
    </row>
    <row r="92" spans="1:28" ht="24" customHeight="1">
      <c r="A92" s="32" t="e">
        <v>#REF!</v>
      </c>
      <c r="B92" s="38" t="s">
        <v>401</v>
      </c>
      <c r="C92" s="39" t="s">
        <v>23</v>
      </c>
      <c r="D92" s="39" t="s">
        <v>65</v>
      </c>
      <c r="E92" s="39"/>
      <c r="F92" s="39"/>
      <c r="G92" s="39"/>
      <c r="H92" s="39"/>
      <c r="I92" s="39"/>
      <c r="J92" s="39"/>
      <c r="K92" s="40"/>
      <c r="L92" s="38" t="s">
        <v>127</v>
      </c>
      <c r="M92" s="41">
        <v>8837000000</v>
      </c>
      <c r="N92" s="41">
        <v>0</v>
      </c>
      <c r="O92" s="41">
        <v>0</v>
      </c>
      <c r="P92" s="41">
        <v>55158452</v>
      </c>
      <c r="Q92" s="41">
        <v>55158452</v>
      </c>
      <c r="R92" s="41">
        <v>5880000000</v>
      </c>
      <c r="S92" s="41">
        <v>2957000000</v>
      </c>
      <c r="T92" s="41">
        <v>618655037</v>
      </c>
      <c r="U92" s="41">
        <v>2338344963</v>
      </c>
      <c r="V92" s="42">
        <v>0.20921712445045654</v>
      </c>
      <c r="W92" s="41">
        <v>452006663</v>
      </c>
      <c r="X92" s="41">
        <v>166648374</v>
      </c>
      <c r="Y92" s="42">
        <v>0.26937204747918347</v>
      </c>
      <c r="Z92" s="41">
        <v>104692467</v>
      </c>
      <c r="AA92" s="41">
        <v>347314196</v>
      </c>
      <c r="AB92" s="42">
        <v>0.16922591870855486</v>
      </c>
    </row>
    <row r="93" spans="1:28" ht="19.5" customHeight="1">
      <c r="A93" s="32" t="e">
        <v>#REF!</v>
      </c>
      <c r="B93" s="43" t="s">
        <v>621</v>
      </c>
      <c r="C93" s="44" t="s">
        <v>23</v>
      </c>
      <c r="D93" s="44" t="s">
        <v>65</v>
      </c>
      <c r="E93" s="44" t="s">
        <v>65</v>
      </c>
      <c r="F93" s="44"/>
      <c r="G93" s="44"/>
      <c r="H93" s="44"/>
      <c r="I93" s="44"/>
      <c r="J93" s="44"/>
      <c r="K93" s="45"/>
      <c r="L93" s="43" t="s">
        <v>128</v>
      </c>
      <c r="M93" s="46">
        <v>5880000000</v>
      </c>
      <c r="N93" s="741">
        <v>0</v>
      </c>
      <c r="O93" s="741">
        <v>0</v>
      </c>
      <c r="P93" s="741">
        <v>0</v>
      </c>
      <c r="Q93" s="46">
        <v>0</v>
      </c>
      <c r="R93" s="46">
        <v>5880000000</v>
      </c>
      <c r="S93" s="46">
        <v>0</v>
      </c>
      <c r="T93" s="46">
        <v>0</v>
      </c>
      <c r="U93" s="46">
        <v>0</v>
      </c>
      <c r="V93" s="47">
        <v>0</v>
      </c>
      <c r="W93" s="46">
        <v>0</v>
      </c>
      <c r="X93" s="46">
        <v>0</v>
      </c>
      <c r="Y93" s="47">
        <v>0</v>
      </c>
      <c r="Z93" s="46">
        <v>0</v>
      </c>
      <c r="AA93" s="46">
        <v>0</v>
      </c>
      <c r="AB93" s="47">
        <v>0</v>
      </c>
    </row>
    <row r="94" spans="1:28" ht="20.25" customHeight="1">
      <c r="A94" s="32" t="e">
        <v>#REF!</v>
      </c>
      <c r="B94" s="48" t="s">
        <v>623</v>
      </c>
      <c r="C94" s="48" t="s">
        <v>23</v>
      </c>
      <c r="D94" s="48" t="s">
        <v>65</v>
      </c>
      <c r="E94" s="48" t="s">
        <v>65</v>
      </c>
      <c r="F94" s="48" t="s">
        <v>25</v>
      </c>
      <c r="G94" s="48"/>
      <c r="H94" s="48"/>
      <c r="I94" s="48"/>
      <c r="J94" s="49"/>
      <c r="K94" s="48"/>
      <c r="L94" s="48" t="s">
        <v>129</v>
      </c>
      <c r="M94" s="50">
        <v>5880000000</v>
      </c>
      <c r="N94" s="50">
        <v>0</v>
      </c>
      <c r="O94" s="50">
        <v>0</v>
      </c>
      <c r="P94" s="50">
        <v>0</v>
      </c>
      <c r="Q94" s="50">
        <v>0</v>
      </c>
      <c r="R94" s="50">
        <v>5880000000</v>
      </c>
      <c r="S94" s="50">
        <v>0</v>
      </c>
      <c r="T94" s="50">
        <v>0</v>
      </c>
      <c r="U94" s="50">
        <v>0</v>
      </c>
      <c r="V94" s="51">
        <v>0</v>
      </c>
      <c r="W94" s="50">
        <v>0</v>
      </c>
      <c r="X94" s="50">
        <v>0</v>
      </c>
      <c r="Y94" s="51">
        <v>0</v>
      </c>
      <c r="Z94" s="50">
        <v>0</v>
      </c>
      <c r="AA94" s="50">
        <v>0</v>
      </c>
      <c r="AB94" s="51">
        <v>0</v>
      </c>
    </row>
    <row r="95" spans="1:28" ht="24.95" customHeight="1">
      <c r="A95" s="32" t="e">
        <v>#REF!</v>
      </c>
      <c r="B95" s="56" t="s">
        <v>627</v>
      </c>
      <c r="C95" s="57" t="s">
        <v>23</v>
      </c>
      <c r="D95" s="57" t="s">
        <v>65</v>
      </c>
      <c r="E95" s="57" t="s">
        <v>65</v>
      </c>
      <c r="F95" s="57" t="s">
        <v>25</v>
      </c>
      <c r="G95" s="57" t="s">
        <v>134</v>
      </c>
      <c r="H95" s="57"/>
      <c r="I95" s="57"/>
      <c r="J95" s="57" t="s">
        <v>28</v>
      </c>
      <c r="K95" s="58" t="s">
        <v>29</v>
      </c>
      <c r="L95" s="59" t="s">
        <v>135</v>
      </c>
      <c r="M95" s="60">
        <v>5880000000</v>
      </c>
      <c r="N95" s="60"/>
      <c r="O95" s="60"/>
      <c r="P95" s="60"/>
      <c r="Q95" s="60"/>
      <c r="R95" s="60">
        <v>5880000000</v>
      </c>
      <c r="S95" s="60">
        <v>0</v>
      </c>
      <c r="T95" s="61">
        <v>0</v>
      </c>
      <c r="U95" s="60">
        <v>0</v>
      </c>
      <c r="V95" s="62">
        <v>0</v>
      </c>
      <c r="W95" s="60">
        <v>0</v>
      </c>
      <c r="X95" s="60">
        <v>0</v>
      </c>
      <c r="Y95" s="62">
        <v>0</v>
      </c>
      <c r="Z95" s="60">
        <v>0</v>
      </c>
      <c r="AA95" s="60">
        <v>0</v>
      </c>
      <c r="AB95" s="62">
        <v>0</v>
      </c>
    </row>
    <row r="96" spans="1:28" ht="24" customHeight="1">
      <c r="A96" s="32" t="e">
        <v>#REF!</v>
      </c>
      <c r="B96" s="43" t="s">
        <v>403</v>
      </c>
      <c r="C96" s="44" t="s">
        <v>23</v>
      </c>
      <c r="D96" s="44" t="s">
        <v>65</v>
      </c>
      <c r="E96" s="44" t="s">
        <v>136</v>
      </c>
      <c r="F96" s="44"/>
      <c r="G96" s="44"/>
      <c r="H96" s="44"/>
      <c r="I96" s="44"/>
      <c r="J96" s="44"/>
      <c r="K96" s="45"/>
      <c r="L96" s="43" t="s">
        <v>137</v>
      </c>
      <c r="M96" s="46">
        <v>598000000</v>
      </c>
      <c r="N96" s="741">
        <v>0</v>
      </c>
      <c r="O96" s="741">
        <v>0</v>
      </c>
      <c r="P96" s="46">
        <v>0</v>
      </c>
      <c r="Q96" s="46">
        <v>0</v>
      </c>
      <c r="R96" s="741">
        <v>0</v>
      </c>
      <c r="S96" s="46">
        <v>598000000</v>
      </c>
      <c r="T96" s="46">
        <v>271340841</v>
      </c>
      <c r="U96" s="46">
        <v>326659159</v>
      </c>
      <c r="V96" s="47">
        <v>0.45374722575250837</v>
      </c>
      <c r="W96" s="46">
        <v>104692467</v>
      </c>
      <c r="X96" s="46">
        <v>166648374</v>
      </c>
      <c r="Y96" s="47">
        <v>0.61416620286807466</v>
      </c>
      <c r="Z96" s="46">
        <v>104692467</v>
      </c>
      <c r="AA96" s="46">
        <v>0</v>
      </c>
      <c r="AB96" s="47">
        <v>0.38583379713192528</v>
      </c>
    </row>
    <row r="97" spans="1:30" ht="21" customHeight="1">
      <c r="A97" s="32" t="e">
        <v>#REF!</v>
      </c>
      <c r="B97" s="48" t="s">
        <v>405</v>
      </c>
      <c r="C97" s="48" t="s">
        <v>23</v>
      </c>
      <c r="D97" s="48" t="s">
        <v>65</v>
      </c>
      <c r="E97" s="48" t="s">
        <v>136</v>
      </c>
      <c r="F97" s="48" t="s">
        <v>54</v>
      </c>
      <c r="G97" s="48"/>
      <c r="H97" s="48"/>
      <c r="I97" s="48"/>
      <c r="J97" s="49" t="s">
        <v>28</v>
      </c>
      <c r="K97" s="48" t="s">
        <v>29</v>
      </c>
      <c r="L97" s="48" t="s">
        <v>138</v>
      </c>
      <c r="M97" s="50">
        <v>598000000</v>
      </c>
      <c r="N97" s="742">
        <v>0</v>
      </c>
      <c r="O97" s="742">
        <v>0</v>
      </c>
      <c r="P97" s="50">
        <v>0</v>
      </c>
      <c r="Q97" s="50">
        <v>0</v>
      </c>
      <c r="R97" s="742">
        <v>0</v>
      </c>
      <c r="S97" s="50">
        <v>598000000</v>
      </c>
      <c r="T97" s="50">
        <v>271340841</v>
      </c>
      <c r="U97" s="50">
        <v>326659159</v>
      </c>
      <c r="V97" s="51">
        <v>0.45374722575250837</v>
      </c>
      <c r="W97" s="50">
        <v>104692467</v>
      </c>
      <c r="X97" s="50">
        <v>166648374</v>
      </c>
      <c r="Y97" s="51">
        <v>0.61416620286807466</v>
      </c>
      <c r="Z97" s="50">
        <v>104692467</v>
      </c>
      <c r="AA97" s="50">
        <v>0</v>
      </c>
      <c r="AB97" s="51">
        <v>0.38583379713192528</v>
      </c>
    </row>
    <row r="98" spans="1:30" ht="21" customHeight="1">
      <c r="A98" s="32" t="e">
        <v>#REF!</v>
      </c>
      <c r="B98" s="52" t="s">
        <v>407</v>
      </c>
      <c r="C98" s="52" t="s">
        <v>23</v>
      </c>
      <c r="D98" s="52" t="s">
        <v>65</v>
      </c>
      <c r="E98" s="52" t="s">
        <v>136</v>
      </c>
      <c r="F98" s="52" t="s">
        <v>54</v>
      </c>
      <c r="G98" s="52" t="s">
        <v>52</v>
      </c>
      <c r="H98" s="52"/>
      <c r="I98" s="52"/>
      <c r="J98" s="53" t="s">
        <v>28</v>
      </c>
      <c r="K98" s="52" t="s">
        <v>29</v>
      </c>
      <c r="L98" s="52" t="s">
        <v>139</v>
      </c>
      <c r="M98" s="54">
        <v>598000000</v>
      </c>
      <c r="N98" s="743">
        <v>0</v>
      </c>
      <c r="O98" s="743">
        <v>0</v>
      </c>
      <c r="P98" s="54">
        <v>0</v>
      </c>
      <c r="Q98" s="54">
        <v>0</v>
      </c>
      <c r="R98" s="743">
        <v>0</v>
      </c>
      <c r="S98" s="54">
        <v>598000000</v>
      </c>
      <c r="T98" s="54">
        <v>271340841</v>
      </c>
      <c r="U98" s="54">
        <v>326659159</v>
      </c>
      <c r="V98" s="55">
        <v>0.45374722575250837</v>
      </c>
      <c r="W98" s="54">
        <v>104692467</v>
      </c>
      <c r="X98" s="54">
        <v>166648374</v>
      </c>
      <c r="Y98" s="55">
        <v>0.61416620286807466</v>
      </c>
      <c r="Z98" s="54">
        <v>104692467</v>
      </c>
      <c r="AA98" s="54">
        <v>0</v>
      </c>
      <c r="AB98" s="55">
        <v>0.38583379713192528</v>
      </c>
    </row>
    <row r="99" spans="1:30" ht="24.95" customHeight="1">
      <c r="A99" s="32" t="e">
        <v>#REF!</v>
      </c>
      <c r="B99" s="56" t="s">
        <v>409</v>
      </c>
      <c r="C99" s="57" t="s">
        <v>23</v>
      </c>
      <c r="D99" s="57" t="s">
        <v>65</v>
      </c>
      <c r="E99" s="57" t="s">
        <v>136</v>
      </c>
      <c r="F99" s="57" t="s">
        <v>54</v>
      </c>
      <c r="G99" s="57" t="s">
        <v>52</v>
      </c>
      <c r="H99" s="57" t="s">
        <v>31</v>
      </c>
      <c r="I99" s="57"/>
      <c r="J99" s="57" t="s">
        <v>28</v>
      </c>
      <c r="K99" s="58" t="s">
        <v>29</v>
      </c>
      <c r="L99" s="59" t="s">
        <v>140</v>
      </c>
      <c r="M99" s="60">
        <v>398000000</v>
      </c>
      <c r="N99" s="60"/>
      <c r="O99" s="60"/>
      <c r="P99" s="60"/>
      <c r="Q99" s="60"/>
      <c r="R99" s="61"/>
      <c r="S99" s="60">
        <v>398000000</v>
      </c>
      <c r="T99" s="60">
        <v>163501219</v>
      </c>
      <c r="U99" s="60">
        <v>234498781</v>
      </c>
      <c r="V99" s="62">
        <v>0.41080708291457285</v>
      </c>
      <c r="W99" s="60">
        <v>91609253</v>
      </c>
      <c r="X99" s="60">
        <v>71891966</v>
      </c>
      <c r="Y99" s="62">
        <v>0.43970293579279063</v>
      </c>
      <c r="Z99" s="60">
        <v>91609253</v>
      </c>
      <c r="AA99" s="60">
        <v>0</v>
      </c>
      <c r="AB99" s="62">
        <v>0.56029706420720937</v>
      </c>
    </row>
    <row r="100" spans="1:30" ht="24.95" customHeight="1">
      <c r="A100" s="32" t="e">
        <v>#REF!</v>
      </c>
      <c r="B100" s="56" t="s">
        <v>411</v>
      </c>
      <c r="C100" s="57" t="s">
        <v>23</v>
      </c>
      <c r="D100" s="57" t="s">
        <v>65</v>
      </c>
      <c r="E100" s="57" t="s">
        <v>136</v>
      </c>
      <c r="F100" s="57" t="s">
        <v>54</v>
      </c>
      <c r="G100" s="57" t="s">
        <v>52</v>
      </c>
      <c r="H100" s="57" t="s">
        <v>34</v>
      </c>
      <c r="I100" s="57"/>
      <c r="J100" s="57" t="s">
        <v>28</v>
      </c>
      <c r="K100" s="58" t="s">
        <v>29</v>
      </c>
      <c r="L100" s="59" t="s">
        <v>141</v>
      </c>
      <c r="M100" s="60">
        <v>200000000</v>
      </c>
      <c r="N100" s="60"/>
      <c r="O100" s="60"/>
      <c r="P100" s="60"/>
      <c r="Q100" s="60"/>
      <c r="R100" s="61"/>
      <c r="S100" s="60">
        <v>200000000</v>
      </c>
      <c r="T100" s="60">
        <v>107839622</v>
      </c>
      <c r="U100" s="60">
        <v>92160378</v>
      </c>
      <c r="V100" s="62">
        <v>0.53919810999999995</v>
      </c>
      <c r="W100" s="60">
        <v>13083214</v>
      </c>
      <c r="X100" s="60">
        <v>94756408</v>
      </c>
      <c r="Y100" s="62">
        <v>0.8786789701469836</v>
      </c>
      <c r="Z100" s="60">
        <v>13083214</v>
      </c>
      <c r="AA100" s="60">
        <v>0</v>
      </c>
      <c r="AB100" s="62">
        <v>0.12132102985301636</v>
      </c>
    </row>
    <row r="101" spans="1:30" ht="24.95" hidden="1" customHeight="1">
      <c r="A101" s="32" t="e">
        <v>#REF!</v>
      </c>
      <c r="B101" s="56"/>
      <c r="C101" s="57" t="s">
        <v>23</v>
      </c>
      <c r="D101" s="57" t="s">
        <v>65</v>
      </c>
      <c r="E101" s="57" t="s">
        <v>136</v>
      </c>
      <c r="F101" s="57" t="s">
        <v>54</v>
      </c>
      <c r="G101" s="57" t="s">
        <v>142</v>
      </c>
      <c r="H101" s="57"/>
      <c r="I101" s="57"/>
      <c r="J101" s="57" t="s">
        <v>28</v>
      </c>
      <c r="K101" s="58" t="s">
        <v>29</v>
      </c>
      <c r="L101" s="59"/>
      <c r="M101" s="60">
        <v>0</v>
      </c>
      <c r="N101" s="60"/>
      <c r="O101" s="60"/>
      <c r="P101" s="60"/>
      <c r="Q101" s="60"/>
      <c r="R101" s="61"/>
      <c r="S101" s="60">
        <v>0</v>
      </c>
      <c r="T101" s="60">
        <v>0</v>
      </c>
      <c r="U101" s="60">
        <v>0</v>
      </c>
      <c r="V101" s="62">
        <v>0</v>
      </c>
      <c r="W101" s="60">
        <v>0</v>
      </c>
      <c r="X101" s="60">
        <v>0</v>
      </c>
      <c r="Y101" s="62">
        <v>0</v>
      </c>
      <c r="Z101" s="60">
        <v>0</v>
      </c>
      <c r="AA101" s="60">
        <v>0</v>
      </c>
      <c r="AB101" s="62">
        <v>0</v>
      </c>
    </row>
    <row r="102" spans="1:30" ht="24" customHeight="1">
      <c r="A102" s="32" t="e">
        <v>#REF!</v>
      </c>
      <c r="B102" s="43" t="s">
        <v>415</v>
      </c>
      <c r="C102" s="44" t="s">
        <v>23</v>
      </c>
      <c r="D102" s="44" t="s">
        <v>65</v>
      </c>
      <c r="E102" s="44" t="s">
        <v>28</v>
      </c>
      <c r="F102" s="44"/>
      <c r="G102" s="44"/>
      <c r="H102" s="44"/>
      <c r="I102" s="44"/>
      <c r="J102" s="44"/>
      <c r="K102" s="45"/>
      <c r="L102" s="43" t="s">
        <v>143</v>
      </c>
      <c r="M102" s="46">
        <v>2359000000</v>
      </c>
      <c r="N102" s="741">
        <v>0</v>
      </c>
      <c r="O102" s="741">
        <v>0</v>
      </c>
      <c r="P102" s="46">
        <v>55158452</v>
      </c>
      <c r="Q102" s="46">
        <v>55158452</v>
      </c>
      <c r="R102" s="741">
        <v>0</v>
      </c>
      <c r="S102" s="46">
        <v>2359000000</v>
      </c>
      <c r="T102" s="46">
        <v>347314196</v>
      </c>
      <c r="U102" s="46">
        <v>2011685804</v>
      </c>
      <c r="V102" s="47">
        <v>0.14722941754980925</v>
      </c>
      <c r="W102" s="46">
        <v>347314196</v>
      </c>
      <c r="X102" s="46">
        <v>0</v>
      </c>
      <c r="Y102" s="47">
        <v>0</v>
      </c>
      <c r="Z102" s="46">
        <v>0</v>
      </c>
      <c r="AA102" s="46">
        <v>347314196</v>
      </c>
      <c r="AB102" s="47">
        <v>0</v>
      </c>
    </row>
    <row r="103" spans="1:30" ht="21.75" customHeight="1">
      <c r="A103" s="32" t="e">
        <v>#REF!</v>
      </c>
      <c r="B103" s="48" t="s">
        <v>417</v>
      </c>
      <c r="C103" s="48" t="s">
        <v>23</v>
      </c>
      <c r="D103" s="48" t="s">
        <v>65</v>
      </c>
      <c r="E103" s="48" t="s">
        <v>28</v>
      </c>
      <c r="F103" s="48" t="s">
        <v>25</v>
      </c>
      <c r="G103" s="48"/>
      <c r="H103" s="48"/>
      <c r="I103" s="48"/>
      <c r="J103" s="49">
        <v>10</v>
      </c>
      <c r="K103" s="48" t="s">
        <v>29</v>
      </c>
      <c r="L103" s="48" t="s">
        <v>145</v>
      </c>
      <c r="M103" s="50">
        <v>2359000000</v>
      </c>
      <c r="N103" s="50">
        <v>0</v>
      </c>
      <c r="O103" s="50">
        <v>0</v>
      </c>
      <c r="P103" s="50">
        <v>55158452</v>
      </c>
      <c r="Q103" s="50">
        <v>55158452</v>
      </c>
      <c r="R103" s="50">
        <v>0</v>
      </c>
      <c r="S103" s="50">
        <v>2359000000</v>
      </c>
      <c r="T103" s="50">
        <v>347314196</v>
      </c>
      <c r="U103" s="50">
        <v>2011685804</v>
      </c>
      <c r="V103" s="51">
        <v>0.14722941754980925</v>
      </c>
      <c r="W103" s="50">
        <v>347314196</v>
      </c>
      <c r="X103" s="50">
        <v>0</v>
      </c>
      <c r="Y103" s="51">
        <v>0</v>
      </c>
      <c r="Z103" s="50">
        <v>0</v>
      </c>
      <c r="AA103" s="50">
        <v>347314196</v>
      </c>
      <c r="AB103" s="51">
        <v>0</v>
      </c>
    </row>
    <row r="104" spans="1:30" ht="24.95" customHeight="1">
      <c r="A104" s="32" t="e">
        <v>#REF!</v>
      </c>
      <c r="B104" s="56" t="s">
        <v>418</v>
      </c>
      <c r="C104" s="57" t="s">
        <v>23</v>
      </c>
      <c r="D104" s="57" t="s">
        <v>65</v>
      </c>
      <c r="E104" s="57" t="s">
        <v>28</v>
      </c>
      <c r="F104" s="57" t="s">
        <v>25</v>
      </c>
      <c r="G104" s="57" t="s">
        <v>31</v>
      </c>
      <c r="H104" s="57"/>
      <c r="I104" s="57"/>
      <c r="J104" s="57">
        <v>10</v>
      </c>
      <c r="K104" s="58" t="s">
        <v>29</v>
      </c>
      <c r="L104" s="59" t="s">
        <v>146</v>
      </c>
      <c r="M104" s="60">
        <v>2359000000</v>
      </c>
      <c r="N104" s="60"/>
      <c r="O104" s="60"/>
      <c r="P104" s="61"/>
      <c r="Q104" s="60">
        <v>55158452</v>
      </c>
      <c r="R104" s="61"/>
      <c r="S104" s="60">
        <v>2303841548</v>
      </c>
      <c r="T104" s="60">
        <v>292155744</v>
      </c>
      <c r="U104" s="60">
        <v>2011685804</v>
      </c>
      <c r="V104" s="62">
        <v>0.12681242954995098</v>
      </c>
      <c r="W104" s="60">
        <v>292155744</v>
      </c>
      <c r="X104" s="60">
        <v>0</v>
      </c>
      <c r="Y104" s="62">
        <v>0</v>
      </c>
      <c r="Z104" s="60">
        <v>0</v>
      </c>
      <c r="AA104" s="60">
        <v>292155744</v>
      </c>
      <c r="AB104" s="62">
        <v>0</v>
      </c>
    </row>
    <row r="105" spans="1:30" ht="24.95" customHeight="1">
      <c r="A105" s="32" t="e">
        <v>#REF!</v>
      </c>
      <c r="B105" s="56" t="s">
        <v>419</v>
      </c>
      <c r="C105" s="57" t="s">
        <v>23</v>
      </c>
      <c r="D105" s="57" t="s">
        <v>65</v>
      </c>
      <c r="E105" s="57" t="s">
        <v>28</v>
      </c>
      <c r="F105" s="57" t="s">
        <v>25</v>
      </c>
      <c r="G105" s="63" t="s">
        <v>34</v>
      </c>
      <c r="H105" s="57"/>
      <c r="I105" s="57"/>
      <c r="J105" s="57">
        <v>10</v>
      </c>
      <c r="K105" s="58" t="s">
        <v>29</v>
      </c>
      <c r="L105" s="59" t="s">
        <v>147</v>
      </c>
      <c r="M105" s="60">
        <v>0</v>
      </c>
      <c r="N105" s="60"/>
      <c r="O105" s="60"/>
      <c r="P105" s="60">
        <v>55158452</v>
      </c>
      <c r="Q105" s="60"/>
      <c r="R105" s="61"/>
      <c r="S105" s="60">
        <v>55158452</v>
      </c>
      <c r="T105" s="60">
        <v>55158452</v>
      </c>
      <c r="U105" s="60">
        <v>0</v>
      </c>
      <c r="V105" s="62">
        <v>1</v>
      </c>
      <c r="W105" s="60">
        <v>55158452</v>
      </c>
      <c r="X105" s="60">
        <v>0</v>
      </c>
      <c r="Y105" s="62">
        <v>0</v>
      </c>
      <c r="Z105" s="60">
        <v>0</v>
      </c>
      <c r="AA105" s="60">
        <v>55158452</v>
      </c>
      <c r="AB105" s="62">
        <v>0</v>
      </c>
    </row>
    <row r="106" spans="1:30" ht="24" customHeight="1">
      <c r="A106" s="32" t="e">
        <v>#REF!</v>
      </c>
      <c r="B106" s="38" t="s">
        <v>421</v>
      </c>
      <c r="C106" s="39" t="s">
        <v>23</v>
      </c>
      <c r="D106" s="39" t="s">
        <v>148</v>
      </c>
      <c r="E106" s="39"/>
      <c r="F106" s="39"/>
      <c r="G106" s="39"/>
      <c r="H106" s="39"/>
      <c r="I106" s="39"/>
      <c r="J106" s="39"/>
      <c r="K106" s="40"/>
      <c r="L106" s="38" t="s">
        <v>149</v>
      </c>
      <c r="M106" s="41">
        <v>30002470214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30002470214</v>
      </c>
      <c r="T106" s="41">
        <v>17102877.84</v>
      </c>
      <c r="U106" s="41">
        <v>29985367336.16</v>
      </c>
      <c r="V106" s="42">
        <v>5.700489899001488E-4</v>
      </c>
      <c r="W106" s="41">
        <v>16911556.84</v>
      </c>
      <c r="X106" s="41">
        <v>191321</v>
      </c>
      <c r="Y106" s="42">
        <v>1.1186479947400478E-2</v>
      </c>
      <c r="Z106" s="41">
        <v>16641666.84</v>
      </c>
      <c r="AA106" s="41">
        <v>269890</v>
      </c>
      <c r="AB106" s="42">
        <v>0.97303313487269816</v>
      </c>
    </row>
    <row r="107" spans="1:30" ht="24" customHeight="1">
      <c r="A107" s="32" t="e">
        <v>#REF!</v>
      </c>
      <c r="B107" s="43" t="s">
        <v>423</v>
      </c>
      <c r="C107" s="44" t="s">
        <v>23</v>
      </c>
      <c r="D107" s="44" t="s">
        <v>148</v>
      </c>
      <c r="E107" s="44" t="s">
        <v>25</v>
      </c>
      <c r="F107" s="44"/>
      <c r="G107" s="44"/>
      <c r="H107" s="44"/>
      <c r="I107" s="44"/>
      <c r="J107" s="44"/>
      <c r="K107" s="45"/>
      <c r="L107" s="43" t="s">
        <v>150</v>
      </c>
      <c r="M107" s="46">
        <v>145622400</v>
      </c>
      <c r="N107" s="741">
        <v>0</v>
      </c>
      <c r="O107" s="741">
        <v>0</v>
      </c>
      <c r="P107" s="741">
        <v>0</v>
      </c>
      <c r="Q107" s="759">
        <v>0</v>
      </c>
      <c r="R107" s="741">
        <v>0</v>
      </c>
      <c r="S107" s="46">
        <v>145622400</v>
      </c>
      <c r="T107" s="46">
        <v>17102877.84</v>
      </c>
      <c r="U107" s="46">
        <v>128519522.16</v>
      </c>
      <c r="V107" s="47">
        <v>0.11744675159865516</v>
      </c>
      <c r="W107" s="46">
        <v>16911556.84</v>
      </c>
      <c r="X107" s="46">
        <v>191321</v>
      </c>
      <c r="Y107" s="47">
        <v>1.1186479947400478E-2</v>
      </c>
      <c r="Z107" s="46">
        <v>16641666.84</v>
      </c>
      <c r="AA107" s="46">
        <v>269890</v>
      </c>
      <c r="AB107" s="47">
        <v>0.97303313487269816</v>
      </c>
    </row>
    <row r="108" spans="1:30" ht="24" customHeight="1">
      <c r="A108" s="32" t="e">
        <v>#REF!</v>
      </c>
      <c r="B108" s="48" t="s">
        <v>425</v>
      </c>
      <c r="C108" s="48" t="s">
        <v>23</v>
      </c>
      <c r="D108" s="48" t="s">
        <v>148</v>
      </c>
      <c r="E108" s="48" t="s">
        <v>25</v>
      </c>
      <c r="F108" s="48" t="s">
        <v>54</v>
      </c>
      <c r="G108" s="48"/>
      <c r="H108" s="48"/>
      <c r="I108" s="48"/>
      <c r="J108" s="49" t="s">
        <v>28</v>
      </c>
      <c r="K108" s="48" t="s">
        <v>29</v>
      </c>
      <c r="L108" s="48" t="s">
        <v>151</v>
      </c>
      <c r="M108" s="50">
        <v>145622400</v>
      </c>
      <c r="N108" s="742">
        <v>0</v>
      </c>
      <c r="O108" s="742">
        <v>0</v>
      </c>
      <c r="P108" s="742">
        <v>0</v>
      </c>
      <c r="Q108" s="760">
        <v>0</v>
      </c>
      <c r="R108" s="742">
        <v>0</v>
      </c>
      <c r="S108" s="50">
        <v>145622400</v>
      </c>
      <c r="T108" s="50">
        <v>17102877.84</v>
      </c>
      <c r="U108" s="50">
        <v>128519522.16</v>
      </c>
      <c r="V108" s="51">
        <v>0.11744675159865516</v>
      </c>
      <c r="W108" s="50">
        <v>16911556.84</v>
      </c>
      <c r="X108" s="50">
        <v>191321</v>
      </c>
      <c r="Y108" s="51">
        <v>1.1186479947400478E-2</v>
      </c>
      <c r="Z108" s="50">
        <v>16641666.84</v>
      </c>
      <c r="AA108" s="50">
        <v>269890</v>
      </c>
      <c r="AB108" s="51">
        <v>0.97303313487269816</v>
      </c>
    </row>
    <row r="109" spans="1:30" ht="24.95" customHeight="1">
      <c r="A109" s="32" t="e">
        <v>#REF!</v>
      </c>
      <c r="B109" s="56" t="s">
        <v>427</v>
      </c>
      <c r="C109" s="57" t="s">
        <v>23</v>
      </c>
      <c r="D109" s="57" t="s">
        <v>148</v>
      </c>
      <c r="E109" s="57" t="s">
        <v>25</v>
      </c>
      <c r="F109" s="57" t="s">
        <v>54</v>
      </c>
      <c r="G109" s="57" t="s">
        <v>31</v>
      </c>
      <c r="H109" s="57"/>
      <c r="I109" s="57"/>
      <c r="J109" s="57" t="s">
        <v>28</v>
      </c>
      <c r="K109" s="58" t="s">
        <v>29</v>
      </c>
      <c r="L109" s="59" t="s">
        <v>152</v>
      </c>
      <c r="M109" s="60">
        <v>69216000</v>
      </c>
      <c r="N109" s="60">
        <v>0</v>
      </c>
      <c r="O109" s="60"/>
      <c r="P109" s="60"/>
      <c r="Q109" s="61"/>
      <c r="R109" s="61"/>
      <c r="S109" s="60">
        <v>69216000</v>
      </c>
      <c r="T109" s="60">
        <v>0</v>
      </c>
      <c r="U109" s="60">
        <v>69216000</v>
      </c>
      <c r="V109" s="62">
        <v>0</v>
      </c>
      <c r="W109" s="60">
        <v>0</v>
      </c>
      <c r="X109" s="60">
        <v>0</v>
      </c>
      <c r="Y109" s="62">
        <v>0</v>
      </c>
      <c r="Z109" s="60">
        <v>0</v>
      </c>
      <c r="AA109" s="60">
        <v>0</v>
      </c>
      <c r="AB109" s="62">
        <v>0</v>
      </c>
    </row>
    <row r="110" spans="1:30" ht="24.95" customHeight="1">
      <c r="A110" s="32" t="e">
        <v>#REF!</v>
      </c>
      <c r="B110" s="56" t="s">
        <v>429</v>
      </c>
      <c r="C110" s="57" t="s">
        <v>23</v>
      </c>
      <c r="D110" s="57" t="s">
        <v>148</v>
      </c>
      <c r="E110" s="57" t="s">
        <v>25</v>
      </c>
      <c r="F110" s="57" t="s">
        <v>54</v>
      </c>
      <c r="G110" s="57" t="s">
        <v>38</v>
      </c>
      <c r="H110" s="57"/>
      <c r="I110" s="57"/>
      <c r="J110" s="57" t="s">
        <v>28</v>
      </c>
      <c r="K110" s="58" t="s">
        <v>29</v>
      </c>
      <c r="L110" s="59" t="s">
        <v>153</v>
      </c>
      <c r="M110" s="60">
        <v>56000000</v>
      </c>
      <c r="N110" s="60"/>
      <c r="O110" s="60"/>
      <c r="P110" s="60"/>
      <c r="Q110" s="61"/>
      <c r="R110" s="61"/>
      <c r="S110" s="60">
        <v>56000000</v>
      </c>
      <c r="T110" s="60">
        <v>17102877.84</v>
      </c>
      <c r="U110" s="60">
        <v>38897122.159999996</v>
      </c>
      <c r="V110" s="62">
        <v>0.30540853285714287</v>
      </c>
      <c r="W110" s="60">
        <v>16911556.84</v>
      </c>
      <c r="X110" s="60">
        <v>191321</v>
      </c>
      <c r="Y110" s="62">
        <v>1.1186479947400478E-2</v>
      </c>
      <c r="Z110" s="60">
        <v>16641666.84</v>
      </c>
      <c r="AA110" s="60">
        <v>269890</v>
      </c>
      <c r="AB110" s="62">
        <v>0.97303313487269816</v>
      </c>
    </row>
    <row r="111" spans="1:30" ht="24.95" customHeight="1">
      <c r="A111" s="32" t="e">
        <v>#REF!</v>
      </c>
      <c r="B111" s="56" t="s">
        <v>431</v>
      </c>
      <c r="C111" s="57" t="s">
        <v>23</v>
      </c>
      <c r="D111" s="57" t="s">
        <v>148</v>
      </c>
      <c r="E111" s="57" t="s">
        <v>25</v>
      </c>
      <c r="F111" s="57" t="s">
        <v>54</v>
      </c>
      <c r="G111" s="57" t="s">
        <v>42</v>
      </c>
      <c r="H111" s="57"/>
      <c r="I111" s="57"/>
      <c r="J111" s="57" t="s">
        <v>28</v>
      </c>
      <c r="K111" s="58" t="s">
        <v>29</v>
      </c>
      <c r="L111" s="59" t="s">
        <v>154</v>
      </c>
      <c r="M111" s="60">
        <v>20406400</v>
      </c>
      <c r="N111" s="60">
        <v>0</v>
      </c>
      <c r="O111" s="60"/>
      <c r="P111" s="60"/>
      <c r="Q111" s="61"/>
      <c r="R111" s="61"/>
      <c r="S111" s="60">
        <v>20406400</v>
      </c>
      <c r="T111" s="60">
        <v>0</v>
      </c>
      <c r="U111" s="60">
        <v>20406400</v>
      </c>
      <c r="V111" s="62">
        <v>0</v>
      </c>
      <c r="W111" s="60">
        <v>0</v>
      </c>
      <c r="X111" s="60">
        <v>0</v>
      </c>
      <c r="Y111" s="62">
        <v>0</v>
      </c>
      <c r="Z111" s="60">
        <v>0</v>
      </c>
      <c r="AA111" s="60">
        <v>0</v>
      </c>
      <c r="AB111" s="62">
        <v>0</v>
      </c>
    </row>
    <row r="112" spans="1:30" ht="24" customHeight="1">
      <c r="A112" s="32" t="e">
        <v>#REF!</v>
      </c>
      <c r="B112" s="43" t="s">
        <v>432</v>
      </c>
      <c r="C112" s="44" t="s">
        <v>23</v>
      </c>
      <c r="D112" s="44" t="s">
        <v>148</v>
      </c>
      <c r="E112" s="44" t="s">
        <v>136</v>
      </c>
      <c r="F112" s="44"/>
      <c r="G112" s="44"/>
      <c r="H112" s="44"/>
      <c r="I112" s="44"/>
      <c r="J112" s="44"/>
      <c r="K112" s="45"/>
      <c r="L112" s="43" t="s">
        <v>155</v>
      </c>
      <c r="M112" s="46">
        <v>29856847814</v>
      </c>
      <c r="N112" s="741">
        <v>0</v>
      </c>
      <c r="O112" s="741">
        <v>0</v>
      </c>
      <c r="P112" s="46">
        <v>0</v>
      </c>
      <c r="Q112" s="741">
        <v>0</v>
      </c>
      <c r="R112" s="741">
        <v>0</v>
      </c>
      <c r="S112" s="46">
        <v>29856847814</v>
      </c>
      <c r="T112" s="46">
        <v>0</v>
      </c>
      <c r="U112" s="46">
        <v>29856847814</v>
      </c>
      <c r="V112" s="47">
        <v>0</v>
      </c>
      <c r="W112" s="46">
        <v>0</v>
      </c>
      <c r="X112" s="46">
        <v>0</v>
      </c>
      <c r="Y112" s="47">
        <v>0</v>
      </c>
      <c r="Z112" s="46">
        <v>0</v>
      </c>
      <c r="AA112" s="46">
        <v>0</v>
      </c>
      <c r="AB112" s="47">
        <v>0</v>
      </c>
    </row>
    <row r="113" spans="1:28" ht="24.95" customHeight="1">
      <c r="A113" s="32" t="e">
        <v>#REF!</v>
      </c>
      <c r="B113" s="56" t="s">
        <v>434</v>
      </c>
      <c r="C113" s="57" t="s">
        <v>23</v>
      </c>
      <c r="D113" s="57" t="s">
        <v>148</v>
      </c>
      <c r="E113" s="57" t="s">
        <v>136</v>
      </c>
      <c r="F113" s="57" t="s">
        <v>25</v>
      </c>
      <c r="G113" s="57"/>
      <c r="H113" s="57"/>
      <c r="I113" s="57"/>
      <c r="J113" s="57" t="s">
        <v>144</v>
      </c>
      <c r="K113" s="58" t="s">
        <v>156</v>
      </c>
      <c r="L113" s="59" t="s">
        <v>157</v>
      </c>
      <c r="M113" s="60">
        <v>29856847814</v>
      </c>
      <c r="N113" s="60"/>
      <c r="O113" s="60"/>
      <c r="P113" s="60"/>
      <c r="Q113" s="60"/>
      <c r="R113" s="61"/>
      <c r="S113" s="60">
        <v>29856847814</v>
      </c>
      <c r="T113" s="61">
        <v>0</v>
      </c>
      <c r="U113" s="60">
        <v>29856847814</v>
      </c>
      <c r="V113" s="62">
        <v>0</v>
      </c>
      <c r="W113" s="60">
        <v>0</v>
      </c>
      <c r="X113" s="60">
        <v>0</v>
      </c>
      <c r="Y113" s="62">
        <v>0</v>
      </c>
      <c r="Z113" s="60">
        <v>0</v>
      </c>
      <c r="AA113" s="60">
        <v>0</v>
      </c>
      <c r="AB113" s="62">
        <v>0</v>
      </c>
    </row>
    <row r="114" spans="1:28" ht="35.1" customHeight="1">
      <c r="A114" s="32" t="e">
        <v>#REF!</v>
      </c>
      <c r="B114" s="33" t="s">
        <v>162</v>
      </c>
      <c r="C114" s="34" t="s">
        <v>162</v>
      </c>
      <c r="D114" s="35"/>
      <c r="E114" s="35"/>
      <c r="F114" s="35"/>
      <c r="G114" s="35"/>
      <c r="H114" s="35"/>
      <c r="I114" s="35"/>
      <c r="J114" s="34"/>
      <c r="K114" s="35"/>
      <c r="L114" s="33" t="s">
        <v>163</v>
      </c>
      <c r="M114" s="36">
        <v>3731140006</v>
      </c>
      <c r="N114" s="739">
        <v>0</v>
      </c>
      <c r="O114" s="739">
        <v>0</v>
      </c>
      <c r="P114" s="739">
        <v>0</v>
      </c>
      <c r="Q114" s="739">
        <v>0</v>
      </c>
      <c r="R114" s="739">
        <v>0</v>
      </c>
      <c r="S114" s="36">
        <v>3731140006</v>
      </c>
      <c r="T114" s="36">
        <v>0</v>
      </c>
      <c r="U114" s="36">
        <v>3731140006</v>
      </c>
      <c r="V114" s="37">
        <v>0</v>
      </c>
      <c r="W114" s="36">
        <v>0</v>
      </c>
      <c r="X114" s="36">
        <v>0</v>
      </c>
      <c r="Y114" s="37">
        <v>0</v>
      </c>
      <c r="Z114" s="36">
        <v>0</v>
      </c>
      <c r="AA114" s="36">
        <v>0</v>
      </c>
      <c r="AB114" s="37">
        <v>0</v>
      </c>
    </row>
    <row r="115" spans="1:28" ht="24" customHeight="1">
      <c r="A115" s="32" t="e">
        <v>#REF!</v>
      </c>
      <c r="B115" s="38" t="s">
        <v>729</v>
      </c>
      <c r="C115" s="39" t="s">
        <v>162</v>
      </c>
      <c r="D115" s="39">
        <v>10</v>
      </c>
      <c r="E115" s="39"/>
      <c r="F115" s="39"/>
      <c r="G115" s="39"/>
      <c r="H115" s="39"/>
      <c r="I115" s="39"/>
      <c r="J115" s="39"/>
      <c r="K115" s="40"/>
      <c r="L115" s="38" t="s">
        <v>164</v>
      </c>
      <c r="M115" s="41">
        <v>3731140006</v>
      </c>
      <c r="N115" s="740">
        <v>0</v>
      </c>
      <c r="O115" s="740">
        <v>0</v>
      </c>
      <c r="P115" s="740">
        <v>0</v>
      </c>
      <c r="Q115" s="740">
        <v>0</v>
      </c>
      <c r="R115" s="740">
        <v>0</v>
      </c>
      <c r="S115" s="41">
        <v>3731140006</v>
      </c>
      <c r="T115" s="41">
        <v>0</v>
      </c>
      <c r="U115" s="41">
        <v>3731140006</v>
      </c>
      <c r="V115" s="42">
        <v>0</v>
      </c>
      <c r="W115" s="41">
        <v>0</v>
      </c>
      <c r="X115" s="41">
        <v>0</v>
      </c>
      <c r="Y115" s="42">
        <v>0</v>
      </c>
      <c r="Z115" s="41">
        <v>0</v>
      </c>
      <c r="AA115" s="41">
        <v>0</v>
      </c>
      <c r="AB115" s="42">
        <v>0</v>
      </c>
    </row>
    <row r="116" spans="1:28" ht="24" customHeight="1">
      <c r="A116" s="32" t="e">
        <v>#REF!</v>
      </c>
      <c r="B116" s="43" t="s">
        <v>730</v>
      </c>
      <c r="C116" s="44" t="s">
        <v>162</v>
      </c>
      <c r="D116" s="44">
        <v>10</v>
      </c>
      <c r="E116" s="44" t="s">
        <v>136</v>
      </c>
      <c r="F116" s="44"/>
      <c r="G116" s="44"/>
      <c r="H116" s="44"/>
      <c r="I116" s="44"/>
      <c r="J116" s="44"/>
      <c r="K116" s="45"/>
      <c r="L116" s="43" t="s">
        <v>165</v>
      </c>
      <c r="M116" s="46">
        <v>3731140006</v>
      </c>
      <c r="N116" s="741">
        <v>0</v>
      </c>
      <c r="O116" s="741">
        <v>0</v>
      </c>
      <c r="P116" s="741">
        <v>0</v>
      </c>
      <c r="Q116" s="741">
        <v>0</v>
      </c>
      <c r="R116" s="741">
        <v>0</v>
      </c>
      <c r="S116" s="46">
        <v>3731140006</v>
      </c>
      <c r="T116" s="46">
        <v>0</v>
      </c>
      <c r="U116" s="46">
        <v>3731140006</v>
      </c>
      <c r="V116" s="47">
        <v>0</v>
      </c>
      <c r="W116" s="46">
        <v>0</v>
      </c>
      <c r="X116" s="46">
        <v>0</v>
      </c>
      <c r="Y116" s="47">
        <v>0</v>
      </c>
      <c r="Z116" s="46">
        <v>0</v>
      </c>
      <c r="AA116" s="46">
        <v>0</v>
      </c>
      <c r="AB116" s="47">
        <v>0</v>
      </c>
    </row>
    <row r="117" spans="1:28" ht="24.95" customHeight="1">
      <c r="A117" s="32" t="e">
        <v>#REF!</v>
      </c>
      <c r="B117" s="56" t="s">
        <v>731</v>
      </c>
      <c r="C117" s="57" t="s">
        <v>162</v>
      </c>
      <c r="D117" s="57">
        <v>10</v>
      </c>
      <c r="E117" s="57" t="s">
        <v>136</v>
      </c>
      <c r="F117" s="57" t="s">
        <v>25</v>
      </c>
      <c r="G117" s="57"/>
      <c r="H117" s="57"/>
      <c r="I117" s="57"/>
      <c r="J117" s="57" t="s">
        <v>144</v>
      </c>
      <c r="K117" s="58" t="s">
        <v>29</v>
      </c>
      <c r="L117" s="59" t="s">
        <v>166</v>
      </c>
      <c r="M117" s="60">
        <v>3731140006</v>
      </c>
      <c r="N117" s="60"/>
      <c r="O117" s="60"/>
      <c r="P117" s="60"/>
      <c r="Q117" s="60"/>
      <c r="R117" s="61"/>
      <c r="S117" s="60">
        <v>3731140006</v>
      </c>
      <c r="T117" s="61">
        <v>0</v>
      </c>
      <c r="U117" s="60">
        <v>3731140006</v>
      </c>
      <c r="V117" s="62">
        <v>0</v>
      </c>
      <c r="W117" s="60">
        <v>0</v>
      </c>
      <c r="X117" s="60">
        <v>0</v>
      </c>
      <c r="Y117" s="62">
        <v>0</v>
      </c>
      <c r="Z117" s="60">
        <v>0</v>
      </c>
      <c r="AA117" s="60">
        <v>0</v>
      </c>
      <c r="AB117" s="62">
        <v>0</v>
      </c>
    </row>
    <row r="118" spans="1:28" ht="35.1" customHeight="1">
      <c r="A118" s="32" t="e">
        <v>#REF!</v>
      </c>
      <c r="B118" s="33" t="s">
        <v>167</v>
      </c>
      <c r="C118" s="34" t="s">
        <v>167</v>
      </c>
      <c r="D118" s="35"/>
      <c r="E118" s="35"/>
      <c r="F118" s="35"/>
      <c r="G118" s="35"/>
      <c r="H118" s="35"/>
      <c r="I118" s="35"/>
      <c r="J118" s="34"/>
      <c r="K118" s="35"/>
      <c r="L118" s="33" t="s">
        <v>168</v>
      </c>
      <c r="M118" s="36">
        <v>6468380211524</v>
      </c>
      <c r="N118" s="36">
        <v>0</v>
      </c>
      <c r="O118" s="739">
        <v>0</v>
      </c>
      <c r="P118" s="36">
        <v>34224730829.400002</v>
      </c>
      <c r="Q118" s="36">
        <v>34224730829.400002</v>
      </c>
      <c r="R118" s="739">
        <v>0</v>
      </c>
      <c r="S118" s="36">
        <v>6468380211524</v>
      </c>
      <c r="T118" s="36">
        <v>1967208977159.72</v>
      </c>
      <c r="U118" s="36">
        <v>4501171234364.2793</v>
      </c>
      <c r="V118" s="37">
        <v>0.30412698586501774</v>
      </c>
      <c r="W118" s="36">
        <v>1485386473223.75</v>
      </c>
      <c r="X118" s="36">
        <v>481822503935.96997</v>
      </c>
      <c r="Y118" s="37">
        <v>0.24492695465004999</v>
      </c>
      <c r="Z118" s="36">
        <v>1483625148907.6399</v>
      </c>
      <c r="AA118" s="36">
        <v>1761324316.1099958</v>
      </c>
      <c r="AB118" s="37">
        <v>0.75417770360610892</v>
      </c>
    </row>
    <row r="119" spans="1:28" ht="24" hidden="1" customHeight="1">
      <c r="A119" s="32" t="e">
        <v>#REF!</v>
      </c>
      <c r="B119" s="69" t="s">
        <v>437</v>
      </c>
      <c r="C119" s="70" t="s">
        <v>167</v>
      </c>
      <c r="D119" s="70">
        <v>4101</v>
      </c>
      <c r="E119" s="70"/>
      <c r="F119" s="70"/>
      <c r="G119" s="70"/>
      <c r="H119" s="70"/>
      <c r="I119" s="70"/>
      <c r="J119" s="70"/>
      <c r="K119" s="71"/>
      <c r="L119" s="69" t="s">
        <v>169</v>
      </c>
      <c r="M119" s="41">
        <v>0</v>
      </c>
      <c r="N119" s="41">
        <v>0</v>
      </c>
      <c r="O119" s="740">
        <v>0</v>
      </c>
      <c r="P119" s="41">
        <v>0</v>
      </c>
      <c r="Q119" s="41">
        <v>0</v>
      </c>
      <c r="R119" s="740">
        <v>0</v>
      </c>
      <c r="S119" s="41">
        <v>0</v>
      </c>
      <c r="T119" s="41">
        <v>0</v>
      </c>
      <c r="U119" s="41">
        <v>0</v>
      </c>
      <c r="V119" s="42">
        <v>0</v>
      </c>
      <c r="W119" s="41">
        <v>0</v>
      </c>
      <c r="X119" s="41">
        <v>0</v>
      </c>
      <c r="Y119" s="42">
        <v>0</v>
      </c>
      <c r="Z119" s="41">
        <v>0</v>
      </c>
      <c r="AA119" s="41">
        <v>0</v>
      </c>
      <c r="AB119" s="42">
        <v>0</v>
      </c>
    </row>
    <row r="120" spans="1:28" ht="24" hidden="1" customHeight="1">
      <c r="A120" s="32" t="e">
        <v>#REF!</v>
      </c>
      <c r="B120" s="72" t="s">
        <v>295</v>
      </c>
      <c r="C120" s="73" t="s">
        <v>167</v>
      </c>
      <c r="D120" s="73">
        <v>4101</v>
      </c>
      <c r="E120" s="73">
        <v>1500</v>
      </c>
      <c r="F120" s="73"/>
      <c r="G120" s="73"/>
      <c r="H120" s="73"/>
      <c r="I120" s="73"/>
      <c r="J120" s="73"/>
      <c r="K120" s="74"/>
      <c r="L120" s="72" t="s">
        <v>170</v>
      </c>
      <c r="M120" s="46"/>
      <c r="N120" s="46"/>
      <c r="O120" s="741"/>
      <c r="P120" s="46"/>
      <c r="Q120" s="46"/>
      <c r="R120" s="741"/>
      <c r="S120" s="46"/>
      <c r="T120" s="46"/>
      <c r="U120" s="46"/>
      <c r="V120" s="47">
        <v>0</v>
      </c>
      <c r="W120" s="46"/>
      <c r="X120" s="46"/>
      <c r="Y120" s="47">
        <v>0</v>
      </c>
      <c r="Z120" s="46"/>
      <c r="AA120" s="46"/>
      <c r="AB120" s="47">
        <v>0</v>
      </c>
    </row>
    <row r="121" spans="1:28" ht="60" hidden="1" customHeight="1">
      <c r="A121" s="32" t="e">
        <v>#REF!</v>
      </c>
      <c r="B121" s="75" t="s">
        <v>454</v>
      </c>
      <c r="C121" s="75" t="s">
        <v>167</v>
      </c>
      <c r="D121" s="75" t="s">
        <v>171</v>
      </c>
      <c r="E121" s="75" t="s">
        <v>172</v>
      </c>
      <c r="F121" s="75" t="s">
        <v>173</v>
      </c>
      <c r="G121" s="75"/>
      <c r="H121" s="75"/>
      <c r="I121" s="75"/>
      <c r="J121" s="76"/>
      <c r="K121" s="75"/>
      <c r="L121" s="75" t="s">
        <v>174</v>
      </c>
      <c r="M121" s="50">
        <v>0</v>
      </c>
      <c r="N121" s="50">
        <v>0</v>
      </c>
      <c r="O121" s="742">
        <v>0</v>
      </c>
      <c r="P121" s="50">
        <v>0</v>
      </c>
      <c r="Q121" s="50">
        <v>0</v>
      </c>
      <c r="R121" s="742">
        <v>0</v>
      </c>
      <c r="S121" s="50">
        <v>0</v>
      </c>
      <c r="T121" s="50">
        <v>0</v>
      </c>
      <c r="U121" s="50">
        <v>0</v>
      </c>
      <c r="V121" s="51">
        <v>0</v>
      </c>
      <c r="W121" s="50">
        <v>0</v>
      </c>
      <c r="X121" s="50">
        <v>0</v>
      </c>
      <c r="Y121" s="51">
        <v>0</v>
      </c>
      <c r="Z121" s="50">
        <v>0</v>
      </c>
      <c r="AA121" s="50">
        <v>0</v>
      </c>
      <c r="AB121" s="51">
        <v>0</v>
      </c>
    </row>
    <row r="122" spans="1:28" ht="24" hidden="1" customHeight="1">
      <c r="A122" s="32" t="e">
        <v>#REF!</v>
      </c>
      <c r="B122" s="77" t="s">
        <v>456</v>
      </c>
      <c r="C122" s="52" t="s">
        <v>167</v>
      </c>
      <c r="D122" s="52" t="s">
        <v>171</v>
      </c>
      <c r="E122" s="52" t="s">
        <v>172</v>
      </c>
      <c r="F122" s="52" t="s">
        <v>173</v>
      </c>
      <c r="G122" s="52" t="s">
        <v>175</v>
      </c>
      <c r="H122" s="52" t="s">
        <v>176</v>
      </c>
      <c r="I122" s="52"/>
      <c r="J122" s="53" t="s">
        <v>144</v>
      </c>
      <c r="K122" s="52" t="s">
        <v>29</v>
      </c>
      <c r="L122" s="77" t="s">
        <v>177</v>
      </c>
      <c r="M122" s="54">
        <v>0</v>
      </c>
      <c r="N122" s="54">
        <v>0</v>
      </c>
      <c r="O122" s="743">
        <v>0</v>
      </c>
      <c r="P122" s="54">
        <v>0</v>
      </c>
      <c r="Q122" s="54">
        <v>0</v>
      </c>
      <c r="R122" s="743">
        <v>0</v>
      </c>
      <c r="S122" s="54">
        <v>0</v>
      </c>
      <c r="T122" s="54">
        <v>0</v>
      </c>
      <c r="U122" s="54">
        <v>0</v>
      </c>
      <c r="V122" s="55">
        <v>0</v>
      </c>
      <c r="W122" s="54">
        <v>0</v>
      </c>
      <c r="X122" s="54">
        <v>0</v>
      </c>
      <c r="Y122" s="55">
        <v>0</v>
      </c>
      <c r="Z122" s="54">
        <v>0</v>
      </c>
      <c r="AA122" s="54">
        <v>0</v>
      </c>
      <c r="AB122" s="55">
        <v>0</v>
      </c>
    </row>
    <row r="123" spans="1:28" ht="24.95" hidden="1" customHeight="1">
      <c r="A123" s="32" t="e">
        <v>#REF!</v>
      </c>
      <c r="B123" s="78" t="s">
        <v>458</v>
      </c>
      <c r="C123" s="79" t="s">
        <v>167</v>
      </c>
      <c r="D123" s="79" t="s">
        <v>171</v>
      </c>
      <c r="E123" s="79" t="s">
        <v>172</v>
      </c>
      <c r="F123" s="79" t="s">
        <v>173</v>
      </c>
      <c r="G123" s="79" t="s">
        <v>175</v>
      </c>
      <c r="H123" s="79" t="s">
        <v>176</v>
      </c>
      <c r="I123" s="79" t="s">
        <v>54</v>
      </c>
      <c r="J123" s="79" t="s">
        <v>144</v>
      </c>
      <c r="K123" s="80" t="s">
        <v>29</v>
      </c>
      <c r="L123" s="59" t="s">
        <v>178</v>
      </c>
      <c r="M123" s="60"/>
      <c r="N123" s="60"/>
      <c r="O123" s="745"/>
      <c r="P123" s="60"/>
      <c r="Q123" s="60"/>
      <c r="R123" s="745"/>
      <c r="S123" s="60">
        <v>0</v>
      </c>
      <c r="T123" s="60"/>
      <c r="U123" s="60">
        <v>0</v>
      </c>
      <c r="V123" s="62">
        <v>0</v>
      </c>
      <c r="W123" s="60"/>
      <c r="X123" s="60">
        <v>0</v>
      </c>
      <c r="Y123" s="62">
        <v>0</v>
      </c>
      <c r="Z123" s="60"/>
      <c r="AA123" s="60">
        <v>0</v>
      </c>
      <c r="AB123" s="62">
        <v>0</v>
      </c>
    </row>
    <row r="124" spans="1:28" ht="33" hidden="1" customHeight="1">
      <c r="A124" s="32" t="e">
        <v>#REF!</v>
      </c>
      <c r="B124" s="77" t="s">
        <v>460</v>
      </c>
      <c r="C124" s="52" t="s">
        <v>167</v>
      </c>
      <c r="D124" s="52" t="s">
        <v>171</v>
      </c>
      <c r="E124" s="52" t="s">
        <v>172</v>
      </c>
      <c r="F124" s="52" t="s">
        <v>173</v>
      </c>
      <c r="G124" s="52" t="s">
        <v>175</v>
      </c>
      <c r="H124" s="52" t="s">
        <v>179</v>
      </c>
      <c r="I124" s="52"/>
      <c r="J124" s="53" t="s">
        <v>144</v>
      </c>
      <c r="K124" s="52" t="s">
        <v>29</v>
      </c>
      <c r="L124" s="77" t="s">
        <v>180</v>
      </c>
      <c r="M124" s="54">
        <v>0</v>
      </c>
      <c r="N124" s="54">
        <v>0</v>
      </c>
      <c r="O124" s="743">
        <v>0</v>
      </c>
      <c r="P124" s="54">
        <v>0</v>
      </c>
      <c r="Q124" s="54">
        <v>0</v>
      </c>
      <c r="R124" s="743">
        <v>0</v>
      </c>
      <c r="S124" s="54">
        <v>0</v>
      </c>
      <c r="T124" s="54">
        <v>0</v>
      </c>
      <c r="U124" s="54">
        <v>0</v>
      </c>
      <c r="V124" s="55">
        <v>0</v>
      </c>
      <c r="W124" s="54">
        <v>0</v>
      </c>
      <c r="X124" s="54">
        <v>0</v>
      </c>
      <c r="Y124" s="55">
        <v>0</v>
      </c>
      <c r="Z124" s="54">
        <v>0</v>
      </c>
      <c r="AA124" s="54">
        <v>0</v>
      </c>
      <c r="AB124" s="55">
        <v>0</v>
      </c>
    </row>
    <row r="125" spans="1:28" ht="24.95" hidden="1" customHeight="1">
      <c r="A125" s="32" t="e">
        <v>#REF!</v>
      </c>
      <c r="B125" s="78" t="s">
        <v>462</v>
      </c>
      <c r="C125" s="79" t="s">
        <v>167</v>
      </c>
      <c r="D125" s="79" t="s">
        <v>171</v>
      </c>
      <c r="E125" s="79" t="s">
        <v>172</v>
      </c>
      <c r="F125" s="79" t="s">
        <v>173</v>
      </c>
      <c r="G125" s="79" t="s">
        <v>175</v>
      </c>
      <c r="H125" s="79" t="s">
        <v>179</v>
      </c>
      <c r="I125" s="79" t="s">
        <v>54</v>
      </c>
      <c r="J125" s="79" t="s">
        <v>144</v>
      </c>
      <c r="K125" s="80" t="s">
        <v>29</v>
      </c>
      <c r="L125" s="59" t="s">
        <v>178</v>
      </c>
      <c r="M125" s="60"/>
      <c r="N125" s="60"/>
      <c r="O125" s="745"/>
      <c r="P125" s="60"/>
      <c r="Q125" s="60"/>
      <c r="R125" s="745"/>
      <c r="S125" s="60">
        <v>0</v>
      </c>
      <c r="T125" s="60"/>
      <c r="U125" s="60">
        <v>0</v>
      </c>
      <c r="V125" s="62">
        <v>0</v>
      </c>
      <c r="W125" s="60"/>
      <c r="X125" s="60">
        <v>0</v>
      </c>
      <c r="Y125" s="62">
        <v>0</v>
      </c>
      <c r="Z125" s="60"/>
      <c r="AA125" s="60">
        <v>0</v>
      </c>
      <c r="AB125" s="62">
        <v>0</v>
      </c>
    </row>
    <row r="126" spans="1:28" ht="43.5" hidden="1" customHeight="1">
      <c r="A126" s="32" t="e">
        <v>#REF!</v>
      </c>
      <c r="B126" s="77" t="s">
        <v>690</v>
      </c>
      <c r="C126" s="52" t="s">
        <v>167</v>
      </c>
      <c r="D126" s="52" t="s">
        <v>171</v>
      </c>
      <c r="E126" s="52" t="s">
        <v>172</v>
      </c>
      <c r="F126" s="52" t="s">
        <v>173</v>
      </c>
      <c r="G126" s="52" t="s">
        <v>175</v>
      </c>
      <c r="H126" s="52" t="s">
        <v>181</v>
      </c>
      <c r="I126" s="52"/>
      <c r="J126" s="53" t="s">
        <v>144</v>
      </c>
      <c r="K126" s="52" t="s">
        <v>29</v>
      </c>
      <c r="L126" s="77" t="s">
        <v>182</v>
      </c>
      <c r="M126" s="54">
        <v>0</v>
      </c>
      <c r="N126" s="54">
        <v>0</v>
      </c>
      <c r="O126" s="743">
        <v>0</v>
      </c>
      <c r="P126" s="54">
        <v>0</v>
      </c>
      <c r="Q126" s="54">
        <v>0</v>
      </c>
      <c r="R126" s="743">
        <v>0</v>
      </c>
      <c r="S126" s="54">
        <v>0</v>
      </c>
      <c r="T126" s="54">
        <v>0</v>
      </c>
      <c r="U126" s="54">
        <v>0</v>
      </c>
      <c r="V126" s="55">
        <v>0</v>
      </c>
      <c r="W126" s="54">
        <v>0</v>
      </c>
      <c r="X126" s="54">
        <v>0</v>
      </c>
      <c r="Y126" s="55">
        <v>0</v>
      </c>
      <c r="Z126" s="54">
        <v>0</v>
      </c>
      <c r="AA126" s="54">
        <v>0</v>
      </c>
      <c r="AB126" s="55">
        <v>0</v>
      </c>
    </row>
    <row r="127" spans="1:28" ht="24.95" hidden="1" customHeight="1">
      <c r="A127" s="32" t="e">
        <v>#REF!</v>
      </c>
      <c r="B127" s="78" t="s">
        <v>466</v>
      </c>
      <c r="C127" s="79" t="s">
        <v>167</v>
      </c>
      <c r="D127" s="79" t="s">
        <v>171</v>
      </c>
      <c r="E127" s="79" t="s">
        <v>172</v>
      </c>
      <c r="F127" s="79" t="s">
        <v>173</v>
      </c>
      <c r="G127" s="79" t="s">
        <v>175</v>
      </c>
      <c r="H127" s="79" t="s">
        <v>181</v>
      </c>
      <c r="I127" s="79" t="s">
        <v>54</v>
      </c>
      <c r="J127" s="79" t="s">
        <v>144</v>
      </c>
      <c r="K127" s="80" t="s">
        <v>29</v>
      </c>
      <c r="L127" s="59" t="s">
        <v>178</v>
      </c>
      <c r="M127" s="60"/>
      <c r="N127" s="60"/>
      <c r="O127" s="745"/>
      <c r="P127" s="60"/>
      <c r="Q127" s="60"/>
      <c r="R127" s="745"/>
      <c r="S127" s="60">
        <v>0</v>
      </c>
      <c r="T127" s="60"/>
      <c r="U127" s="60">
        <v>0</v>
      </c>
      <c r="V127" s="62">
        <v>0</v>
      </c>
      <c r="W127" s="60"/>
      <c r="X127" s="60">
        <v>0</v>
      </c>
      <c r="Y127" s="62">
        <v>0</v>
      </c>
      <c r="Z127" s="60"/>
      <c r="AA127" s="60">
        <v>0</v>
      </c>
      <c r="AB127" s="62">
        <v>0</v>
      </c>
    </row>
    <row r="128" spans="1:28" ht="45" hidden="1" customHeight="1">
      <c r="A128" s="32" t="e">
        <v>#REF!</v>
      </c>
      <c r="B128" s="77" t="s">
        <v>691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183</v>
      </c>
      <c r="I128" s="52"/>
      <c r="J128" s="53" t="s">
        <v>144</v>
      </c>
      <c r="K128" s="52" t="s">
        <v>29</v>
      </c>
      <c r="L128" s="77" t="s">
        <v>184</v>
      </c>
      <c r="M128" s="54">
        <v>0</v>
      </c>
      <c r="N128" s="54">
        <v>0</v>
      </c>
      <c r="O128" s="743">
        <v>0</v>
      </c>
      <c r="P128" s="54">
        <v>0</v>
      </c>
      <c r="Q128" s="54">
        <v>0</v>
      </c>
      <c r="R128" s="743">
        <v>0</v>
      </c>
      <c r="S128" s="54">
        <v>0</v>
      </c>
      <c r="T128" s="54">
        <v>0</v>
      </c>
      <c r="U128" s="54">
        <v>0</v>
      </c>
      <c r="V128" s="55">
        <v>0</v>
      </c>
      <c r="W128" s="54">
        <v>0</v>
      </c>
      <c r="X128" s="54">
        <v>0</v>
      </c>
      <c r="Y128" s="55">
        <v>0</v>
      </c>
      <c r="Z128" s="54">
        <v>0</v>
      </c>
      <c r="AA128" s="54">
        <v>0</v>
      </c>
      <c r="AB128" s="55">
        <v>0</v>
      </c>
    </row>
    <row r="129" spans="1:28" ht="24.95" hidden="1" customHeight="1">
      <c r="A129" s="32" t="e">
        <v>#REF!</v>
      </c>
      <c r="B129" s="78" t="s">
        <v>470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183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>
        <v>0</v>
      </c>
      <c r="N129" s="60"/>
      <c r="O129" s="745"/>
      <c r="P129" s="60"/>
      <c r="Q129" s="60"/>
      <c r="R129" s="745"/>
      <c r="S129" s="60">
        <v>0</v>
      </c>
      <c r="T129" s="60">
        <v>0</v>
      </c>
      <c r="U129" s="60">
        <v>0</v>
      </c>
      <c r="V129" s="62">
        <v>0</v>
      </c>
      <c r="W129" s="60">
        <v>0</v>
      </c>
      <c r="X129" s="60">
        <v>0</v>
      </c>
      <c r="Y129" s="62">
        <v>0</v>
      </c>
      <c r="Z129" s="60">
        <v>0</v>
      </c>
      <c r="AA129" s="60">
        <v>0</v>
      </c>
      <c r="AB129" s="62">
        <v>0</v>
      </c>
    </row>
    <row r="130" spans="1:28" ht="33.75" hidden="1" customHeight="1">
      <c r="A130" s="32" t="e">
        <v>#REF!</v>
      </c>
      <c r="B130" s="77" t="s">
        <v>472</v>
      </c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185</v>
      </c>
      <c r="I130" s="52"/>
      <c r="J130" s="53" t="s">
        <v>144</v>
      </c>
      <c r="K130" s="52" t="s">
        <v>29</v>
      </c>
      <c r="L130" s="77" t="s">
        <v>186</v>
      </c>
      <c r="M130" s="54">
        <v>0</v>
      </c>
      <c r="N130" s="54">
        <v>0</v>
      </c>
      <c r="O130" s="743">
        <v>0</v>
      </c>
      <c r="P130" s="54">
        <v>0</v>
      </c>
      <c r="Q130" s="54">
        <v>0</v>
      </c>
      <c r="R130" s="743">
        <v>0</v>
      </c>
      <c r="S130" s="54">
        <v>0</v>
      </c>
      <c r="T130" s="54">
        <v>0</v>
      </c>
      <c r="U130" s="54">
        <v>0</v>
      </c>
      <c r="V130" s="55">
        <v>0</v>
      </c>
      <c r="W130" s="54">
        <v>0</v>
      </c>
      <c r="X130" s="54">
        <v>0</v>
      </c>
      <c r="Y130" s="55">
        <v>0</v>
      </c>
      <c r="Z130" s="54">
        <v>0</v>
      </c>
      <c r="AA130" s="54">
        <v>0</v>
      </c>
      <c r="AB130" s="55">
        <v>0</v>
      </c>
    </row>
    <row r="131" spans="1:28" ht="24.95" hidden="1" customHeight="1">
      <c r="A131" s="32" t="e">
        <v>#REF!</v>
      </c>
      <c r="B131" s="78" t="s">
        <v>474</v>
      </c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185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/>
      <c r="N131" s="60"/>
      <c r="O131" s="745"/>
      <c r="P131" s="60"/>
      <c r="Q131" s="60"/>
      <c r="R131" s="745"/>
      <c r="S131" s="60">
        <v>0</v>
      </c>
      <c r="T131" s="60"/>
      <c r="U131" s="60">
        <v>0</v>
      </c>
      <c r="V131" s="62">
        <v>0</v>
      </c>
      <c r="W131" s="60"/>
      <c r="X131" s="60">
        <v>0</v>
      </c>
      <c r="Y131" s="62">
        <v>0</v>
      </c>
      <c r="Z131" s="60"/>
      <c r="AA131" s="60">
        <v>0</v>
      </c>
      <c r="AB131" s="62">
        <v>0</v>
      </c>
    </row>
    <row r="132" spans="1:28" ht="24" hidden="1" customHeight="1">
      <c r="A132" s="32" t="e">
        <v>#REF!</v>
      </c>
      <c r="B132" s="77"/>
      <c r="C132" s="52" t="s">
        <v>167</v>
      </c>
      <c r="D132" s="52" t="s">
        <v>171</v>
      </c>
      <c r="E132" s="52" t="s">
        <v>172</v>
      </c>
      <c r="F132" s="52" t="s">
        <v>173</v>
      </c>
      <c r="G132" s="52" t="s">
        <v>175</v>
      </c>
      <c r="H132" s="52" t="s">
        <v>187</v>
      </c>
      <c r="I132" s="52"/>
      <c r="J132" s="53" t="s">
        <v>144</v>
      </c>
      <c r="K132" s="52" t="s">
        <v>29</v>
      </c>
      <c r="L132" s="77" t="s">
        <v>188</v>
      </c>
      <c r="M132" s="54">
        <v>0</v>
      </c>
      <c r="N132" s="54">
        <v>0</v>
      </c>
      <c r="O132" s="743">
        <v>0</v>
      </c>
      <c r="P132" s="54">
        <v>0</v>
      </c>
      <c r="Q132" s="54">
        <v>0</v>
      </c>
      <c r="R132" s="743">
        <v>0</v>
      </c>
      <c r="S132" s="54">
        <v>0</v>
      </c>
      <c r="T132" s="54">
        <v>0</v>
      </c>
      <c r="U132" s="54">
        <v>0</v>
      </c>
      <c r="V132" s="55">
        <v>0</v>
      </c>
      <c r="W132" s="54">
        <v>0</v>
      </c>
      <c r="X132" s="54">
        <v>0</v>
      </c>
      <c r="Y132" s="55">
        <v>0</v>
      </c>
      <c r="Z132" s="54">
        <v>0</v>
      </c>
      <c r="AA132" s="54">
        <v>0</v>
      </c>
      <c r="AB132" s="55">
        <v>0</v>
      </c>
    </row>
    <row r="133" spans="1:28" ht="24.95" hidden="1" customHeight="1">
      <c r="A133" s="32" t="e">
        <v>#REF!</v>
      </c>
      <c r="B133" s="78"/>
      <c r="C133" s="79" t="s">
        <v>167</v>
      </c>
      <c r="D133" s="79" t="s">
        <v>171</v>
      </c>
      <c r="E133" s="79" t="s">
        <v>172</v>
      </c>
      <c r="F133" s="79" t="s">
        <v>173</v>
      </c>
      <c r="G133" s="79" t="s">
        <v>175</v>
      </c>
      <c r="H133" s="79" t="s">
        <v>187</v>
      </c>
      <c r="I133" s="79" t="s">
        <v>54</v>
      </c>
      <c r="J133" s="79" t="s">
        <v>144</v>
      </c>
      <c r="K133" s="80" t="s">
        <v>29</v>
      </c>
      <c r="L133" s="59" t="s">
        <v>178</v>
      </c>
      <c r="M133" s="60">
        <v>0</v>
      </c>
      <c r="N133" s="60"/>
      <c r="O133" s="745"/>
      <c r="P133" s="60"/>
      <c r="Q133" s="60"/>
      <c r="R133" s="745"/>
      <c r="S133" s="60">
        <v>0</v>
      </c>
      <c r="T133" s="60">
        <v>0</v>
      </c>
      <c r="U133" s="60">
        <v>0</v>
      </c>
      <c r="V133" s="62">
        <v>0</v>
      </c>
      <c r="W133" s="60">
        <v>0</v>
      </c>
      <c r="X133" s="60">
        <v>0</v>
      </c>
      <c r="Y133" s="62">
        <v>0</v>
      </c>
      <c r="Z133" s="60">
        <v>0</v>
      </c>
      <c r="AA133" s="60">
        <v>0</v>
      </c>
      <c r="AB133" s="62">
        <v>0</v>
      </c>
    </row>
    <row r="134" spans="1:28" ht="24.95" hidden="1" customHeight="1">
      <c r="A134" s="32" t="e">
        <v>#REF!</v>
      </c>
      <c r="B134" s="78"/>
      <c r="C134" s="79" t="s">
        <v>167</v>
      </c>
      <c r="D134" s="79" t="s">
        <v>171</v>
      </c>
      <c r="E134" s="79" t="s">
        <v>172</v>
      </c>
      <c r="F134" s="79" t="s">
        <v>173</v>
      </c>
      <c r="G134" s="79" t="s">
        <v>175</v>
      </c>
      <c r="H134" s="79" t="s">
        <v>187</v>
      </c>
      <c r="I134" s="79" t="s">
        <v>65</v>
      </c>
      <c r="J134" s="79" t="s">
        <v>144</v>
      </c>
      <c r="K134" s="80" t="s">
        <v>29</v>
      </c>
      <c r="L134" s="59" t="s">
        <v>127</v>
      </c>
      <c r="M134" s="60">
        <v>0</v>
      </c>
      <c r="N134" s="60"/>
      <c r="O134" s="745"/>
      <c r="P134" s="60"/>
      <c r="Q134" s="60"/>
      <c r="R134" s="745"/>
      <c r="S134" s="60">
        <v>0</v>
      </c>
      <c r="T134" s="60">
        <v>0</v>
      </c>
      <c r="U134" s="60">
        <v>0</v>
      </c>
      <c r="V134" s="62">
        <v>0</v>
      </c>
      <c r="W134" s="60">
        <v>0</v>
      </c>
      <c r="X134" s="60">
        <v>0</v>
      </c>
      <c r="Y134" s="62">
        <v>0</v>
      </c>
      <c r="Z134" s="60">
        <v>0</v>
      </c>
      <c r="AA134" s="60">
        <v>0</v>
      </c>
      <c r="AB134" s="62">
        <v>0</v>
      </c>
    </row>
    <row r="135" spans="1:28" ht="31.5" customHeight="1">
      <c r="A135" s="32" t="e">
        <v>#REF!</v>
      </c>
      <c r="B135" s="38" t="s">
        <v>482</v>
      </c>
      <c r="C135" s="39" t="s">
        <v>167</v>
      </c>
      <c r="D135" s="39">
        <v>4103</v>
      </c>
      <c r="E135" s="39"/>
      <c r="F135" s="39"/>
      <c r="G135" s="39"/>
      <c r="H135" s="39"/>
      <c r="I135" s="39"/>
      <c r="J135" s="39"/>
      <c r="K135" s="40"/>
      <c r="L135" s="38" t="s">
        <v>189</v>
      </c>
      <c r="M135" s="41">
        <v>6462380211524</v>
      </c>
      <c r="N135" s="41">
        <v>0</v>
      </c>
      <c r="O135" s="740">
        <v>0</v>
      </c>
      <c r="P135" s="41">
        <v>34224730829.400002</v>
      </c>
      <c r="Q135" s="41">
        <v>34224730829.400002</v>
      </c>
      <c r="R135" s="740">
        <v>0</v>
      </c>
      <c r="S135" s="41">
        <v>6462380211524</v>
      </c>
      <c r="T135" s="41">
        <v>1966554211751.72</v>
      </c>
      <c r="U135" s="41">
        <v>4495825999772.2793</v>
      </c>
      <c r="V135" s="42">
        <v>0.30430803316785265</v>
      </c>
      <c r="W135" s="41">
        <v>1485386473223.75</v>
      </c>
      <c r="X135" s="41">
        <v>481167738527.96997</v>
      </c>
      <c r="Y135" s="42">
        <v>0.24467555262530338</v>
      </c>
      <c r="Z135" s="41">
        <v>1483625148907.6399</v>
      </c>
      <c r="AA135" s="41">
        <v>1761324316.1099958</v>
      </c>
      <c r="AB135" s="42">
        <v>0.75442880752628316</v>
      </c>
    </row>
    <row r="136" spans="1:28" ht="24" customHeight="1">
      <c r="A136" s="32" t="e">
        <v>#REF!</v>
      </c>
      <c r="B136" s="43" t="s">
        <v>296</v>
      </c>
      <c r="C136" s="44" t="s">
        <v>167</v>
      </c>
      <c r="D136" s="44">
        <v>4103</v>
      </c>
      <c r="E136" s="44">
        <v>1500</v>
      </c>
      <c r="F136" s="44"/>
      <c r="G136" s="44"/>
      <c r="H136" s="44"/>
      <c r="I136" s="44"/>
      <c r="J136" s="44"/>
      <c r="K136" s="45"/>
      <c r="L136" s="43" t="s">
        <v>170</v>
      </c>
      <c r="M136" s="46">
        <v>6462380211524</v>
      </c>
      <c r="N136" s="46">
        <v>0</v>
      </c>
      <c r="O136" s="46">
        <v>0</v>
      </c>
      <c r="P136" s="46">
        <v>34224730829.400002</v>
      </c>
      <c r="Q136" s="46">
        <v>34224730829.400002</v>
      </c>
      <c r="R136" s="46">
        <v>0</v>
      </c>
      <c r="S136" s="46">
        <v>6462380211524</v>
      </c>
      <c r="T136" s="46">
        <v>1966554211751.72</v>
      </c>
      <c r="U136" s="46">
        <v>4495825999772.2793</v>
      </c>
      <c r="V136" s="47">
        <v>0.30430803316785265</v>
      </c>
      <c r="W136" s="46">
        <v>1485386473223.75</v>
      </c>
      <c r="X136" s="46">
        <v>481167738527.96997</v>
      </c>
      <c r="Y136" s="47">
        <v>0.24467555262530338</v>
      </c>
      <c r="Z136" s="46">
        <v>1483625148907.6399</v>
      </c>
      <c r="AA136" s="46">
        <v>1761324316.1099958</v>
      </c>
      <c r="AB136" s="47">
        <v>0.75442880752628316</v>
      </c>
    </row>
    <row r="137" spans="1:28" ht="37.5" customHeight="1">
      <c r="A137" s="32" t="e">
        <v>#REF!</v>
      </c>
      <c r="B137" s="48" t="s">
        <v>297</v>
      </c>
      <c r="C137" s="48" t="s">
        <v>167</v>
      </c>
      <c r="D137" s="48" t="s">
        <v>190</v>
      </c>
      <c r="E137" s="48" t="s">
        <v>172</v>
      </c>
      <c r="F137" s="48" t="s">
        <v>191</v>
      </c>
      <c r="G137" s="48"/>
      <c r="H137" s="48"/>
      <c r="I137" s="48"/>
      <c r="J137" s="49"/>
      <c r="K137" s="48"/>
      <c r="L137" s="48" t="s">
        <v>192</v>
      </c>
      <c r="M137" s="50">
        <v>2437607024958</v>
      </c>
      <c r="N137" s="50">
        <v>0</v>
      </c>
      <c r="O137" s="50">
        <v>0</v>
      </c>
      <c r="P137" s="50">
        <v>33924730829.400002</v>
      </c>
      <c r="Q137" s="50">
        <v>33924730829.400002</v>
      </c>
      <c r="R137" s="50">
        <v>0</v>
      </c>
      <c r="S137" s="50">
        <v>2437607024958</v>
      </c>
      <c r="T137" s="50">
        <v>1119978493211.2</v>
      </c>
      <c r="U137" s="50">
        <v>1317628531746.8</v>
      </c>
      <c r="V137" s="51">
        <v>0.45945818244862385</v>
      </c>
      <c r="W137" s="50">
        <v>1039436739842.6</v>
      </c>
      <c r="X137" s="50">
        <v>80541753368.599991</v>
      </c>
      <c r="Y137" s="51">
        <v>7.1913660714743588E-2</v>
      </c>
      <c r="Z137" s="50">
        <v>1039051239842.6</v>
      </c>
      <c r="AA137" s="50">
        <v>385500000</v>
      </c>
      <c r="AB137" s="51">
        <v>0.92774213624712965</v>
      </c>
    </row>
    <row r="138" spans="1:28" ht="27.75" customHeight="1">
      <c r="A138" s="32" t="e">
        <v>#REF!</v>
      </c>
      <c r="B138" s="52" t="s">
        <v>486</v>
      </c>
      <c r="C138" s="52" t="s">
        <v>167</v>
      </c>
      <c r="D138" s="52" t="s">
        <v>190</v>
      </c>
      <c r="E138" s="52" t="s">
        <v>172</v>
      </c>
      <c r="F138" s="52" t="s">
        <v>191</v>
      </c>
      <c r="G138" s="52" t="s">
        <v>175</v>
      </c>
      <c r="H138" s="52" t="s">
        <v>193</v>
      </c>
      <c r="I138" s="52"/>
      <c r="J138" s="53"/>
      <c r="K138" s="52"/>
      <c r="L138" s="52" t="s">
        <v>194</v>
      </c>
      <c r="M138" s="54">
        <v>2430621085885</v>
      </c>
      <c r="N138" s="54">
        <v>0</v>
      </c>
      <c r="O138" s="54">
        <v>0</v>
      </c>
      <c r="P138" s="54">
        <v>33924730829.400002</v>
      </c>
      <c r="Q138" s="54">
        <v>33924730829.400002</v>
      </c>
      <c r="R138" s="54">
        <v>0</v>
      </c>
      <c r="S138" s="54">
        <v>2430621085885</v>
      </c>
      <c r="T138" s="54">
        <v>1119978493211.2</v>
      </c>
      <c r="U138" s="54">
        <v>1310642592673.8</v>
      </c>
      <c r="V138" s="55">
        <v>0.46077872841435125</v>
      </c>
      <c r="W138" s="54">
        <v>1039436739842.6</v>
      </c>
      <c r="X138" s="54">
        <v>80541753368.599991</v>
      </c>
      <c r="Y138" s="55">
        <v>7.1913660714743588E-2</v>
      </c>
      <c r="Z138" s="54">
        <v>1039051239842.6</v>
      </c>
      <c r="AA138" s="54">
        <v>385500000</v>
      </c>
      <c r="AB138" s="55">
        <v>0.92774213624712965</v>
      </c>
    </row>
    <row r="139" spans="1:28" ht="24.95" customHeight="1">
      <c r="A139" s="32" t="e">
        <v>#REF!</v>
      </c>
      <c r="B139" s="56" t="s">
        <v>488</v>
      </c>
      <c r="C139" s="57" t="s">
        <v>167</v>
      </c>
      <c r="D139" s="57" t="s">
        <v>190</v>
      </c>
      <c r="E139" s="57" t="s">
        <v>172</v>
      </c>
      <c r="F139" s="57" t="s">
        <v>191</v>
      </c>
      <c r="G139" s="57" t="s">
        <v>175</v>
      </c>
      <c r="H139" s="57" t="s">
        <v>193</v>
      </c>
      <c r="I139" s="57" t="s">
        <v>54</v>
      </c>
      <c r="J139" s="57">
        <v>10</v>
      </c>
      <c r="K139" s="58" t="s">
        <v>29</v>
      </c>
      <c r="L139" s="59" t="s">
        <v>178</v>
      </c>
      <c r="M139" s="60">
        <v>83108753174</v>
      </c>
      <c r="N139" s="60"/>
      <c r="O139" s="60"/>
      <c r="P139" s="60">
        <v>33924730829.400002</v>
      </c>
      <c r="Q139" s="60"/>
      <c r="R139" s="61"/>
      <c r="S139" s="81">
        <v>117033484003.39999</v>
      </c>
      <c r="T139" s="60">
        <v>88804300961.199997</v>
      </c>
      <c r="U139" s="60">
        <v>28229183042.199997</v>
      </c>
      <c r="V139" s="62">
        <v>0.75879396155223489</v>
      </c>
      <c r="W139" s="60">
        <v>9091439292.6000004</v>
      </c>
      <c r="X139" s="60">
        <v>79712861668.599991</v>
      </c>
      <c r="Y139" s="62">
        <v>0.8976238853952333</v>
      </c>
      <c r="Z139" s="60">
        <v>8705939292.6000004</v>
      </c>
      <c r="AA139" s="60">
        <v>385500000</v>
      </c>
      <c r="AB139" s="62">
        <v>9.8035108641908716E-2</v>
      </c>
    </row>
    <row r="140" spans="1:28" ht="24.95" customHeight="1">
      <c r="A140" s="32" t="e">
        <v>#REF!</v>
      </c>
      <c r="B140" s="56" t="s">
        <v>491</v>
      </c>
      <c r="C140" s="57" t="s">
        <v>167</v>
      </c>
      <c r="D140" s="57" t="s">
        <v>190</v>
      </c>
      <c r="E140" s="57" t="s">
        <v>172</v>
      </c>
      <c r="F140" s="57" t="s">
        <v>191</v>
      </c>
      <c r="G140" s="57" t="s">
        <v>175</v>
      </c>
      <c r="H140" s="57" t="s">
        <v>193</v>
      </c>
      <c r="I140" s="57" t="s">
        <v>65</v>
      </c>
      <c r="J140" s="57">
        <v>10</v>
      </c>
      <c r="K140" s="58" t="s">
        <v>29</v>
      </c>
      <c r="L140" s="59" t="s">
        <v>127</v>
      </c>
      <c r="M140" s="60">
        <v>2347512332711</v>
      </c>
      <c r="N140" s="60"/>
      <c r="O140" s="60"/>
      <c r="P140" s="81"/>
      <c r="Q140" s="60">
        <v>33924730829.400002</v>
      </c>
      <c r="R140" s="61"/>
      <c r="S140" s="81">
        <v>2313587601881.6001</v>
      </c>
      <c r="T140" s="60">
        <v>1031174192250</v>
      </c>
      <c r="U140" s="60">
        <v>1282413409631.6001</v>
      </c>
      <c r="V140" s="62">
        <v>0.44570354345405561</v>
      </c>
      <c r="W140" s="60">
        <v>1030345300550</v>
      </c>
      <c r="X140" s="60">
        <v>828891700</v>
      </c>
      <c r="Y140" s="62">
        <v>8.038328598889544E-4</v>
      </c>
      <c r="Z140" s="60">
        <v>1030345300550</v>
      </c>
      <c r="AA140" s="60">
        <v>0</v>
      </c>
      <c r="AB140" s="62">
        <v>0.99919616714011106</v>
      </c>
    </row>
    <row r="141" spans="1:28" ht="28.5" customHeight="1">
      <c r="A141" s="32" t="e">
        <v>#REF!</v>
      </c>
      <c r="B141" s="52" t="s">
        <v>494</v>
      </c>
      <c r="C141" s="52" t="s">
        <v>167</v>
      </c>
      <c r="D141" s="52" t="s">
        <v>190</v>
      </c>
      <c r="E141" s="52" t="s">
        <v>172</v>
      </c>
      <c r="F141" s="52" t="s">
        <v>191</v>
      </c>
      <c r="G141" s="52" t="s">
        <v>175</v>
      </c>
      <c r="H141" s="52">
        <v>4103009</v>
      </c>
      <c r="I141" s="52"/>
      <c r="J141" s="53"/>
      <c r="K141" s="52" t="s">
        <v>29</v>
      </c>
      <c r="L141" s="52" t="s">
        <v>195</v>
      </c>
      <c r="M141" s="54">
        <v>6385939073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6385939073</v>
      </c>
      <c r="T141" s="54">
        <v>0</v>
      </c>
      <c r="U141" s="54">
        <v>6385939073</v>
      </c>
      <c r="V141" s="55">
        <v>0</v>
      </c>
      <c r="W141" s="54">
        <v>0</v>
      </c>
      <c r="X141" s="54">
        <v>0</v>
      </c>
      <c r="Y141" s="55">
        <v>0</v>
      </c>
      <c r="Z141" s="54">
        <v>0</v>
      </c>
      <c r="AA141" s="54">
        <v>0</v>
      </c>
      <c r="AB141" s="55">
        <v>0</v>
      </c>
    </row>
    <row r="142" spans="1:28" ht="24.95" customHeight="1">
      <c r="A142" s="32" t="e">
        <v>#REF!</v>
      </c>
      <c r="B142" s="56" t="s">
        <v>496</v>
      </c>
      <c r="C142" s="57" t="s">
        <v>167</v>
      </c>
      <c r="D142" s="57" t="s">
        <v>190</v>
      </c>
      <c r="E142" s="57" t="s">
        <v>172</v>
      </c>
      <c r="F142" s="57" t="s">
        <v>191</v>
      </c>
      <c r="G142" s="57" t="s">
        <v>175</v>
      </c>
      <c r="H142" s="57">
        <v>4103009</v>
      </c>
      <c r="I142" s="57" t="s">
        <v>54</v>
      </c>
      <c r="J142" s="57">
        <v>10</v>
      </c>
      <c r="K142" s="58" t="s">
        <v>29</v>
      </c>
      <c r="L142" s="59" t="s">
        <v>178</v>
      </c>
      <c r="M142" s="60">
        <v>6385939073</v>
      </c>
      <c r="N142" s="60"/>
      <c r="O142" s="60"/>
      <c r="P142" s="60"/>
      <c r="Q142" s="60"/>
      <c r="R142" s="61"/>
      <c r="S142" s="81">
        <v>6385939073</v>
      </c>
      <c r="T142" s="60">
        <v>0</v>
      </c>
      <c r="U142" s="60">
        <v>6385939073</v>
      </c>
      <c r="V142" s="62">
        <v>0</v>
      </c>
      <c r="W142" s="60">
        <v>0</v>
      </c>
      <c r="X142" s="60">
        <v>0</v>
      </c>
      <c r="Y142" s="62">
        <v>0</v>
      </c>
      <c r="Z142" s="60">
        <v>0</v>
      </c>
      <c r="AA142" s="60">
        <v>0</v>
      </c>
      <c r="AB142" s="62">
        <v>0</v>
      </c>
    </row>
    <row r="143" spans="1:28" ht="27.75" customHeight="1">
      <c r="A143" s="32" t="e">
        <v>#REF!</v>
      </c>
      <c r="B143" s="52" t="s">
        <v>497</v>
      </c>
      <c r="C143" s="52" t="s">
        <v>167</v>
      </c>
      <c r="D143" s="52" t="s">
        <v>190</v>
      </c>
      <c r="E143" s="52" t="s">
        <v>172</v>
      </c>
      <c r="F143" s="52" t="s">
        <v>191</v>
      </c>
      <c r="G143" s="52" t="s">
        <v>175</v>
      </c>
      <c r="H143" s="52">
        <v>4103047</v>
      </c>
      <c r="I143" s="52"/>
      <c r="J143" s="53"/>
      <c r="K143" s="52" t="s">
        <v>29</v>
      </c>
      <c r="L143" s="52" t="s">
        <v>195</v>
      </c>
      <c r="M143" s="54">
        <v>600000000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600000000</v>
      </c>
      <c r="T143" s="54">
        <v>0</v>
      </c>
      <c r="U143" s="54">
        <v>600000000</v>
      </c>
      <c r="V143" s="55">
        <v>0</v>
      </c>
      <c r="W143" s="54">
        <v>0</v>
      </c>
      <c r="X143" s="54">
        <v>0</v>
      </c>
      <c r="Y143" s="55">
        <v>0</v>
      </c>
      <c r="Z143" s="54">
        <v>0</v>
      </c>
      <c r="AA143" s="54">
        <v>0</v>
      </c>
      <c r="AB143" s="55">
        <v>0</v>
      </c>
    </row>
    <row r="144" spans="1:28" ht="24.95" customHeight="1">
      <c r="A144" s="32" t="e">
        <v>#REF!</v>
      </c>
      <c r="B144" s="56" t="s">
        <v>498</v>
      </c>
      <c r="C144" s="57" t="s">
        <v>167</v>
      </c>
      <c r="D144" s="57" t="s">
        <v>190</v>
      </c>
      <c r="E144" s="57" t="s">
        <v>172</v>
      </c>
      <c r="F144" s="57" t="s">
        <v>191</v>
      </c>
      <c r="G144" s="57" t="s">
        <v>175</v>
      </c>
      <c r="H144" s="57">
        <v>4103047</v>
      </c>
      <c r="I144" s="57" t="s">
        <v>54</v>
      </c>
      <c r="J144" s="57">
        <v>10</v>
      </c>
      <c r="K144" s="58" t="s">
        <v>29</v>
      </c>
      <c r="L144" s="59" t="s">
        <v>178</v>
      </c>
      <c r="M144" s="60">
        <v>600000000</v>
      </c>
      <c r="N144" s="60"/>
      <c r="O144" s="60"/>
      <c r="P144" s="60"/>
      <c r="Q144" s="60"/>
      <c r="R144" s="61"/>
      <c r="S144" s="60">
        <v>600000000</v>
      </c>
      <c r="T144" s="60">
        <v>0</v>
      </c>
      <c r="U144" s="60">
        <v>600000000</v>
      </c>
      <c r="V144" s="62">
        <v>0</v>
      </c>
      <c r="W144" s="60">
        <v>0</v>
      </c>
      <c r="X144" s="60">
        <v>0</v>
      </c>
      <c r="Y144" s="62">
        <v>0</v>
      </c>
      <c r="Z144" s="60">
        <v>0</v>
      </c>
      <c r="AA144" s="60">
        <v>0</v>
      </c>
      <c r="AB144" s="62">
        <v>0</v>
      </c>
    </row>
    <row r="145" spans="1:28" ht="42" customHeight="1">
      <c r="A145" s="32" t="e">
        <v>#REF!</v>
      </c>
      <c r="B145" s="48" t="s">
        <v>298</v>
      </c>
      <c r="C145" s="48" t="s">
        <v>167</v>
      </c>
      <c r="D145" s="48" t="s">
        <v>190</v>
      </c>
      <c r="E145" s="48" t="s">
        <v>172</v>
      </c>
      <c r="F145" s="48" t="s">
        <v>22</v>
      </c>
      <c r="G145" s="48"/>
      <c r="H145" s="48"/>
      <c r="I145" s="48"/>
      <c r="J145" s="49"/>
      <c r="K145" s="48"/>
      <c r="L145" s="48" t="s">
        <v>196</v>
      </c>
      <c r="M145" s="50">
        <v>40000000000</v>
      </c>
      <c r="N145" s="50">
        <v>0</v>
      </c>
      <c r="O145" s="50">
        <v>0</v>
      </c>
      <c r="P145" s="50">
        <v>300000000</v>
      </c>
      <c r="Q145" s="50">
        <v>300000000</v>
      </c>
      <c r="R145" s="50">
        <v>0</v>
      </c>
      <c r="S145" s="50">
        <v>40000000000</v>
      </c>
      <c r="T145" s="50">
        <v>8495401516</v>
      </c>
      <c r="U145" s="50">
        <v>31504598484</v>
      </c>
      <c r="V145" s="51">
        <v>0.21238503789999999</v>
      </c>
      <c r="W145" s="50">
        <v>270065051</v>
      </c>
      <c r="X145" s="50">
        <v>8225336465</v>
      </c>
      <c r="Y145" s="51">
        <v>0.9682104429683086</v>
      </c>
      <c r="Z145" s="50">
        <v>234365051</v>
      </c>
      <c r="AA145" s="50">
        <v>35700000</v>
      </c>
      <c r="AB145" s="51">
        <v>2.7587283609680303E-2</v>
      </c>
    </row>
    <row r="146" spans="1:28" ht="27.75" customHeight="1">
      <c r="A146" s="32" t="e">
        <v>#REF!</v>
      </c>
      <c r="B146" s="52" t="s">
        <v>500</v>
      </c>
      <c r="C146" s="52" t="s">
        <v>167</v>
      </c>
      <c r="D146" s="52" t="s">
        <v>190</v>
      </c>
      <c r="E146" s="52" t="s">
        <v>172</v>
      </c>
      <c r="F146" s="52" t="s">
        <v>22</v>
      </c>
      <c r="G146" s="52" t="s">
        <v>175</v>
      </c>
      <c r="H146" s="52" t="s">
        <v>197</v>
      </c>
      <c r="I146" s="52"/>
      <c r="J146" s="53"/>
      <c r="K146" s="52" t="s">
        <v>29</v>
      </c>
      <c r="L146" s="52" t="s">
        <v>198</v>
      </c>
      <c r="M146" s="54">
        <v>2721167612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2721167612</v>
      </c>
      <c r="T146" s="54">
        <v>221895258</v>
      </c>
      <c r="U146" s="54">
        <v>2499272354</v>
      </c>
      <c r="V146" s="55">
        <v>8.1544134591882686E-2</v>
      </c>
      <c r="W146" s="54">
        <v>0</v>
      </c>
      <c r="X146" s="54">
        <v>221895258</v>
      </c>
      <c r="Y146" s="55">
        <v>1</v>
      </c>
      <c r="Z146" s="54">
        <v>0</v>
      </c>
      <c r="AA146" s="54">
        <v>0</v>
      </c>
      <c r="AB146" s="55">
        <v>0</v>
      </c>
    </row>
    <row r="147" spans="1:28" ht="24.95" customHeight="1">
      <c r="A147" s="32" t="e">
        <v>#REF!</v>
      </c>
      <c r="B147" s="56" t="s">
        <v>501</v>
      </c>
      <c r="C147" s="57" t="s">
        <v>167</v>
      </c>
      <c r="D147" s="57" t="s">
        <v>190</v>
      </c>
      <c r="E147" s="57" t="s">
        <v>172</v>
      </c>
      <c r="F147" s="57" t="s">
        <v>22</v>
      </c>
      <c r="G147" s="57" t="s">
        <v>175</v>
      </c>
      <c r="H147" s="57" t="s">
        <v>197</v>
      </c>
      <c r="I147" s="57" t="s">
        <v>54</v>
      </c>
      <c r="J147" s="57">
        <v>11</v>
      </c>
      <c r="K147" s="58" t="s">
        <v>29</v>
      </c>
      <c r="L147" s="59" t="s">
        <v>178</v>
      </c>
      <c r="M147" s="60">
        <v>2721167612</v>
      </c>
      <c r="N147" s="60"/>
      <c r="O147" s="60"/>
      <c r="P147" s="60"/>
      <c r="Q147" s="60">
        <v>0</v>
      </c>
      <c r="R147" s="61">
        <v>0</v>
      </c>
      <c r="S147" s="81">
        <v>2721167612</v>
      </c>
      <c r="T147" s="60">
        <v>221895258</v>
      </c>
      <c r="U147" s="60">
        <v>2499272354</v>
      </c>
      <c r="V147" s="62">
        <v>8.1544134591882686E-2</v>
      </c>
      <c r="W147" s="60">
        <v>0</v>
      </c>
      <c r="X147" s="60">
        <v>221895258</v>
      </c>
      <c r="Y147" s="62">
        <v>1</v>
      </c>
      <c r="Z147" s="60">
        <v>0</v>
      </c>
      <c r="AA147" s="60">
        <v>0</v>
      </c>
      <c r="AB147" s="62">
        <v>0</v>
      </c>
    </row>
    <row r="148" spans="1:28" ht="27.75" customHeight="1">
      <c r="A148" s="32" t="e">
        <v>#REF!</v>
      </c>
      <c r="B148" s="52" t="s">
        <v>502</v>
      </c>
      <c r="C148" s="52" t="s">
        <v>167</v>
      </c>
      <c r="D148" s="52" t="s">
        <v>190</v>
      </c>
      <c r="E148" s="52" t="s">
        <v>172</v>
      </c>
      <c r="F148" s="52" t="s">
        <v>22</v>
      </c>
      <c r="G148" s="52" t="s">
        <v>175</v>
      </c>
      <c r="H148" s="52" t="s">
        <v>199</v>
      </c>
      <c r="I148" s="52"/>
      <c r="J148" s="53"/>
      <c r="K148" s="52" t="s">
        <v>29</v>
      </c>
      <c r="L148" s="52" t="s">
        <v>200</v>
      </c>
      <c r="M148" s="54">
        <v>2097587400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2097587400</v>
      </c>
      <c r="T148" s="54">
        <v>295860342</v>
      </c>
      <c r="U148" s="54">
        <v>1801727058</v>
      </c>
      <c r="V148" s="55">
        <v>0.14104792105444569</v>
      </c>
      <c r="W148" s="54">
        <v>0</v>
      </c>
      <c r="X148" s="54">
        <v>295860342</v>
      </c>
      <c r="Y148" s="55">
        <v>1</v>
      </c>
      <c r="Z148" s="54">
        <v>0</v>
      </c>
      <c r="AA148" s="54">
        <v>0</v>
      </c>
      <c r="AB148" s="55">
        <v>0</v>
      </c>
    </row>
    <row r="149" spans="1:28" ht="24.95" customHeight="1">
      <c r="A149" s="32" t="e">
        <v>#REF!</v>
      </c>
      <c r="B149" s="56" t="s">
        <v>503</v>
      </c>
      <c r="C149" s="57" t="s">
        <v>167</v>
      </c>
      <c r="D149" s="57" t="s">
        <v>190</v>
      </c>
      <c r="E149" s="57" t="s">
        <v>172</v>
      </c>
      <c r="F149" s="57" t="s">
        <v>22</v>
      </c>
      <c r="G149" s="57" t="s">
        <v>175</v>
      </c>
      <c r="H149" s="57" t="s">
        <v>199</v>
      </c>
      <c r="I149" s="57" t="s">
        <v>54</v>
      </c>
      <c r="J149" s="57">
        <v>11</v>
      </c>
      <c r="K149" s="58" t="s">
        <v>29</v>
      </c>
      <c r="L149" s="59" t="s">
        <v>178</v>
      </c>
      <c r="M149" s="60">
        <v>2097587400</v>
      </c>
      <c r="N149" s="60"/>
      <c r="O149" s="60"/>
      <c r="P149" s="60"/>
      <c r="Q149" s="61"/>
      <c r="R149" s="61">
        <v>0</v>
      </c>
      <c r="S149" s="60">
        <v>2097587400</v>
      </c>
      <c r="T149" s="60">
        <v>295860342</v>
      </c>
      <c r="U149" s="60">
        <v>1801727058</v>
      </c>
      <c r="V149" s="62">
        <v>0.14104792105444569</v>
      </c>
      <c r="W149" s="60">
        <v>0</v>
      </c>
      <c r="X149" s="60">
        <v>295860342</v>
      </c>
      <c r="Y149" s="62">
        <v>1</v>
      </c>
      <c r="Z149" s="60">
        <v>0</v>
      </c>
      <c r="AA149" s="60">
        <v>0</v>
      </c>
      <c r="AB149" s="62">
        <v>0</v>
      </c>
    </row>
    <row r="150" spans="1:28" ht="43.5" customHeight="1">
      <c r="A150" s="32" t="e">
        <v>#REF!</v>
      </c>
      <c r="B150" s="52" t="s">
        <v>504</v>
      </c>
      <c r="C150" s="52" t="s">
        <v>167</v>
      </c>
      <c r="D150" s="52" t="s">
        <v>190</v>
      </c>
      <c r="E150" s="52" t="s">
        <v>172</v>
      </c>
      <c r="F150" s="52" t="s">
        <v>22</v>
      </c>
      <c r="G150" s="52" t="s">
        <v>175</v>
      </c>
      <c r="H150" s="52" t="s">
        <v>201</v>
      </c>
      <c r="I150" s="52"/>
      <c r="J150" s="53"/>
      <c r="K150" s="52" t="s">
        <v>29</v>
      </c>
      <c r="L150" s="52" t="s">
        <v>202</v>
      </c>
      <c r="M150" s="54">
        <v>2265502874</v>
      </c>
      <c r="N150" s="54">
        <v>0</v>
      </c>
      <c r="O150" s="54">
        <v>0</v>
      </c>
      <c r="P150" s="54">
        <v>300000000</v>
      </c>
      <c r="Q150" s="54">
        <v>0</v>
      </c>
      <c r="R150" s="54">
        <v>0</v>
      </c>
      <c r="S150" s="54">
        <v>2565502874</v>
      </c>
      <c r="T150" s="54">
        <v>947943819</v>
      </c>
      <c r="U150" s="54">
        <v>1617559055</v>
      </c>
      <c r="V150" s="55">
        <v>0.36949629977300114</v>
      </c>
      <c r="W150" s="54">
        <v>270065051</v>
      </c>
      <c r="X150" s="54">
        <v>677878768</v>
      </c>
      <c r="Y150" s="55">
        <v>0.71510437054709042</v>
      </c>
      <c r="Z150" s="54">
        <v>234365051</v>
      </c>
      <c r="AA150" s="54">
        <v>35700000</v>
      </c>
      <c r="AB150" s="55">
        <v>0.24723516974585599</v>
      </c>
    </row>
    <row r="151" spans="1:28" ht="24.95" customHeight="1">
      <c r="A151" s="32" t="e">
        <v>#REF!</v>
      </c>
      <c r="B151" s="56" t="s">
        <v>505</v>
      </c>
      <c r="C151" s="57" t="s">
        <v>167</v>
      </c>
      <c r="D151" s="57" t="s">
        <v>190</v>
      </c>
      <c r="E151" s="57" t="s">
        <v>172</v>
      </c>
      <c r="F151" s="57" t="s">
        <v>22</v>
      </c>
      <c r="G151" s="57" t="s">
        <v>175</v>
      </c>
      <c r="H151" s="57" t="s">
        <v>201</v>
      </c>
      <c r="I151" s="57" t="s">
        <v>54</v>
      </c>
      <c r="J151" s="57">
        <v>11</v>
      </c>
      <c r="K151" s="58" t="s">
        <v>29</v>
      </c>
      <c r="L151" s="59" t="s">
        <v>178</v>
      </c>
      <c r="M151" s="60">
        <v>2265502874</v>
      </c>
      <c r="N151" s="60"/>
      <c r="O151" s="60"/>
      <c r="P151" s="60">
        <v>300000000</v>
      </c>
      <c r="Q151" s="60"/>
      <c r="R151" s="61">
        <v>0</v>
      </c>
      <c r="S151" s="60">
        <v>2565502874</v>
      </c>
      <c r="T151" s="60">
        <v>947943819</v>
      </c>
      <c r="U151" s="60">
        <v>1617559055</v>
      </c>
      <c r="V151" s="62">
        <v>0.36949629977300114</v>
      </c>
      <c r="W151" s="60">
        <v>270065051</v>
      </c>
      <c r="X151" s="60">
        <v>677878768</v>
      </c>
      <c r="Y151" s="62">
        <v>0.71510437054709042</v>
      </c>
      <c r="Z151" s="60">
        <v>234365051</v>
      </c>
      <c r="AA151" s="60">
        <v>35700000</v>
      </c>
      <c r="AB151" s="62">
        <v>0.24723516974585599</v>
      </c>
    </row>
    <row r="152" spans="1:28" ht="44.25" customHeight="1">
      <c r="A152" s="32" t="e">
        <v>#REF!</v>
      </c>
      <c r="B152" s="52" t="s">
        <v>506</v>
      </c>
      <c r="C152" s="52" t="s">
        <v>167</v>
      </c>
      <c r="D152" s="52" t="s">
        <v>190</v>
      </c>
      <c r="E152" s="52" t="s">
        <v>172</v>
      </c>
      <c r="F152" s="52" t="s">
        <v>22</v>
      </c>
      <c r="G152" s="52" t="s">
        <v>175</v>
      </c>
      <c r="H152" s="52" t="s">
        <v>203</v>
      </c>
      <c r="I152" s="52"/>
      <c r="J152" s="53"/>
      <c r="K152" s="52" t="s">
        <v>29</v>
      </c>
      <c r="L152" s="52" t="s">
        <v>204</v>
      </c>
      <c r="M152" s="54">
        <v>32915742114</v>
      </c>
      <c r="N152" s="54">
        <v>0</v>
      </c>
      <c r="O152" s="54">
        <v>0</v>
      </c>
      <c r="P152" s="54">
        <v>0</v>
      </c>
      <c r="Q152" s="54">
        <v>300000000</v>
      </c>
      <c r="R152" s="54">
        <v>0</v>
      </c>
      <c r="S152" s="54">
        <v>32615742114</v>
      </c>
      <c r="T152" s="54">
        <v>7029702097</v>
      </c>
      <c r="U152" s="54">
        <v>25586040017</v>
      </c>
      <c r="V152" s="55">
        <v>0.21553095656782761</v>
      </c>
      <c r="W152" s="54">
        <v>0</v>
      </c>
      <c r="X152" s="54">
        <v>7029702097</v>
      </c>
      <c r="Y152" s="55">
        <v>1</v>
      </c>
      <c r="Z152" s="54">
        <v>0</v>
      </c>
      <c r="AA152" s="54">
        <v>0</v>
      </c>
      <c r="AB152" s="55">
        <v>0</v>
      </c>
    </row>
    <row r="153" spans="1:28" ht="24.95" customHeight="1">
      <c r="A153" s="32" t="e">
        <v>#REF!</v>
      </c>
      <c r="B153" s="56" t="s">
        <v>507</v>
      </c>
      <c r="C153" s="57" t="s">
        <v>167</v>
      </c>
      <c r="D153" s="57" t="s">
        <v>190</v>
      </c>
      <c r="E153" s="57" t="s">
        <v>172</v>
      </c>
      <c r="F153" s="57" t="s">
        <v>22</v>
      </c>
      <c r="G153" s="57" t="s">
        <v>175</v>
      </c>
      <c r="H153" s="57" t="s">
        <v>203</v>
      </c>
      <c r="I153" s="57" t="s">
        <v>54</v>
      </c>
      <c r="J153" s="57">
        <v>11</v>
      </c>
      <c r="K153" s="58" t="s">
        <v>29</v>
      </c>
      <c r="L153" s="59" t="s">
        <v>178</v>
      </c>
      <c r="M153" s="60">
        <v>32915742114</v>
      </c>
      <c r="N153" s="60"/>
      <c r="O153" s="60"/>
      <c r="P153" s="60"/>
      <c r="Q153" s="60">
        <v>300000000</v>
      </c>
      <c r="R153" s="61">
        <v>0</v>
      </c>
      <c r="S153" s="60">
        <v>32615742114</v>
      </c>
      <c r="T153" s="60">
        <v>7029702097</v>
      </c>
      <c r="U153" s="60">
        <v>25586040017</v>
      </c>
      <c r="V153" s="62">
        <v>0.21553095656782761</v>
      </c>
      <c r="W153" s="60">
        <v>0</v>
      </c>
      <c r="X153" s="60">
        <v>7029702097</v>
      </c>
      <c r="Y153" s="62">
        <v>1</v>
      </c>
      <c r="Z153" s="60">
        <v>0</v>
      </c>
      <c r="AA153" s="60">
        <v>0</v>
      </c>
      <c r="AB153" s="62">
        <v>0</v>
      </c>
    </row>
    <row r="154" spans="1:28" ht="45.75" customHeight="1">
      <c r="A154" s="32" t="e">
        <v>#REF!</v>
      </c>
      <c r="B154" s="48" t="s">
        <v>299</v>
      </c>
      <c r="C154" s="48" t="s">
        <v>167</v>
      </c>
      <c r="D154" s="48" t="s">
        <v>190</v>
      </c>
      <c r="E154" s="48" t="s">
        <v>172</v>
      </c>
      <c r="F154" s="48" t="s">
        <v>205</v>
      </c>
      <c r="G154" s="48"/>
      <c r="H154" s="48"/>
      <c r="I154" s="48"/>
      <c r="J154" s="49"/>
      <c r="K154" s="48"/>
      <c r="L154" s="48" t="s">
        <v>206</v>
      </c>
      <c r="M154" s="50">
        <v>947599205073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947599205073</v>
      </c>
      <c r="T154" s="50">
        <v>372933521187.51001</v>
      </c>
      <c r="U154" s="50">
        <v>574665683885.48999</v>
      </c>
      <c r="V154" s="51">
        <v>0.39355617775004403</v>
      </c>
      <c r="W154" s="50">
        <v>49986253910.459999</v>
      </c>
      <c r="X154" s="50">
        <v>322947267277.04999</v>
      </c>
      <c r="Y154" s="51">
        <v>0.86596470665524572</v>
      </c>
      <c r="Z154" s="50">
        <v>48908083594.350006</v>
      </c>
      <c r="AA154" s="50">
        <v>1078170316.1099958</v>
      </c>
      <c r="AB154" s="51">
        <v>0.13114424103956895</v>
      </c>
    </row>
    <row r="155" spans="1:28" ht="24" hidden="1" customHeight="1">
      <c r="A155" s="32"/>
      <c r="B155" s="52"/>
      <c r="C155" s="52"/>
      <c r="D155" s="52"/>
      <c r="E155" s="52"/>
      <c r="F155" s="52"/>
      <c r="G155" s="52"/>
      <c r="H155" s="52"/>
      <c r="I155" s="52"/>
      <c r="J155" s="53"/>
      <c r="K155" s="52"/>
      <c r="L155" s="52"/>
      <c r="M155" s="54"/>
      <c r="N155" s="54"/>
      <c r="O155" s="54"/>
      <c r="P155" s="54"/>
      <c r="Q155" s="54"/>
      <c r="R155" s="54"/>
      <c r="S155" s="54">
        <v>0</v>
      </c>
      <c r="T155" s="54"/>
      <c r="U155" s="54">
        <v>0</v>
      </c>
      <c r="V155" s="55"/>
      <c r="W155" s="54"/>
      <c r="X155" s="54">
        <v>0</v>
      </c>
      <c r="Y155" s="55"/>
      <c r="Z155" s="54"/>
      <c r="AA155" s="54">
        <v>0</v>
      </c>
      <c r="AB155" s="55"/>
    </row>
    <row r="156" spans="1:28" ht="30.75" customHeight="1">
      <c r="A156" s="32" t="e">
        <v>#REF!</v>
      </c>
      <c r="B156" s="52" t="s">
        <v>510</v>
      </c>
      <c r="C156" s="52" t="s">
        <v>167</v>
      </c>
      <c r="D156" s="52" t="s">
        <v>190</v>
      </c>
      <c r="E156" s="52" t="s">
        <v>172</v>
      </c>
      <c r="F156" s="52" t="s">
        <v>205</v>
      </c>
      <c r="G156" s="52" t="s">
        <v>175</v>
      </c>
      <c r="H156" s="52" t="s">
        <v>207</v>
      </c>
      <c r="I156" s="52"/>
      <c r="J156" s="53"/>
      <c r="K156" s="52"/>
      <c r="L156" s="52" t="s">
        <v>208</v>
      </c>
      <c r="M156" s="54">
        <v>918263049313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918263049313</v>
      </c>
      <c r="T156" s="54">
        <v>364914638564.14001</v>
      </c>
      <c r="U156" s="54">
        <v>553348410748.85999</v>
      </c>
      <c r="V156" s="55">
        <v>0.39739662707450929</v>
      </c>
      <c r="W156" s="54">
        <v>47779374850.129997</v>
      </c>
      <c r="X156" s="54">
        <v>317135263714.01001</v>
      </c>
      <c r="Y156" s="55">
        <v>0.86906698224513135</v>
      </c>
      <c r="Z156" s="54">
        <v>46979004434.020004</v>
      </c>
      <c r="AA156" s="54">
        <v>800370416.10999584</v>
      </c>
      <c r="AB156" s="55">
        <v>0.12873970915190522</v>
      </c>
    </row>
    <row r="157" spans="1:28" ht="24.95" customHeight="1">
      <c r="A157" s="32" t="e">
        <v>#REF!</v>
      </c>
      <c r="B157" s="56" t="s">
        <v>511</v>
      </c>
      <c r="C157" s="57" t="s">
        <v>167</v>
      </c>
      <c r="D157" s="57" t="s">
        <v>190</v>
      </c>
      <c r="E157" s="57" t="s">
        <v>172</v>
      </c>
      <c r="F157" s="57" t="s">
        <v>205</v>
      </c>
      <c r="G157" s="57" t="s">
        <v>175</v>
      </c>
      <c r="H157" s="57" t="s">
        <v>207</v>
      </c>
      <c r="I157" s="57" t="s">
        <v>54</v>
      </c>
      <c r="J157" s="57">
        <v>11</v>
      </c>
      <c r="K157" s="58" t="s">
        <v>29</v>
      </c>
      <c r="L157" s="59" t="s">
        <v>178</v>
      </c>
      <c r="M157" s="60">
        <v>101740918684</v>
      </c>
      <c r="N157" s="60"/>
      <c r="O157" s="60"/>
      <c r="P157" s="60"/>
      <c r="Q157" s="761"/>
      <c r="R157" s="61">
        <v>0</v>
      </c>
      <c r="S157" s="81">
        <v>101740918684</v>
      </c>
      <c r="T157" s="60">
        <v>52729723927.139999</v>
      </c>
      <c r="U157" s="60">
        <v>49011194756.860001</v>
      </c>
      <c r="V157" s="62">
        <v>0.51827450163797661</v>
      </c>
      <c r="W157" s="60">
        <v>6793745377.04</v>
      </c>
      <c r="X157" s="60">
        <v>45935978550.099998</v>
      </c>
      <c r="Y157" s="62">
        <v>0.87115909450943929</v>
      </c>
      <c r="Z157" s="60">
        <v>6589728805.2299995</v>
      </c>
      <c r="AA157" s="60">
        <v>204016571.81000042</v>
      </c>
      <c r="AB157" s="62">
        <v>0.12497180554814673</v>
      </c>
    </row>
    <row r="158" spans="1:28" ht="24.95" customHeight="1">
      <c r="A158" s="32" t="e">
        <v>#REF!</v>
      </c>
      <c r="B158" s="56" t="s">
        <v>514</v>
      </c>
      <c r="C158" s="57" t="s">
        <v>167</v>
      </c>
      <c r="D158" s="57" t="s">
        <v>190</v>
      </c>
      <c r="E158" s="57" t="s">
        <v>172</v>
      </c>
      <c r="F158" s="57" t="s">
        <v>205</v>
      </c>
      <c r="G158" s="57" t="s">
        <v>175</v>
      </c>
      <c r="H158" s="57" t="s">
        <v>207</v>
      </c>
      <c r="I158" s="57" t="s">
        <v>65</v>
      </c>
      <c r="J158" s="57">
        <v>11</v>
      </c>
      <c r="K158" s="58" t="s">
        <v>29</v>
      </c>
      <c r="L158" s="59" t="s">
        <v>127</v>
      </c>
      <c r="M158" s="60">
        <v>816522130629</v>
      </c>
      <c r="N158" s="60"/>
      <c r="O158" s="60"/>
      <c r="P158" s="60"/>
      <c r="Q158" s="761"/>
      <c r="R158" s="61">
        <v>0</v>
      </c>
      <c r="S158" s="81">
        <v>816522130629</v>
      </c>
      <c r="T158" s="60">
        <v>312184914637</v>
      </c>
      <c r="U158" s="60">
        <v>504337215992</v>
      </c>
      <c r="V158" s="62">
        <v>0.38233490915489499</v>
      </c>
      <c r="W158" s="60">
        <v>40985629473.089996</v>
      </c>
      <c r="X158" s="60">
        <v>271199285163.91</v>
      </c>
      <c r="Y158" s="62">
        <v>0.86871361314576345</v>
      </c>
      <c r="Z158" s="60">
        <v>40389275628.790001</v>
      </c>
      <c r="AA158" s="60">
        <v>596353844.29999542</v>
      </c>
      <c r="AB158" s="62">
        <v>0.12937612849023641</v>
      </c>
    </row>
    <row r="159" spans="1:28" ht="27.75" customHeight="1">
      <c r="A159" s="32" t="e">
        <v>#REF!</v>
      </c>
      <c r="B159" s="52" t="s">
        <v>516</v>
      </c>
      <c r="C159" s="52" t="s">
        <v>167</v>
      </c>
      <c r="D159" s="52" t="s">
        <v>190</v>
      </c>
      <c r="E159" s="52" t="s">
        <v>172</v>
      </c>
      <c r="F159" s="52" t="s">
        <v>205</v>
      </c>
      <c r="G159" s="52" t="s">
        <v>175</v>
      </c>
      <c r="H159" s="52" t="s">
        <v>209</v>
      </c>
      <c r="I159" s="52"/>
      <c r="J159" s="53"/>
      <c r="K159" s="52" t="s">
        <v>29</v>
      </c>
      <c r="L159" s="52" t="s">
        <v>210</v>
      </c>
      <c r="M159" s="54">
        <v>29336155760</v>
      </c>
      <c r="N159" s="54">
        <v>0</v>
      </c>
      <c r="O159" s="54">
        <v>0</v>
      </c>
      <c r="P159" s="54">
        <v>0</v>
      </c>
      <c r="Q159" s="762">
        <v>0</v>
      </c>
      <c r="R159" s="54">
        <v>0</v>
      </c>
      <c r="S159" s="54">
        <v>29336155760</v>
      </c>
      <c r="T159" s="54">
        <v>8018882623.3699999</v>
      </c>
      <c r="U159" s="54">
        <v>21317273136.630001</v>
      </c>
      <c r="V159" s="55">
        <v>0.27334469754567459</v>
      </c>
      <c r="W159" s="54">
        <v>2206879060.3299999</v>
      </c>
      <c r="X159" s="54">
        <v>5812003563.04</v>
      </c>
      <c r="Y159" s="55">
        <v>0.72478970400460341</v>
      </c>
      <c r="Z159" s="54">
        <v>1929079160.3299999</v>
      </c>
      <c r="AA159" s="54">
        <v>277799900</v>
      </c>
      <c r="AB159" s="55">
        <v>0.24056707785046602</v>
      </c>
    </row>
    <row r="160" spans="1:28" ht="24.95" customHeight="1">
      <c r="A160" s="32" t="e">
        <v>#REF!</v>
      </c>
      <c r="B160" s="56" t="s">
        <v>517</v>
      </c>
      <c r="C160" s="57" t="s">
        <v>167</v>
      </c>
      <c r="D160" s="57" t="s">
        <v>190</v>
      </c>
      <c r="E160" s="57" t="s">
        <v>172</v>
      </c>
      <c r="F160" s="57" t="s">
        <v>205</v>
      </c>
      <c r="G160" s="57" t="s">
        <v>175</v>
      </c>
      <c r="H160" s="57" t="s">
        <v>209</v>
      </c>
      <c r="I160" s="57" t="s">
        <v>54</v>
      </c>
      <c r="J160" s="57">
        <v>11</v>
      </c>
      <c r="K160" s="58" t="s">
        <v>29</v>
      </c>
      <c r="L160" s="59" t="s">
        <v>178</v>
      </c>
      <c r="M160" s="60">
        <v>29336155760</v>
      </c>
      <c r="N160" s="60"/>
      <c r="O160" s="60"/>
      <c r="P160" s="60"/>
      <c r="Q160" s="61"/>
      <c r="R160" s="61">
        <v>0</v>
      </c>
      <c r="S160" s="81">
        <v>29336155760</v>
      </c>
      <c r="T160" s="60">
        <v>8018882623.3699999</v>
      </c>
      <c r="U160" s="60">
        <v>21317273136.630001</v>
      </c>
      <c r="V160" s="62">
        <v>0.27334469754567459</v>
      </c>
      <c r="W160" s="60">
        <v>2206879060.3299999</v>
      </c>
      <c r="X160" s="60">
        <v>5812003563.04</v>
      </c>
      <c r="Y160" s="62">
        <v>0.72478970400460341</v>
      </c>
      <c r="Z160" s="60">
        <v>1929079160.3299999</v>
      </c>
      <c r="AA160" s="60">
        <v>277799900</v>
      </c>
      <c r="AB160" s="62">
        <v>0.24056707785046602</v>
      </c>
    </row>
    <row r="161" spans="1:28" ht="36" customHeight="1">
      <c r="A161" s="32" t="e">
        <v>#REF!</v>
      </c>
      <c r="B161" s="48" t="s">
        <v>520</v>
      </c>
      <c r="C161" s="48" t="s">
        <v>167</v>
      </c>
      <c r="D161" s="48" t="s">
        <v>190</v>
      </c>
      <c r="E161" s="48" t="s">
        <v>172</v>
      </c>
      <c r="F161" s="48" t="s">
        <v>211</v>
      </c>
      <c r="G161" s="48"/>
      <c r="H161" s="48"/>
      <c r="I161" s="48"/>
      <c r="J161" s="49"/>
      <c r="K161" s="48"/>
      <c r="L161" s="48" t="s">
        <v>212</v>
      </c>
      <c r="M161" s="50">
        <v>500000000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500000000</v>
      </c>
      <c r="T161" s="50">
        <v>0</v>
      </c>
      <c r="U161" s="50">
        <v>500000000</v>
      </c>
      <c r="V161" s="51">
        <v>0</v>
      </c>
      <c r="W161" s="50">
        <v>0</v>
      </c>
      <c r="X161" s="50">
        <v>0</v>
      </c>
      <c r="Y161" s="51">
        <v>0</v>
      </c>
      <c r="Z161" s="50">
        <v>0</v>
      </c>
      <c r="AA161" s="50">
        <v>0</v>
      </c>
      <c r="AB161" s="51">
        <v>0</v>
      </c>
    </row>
    <row r="162" spans="1:28" ht="28.5" customHeight="1">
      <c r="A162" s="32" t="e">
        <v>#REF!</v>
      </c>
      <c r="B162" s="52" t="s">
        <v>522</v>
      </c>
      <c r="C162" s="52" t="s">
        <v>167</v>
      </c>
      <c r="D162" s="52" t="s">
        <v>190</v>
      </c>
      <c r="E162" s="52" t="s">
        <v>172</v>
      </c>
      <c r="F162" s="52" t="s">
        <v>211</v>
      </c>
      <c r="G162" s="52" t="s">
        <v>175</v>
      </c>
      <c r="H162" s="52" t="s">
        <v>213</v>
      </c>
      <c r="I162" s="52"/>
      <c r="J162" s="53"/>
      <c r="K162" s="52" t="s">
        <v>29</v>
      </c>
      <c r="L162" s="52" t="s">
        <v>214</v>
      </c>
      <c r="M162" s="54">
        <v>410000000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410000000</v>
      </c>
      <c r="T162" s="54">
        <v>0</v>
      </c>
      <c r="U162" s="54">
        <v>410000000</v>
      </c>
      <c r="V162" s="55">
        <v>0</v>
      </c>
      <c r="W162" s="54">
        <v>0</v>
      </c>
      <c r="X162" s="54">
        <v>0</v>
      </c>
      <c r="Y162" s="55">
        <v>0</v>
      </c>
      <c r="Z162" s="54">
        <v>0</v>
      </c>
      <c r="AA162" s="54">
        <v>0</v>
      </c>
      <c r="AB162" s="55">
        <v>0</v>
      </c>
    </row>
    <row r="163" spans="1:28" ht="24.95" customHeight="1">
      <c r="A163" s="32" t="e">
        <v>#REF!</v>
      </c>
      <c r="B163" s="56" t="s">
        <v>524</v>
      </c>
      <c r="C163" s="57" t="s">
        <v>167</v>
      </c>
      <c r="D163" s="57" t="s">
        <v>190</v>
      </c>
      <c r="E163" s="57" t="s">
        <v>172</v>
      </c>
      <c r="F163" s="57" t="s">
        <v>211</v>
      </c>
      <c r="G163" s="57" t="s">
        <v>175</v>
      </c>
      <c r="H163" s="57" t="s">
        <v>213</v>
      </c>
      <c r="I163" s="57" t="s">
        <v>54</v>
      </c>
      <c r="J163" s="57">
        <v>11</v>
      </c>
      <c r="K163" s="58" t="s">
        <v>29</v>
      </c>
      <c r="L163" s="59" t="s">
        <v>178</v>
      </c>
      <c r="M163" s="60">
        <v>410000000</v>
      </c>
      <c r="N163" s="60"/>
      <c r="O163" s="60"/>
      <c r="P163" s="61"/>
      <c r="Q163" s="61"/>
      <c r="R163" s="61">
        <v>0</v>
      </c>
      <c r="S163" s="60">
        <v>410000000</v>
      </c>
      <c r="T163" s="60">
        <v>0</v>
      </c>
      <c r="U163" s="60">
        <v>410000000</v>
      </c>
      <c r="V163" s="62">
        <v>0</v>
      </c>
      <c r="W163" s="60">
        <v>0</v>
      </c>
      <c r="X163" s="60">
        <v>0</v>
      </c>
      <c r="Y163" s="62">
        <v>0</v>
      </c>
      <c r="Z163" s="60">
        <v>0</v>
      </c>
      <c r="AA163" s="60">
        <v>0</v>
      </c>
      <c r="AB163" s="62">
        <v>0</v>
      </c>
    </row>
    <row r="164" spans="1:28" ht="24" customHeight="1">
      <c r="A164" s="32" t="e">
        <v>#REF!</v>
      </c>
      <c r="B164" s="52" t="s">
        <v>526</v>
      </c>
      <c r="C164" s="52" t="s">
        <v>167</v>
      </c>
      <c r="D164" s="52" t="s">
        <v>190</v>
      </c>
      <c r="E164" s="52" t="s">
        <v>172</v>
      </c>
      <c r="F164" s="52" t="s">
        <v>211</v>
      </c>
      <c r="G164" s="52" t="s">
        <v>175</v>
      </c>
      <c r="H164" s="52" t="s">
        <v>215</v>
      </c>
      <c r="I164" s="52"/>
      <c r="J164" s="53"/>
      <c r="K164" s="52" t="s">
        <v>29</v>
      </c>
      <c r="L164" s="52" t="s">
        <v>216</v>
      </c>
      <c r="M164" s="54">
        <v>90000000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90000000</v>
      </c>
      <c r="T164" s="54">
        <v>0</v>
      </c>
      <c r="U164" s="54">
        <v>90000000</v>
      </c>
      <c r="V164" s="55">
        <v>0</v>
      </c>
      <c r="W164" s="54">
        <v>0</v>
      </c>
      <c r="X164" s="54">
        <v>0</v>
      </c>
      <c r="Y164" s="55">
        <v>0</v>
      </c>
      <c r="Z164" s="54">
        <v>0</v>
      </c>
      <c r="AA164" s="54">
        <v>0</v>
      </c>
      <c r="AB164" s="55">
        <v>0</v>
      </c>
    </row>
    <row r="165" spans="1:28" ht="24.95" customHeight="1">
      <c r="A165" s="32" t="e">
        <v>#REF!</v>
      </c>
      <c r="B165" s="56" t="s">
        <v>528</v>
      </c>
      <c r="C165" s="57" t="s">
        <v>167</v>
      </c>
      <c r="D165" s="57" t="s">
        <v>190</v>
      </c>
      <c r="E165" s="57" t="s">
        <v>172</v>
      </c>
      <c r="F165" s="57" t="s">
        <v>211</v>
      </c>
      <c r="G165" s="57" t="s">
        <v>175</v>
      </c>
      <c r="H165" s="57" t="s">
        <v>215</v>
      </c>
      <c r="I165" s="57" t="s">
        <v>54</v>
      </c>
      <c r="J165" s="57">
        <v>11</v>
      </c>
      <c r="K165" s="58" t="s">
        <v>29</v>
      </c>
      <c r="L165" s="59" t="s">
        <v>178</v>
      </c>
      <c r="M165" s="60">
        <v>90000000</v>
      </c>
      <c r="N165" s="60"/>
      <c r="O165" s="60"/>
      <c r="P165" s="61"/>
      <c r="Q165" s="61"/>
      <c r="R165" s="61">
        <v>0</v>
      </c>
      <c r="S165" s="60">
        <v>90000000</v>
      </c>
      <c r="T165" s="60">
        <v>0</v>
      </c>
      <c r="U165" s="60">
        <v>90000000</v>
      </c>
      <c r="V165" s="62">
        <v>0</v>
      </c>
      <c r="W165" s="60">
        <v>0</v>
      </c>
      <c r="X165" s="60">
        <v>0</v>
      </c>
      <c r="Y165" s="62">
        <v>0</v>
      </c>
      <c r="Z165" s="60">
        <v>0</v>
      </c>
      <c r="AA165" s="60">
        <v>0</v>
      </c>
      <c r="AB165" s="62">
        <v>0</v>
      </c>
    </row>
    <row r="166" spans="1:28" ht="50.25" customHeight="1">
      <c r="A166" s="32" t="e">
        <v>#REF!</v>
      </c>
      <c r="B166" s="48" t="s">
        <v>530</v>
      </c>
      <c r="C166" s="48" t="s">
        <v>167</v>
      </c>
      <c r="D166" s="48" t="s">
        <v>190</v>
      </c>
      <c r="E166" s="48" t="s">
        <v>172</v>
      </c>
      <c r="F166" s="48" t="s">
        <v>217</v>
      </c>
      <c r="G166" s="48"/>
      <c r="H166" s="48"/>
      <c r="I166" s="48"/>
      <c r="J166" s="49"/>
      <c r="K166" s="48"/>
      <c r="L166" s="48" t="s">
        <v>218</v>
      </c>
      <c r="M166" s="50">
        <v>18000000000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18000000000</v>
      </c>
      <c r="T166" s="50">
        <v>453091605</v>
      </c>
      <c r="U166" s="50">
        <v>17546908395</v>
      </c>
      <c r="V166" s="51">
        <v>2.5171755833333333E-2</v>
      </c>
      <c r="W166" s="50">
        <v>127043333</v>
      </c>
      <c r="X166" s="50">
        <v>326048272</v>
      </c>
      <c r="Y166" s="51">
        <v>0.71960784177407122</v>
      </c>
      <c r="Z166" s="50">
        <v>90043333</v>
      </c>
      <c r="AA166" s="50">
        <v>37000000</v>
      </c>
      <c r="AB166" s="51">
        <v>0.19873096743869267</v>
      </c>
    </row>
    <row r="167" spans="1:28" ht="24" customHeight="1">
      <c r="A167" s="32" t="e">
        <v>#REF!</v>
      </c>
      <c r="B167" s="52" t="s">
        <v>531</v>
      </c>
      <c r="C167" s="52" t="s">
        <v>167</v>
      </c>
      <c r="D167" s="52" t="s">
        <v>190</v>
      </c>
      <c r="E167" s="52" t="s">
        <v>172</v>
      </c>
      <c r="F167" s="52" t="s">
        <v>217</v>
      </c>
      <c r="G167" s="52" t="s">
        <v>175</v>
      </c>
      <c r="H167" s="52" t="s">
        <v>219</v>
      </c>
      <c r="I167" s="52"/>
      <c r="J167" s="53"/>
      <c r="K167" s="52" t="s">
        <v>29</v>
      </c>
      <c r="L167" s="52" t="s">
        <v>220</v>
      </c>
      <c r="M167" s="54">
        <v>3388943635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3388943635</v>
      </c>
      <c r="T167" s="54">
        <v>453091605</v>
      </c>
      <c r="U167" s="54">
        <v>2935852030</v>
      </c>
      <c r="V167" s="55">
        <v>0.13369700231086906</v>
      </c>
      <c r="W167" s="54">
        <v>127043333</v>
      </c>
      <c r="X167" s="54">
        <v>326048272</v>
      </c>
      <c r="Y167" s="55">
        <v>0.71960784177407122</v>
      </c>
      <c r="Z167" s="54">
        <v>90043333</v>
      </c>
      <c r="AA167" s="54">
        <v>37000000</v>
      </c>
      <c r="AB167" s="55">
        <v>0.19873096743869267</v>
      </c>
    </row>
    <row r="168" spans="1:28" ht="24.95" customHeight="1">
      <c r="A168" s="32" t="e">
        <v>#REF!</v>
      </c>
      <c r="B168" s="56" t="s">
        <v>532</v>
      </c>
      <c r="C168" s="57" t="s">
        <v>167</v>
      </c>
      <c r="D168" s="57" t="s">
        <v>190</v>
      </c>
      <c r="E168" s="57" t="s">
        <v>172</v>
      </c>
      <c r="F168" s="57" t="s">
        <v>217</v>
      </c>
      <c r="G168" s="57" t="s">
        <v>175</v>
      </c>
      <c r="H168" s="57" t="s">
        <v>219</v>
      </c>
      <c r="I168" s="57" t="s">
        <v>54</v>
      </c>
      <c r="J168" s="57">
        <v>11</v>
      </c>
      <c r="K168" s="58" t="s">
        <v>29</v>
      </c>
      <c r="L168" s="59" t="s">
        <v>178</v>
      </c>
      <c r="M168" s="60">
        <v>3388943635</v>
      </c>
      <c r="N168" s="60"/>
      <c r="O168" s="60"/>
      <c r="P168" s="60"/>
      <c r="Q168" s="61"/>
      <c r="R168" s="61">
        <v>0</v>
      </c>
      <c r="S168" s="60">
        <v>3388943635</v>
      </c>
      <c r="T168" s="60">
        <v>453091605</v>
      </c>
      <c r="U168" s="60">
        <v>2935852030</v>
      </c>
      <c r="V168" s="62">
        <v>0.13369700231086906</v>
      </c>
      <c r="W168" s="60">
        <v>127043333</v>
      </c>
      <c r="X168" s="60">
        <v>326048272</v>
      </c>
      <c r="Y168" s="62">
        <v>0.71960784177407122</v>
      </c>
      <c r="Z168" s="60">
        <v>90043333</v>
      </c>
      <c r="AA168" s="60">
        <v>37000000</v>
      </c>
      <c r="AB168" s="62">
        <v>0.19873096743869267</v>
      </c>
    </row>
    <row r="169" spans="1:28" ht="28.5" customHeight="1">
      <c r="A169" s="32" t="e">
        <v>#REF!</v>
      </c>
      <c r="B169" s="52" t="s">
        <v>533</v>
      </c>
      <c r="C169" s="52" t="s">
        <v>167</v>
      </c>
      <c r="D169" s="52" t="s">
        <v>190</v>
      </c>
      <c r="E169" s="52" t="s">
        <v>172</v>
      </c>
      <c r="F169" s="52" t="s">
        <v>217</v>
      </c>
      <c r="G169" s="52" t="s">
        <v>175</v>
      </c>
      <c r="H169" s="52" t="s">
        <v>221</v>
      </c>
      <c r="I169" s="52"/>
      <c r="J169" s="53"/>
      <c r="K169" s="52" t="s">
        <v>29</v>
      </c>
      <c r="L169" s="52" t="s">
        <v>222</v>
      </c>
      <c r="M169" s="54">
        <v>14611056365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14611056365</v>
      </c>
      <c r="T169" s="54">
        <v>0</v>
      </c>
      <c r="U169" s="54">
        <v>14611056365</v>
      </c>
      <c r="V169" s="55">
        <v>0</v>
      </c>
      <c r="W169" s="54">
        <v>0</v>
      </c>
      <c r="X169" s="54">
        <v>0</v>
      </c>
      <c r="Y169" s="55">
        <v>0</v>
      </c>
      <c r="Z169" s="54">
        <v>0</v>
      </c>
      <c r="AA169" s="54">
        <v>0</v>
      </c>
      <c r="AB169" s="55">
        <v>0</v>
      </c>
    </row>
    <row r="170" spans="1:28" ht="24.95" customHeight="1">
      <c r="A170" s="32" t="e">
        <v>#REF!</v>
      </c>
      <c r="B170" s="56" t="s">
        <v>534</v>
      </c>
      <c r="C170" s="57" t="s">
        <v>167</v>
      </c>
      <c r="D170" s="57" t="s">
        <v>190</v>
      </c>
      <c r="E170" s="57" t="s">
        <v>172</v>
      </c>
      <c r="F170" s="57" t="s">
        <v>217</v>
      </c>
      <c r="G170" s="57" t="s">
        <v>175</v>
      </c>
      <c r="H170" s="57" t="s">
        <v>221</v>
      </c>
      <c r="I170" s="57" t="s">
        <v>54</v>
      </c>
      <c r="J170" s="57">
        <v>11</v>
      </c>
      <c r="K170" s="58" t="s">
        <v>29</v>
      </c>
      <c r="L170" s="59" t="s">
        <v>178</v>
      </c>
      <c r="M170" s="60">
        <v>14611056365</v>
      </c>
      <c r="N170" s="60"/>
      <c r="O170" s="60"/>
      <c r="P170" s="60"/>
      <c r="Q170" s="61"/>
      <c r="R170" s="61">
        <v>0</v>
      </c>
      <c r="S170" s="60">
        <v>14611056365</v>
      </c>
      <c r="T170" s="60">
        <v>0</v>
      </c>
      <c r="U170" s="60">
        <v>14611056365</v>
      </c>
      <c r="V170" s="62">
        <v>0</v>
      </c>
      <c r="W170" s="60">
        <v>0</v>
      </c>
      <c r="X170" s="60">
        <v>0</v>
      </c>
      <c r="Y170" s="62">
        <v>0</v>
      </c>
      <c r="Z170" s="60">
        <v>0</v>
      </c>
      <c r="AA170" s="60">
        <v>0</v>
      </c>
      <c r="AB170" s="62">
        <v>0</v>
      </c>
    </row>
    <row r="171" spans="1:28" ht="39.75" customHeight="1">
      <c r="A171" s="32" t="e">
        <v>#REF!</v>
      </c>
      <c r="B171" s="48" t="s">
        <v>658</v>
      </c>
      <c r="C171" s="48" t="s">
        <v>167</v>
      </c>
      <c r="D171" s="48" t="s">
        <v>190</v>
      </c>
      <c r="E171" s="48" t="s">
        <v>172</v>
      </c>
      <c r="F171" s="48">
        <v>18</v>
      </c>
      <c r="G171" s="48"/>
      <c r="H171" s="48"/>
      <c r="I171" s="48"/>
      <c r="J171" s="49"/>
      <c r="K171" s="48"/>
      <c r="L171" s="48" t="s">
        <v>823</v>
      </c>
      <c r="M171" s="50">
        <v>41200000000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41200000000</v>
      </c>
      <c r="T171" s="50">
        <v>2283906044</v>
      </c>
      <c r="U171" s="50">
        <v>38916093956</v>
      </c>
      <c r="V171" s="51">
        <v>5.5434612718446602E-2</v>
      </c>
      <c r="W171" s="50">
        <v>528703941.67000002</v>
      </c>
      <c r="X171" s="50">
        <v>1755202102.3299999</v>
      </c>
      <c r="Y171" s="51">
        <v>0.76850889157242408</v>
      </c>
      <c r="Z171" s="50">
        <v>496503941.67000002</v>
      </c>
      <c r="AA171" s="50">
        <v>32200000</v>
      </c>
      <c r="AB171" s="51">
        <v>0.21739245490170436</v>
      </c>
    </row>
    <row r="172" spans="1:28" ht="30" customHeight="1">
      <c r="A172" s="32" t="e">
        <v>#REF!</v>
      </c>
      <c r="B172" s="52" t="s">
        <v>660</v>
      </c>
      <c r="C172" s="52" t="s">
        <v>167</v>
      </c>
      <c r="D172" s="52" t="s">
        <v>190</v>
      </c>
      <c r="E172" s="52" t="s">
        <v>172</v>
      </c>
      <c r="F172" s="48">
        <v>18</v>
      </c>
      <c r="G172" s="52" t="s">
        <v>175</v>
      </c>
      <c r="H172" s="52">
        <v>4103050</v>
      </c>
      <c r="I172" s="52"/>
      <c r="J172" s="53"/>
      <c r="K172" s="52" t="s">
        <v>29</v>
      </c>
      <c r="L172" s="52" t="s">
        <v>824</v>
      </c>
      <c r="M172" s="54">
        <v>41200000000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41200000000</v>
      </c>
      <c r="T172" s="54">
        <v>2283906044</v>
      </c>
      <c r="U172" s="54">
        <v>38916093956</v>
      </c>
      <c r="V172" s="55">
        <v>5.5434612718446602E-2</v>
      </c>
      <c r="W172" s="54">
        <v>528703941.67000002</v>
      </c>
      <c r="X172" s="54">
        <v>1755202102.3299999</v>
      </c>
      <c r="Y172" s="55">
        <v>0.76850889157242408</v>
      </c>
      <c r="Z172" s="54">
        <v>496503941.67000002</v>
      </c>
      <c r="AA172" s="54">
        <v>32200000</v>
      </c>
      <c r="AB172" s="55">
        <v>0.21739245490170436</v>
      </c>
    </row>
    <row r="173" spans="1:28" ht="24.95" customHeight="1">
      <c r="A173" s="32" t="e">
        <v>#REF!</v>
      </c>
      <c r="B173" s="56" t="s">
        <v>662</v>
      </c>
      <c r="C173" s="57" t="s">
        <v>167</v>
      </c>
      <c r="D173" s="57" t="s">
        <v>190</v>
      </c>
      <c r="E173" s="57" t="s">
        <v>172</v>
      </c>
      <c r="F173" s="57">
        <v>18</v>
      </c>
      <c r="G173" s="57" t="s">
        <v>175</v>
      </c>
      <c r="H173" s="57">
        <v>4103050</v>
      </c>
      <c r="I173" s="57" t="s">
        <v>54</v>
      </c>
      <c r="J173" s="57">
        <v>11</v>
      </c>
      <c r="K173" s="58" t="s">
        <v>29</v>
      </c>
      <c r="L173" s="59" t="s">
        <v>178</v>
      </c>
      <c r="M173" s="60">
        <v>41200000000</v>
      </c>
      <c r="N173" s="60"/>
      <c r="O173" s="60"/>
      <c r="P173" s="60"/>
      <c r="Q173" s="60">
        <v>0</v>
      </c>
      <c r="R173" s="61">
        <v>0</v>
      </c>
      <c r="S173" s="60">
        <v>41200000000</v>
      </c>
      <c r="T173" s="60">
        <v>2283906044</v>
      </c>
      <c r="U173" s="60">
        <v>38916093956</v>
      </c>
      <c r="V173" s="62">
        <v>5.5434612718446602E-2</v>
      </c>
      <c r="W173" s="60">
        <v>528703941.67000002</v>
      </c>
      <c r="X173" s="60">
        <v>1755202102.3299999</v>
      </c>
      <c r="Y173" s="62">
        <v>0.76850889157242408</v>
      </c>
      <c r="Z173" s="60">
        <v>496503941.67000002</v>
      </c>
      <c r="AA173" s="60">
        <v>32200000</v>
      </c>
      <c r="AB173" s="62">
        <v>0.21739245490170436</v>
      </c>
    </row>
    <row r="174" spans="1:28" ht="33" customHeight="1">
      <c r="A174" s="32" t="e">
        <v>#REF!</v>
      </c>
      <c r="B174" s="48" t="s">
        <v>664</v>
      </c>
      <c r="C174" s="48" t="s">
        <v>167</v>
      </c>
      <c r="D174" s="48" t="s">
        <v>190</v>
      </c>
      <c r="E174" s="48" t="s">
        <v>172</v>
      </c>
      <c r="F174" s="48">
        <v>19</v>
      </c>
      <c r="G174" s="48"/>
      <c r="H174" s="48"/>
      <c r="I174" s="48"/>
      <c r="J174" s="49"/>
      <c r="K174" s="48"/>
      <c r="L174" s="48" t="s">
        <v>227</v>
      </c>
      <c r="M174" s="50">
        <v>12000000000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12000000000</v>
      </c>
      <c r="T174" s="50">
        <v>5948068055.0500002</v>
      </c>
      <c r="U174" s="50">
        <v>6051931944.9499998</v>
      </c>
      <c r="V174" s="51">
        <v>0.49567233792083337</v>
      </c>
      <c r="W174" s="50">
        <v>587107232</v>
      </c>
      <c r="X174" s="50">
        <v>5360960823.0500002</v>
      </c>
      <c r="Y174" s="51">
        <v>0.90129446627606469</v>
      </c>
      <c r="Z174" s="50">
        <v>532607232</v>
      </c>
      <c r="AA174" s="50">
        <v>54500000</v>
      </c>
      <c r="AB174" s="51">
        <v>8.9542894780399895E-2</v>
      </c>
    </row>
    <row r="175" spans="1:28" ht="30" customHeight="1">
      <c r="A175" s="32" t="e">
        <v>#REF!</v>
      </c>
      <c r="B175" s="52" t="s">
        <v>666</v>
      </c>
      <c r="C175" s="52" t="s">
        <v>167</v>
      </c>
      <c r="D175" s="52" t="s">
        <v>190</v>
      </c>
      <c r="E175" s="52" t="s">
        <v>172</v>
      </c>
      <c r="F175" s="52">
        <v>19</v>
      </c>
      <c r="G175" s="52" t="s">
        <v>175</v>
      </c>
      <c r="H175" s="52">
        <v>4103049</v>
      </c>
      <c r="I175" s="52"/>
      <c r="J175" s="53"/>
      <c r="K175" s="52" t="s">
        <v>29</v>
      </c>
      <c r="L175" s="52" t="s">
        <v>228</v>
      </c>
      <c r="M175" s="54">
        <v>250000000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250000000</v>
      </c>
      <c r="T175" s="54">
        <v>0</v>
      </c>
      <c r="U175" s="54">
        <v>250000000</v>
      </c>
      <c r="V175" s="55">
        <v>0</v>
      </c>
      <c r="W175" s="54">
        <v>0</v>
      </c>
      <c r="X175" s="54">
        <v>0</v>
      </c>
      <c r="Y175" s="55">
        <v>0</v>
      </c>
      <c r="Z175" s="54">
        <v>0</v>
      </c>
      <c r="AA175" s="54">
        <v>0</v>
      </c>
      <c r="AB175" s="55">
        <v>0</v>
      </c>
    </row>
    <row r="176" spans="1:28" ht="24.95" customHeight="1">
      <c r="A176" s="32" t="e">
        <v>#REF!</v>
      </c>
      <c r="B176" s="56" t="s">
        <v>668</v>
      </c>
      <c r="C176" s="57" t="s">
        <v>167</v>
      </c>
      <c r="D176" s="57" t="s">
        <v>190</v>
      </c>
      <c r="E176" s="57" t="s">
        <v>172</v>
      </c>
      <c r="F176" s="57">
        <v>19</v>
      </c>
      <c r="G176" s="57" t="s">
        <v>175</v>
      </c>
      <c r="H176" s="57">
        <v>4103049</v>
      </c>
      <c r="I176" s="57" t="s">
        <v>54</v>
      </c>
      <c r="J176" s="57">
        <v>11</v>
      </c>
      <c r="K176" s="58" t="s">
        <v>29</v>
      </c>
      <c r="L176" s="59" t="s">
        <v>178</v>
      </c>
      <c r="M176" s="60">
        <v>250000000</v>
      </c>
      <c r="N176" s="60"/>
      <c r="O176" s="60"/>
      <c r="P176" s="60"/>
      <c r="Q176" s="60">
        <v>0</v>
      </c>
      <c r="R176" s="61">
        <v>0</v>
      </c>
      <c r="S176" s="60">
        <v>250000000</v>
      </c>
      <c r="T176" s="60">
        <v>0</v>
      </c>
      <c r="U176" s="60">
        <v>250000000</v>
      </c>
      <c r="V176" s="62">
        <v>0</v>
      </c>
      <c r="W176" s="60">
        <v>0</v>
      </c>
      <c r="X176" s="60">
        <v>0</v>
      </c>
      <c r="Y176" s="62">
        <v>0</v>
      </c>
      <c r="Z176" s="60">
        <v>0</v>
      </c>
      <c r="AA176" s="60">
        <v>0</v>
      </c>
      <c r="AB176" s="62">
        <v>0</v>
      </c>
    </row>
    <row r="177" spans="1:28" ht="30" customHeight="1">
      <c r="A177" s="32" t="e">
        <v>#REF!</v>
      </c>
      <c r="B177" s="52" t="s">
        <v>670</v>
      </c>
      <c r="C177" s="52" t="s">
        <v>167</v>
      </c>
      <c r="D177" s="52" t="s">
        <v>190</v>
      </c>
      <c r="E177" s="52" t="s">
        <v>172</v>
      </c>
      <c r="F177" s="52">
        <v>19</v>
      </c>
      <c r="G177" s="52" t="s">
        <v>175</v>
      </c>
      <c r="H177" s="52">
        <v>4103052</v>
      </c>
      <c r="I177" s="52"/>
      <c r="J177" s="53"/>
      <c r="K177" s="52" t="s">
        <v>29</v>
      </c>
      <c r="L177" s="52" t="s">
        <v>229</v>
      </c>
      <c r="M177" s="54">
        <v>11700000000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11700000000</v>
      </c>
      <c r="T177" s="54">
        <v>5948068055.0500002</v>
      </c>
      <c r="U177" s="54">
        <v>5751931944.9499998</v>
      </c>
      <c r="V177" s="55">
        <v>0.50838188504700854</v>
      </c>
      <c r="W177" s="54">
        <v>587107232</v>
      </c>
      <c r="X177" s="54">
        <v>5360960823.0500002</v>
      </c>
      <c r="Y177" s="55">
        <v>0.90129446627606469</v>
      </c>
      <c r="Z177" s="54">
        <v>532607232</v>
      </c>
      <c r="AA177" s="54">
        <v>54500000</v>
      </c>
      <c r="AB177" s="55">
        <v>8.9542894780399895E-2</v>
      </c>
    </row>
    <row r="178" spans="1:28" ht="24.95" customHeight="1">
      <c r="A178" s="32" t="e">
        <v>#REF!</v>
      </c>
      <c r="B178" s="56" t="s">
        <v>672</v>
      </c>
      <c r="C178" s="57" t="s">
        <v>167</v>
      </c>
      <c r="D178" s="57" t="s">
        <v>190</v>
      </c>
      <c r="E178" s="57" t="s">
        <v>172</v>
      </c>
      <c r="F178" s="57">
        <v>19</v>
      </c>
      <c r="G178" s="57" t="s">
        <v>175</v>
      </c>
      <c r="H178" s="57">
        <v>4103052</v>
      </c>
      <c r="I178" s="57" t="s">
        <v>54</v>
      </c>
      <c r="J178" s="57">
        <v>11</v>
      </c>
      <c r="K178" s="58" t="s">
        <v>29</v>
      </c>
      <c r="L178" s="59" t="s">
        <v>178</v>
      </c>
      <c r="M178" s="60">
        <v>11700000000</v>
      </c>
      <c r="N178" s="60"/>
      <c r="O178" s="60"/>
      <c r="P178" s="60"/>
      <c r="Q178" s="60">
        <v>0</v>
      </c>
      <c r="R178" s="61">
        <v>0</v>
      </c>
      <c r="S178" s="60">
        <v>11700000000</v>
      </c>
      <c r="T178" s="60">
        <v>5948068055.0500002</v>
      </c>
      <c r="U178" s="60">
        <v>5751931944.9499998</v>
      </c>
      <c r="V178" s="62">
        <v>0.50838188504700854</v>
      </c>
      <c r="W178" s="60">
        <v>587107232</v>
      </c>
      <c r="X178" s="60">
        <v>5360960823.0500002</v>
      </c>
      <c r="Y178" s="62">
        <v>0.90129446627606469</v>
      </c>
      <c r="Z178" s="60">
        <v>532607232</v>
      </c>
      <c r="AA178" s="60">
        <v>54500000</v>
      </c>
      <c r="AB178" s="62">
        <v>8.9542894780399895E-2</v>
      </c>
    </row>
    <row r="179" spans="1:28" ht="27.75" customHeight="1">
      <c r="A179" s="32" t="e">
        <v>#REF!</v>
      </c>
      <c r="B179" s="52" t="s">
        <v>674</v>
      </c>
      <c r="C179" s="52" t="s">
        <v>167</v>
      </c>
      <c r="D179" s="52" t="s">
        <v>190</v>
      </c>
      <c r="E179" s="52" t="s">
        <v>172</v>
      </c>
      <c r="F179" s="52">
        <v>19</v>
      </c>
      <c r="G179" s="52" t="s">
        <v>175</v>
      </c>
      <c r="H179" s="52">
        <v>4103060</v>
      </c>
      <c r="I179" s="52"/>
      <c r="J179" s="53"/>
      <c r="K179" s="52" t="s">
        <v>29</v>
      </c>
      <c r="L179" s="52" t="s">
        <v>216</v>
      </c>
      <c r="M179" s="54">
        <v>50000000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50000000</v>
      </c>
      <c r="T179" s="54">
        <v>0</v>
      </c>
      <c r="U179" s="54">
        <v>50000000</v>
      </c>
      <c r="V179" s="55">
        <v>0</v>
      </c>
      <c r="W179" s="54">
        <v>0</v>
      </c>
      <c r="X179" s="54">
        <v>0</v>
      </c>
      <c r="Y179" s="55">
        <v>0</v>
      </c>
      <c r="Z179" s="54">
        <v>0</v>
      </c>
      <c r="AA179" s="54">
        <v>0</v>
      </c>
      <c r="AB179" s="55">
        <v>0</v>
      </c>
    </row>
    <row r="180" spans="1:28" ht="24.95" customHeight="1">
      <c r="A180" s="32" t="e">
        <v>#REF!</v>
      </c>
      <c r="B180" s="56" t="s">
        <v>676</v>
      </c>
      <c r="C180" s="57" t="s">
        <v>167</v>
      </c>
      <c r="D180" s="57" t="s">
        <v>190</v>
      </c>
      <c r="E180" s="57" t="s">
        <v>172</v>
      </c>
      <c r="F180" s="57">
        <v>19</v>
      </c>
      <c r="G180" s="57" t="s">
        <v>175</v>
      </c>
      <c r="H180" s="57">
        <v>4103060</v>
      </c>
      <c r="I180" s="57" t="s">
        <v>54</v>
      </c>
      <c r="J180" s="57">
        <v>11</v>
      </c>
      <c r="K180" s="58" t="s">
        <v>29</v>
      </c>
      <c r="L180" s="59" t="s">
        <v>178</v>
      </c>
      <c r="M180" s="60">
        <v>50000000</v>
      </c>
      <c r="N180" s="60"/>
      <c r="O180" s="60"/>
      <c r="P180" s="60"/>
      <c r="Q180" s="60">
        <v>0</v>
      </c>
      <c r="R180" s="61">
        <v>0</v>
      </c>
      <c r="S180" s="60">
        <v>50000000</v>
      </c>
      <c r="T180" s="60">
        <v>0</v>
      </c>
      <c r="U180" s="60">
        <v>50000000</v>
      </c>
      <c r="V180" s="62">
        <v>0</v>
      </c>
      <c r="W180" s="60">
        <v>0</v>
      </c>
      <c r="X180" s="60">
        <v>0</v>
      </c>
      <c r="Y180" s="62">
        <v>0</v>
      </c>
      <c r="Z180" s="60">
        <v>0</v>
      </c>
      <c r="AA180" s="60">
        <v>0</v>
      </c>
      <c r="AB180" s="62">
        <v>0</v>
      </c>
    </row>
    <row r="181" spans="1:28" ht="39.75" customHeight="1">
      <c r="A181" s="32" t="e">
        <v>#REF!</v>
      </c>
      <c r="B181" s="48" t="s">
        <v>678</v>
      </c>
      <c r="C181" s="48" t="s">
        <v>167</v>
      </c>
      <c r="D181" s="48" t="s">
        <v>190</v>
      </c>
      <c r="E181" s="48" t="s">
        <v>172</v>
      </c>
      <c r="F181" s="48">
        <v>20</v>
      </c>
      <c r="G181" s="48"/>
      <c r="H181" s="48"/>
      <c r="I181" s="48"/>
      <c r="J181" s="49"/>
      <c r="K181" s="48"/>
      <c r="L181" s="48" t="s">
        <v>230</v>
      </c>
      <c r="M181" s="50">
        <v>1021056959210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1021056959210</v>
      </c>
      <c r="T181" s="50">
        <v>2422116464.0300002</v>
      </c>
      <c r="U181" s="50">
        <v>1018634842745.97</v>
      </c>
      <c r="V181" s="51">
        <v>2.3721658641884299E-3</v>
      </c>
      <c r="W181" s="50">
        <v>1321796248.79</v>
      </c>
      <c r="X181" s="50">
        <v>1100320215.2400002</v>
      </c>
      <c r="Y181" s="51">
        <v>0.45428047394932025</v>
      </c>
      <c r="Z181" s="50">
        <v>1313542248.79</v>
      </c>
      <c r="AA181" s="50">
        <v>8254000</v>
      </c>
      <c r="AB181" s="51">
        <v>0.54231176258324232</v>
      </c>
    </row>
    <row r="182" spans="1:28" ht="30.75" customHeight="1">
      <c r="A182" s="32" t="e">
        <v>#REF!</v>
      </c>
      <c r="B182" s="52" t="s">
        <v>680</v>
      </c>
      <c r="C182" s="52" t="s">
        <v>167</v>
      </c>
      <c r="D182" s="52" t="s">
        <v>190</v>
      </c>
      <c r="E182" s="52" t="s">
        <v>172</v>
      </c>
      <c r="F182" s="52">
        <v>20</v>
      </c>
      <c r="G182" s="52" t="s">
        <v>175</v>
      </c>
      <c r="H182" s="52">
        <v>4103061</v>
      </c>
      <c r="I182" s="52"/>
      <c r="J182" s="53"/>
      <c r="K182" s="52" t="s">
        <v>29</v>
      </c>
      <c r="L182" s="52" t="s">
        <v>231</v>
      </c>
      <c r="M182" s="54">
        <v>1021056959210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1021056959210</v>
      </c>
      <c r="T182" s="54">
        <v>2422116464.0300002</v>
      </c>
      <c r="U182" s="54">
        <v>1018634842745.97</v>
      </c>
      <c r="V182" s="55">
        <v>2.3721658641884299E-3</v>
      </c>
      <c r="W182" s="54">
        <v>1321796248.79</v>
      </c>
      <c r="X182" s="54">
        <v>1100320215.2400002</v>
      </c>
      <c r="Y182" s="55">
        <v>0.45428047394932025</v>
      </c>
      <c r="Z182" s="54">
        <v>1313542248.79</v>
      </c>
      <c r="AA182" s="54">
        <v>8254000</v>
      </c>
      <c r="AB182" s="55">
        <v>0.54231176258324232</v>
      </c>
    </row>
    <row r="183" spans="1:28" ht="24.95" customHeight="1">
      <c r="A183" s="32" t="e">
        <v>#REF!</v>
      </c>
      <c r="B183" s="56" t="s">
        <v>682</v>
      </c>
      <c r="C183" s="57" t="s">
        <v>167</v>
      </c>
      <c r="D183" s="57" t="s">
        <v>190</v>
      </c>
      <c r="E183" s="57" t="s">
        <v>172</v>
      </c>
      <c r="F183" s="57">
        <v>20</v>
      </c>
      <c r="G183" s="57" t="s">
        <v>175</v>
      </c>
      <c r="H183" s="57">
        <v>4103061</v>
      </c>
      <c r="I183" s="57" t="s">
        <v>54</v>
      </c>
      <c r="J183" s="57">
        <v>11</v>
      </c>
      <c r="K183" s="58" t="s">
        <v>29</v>
      </c>
      <c r="L183" s="59" t="s">
        <v>178</v>
      </c>
      <c r="M183" s="60">
        <v>36797363155</v>
      </c>
      <c r="N183" s="60"/>
      <c r="O183" s="60"/>
      <c r="P183" s="60"/>
      <c r="Q183" s="60"/>
      <c r="R183" s="61">
        <v>0</v>
      </c>
      <c r="S183" s="60">
        <v>36797363155</v>
      </c>
      <c r="T183" s="60">
        <v>2422116464.0300002</v>
      </c>
      <c r="U183" s="60">
        <v>34375246690.970001</v>
      </c>
      <c r="V183" s="62">
        <v>6.5823098623328524E-2</v>
      </c>
      <c r="W183" s="60">
        <v>1321796248.79</v>
      </c>
      <c r="X183" s="60">
        <v>1100320215.2400002</v>
      </c>
      <c r="Y183" s="62">
        <v>0.45428047394932025</v>
      </c>
      <c r="Z183" s="60">
        <v>1313542248.79</v>
      </c>
      <c r="AA183" s="60">
        <v>8254000</v>
      </c>
      <c r="AB183" s="62">
        <v>0.54231176258324232</v>
      </c>
    </row>
    <row r="184" spans="1:28" ht="24.95" customHeight="1">
      <c r="A184" s="32" t="e">
        <v>#REF!</v>
      </c>
      <c r="B184" s="56" t="s">
        <v>684</v>
      </c>
      <c r="C184" s="57" t="s">
        <v>167</v>
      </c>
      <c r="D184" s="57" t="s">
        <v>190</v>
      </c>
      <c r="E184" s="57" t="s">
        <v>172</v>
      </c>
      <c r="F184" s="57">
        <v>20</v>
      </c>
      <c r="G184" s="57" t="s">
        <v>175</v>
      </c>
      <c r="H184" s="57">
        <v>4103061</v>
      </c>
      <c r="I184" s="57" t="s">
        <v>65</v>
      </c>
      <c r="J184" s="57">
        <v>10</v>
      </c>
      <c r="K184" s="58" t="s">
        <v>29</v>
      </c>
      <c r="L184" s="59" t="s">
        <v>127</v>
      </c>
      <c r="M184" s="60">
        <v>777446076033</v>
      </c>
      <c r="N184" s="60"/>
      <c r="O184" s="60"/>
      <c r="P184" s="60"/>
      <c r="Q184" s="60"/>
      <c r="R184" s="61">
        <v>0</v>
      </c>
      <c r="S184" s="60">
        <v>777446076033</v>
      </c>
      <c r="T184" s="60">
        <v>0</v>
      </c>
      <c r="U184" s="60">
        <v>777446076033</v>
      </c>
      <c r="V184" s="62">
        <v>0</v>
      </c>
      <c r="W184" s="60">
        <v>0</v>
      </c>
      <c r="X184" s="60">
        <v>0</v>
      </c>
      <c r="Y184" s="62">
        <v>0</v>
      </c>
      <c r="Z184" s="60">
        <v>0</v>
      </c>
      <c r="AA184" s="60">
        <v>0</v>
      </c>
      <c r="AB184" s="62">
        <v>0</v>
      </c>
    </row>
    <row r="185" spans="1:28" ht="24.95" customHeight="1">
      <c r="A185" s="32" t="e">
        <v>#REF!</v>
      </c>
      <c r="B185" s="56" t="s">
        <v>684</v>
      </c>
      <c r="C185" s="57" t="s">
        <v>167</v>
      </c>
      <c r="D185" s="57" t="s">
        <v>190</v>
      </c>
      <c r="E185" s="57" t="s">
        <v>172</v>
      </c>
      <c r="F185" s="57">
        <v>20</v>
      </c>
      <c r="G185" s="57" t="s">
        <v>175</v>
      </c>
      <c r="H185" s="57">
        <v>4103061</v>
      </c>
      <c r="I185" s="57" t="s">
        <v>65</v>
      </c>
      <c r="J185" s="57">
        <v>11</v>
      </c>
      <c r="K185" s="58" t="s">
        <v>29</v>
      </c>
      <c r="L185" s="59" t="s">
        <v>127</v>
      </c>
      <c r="M185" s="60">
        <v>206813520022</v>
      </c>
      <c r="N185" s="60"/>
      <c r="O185" s="60"/>
      <c r="P185" s="61"/>
      <c r="Q185" s="60"/>
      <c r="R185" s="61">
        <v>0</v>
      </c>
      <c r="S185" s="60">
        <v>206813520022</v>
      </c>
      <c r="T185" s="60">
        <v>0</v>
      </c>
      <c r="U185" s="60">
        <v>206813520022</v>
      </c>
      <c r="V185" s="62">
        <v>0</v>
      </c>
      <c r="W185" s="60">
        <v>0</v>
      </c>
      <c r="X185" s="60">
        <v>0</v>
      </c>
      <c r="Y185" s="62">
        <v>0</v>
      </c>
      <c r="Z185" s="60">
        <v>0</v>
      </c>
      <c r="AA185" s="60">
        <v>0</v>
      </c>
      <c r="AB185" s="62">
        <v>0</v>
      </c>
    </row>
    <row r="186" spans="1:28" ht="36" customHeight="1">
      <c r="A186" s="32" t="e">
        <v>#REF!</v>
      </c>
      <c r="B186" s="48" t="s">
        <v>692</v>
      </c>
      <c r="C186" s="48" t="s">
        <v>167</v>
      </c>
      <c r="D186" s="48">
        <v>4103</v>
      </c>
      <c r="E186" s="48" t="s">
        <v>172</v>
      </c>
      <c r="F186" s="48">
        <v>21</v>
      </c>
      <c r="G186" s="48"/>
      <c r="H186" s="48"/>
      <c r="I186" s="48"/>
      <c r="J186" s="49"/>
      <c r="K186" s="48"/>
      <c r="L186" s="48" t="s">
        <v>232</v>
      </c>
      <c r="M186" s="50">
        <v>34000000000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34000000000</v>
      </c>
      <c r="T186" s="50">
        <v>670493490</v>
      </c>
      <c r="U186" s="50">
        <v>33329506510</v>
      </c>
      <c r="V186" s="51">
        <v>1.9720396764705883E-2</v>
      </c>
      <c r="W186" s="50">
        <v>146876346</v>
      </c>
      <c r="X186" s="50">
        <v>523617144</v>
      </c>
      <c r="Y186" s="51">
        <v>0.78094292011694255</v>
      </c>
      <c r="Z186" s="50">
        <v>105176346</v>
      </c>
      <c r="AA186" s="50">
        <v>41700000</v>
      </c>
      <c r="AB186" s="51">
        <v>0.15686408230451276</v>
      </c>
    </row>
    <row r="187" spans="1:28" ht="30" customHeight="1">
      <c r="A187" s="32" t="e">
        <v>#REF!</v>
      </c>
      <c r="B187" s="52" t="s">
        <v>693</v>
      </c>
      <c r="C187" s="52" t="s">
        <v>167</v>
      </c>
      <c r="D187" s="52">
        <v>4103</v>
      </c>
      <c r="E187" s="52" t="s">
        <v>172</v>
      </c>
      <c r="F187" s="52">
        <v>21</v>
      </c>
      <c r="G187" s="52" t="s">
        <v>175</v>
      </c>
      <c r="H187" s="52" t="s">
        <v>219</v>
      </c>
      <c r="I187" s="52"/>
      <c r="J187" s="53"/>
      <c r="K187" s="52" t="s">
        <v>29</v>
      </c>
      <c r="L187" s="52" t="s">
        <v>233</v>
      </c>
      <c r="M187" s="54">
        <v>4441786439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4441786439</v>
      </c>
      <c r="T187" s="54">
        <v>0</v>
      </c>
      <c r="U187" s="54">
        <v>4441786439</v>
      </c>
      <c r="V187" s="55">
        <v>0</v>
      </c>
      <c r="W187" s="54">
        <v>0</v>
      </c>
      <c r="X187" s="54">
        <v>0</v>
      </c>
      <c r="Y187" s="55">
        <v>0</v>
      </c>
      <c r="Z187" s="54">
        <v>0</v>
      </c>
      <c r="AA187" s="54">
        <v>0</v>
      </c>
      <c r="AB187" s="55">
        <v>0</v>
      </c>
    </row>
    <row r="188" spans="1:28" ht="24.95" customHeight="1">
      <c r="A188" s="32" t="e">
        <v>#REF!</v>
      </c>
      <c r="B188" s="56" t="s">
        <v>694</v>
      </c>
      <c r="C188" s="57" t="s">
        <v>167</v>
      </c>
      <c r="D188" s="57">
        <v>4103</v>
      </c>
      <c r="E188" s="57" t="s">
        <v>172</v>
      </c>
      <c r="F188" s="57">
        <v>21</v>
      </c>
      <c r="G188" s="57" t="s">
        <v>175</v>
      </c>
      <c r="H188" s="57" t="s">
        <v>219</v>
      </c>
      <c r="I188" s="57" t="s">
        <v>54</v>
      </c>
      <c r="J188" s="57">
        <v>11</v>
      </c>
      <c r="K188" s="58" t="s">
        <v>29</v>
      </c>
      <c r="L188" s="59" t="s">
        <v>178</v>
      </c>
      <c r="M188" s="60">
        <v>4441786439</v>
      </c>
      <c r="N188" s="60"/>
      <c r="O188" s="60"/>
      <c r="P188" s="60"/>
      <c r="Q188" s="60"/>
      <c r="R188" s="61">
        <v>0</v>
      </c>
      <c r="S188" s="60">
        <v>4441786439</v>
      </c>
      <c r="T188" s="60">
        <v>0</v>
      </c>
      <c r="U188" s="60">
        <v>4441786439</v>
      </c>
      <c r="V188" s="62">
        <v>0</v>
      </c>
      <c r="W188" s="60">
        <v>0</v>
      </c>
      <c r="X188" s="60">
        <v>0</v>
      </c>
      <c r="Y188" s="62">
        <v>0</v>
      </c>
      <c r="Z188" s="60">
        <v>0</v>
      </c>
      <c r="AA188" s="60">
        <v>0</v>
      </c>
      <c r="AB188" s="62">
        <v>0</v>
      </c>
    </row>
    <row r="189" spans="1:28" ht="30" customHeight="1">
      <c r="A189" s="32" t="e">
        <v>#REF!</v>
      </c>
      <c r="B189" s="52" t="s">
        <v>695</v>
      </c>
      <c r="C189" s="52" t="s">
        <v>167</v>
      </c>
      <c r="D189" s="52">
        <v>4103</v>
      </c>
      <c r="E189" s="52" t="s">
        <v>172</v>
      </c>
      <c r="F189" s="52">
        <v>21</v>
      </c>
      <c r="G189" s="52" t="s">
        <v>175</v>
      </c>
      <c r="H189" s="52" t="s">
        <v>234</v>
      </c>
      <c r="I189" s="52"/>
      <c r="J189" s="53"/>
      <c r="K189" s="52" t="s">
        <v>29</v>
      </c>
      <c r="L189" s="52" t="s">
        <v>235</v>
      </c>
      <c r="M189" s="54">
        <v>1567335560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1567335560</v>
      </c>
      <c r="T189" s="54">
        <v>0</v>
      </c>
      <c r="U189" s="54">
        <v>1567335560</v>
      </c>
      <c r="V189" s="55">
        <v>0</v>
      </c>
      <c r="W189" s="54">
        <v>0</v>
      </c>
      <c r="X189" s="54">
        <v>0</v>
      </c>
      <c r="Y189" s="55">
        <v>0</v>
      </c>
      <c r="Z189" s="54">
        <v>0</v>
      </c>
      <c r="AA189" s="54">
        <v>0</v>
      </c>
      <c r="AB189" s="55">
        <v>0</v>
      </c>
    </row>
    <row r="190" spans="1:28" ht="24.95" customHeight="1">
      <c r="A190" s="32" t="e">
        <v>#REF!</v>
      </c>
      <c r="B190" s="56" t="s">
        <v>696</v>
      </c>
      <c r="C190" s="57" t="s">
        <v>167</v>
      </c>
      <c r="D190" s="57">
        <v>4103</v>
      </c>
      <c r="E190" s="57" t="s">
        <v>172</v>
      </c>
      <c r="F190" s="57">
        <v>21</v>
      </c>
      <c r="G190" s="57" t="s">
        <v>175</v>
      </c>
      <c r="H190" s="57" t="s">
        <v>234</v>
      </c>
      <c r="I190" s="57" t="s">
        <v>54</v>
      </c>
      <c r="J190" s="57">
        <v>11</v>
      </c>
      <c r="K190" s="58" t="s">
        <v>29</v>
      </c>
      <c r="L190" s="59" t="s">
        <v>178</v>
      </c>
      <c r="M190" s="60">
        <v>1567335560</v>
      </c>
      <c r="N190" s="60"/>
      <c r="O190" s="60"/>
      <c r="P190" s="60"/>
      <c r="Q190" s="60"/>
      <c r="R190" s="61">
        <v>0</v>
      </c>
      <c r="S190" s="60">
        <v>1567335560</v>
      </c>
      <c r="T190" s="60">
        <v>0</v>
      </c>
      <c r="U190" s="60">
        <v>1567335560</v>
      </c>
      <c r="V190" s="62">
        <v>0</v>
      </c>
      <c r="W190" s="60">
        <v>0</v>
      </c>
      <c r="X190" s="60">
        <v>0</v>
      </c>
      <c r="Y190" s="62">
        <v>0</v>
      </c>
      <c r="Z190" s="60">
        <v>0</v>
      </c>
      <c r="AA190" s="60">
        <v>0</v>
      </c>
      <c r="AB190" s="62">
        <v>0</v>
      </c>
    </row>
    <row r="191" spans="1:28" ht="30" customHeight="1">
      <c r="A191" s="32" t="e">
        <v>#REF!</v>
      </c>
      <c r="B191" s="52" t="s">
        <v>697</v>
      </c>
      <c r="C191" s="52" t="s">
        <v>167</v>
      </c>
      <c r="D191" s="52">
        <v>4103</v>
      </c>
      <c r="E191" s="52" t="s">
        <v>172</v>
      </c>
      <c r="F191" s="52">
        <v>21</v>
      </c>
      <c r="G191" s="52" t="s">
        <v>175</v>
      </c>
      <c r="H191" s="52" t="s">
        <v>197</v>
      </c>
      <c r="I191" s="52"/>
      <c r="J191" s="53"/>
      <c r="K191" s="52" t="s">
        <v>29</v>
      </c>
      <c r="L191" s="52" t="s">
        <v>236</v>
      </c>
      <c r="M191" s="54">
        <v>2072835407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2072835407</v>
      </c>
      <c r="T191" s="54">
        <v>0</v>
      </c>
      <c r="U191" s="54">
        <v>2072835407</v>
      </c>
      <c r="V191" s="55">
        <v>0</v>
      </c>
      <c r="W191" s="54">
        <v>0</v>
      </c>
      <c r="X191" s="54">
        <v>0</v>
      </c>
      <c r="Y191" s="55">
        <v>0</v>
      </c>
      <c r="Z191" s="54">
        <v>0</v>
      </c>
      <c r="AA191" s="54">
        <v>0</v>
      </c>
      <c r="AB191" s="55">
        <v>0</v>
      </c>
    </row>
    <row r="192" spans="1:28" ht="24.95" customHeight="1">
      <c r="A192" s="32" t="e">
        <v>#REF!</v>
      </c>
      <c r="B192" s="56" t="s">
        <v>698</v>
      </c>
      <c r="C192" s="57" t="s">
        <v>167</v>
      </c>
      <c r="D192" s="57">
        <v>4103</v>
      </c>
      <c r="E192" s="57" t="s">
        <v>172</v>
      </c>
      <c r="F192" s="57">
        <v>21</v>
      </c>
      <c r="G192" s="57" t="s">
        <v>175</v>
      </c>
      <c r="H192" s="57" t="s">
        <v>197</v>
      </c>
      <c r="I192" s="57" t="s">
        <v>54</v>
      </c>
      <c r="J192" s="57">
        <v>11</v>
      </c>
      <c r="K192" s="58" t="s">
        <v>29</v>
      </c>
      <c r="L192" s="59" t="s">
        <v>178</v>
      </c>
      <c r="M192" s="60">
        <v>2072835407</v>
      </c>
      <c r="N192" s="60"/>
      <c r="O192" s="60"/>
      <c r="P192" s="60"/>
      <c r="Q192" s="761"/>
      <c r="R192" s="61">
        <v>0</v>
      </c>
      <c r="S192" s="60">
        <v>2072835407</v>
      </c>
      <c r="T192" s="60">
        <v>0</v>
      </c>
      <c r="U192" s="60">
        <v>2072835407</v>
      </c>
      <c r="V192" s="62">
        <v>0</v>
      </c>
      <c r="W192" s="60">
        <v>0</v>
      </c>
      <c r="X192" s="60">
        <v>0</v>
      </c>
      <c r="Y192" s="62">
        <v>0</v>
      </c>
      <c r="Z192" s="60">
        <v>0</v>
      </c>
      <c r="AA192" s="60">
        <v>0</v>
      </c>
      <c r="AB192" s="62">
        <v>0</v>
      </c>
    </row>
    <row r="193" spans="1:28" ht="30" customHeight="1">
      <c r="A193" s="32" t="e">
        <v>#REF!</v>
      </c>
      <c r="B193" s="52" t="s">
        <v>699</v>
      </c>
      <c r="C193" s="52" t="s">
        <v>167</v>
      </c>
      <c r="D193" s="52">
        <v>4103</v>
      </c>
      <c r="E193" s="52" t="s">
        <v>172</v>
      </c>
      <c r="F193" s="52">
        <v>21</v>
      </c>
      <c r="G193" s="52" t="s">
        <v>175</v>
      </c>
      <c r="H193" s="52" t="s">
        <v>203</v>
      </c>
      <c r="I193" s="52"/>
      <c r="J193" s="53"/>
      <c r="K193" s="52" t="s">
        <v>29</v>
      </c>
      <c r="L193" s="52" t="s">
        <v>237</v>
      </c>
      <c r="M193" s="54">
        <v>5803396375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5803396375</v>
      </c>
      <c r="T193" s="54">
        <v>0</v>
      </c>
      <c r="U193" s="54">
        <v>5803396375</v>
      </c>
      <c r="V193" s="55">
        <v>0</v>
      </c>
      <c r="W193" s="54">
        <v>0</v>
      </c>
      <c r="X193" s="54">
        <v>0</v>
      </c>
      <c r="Y193" s="55">
        <v>0</v>
      </c>
      <c r="Z193" s="54">
        <v>0</v>
      </c>
      <c r="AA193" s="54">
        <v>0</v>
      </c>
      <c r="AB193" s="55">
        <v>0</v>
      </c>
    </row>
    <row r="194" spans="1:28" ht="24.95" customHeight="1">
      <c r="A194" s="32" t="e">
        <v>#REF!</v>
      </c>
      <c r="B194" s="56" t="s">
        <v>700</v>
      </c>
      <c r="C194" s="57" t="s">
        <v>167</v>
      </c>
      <c r="D194" s="57">
        <v>4103</v>
      </c>
      <c r="E194" s="57" t="s">
        <v>172</v>
      </c>
      <c r="F194" s="57">
        <v>21</v>
      </c>
      <c r="G194" s="57" t="s">
        <v>175</v>
      </c>
      <c r="H194" s="57" t="s">
        <v>203</v>
      </c>
      <c r="I194" s="57" t="s">
        <v>54</v>
      </c>
      <c r="J194" s="57">
        <v>11</v>
      </c>
      <c r="K194" s="58" t="s">
        <v>29</v>
      </c>
      <c r="L194" s="59" t="s">
        <v>178</v>
      </c>
      <c r="M194" s="60">
        <v>5803396375</v>
      </c>
      <c r="N194" s="60"/>
      <c r="O194" s="60"/>
      <c r="P194" s="60"/>
      <c r="Q194" s="60"/>
      <c r="R194" s="61">
        <v>0</v>
      </c>
      <c r="S194" s="60">
        <v>5803396375</v>
      </c>
      <c r="T194" s="60">
        <v>0</v>
      </c>
      <c r="U194" s="60">
        <v>5803396375</v>
      </c>
      <c r="V194" s="62">
        <v>0</v>
      </c>
      <c r="W194" s="60">
        <v>0</v>
      </c>
      <c r="X194" s="60">
        <v>0</v>
      </c>
      <c r="Y194" s="62">
        <v>0</v>
      </c>
      <c r="Z194" s="60">
        <v>0</v>
      </c>
      <c r="AA194" s="60">
        <v>0</v>
      </c>
      <c r="AB194" s="62">
        <v>0</v>
      </c>
    </row>
    <row r="195" spans="1:28" ht="30" customHeight="1">
      <c r="A195" s="32" t="e">
        <v>#REF!</v>
      </c>
      <c r="B195" s="52" t="s">
        <v>701</v>
      </c>
      <c r="C195" s="52" t="s">
        <v>167</v>
      </c>
      <c r="D195" s="52">
        <v>4103</v>
      </c>
      <c r="E195" s="52" t="s">
        <v>172</v>
      </c>
      <c r="F195" s="52">
        <v>21</v>
      </c>
      <c r="G195" s="52" t="s">
        <v>175</v>
      </c>
      <c r="H195" s="52" t="s">
        <v>223</v>
      </c>
      <c r="I195" s="52"/>
      <c r="J195" s="53"/>
      <c r="K195" s="52" t="s">
        <v>29</v>
      </c>
      <c r="L195" s="52" t="s">
        <v>238</v>
      </c>
      <c r="M195" s="54">
        <v>20114646219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20114646219</v>
      </c>
      <c r="T195" s="54">
        <v>670493490</v>
      </c>
      <c r="U195" s="54">
        <v>19444152729</v>
      </c>
      <c r="V195" s="55">
        <v>3.3333595962859223E-2</v>
      </c>
      <c r="W195" s="54">
        <v>146876346</v>
      </c>
      <c r="X195" s="54">
        <v>523617144</v>
      </c>
      <c r="Y195" s="55">
        <v>0.78094292011694255</v>
      </c>
      <c r="Z195" s="54">
        <v>105176346</v>
      </c>
      <c r="AA195" s="54">
        <v>41700000</v>
      </c>
      <c r="AB195" s="55">
        <v>0.15686408230451276</v>
      </c>
    </row>
    <row r="196" spans="1:28" ht="24.95" customHeight="1">
      <c r="A196" s="32" t="e">
        <v>#REF!</v>
      </c>
      <c r="B196" s="56" t="s">
        <v>702</v>
      </c>
      <c r="C196" s="57" t="s">
        <v>167</v>
      </c>
      <c r="D196" s="57">
        <v>4103</v>
      </c>
      <c r="E196" s="57" t="s">
        <v>172</v>
      </c>
      <c r="F196" s="57">
        <v>21</v>
      </c>
      <c r="G196" s="57" t="s">
        <v>175</v>
      </c>
      <c r="H196" s="57" t="s">
        <v>223</v>
      </c>
      <c r="I196" s="57" t="s">
        <v>54</v>
      </c>
      <c r="J196" s="57">
        <v>11</v>
      </c>
      <c r="K196" s="58" t="s">
        <v>29</v>
      </c>
      <c r="L196" s="59" t="s">
        <v>178</v>
      </c>
      <c r="M196" s="60">
        <v>20114646219</v>
      </c>
      <c r="N196" s="60"/>
      <c r="O196" s="60"/>
      <c r="P196" s="60"/>
      <c r="Q196" s="61"/>
      <c r="R196" s="61">
        <v>0</v>
      </c>
      <c r="S196" s="60">
        <v>20114646219</v>
      </c>
      <c r="T196" s="60">
        <v>670493490</v>
      </c>
      <c r="U196" s="60">
        <v>19444152729</v>
      </c>
      <c r="V196" s="62">
        <v>3.3333595962859223E-2</v>
      </c>
      <c r="W196" s="60">
        <v>146876346</v>
      </c>
      <c r="X196" s="60">
        <v>523617144</v>
      </c>
      <c r="Y196" s="62">
        <v>0.78094292011694255</v>
      </c>
      <c r="Z196" s="60">
        <v>105176346</v>
      </c>
      <c r="AA196" s="60">
        <v>41700000</v>
      </c>
      <c r="AB196" s="62">
        <v>0.15686408230451276</v>
      </c>
    </row>
    <row r="197" spans="1:28" ht="45.75" customHeight="1">
      <c r="A197" s="32" t="e">
        <v>#REF!</v>
      </c>
      <c r="B197" s="48" t="s">
        <v>704</v>
      </c>
      <c r="C197" s="48" t="s">
        <v>167</v>
      </c>
      <c r="D197" s="48">
        <v>4103</v>
      </c>
      <c r="E197" s="48" t="s">
        <v>172</v>
      </c>
      <c r="F197" s="48">
        <v>22</v>
      </c>
      <c r="G197" s="48"/>
      <c r="H197" s="48"/>
      <c r="I197" s="48"/>
      <c r="J197" s="49"/>
      <c r="K197" s="48"/>
      <c r="L197" s="48" t="s">
        <v>239</v>
      </c>
      <c r="M197" s="50">
        <v>188272298572</v>
      </c>
      <c r="N197" s="50">
        <v>0</v>
      </c>
      <c r="O197" s="742">
        <v>0</v>
      </c>
      <c r="P197" s="50">
        <v>0</v>
      </c>
      <c r="Q197" s="50">
        <v>0</v>
      </c>
      <c r="R197" s="742">
        <v>0</v>
      </c>
      <c r="S197" s="50">
        <v>188272298572</v>
      </c>
      <c r="T197" s="50">
        <v>27294633298</v>
      </c>
      <c r="U197" s="50">
        <v>160977665274</v>
      </c>
      <c r="V197" s="51">
        <v>0.14497423946604579</v>
      </c>
      <c r="W197" s="50">
        <v>378269822</v>
      </c>
      <c r="X197" s="50">
        <v>26916363476</v>
      </c>
      <c r="Y197" s="51">
        <v>0.98614123817418287</v>
      </c>
      <c r="Z197" s="50">
        <v>296269822</v>
      </c>
      <c r="AA197" s="50">
        <v>82000000</v>
      </c>
      <c r="AB197" s="51">
        <v>1.0854508238500827E-2</v>
      </c>
    </row>
    <row r="198" spans="1:28" ht="30" customHeight="1">
      <c r="A198" s="32" t="e">
        <v>#REF!</v>
      </c>
      <c r="B198" s="52" t="s">
        <v>705</v>
      </c>
      <c r="C198" s="52" t="s">
        <v>167</v>
      </c>
      <c r="D198" s="52">
        <v>4103</v>
      </c>
      <c r="E198" s="52" t="s">
        <v>172</v>
      </c>
      <c r="F198" s="52">
        <v>22</v>
      </c>
      <c r="G198" s="52" t="s">
        <v>175</v>
      </c>
      <c r="H198" s="52" t="s">
        <v>219</v>
      </c>
      <c r="I198" s="52"/>
      <c r="J198" s="53"/>
      <c r="K198" s="52" t="s">
        <v>29</v>
      </c>
      <c r="L198" s="52" t="s">
        <v>240</v>
      </c>
      <c r="M198" s="54">
        <v>10954065210</v>
      </c>
      <c r="N198" s="54">
        <v>0</v>
      </c>
      <c r="O198" s="743">
        <v>0</v>
      </c>
      <c r="P198" s="54">
        <v>0</v>
      </c>
      <c r="Q198" s="743">
        <v>0</v>
      </c>
      <c r="R198" s="743">
        <v>0</v>
      </c>
      <c r="S198" s="54">
        <v>10954065210</v>
      </c>
      <c r="T198" s="54">
        <v>678928972</v>
      </c>
      <c r="U198" s="54">
        <v>10275136238</v>
      </c>
      <c r="V198" s="55">
        <v>6.1979635777611002E-2</v>
      </c>
      <c r="W198" s="54">
        <v>0</v>
      </c>
      <c r="X198" s="54">
        <v>678928972</v>
      </c>
      <c r="Y198" s="55">
        <v>1</v>
      </c>
      <c r="Z198" s="54">
        <v>0</v>
      </c>
      <c r="AA198" s="54">
        <v>0</v>
      </c>
      <c r="AB198" s="55">
        <v>0</v>
      </c>
    </row>
    <row r="199" spans="1:28" ht="24.95" customHeight="1">
      <c r="A199" s="32" t="e">
        <v>#REF!</v>
      </c>
      <c r="B199" s="56" t="s">
        <v>706</v>
      </c>
      <c r="C199" s="57" t="s">
        <v>167</v>
      </c>
      <c r="D199" s="57">
        <v>4103</v>
      </c>
      <c r="E199" s="57" t="s">
        <v>172</v>
      </c>
      <c r="F199" s="57">
        <v>22</v>
      </c>
      <c r="G199" s="57" t="s">
        <v>175</v>
      </c>
      <c r="H199" s="57" t="s">
        <v>219</v>
      </c>
      <c r="I199" s="57" t="s">
        <v>54</v>
      </c>
      <c r="J199" s="57">
        <v>11</v>
      </c>
      <c r="K199" s="58" t="s">
        <v>29</v>
      </c>
      <c r="L199" s="59" t="s">
        <v>178</v>
      </c>
      <c r="M199" s="60">
        <v>10954065210</v>
      </c>
      <c r="N199" s="60"/>
      <c r="O199" s="60"/>
      <c r="P199" s="60"/>
      <c r="Q199" s="60">
        <v>0</v>
      </c>
      <c r="R199" s="61">
        <v>0</v>
      </c>
      <c r="S199" s="60">
        <v>10954065210</v>
      </c>
      <c r="T199" s="60">
        <v>678928972</v>
      </c>
      <c r="U199" s="60">
        <v>10275136238</v>
      </c>
      <c r="V199" s="62">
        <v>6.1979635777611002E-2</v>
      </c>
      <c r="W199" s="60">
        <v>0</v>
      </c>
      <c r="X199" s="60">
        <v>678928972</v>
      </c>
      <c r="Y199" s="62">
        <v>1</v>
      </c>
      <c r="Z199" s="60">
        <v>0</v>
      </c>
      <c r="AA199" s="60">
        <v>0</v>
      </c>
      <c r="AB199" s="62">
        <v>0</v>
      </c>
    </row>
    <row r="200" spans="1:28" ht="26.25" customHeight="1">
      <c r="A200" s="32" t="e">
        <v>#REF!</v>
      </c>
      <c r="B200" s="52" t="s">
        <v>707</v>
      </c>
      <c r="C200" s="52" t="s">
        <v>167</v>
      </c>
      <c r="D200" s="52">
        <v>4103</v>
      </c>
      <c r="E200" s="52" t="s">
        <v>172</v>
      </c>
      <c r="F200" s="52">
        <v>22</v>
      </c>
      <c r="G200" s="52" t="s">
        <v>175</v>
      </c>
      <c r="H200" s="52" t="s">
        <v>234</v>
      </c>
      <c r="I200" s="52"/>
      <c r="J200" s="53"/>
      <c r="K200" s="52" t="s">
        <v>29</v>
      </c>
      <c r="L200" s="52" t="s">
        <v>241</v>
      </c>
      <c r="M200" s="54">
        <v>23566120170</v>
      </c>
      <c r="N200" s="54">
        <v>0</v>
      </c>
      <c r="O200" s="743">
        <v>0</v>
      </c>
      <c r="P200" s="54">
        <v>0</v>
      </c>
      <c r="Q200" s="743">
        <v>0</v>
      </c>
      <c r="R200" s="743">
        <v>0</v>
      </c>
      <c r="S200" s="54">
        <v>23566120170</v>
      </c>
      <c r="T200" s="54">
        <v>2147189188</v>
      </c>
      <c r="U200" s="54">
        <v>21418930982</v>
      </c>
      <c r="V200" s="55">
        <v>9.1113393825997785E-2</v>
      </c>
      <c r="W200" s="54">
        <v>0</v>
      </c>
      <c r="X200" s="54">
        <v>2147189188</v>
      </c>
      <c r="Y200" s="55">
        <v>1</v>
      </c>
      <c r="Z200" s="54">
        <v>0</v>
      </c>
      <c r="AA200" s="54">
        <v>0</v>
      </c>
      <c r="AB200" s="55">
        <v>0</v>
      </c>
    </row>
    <row r="201" spans="1:28" ht="24.95" customHeight="1">
      <c r="A201" s="32" t="e">
        <v>#REF!</v>
      </c>
      <c r="B201" s="56" t="s">
        <v>708</v>
      </c>
      <c r="C201" s="57" t="s">
        <v>167</v>
      </c>
      <c r="D201" s="57">
        <v>4103</v>
      </c>
      <c r="E201" s="57" t="s">
        <v>172</v>
      </c>
      <c r="F201" s="57">
        <v>22</v>
      </c>
      <c r="G201" s="57" t="s">
        <v>175</v>
      </c>
      <c r="H201" s="57" t="s">
        <v>234</v>
      </c>
      <c r="I201" s="57" t="s">
        <v>54</v>
      </c>
      <c r="J201" s="57">
        <v>11</v>
      </c>
      <c r="K201" s="58" t="s">
        <v>29</v>
      </c>
      <c r="L201" s="59" t="s">
        <v>178</v>
      </c>
      <c r="M201" s="60">
        <v>23566120170</v>
      </c>
      <c r="N201" s="60"/>
      <c r="O201" s="60"/>
      <c r="P201" s="60"/>
      <c r="Q201" s="60">
        <v>0</v>
      </c>
      <c r="R201" s="61">
        <v>0</v>
      </c>
      <c r="S201" s="60">
        <v>23566120170</v>
      </c>
      <c r="T201" s="60">
        <v>2147189188</v>
      </c>
      <c r="U201" s="60">
        <v>21418930982</v>
      </c>
      <c r="V201" s="62">
        <v>9.1113393825997785E-2</v>
      </c>
      <c r="W201" s="60">
        <v>0</v>
      </c>
      <c r="X201" s="60">
        <v>2147189188</v>
      </c>
      <c r="Y201" s="62">
        <v>1</v>
      </c>
      <c r="Z201" s="60">
        <v>0</v>
      </c>
      <c r="AA201" s="60">
        <v>0</v>
      </c>
      <c r="AB201" s="62">
        <v>0</v>
      </c>
    </row>
    <row r="202" spans="1:28" ht="24.75" customHeight="1">
      <c r="A202" s="32" t="e">
        <v>#REF!</v>
      </c>
      <c r="B202" s="52" t="s">
        <v>710</v>
      </c>
      <c r="C202" s="52" t="s">
        <v>167</v>
      </c>
      <c r="D202" s="52">
        <v>4103</v>
      </c>
      <c r="E202" s="52" t="s">
        <v>172</v>
      </c>
      <c r="F202" s="52">
        <v>22</v>
      </c>
      <c r="G202" s="52" t="s">
        <v>175</v>
      </c>
      <c r="H202" s="52">
        <v>4103051</v>
      </c>
      <c r="I202" s="52"/>
      <c r="J202" s="53"/>
      <c r="K202" s="52" t="s">
        <v>29</v>
      </c>
      <c r="L202" s="52" t="s">
        <v>242</v>
      </c>
      <c r="M202" s="54">
        <v>18826252848</v>
      </c>
      <c r="N202" s="54">
        <v>0</v>
      </c>
      <c r="O202" s="743">
        <v>0</v>
      </c>
      <c r="P202" s="54">
        <v>0</v>
      </c>
      <c r="Q202" s="743">
        <v>0</v>
      </c>
      <c r="R202" s="743">
        <v>0</v>
      </c>
      <c r="S202" s="54">
        <v>18826252848</v>
      </c>
      <c r="T202" s="54">
        <v>738303143</v>
      </c>
      <c r="U202" s="54">
        <v>18087949705</v>
      </c>
      <c r="V202" s="55">
        <v>3.9216680502537356E-2</v>
      </c>
      <c r="W202" s="54">
        <v>0</v>
      </c>
      <c r="X202" s="54">
        <v>738303143</v>
      </c>
      <c r="Y202" s="55">
        <v>1</v>
      </c>
      <c r="Z202" s="54">
        <v>0</v>
      </c>
      <c r="AA202" s="54">
        <v>0</v>
      </c>
      <c r="AB202" s="55">
        <v>0</v>
      </c>
    </row>
    <row r="203" spans="1:28" ht="24.95" customHeight="1">
      <c r="A203" s="32" t="e">
        <v>#REF!</v>
      </c>
      <c r="B203" s="56" t="s">
        <v>711</v>
      </c>
      <c r="C203" s="57" t="s">
        <v>167</v>
      </c>
      <c r="D203" s="57">
        <v>4103</v>
      </c>
      <c r="E203" s="57" t="s">
        <v>172</v>
      </c>
      <c r="F203" s="57">
        <v>22</v>
      </c>
      <c r="G203" s="57" t="s">
        <v>175</v>
      </c>
      <c r="H203" s="57">
        <v>4103051</v>
      </c>
      <c r="I203" s="57" t="s">
        <v>54</v>
      </c>
      <c r="J203" s="57">
        <v>11</v>
      </c>
      <c r="K203" s="58" t="s">
        <v>29</v>
      </c>
      <c r="L203" s="59" t="s">
        <v>178</v>
      </c>
      <c r="M203" s="60">
        <v>18826252848</v>
      </c>
      <c r="N203" s="60"/>
      <c r="O203" s="60"/>
      <c r="P203" s="60"/>
      <c r="Q203" s="60">
        <v>0</v>
      </c>
      <c r="R203" s="61">
        <v>0</v>
      </c>
      <c r="S203" s="60">
        <v>18826252848</v>
      </c>
      <c r="T203" s="60">
        <v>738303143</v>
      </c>
      <c r="U203" s="60">
        <v>18087949705</v>
      </c>
      <c r="V203" s="62">
        <v>3.9216680502537356E-2</v>
      </c>
      <c r="W203" s="60">
        <v>0</v>
      </c>
      <c r="X203" s="60">
        <v>738303143</v>
      </c>
      <c r="Y203" s="62">
        <v>1</v>
      </c>
      <c r="Z203" s="60">
        <v>0</v>
      </c>
      <c r="AA203" s="60">
        <v>0</v>
      </c>
      <c r="AB203" s="62">
        <v>0</v>
      </c>
    </row>
    <row r="204" spans="1:28" ht="26.25" customHeight="1">
      <c r="A204" s="32" t="e">
        <v>#REF!</v>
      </c>
      <c r="B204" s="52" t="s">
        <v>712</v>
      </c>
      <c r="C204" s="52" t="s">
        <v>167</v>
      </c>
      <c r="D204" s="52">
        <v>4103</v>
      </c>
      <c r="E204" s="52" t="s">
        <v>172</v>
      </c>
      <c r="F204" s="52">
        <v>22</v>
      </c>
      <c r="G204" s="52" t="s">
        <v>175</v>
      </c>
      <c r="H204" s="52">
        <v>4103055</v>
      </c>
      <c r="I204" s="52"/>
      <c r="J204" s="53"/>
      <c r="K204" s="52" t="s">
        <v>29</v>
      </c>
      <c r="L204" s="52" t="s">
        <v>243</v>
      </c>
      <c r="M204" s="54">
        <v>9355356380</v>
      </c>
      <c r="N204" s="54">
        <v>0</v>
      </c>
      <c r="O204" s="743">
        <v>0</v>
      </c>
      <c r="P204" s="743">
        <v>0</v>
      </c>
      <c r="Q204" s="54">
        <v>0</v>
      </c>
      <c r="R204" s="743">
        <v>0</v>
      </c>
      <c r="S204" s="54">
        <v>9355356380</v>
      </c>
      <c r="T204" s="54">
        <v>1315527073</v>
      </c>
      <c r="U204" s="54">
        <v>8039829307</v>
      </c>
      <c r="V204" s="55">
        <v>0.14061752642714398</v>
      </c>
      <c r="W204" s="54">
        <v>0</v>
      </c>
      <c r="X204" s="54">
        <v>1315527073</v>
      </c>
      <c r="Y204" s="55">
        <v>1</v>
      </c>
      <c r="Z204" s="54">
        <v>0</v>
      </c>
      <c r="AA204" s="54">
        <v>0</v>
      </c>
      <c r="AB204" s="55">
        <v>0</v>
      </c>
    </row>
    <row r="205" spans="1:28" ht="24.95" customHeight="1">
      <c r="A205" s="32" t="e">
        <v>#REF!</v>
      </c>
      <c r="B205" s="56" t="s">
        <v>713</v>
      </c>
      <c r="C205" s="57" t="s">
        <v>167</v>
      </c>
      <c r="D205" s="57">
        <v>4103</v>
      </c>
      <c r="E205" s="57" t="s">
        <v>172</v>
      </c>
      <c r="F205" s="57">
        <v>22</v>
      </c>
      <c r="G205" s="57" t="s">
        <v>175</v>
      </c>
      <c r="H205" s="57" t="s">
        <v>203</v>
      </c>
      <c r="I205" s="57" t="s">
        <v>54</v>
      </c>
      <c r="J205" s="57">
        <v>11</v>
      </c>
      <c r="K205" s="58" t="s">
        <v>29</v>
      </c>
      <c r="L205" s="59" t="s">
        <v>178</v>
      </c>
      <c r="M205" s="60">
        <v>9355356380</v>
      </c>
      <c r="N205" s="60"/>
      <c r="O205" s="60"/>
      <c r="P205" s="60"/>
      <c r="Q205" s="60"/>
      <c r="R205" s="61">
        <v>0</v>
      </c>
      <c r="S205" s="60">
        <v>9355356380</v>
      </c>
      <c r="T205" s="60">
        <v>1315527073</v>
      </c>
      <c r="U205" s="60">
        <v>8039829307</v>
      </c>
      <c r="V205" s="62">
        <v>0.14061752642714398</v>
      </c>
      <c r="W205" s="60">
        <v>0</v>
      </c>
      <c r="X205" s="60">
        <v>1315527073</v>
      </c>
      <c r="Y205" s="62">
        <v>1</v>
      </c>
      <c r="Z205" s="60">
        <v>0</v>
      </c>
      <c r="AA205" s="60">
        <v>0</v>
      </c>
      <c r="AB205" s="62">
        <v>0</v>
      </c>
    </row>
    <row r="206" spans="1:28" ht="27.75" customHeight="1">
      <c r="A206" s="32" t="e">
        <v>#REF!</v>
      </c>
      <c r="B206" s="52" t="s">
        <v>715</v>
      </c>
      <c r="C206" s="52" t="s">
        <v>167</v>
      </c>
      <c r="D206" s="52">
        <v>4103</v>
      </c>
      <c r="E206" s="52" t="s">
        <v>172</v>
      </c>
      <c r="F206" s="52">
        <v>22</v>
      </c>
      <c r="G206" s="52" t="s">
        <v>175</v>
      </c>
      <c r="H206" s="52">
        <v>4103057</v>
      </c>
      <c r="I206" s="52"/>
      <c r="J206" s="53"/>
      <c r="K206" s="52" t="s">
        <v>29</v>
      </c>
      <c r="L206" s="52" t="s">
        <v>244</v>
      </c>
      <c r="M206" s="54">
        <v>42878440876</v>
      </c>
      <c r="N206" s="54">
        <v>0</v>
      </c>
      <c r="O206" s="743">
        <v>0</v>
      </c>
      <c r="P206" s="743">
        <v>0</v>
      </c>
      <c r="Q206" s="54">
        <v>0</v>
      </c>
      <c r="R206" s="743">
        <v>0</v>
      </c>
      <c r="S206" s="54">
        <v>42878440876</v>
      </c>
      <c r="T206" s="54">
        <v>21876955234</v>
      </c>
      <c r="U206" s="54">
        <v>21001485642</v>
      </c>
      <c r="V206" s="55">
        <v>0.51020873863548077</v>
      </c>
      <c r="W206" s="54">
        <v>378269822</v>
      </c>
      <c r="X206" s="54">
        <v>21498685412</v>
      </c>
      <c r="Y206" s="55">
        <v>0.98270921076749684</v>
      </c>
      <c r="Z206" s="54">
        <v>296269822</v>
      </c>
      <c r="AA206" s="54">
        <v>82000000</v>
      </c>
      <c r="AB206" s="55">
        <v>1.3542552829269094E-2</v>
      </c>
    </row>
    <row r="207" spans="1:28" ht="24.95" customHeight="1">
      <c r="A207" s="32" t="e">
        <v>#REF!</v>
      </c>
      <c r="B207" s="56" t="s">
        <v>716</v>
      </c>
      <c r="C207" s="57" t="s">
        <v>167</v>
      </c>
      <c r="D207" s="57">
        <v>4103</v>
      </c>
      <c r="E207" s="57" t="s">
        <v>172</v>
      </c>
      <c r="F207" s="57">
        <v>22</v>
      </c>
      <c r="G207" s="57" t="s">
        <v>175</v>
      </c>
      <c r="H207" s="57" t="s">
        <v>221</v>
      </c>
      <c r="I207" s="57" t="s">
        <v>54</v>
      </c>
      <c r="J207" s="57">
        <v>11</v>
      </c>
      <c r="K207" s="58" t="s">
        <v>29</v>
      </c>
      <c r="L207" s="59" t="s">
        <v>178</v>
      </c>
      <c r="M207" s="60">
        <v>4467871684</v>
      </c>
      <c r="N207" s="60"/>
      <c r="O207" s="60"/>
      <c r="P207" s="60"/>
      <c r="Q207" s="60"/>
      <c r="R207" s="61">
        <v>0</v>
      </c>
      <c r="S207" s="60">
        <v>4467871684</v>
      </c>
      <c r="T207" s="60">
        <v>1418583834</v>
      </c>
      <c r="U207" s="60">
        <v>3049287850</v>
      </c>
      <c r="V207" s="62">
        <v>0.31750773843396707</v>
      </c>
      <c r="W207" s="60">
        <v>378269822</v>
      </c>
      <c r="X207" s="60">
        <v>1040314012</v>
      </c>
      <c r="Y207" s="62">
        <v>0.73334686824014661</v>
      </c>
      <c r="Z207" s="60">
        <v>296269822</v>
      </c>
      <c r="AA207" s="60">
        <v>82000000</v>
      </c>
      <c r="AB207" s="62">
        <v>0.20884900483082763</v>
      </c>
    </row>
    <row r="208" spans="1:28" ht="24.95" customHeight="1">
      <c r="A208" s="32" t="e">
        <v>#REF!</v>
      </c>
      <c r="B208" s="56" t="s">
        <v>717</v>
      </c>
      <c r="C208" s="57" t="s">
        <v>167</v>
      </c>
      <c r="D208" s="57">
        <v>4103</v>
      </c>
      <c r="E208" s="57" t="s">
        <v>172</v>
      </c>
      <c r="F208" s="57">
        <v>22</v>
      </c>
      <c r="G208" s="57" t="s">
        <v>175</v>
      </c>
      <c r="H208" s="57" t="s">
        <v>221</v>
      </c>
      <c r="I208" s="57" t="s">
        <v>65</v>
      </c>
      <c r="J208" s="57">
        <v>11</v>
      </c>
      <c r="K208" s="58" t="s">
        <v>29</v>
      </c>
      <c r="L208" s="59" t="s">
        <v>127</v>
      </c>
      <c r="M208" s="60">
        <v>38410569192</v>
      </c>
      <c r="N208" s="60"/>
      <c r="O208" s="60"/>
      <c r="P208" s="60"/>
      <c r="Q208" s="60"/>
      <c r="R208" s="61">
        <v>0</v>
      </c>
      <c r="S208" s="60">
        <v>38410569192</v>
      </c>
      <c r="T208" s="60">
        <v>20458371400</v>
      </c>
      <c r="U208" s="60">
        <v>17952197792</v>
      </c>
      <c r="V208" s="62">
        <v>0.53262348958528294</v>
      </c>
      <c r="W208" s="60">
        <v>0</v>
      </c>
      <c r="X208" s="60">
        <v>20458371400</v>
      </c>
      <c r="Y208" s="62">
        <v>1</v>
      </c>
      <c r="Z208" s="60">
        <v>0</v>
      </c>
      <c r="AA208" s="60">
        <v>0</v>
      </c>
      <c r="AB208" s="62">
        <v>0</v>
      </c>
    </row>
    <row r="209" spans="1:28" ht="23.25" customHeight="1">
      <c r="A209" s="32" t="e">
        <v>#REF!</v>
      </c>
      <c r="B209" s="52" t="s">
        <v>718</v>
      </c>
      <c r="C209" s="52" t="s">
        <v>167</v>
      </c>
      <c r="D209" s="52">
        <v>4103</v>
      </c>
      <c r="E209" s="52" t="s">
        <v>172</v>
      </c>
      <c r="F209" s="52">
        <v>22</v>
      </c>
      <c r="G209" s="52" t="s">
        <v>175</v>
      </c>
      <c r="H209" s="52">
        <v>4103062</v>
      </c>
      <c r="I209" s="52"/>
      <c r="J209" s="53"/>
      <c r="K209" s="52" t="s">
        <v>29</v>
      </c>
      <c r="L209" s="52" t="s">
        <v>245</v>
      </c>
      <c r="M209" s="54">
        <v>82692063088</v>
      </c>
      <c r="N209" s="54">
        <v>0</v>
      </c>
      <c r="O209" s="743">
        <v>0</v>
      </c>
      <c r="P209" s="54">
        <v>0</v>
      </c>
      <c r="Q209" s="743">
        <v>0</v>
      </c>
      <c r="R209" s="743">
        <v>0</v>
      </c>
      <c r="S209" s="54">
        <v>82692063088</v>
      </c>
      <c r="T209" s="54">
        <v>537729688</v>
      </c>
      <c r="U209" s="54">
        <v>82154333400</v>
      </c>
      <c r="V209" s="55">
        <v>6.5027968576349812E-3</v>
      </c>
      <c r="W209" s="54">
        <v>0</v>
      </c>
      <c r="X209" s="54">
        <v>537729688</v>
      </c>
      <c r="Y209" s="55">
        <v>1</v>
      </c>
      <c r="Z209" s="54">
        <v>0</v>
      </c>
      <c r="AA209" s="54">
        <v>0</v>
      </c>
      <c r="AB209" s="55">
        <v>0</v>
      </c>
    </row>
    <row r="210" spans="1:28" ht="24.95" customHeight="1">
      <c r="A210" s="32" t="e">
        <v>#REF!</v>
      </c>
      <c r="B210" s="56" t="s">
        <v>719</v>
      </c>
      <c r="C210" s="57" t="s">
        <v>167</v>
      </c>
      <c r="D210" s="57">
        <v>4103</v>
      </c>
      <c r="E210" s="57" t="s">
        <v>172</v>
      </c>
      <c r="F210" s="57">
        <v>22</v>
      </c>
      <c r="G210" s="57" t="s">
        <v>175</v>
      </c>
      <c r="H210" s="57" t="s">
        <v>246</v>
      </c>
      <c r="I210" s="57" t="s">
        <v>54</v>
      </c>
      <c r="J210" s="57">
        <v>11</v>
      </c>
      <c r="K210" s="58" t="s">
        <v>29</v>
      </c>
      <c r="L210" s="59" t="s">
        <v>178</v>
      </c>
      <c r="M210" s="60">
        <v>11892063088</v>
      </c>
      <c r="N210" s="60"/>
      <c r="O210" s="60"/>
      <c r="P210" s="60"/>
      <c r="Q210" s="60">
        <v>0</v>
      </c>
      <c r="R210" s="61">
        <v>0</v>
      </c>
      <c r="S210" s="60">
        <v>11892063088</v>
      </c>
      <c r="T210" s="60">
        <v>537729688</v>
      </c>
      <c r="U210" s="60">
        <v>11354333400</v>
      </c>
      <c r="V210" s="62">
        <v>4.5217527355922819E-2</v>
      </c>
      <c r="W210" s="60">
        <v>0</v>
      </c>
      <c r="X210" s="60">
        <v>537729688</v>
      </c>
      <c r="Y210" s="62">
        <v>1</v>
      </c>
      <c r="Z210" s="60">
        <v>0</v>
      </c>
      <c r="AA210" s="60">
        <v>0</v>
      </c>
      <c r="AB210" s="62">
        <v>0</v>
      </c>
    </row>
    <row r="211" spans="1:28" ht="24.95" customHeight="1">
      <c r="A211" s="32" t="e">
        <v>#REF!</v>
      </c>
      <c r="B211" s="56" t="s">
        <v>720</v>
      </c>
      <c r="C211" s="57" t="s">
        <v>167</v>
      </c>
      <c r="D211" s="57">
        <v>4103</v>
      </c>
      <c r="E211" s="57" t="s">
        <v>172</v>
      </c>
      <c r="F211" s="57">
        <v>22</v>
      </c>
      <c r="G211" s="57" t="s">
        <v>175</v>
      </c>
      <c r="H211" s="57" t="s">
        <v>246</v>
      </c>
      <c r="I211" s="57" t="s">
        <v>65</v>
      </c>
      <c r="J211" s="57">
        <v>11</v>
      </c>
      <c r="K211" s="58" t="s">
        <v>29</v>
      </c>
      <c r="L211" s="59" t="s">
        <v>127</v>
      </c>
      <c r="M211" s="60">
        <v>70800000000</v>
      </c>
      <c r="N211" s="60"/>
      <c r="O211" s="60"/>
      <c r="P211" s="60"/>
      <c r="Q211" s="60">
        <v>0</v>
      </c>
      <c r="R211" s="61">
        <v>0</v>
      </c>
      <c r="S211" s="60">
        <v>70800000000</v>
      </c>
      <c r="T211" s="60">
        <v>0</v>
      </c>
      <c r="U211" s="60">
        <v>70800000000</v>
      </c>
      <c r="V211" s="62">
        <v>0</v>
      </c>
      <c r="W211" s="60">
        <v>0</v>
      </c>
      <c r="X211" s="60">
        <v>0</v>
      </c>
      <c r="Y211" s="62">
        <v>0</v>
      </c>
      <c r="Z211" s="60">
        <v>0</v>
      </c>
      <c r="AA211" s="60">
        <v>0</v>
      </c>
      <c r="AB211" s="62">
        <v>0</v>
      </c>
    </row>
    <row r="212" spans="1:28" ht="36" customHeight="1">
      <c r="A212" s="32"/>
      <c r="B212" s="48" t="s">
        <v>685</v>
      </c>
      <c r="C212" s="48" t="s">
        <v>167</v>
      </c>
      <c r="D212" s="48" t="s">
        <v>190</v>
      </c>
      <c r="E212" s="48" t="s">
        <v>172</v>
      </c>
      <c r="F212" s="48">
        <v>23</v>
      </c>
      <c r="G212" s="48"/>
      <c r="H212" s="48"/>
      <c r="I212" s="48"/>
      <c r="J212" s="49"/>
      <c r="K212" s="48"/>
      <c r="L212" s="48" t="s">
        <v>247</v>
      </c>
      <c r="M212" s="50">
        <v>1716644723711</v>
      </c>
      <c r="N212" s="50">
        <v>0</v>
      </c>
      <c r="O212" s="742">
        <v>0</v>
      </c>
      <c r="P212" s="50">
        <v>0</v>
      </c>
      <c r="Q212" s="50">
        <v>0</v>
      </c>
      <c r="R212" s="742">
        <v>0</v>
      </c>
      <c r="S212" s="50">
        <v>1716644723711</v>
      </c>
      <c r="T212" s="50">
        <v>426074486880.92999</v>
      </c>
      <c r="U212" s="50">
        <v>1290570236830.0698</v>
      </c>
      <c r="V212" s="51">
        <v>0.24820190281414359</v>
      </c>
      <c r="W212" s="50">
        <v>392603617496.22998</v>
      </c>
      <c r="X212" s="50">
        <v>33470869384.700001</v>
      </c>
      <c r="Y212" s="51">
        <v>7.8556380199440834E-2</v>
      </c>
      <c r="Z212" s="50">
        <v>392597317496.22998</v>
      </c>
      <c r="AA212" s="50">
        <v>6300000</v>
      </c>
      <c r="AB212" s="51">
        <v>0.92142883365354966</v>
      </c>
    </row>
    <row r="213" spans="1:28" ht="33.75" customHeight="1">
      <c r="A213" s="32"/>
      <c r="B213" s="52" t="s">
        <v>721</v>
      </c>
      <c r="C213" s="52" t="s">
        <v>167</v>
      </c>
      <c r="D213" s="52" t="s">
        <v>190</v>
      </c>
      <c r="E213" s="52" t="s">
        <v>172</v>
      </c>
      <c r="F213" s="52">
        <v>23</v>
      </c>
      <c r="G213" s="52" t="s">
        <v>175</v>
      </c>
      <c r="H213" s="52">
        <v>4103065</v>
      </c>
      <c r="I213" s="52"/>
      <c r="J213" s="53"/>
      <c r="K213" s="52" t="s">
        <v>29</v>
      </c>
      <c r="L213" s="52" t="s">
        <v>248</v>
      </c>
      <c r="M213" s="54">
        <v>1716644723711</v>
      </c>
      <c r="N213" s="54">
        <v>0</v>
      </c>
      <c r="O213" s="743">
        <v>0</v>
      </c>
      <c r="P213" s="54">
        <v>0</v>
      </c>
      <c r="Q213" s="54">
        <v>0</v>
      </c>
      <c r="R213" s="743">
        <v>0</v>
      </c>
      <c r="S213" s="54">
        <v>1716644723711</v>
      </c>
      <c r="T213" s="54">
        <v>426074486880.92999</v>
      </c>
      <c r="U213" s="54">
        <v>1290570236830.0698</v>
      </c>
      <c r="V213" s="55">
        <v>0.24820190281414359</v>
      </c>
      <c r="W213" s="54">
        <v>392603617496.22998</v>
      </c>
      <c r="X213" s="54">
        <v>33470869384.700001</v>
      </c>
      <c r="Y213" s="55">
        <v>7.8556380199440834E-2</v>
      </c>
      <c r="Z213" s="54">
        <v>392597317496.22998</v>
      </c>
      <c r="AA213" s="54">
        <v>6300000</v>
      </c>
      <c r="AB213" s="55">
        <v>0.92142883365354966</v>
      </c>
    </row>
    <row r="214" spans="1:28" ht="24.95" customHeight="1">
      <c r="A214" s="32"/>
      <c r="B214" s="56" t="s">
        <v>722</v>
      </c>
      <c r="C214" s="57" t="s">
        <v>167</v>
      </c>
      <c r="D214" s="57" t="s">
        <v>190</v>
      </c>
      <c r="E214" s="57" t="s">
        <v>172</v>
      </c>
      <c r="F214" s="57">
        <v>23</v>
      </c>
      <c r="G214" s="57" t="s">
        <v>175</v>
      </c>
      <c r="H214" s="57">
        <v>4103065</v>
      </c>
      <c r="I214" s="57" t="s">
        <v>54</v>
      </c>
      <c r="J214" s="57">
        <v>10</v>
      </c>
      <c r="K214" s="58" t="s">
        <v>29</v>
      </c>
      <c r="L214" s="59" t="s">
        <v>178</v>
      </c>
      <c r="M214" s="60">
        <v>58404083711</v>
      </c>
      <c r="N214" s="60"/>
      <c r="O214" s="60"/>
      <c r="P214" s="60"/>
      <c r="Q214" s="60"/>
      <c r="R214" s="61">
        <v>0</v>
      </c>
      <c r="S214" s="60">
        <v>58404083711</v>
      </c>
      <c r="T214" s="60">
        <v>26170766880.93</v>
      </c>
      <c r="U214" s="60">
        <v>32233316830.07</v>
      </c>
      <c r="V214" s="62">
        <v>0.44809823591155701</v>
      </c>
      <c r="W214" s="60">
        <v>720422496.23000002</v>
      </c>
      <c r="X214" s="60">
        <v>25450344384.700001</v>
      </c>
      <c r="Y214" s="62">
        <v>0.9724722435720845</v>
      </c>
      <c r="Z214" s="60">
        <v>714122496.23000002</v>
      </c>
      <c r="AA214" s="60">
        <v>6300000</v>
      </c>
      <c r="AB214" s="62">
        <v>2.7287029817623102E-2</v>
      </c>
    </row>
    <row r="215" spans="1:28" ht="24.95" customHeight="1">
      <c r="A215" s="32"/>
      <c r="B215" s="56" t="s">
        <v>723</v>
      </c>
      <c r="C215" s="57" t="s">
        <v>167</v>
      </c>
      <c r="D215" s="57" t="s">
        <v>190</v>
      </c>
      <c r="E215" s="57" t="s">
        <v>172</v>
      </c>
      <c r="F215" s="57">
        <v>23</v>
      </c>
      <c r="G215" s="57" t="s">
        <v>175</v>
      </c>
      <c r="H215" s="57">
        <v>4103065</v>
      </c>
      <c r="I215" s="57" t="s">
        <v>65</v>
      </c>
      <c r="J215" s="57">
        <v>10</v>
      </c>
      <c r="K215" s="58" t="s">
        <v>29</v>
      </c>
      <c r="L215" s="59" t="s">
        <v>127</v>
      </c>
      <c r="M215" s="60">
        <v>794540092896</v>
      </c>
      <c r="N215" s="60"/>
      <c r="O215" s="60"/>
      <c r="P215" s="60"/>
      <c r="Q215" s="60"/>
      <c r="R215" s="61">
        <v>0</v>
      </c>
      <c r="S215" s="60">
        <v>794540092896</v>
      </c>
      <c r="T215" s="60">
        <v>242867256890</v>
      </c>
      <c r="U215" s="60">
        <v>551672836006</v>
      </c>
      <c r="V215" s="62">
        <v>0.30567023497175455</v>
      </c>
      <c r="W215" s="60">
        <v>234846731890</v>
      </c>
      <c r="X215" s="60">
        <v>8020525000</v>
      </c>
      <c r="Y215" s="62">
        <v>3.3024315845230114E-2</v>
      </c>
      <c r="Z215" s="60">
        <v>234846731890</v>
      </c>
      <c r="AA215" s="60">
        <v>0</v>
      </c>
      <c r="AB215" s="62">
        <v>0.96697568415476987</v>
      </c>
    </row>
    <row r="216" spans="1:28" ht="24.95" customHeight="1">
      <c r="A216" s="32"/>
      <c r="B216" s="56" t="s">
        <v>723</v>
      </c>
      <c r="C216" s="57" t="s">
        <v>167</v>
      </c>
      <c r="D216" s="57" t="s">
        <v>190</v>
      </c>
      <c r="E216" s="57" t="s">
        <v>172</v>
      </c>
      <c r="F216" s="57">
        <v>23</v>
      </c>
      <c r="G216" s="57" t="s">
        <v>175</v>
      </c>
      <c r="H216" s="57">
        <v>4103065</v>
      </c>
      <c r="I216" s="57" t="s">
        <v>65</v>
      </c>
      <c r="J216" s="57">
        <v>16</v>
      </c>
      <c r="K216" s="58" t="s">
        <v>156</v>
      </c>
      <c r="L216" s="59" t="s">
        <v>127</v>
      </c>
      <c r="M216" s="60">
        <v>863700547104</v>
      </c>
      <c r="N216" s="60"/>
      <c r="O216" s="60"/>
      <c r="P216" s="60"/>
      <c r="Q216" s="60"/>
      <c r="R216" s="61">
        <v>0</v>
      </c>
      <c r="S216" s="60">
        <v>863700547104</v>
      </c>
      <c r="T216" s="60">
        <v>157036463110</v>
      </c>
      <c r="U216" s="60">
        <v>706664083994</v>
      </c>
      <c r="V216" s="62">
        <v>0.18181818181839232</v>
      </c>
      <c r="W216" s="60">
        <v>157036463110</v>
      </c>
      <c r="X216" s="60">
        <v>0</v>
      </c>
      <c r="Y216" s="62">
        <v>0</v>
      </c>
      <c r="Z216" s="60">
        <v>157036463110</v>
      </c>
      <c r="AA216" s="60">
        <v>0</v>
      </c>
      <c r="AB216" s="62">
        <v>1</v>
      </c>
    </row>
    <row r="217" spans="1:28" ht="36" customHeight="1">
      <c r="A217" s="32" t="e">
        <v>#REF!</v>
      </c>
      <c r="B217" s="48" t="s">
        <v>827</v>
      </c>
      <c r="C217" s="48" t="s">
        <v>167</v>
      </c>
      <c r="D217" s="48" t="s">
        <v>190</v>
      </c>
      <c r="E217" s="48" t="s">
        <v>172</v>
      </c>
      <c r="F217" s="48">
        <v>25</v>
      </c>
      <c r="G217" s="48"/>
      <c r="H217" s="48"/>
      <c r="I217" s="48"/>
      <c r="J217" s="49"/>
      <c r="K217" s="48"/>
      <c r="L217" s="48" t="s">
        <v>825</v>
      </c>
      <c r="M217" s="50">
        <v>5500000000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5500000000</v>
      </c>
      <c r="T217" s="50">
        <v>0</v>
      </c>
      <c r="U217" s="50">
        <v>5500000000</v>
      </c>
      <c r="V217" s="51">
        <v>0</v>
      </c>
      <c r="W217" s="50">
        <v>0</v>
      </c>
      <c r="X217" s="50">
        <v>0</v>
      </c>
      <c r="Y217" s="51">
        <v>0</v>
      </c>
      <c r="Z217" s="50">
        <v>0</v>
      </c>
      <c r="AA217" s="50">
        <v>0</v>
      </c>
      <c r="AB217" s="51">
        <v>0</v>
      </c>
    </row>
    <row r="218" spans="1:28" ht="33.75" customHeight="1">
      <c r="A218" s="32" t="e">
        <v>#REF!</v>
      </c>
      <c r="B218" s="52" t="s">
        <v>828</v>
      </c>
      <c r="C218" s="52" t="s">
        <v>167</v>
      </c>
      <c r="D218" s="52" t="s">
        <v>190</v>
      </c>
      <c r="E218" s="52" t="s">
        <v>172</v>
      </c>
      <c r="F218" s="52">
        <v>25</v>
      </c>
      <c r="G218" s="52" t="s">
        <v>175</v>
      </c>
      <c r="H218" s="52">
        <v>4103050</v>
      </c>
      <c r="I218" s="52"/>
      <c r="J218" s="53"/>
      <c r="K218" s="52" t="s">
        <v>29</v>
      </c>
      <c r="L218" s="52" t="s">
        <v>269</v>
      </c>
      <c r="M218" s="54">
        <v>1283500000</v>
      </c>
      <c r="N218" s="54">
        <v>0</v>
      </c>
      <c r="O218" s="743">
        <v>0</v>
      </c>
      <c r="P218" s="54">
        <v>0</v>
      </c>
      <c r="Q218" s="54">
        <v>0</v>
      </c>
      <c r="R218" s="743">
        <v>0</v>
      </c>
      <c r="S218" s="54">
        <v>1283500000</v>
      </c>
      <c r="T218" s="54">
        <v>0</v>
      </c>
      <c r="U218" s="54">
        <v>1283500000</v>
      </c>
      <c r="V218" s="55">
        <v>0</v>
      </c>
      <c r="W218" s="54">
        <v>0</v>
      </c>
      <c r="X218" s="54">
        <v>0</v>
      </c>
      <c r="Y218" s="55">
        <v>0</v>
      </c>
      <c r="Z218" s="54">
        <v>0</v>
      </c>
      <c r="AA218" s="54">
        <v>0</v>
      </c>
      <c r="AB218" s="55">
        <v>0</v>
      </c>
    </row>
    <row r="219" spans="1:28" ht="24.95" customHeight="1">
      <c r="A219" s="32" t="e">
        <v>#REF!</v>
      </c>
      <c r="B219" s="56" t="s">
        <v>829</v>
      </c>
      <c r="C219" s="57" t="s">
        <v>167</v>
      </c>
      <c r="D219" s="57" t="s">
        <v>190</v>
      </c>
      <c r="E219" s="57" t="s">
        <v>172</v>
      </c>
      <c r="F219" s="57">
        <v>25</v>
      </c>
      <c r="G219" s="57" t="s">
        <v>175</v>
      </c>
      <c r="H219" s="57">
        <v>4103050</v>
      </c>
      <c r="I219" s="57" t="s">
        <v>54</v>
      </c>
      <c r="J219" s="57">
        <v>11</v>
      </c>
      <c r="K219" s="58" t="s">
        <v>29</v>
      </c>
      <c r="L219" s="59" t="s">
        <v>178</v>
      </c>
      <c r="M219" s="60">
        <v>1283500000</v>
      </c>
      <c r="N219" s="60"/>
      <c r="O219" s="60"/>
      <c r="P219" s="60"/>
      <c r="Q219" s="60"/>
      <c r="R219" s="61">
        <v>0</v>
      </c>
      <c r="S219" s="60">
        <v>1283500000</v>
      </c>
      <c r="T219" s="60">
        <v>0</v>
      </c>
      <c r="U219" s="60">
        <v>1283500000</v>
      </c>
      <c r="V219" s="62">
        <v>0</v>
      </c>
      <c r="W219" s="60">
        <v>0</v>
      </c>
      <c r="X219" s="60">
        <v>0</v>
      </c>
      <c r="Y219" s="62">
        <v>0</v>
      </c>
      <c r="Z219" s="60">
        <v>0</v>
      </c>
      <c r="AA219" s="60">
        <v>0</v>
      </c>
      <c r="AB219" s="62">
        <v>0</v>
      </c>
    </row>
    <row r="220" spans="1:28" ht="33.75" customHeight="1">
      <c r="A220" s="32" t="e">
        <v>#REF!</v>
      </c>
      <c r="B220" s="52" t="s">
        <v>830</v>
      </c>
      <c r="C220" s="52" t="s">
        <v>167</v>
      </c>
      <c r="D220" s="52" t="s">
        <v>190</v>
      </c>
      <c r="E220" s="52" t="s">
        <v>172</v>
      </c>
      <c r="F220" s="52">
        <v>25</v>
      </c>
      <c r="G220" s="52" t="s">
        <v>175</v>
      </c>
      <c r="H220" s="52">
        <v>4103057</v>
      </c>
      <c r="I220" s="52"/>
      <c r="J220" s="53"/>
      <c r="K220" s="52" t="s">
        <v>29</v>
      </c>
      <c r="L220" s="52" t="s">
        <v>222</v>
      </c>
      <c r="M220" s="54">
        <v>4216500000</v>
      </c>
      <c r="N220" s="54">
        <v>0</v>
      </c>
      <c r="O220" s="743">
        <v>0</v>
      </c>
      <c r="P220" s="54">
        <v>0</v>
      </c>
      <c r="Q220" s="54">
        <v>0</v>
      </c>
      <c r="R220" s="743">
        <v>0</v>
      </c>
      <c r="S220" s="54">
        <v>4216500000</v>
      </c>
      <c r="T220" s="54">
        <v>0</v>
      </c>
      <c r="U220" s="54">
        <v>4216500000</v>
      </c>
      <c r="V220" s="55">
        <v>0</v>
      </c>
      <c r="W220" s="54">
        <v>0</v>
      </c>
      <c r="X220" s="54">
        <v>0</v>
      </c>
      <c r="Y220" s="55">
        <v>0</v>
      </c>
      <c r="Z220" s="54">
        <v>0</v>
      </c>
      <c r="AA220" s="54">
        <v>0</v>
      </c>
      <c r="AB220" s="55">
        <v>0</v>
      </c>
    </row>
    <row r="221" spans="1:28" ht="24.95" customHeight="1">
      <c r="A221" s="32" t="e">
        <v>#REF!</v>
      </c>
      <c r="B221" s="56" t="s">
        <v>831</v>
      </c>
      <c r="C221" s="57" t="s">
        <v>167</v>
      </c>
      <c r="D221" s="57" t="s">
        <v>190</v>
      </c>
      <c r="E221" s="57" t="s">
        <v>172</v>
      </c>
      <c r="F221" s="57">
        <v>25</v>
      </c>
      <c r="G221" s="57" t="s">
        <v>175</v>
      </c>
      <c r="H221" s="57">
        <v>4103057</v>
      </c>
      <c r="I221" s="57" t="s">
        <v>54</v>
      </c>
      <c r="J221" s="57">
        <v>11</v>
      </c>
      <c r="K221" s="58" t="s">
        <v>29</v>
      </c>
      <c r="L221" s="59" t="s">
        <v>178</v>
      </c>
      <c r="M221" s="60">
        <v>315000000</v>
      </c>
      <c r="N221" s="60"/>
      <c r="O221" s="60"/>
      <c r="P221" s="60"/>
      <c r="Q221" s="60"/>
      <c r="R221" s="61">
        <v>0</v>
      </c>
      <c r="S221" s="60">
        <v>315000000</v>
      </c>
      <c r="T221" s="60">
        <v>0</v>
      </c>
      <c r="U221" s="60">
        <v>315000000</v>
      </c>
      <c r="V221" s="62">
        <v>0</v>
      </c>
      <c r="W221" s="60">
        <v>0</v>
      </c>
      <c r="X221" s="60">
        <v>0</v>
      </c>
      <c r="Y221" s="62">
        <v>0</v>
      </c>
      <c r="Z221" s="60">
        <v>0</v>
      </c>
      <c r="AA221" s="60">
        <v>0</v>
      </c>
      <c r="AB221" s="62">
        <v>0</v>
      </c>
    </row>
    <row r="222" spans="1:28" ht="24.95" customHeight="1">
      <c r="A222" s="32" t="e">
        <v>#REF!</v>
      </c>
      <c r="B222" s="56" t="s">
        <v>832</v>
      </c>
      <c r="C222" s="57" t="s">
        <v>167</v>
      </c>
      <c r="D222" s="57" t="s">
        <v>190</v>
      </c>
      <c r="E222" s="57" t="s">
        <v>172</v>
      </c>
      <c r="F222" s="57">
        <v>25</v>
      </c>
      <c r="G222" s="57" t="s">
        <v>175</v>
      </c>
      <c r="H222" s="57">
        <v>4103057</v>
      </c>
      <c r="I222" s="57" t="s">
        <v>65</v>
      </c>
      <c r="J222" s="57">
        <v>11</v>
      </c>
      <c r="K222" s="58" t="s">
        <v>29</v>
      </c>
      <c r="L222" s="59" t="s">
        <v>127</v>
      </c>
      <c r="M222" s="60">
        <v>3901500000</v>
      </c>
      <c r="N222" s="60"/>
      <c r="O222" s="60"/>
      <c r="P222" s="60"/>
      <c r="Q222" s="60"/>
      <c r="R222" s="61">
        <v>0</v>
      </c>
      <c r="S222" s="60">
        <v>3901500000</v>
      </c>
      <c r="T222" s="60">
        <v>0</v>
      </c>
      <c r="U222" s="60">
        <v>3901500000</v>
      </c>
      <c r="V222" s="62">
        <v>0</v>
      </c>
      <c r="W222" s="60">
        <v>0</v>
      </c>
      <c r="X222" s="60">
        <v>0</v>
      </c>
      <c r="Y222" s="62">
        <v>0</v>
      </c>
      <c r="Z222" s="60">
        <v>0</v>
      </c>
      <c r="AA222" s="60">
        <v>0</v>
      </c>
      <c r="AB222" s="62">
        <v>0</v>
      </c>
    </row>
    <row r="223" spans="1:28" ht="24" customHeight="1">
      <c r="A223" s="32" t="e">
        <v>#REF!</v>
      </c>
      <c r="B223" s="38" t="s">
        <v>544</v>
      </c>
      <c r="C223" s="39" t="s">
        <v>167</v>
      </c>
      <c r="D223" s="39">
        <v>4199</v>
      </c>
      <c r="E223" s="39"/>
      <c r="F223" s="39"/>
      <c r="G223" s="39"/>
      <c r="H223" s="39"/>
      <c r="I223" s="39"/>
      <c r="J223" s="39"/>
      <c r="K223" s="40"/>
      <c r="L223" s="38" t="s">
        <v>250</v>
      </c>
      <c r="M223" s="41">
        <v>6000000000</v>
      </c>
      <c r="N223" s="41">
        <v>0</v>
      </c>
      <c r="O223" s="740">
        <v>0</v>
      </c>
      <c r="P223" s="740">
        <v>0</v>
      </c>
      <c r="Q223" s="740">
        <v>0</v>
      </c>
      <c r="R223" s="740">
        <v>0</v>
      </c>
      <c r="S223" s="41">
        <v>6000000000</v>
      </c>
      <c r="T223" s="41">
        <v>654765408</v>
      </c>
      <c r="U223" s="41">
        <v>5345234592</v>
      </c>
      <c r="V223" s="42">
        <v>0.10912756799999999</v>
      </c>
      <c r="W223" s="41">
        <v>0</v>
      </c>
      <c r="X223" s="41">
        <v>654765408</v>
      </c>
      <c r="Y223" s="42">
        <v>1</v>
      </c>
      <c r="Z223" s="41">
        <v>0</v>
      </c>
      <c r="AA223" s="41">
        <v>0</v>
      </c>
      <c r="AB223" s="42">
        <v>0</v>
      </c>
    </row>
    <row r="224" spans="1:28" ht="24" customHeight="1">
      <c r="A224" s="32" t="e">
        <v>#REF!</v>
      </c>
      <c r="B224" s="43" t="s">
        <v>300</v>
      </c>
      <c r="C224" s="44" t="s">
        <v>167</v>
      </c>
      <c r="D224" s="44">
        <v>4199</v>
      </c>
      <c r="E224" s="44">
        <v>1500</v>
      </c>
      <c r="F224" s="44"/>
      <c r="G224" s="44"/>
      <c r="H224" s="44"/>
      <c r="I224" s="44"/>
      <c r="J224" s="44"/>
      <c r="K224" s="45"/>
      <c r="L224" s="43" t="s">
        <v>170</v>
      </c>
      <c r="M224" s="46">
        <v>6000000000</v>
      </c>
      <c r="N224" s="46">
        <v>0</v>
      </c>
      <c r="O224" s="741">
        <v>0</v>
      </c>
      <c r="P224" s="741">
        <v>0</v>
      </c>
      <c r="Q224" s="741">
        <v>0</v>
      </c>
      <c r="R224" s="741">
        <v>0</v>
      </c>
      <c r="S224" s="46">
        <v>6000000000</v>
      </c>
      <c r="T224" s="46">
        <v>654765408</v>
      </c>
      <c r="U224" s="46">
        <v>5345234592</v>
      </c>
      <c r="V224" s="47">
        <v>0.10912756799999999</v>
      </c>
      <c r="W224" s="46">
        <v>0</v>
      </c>
      <c r="X224" s="46">
        <v>654765408</v>
      </c>
      <c r="Y224" s="47">
        <v>1</v>
      </c>
      <c r="Z224" s="46">
        <v>0</v>
      </c>
      <c r="AA224" s="46">
        <v>0</v>
      </c>
      <c r="AB224" s="47">
        <v>0</v>
      </c>
    </row>
    <row r="225" spans="1:51" ht="39" customHeight="1">
      <c r="A225" s="32" t="e">
        <v>#REF!</v>
      </c>
      <c r="B225" s="48" t="s">
        <v>547</v>
      </c>
      <c r="C225" s="48" t="s">
        <v>167</v>
      </c>
      <c r="D225" s="48" t="s">
        <v>251</v>
      </c>
      <c r="E225" s="48" t="s">
        <v>172</v>
      </c>
      <c r="F225" s="48" t="s">
        <v>252</v>
      </c>
      <c r="G225" s="48"/>
      <c r="H225" s="48"/>
      <c r="I225" s="48"/>
      <c r="J225" s="49"/>
      <c r="K225" s="48"/>
      <c r="L225" s="48" t="s">
        <v>253</v>
      </c>
      <c r="M225" s="50">
        <v>6000000000</v>
      </c>
      <c r="N225" s="50">
        <v>0</v>
      </c>
      <c r="O225" s="742">
        <v>0</v>
      </c>
      <c r="P225" s="742">
        <v>0</v>
      </c>
      <c r="Q225" s="742">
        <v>0</v>
      </c>
      <c r="R225" s="742">
        <v>0</v>
      </c>
      <c r="S225" s="50">
        <v>6000000000</v>
      </c>
      <c r="T225" s="50">
        <v>654765408</v>
      </c>
      <c r="U225" s="50">
        <v>5345234592</v>
      </c>
      <c r="V225" s="51">
        <v>0.10912756799999999</v>
      </c>
      <c r="W225" s="50">
        <v>0</v>
      </c>
      <c r="X225" s="50">
        <v>654765408</v>
      </c>
      <c r="Y225" s="51">
        <v>1</v>
      </c>
      <c r="Z225" s="50">
        <v>0</v>
      </c>
      <c r="AA225" s="50">
        <v>0</v>
      </c>
      <c r="AB225" s="51">
        <v>0</v>
      </c>
    </row>
    <row r="226" spans="1:51" ht="24" customHeight="1">
      <c r="A226" s="32" t="e">
        <v>#REF!</v>
      </c>
      <c r="B226" s="52" t="s">
        <v>548</v>
      </c>
      <c r="C226" s="52" t="s">
        <v>167</v>
      </c>
      <c r="D226" s="52" t="s">
        <v>251</v>
      </c>
      <c r="E226" s="52" t="s">
        <v>172</v>
      </c>
      <c r="F226" s="52" t="s">
        <v>252</v>
      </c>
      <c r="G226" s="52" t="s">
        <v>175</v>
      </c>
      <c r="H226" s="52" t="s">
        <v>254</v>
      </c>
      <c r="I226" s="52"/>
      <c r="J226" s="53"/>
      <c r="K226" s="52" t="s">
        <v>29</v>
      </c>
      <c r="L226" s="52" t="s">
        <v>255</v>
      </c>
      <c r="M226" s="54">
        <v>6000000000</v>
      </c>
      <c r="N226" s="54">
        <v>0</v>
      </c>
      <c r="O226" s="743">
        <v>0</v>
      </c>
      <c r="P226" s="743">
        <v>0</v>
      </c>
      <c r="Q226" s="743">
        <v>0</v>
      </c>
      <c r="R226" s="743">
        <v>0</v>
      </c>
      <c r="S226" s="54">
        <v>6000000000</v>
      </c>
      <c r="T226" s="54">
        <v>654765408</v>
      </c>
      <c r="U226" s="54">
        <v>5345234592</v>
      </c>
      <c r="V226" s="55">
        <v>0.10912756799999999</v>
      </c>
      <c r="W226" s="54">
        <v>0</v>
      </c>
      <c r="X226" s="54">
        <v>654765408</v>
      </c>
      <c r="Y226" s="55">
        <v>1</v>
      </c>
      <c r="Z226" s="54">
        <v>0</v>
      </c>
      <c r="AA226" s="54">
        <v>0</v>
      </c>
      <c r="AB226" s="55">
        <v>0</v>
      </c>
    </row>
    <row r="227" spans="1:51" ht="24.95" customHeight="1">
      <c r="A227" s="32" t="e">
        <v>#REF!</v>
      </c>
      <c r="B227" s="56" t="s">
        <v>549</v>
      </c>
      <c r="C227" s="57" t="s">
        <v>167</v>
      </c>
      <c r="D227" s="57" t="s">
        <v>251</v>
      </c>
      <c r="E227" s="57" t="s">
        <v>172</v>
      </c>
      <c r="F227" s="57" t="s">
        <v>252</v>
      </c>
      <c r="G227" s="57" t="s">
        <v>175</v>
      </c>
      <c r="H227" s="57" t="s">
        <v>254</v>
      </c>
      <c r="I227" s="57" t="s">
        <v>54</v>
      </c>
      <c r="J227" s="57">
        <v>11</v>
      </c>
      <c r="K227" s="58" t="s">
        <v>29</v>
      </c>
      <c r="L227" s="59" t="s">
        <v>178</v>
      </c>
      <c r="M227" s="60">
        <v>6000000000</v>
      </c>
      <c r="N227" s="60">
        <v>0</v>
      </c>
      <c r="O227" s="60">
        <v>0</v>
      </c>
      <c r="P227" s="60">
        <v>0</v>
      </c>
      <c r="Q227" s="60">
        <v>0</v>
      </c>
      <c r="R227" s="61">
        <v>0</v>
      </c>
      <c r="S227" s="60">
        <v>6000000000</v>
      </c>
      <c r="T227" s="60">
        <v>654765408</v>
      </c>
      <c r="U227" s="60">
        <v>5345234592</v>
      </c>
      <c r="V227" s="62">
        <v>0.10912756799999999</v>
      </c>
      <c r="W227" s="60">
        <v>0</v>
      </c>
      <c r="X227" s="60">
        <v>654765408</v>
      </c>
      <c r="Y227" s="62">
        <v>1</v>
      </c>
      <c r="Z227" s="60">
        <v>0</v>
      </c>
      <c r="AA227" s="60">
        <v>0</v>
      </c>
      <c r="AB227" s="62">
        <v>0</v>
      </c>
    </row>
    <row r="228" spans="1:51" ht="35.1" customHeight="1">
      <c r="A228" s="32"/>
      <c r="B228" s="33"/>
      <c r="C228" s="34"/>
      <c r="D228" s="35"/>
      <c r="E228" s="35"/>
      <c r="F228" s="35"/>
      <c r="G228" s="35"/>
      <c r="H228" s="35"/>
      <c r="I228" s="35"/>
      <c r="J228" s="34"/>
      <c r="K228" s="35"/>
      <c r="L228" s="33" t="s">
        <v>256</v>
      </c>
      <c r="M228" s="36">
        <v>6684523821744</v>
      </c>
      <c r="N228" s="36">
        <v>0</v>
      </c>
      <c r="O228" s="36">
        <v>0</v>
      </c>
      <c r="P228" s="36">
        <v>39117051872.400002</v>
      </c>
      <c r="Q228" s="36">
        <v>39117051872.400002</v>
      </c>
      <c r="R228" s="36">
        <v>5880000000</v>
      </c>
      <c r="S228" s="36">
        <v>6678643821744</v>
      </c>
      <c r="T228" s="36">
        <v>2026087460818.1299</v>
      </c>
      <c r="U228" s="36">
        <v>4652556360925.8691</v>
      </c>
      <c r="V228" s="37">
        <v>0.30336809611282067</v>
      </c>
      <c r="W228" s="36">
        <v>1525849017749.3701</v>
      </c>
      <c r="X228" s="36">
        <v>500238443068.75995</v>
      </c>
      <c r="Y228" s="37">
        <v>0.2468987409194886</v>
      </c>
      <c r="Z228" s="36">
        <v>1523104418457.2598</v>
      </c>
      <c r="AA228" s="36">
        <v>2744599292.1099958</v>
      </c>
      <c r="AB228" s="37">
        <v>0.75174662886578125</v>
      </c>
    </row>
    <row r="229" spans="1:51" ht="16.5">
      <c r="A229" s="377"/>
      <c r="B229" s="377"/>
      <c r="C229" s="378"/>
      <c r="D229" s="378"/>
      <c r="E229" s="378"/>
      <c r="F229" s="378"/>
      <c r="G229" s="378"/>
      <c r="H229" s="379"/>
      <c r="I229" s="380"/>
      <c r="J229" s="380"/>
      <c r="K229" s="381"/>
      <c r="L229" s="380"/>
      <c r="M229" s="335"/>
      <c r="N229" s="335"/>
      <c r="O229" s="335"/>
      <c r="P229" s="335"/>
      <c r="Q229" s="335"/>
      <c r="R229" s="335"/>
      <c r="S229" s="335"/>
      <c r="T229" s="335"/>
      <c r="U229" s="335"/>
      <c r="V229" s="382"/>
      <c r="W229" s="383"/>
      <c r="X229" s="335"/>
      <c r="Y229" s="382"/>
      <c r="Z229" s="335"/>
      <c r="AA229" s="335"/>
      <c r="AB229" s="384"/>
    </row>
    <row r="230" spans="1:51" s="8" customFormat="1" ht="16.5">
      <c r="A230" s="32"/>
      <c r="B230" s="32"/>
      <c r="C230" s="91"/>
      <c r="D230" s="91"/>
      <c r="E230" s="91"/>
      <c r="F230" s="91"/>
      <c r="G230" s="91"/>
      <c r="H230" s="92"/>
      <c r="I230" s="93"/>
      <c r="J230" s="93"/>
      <c r="K230" s="94"/>
      <c r="L230" s="93"/>
      <c r="M230" s="95">
        <v>6684523821744</v>
      </c>
      <c r="N230" s="95"/>
      <c r="O230" s="95">
        <v>0</v>
      </c>
      <c r="P230" s="95">
        <v>39117051872.400002</v>
      </c>
      <c r="Q230" s="95">
        <v>39117051872.400002</v>
      </c>
      <c r="R230" s="95">
        <v>5880000000</v>
      </c>
      <c r="S230" s="95">
        <v>6678643821744</v>
      </c>
      <c r="T230" s="95">
        <v>2026087460818.1299</v>
      </c>
      <c r="U230" s="95">
        <v>4652556360925.8701</v>
      </c>
      <c r="V230" s="96">
        <v>0.30336809611282067</v>
      </c>
      <c r="W230" s="95">
        <v>1525849017749.3701</v>
      </c>
      <c r="X230" s="95">
        <v>500238443068.75977</v>
      </c>
      <c r="Y230" s="96">
        <v>0.2468987409194886</v>
      </c>
      <c r="Z230" s="95">
        <v>1523104418457.26</v>
      </c>
      <c r="AA230" s="95">
        <v>2744599292.1101074</v>
      </c>
      <c r="AB230" s="96">
        <v>0.75174662886578125</v>
      </c>
    </row>
    <row r="231" spans="1:51" s="8" customFormat="1" ht="16.5">
      <c r="A231" s="32"/>
      <c r="B231" s="32"/>
      <c r="C231" s="94"/>
      <c r="D231" s="93"/>
      <c r="E231" s="93"/>
      <c r="F231" s="93"/>
      <c r="G231" s="93"/>
      <c r="H231" s="93"/>
      <c r="I231" s="93"/>
      <c r="J231" s="93"/>
      <c r="K231" s="94"/>
      <c r="L231" s="97"/>
      <c r="M231" s="98">
        <v>0</v>
      </c>
      <c r="N231" s="98">
        <v>0</v>
      </c>
      <c r="O231" s="98">
        <v>0</v>
      </c>
      <c r="P231" s="98">
        <v>0</v>
      </c>
      <c r="Q231" s="98">
        <v>0</v>
      </c>
      <c r="R231" s="98">
        <v>0</v>
      </c>
      <c r="S231" s="98">
        <v>0</v>
      </c>
      <c r="T231" s="98">
        <v>0</v>
      </c>
      <c r="U231" s="98">
        <v>0</v>
      </c>
      <c r="V231" s="98"/>
      <c r="W231" s="98">
        <v>0</v>
      </c>
      <c r="X231" s="98">
        <v>0</v>
      </c>
      <c r="Y231" s="98"/>
      <c r="Z231" s="98">
        <v>0</v>
      </c>
      <c r="AA231" s="98">
        <v>-1.1157989501953125E-4</v>
      </c>
      <c r="AB231" s="98"/>
    </row>
    <row r="232" spans="1:51" s="108" customFormat="1" ht="16.5">
      <c r="A232" s="99"/>
      <c r="B232" s="100"/>
      <c r="C232" s="101"/>
      <c r="D232" s="102"/>
      <c r="E232" s="102"/>
      <c r="F232" s="102"/>
      <c r="G232" s="102"/>
      <c r="H232" s="102"/>
      <c r="I232" s="102"/>
      <c r="J232" s="102"/>
      <c r="K232" s="101"/>
      <c r="L232" s="103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4"/>
      <c r="X232" s="104"/>
      <c r="Y232" s="105"/>
      <c r="Z232" s="104"/>
      <c r="AA232" s="104"/>
      <c r="AB232" s="106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</row>
    <row r="233" spans="1:51" ht="18">
      <c r="A233" s="30"/>
      <c r="B233" s="31"/>
      <c r="C233" s="312"/>
      <c r="D233" s="317"/>
      <c r="E233" s="312"/>
      <c r="F233" s="312"/>
      <c r="G233" s="312"/>
      <c r="H233" s="312"/>
      <c r="I233" s="312"/>
      <c r="J233" s="312"/>
      <c r="K233" s="317"/>
      <c r="L233" s="312"/>
      <c r="M233" s="335"/>
      <c r="N233" s="364"/>
      <c r="O233" s="332"/>
      <c r="P233" s="332"/>
      <c r="Q233" s="329"/>
      <c r="R233" s="633"/>
      <c r="S233" s="359"/>
      <c r="T233" s="332"/>
      <c r="U233" s="332"/>
      <c r="V233" s="333"/>
      <c r="W233" s="332"/>
      <c r="X233" s="332"/>
      <c r="Y233" s="333"/>
      <c r="Z233" s="332"/>
      <c r="AA233" s="332"/>
      <c r="AB233" s="333"/>
    </row>
    <row r="234" spans="1:51" ht="18">
      <c r="A234" s="30"/>
      <c r="B234" s="31"/>
      <c r="C234" s="312"/>
      <c r="D234" s="317"/>
      <c r="E234" s="312"/>
      <c r="F234" s="312"/>
      <c r="G234" s="312"/>
      <c r="H234" s="312"/>
      <c r="I234" s="312"/>
      <c r="J234" s="312"/>
      <c r="K234" s="317"/>
      <c r="L234" s="312"/>
      <c r="M234" s="332"/>
      <c r="N234" s="632"/>
      <c r="O234" s="332"/>
      <c r="P234" s="359"/>
      <c r="Q234" s="633"/>
      <c r="R234" s="633"/>
      <c r="S234" s="332"/>
      <c r="T234" s="332"/>
      <c r="U234" s="332"/>
      <c r="V234" s="333"/>
      <c r="W234" s="332"/>
      <c r="X234" s="332"/>
      <c r="Y234" s="333"/>
      <c r="Z234" s="332"/>
      <c r="AA234" s="332"/>
      <c r="AB234" s="333"/>
    </row>
    <row r="235" spans="1:51" ht="18">
      <c r="A235" s="1"/>
      <c r="B235" s="2"/>
      <c r="C235" s="312"/>
      <c r="D235" s="312"/>
      <c r="E235" s="312"/>
      <c r="F235" s="312"/>
      <c r="G235" s="312"/>
      <c r="H235" s="312"/>
      <c r="I235" s="312"/>
      <c r="J235" s="312"/>
      <c r="K235" s="317"/>
      <c r="L235" s="312"/>
      <c r="M235" s="332"/>
      <c r="N235" s="632"/>
      <c r="O235" s="332"/>
      <c r="P235" s="332"/>
      <c r="Q235" s="332"/>
      <c r="R235" s="332"/>
      <c r="S235" s="332"/>
      <c r="T235" s="332"/>
      <c r="U235" s="332"/>
      <c r="V235" s="333"/>
      <c r="W235" s="332"/>
      <c r="X235" s="631"/>
      <c r="Y235" s="333"/>
      <c r="Z235" s="332"/>
      <c r="AA235" s="332"/>
      <c r="AB235" s="333"/>
      <c r="AC235" s="315"/>
    </row>
    <row r="236" spans="1:51" ht="30">
      <c r="A236" s="1"/>
      <c r="B236" s="2"/>
      <c r="C236" s="318"/>
      <c r="D236" s="318"/>
      <c r="E236" s="318"/>
      <c r="F236" s="318"/>
      <c r="G236" s="318"/>
      <c r="H236" s="318"/>
      <c r="I236" s="312"/>
      <c r="J236" s="312"/>
      <c r="K236" s="317"/>
      <c r="L236" s="336" t="s">
        <v>738</v>
      </c>
      <c r="M236" s="628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20"/>
      <c r="Z236" s="376"/>
      <c r="AA236" s="319"/>
      <c r="AB236" s="319"/>
    </row>
    <row r="237" spans="1:51" ht="30">
      <c r="A237" s="1"/>
      <c r="B237" s="2"/>
      <c r="C237" s="321"/>
      <c r="D237" s="322"/>
      <c r="E237" s="322"/>
      <c r="F237" s="322"/>
      <c r="G237" s="322"/>
      <c r="H237" s="322"/>
      <c r="I237" s="322"/>
      <c r="J237" s="322"/>
      <c r="K237" s="321"/>
      <c r="L237" s="337" t="s">
        <v>739</v>
      </c>
      <c r="M237" s="628"/>
      <c r="O237" s="323"/>
      <c r="P237" s="323"/>
      <c r="Q237" s="323"/>
      <c r="R237" s="323"/>
      <c r="S237" s="360"/>
      <c r="T237" s="323"/>
      <c r="U237" s="323"/>
      <c r="V237" s="323"/>
      <c r="W237" s="323"/>
      <c r="X237" s="323"/>
      <c r="Y237" s="324"/>
      <c r="Z237" s="323"/>
      <c r="AA237" s="323"/>
      <c r="AB237" s="323"/>
    </row>
    <row r="238" spans="1:51" ht="30">
      <c r="A238" s="325"/>
      <c r="B238" s="313"/>
      <c r="C238" s="308"/>
      <c r="D238" s="308"/>
      <c r="E238" s="308"/>
      <c r="F238" s="308"/>
      <c r="G238" s="308"/>
      <c r="H238" s="308"/>
      <c r="I238" s="308"/>
      <c r="J238" s="308"/>
      <c r="K238" s="336"/>
      <c r="L238" s="308"/>
      <c r="M238" s="628"/>
      <c r="O238" s="309"/>
      <c r="P238" s="746"/>
      <c r="Q238" s="630"/>
      <c r="R238" s="630"/>
      <c r="S238" s="334"/>
      <c r="T238" s="334"/>
      <c r="U238" s="629"/>
      <c r="V238" s="329"/>
      <c r="W238" s="329"/>
      <c r="X238" s="329"/>
      <c r="Y238" s="329"/>
    </row>
    <row r="239" spans="1:51" ht="16.5">
      <c r="M239" s="628"/>
      <c r="N239" s="628"/>
    </row>
    <row r="240" spans="1:51" ht="16.5">
      <c r="M240" s="628"/>
      <c r="N240" s="628"/>
    </row>
    <row r="241" spans="13:13" ht="16.5">
      <c r="M241" s="628"/>
    </row>
    <row r="242" spans="13:13" ht="16.5">
      <c r="M242" s="628"/>
    </row>
    <row r="243" spans="13:13" ht="16.5">
      <c r="M243" s="628"/>
    </row>
    <row r="276" spans="1:12" s="107" customFormat="1">
      <c r="A276" s="768"/>
      <c r="C276" s="769"/>
      <c r="D276" s="769"/>
      <c r="E276" s="769"/>
      <c r="F276" s="769"/>
      <c r="G276" s="769"/>
      <c r="H276" s="769"/>
      <c r="I276" s="769"/>
      <c r="J276" s="770"/>
      <c r="K276" s="771"/>
      <c r="L276" s="769"/>
    </row>
    <row r="277" spans="1:12" s="107" customFormat="1">
      <c r="A277" s="768"/>
      <c r="C277" s="769"/>
      <c r="D277" s="769"/>
      <c r="E277" s="769"/>
      <c r="F277" s="769"/>
      <c r="G277" s="769"/>
      <c r="H277" s="769"/>
      <c r="I277" s="769"/>
      <c r="J277" s="770"/>
      <c r="K277" s="771"/>
      <c r="L277" s="769"/>
    </row>
    <row r="278" spans="1:12" s="107" customFormat="1">
      <c r="A278" s="768"/>
      <c r="C278" s="769"/>
      <c r="D278" s="769"/>
      <c r="E278" s="769"/>
      <c r="F278" s="769"/>
      <c r="G278" s="769"/>
      <c r="H278" s="769"/>
      <c r="I278" s="769"/>
      <c r="J278" s="770"/>
      <c r="K278" s="771"/>
      <c r="L278" s="769"/>
    </row>
  </sheetData>
  <sheetProtection selectLockedCells="1" selectUnlockedCells="1"/>
  <autoFilter ref="A6:AB231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9A62-A7E9-4501-B5BB-718A81EA7709}">
  <sheetPr>
    <tabColor rgb="FF00B0F0"/>
    <pageSetUpPr fitToPage="1"/>
  </sheetPr>
  <dimension ref="A1:AD238"/>
  <sheetViews>
    <sheetView showGridLines="0" zoomScale="80" zoomScaleNormal="80" workbookViewId="0"/>
  </sheetViews>
  <sheetFormatPr baseColWidth="10" defaultColWidth="11.42578125" defaultRowHeight="12.75" outlineLevelCol="1"/>
  <cols>
    <col min="1" max="1" width="1.28515625" style="109" customWidth="1"/>
    <col min="2" max="2" width="30.85546875" style="8" customWidth="1"/>
    <col min="3" max="3" width="11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9.85546875" style="9" customWidth="1" outlineLevel="1"/>
    <col min="9" max="9" width="1.140625" style="9" customWidth="1" outlineLevel="1"/>
    <col min="10" max="10" width="5.140625" style="110" customWidth="1"/>
    <col min="11" max="11" width="7.42578125" style="111" customWidth="1"/>
    <col min="12" max="12" width="71.28515625" style="9" customWidth="1"/>
    <col min="13" max="13" width="22.28515625" style="13" customWidth="1"/>
    <col min="14" max="14" width="19.85546875" style="13" customWidth="1"/>
    <col min="15" max="15" width="18.42578125" style="13" customWidth="1"/>
    <col min="16" max="16" width="21.140625" style="13" customWidth="1"/>
    <col min="17" max="17" width="21" style="13" customWidth="1"/>
    <col min="18" max="18" width="19.140625" style="13" customWidth="1"/>
    <col min="19" max="19" width="23.7109375" style="13" customWidth="1"/>
    <col min="20" max="20" width="22" style="13" customWidth="1"/>
    <col min="21" max="21" width="24.5703125" style="13" customWidth="1"/>
    <col min="22" max="22" width="12.85546875" style="13" customWidth="1"/>
    <col min="23" max="23" width="23.7109375" style="13" bestFit="1" customWidth="1"/>
    <col min="24" max="24" width="20.7109375" style="13" customWidth="1"/>
    <col min="25" max="25" width="12.5703125" style="13" customWidth="1"/>
    <col min="26" max="26" width="22" style="13" customWidth="1"/>
    <col min="27" max="27" width="22.140625" style="13" customWidth="1"/>
    <col min="28" max="28" width="12.7109375" style="13" customWidth="1"/>
    <col min="29" max="29" width="12.7109375" style="13" bestFit="1" customWidth="1"/>
    <col min="30" max="30" width="13.85546875" style="13" customWidth="1"/>
    <col min="31" max="16384" width="11.42578125" style="13"/>
  </cols>
  <sheetData>
    <row r="1" spans="1:28" s="8" customFormat="1" ht="11.2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4"/>
      <c r="L1" s="3"/>
      <c r="M1" s="5">
        <v>6</v>
      </c>
      <c r="N1" s="6"/>
      <c r="O1" s="6"/>
      <c r="P1" s="6"/>
      <c r="Q1" s="6"/>
      <c r="R1" s="6"/>
      <c r="S1" s="6"/>
      <c r="T1" s="5">
        <v>13</v>
      </c>
      <c r="U1" s="6"/>
      <c r="V1" s="7"/>
      <c r="W1" s="5">
        <v>14</v>
      </c>
      <c r="X1" s="326"/>
      <c r="Y1" s="7"/>
      <c r="Z1" s="5">
        <v>16</v>
      </c>
      <c r="AA1" s="6"/>
      <c r="AB1" s="7"/>
    </row>
    <row r="2" spans="1:28" ht="25.5" customHeight="1">
      <c r="A2" s="1"/>
      <c r="B2" s="2"/>
      <c r="D2" s="10"/>
      <c r="E2" s="10"/>
      <c r="F2" s="10"/>
      <c r="G2" s="10"/>
      <c r="H2" s="10"/>
      <c r="I2" s="10"/>
      <c r="J2" s="11"/>
      <c r="K2" s="12"/>
      <c r="L2" s="10"/>
      <c r="M2" s="844" t="s">
        <v>0</v>
      </c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</row>
    <row r="3" spans="1:28" ht="28.5" customHeight="1">
      <c r="A3" s="1"/>
      <c r="B3" s="2"/>
      <c r="D3" s="14"/>
      <c r="E3" s="14"/>
      <c r="F3" s="14"/>
      <c r="G3" s="14"/>
      <c r="H3" s="14"/>
      <c r="I3" s="14"/>
      <c r="J3" s="15"/>
      <c r="K3" s="16"/>
      <c r="L3" s="14"/>
      <c r="M3" s="845" t="s">
        <v>941</v>
      </c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</row>
    <row r="4" spans="1:28" ht="29.25" customHeight="1">
      <c r="A4" s="1"/>
      <c r="B4" s="2"/>
      <c r="C4" s="17"/>
      <c r="D4" s="17"/>
      <c r="E4" s="17"/>
      <c r="F4" s="17"/>
      <c r="G4" s="17"/>
      <c r="H4" s="17"/>
      <c r="I4" s="18"/>
      <c r="J4" s="18"/>
      <c r="K4" s="19"/>
      <c r="L4" s="18"/>
      <c r="M4" s="20"/>
      <c r="N4" s="20"/>
      <c r="O4" s="20"/>
      <c r="P4" s="20"/>
      <c r="Q4" s="20"/>
      <c r="R4" s="20"/>
      <c r="S4" s="20"/>
      <c r="T4" s="20"/>
      <c r="U4" s="20"/>
      <c r="V4" s="21"/>
      <c r="W4" s="20"/>
      <c r="X4" s="20"/>
      <c r="Y4" s="21"/>
      <c r="Z4" s="20"/>
      <c r="AA4" s="20"/>
      <c r="AB4" s="21"/>
    </row>
    <row r="5" spans="1:28" s="25" customFormat="1" ht="27" customHeight="1">
      <c r="A5" s="22"/>
      <c r="B5" s="835" t="s">
        <v>2</v>
      </c>
      <c r="C5" s="837" t="s">
        <v>2</v>
      </c>
      <c r="D5" s="837"/>
      <c r="E5" s="837"/>
      <c r="F5" s="837"/>
      <c r="G5" s="837"/>
      <c r="H5" s="837"/>
      <c r="I5" s="837"/>
      <c r="J5" s="838" t="s">
        <v>3</v>
      </c>
      <c r="K5" s="24" t="s">
        <v>4</v>
      </c>
      <c r="L5" s="840" t="s">
        <v>5</v>
      </c>
      <c r="M5" s="835" t="s">
        <v>869</v>
      </c>
      <c r="N5" s="846" t="s">
        <v>870</v>
      </c>
      <c r="O5" s="847"/>
      <c r="P5" s="846" t="s">
        <v>871</v>
      </c>
      <c r="Q5" s="847"/>
      <c r="R5" s="835" t="s">
        <v>872</v>
      </c>
      <c r="S5" s="829" t="s">
        <v>6</v>
      </c>
      <c r="T5" s="831" t="s">
        <v>7</v>
      </c>
      <c r="U5" s="842"/>
      <c r="V5" s="832"/>
      <c r="W5" s="833" t="s">
        <v>8</v>
      </c>
      <c r="X5" s="843"/>
      <c r="Y5" s="834"/>
      <c r="Z5" s="831" t="s">
        <v>9</v>
      </c>
      <c r="AA5" s="842"/>
      <c r="AB5" s="832"/>
    </row>
    <row r="6" spans="1:28" s="25" customFormat="1" ht="49.5" customHeight="1">
      <c r="A6" s="22"/>
      <c r="B6" s="836" t="s">
        <v>2</v>
      </c>
      <c r="C6" s="26" t="s">
        <v>10</v>
      </c>
      <c r="D6" s="26" t="s">
        <v>11</v>
      </c>
      <c r="E6" s="26" t="s">
        <v>12</v>
      </c>
      <c r="F6" s="26" t="s">
        <v>13</v>
      </c>
      <c r="G6" s="26" t="s">
        <v>14</v>
      </c>
      <c r="H6" s="26" t="s">
        <v>15</v>
      </c>
      <c r="I6" s="26" t="s">
        <v>16</v>
      </c>
      <c r="J6" s="839"/>
      <c r="K6" s="24" t="s">
        <v>17</v>
      </c>
      <c r="L6" s="841"/>
      <c r="M6" s="836"/>
      <c r="N6" s="27" t="s">
        <v>873</v>
      </c>
      <c r="O6" s="27" t="s">
        <v>874</v>
      </c>
      <c r="P6" s="27" t="s">
        <v>875</v>
      </c>
      <c r="Q6" s="27" t="s">
        <v>876</v>
      </c>
      <c r="R6" s="836"/>
      <c r="S6" s="830" t="s">
        <v>6</v>
      </c>
      <c r="T6" s="23" t="s">
        <v>18</v>
      </c>
      <c r="U6" s="23" t="s">
        <v>877</v>
      </c>
      <c r="V6" s="28" t="s">
        <v>19</v>
      </c>
      <c r="W6" s="23" t="s">
        <v>18</v>
      </c>
      <c r="X6" s="27" t="s">
        <v>878</v>
      </c>
      <c r="Y6" s="29" t="s">
        <v>879</v>
      </c>
      <c r="Z6" s="27" t="s">
        <v>18</v>
      </c>
      <c r="AA6" s="27" t="s">
        <v>880</v>
      </c>
      <c r="AB6" s="29" t="s">
        <v>20</v>
      </c>
    </row>
    <row r="7" spans="1:28" s="640" customFormat="1" ht="16.5">
      <c r="A7" s="30"/>
      <c r="B7" s="31"/>
      <c r="C7" s="711"/>
      <c r="D7" s="712"/>
      <c r="E7" s="712"/>
      <c r="F7" s="712"/>
      <c r="G7" s="712"/>
      <c r="H7" s="711"/>
      <c r="I7" s="711"/>
      <c r="J7" s="747"/>
      <c r="K7" s="732"/>
      <c r="L7" s="713"/>
      <c r="M7" s="714">
        <v>1</v>
      </c>
      <c r="N7" s="714">
        <v>2</v>
      </c>
      <c r="O7" s="714">
        <v>3</v>
      </c>
      <c r="P7" s="714">
        <v>4</v>
      </c>
      <c r="Q7" s="714">
        <v>5</v>
      </c>
      <c r="R7" s="714"/>
      <c r="S7" s="714" t="s">
        <v>895</v>
      </c>
      <c r="T7" s="715" t="s">
        <v>21</v>
      </c>
      <c r="U7" s="714" t="s">
        <v>894</v>
      </c>
      <c r="V7" s="714" t="s">
        <v>893</v>
      </c>
      <c r="W7" s="716">
        <v>10</v>
      </c>
      <c r="X7" s="714" t="s">
        <v>892</v>
      </c>
      <c r="Y7" s="714" t="s">
        <v>891</v>
      </c>
      <c r="Z7" s="715" t="s">
        <v>22</v>
      </c>
      <c r="AA7" s="714" t="s">
        <v>890</v>
      </c>
      <c r="AB7" s="714" t="s">
        <v>889</v>
      </c>
    </row>
    <row r="8" spans="1:28" ht="35.1" customHeight="1">
      <c r="A8" s="32" t="e">
        <f>+CONCATENATE(#REF!,"=",J8)</f>
        <v>#REF!</v>
      </c>
      <c r="B8" s="33" t="str">
        <f>CONCATENATE(C9)</f>
        <v>A</v>
      </c>
      <c r="C8" s="34" t="s">
        <v>23</v>
      </c>
      <c r="D8" s="35"/>
      <c r="E8" s="35"/>
      <c r="F8" s="35"/>
      <c r="G8" s="35"/>
      <c r="H8" s="35"/>
      <c r="I8" s="35"/>
      <c r="J8" s="34"/>
      <c r="K8" s="35"/>
      <c r="L8" s="33" t="s">
        <v>24</v>
      </c>
      <c r="M8" s="36">
        <f t="shared" ref="M8:U8" si="0">+M9+M44+M92+M106</f>
        <v>212412470214</v>
      </c>
      <c r="N8" s="739">
        <f t="shared" si="0"/>
        <v>0</v>
      </c>
      <c r="O8" s="739">
        <f t="shared" si="0"/>
        <v>0</v>
      </c>
      <c r="P8" s="36">
        <f t="shared" si="0"/>
        <v>4892321043</v>
      </c>
      <c r="Q8" s="36">
        <f t="shared" si="0"/>
        <v>4892321043</v>
      </c>
      <c r="R8" s="36">
        <f t="shared" si="0"/>
        <v>5880000000</v>
      </c>
      <c r="S8" s="36">
        <f t="shared" si="0"/>
        <v>206532470214</v>
      </c>
      <c r="T8" s="36">
        <f t="shared" si="0"/>
        <v>70709445713.069992</v>
      </c>
      <c r="U8" s="36">
        <f t="shared" si="0"/>
        <v>135823024500.93001</v>
      </c>
      <c r="V8" s="37">
        <f t="shared" ref="V8:V13" si="1">+IF(S8&gt;0,T8/S8,0)</f>
        <v>0.34236478961300337</v>
      </c>
      <c r="W8" s="36">
        <f>+W9+W44+W92+W106</f>
        <v>53000656115.25</v>
      </c>
      <c r="X8" s="36">
        <f>+X9+X44+X92+X106</f>
        <v>17708789597.82</v>
      </c>
      <c r="Y8" s="37">
        <f t="shared" ref="Y8:Y23" si="2">+IF(T8&gt;0,X8/T8,0)</f>
        <v>0.25044446918280244</v>
      </c>
      <c r="Z8" s="36">
        <f>+Z9+Z44+Z92+Z106</f>
        <v>52575968710.589996</v>
      </c>
      <c r="AA8" s="36">
        <f>+AA9+AA44+AA92+AA106</f>
        <v>424687404.65999997</v>
      </c>
      <c r="AB8" s="37">
        <f>+IF(T8&gt;0,(Z8/T8),0)</f>
        <v>0.74354943926355532</v>
      </c>
    </row>
    <row r="9" spans="1:28" ht="24" customHeight="1">
      <c r="A9" s="32" t="e">
        <f>+CONCATENATE(#REF!,"=",J9)</f>
        <v>#REF!</v>
      </c>
      <c r="B9" s="38" t="str">
        <f>CONCATENATE(C9,"-",D9)</f>
        <v>A-01</v>
      </c>
      <c r="C9" s="39" t="s">
        <v>23</v>
      </c>
      <c r="D9" s="39" t="s">
        <v>25</v>
      </c>
      <c r="E9" s="39"/>
      <c r="F9" s="39"/>
      <c r="G9" s="39"/>
      <c r="H9" s="39"/>
      <c r="I9" s="39"/>
      <c r="J9" s="39"/>
      <c r="K9" s="40"/>
      <c r="L9" s="38" t="s">
        <v>26</v>
      </c>
      <c r="M9" s="41">
        <f>+M10</f>
        <v>128915000000</v>
      </c>
      <c r="N9" s="740">
        <f t="shared" ref="N9:AA9" si="3">+N10</f>
        <v>0</v>
      </c>
      <c r="O9" s="740">
        <f t="shared" si="3"/>
        <v>0</v>
      </c>
      <c r="P9" s="41">
        <f>+P10</f>
        <v>0</v>
      </c>
      <c r="Q9" s="41">
        <f t="shared" si="3"/>
        <v>0</v>
      </c>
      <c r="R9" s="740">
        <f t="shared" si="3"/>
        <v>0</v>
      </c>
      <c r="S9" s="41">
        <f t="shared" si="3"/>
        <v>128915000000</v>
      </c>
      <c r="T9" s="41">
        <f t="shared" si="3"/>
        <v>41242491204</v>
      </c>
      <c r="U9" s="41">
        <f t="shared" si="3"/>
        <v>87672508796</v>
      </c>
      <c r="V9" s="42">
        <f t="shared" si="1"/>
        <v>0.31992003416204473</v>
      </c>
      <c r="W9" s="41">
        <f t="shared" si="3"/>
        <v>39770167297</v>
      </c>
      <c r="X9" s="41">
        <f t="shared" si="3"/>
        <v>1472323907</v>
      </c>
      <c r="Y9" s="42">
        <f t="shared" si="2"/>
        <v>3.5699199151607096E-2</v>
      </c>
      <c r="Z9" s="41">
        <f t="shared" si="3"/>
        <v>39770167297</v>
      </c>
      <c r="AA9" s="41">
        <f t="shared" si="3"/>
        <v>0</v>
      </c>
      <c r="AB9" s="42">
        <f t="shared" ref="AB9:AB78" si="4">+IF(T9&gt;0,(Z9/T9),0)</f>
        <v>0.96430080084839287</v>
      </c>
    </row>
    <row r="10" spans="1:28" ht="24" customHeight="1">
      <c r="A10" s="32" t="e">
        <f>+CONCATENATE(#REF!,"=",J10)</f>
        <v>#REF!</v>
      </c>
      <c r="B10" s="43" t="str">
        <f>CONCATENATE(C10,"-",D10,"-",E10)</f>
        <v>A-01-01</v>
      </c>
      <c r="C10" s="44" t="s">
        <v>23</v>
      </c>
      <c r="D10" s="44" t="s">
        <v>25</v>
      </c>
      <c r="E10" s="44" t="s">
        <v>25</v>
      </c>
      <c r="F10" s="44"/>
      <c r="G10" s="44"/>
      <c r="H10" s="44"/>
      <c r="I10" s="44"/>
      <c r="J10" s="44"/>
      <c r="K10" s="45"/>
      <c r="L10" s="43" t="s">
        <v>27</v>
      </c>
      <c r="M10" s="46">
        <f t="shared" ref="M10:U10" si="5">+M11+M23+M33</f>
        <v>128915000000</v>
      </c>
      <c r="N10" s="741">
        <f t="shared" si="5"/>
        <v>0</v>
      </c>
      <c r="O10" s="741">
        <f t="shared" si="5"/>
        <v>0</v>
      </c>
      <c r="P10" s="46">
        <f t="shared" si="5"/>
        <v>0</v>
      </c>
      <c r="Q10" s="46">
        <f t="shared" si="5"/>
        <v>0</v>
      </c>
      <c r="R10" s="741">
        <f t="shared" si="5"/>
        <v>0</v>
      </c>
      <c r="S10" s="46">
        <f t="shared" si="5"/>
        <v>128915000000</v>
      </c>
      <c r="T10" s="46">
        <f t="shared" si="5"/>
        <v>41242491204</v>
      </c>
      <c r="U10" s="46">
        <f t="shared" si="5"/>
        <v>87672508796</v>
      </c>
      <c r="V10" s="47">
        <f t="shared" si="1"/>
        <v>0.31992003416204473</v>
      </c>
      <c r="W10" s="46">
        <f>+W11+W23+W33</f>
        <v>39770167297</v>
      </c>
      <c r="X10" s="46">
        <f>+X11+X23+X33</f>
        <v>1472323907</v>
      </c>
      <c r="Y10" s="47">
        <f t="shared" si="2"/>
        <v>3.5699199151607096E-2</v>
      </c>
      <c r="Z10" s="46">
        <f>+Z11+Z23+Z33</f>
        <v>39770167297</v>
      </c>
      <c r="AA10" s="46">
        <f>+AA11+AA23+AA33</f>
        <v>0</v>
      </c>
      <c r="AB10" s="47">
        <f t="shared" si="4"/>
        <v>0.96430080084839287</v>
      </c>
    </row>
    <row r="11" spans="1:28" ht="24" customHeight="1">
      <c r="A11" s="32" t="e">
        <f>+CONCATENATE(#REF!,"=",J11)</f>
        <v>#REF!</v>
      </c>
      <c r="B11" s="48" t="str">
        <f>CONCATENATE(C11,"-",D11,"-",E11,"-",F11)</f>
        <v>A-01-01-01</v>
      </c>
      <c r="C11" s="48" t="s">
        <v>23</v>
      </c>
      <c r="D11" s="48" t="s">
        <v>25</v>
      </c>
      <c r="E11" s="48" t="s">
        <v>25</v>
      </c>
      <c r="F11" s="48" t="s">
        <v>25</v>
      </c>
      <c r="G11" s="48"/>
      <c r="H11" s="48"/>
      <c r="I11" s="48"/>
      <c r="J11" s="49" t="s">
        <v>28</v>
      </c>
      <c r="K11" s="48" t="s">
        <v>29</v>
      </c>
      <c r="L11" s="48" t="s">
        <v>30</v>
      </c>
      <c r="M11" s="50">
        <f>SUM(M12)</f>
        <v>87725000000</v>
      </c>
      <c r="N11" s="742">
        <f t="shared" ref="N11:AA11" si="6">SUM(N12)</f>
        <v>0</v>
      </c>
      <c r="O11" s="742">
        <f t="shared" si="6"/>
        <v>0</v>
      </c>
      <c r="P11" s="50">
        <f t="shared" si="6"/>
        <v>0</v>
      </c>
      <c r="Q11" s="50">
        <f t="shared" si="6"/>
        <v>0</v>
      </c>
      <c r="R11" s="742">
        <f t="shared" si="6"/>
        <v>0</v>
      </c>
      <c r="S11" s="50">
        <f t="shared" si="6"/>
        <v>87725000000</v>
      </c>
      <c r="T11" s="50">
        <f t="shared" si="6"/>
        <v>26259765789</v>
      </c>
      <c r="U11" s="50">
        <f t="shared" si="6"/>
        <v>61465234211</v>
      </c>
      <c r="V11" s="51">
        <f t="shared" si="1"/>
        <v>0.29934187277286978</v>
      </c>
      <c r="W11" s="50">
        <f t="shared" si="6"/>
        <v>26258364674</v>
      </c>
      <c r="X11" s="50">
        <f t="shared" si="6"/>
        <v>1401115</v>
      </c>
      <c r="Y11" s="51">
        <f t="shared" si="2"/>
        <v>5.3355959503146654E-5</v>
      </c>
      <c r="Z11" s="50">
        <f t="shared" si="6"/>
        <v>26258364674</v>
      </c>
      <c r="AA11" s="50">
        <f t="shared" si="6"/>
        <v>0</v>
      </c>
      <c r="AB11" s="51">
        <f t="shared" si="4"/>
        <v>0.99994664404049682</v>
      </c>
    </row>
    <row r="12" spans="1:28" ht="25.5" customHeight="1">
      <c r="A12" s="32" t="e">
        <f>+CONCATENATE(#REF!,"=",J12)</f>
        <v>#REF!</v>
      </c>
      <c r="B12" s="52" t="str">
        <f>CONCATENATE(C12,"-",D12,"-",E12,"-",F12,"-",G12)</f>
        <v>A-01-01-01-001</v>
      </c>
      <c r="C12" s="52" t="s">
        <v>23</v>
      </c>
      <c r="D12" s="52" t="s">
        <v>25</v>
      </c>
      <c r="E12" s="52" t="s">
        <v>25</v>
      </c>
      <c r="F12" s="52" t="s">
        <v>25</v>
      </c>
      <c r="G12" s="52" t="s">
        <v>31</v>
      </c>
      <c r="H12" s="52"/>
      <c r="I12" s="52"/>
      <c r="J12" s="53" t="s">
        <v>28</v>
      </c>
      <c r="K12" s="52" t="s">
        <v>29</v>
      </c>
      <c r="L12" s="52" t="s">
        <v>32</v>
      </c>
      <c r="M12" s="54">
        <f t="shared" ref="M12:U12" si="7">SUM(M13:M22)</f>
        <v>87725000000</v>
      </c>
      <c r="N12" s="743">
        <f t="shared" si="7"/>
        <v>0</v>
      </c>
      <c r="O12" s="743">
        <f t="shared" si="7"/>
        <v>0</v>
      </c>
      <c r="P12" s="54">
        <f t="shared" si="7"/>
        <v>0</v>
      </c>
      <c r="Q12" s="54">
        <f t="shared" si="7"/>
        <v>0</v>
      </c>
      <c r="R12" s="743">
        <f t="shared" si="7"/>
        <v>0</v>
      </c>
      <c r="S12" s="54">
        <f t="shared" si="7"/>
        <v>87725000000</v>
      </c>
      <c r="T12" s="54">
        <f t="shared" si="7"/>
        <v>26259765789</v>
      </c>
      <c r="U12" s="54">
        <f t="shared" si="7"/>
        <v>61465234211</v>
      </c>
      <c r="V12" s="55">
        <f t="shared" si="1"/>
        <v>0.29934187277286978</v>
      </c>
      <c r="W12" s="54">
        <f>SUM(W13:W22)</f>
        <v>26258364674</v>
      </c>
      <c r="X12" s="54">
        <f>SUM(X13:X22)</f>
        <v>1401115</v>
      </c>
      <c r="Y12" s="55">
        <f t="shared" si="2"/>
        <v>5.3355959503146654E-5</v>
      </c>
      <c r="Z12" s="54">
        <f>SUM(Z13:Z22)</f>
        <v>26258364674</v>
      </c>
      <c r="AA12" s="54">
        <f>SUM(AA13:AA22)</f>
        <v>0</v>
      </c>
      <c r="AB12" s="55">
        <f t="shared" si="4"/>
        <v>0.99994664404049682</v>
      </c>
    </row>
    <row r="13" spans="1:28" ht="24.95" customHeight="1">
      <c r="A13" s="32" t="e">
        <f>+CONCATENATE(#REF!,"=",J13)</f>
        <v>#REF!</v>
      </c>
      <c r="B13" s="56" t="str">
        <f>CONCATENATE(C13,"-",D13,"-",E13,"-",F13,"-",G13,"-",H13)</f>
        <v>A-01-01-01-001-001</v>
      </c>
      <c r="C13" s="57" t="s">
        <v>23</v>
      </c>
      <c r="D13" s="57" t="s">
        <v>25</v>
      </c>
      <c r="E13" s="57" t="s">
        <v>25</v>
      </c>
      <c r="F13" s="57" t="s">
        <v>25</v>
      </c>
      <c r="G13" s="57" t="s">
        <v>31</v>
      </c>
      <c r="H13" s="57" t="s">
        <v>31</v>
      </c>
      <c r="I13" s="57"/>
      <c r="J13" s="57" t="s">
        <v>28</v>
      </c>
      <c r="K13" s="58" t="s">
        <v>29</v>
      </c>
      <c r="L13" s="59" t="s">
        <v>33</v>
      </c>
      <c r="M13" s="60">
        <v>71741000000</v>
      </c>
      <c r="N13" s="60"/>
      <c r="O13" s="60"/>
      <c r="P13" s="61"/>
      <c r="Q13" s="61"/>
      <c r="R13" s="61"/>
      <c r="S13" s="60">
        <f t="shared" ref="S13:S22" si="8">+M13-R13+N13-O13+P13-Q13</f>
        <v>71741000000</v>
      </c>
      <c r="T13" s="60">
        <v>23548047024</v>
      </c>
      <c r="U13" s="60">
        <f t="shared" ref="U13:U113" si="9">+S13-T13</f>
        <v>48192952976</v>
      </c>
      <c r="V13" s="62">
        <f t="shared" si="1"/>
        <v>0.32823694991706276</v>
      </c>
      <c r="W13" s="60">
        <v>23546645909</v>
      </c>
      <c r="X13" s="60">
        <f>+T13-W13</f>
        <v>1401115</v>
      </c>
      <c r="Y13" s="62">
        <f t="shared" si="2"/>
        <v>5.9500263379463858E-5</v>
      </c>
      <c r="Z13" s="60">
        <v>23546645909</v>
      </c>
      <c r="AA13" s="60">
        <f t="shared" ref="AA13:AA113" si="10">+W13-Z13</f>
        <v>0</v>
      </c>
      <c r="AB13" s="62">
        <f t="shared" si="4"/>
        <v>0.99994049973662058</v>
      </c>
    </row>
    <row r="14" spans="1:28" ht="24.95" customHeight="1">
      <c r="A14" s="32" t="e">
        <f>+CONCATENATE(#REF!,"=",J14)</f>
        <v>#REF!</v>
      </c>
      <c r="B14" s="56" t="str">
        <f t="shared" ref="B14:B22" si="11">CONCATENATE(C14,"-",D14,"-",E14,"-",F14,"-",G14,"-",H14)</f>
        <v>A-01-01-01-001-002</v>
      </c>
      <c r="C14" s="57" t="s">
        <v>23</v>
      </c>
      <c r="D14" s="57" t="s">
        <v>25</v>
      </c>
      <c r="E14" s="57" t="s">
        <v>25</v>
      </c>
      <c r="F14" s="57" t="s">
        <v>25</v>
      </c>
      <c r="G14" s="57" t="s">
        <v>31</v>
      </c>
      <c r="H14" s="57" t="s">
        <v>34</v>
      </c>
      <c r="I14" s="57"/>
      <c r="J14" s="57" t="s">
        <v>28</v>
      </c>
      <c r="K14" s="58" t="s">
        <v>29</v>
      </c>
      <c r="L14" s="59" t="s">
        <v>35</v>
      </c>
      <c r="M14" s="60">
        <v>360000000</v>
      </c>
      <c r="N14" s="60"/>
      <c r="O14" s="60"/>
      <c r="P14" s="61"/>
      <c r="Q14" s="61"/>
      <c r="R14" s="60"/>
      <c r="S14" s="60">
        <f t="shared" si="8"/>
        <v>360000000</v>
      </c>
      <c r="T14" s="60">
        <v>118964191</v>
      </c>
      <c r="U14" s="60">
        <f t="shared" si="9"/>
        <v>241035809</v>
      </c>
      <c r="V14" s="62">
        <f>+IF(S14&gt;0,T14/S14,0)</f>
        <v>0.3304560861111111</v>
      </c>
      <c r="W14" s="60">
        <v>118964191</v>
      </c>
      <c r="X14" s="60">
        <f t="shared" ref="X14:X113" si="12">+T14-W14</f>
        <v>0</v>
      </c>
      <c r="Y14" s="62">
        <f t="shared" si="2"/>
        <v>0</v>
      </c>
      <c r="Z14" s="60">
        <v>118964191</v>
      </c>
      <c r="AA14" s="60">
        <f t="shared" si="10"/>
        <v>0</v>
      </c>
      <c r="AB14" s="62">
        <f t="shared" si="4"/>
        <v>1</v>
      </c>
    </row>
    <row r="15" spans="1:28" ht="24.95" customHeight="1">
      <c r="A15" s="32" t="e">
        <f>+CONCATENATE(#REF!,"=",J15)</f>
        <v>#REF!</v>
      </c>
      <c r="B15" s="56" t="str">
        <f t="shared" si="11"/>
        <v>A-01-01-01-001-003</v>
      </c>
      <c r="C15" s="57" t="s">
        <v>23</v>
      </c>
      <c r="D15" s="57" t="s">
        <v>25</v>
      </c>
      <c r="E15" s="57" t="s">
        <v>25</v>
      </c>
      <c r="F15" s="57" t="s">
        <v>25</v>
      </c>
      <c r="G15" s="57" t="s">
        <v>31</v>
      </c>
      <c r="H15" s="57" t="s">
        <v>36</v>
      </c>
      <c r="I15" s="57"/>
      <c r="J15" s="57" t="s">
        <v>28</v>
      </c>
      <c r="K15" s="58" t="s">
        <v>29</v>
      </c>
      <c r="L15" s="59" t="s">
        <v>37</v>
      </c>
      <c r="M15" s="60">
        <v>840000000</v>
      </c>
      <c r="N15" s="60"/>
      <c r="O15" s="60"/>
      <c r="P15" s="61"/>
      <c r="Q15" s="61"/>
      <c r="R15" s="60"/>
      <c r="S15" s="60">
        <f t="shared" si="8"/>
        <v>840000000</v>
      </c>
      <c r="T15" s="60">
        <v>380990446</v>
      </c>
      <c r="U15" s="60">
        <f t="shared" si="9"/>
        <v>459009554</v>
      </c>
      <c r="V15" s="62">
        <f t="shared" ref="V15:V84" si="13">+IF(S15&gt;0,T15/S15,0)</f>
        <v>0.45356005476190475</v>
      </c>
      <c r="W15" s="60">
        <v>380990446</v>
      </c>
      <c r="X15" s="60">
        <f t="shared" si="12"/>
        <v>0</v>
      </c>
      <c r="Y15" s="62">
        <f t="shared" si="2"/>
        <v>0</v>
      </c>
      <c r="Z15" s="60">
        <v>380990446</v>
      </c>
      <c r="AA15" s="60">
        <f t="shared" si="10"/>
        <v>0</v>
      </c>
      <c r="AB15" s="62">
        <f t="shared" si="4"/>
        <v>1</v>
      </c>
    </row>
    <row r="16" spans="1:28" ht="24.95" customHeight="1">
      <c r="A16" s="32" t="e">
        <f>+CONCATENATE(#REF!,"=",J16)</f>
        <v>#REF!</v>
      </c>
      <c r="B16" s="56" t="str">
        <f t="shared" si="11"/>
        <v>A-01-01-01-001-004</v>
      </c>
      <c r="C16" s="57" t="s">
        <v>23</v>
      </c>
      <c r="D16" s="57" t="s">
        <v>25</v>
      </c>
      <c r="E16" s="57" t="s">
        <v>25</v>
      </c>
      <c r="F16" s="57" t="s">
        <v>25</v>
      </c>
      <c r="G16" s="57" t="s">
        <v>31</v>
      </c>
      <c r="H16" s="57" t="s">
        <v>38</v>
      </c>
      <c r="I16" s="57"/>
      <c r="J16" s="57" t="s">
        <v>28</v>
      </c>
      <c r="K16" s="58" t="s">
        <v>29</v>
      </c>
      <c r="L16" s="59" t="s">
        <v>39</v>
      </c>
      <c r="M16" s="60">
        <v>180000000</v>
      </c>
      <c r="N16" s="60"/>
      <c r="O16" s="60"/>
      <c r="P16" s="61"/>
      <c r="Q16" s="61"/>
      <c r="R16" s="60"/>
      <c r="S16" s="60">
        <f t="shared" si="8"/>
        <v>180000000</v>
      </c>
      <c r="T16" s="60">
        <v>34118330</v>
      </c>
      <c r="U16" s="60">
        <f t="shared" si="9"/>
        <v>145881670</v>
      </c>
      <c r="V16" s="62">
        <f t="shared" si="13"/>
        <v>0.18954627777777777</v>
      </c>
      <c r="W16" s="60">
        <v>34118330</v>
      </c>
      <c r="X16" s="60">
        <f t="shared" si="12"/>
        <v>0</v>
      </c>
      <c r="Y16" s="62">
        <f t="shared" si="2"/>
        <v>0</v>
      </c>
      <c r="Z16" s="60">
        <v>34118330</v>
      </c>
      <c r="AA16" s="60">
        <f t="shared" si="10"/>
        <v>0</v>
      </c>
      <c r="AB16" s="62">
        <f t="shared" si="4"/>
        <v>1</v>
      </c>
    </row>
    <row r="17" spans="1:28" ht="24.95" customHeight="1">
      <c r="A17" s="32" t="e">
        <f>+CONCATENATE(#REF!,"=",J17)</f>
        <v>#REF!</v>
      </c>
      <c r="B17" s="56" t="str">
        <f t="shared" si="11"/>
        <v>A-01-01-01-001-005</v>
      </c>
      <c r="C17" s="57" t="s">
        <v>23</v>
      </c>
      <c r="D17" s="57" t="s">
        <v>25</v>
      </c>
      <c r="E17" s="57" t="s">
        <v>25</v>
      </c>
      <c r="F17" s="57" t="s">
        <v>25</v>
      </c>
      <c r="G17" s="57" t="s">
        <v>31</v>
      </c>
      <c r="H17" s="57" t="s">
        <v>40</v>
      </c>
      <c r="I17" s="57"/>
      <c r="J17" s="57" t="s">
        <v>28</v>
      </c>
      <c r="K17" s="58" t="s">
        <v>29</v>
      </c>
      <c r="L17" s="59" t="s">
        <v>41</v>
      </c>
      <c r="M17" s="60">
        <v>204000000</v>
      </c>
      <c r="N17" s="60"/>
      <c r="O17" s="60"/>
      <c r="P17" s="61"/>
      <c r="Q17" s="61"/>
      <c r="R17" s="60"/>
      <c r="S17" s="60">
        <f t="shared" si="8"/>
        <v>204000000</v>
      </c>
      <c r="T17" s="60">
        <v>90484442</v>
      </c>
      <c r="U17" s="60">
        <f t="shared" si="9"/>
        <v>113515558</v>
      </c>
      <c r="V17" s="62">
        <f t="shared" si="13"/>
        <v>0.44355118627450979</v>
      </c>
      <c r="W17" s="60">
        <v>90484442</v>
      </c>
      <c r="X17" s="60">
        <f t="shared" si="12"/>
        <v>0</v>
      </c>
      <c r="Y17" s="62">
        <f t="shared" si="2"/>
        <v>0</v>
      </c>
      <c r="Z17" s="60">
        <v>90484442</v>
      </c>
      <c r="AA17" s="60">
        <f t="shared" si="10"/>
        <v>0</v>
      </c>
      <c r="AB17" s="62">
        <f t="shared" si="4"/>
        <v>1</v>
      </c>
    </row>
    <row r="18" spans="1:28" ht="24.95" customHeight="1">
      <c r="A18" s="32" t="e">
        <f>+CONCATENATE(#REF!,"=",J18)</f>
        <v>#REF!</v>
      </c>
      <c r="B18" s="56" t="str">
        <f t="shared" si="11"/>
        <v>A-01-01-01-001-006</v>
      </c>
      <c r="C18" s="57" t="s">
        <v>23</v>
      </c>
      <c r="D18" s="57" t="s">
        <v>25</v>
      </c>
      <c r="E18" s="57" t="s">
        <v>25</v>
      </c>
      <c r="F18" s="57" t="s">
        <v>25</v>
      </c>
      <c r="G18" s="57" t="s">
        <v>31</v>
      </c>
      <c r="H18" s="57" t="s">
        <v>42</v>
      </c>
      <c r="I18" s="57"/>
      <c r="J18" s="57" t="s">
        <v>28</v>
      </c>
      <c r="K18" s="58" t="s">
        <v>29</v>
      </c>
      <c r="L18" s="59" t="s">
        <v>43</v>
      </c>
      <c r="M18" s="60">
        <v>3000000000</v>
      </c>
      <c r="N18" s="60"/>
      <c r="O18" s="60"/>
      <c r="P18" s="61"/>
      <c r="Q18" s="61"/>
      <c r="R18" s="60"/>
      <c r="S18" s="60">
        <f t="shared" si="8"/>
        <v>3000000000</v>
      </c>
      <c r="T18" s="60">
        <v>52037812</v>
      </c>
      <c r="U18" s="60">
        <f t="shared" si="9"/>
        <v>2947962188</v>
      </c>
      <c r="V18" s="62">
        <f t="shared" si="13"/>
        <v>1.7345937333333332E-2</v>
      </c>
      <c r="W18" s="60">
        <v>52037812</v>
      </c>
      <c r="X18" s="60">
        <f t="shared" si="12"/>
        <v>0</v>
      </c>
      <c r="Y18" s="62">
        <f t="shared" si="2"/>
        <v>0</v>
      </c>
      <c r="Z18" s="60">
        <v>52037812</v>
      </c>
      <c r="AA18" s="60">
        <f t="shared" si="10"/>
        <v>0</v>
      </c>
      <c r="AB18" s="62">
        <f t="shared" si="4"/>
        <v>1</v>
      </c>
    </row>
    <row r="19" spans="1:28" ht="24.95" customHeight="1">
      <c r="A19" s="32" t="e">
        <f>+CONCATENATE(#REF!,"=",J19)</f>
        <v>#REF!</v>
      </c>
      <c r="B19" s="56" t="str">
        <f t="shared" si="11"/>
        <v>A-01-01-01-001-007</v>
      </c>
      <c r="C19" s="57" t="s">
        <v>23</v>
      </c>
      <c r="D19" s="57" t="s">
        <v>25</v>
      </c>
      <c r="E19" s="57" t="s">
        <v>25</v>
      </c>
      <c r="F19" s="57" t="s">
        <v>25</v>
      </c>
      <c r="G19" s="57" t="s">
        <v>31</v>
      </c>
      <c r="H19" s="57" t="s">
        <v>44</v>
      </c>
      <c r="I19" s="57"/>
      <c r="J19" s="57" t="s">
        <v>28</v>
      </c>
      <c r="K19" s="58" t="s">
        <v>29</v>
      </c>
      <c r="L19" s="59" t="s">
        <v>45</v>
      </c>
      <c r="M19" s="60">
        <v>2000000000</v>
      </c>
      <c r="N19" s="60"/>
      <c r="O19" s="60"/>
      <c r="P19" s="61"/>
      <c r="Q19" s="61"/>
      <c r="R19" s="60"/>
      <c r="S19" s="60">
        <f t="shared" si="8"/>
        <v>2000000000</v>
      </c>
      <c r="T19" s="60">
        <v>859756938</v>
      </c>
      <c r="U19" s="60">
        <f t="shared" si="9"/>
        <v>1140243062</v>
      </c>
      <c r="V19" s="62">
        <f t="shared" si="13"/>
        <v>0.42987846899999999</v>
      </c>
      <c r="W19" s="60">
        <v>859756938</v>
      </c>
      <c r="X19" s="60">
        <f t="shared" si="12"/>
        <v>0</v>
      </c>
      <c r="Y19" s="62">
        <f t="shared" si="2"/>
        <v>0</v>
      </c>
      <c r="Z19" s="60">
        <v>859756938</v>
      </c>
      <c r="AA19" s="60">
        <f t="shared" si="10"/>
        <v>0</v>
      </c>
      <c r="AB19" s="62">
        <f t="shared" si="4"/>
        <v>1</v>
      </c>
    </row>
    <row r="20" spans="1:28" ht="24.95" customHeight="1">
      <c r="A20" s="32" t="e">
        <f>+CONCATENATE(#REF!,"=",J20)</f>
        <v>#REF!</v>
      </c>
      <c r="B20" s="56" t="str">
        <f t="shared" si="11"/>
        <v>A-01-01-01-001-008</v>
      </c>
      <c r="C20" s="57" t="s">
        <v>23</v>
      </c>
      <c r="D20" s="57" t="s">
        <v>25</v>
      </c>
      <c r="E20" s="57" t="s">
        <v>25</v>
      </c>
      <c r="F20" s="57" t="s">
        <v>25</v>
      </c>
      <c r="G20" s="57" t="s">
        <v>31</v>
      </c>
      <c r="H20" s="57" t="s">
        <v>46</v>
      </c>
      <c r="I20" s="57"/>
      <c r="J20" s="57" t="s">
        <v>28</v>
      </c>
      <c r="K20" s="58" t="s">
        <v>29</v>
      </c>
      <c r="L20" s="59" t="s">
        <v>47</v>
      </c>
      <c r="M20" s="60">
        <v>200000000</v>
      </c>
      <c r="N20" s="60"/>
      <c r="O20" s="60"/>
      <c r="P20" s="61"/>
      <c r="Q20" s="61"/>
      <c r="R20" s="60"/>
      <c r="S20" s="60">
        <f t="shared" si="8"/>
        <v>200000000</v>
      </c>
      <c r="T20" s="60">
        <v>52245670</v>
      </c>
      <c r="U20" s="60">
        <f t="shared" si="9"/>
        <v>147754330</v>
      </c>
      <c r="V20" s="62">
        <f t="shared" si="13"/>
        <v>0.26122835</v>
      </c>
      <c r="W20" s="60">
        <v>52245670</v>
      </c>
      <c r="X20" s="60">
        <f t="shared" si="12"/>
        <v>0</v>
      </c>
      <c r="Y20" s="62">
        <f t="shared" si="2"/>
        <v>0</v>
      </c>
      <c r="Z20" s="60">
        <v>52245670</v>
      </c>
      <c r="AA20" s="60">
        <f t="shared" si="10"/>
        <v>0</v>
      </c>
      <c r="AB20" s="62">
        <f t="shared" si="4"/>
        <v>1</v>
      </c>
    </row>
    <row r="21" spans="1:28" ht="24.95" customHeight="1">
      <c r="A21" s="32" t="e">
        <f>+CONCATENATE(#REF!,"=",J21)</f>
        <v>#REF!</v>
      </c>
      <c r="B21" s="56" t="str">
        <f t="shared" si="11"/>
        <v>A-01-01-01-001-009</v>
      </c>
      <c r="C21" s="57" t="s">
        <v>23</v>
      </c>
      <c r="D21" s="57" t="s">
        <v>25</v>
      </c>
      <c r="E21" s="57" t="s">
        <v>25</v>
      </c>
      <c r="F21" s="57" t="s">
        <v>25</v>
      </c>
      <c r="G21" s="57" t="s">
        <v>31</v>
      </c>
      <c r="H21" s="57" t="s">
        <v>48</v>
      </c>
      <c r="I21" s="57"/>
      <c r="J21" s="57" t="s">
        <v>28</v>
      </c>
      <c r="K21" s="58" t="s">
        <v>29</v>
      </c>
      <c r="L21" s="59" t="s">
        <v>49</v>
      </c>
      <c r="M21" s="60">
        <v>5900000000</v>
      </c>
      <c r="N21" s="60"/>
      <c r="O21" s="60"/>
      <c r="P21" s="61"/>
      <c r="Q21" s="61"/>
      <c r="R21" s="60"/>
      <c r="S21" s="60">
        <f t="shared" si="8"/>
        <v>5900000000</v>
      </c>
      <c r="T21" s="60">
        <v>22482124</v>
      </c>
      <c r="U21" s="60">
        <f t="shared" si="9"/>
        <v>5877517876</v>
      </c>
      <c r="V21" s="62">
        <f t="shared" si="13"/>
        <v>3.8105294915254237E-3</v>
      </c>
      <c r="W21" s="60">
        <v>22482124</v>
      </c>
      <c r="X21" s="60">
        <f t="shared" si="12"/>
        <v>0</v>
      </c>
      <c r="Y21" s="62">
        <f t="shared" si="2"/>
        <v>0</v>
      </c>
      <c r="Z21" s="60">
        <v>22482124</v>
      </c>
      <c r="AA21" s="60">
        <f t="shared" si="10"/>
        <v>0</v>
      </c>
      <c r="AB21" s="62">
        <f t="shared" si="4"/>
        <v>1</v>
      </c>
    </row>
    <row r="22" spans="1:28" ht="24.95" customHeight="1">
      <c r="A22" s="32" t="e">
        <f>+CONCATENATE(#REF!,"=",J22)</f>
        <v>#REF!</v>
      </c>
      <c r="B22" s="56" t="str">
        <f t="shared" si="11"/>
        <v>A-01-01-01-001-010</v>
      </c>
      <c r="C22" s="57" t="s">
        <v>23</v>
      </c>
      <c r="D22" s="57" t="s">
        <v>25</v>
      </c>
      <c r="E22" s="57" t="s">
        <v>25</v>
      </c>
      <c r="F22" s="57" t="s">
        <v>25</v>
      </c>
      <c r="G22" s="57" t="s">
        <v>31</v>
      </c>
      <c r="H22" s="57" t="s">
        <v>50</v>
      </c>
      <c r="I22" s="57"/>
      <c r="J22" s="57" t="s">
        <v>28</v>
      </c>
      <c r="K22" s="58" t="s">
        <v>29</v>
      </c>
      <c r="L22" s="59" t="s">
        <v>51</v>
      </c>
      <c r="M22" s="60">
        <v>3300000000</v>
      </c>
      <c r="N22" s="60"/>
      <c r="O22" s="60"/>
      <c r="P22" s="61"/>
      <c r="Q22" s="61"/>
      <c r="R22" s="60"/>
      <c r="S22" s="60">
        <f t="shared" si="8"/>
        <v>3300000000</v>
      </c>
      <c r="T22" s="60">
        <v>1100638812</v>
      </c>
      <c r="U22" s="60">
        <f t="shared" si="9"/>
        <v>2199361188</v>
      </c>
      <c r="V22" s="62">
        <f t="shared" si="13"/>
        <v>0.33352691272727275</v>
      </c>
      <c r="W22" s="60">
        <v>1100638812</v>
      </c>
      <c r="X22" s="60">
        <f t="shared" si="12"/>
        <v>0</v>
      </c>
      <c r="Y22" s="62">
        <f t="shared" si="2"/>
        <v>0</v>
      </c>
      <c r="Z22" s="60">
        <v>1100638812</v>
      </c>
      <c r="AA22" s="60">
        <f t="shared" si="10"/>
        <v>0</v>
      </c>
      <c r="AB22" s="62">
        <f t="shared" si="4"/>
        <v>1</v>
      </c>
    </row>
    <row r="23" spans="1:28" ht="24" customHeight="1">
      <c r="A23" s="32" t="e">
        <f>+CONCATENATE(#REF!,"=",J23)</f>
        <v>#REF!</v>
      </c>
      <c r="B23" s="48" t="str">
        <f>CONCATENATE(C23,"-",D23,"-",E23,"-",F23)</f>
        <v>A-01-01-02</v>
      </c>
      <c r="C23" s="48" t="s">
        <v>23</v>
      </c>
      <c r="D23" s="48" t="s">
        <v>25</v>
      </c>
      <c r="E23" s="48" t="s">
        <v>25</v>
      </c>
      <c r="F23" s="48" t="s">
        <v>54</v>
      </c>
      <c r="G23" s="48"/>
      <c r="H23" s="48"/>
      <c r="I23" s="48"/>
      <c r="J23" s="49" t="s">
        <v>28</v>
      </c>
      <c r="K23" s="48" t="s">
        <v>29</v>
      </c>
      <c r="L23" s="48" t="s">
        <v>55</v>
      </c>
      <c r="M23" s="50">
        <f>SUM(M24:M32)</f>
        <v>32057000000</v>
      </c>
      <c r="N23" s="742">
        <f t="shared" ref="N23:R23" si="14">SUM(N24:N32)</f>
        <v>0</v>
      </c>
      <c r="O23" s="742">
        <f t="shared" si="14"/>
        <v>0</v>
      </c>
      <c r="P23" s="50">
        <f t="shared" si="14"/>
        <v>0</v>
      </c>
      <c r="Q23" s="50">
        <f t="shared" si="14"/>
        <v>0</v>
      </c>
      <c r="R23" s="742">
        <f t="shared" si="14"/>
        <v>0</v>
      </c>
      <c r="S23" s="50">
        <f>SUM(S24:S32)</f>
        <v>32057000000</v>
      </c>
      <c r="T23" s="50">
        <f t="shared" ref="T23:U23" si="15">SUM(T24:T32)</f>
        <v>11974125000</v>
      </c>
      <c r="U23" s="50">
        <f t="shared" si="15"/>
        <v>20082875000</v>
      </c>
      <c r="V23" s="51">
        <f t="shared" si="13"/>
        <v>0.37352606295036966</v>
      </c>
      <c r="W23" s="50">
        <f t="shared" ref="W23:AA23" si="16">SUM(W24:W32)</f>
        <v>10503971748</v>
      </c>
      <c r="X23" s="50">
        <f t="shared" si="16"/>
        <v>1470153252</v>
      </c>
      <c r="Y23" s="51">
        <f t="shared" si="2"/>
        <v>0.12277751000595033</v>
      </c>
      <c r="Z23" s="50">
        <f t="shared" si="16"/>
        <v>10503971748</v>
      </c>
      <c r="AA23" s="50">
        <f t="shared" si="16"/>
        <v>0</v>
      </c>
      <c r="AB23" s="51">
        <f t="shared" si="4"/>
        <v>0.87722248999404961</v>
      </c>
    </row>
    <row r="24" spans="1:28" ht="24.95" customHeight="1">
      <c r="A24" s="32" t="e">
        <f>+CONCATENATE(#REF!,"=",J24)</f>
        <v>#REF!</v>
      </c>
      <c r="B24" s="56" t="str">
        <f>CONCATENATE(C24,"-",D24,"-",E24,"-",F24,"-",G24)</f>
        <v>A-01-01-02-001</v>
      </c>
      <c r="C24" s="57" t="s">
        <v>23</v>
      </c>
      <c r="D24" s="57" t="s">
        <v>25</v>
      </c>
      <c r="E24" s="57" t="s">
        <v>25</v>
      </c>
      <c r="F24" s="57" t="s">
        <v>54</v>
      </c>
      <c r="G24" s="57" t="s">
        <v>31</v>
      </c>
      <c r="H24" s="57"/>
      <c r="I24" s="57"/>
      <c r="J24" s="57" t="s">
        <v>28</v>
      </c>
      <c r="K24" s="58" t="s">
        <v>29</v>
      </c>
      <c r="L24" s="59" t="s">
        <v>56</v>
      </c>
      <c r="M24" s="60">
        <v>10048180000</v>
      </c>
      <c r="N24" s="60"/>
      <c r="O24" s="60"/>
      <c r="P24" s="60"/>
      <c r="Q24" s="60"/>
      <c r="R24" s="61"/>
      <c r="S24" s="60">
        <f t="shared" ref="S24:S32" si="17">+M24-R24+N24-O24+P24-Q24</f>
        <v>10048180000</v>
      </c>
      <c r="T24" s="60">
        <v>3175840000</v>
      </c>
      <c r="U24" s="60">
        <f t="shared" si="9"/>
        <v>6872340000</v>
      </c>
      <c r="V24" s="62">
        <f t="shared" si="13"/>
        <v>0.31606121705622314</v>
      </c>
      <c r="W24" s="60">
        <v>3175840000</v>
      </c>
      <c r="X24" s="60">
        <f t="shared" si="12"/>
        <v>0</v>
      </c>
      <c r="Y24" s="62">
        <f>+IF(T24&gt;0,X24/T24,0)</f>
        <v>0</v>
      </c>
      <c r="Z24" s="60">
        <v>3175840000</v>
      </c>
      <c r="AA24" s="60">
        <f t="shared" si="10"/>
        <v>0</v>
      </c>
      <c r="AB24" s="62">
        <f t="shared" si="4"/>
        <v>1</v>
      </c>
    </row>
    <row r="25" spans="1:28" ht="24.95" customHeight="1">
      <c r="A25" s="32" t="e">
        <f>+CONCATENATE(#REF!,"=",J25)</f>
        <v>#REF!</v>
      </c>
      <c r="B25" s="56" t="str">
        <f t="shared" ref="B25:B32" si="18">CONCATENATE(C25,"-",D25,"-",E25,"-",F25,"-",G25)</f>
        <v>A-01-01-02-002</v>
      </c>
      <c r="C25" s="57" t="s">
        <v>23</v>
      </c>
      <c r="D25" s="57" t="s">
        <v>25</v>
      </c>
      <c r="E25" s="57" t="s">
        <v>25</v>
      </c>
      <c r="F25" s="57" t="s">
        <v>54</v>
      </c>
      <c r="G25" s="57" t="s">
        <v>34</v>
      </c>
      <c r="H25" s="57"/>
      <c r="I25" s="57"/>
      <c r="J25" s="57" t="s">
        <v>28</v>
      </c>
      <c r="K25" s="58" t="s">
        <v>29</v>
      </c>
      <c r="L25" s="59" t="s">
        <v>57</v>
      </c>
      <c r="M25" s="60">
        <v>7117460000</v>
      </c>
      <c r="N25" s="60"/>
      <c r="O25" s="60"/>
      <c r="P25" s="60"/>
      <c r="Q25" s="60"/>
      <c r="R25" s="61"/>
      <c r="S25" s="60">
        <f t="shared" si="17"/>
        <v>7117460000</v>
      </c>
      <c r="T25" s="60">
        <v>2431226600</v>
      </c>
      <c r="U25" s="60">
        <f t="shared" si="9"/>
        <v>4686233400</v>
      </c>
      <c r="V25" s="62">
        <f t="shared" si="13"/>
        <v>0.34158626813498072</v>
      </c>
      <c r="W25" s="60">
        <v>2431226600</v>
      </c>
      <c r="X25" s="60">
        <f t="shared" si="12"/>
        <v>0</v>
      </c>
      <c r="Y25" s="62">
        <f t="shared" ref="Y25:Y92" si="19">+IF(T25&gt;0,X25/T25,0)</f>
        <v>0</v>
      </c>
      <c r="Z25" s="60">
        <v>2431226600</v>
      </c>
      <c r="AA25" s="60">
        <f t="shared" si="10"/>
        <v>0</v>
      </c>
      <c r="AB25" s="62">
        <f t="shared" si="4"/>
        <v>1</v>
      </c>
    </row>
    <row r="26" spans="1:28" ht="24.95" customHeight="1">
      <c r="A26" s="32" t="e">
        <f>+CONCATENATE(#REF!,"=",J26)</f>
        <v>#REF!</v>
      </c>
      <c r="B26" s="56" t="str">
        <f t="shared" si="18"/>
        <v>A-01-01-02-003</v>
      </c>
      <c r="C26" s="57" t="s">
        <v>23</v>
      </c>
      <c r="D26" s="57" t="s">
        <v>25</v>
      </c>
      <c r="E26" s="57" t="s">
        <v>25</v>
      </c>
      <c r="F26" s="57" t="s">
        <v>54</v>
      </c>
      <c r="G26" s="57" t="s">
        <v>36</v>
      </c>
      <c r="H26" s="57"/>
      <c r="I26" s="57"/>
      <c r="J26" s="57" t="s">
        <v>28</v>
      </c>
      <c r="K26" s="58" t="s">
        <v>29</v>
      </c>
      <c r="L26" s="59" t="s">
        <v>58</v>
      </c>
      <c r="M26" s="60">
        <v>5734390000</v>
      </c>
      <c r="N26" s="60"/>
      <c r="O26" s="60"/>
      <c r="P26" s="60"/>
      <c r="Q26" s="60"/>
      <c r="R26" s="61"/>
      <c r="S26" s="60">
        <f t="shared" si="17"/>
        <v>5734390000</v>
      </c>
      <c r="T26" s="60">
        <v>3769390000</v>
      </c>
      <c r="U26" s="60">
        <f t="shared" si="9"/>
        <v>1965000000</v>
      </c>
      <c r="V26" s="62">
        <f t="shared" si="13"/>
        <v>0.65733059662841209</v>
      </c>
      <c r="W26" s="60">
        <v>2299236748</v>
      </c>
      <c r="X26" s="60">
        <f t="shared" si="12"/>
        <v>1470153252</v>
      </c>
      <c r="Y26" s="62">
        <f t="shared" si="19"/>
        <v>0.3900241821621005</v>
      </c>
      <c r="Z26" s="60">
        <v>2299236748</v>
      </c>
      <c r="AA26" s="60">
        <f t="shared" si="10"/>
        <v>0</v>
      </c>
      <c r="AB26" s="62">
        <f t="shared" si="4"/>
        <v>0.60997581783789945</v>
      </c>
    </row>
    <row r="27" spans="1:28" ht="24.95" customHeight="1">
      <c r="A27" s="32" t="e">
        <f>+CONCATENATE(#REF!,"=",J27)</f>
        <v>#REF!</v>
      </c>
      <c r="B27" s="56" t="str">
        <f t="shared" si="18"/>
        <v>A-01-01-02-004</v>
      </c>
      <c r="C27" s="57" t="s">
        <v>23</v>
      </c>
      <c r="D27" s="57" t="s">
        <v>25</v>
      </c>
      <c r="E27" s="57" t="s">
        <v>25</v>
      </c>
      <c r="F27" s="57" t="s">
        <v>54</v>
      </c>
      <c r="G27" s="57" t="s">
        <v>38</v>
      </c>
      <c r="H27" s="57"/>
      <c r="I27" s="57"/>
      <c r="J27" s="57" t="s">
        <v>28</v>
      </c>
      <c r="K27" s="58" t="s">
        <v>29</v>
      </c>
      <c r="L27" s="59" t="s">
        <v>59</v>
      </c>
      <c r="M27" s="60">
        <v>3803090000</v>
      </c>
      <c r="N27" s="60"/>
      <c r="O27" s="60"/>
      <c r="P27" s="60"/>
      <c r="Q27" s="60"/>
      <c r="R27" s="61"/>
      <c r="S27" s="60">
        <f t="shared" si="17"/>
        <v>3803090000</v>
      </c>
      <c r="T27" s="60">
        <v>952230000</v>
      </c>
      <c r="U27" s="60">
        <f t="shared" si="9"/>
        <v>2850860000</v>
      </c>
      <c r="V27" s="62">
        <f t="shared" si="13"/>
        <v>0.25038324099613735</v>
      </c>
      <c r="W27" s="60">
        <v>952230000</v>
      </c>
      <c r="X27" s="60">
        <f t="shared" si="12"/>
        <v>0</v>
      </c>
      <c r="Y27" s="62">
        <f t="shared" si="19"/>
        <v>0</v>
      </c>
      <c r="Z27" s="60">
        <v>952230000</v>
      </c>
      <c r="AA27" s="60">
        <f t="shared" si="10"/>
        <v>0</v>
      </c>
      <c r="AB27" s="62">
        <f t="shared" si="4"/>
        <v>1</v>
      </c>
    </row>
    <row r="28" spans="1:28" ht="24.95" customHeight="1">
      <c r="A28" s="32" t="e">
        <f>+CONCATENATE(#REF!,"=",J28)</f>
        <v>#REF!</v>
      </c>
      <c r="B28" s="56" t="str">
        <f t="shared" si="18"/>
        <v>A-01-01-02-005</v>
      </c>
      <c r="C28" s="57" t="s">
        <v>23</v>
      </c>
      <c r="D28" s="57" t="s">
        <v>25</v>
      </c>
      <c r="E28" s="57" t="s">
        <v>25</v>
      </c>
      <c r="F28" s="57" t="s">
        <v>54</v>
      </c>
      <c r="G28" s="57" t="s">
        <v>40</v>
      </c>
      <c r="H28" s="57"/>
      <c r="I28" s="57"/>
      <c r="J28" s="57" t="s">
        <v>28</v>
      </c>
      <c r="K28" s="58" t="s">
        <v>29</v>
      </c>
      <c r="L28" s="59" t="s">
        <v>60</v>
      </c>
      <c r="M28" s="60">
        <v>600000000</v>
      </c>
      <c r="N28" s="60"/>
      <c r="O28" s="60"/>
      <c r="P28" s="60"/>
      <c r="Q28" s="60"/>
      <c r="R28" s="61"/>
      <c r="S28" s="60">
        <f t="shared" si="17"/>
        <v>600000000</v>
      </c>
      <c r="T28" s="60">
        <v>246617800</v>
      </c>
      <c r="U28" s="60">
        <f t="shared" si="9"/>
        <v>353382200</v>
      </c>
      <c r="V28" s="62">
        <f t="shared" si="13"/>
        <v>0.41102966666666668</v>
      </c>
      <c r="W28" s="60">
        <v>246617800</v>
      </c>
      <c r="X28" s="60">
        <f t="shared" si="12"/>
        <v>0</v>
      </c>
      <c r="Y28" s="62">
        <f t="shared" si="19"/>
        <v>0</v>
      </c>
      <c r="Z28" s="60">
        <v>246617800</v>
      </c>
      <c r="AA28" s="60">
        <f t="shared" si="10"/>
        <v>0</v>
      </c>
      <c r="AB28" s="62">
        <f t="shared" si="4"/>
        <v>1</v>
      </c>
    </row>
    <row r="29" spans="1:28" ht="24.95" customHeight="1">
      <c r="A29" s="32" t="e">
        <f>+CONCATENATE(#REF!,"=",J29)</f>
        <v>#REF!</v>
      </c>
      <c r="B29" s="56" t="str">
        <f t="shared" si="18"/>
        <v>A-01-01-02-006</v>
      </c>
      <c r="C29" s="57" t="s">
        <v>23</v>
      </c>
      <c r="D29" s="57" t="s">
        <v>25</v>
      </c>
      <c r="E29" s="57" t="s">
        <v>25</v>
      </c>
      <c r="F29" s="57" t="s">
        <v>54</v>
      </c>
      <c r="G29" s="57" t="s">
        <v>42</v>
      </c>
      <c r="H29" s="57"/>
      <c r="I29" s="57"/>
      <c r="J29" s="57" t="s">
        <v>28</v>
      </c>
      <c r="K29" s="58" t="s">
        <v>29</v>
      </c>
      <c r="L29" s="59" t="s">
        <v>61</v>
      </c>
      <c r="M29" s="60">
        <v>2852320000</v>
      </c>
      <c r="N29" s="60"/>
      <c r="O29" s="60"/>
      <c r="P29" s="60"/>
      <c r="Q29" s="60"/>
      <c r="R29" s="61"/>
      <c r="S29" s="60">
        <f t="shared" si="17"/>
        <v>2852320000</v>
      </c>
      <c r="T29" s="60">
        <v>838955600</v>
      </c>
      <c r="U29" s="60">
        <f t="shared" si="9"/>
        <v>2013364400</v>
      </c>
      <c r="V29" s="62">
        <f t="shared" si="13"/>
        <v>0.29413095304874626</v>
      </c>
      <c r="W29" s="60">
        <v>838955600</v>
      </c>
      <c r="X29" s="60">
        <f t="shared" si="12"/>
        <v>0</v>
      </c>
      <c r="Y29" s="62">
        <f t="shared" si="19"/>
        <v>0</v>
      </c>
      <c r="Z29" s="60">
        <v>838955600</v>
      </c>
      <c r="AA29" s="60">
        <f t="shared" si="10"/>
        <v>0</v>
      </c>
      <c r="AB29" s="62">
        <f t="shared" si="4"/>
        <v>1</v>
      </c>
    </row>
    <row r="30" spans="1:28" ht="24.95" customHeight="1">
      <c r="A30" s="32" t="e">
        <f>+CONCATENATE(#REF!,"=",J30)</f>
        <v>#REF!</v>
      </c>
      <c r="B30" s="56" t="str">
        <f t="shared" si="18"/>
        <v>A-01-01-02-007</v>
      </c>
      <c r="C30" s="57" t="s">
        <v>23</v>
      </c>
      <c r="D30" s="57" t="s">
        <v>25</v>
      </c>
      <c r="E30" s="57" t="s">
        <v>25</v>
      </c>
      <c r="F30" s="57" t="s">
        <v>54</v>
      </c>
      <c r="G30" s="57" t="s">
        <v>44</v>
      </c>
      <c r="H30" s="57"/>
      <c r="I30" s="57"/>
      <c r="J30" s="57" t="s">
        <v>28</v>
      </c>
      <c r="K30" s="58" t="s">
        <v>29</v>
      </c>
      <c r="L30" s="59" t="s">
        <v>62</v>
      </c>
      <c r="M30" s="60">
        <v>475390000</v>
      </c>
      <c r="N30" s="60"/>
      <c r="O30" s="60"/>
      <c r="P30" s="60"/>
      <c r="Q30" s="60"/>
      <c r="R30" s="61"/>
      <c r="S30" s="60">
        <f t="shared" si="17"/>
        <v>475390000</v>
      </c>
      <c r="T30" s="60">
        <v>140019500</v>
      </c>
      <c r="U30" s="60">
        <f t="shared" si="9"/>
        <v>335370500</v>
      </c>
      <c r="V30" s="62">
        <f t="shared" si="13"/>
        <v>0.29453606512547592</v>
      </c>
      <c r="W30" s="60">
        <v>140019500</v>
      </c>
      <c r="X30" s="60">
        <f t="shared" si="12"/>
        <v>0</v>
      </c>
      <c r="Y30" s="62">
        <f t="shared" si="19"/>
        <v>0</v>
      </c>
      <c r="Z30" s="60">
        <v>140019500</v>
      </c>
      <c r="AA30" s="60">
        <f t="shared" si="10"/>
        <v>0</v>
      </c>
      <c r="AB30" s="62">
        <f t="shared" si="4"/>
        <v>1</v>
      </c>
    </row>
    <row r="31" spans="1:28" ht="24.95" customHeight="1">
      <c r="A31" s="32" t="e">
        <f>+CONCATENATE(#REF!,"=",J31)</f>
        <v>#REF!</v>
      </c>
      <c r="B31" s="56" t="str">
        <f t="shared" si="18"/>
        <v>A-01-01-02-008</v>
      </c>
      <c r="C31" s="57" t="s">
        <v>23</v>
      </c>
      <c r="D31" s="57" t="s">
        <v>25</v>
      </c>
      <c r="E31" s="57" t="s">
        <v>25</v>
      </c>
      <c r="F31" s="57" t="s">
        <v>54</v>
      </c>
      <c r="G31" s="57" t="s">
        <v>46</v>
      </c>
      <c r="H31" s="57"/>
      <c r="I31" s="57"/>
      <c r="J31" s="57" t="s">
        <v>28</v>
      </c>
      <c r="K31" s="58" t="s">
        <v>29</v>
      </c>
      <c r="L31" s="59" t="s">
        <v>63</v>
      </c>
      <c r="M31" s="60">
        <v>475390000</v>
      </c>
      <c r="N31" s="60"/>
      <c r="O31" s="60"/>
      <c r="P31" s="60"/>
      <c r="Q31" s="60"/>
      <c r="R31" s="61"/>
      <c r="S31" s="60">
        <f t="shared" si="17"/>
        <v>475390000</v>
      </c>
      <c r="T31" s="60">
        <v>140019500</v>
      </c>
      <c r="U31" s="60">
        <f t="shared" si="9"/>
        <v>335370500</v>
      </c>
      <c r="V31" s="62">
        <f t="shared" si="13"/>
        <v>0.29453606512547592</v>
      </c>
      <c r="W31" s="60">
        <v>140019500</v>
      </c>
      <c r="X31" s="60">
        <f t="shared" si="12"/>
        <v>0</v>
      </c>
      <c r="Y31" s="62">
        <f t="shared" si="19"/>
        <v>0</v>
      </c>
      <c r="Z31" s="60">
        <v>140019500</v>
      </c>
      <c r="AA31" s="60">
        <f t="shared" si="10"/>
        <v>0</v>
      </c>
      <c r="AB31" s="62">
        <f t="shared" si="4"/>
        <v>1</v>
      </c>
    </row>
    <row r="32" spans="1:28" ht="24.95" customHeight="1">
      <c r="A32" s="32" t="e">
        <f>+CONCATENATE(#REF!,"=",J32)</f>
        <v>#REF!</v>
      </c>
      <c r="B32" s="56" t="str">
        <f t="shared" si="18"/>
        <v>A-01-01-02-009</v>
      </c>
      <c r="C32" s="57" t="s">
        <v>23</v>
      </c>
      <c r="D32" s="57" t="s">
        <v>25</v>
      </c>
      <c r="E32" s="57" t="s">
        <v>25</v>
      </c>
      <c r="F32" s="57" t="s">
        <v>54</v>
      </c>
      <c r="G32" s="57" t="s">
        <v>48</v>
      </c>
      <c r="H32" s="57"/>
      <c r="I32" s="57"/>
      <c r="J32" s="57" t="s">
        <v>28</v>
      </c>
      <c r="K32" s="58" t="s">
        <v>29</v>
      </c>
      <c r="L32" s="59" t="s">
        <v>64</v>
      </c>
      <c r="M32" s="60">
        <v>950780000</v>
      </c>
      <c r="N32" s="60"/>
      <c r="O32" s="60"/>
      <c r="P32" s="60"/>
      <c r="Q32" s="60"/>
      <c r="R32" s="61"/>
      <c r="S32" s="60">
        <f t="shared" si="17"/>
        <v>950780000</v>
      </c>
      <c r="T32" s="60">
        <v>279826000</v>
      </c>
      <c r="U32" s="60">
        <f t="shared" si="9"/>
        <v>670954000</v>
      </c>
      <c r="V32" s="62">
        <f t="shared" si="13"/>
        <v>0.29431203853678034</v>
      </c>
      <c r="W32" s="60">
        <v>279826000</v>
      </c>
      <c r="X32" s="60">
        <f t="shared" si="12"/>
        <v>0</v>
      </c>
      <c r="Y32" s="62">
        <f t="shared" si="19"/>
        <v>0</v>
      </c>
      <c r="Z32" s="60">
        <v>279826000</v>
      </c>
      <c r="AA32" s="60">
        <f t="shared" si="10"/>
        <v>0</v>
      </c>
      <c r="AB32" s="62">
        <f t="shared" si="4"/>
        <v>1</v>
      </c>
    </row>
    <row r="33" spans="1:28" ht="24" customHeight="1">
      <c r="A33" s="32" t="e">
        <f>+CONCATENATE(#REF!,"=",J33)</f>
        <v>#REF!</v>
      </c>
      <c r="B33" s="48" t="str">
        <f>CONCATENATE(C33,"-",D33,"-",E33,"-",F33)</f>
        <v>A-01-01-03</v>
      </c>
      <c r="C33" s="48" t="s">
        <v>23</v>
      </c>
      <c r="D33" s="48" t="s">
        <v>25</v>
      </c>
      <c r="E33" s="48" t="s">
        <v>25</v>
      </c>
      <c r="F33" s="48" t="s">
        <v>65</v>
      </c>
      <c r="G33" s="48"/>
      <c r="H33" s="48"/>
      <c r="I33" s="48"/>
      <c r="J33" s="49" t="s">
        <v>28</v>
      </c>
      <c r="K33" s="48" t="s">
        <v>29</v>
      </c>
      <c r="L33" s="48" t="s">
        <v>66</v>
      </c>
      <c r="M33" s="50">
        <f>+M34+M38+M39+M41+M42+M43+M40</f>
        <v>9133000000</v>
      </c>
      <c r="N33" s="742">
        <f>+N34+N38+N39+N41+N42+N43+N40</f>
        <v>0</v>
      </c>
      <c r="O33" s="742">
        <f t="shared" ref="O33:U33" si="20">+O34+O38+O39+O41+O42+O43+O40</f>
        <v>0</v>
      </c>
      <c r="P33" s="50">
        <f t="shared" si="20"/>
        <v>0</v>
      </c>
      <c r="Q33" s="50">
        <f t="shared" si="20"/>
        <v>0</v>
      </c>
      <c r="R33" s="742">
        <f t="shared" si="20"/>
        <v>0</v>
      </c>
      <c r="S33" s="50">
        <f t="shared" si="20"/>
        <v>9133000000</v>
      </c>
      <c r="T33" s="50">
        <f t="shared" si="20"/>
        <v>3008600415</v>
      </c>
      <c r="U33" s="50">
        <f t="shared" si="20"/>
        <v>6124399585</v>
      </c>
      <c r="V33" s="51">
        <f t="shared" si="13"/>
        <v>0.32942082721997151</v>
      </c>
      <c r="W33" s="50">
        <f t="shared" ref="W33" si="21">+W34+W38+W39+W41+W42+W43+W40</f>
        <v>3007830875</v>
      </c>
      <c r="X33" s="50">
        <f t="shared" ref="X33:AA33" si="22">+X34+X38+X39+X41+X42+X43</f>
        <v>769540</v>
      </c>
      <c r="Y33" s="51">
        <f t="shared" si="19"/>
        <v>2.5578006177334121E-4</v>
      </c>
      <c r="Z33" s="50">
        <f t="shared" ref="Z33" si="23">+Z34+Z38+Z39+Z41+Z42+Z43+Z40</f>
        <v>3007830875</v>
      </c>
      <c r="AA33" s="50">
        <f t="shared" si="22"/>
        <v>0</v>
      </c>
      <c r="AB33" s="51">
        <f t="shared" si="4"/>
        <v>0.99974421993822671</v>
      </c>
    </row>
    <row r="34" spans="1:28" ht="24" customHeight="1">
      <c r="A34" s="32" t="e">
        <f>+CONCATENATE(#REF!,"=",J34)</f>
        <v>#REF!</v>
      </c>
      <c r="B34" s="52" t="str">
        <f>CONCATENATE(C34,"-",D34,"-",E34,"-",F34,"-",G34)</f>
        <v>A-01-01-03-001</v>
      </c>
      <c r="C34" s="52" t="s">
        <v>23</v>
      </c>
      <c r="D34" s="52" t="s">
        <v>25</v>
      </c>
      <c r="E34" s="52" t="s">
        <v>25</v>
      </c>
      <c r="F34" s="52" t="s">
        <v>65</v>
      </c>
      <c r="G34" s="52" t="s">
        <v>31</v>
      </c>
      <c r="H34" s="52"/>
      <c r="I34" s="52"/>
      <c r="J34" s="53" t="s">
        <v>28</v>
      </c>
      <c r="K34" s="52" t="s">
        <v>29</v>
      </c>
      <c r="L34" s="52" t="s">
        <v>67</v>
      </c>
      <c r="M34" s="54">
        <f>SUM(M35:M37)</f>
        <v>4840000000</v>
      </c>
      <c r="N34" s="743">
        <f t="shared" ref="N34:R34" si="24">SUM(N35:N37)</f>
        <v>0</v>
      </c>
      <c r="O34" s="743">
        <f t="shared" si="24"/>
        <v>0</v>
      </c>
      <c r="P34" s="54">
        <f>SUM(P35:P37)</f>
        <v>0</v>
      </c>
      <c r="Q34" s="54">
        <f t="shared" si="24"/>
        <v>0</v>
      </c>
      <c r="R34" s="743">
        <f t="shared" si="24"/>
        <v>0</v>
      </c>
      <c r="S34" s="54">
        <f>SUM(S35:S37)</f>
        <v>4840000000</v>
      </c>
      <c r="T34" s="54">
        <f t="shared" ref="T34:AA34" si="25">SUM(T35:T37)</f>
        <v>1769230967</v>
      </c>
      <c r="U34" s="54">
        <f t="shared" si="25"/>
        <v>3070769033</v>
      </c>
      <c r="V34" s="55">
        <f t="shared" si="13"/>
        <v>0.36554358822314048</v>
      </c>
      <c r="W34" s="54">
        <f t="shared" si="25"/>
        <v>1769230967</v>
      </c>
      <c r="X34" s="54">
        <f t="shared" si="25"/>
        <v>0</v>
      </c>
      <c r="Y34" s="55">
        <f t="shared" si="19"/>
        <v>0</v>
      </c>
      <c r="Z34" s="54">
        <f t="shared" si="25"/>
        <v>1769230967</v>
      </c>
      <c r="AA34" s="54">
        <f t="shared" si="25"/>
        <v>0</v>
      </c>
      <c r="AB34" s="55">
        <f t="shared" si="4"/>
        <v>1</v>
      </c>
    </row>
    <row r="35" spans="1:28" ht="24.95" customHeight="1">
      <c r="A35" s="32" t="e">
        <f>+CONCATENATE(#REF!,"=",J35)</f>
        <v>#REF!</v>
      </c>
      <c r="B35" s="56" t="str">
        <f t="shared" ref="B35:B37" si="26">CONCATENATE(C35,"-",D35,"-",E35,"-",F35,"-",G35,"-",H35)</f>
        <v>A-01-01-03-001-001</v>
      </c>
      <c r="C35" s="57" t="s">
        <v>23</v>
      </c>
      <c r="D35" s="57" t="s">
        <v>25</v>
      </c>
      <c r="E35" s="57" t="s">
        <v>25</v>
      </c>
      <c r="F35" s="57" t="s">
        <v>65</v>
      </c>
      <c r="G35" s="57" t="s">
        <v>31</v>
      </c>
      <c r="H35" s="57" t="s">
        <v>31</v>
      </c>
      <c r="I35" s="57"/>
      <c r="J35" s="57" t="s">
        <v>28</v>
      </c>
      <c r="K35" s="58" t="s">
        <v>29</v>
      </c>
      <c r="L35" s="59" t="s">
        <v>68</v>
      </c>
      <c r="M35" s="60">
        <v>3560000000</v>
      </c>
      <c r="N35" s="60"/>
      <c r="O35" s="60"/>
      <c r="P35" s="61"/>
      <c r="Q35" s="61"/>
      <c r="R35" s="61"/>
      <c r="S35" s="60">
        <f t="shared" ref="S35:S43" si="27">+M35-R35+N35-O35+P35-Q35</f>
        <v>3560000000</v>
      </c>
      <c r="T35" s="60">
        <v>1400448567</v>
      </c>
      <c r="U35" s="60">
        <f t="shared" si="9"/>
        <v>2159551433</v>
      </c>
      <c r="V35" s="62">
        <f t="shared" si="13"/>
        <v>0.3933844289325843</v>
      </c>
      <c r="W35" s="60">
        <v>1400448567</v>
      </c>
      <c r="X35" s="60">
        <f t="shared" si="12"/>
        <v>0</v>
      </c>
      <c r="Y35" s="62">
        <f t="shared" si="19"/>
        <v>0</v>
      </c>
      <c r="Z35" s="60">
        <v>1400448567</v>
      </c>
      <c r="AA35" s="60">
        <f t="shared" si="10"/>
        <v>0</v>
      </c>
      <c r="AB35" s="62">
        <f t="shared" si="4"/>
        <v>1</v>
      </c>
    </row>
    <row r="36" spans="1:28" ht="24.95" customHeight="1">
      <c r="A36" s="32" t="e">
        <f>+CONCATENATE(#REF!,"=",J36)</f>
        <v>#REF!</v>
      </c>
      <c r="B36" s="56" t="str">
        <f t="shared" si="26"/>
        <v>A-01-01-03-001-002</v>
      </c>
      <c r="C36" s="57" t="s">
        <v>23</v>
      </c>
      <c r="D36" s="57" t="s">
        <v>25</v>
      </c>
      <c r="E36" s="57" t="s">
        <v>25</v>
      </c>
      <c r="F36" s="57" t="s">
        <v>65</v>
      </c>
      <c r="G36" s="57" t="s">
        <v>31</v>
      </c>
      <c r="H36" s="57" t="s">
        <v>34</v>
      </c>
      <c r="I36" s="57"/>
      <c r="J36" s="57" t="s">
        <v>28</v>
      </c>
      <c r="K36" s="58" t="s">
        <v>29</v>
      </c>
      <c r="L36" s="59" t="s">
        <v>69</v>
      </c>
      <c r="M36" s="60">
        <v>900000000</v>
      </c>
      <c r="N36" s="60"/>
      <c r="O36" s="60"/>
      <c r="P36" s="61"/>
      <c r="Q36" s="61"/>
      <c r="R36" s="61"/>
      <c r="S36" s="60">
        <f t="shared" si="27"/>
        <v>900000000</v>
      </c>
      <c r="T36" s="60">
        <v>233324003</v>
      </c>
      <c r="U36" s="60">
        <f t="shared" si="9"/>
        <v>666675997</v>
      </c>
      <c r="V36" s="62">
        <f t="shared" si="13"/>
        <v>0.25924889222222225</v>
      </c>
      <c r="W36" s="60">
        <v>233324003</v>
      </c>
      <c r="X36" s="60">
        <f t="shared" si="12"/>
        <v>0</v>
      </c>
      <c r="Y36" s="62">
        <f t="shared" si="19"/>
        <v>0</v>
      </c>
      <c r="Z36" s="60">
        <v>233324003</v>
      </c>
      <c r="AA36" s="60">
        <f t="shared" si="10"/>
        <v>0</v>
      </c>
      <c r="AB36" s="62">
        <f t="shared" si="4"/>
        <v>1</v>
      </c>
    </row>
    <row r="37" spans="1:28" ht="24.95" customHeight="1">
      <c r="A37" s="32" t="e">
        <f>+CONCATENATE(#REF!,"=",J37)</f>
        <v>#REF!</v>
      </c>
      <c r="B37" s="56" t="str">
        <f t="shared" si="26"/>
        <v>A-01-01-03-001-003</v>
      </c>
      <c r="C37" s="57" t="s">
        <v>23</v>
      </c>
      <c r="D37" s="57" t="s">
        <v>25</v>
      </c>
      <c r="E37" s="57" t="s">
        <v>25</v>
      </c>
      <c r="F37" s="57" t="s">
        <v>65</v>
      </c>
      <c r="G37" s="57" t="s">
        <v>31</v>
      </c>
      <c r="H37" s="57" t="s">
        <v>36</v>
      </c>
      <c r="I37" s="57"/>
      <c r="J37" s="57" t="s">
        <v>28</v>
      </c>
      <c r="K37" s="58" t="s">
        <v>29</v>
      </c>
      <c r="L37" s="59" t="s">
        <v>70</v>
      </c>
      <c r="M37" s="60">
        <v>380000000</v>
      </c>
      <c r="N37" s="60"/>
      <c r="O37" s="60"/>
      <c r="P37" s="61"/>
      <c r="Q37" s="61"/>
      <c r="R37" s="61"/>
      <c r="S37" s="60">
        <f t="shared" si="27"/>
        <v>380000000</v>
      </c>
      <c r="T37" s="60">
        <v>135458397</v>
      </c>
      <c r="U37" s="60">
        <f t="shared" si="9"/>
        <v>244541603</v>
      </c>
      <c r="V37" s="62">
        <f t="shared" si="13"/>
        <v>0.35646946578947369</v>
      </c>
      <c r="W37" s="60">
        <v>135458397</v>
      </c>
      <c r="X37" s="60">
        <f t="shared" si="12"/>
        <v>0</v>
      </c>
      <c r="Y37" s="62">
        <f t="shared" si="19"/>
        <v>0</v>
      </c>
      <c r="Z37" s="60">
        <v>135458397</v>
      </c>
      <c r="AA37" s="60">
        <f t="shared" si="10"/>
        <v>0</v>
      </c>
      <c r="AB37" s="62">
        <f t="shared" si="4"/>
        <v>1</v>
      </c>
    </row>
    <row r="38" spans="1:28" ht="24.95" customHeight="1">
      <c r="A38" s="32" t="e">
        <f>+CONCATENATE(#REF!,"=",J38)</f>
        <v>#REF!</v>
      </c>
      <c r="B38" s="56" t="str">
        <f>CONCATENATE(C38,"-",D38,"-",E38,"-",F38,"-",G38)</f>
        <v>A-01-01-03-002</v>
      </c>
      <c r="C38" s="57" t="s">
        <v>23</v>
      </c>
      <c r="D38" s="57" t="s">
        <v>25</v>
      </c>
      <c r="E38" s="57" t="s">
        <v>25</v>
      </c>
      <c r="F38" s="57" t="s">
        <v>65</v>
      </c>
      <c r="G38" s="57" t="s">
        <v>34</v>
      </c>
      <c r="H38" s="57"/>
      <c r="I38" s="57"/>
      <c r="J38" s="57" t="s">
        <v>28</v>
      </c>
      <c r="K38" s="58" t="s">
        <v>29</v>
      </c>
      <c r="L38" s="59" t="s">
        <v>71</v>
      </c>
      <c r="M38" s="60">
        <v>2600000000</v>
      </c>
      <c r="N38" s="60"/>
      <c r="O38" s="60"/>
      <c r="P38" s="61"/>
      <c r="Q38" s="61"/>
      <c r="R38" s="61"/>
      <c r="S38" s="60">
        <f t="shared" si="27"/>
        <v>2600000000</v>
      </c>
      <c r="T38" s="60">
        <v>778884592</v>
      </c>
      <c r="U38" s="60">
        <f t="shared" si="9"/>
        <v>1821115408</v>
      </c>
      <c r="V38" s="62">
        <f t="shared" si="13"/>
        <v>0.29957099692307693</v>
      </c>
      <c r="W38" s="60">
        <v>778884592</v>
      </c>
      <c r="X38" s="60">
        <f t="shared" si="12"/>
        <v>0</v>
      </c>
      <c r="Y38" s="62">
        <f t="shared" si="19"/>
        <v>0</v>
      </c>
      <c r="Z38" s="60">
        <v>778884592</v>
      </c>
      <c r="AA38" s="60">
        <f t="shared" si="10"/>
        <v>0</v>
      </c>
      <c r="AB38" s="62">
        <f t="shared" si="4"/>
        <v>1</v>
      </c>
    </row>
    <row r="39" spans="1:28" ht="24.95" customHeight="1">
      <c r="A39" s="32" t="e">
        <f>+CONCATENATE(#REF!,"=",J39)</f>
        <v>#REF!</v>
      </c>
      <c r="B39" s="56" t="str">
        <f t="shared" ref="B39:B43" si="28">CONCATENATE(C39,"-",D39,"-",E39,"-",F39,"-",G39)</f>
        <v>A-01-01-03-005</v>
      </c>
      <c r="C39" s="57" t="s">
        <v>23</v>
      </c>
      <c r="D39" s="57" t="s">
        <v>25</v>
      </c>
      <c r="E39" s="57" t="s">
        <v>25</v>
      </c>
      <c r="F39" s="57" t="s">
        <v>65</v>
      </c>
      <c r="G39" s="57" t="s">
        <v>40</v>
      </c>
      <c r="H39" s="57"/>
      <c r="I39" s="57"/>
      <c r="J39" s="57" t="s">
        <v>28</v>
      </c>
      <c r="K39" s="58" t="s">
        <v>29</v>
      </c>
      <c r="L39" s="59" t="s">
        <v>72</v>
      </c>
      <c r="M39" s="60">
        <v>6000000</v>
      </c>
      <c r="N39" s="60"/>
      <c r="O39" s="60"/>
      <c r="P39" s="61"/>
      <c r="Q39" s="61"/>
      <c r="R39" s="61"/>
      <c r="S39" s="60">
        <f t="shared" si="27"/>
        <v>6000000</v>
      </c>
      <c r="T39" s="60">
        <v>3481565</v>
      </c>
      <c r="U39" s="60">
        <f t="shared" si="9"/>
        <v>2518435</v>
      </c>
      <c r="V39" s="62">
        <f t="shared" si="13"/>
        <v>0.58026083333333334</v>
      </c>
      <c r="W39" s="60">
        <v>3481565</v>
      </c>
      <c r="X39" s="60">
        <f t="shared" si="12"/>
        <v>0</v>
      </c>
      <c r="Y39" s="62">
        <f t="shared" si="19"/>
        <v>0</v>
      </c>
      <c r="Z39" s="60">
        <v>3481565</v>
      </c>
      <c r="AA39" s="60">
        <f t="shared" si="10"/>
        <v>0</v>
      </c>
      <c r="AB39" s="62">
        <f t="shared" si="4"/>
        <v>1</v>
      </c>
    </row>
    <row r="40" spans="1:28" ht="24.95" customHeight="1">
      <c r="A40" s="32" t="e">
        <f>+CONCATENATE(#REF!,"=",J40)</f>
        <v>#REF!</v>
      </c>
      <c r="B40" s="56" t="str">
        <f t="shared" si="28"/>
        <v>A-01-01-03-007</v>
      </c>
      <c r="C40" s="57" t="s">
        <v>23</v>
      </c>
      <c r="D40" s="57" t="s">
        <v>25</v>
      </c>
      <c r="E40" s="57" t="s">
        <v>25</v>
      </c>
      <c r="F40" s="57" t="s">
        <v>65</v>
      </c>
      <c r="G40" s="57" t="s">
        <v>44</v>
      </c>
      <c r="H40" s="57"/>
      <c r="I40" s="57"/>
      <c r="J40" s="57" t="s">
        <v>28</v>
      </c>
      <c r="K40" s="58" t="s">
        <v>29</v>
      </c>
      <c r="L40" s="59" t="s">
        <v>73</v>
      </c>
      <c r="M40" s="60">
        <v>13000000</v>
      </c>
      <c r="N40" s="60"/>
      <c r="O40" s="60"/>
      <c r="P40" s="61"/>
      <c r="Q40" s="61"/>
      <c r="R40" s="61"/>
      <c r="S40" s="60">
        <f t="shared" si="27"/>
        <v>13000000</v>
      </c>
      <c r="T40" s="60">
        <v>0</v>
      </c>
      <c r="U40" s="60">
        <f t="shared" si="9"/>
        <v>13000000</v>
      </c>
      <c r="V40" s="62">
        <f t="shared" si="13"/>
        <v>0</v>
      </c>
      <c r="W40" s="60">
        <v>0</v>
      </c>
      <c r="X40" s="60">
        <f t="shared" si="12"/>
        <v>0</v>
      </c>
      <c r="Y40" s="62">
        <f t="shared" si="19"/>
        <v>0</v>
      </c>
      <c r="Z40" s="60">
        <v>0</v>
      </c>
      <c r="AA40" s="60">
        <f t="shared" si="10"/>
        <v>0</v>
      </c>
      <c r="AB40" s="62">
        <f t="shared" si="4"/>
        <v>0</v>
      </c>
    </row>
    <row r="41" spans="1:28" ht="24.95" customHeight="1">
      <c r="A41" s="32" t="e">
        <f>+CONCATENATE(#REF!,"=",J41)</f>
        <v>#REF!</v>
      </c>
      <c r="B41" s="56" t="str">
        <f t="shared" si="28"/>
        <v>A-01-01-03-013</v>
      </c>
      <c r="C41" s="57" t="s">
        <v>23</v>
      </c>
      <c r="D41" s="57" t="s">
        <v>25</v>
      </c>
      <c r="E41" s="57" t="s">
        <v>25</v>
      </c>
      <c r="F41" s="57" t="s">
        <v>65</v>
      </c>
      <c r="G41" s="57" t="s">
        <v>74</v>
      </c>
      <c r="H41" s="57"/>
      <c r="I41" s="57"/>
      <c r="J41" s="57" t="s">
        <v>28</v>
      </c>
      <c r="K41" s="58" t="s">
        <v>29</v>
      </c>
      <c r="L41" s="59" t="s">
        <v>75</v>
      </c>
      <c r="M41" s="60">
        <v>40000000</v>
      </c>
      <c r="N41" s="60"/>
      <c r="O41" s="60"/>
      <c r="P41" s="61"/>
      <c r="Q41" s="61"/>
      <c r="R41" s="61"/>
      <c r="S41" s="60">
        <f t="shared" si="27"/>
        <v>40000000</v>
      </c>
      <c r="T41" s="60">
        <v>0</v>
      </c>
      <c r="U41" s="60">
        <f t="shared" si="9"/>
        <v>40000000</v>
      </c>
      <c r="V41" s="62">
        <f t="shared" si="13"/>
        <v>0</v>
      </c>
      <c r="W41" s="60">
        <v>0</v>
      </c>
      <c r="X41" s="60">
        <f t="shared" si="12"/>
        <v>0</v>
      </c>
      <c r="Y41" s="62">
        <f t="shared" si="19"/>
        <v>0</v>
      </c>
      <c r="Z41" s="60">
        <v>0</v>
      </c>
      <c r="AA41" s="60">
        <f t="shared" si="10"/>
        <v>0</v>
      </c>
      <c r="AB41" s="62">
        <f t="shared" si="4"/>
        <v>0</v>
      </c>
    </row>
    <row r="42" spans="1:28" ht="24.95" customHeight="1">
      <c r="A42" s="32" t="e">
        <f>+CONCATENATE(#REF!,"=",J42)</f>
        <v>#REF!</v>
      </c>
      <c r="B42" s="56" t="str">
        <f t="shared" si="28"/>
        <v>A-01-01-03-016</v>
      </c>
      <c r="C42" s="57" t="s">
        <v>23</v>
      </c>
      <c r="D42" s="57" t="s">
        <v>25</v>
      </c>
      <c r="E42" s="57" t="s">
        <v>25</v>
      </c>
      <c r="F42" s="57" t="s">
        <v>65</v>
      </c>
      <c r="G42" s="57" t="s">
        <v>76</v>
      </c>
      <c r="H42" s="57"/>
      <c r="I42" s="57"/>
      <c r="J42" s="57" t="s">
        <v>28</v>
      </c>
      <c r="K42" s="58" t="s">
        <v>29</v>
      </c>
      <c r="L42" s="59" t="s">
        <v>77</v>
      </c>
      <c r="M42" s="60">
        <v>984000000</v>
      </c>
      <c r="N42" s="60"/>
      <c r="O42" s="60"/>
      <c r="P42" s="61"/>
      <c r="Q42" s="61"/>
      <c r="R42" s="61"/>
      <c r="S42" s="60">
        <f t="shared" si="27"/>
        <v>984000000</v>
      </c>
      <c r="T42" s="60">
        <v>418921638</v>
      </c>
      <c r="U42" s="60">
        <f t="shared" si="9"/>
        <v>565078362</v>
      </c>
      <c r="V42" s="62">
        <f t="shared" si="13"/>
        <v>0.42573337195121952</v>
      </c>
      <c r="W42" s="60">
        <v>418152098</v>
      </c>
      <c r="X42" s="60">
        <f t="shared" si="12"/>
        <v>769540</v>
      </c>
      <c r="Y42" s="62">
        <f t="shared" si="19"/>
        <v>1.8369545284743682E-3</v>
      </c>
      <c r="Z42" s="60">
        <v>418152098</v>
      </c>
      <c r="AA42" s="60">
        <f t="shared" si="10"/>
        <v>0</v>
      </c>
      <c r="AB42" s="62">
        <f t="shared" si="4"/>
        <v>0.99816304547152568</v>
      </c>
    </row>
    <row r="43" spans="1:28" ht="24.95" customHeight="1">
      <c r="A43" s="32" t="e">
        <f>+CONCATENATE(#REF!,"=",J43)</f>
        <v>#REF!</v>
      </c>
      <c r="B43" s="56" t="str">
        <f t="shared" si="28"/>
        <v>A-01-01-03-030</v>
      </c>
      <c r="C43" s="57" t="s">
        <v>23</v>
      </c>
      <c r="D43" s="57" t="s">
        <v>25</v>
      </c>
      <c r="E43" s="57" t="s">
        <v>25</v>
      </c>
      <c r="F43" s="57" t="s">
        <v>65</v>
      </c>
      <c r="G43" s="57" t="s">
        <v>78</v>
      </c>
      <c r="H43" s="57"/>
      <c r="I43" s="57"/>
      <c r="J43" s="57" t="s">
        <v>28</v>
      </c>
      <c r="K43" s="58" t="s">
        <v>29</v>
      </c>
      <c r="L43" s="59" t="s">
        <v>79</v>
      </c>
      <c r="M43" s="60">
        <v>650000000</v>
      </c>
      <c r="N43" s="60"/>
      <c r="O43" s="60"/>
      <c r="P43" s="61"/>
      <c r="Q43" s="61"/>
      <c r="R43" s="61"/>
      <c r="S43" s="60">
        <f t="shared" si="27"/>
        <v>650000000</v>
      </c>
      <c r="T43" s="60">
        <v>38081653</v>
      </c>
      <c r="U43" s="60">
        <f t="shared" si="9"/>
        <v>611918347</v>
      </c>
      <c r="V43" s="62">
        <f t="shared" si="13"/>
        <v>5.8587158461538461E-2</v>
      </c>
      <c r="W43" s="60">
        <v>38081653</v>
      </c>
      <c r="X43" s="60">
        <f t="shared" si="12"/>
        <v>0</v>
      </c>
      <c r="Y43" s="62">
        <f t="shared" si="19"/>
        <v>0</v>
      </c>
      <c r="Z43" s="60">
        <v>38081653</v>
      </c>
      <c r="AA43" s="60">
        <f t="shared" si="10"/>
        <v>0</v>
      </c>
      <c r="AB43" s="62">
        <f t="shared" si="4"/>
        <v>1</v>
      </c>
    </row>
    <row r="44" spans="1:28" ht="24" customHeight="1">
      <c r="A44" s="32" t="e">
        <f>+CONCATENATE(#REF!,"=",J44)</f>
        <v>#REF!</v>
      </c>
      <c r="B44" s="38" t="str">
        <f>CONCATENATE(C44,"-",D44)</f>
        <v>A-02</v>
      </c>
      <c r="C44" s="39" t="s">
        <v>23</v>
      </c>
      <c r="D44" s="39" t="s">
        <v>54</v>
      </c>
      <c r="E44" s="39"/>
      <c r="F44" s="39"/>
      <c r="G44" s="39"/>
      <c r="H44" s="39"/>
      <c r="I44" s="39"/>
      <c r="J44" s="39"/>
      <c r="K44" s="40"/>
      <c r="L44" s="38" t="s">
        <v>80</v>
      </c>
      <c r="M44" s="41">
        <f t="shared" ref="M44:U44" si="29">+M49+M45</f>
        <v>44658000000</v>
      </c>
      <c r="N44" s="740">
        <f t="shared" si="29"/>
        <v>0</v>
      </c>
      <c r="O44" s="740">
        <f t="shared" si="29"/>
        <v>0</v>
      </c>
      <c r="P44" s="41">
        <f t="shared" si="29"/>
        <v>4837162591</v>
      </c>
      <c r="Q44" s="41">
        <f t="shared" si="29"/>
        <v>4837162591</v>
      </c>
      <c r="R44" s="740">
        <f t="shared" si="29"/>
        <v>0</v>
      </c>
      <c r="S44" s="41">
        <f t="shared" si="29"/>
        <v>44658000000</v>
      </c>
      <c r="T44" s="41">
        <f t="shared" si="29"/>
        <v>28201492465.23</v>
      </c>
      <c r="U44" s="41">
        <f t="shared" si="29"/>
        <v>16456507534.77</v>
      </c>
      <c r="V44" s="42">
        <f t="shared" si="13"/>
        <v>0.63149922668346092</v>
      </c>
      <c r="W44" s="41">
        <f>+W49+W45</f>
        <v>11986496197.41</v>
      </c>
      <c r="X44" s="41">
        <f>+X49+X45</f>
        <v>16214996267.82</v>
      </c>
      <c r="Y44" s="42">
        <f t="shared" si="19"/>
        <v>0.57496943779878629</v>
      </c>
      <c r="Z44" s="41">
        <f>+Z49+Z45</f>
        <v>11561950130.750002</v>
      </c>
      <c r="AA44" s="41">
        <f>+AA49+AA45</f>
        <v>424546066.65999997</v>
      </c>
      <c r="AB44" s="42">
        <f t="shared" si="4"/>
        <v>0.40997653386624433</v>
      </c>
    </row>
    <row r="45" spans="1:28" ht="24" customHeight="1">
      <c r="A45" s="32" t="e">
        <f>+CONCATENATE(#REF!,"=",J45)</f>
        <v>#REF!</v>
      </c>
      <c r="B45" s="43" t="str">
        <f>CONCATENATE(C45,"-",D45,"-",E45)</f>
        <v>A-02-01</v>
      </c>
      <c r="C45" s="44" t="s">
        <v>23</v>
      </c>
      <c r="D45" s="44" t="s">
        <v>54</v>
      </c>
      <c r="E45" s="44" t="s">
        <v>25</v>
      </c>
      <c r="F45" s="44"/>
      <c r="G45" s="44"/>
      <c r="H45" s="44"/>
      <c r="I45" s="44"/>
      <c r="J45" s="44"/>
      <c r="K45" s="45"/>
      <c r="L45" s="43" t="s">
        <v>81</v>
      </c>
      <c r="M45" s="759">
        <f>+M46</f>
        <v>100000000</v>
      </c>
      <c r="N45" s="741">
        <f t="shared" ref="N45:AA46" si="30">+N46</f>
        <v>0</v>
      </c>
      <c r="O45" s="741">
        <f t="shared" si="30"/>
        <v>0</v>
      </c>
      <c r="P45" s="46">
        <f t="shared" si="30"/>
        <v>0</v>
      </c>
      <c r="Q45" s="759">
        <f t="shared" si="30"/>
        <v>19341552</v>
      </c>
      <c r="R45" s="741">
        <f t="shared" si="30"/>
        <v>0</v>
      </c>
      <c r="S45" s="46">
        <f t="shared" si="30"/>
        <v>80658448</v>
      </c>
      <c r="T45" s="46">
        <f t="shared" si="30"/>
        <v>0</v>
      </c>
      <c r="U45" s="46">
        <f t="shared" si="30"/>
        <v>80658448</v>
      </c>
      <c r="V45" s="47">
        <f t="shared" si="13"/>
        <v>0</v>
      </c>
      <c r="W45" s="46">
        <f t="shared" si="30"/>
        <v>0</v>
      </c>
      <c r="X45" s="46">
        <f t="shared" si="30"/>
        <v>0</v>
      </c>
      <c r="Y45" s="47">
        <f t="shared" si="19"/>
        <v>0</v>
      </c>
      <c r="Z45" s="46">
        <f t="shared" si="30"/>
        <v>0</v>
      </c>
      <c r="AA45" s="46">
        <f t="shared" si="30"/>
        <v>0</v>
      </c>
      <c r="AB45" s="47">
        <f t="shared" si="4"/>
        <v>0</v>
      </c>
    </row>
    <row r="46" spans="1:28" ht="24" customHeight="1">
      <c r="A46" s="32" t="e">
        <f>+CONCATENATE(#REF!,"=",J46)</f>
        <v>#REF!</v>
      </c>
      <c r="B46" s="48" t="str">
        <f>CONCATENATE(C46,"-",D46,"-",E46,"-",F46)</f>
        <v>A-02-01-01</v>
      </c>
      <c r="C46" s="48" t="s">
        <v>23</v>
      </c>
      <c r="D46" s="48" t="s">
        <v>54</v>
      </c>
      <c r="E46" s="48" t="s">
        <v>25</v>
      </c>
      <c r="F46" s="48" t="s">
        <v>25</v>
      </c>
      <c r="G46" s="48"/>
      <c r="H46" s="48"/>
      <c r="I46" s="48"/>
      <c r="J46" s="49" t="s">
        <v>28</v>
      </c>
      <c r="K46" s="48" t="s">
        <v>29</v>
      </c>
      <c r="L46" s="48" t="s">
        <v>82</v>
      </c>
      <c r="M46" s="760">
        <f>+M47</f>
        <v>100000000</v>
      </c>
      <c r="N46" s="742">
        <f t="shared" si="30"/>
        <v>0</v>
      </c>
      <c r="O46" s="742">
        <f t="shared" si="30"/>
        <v>0</v>
      </c>
      <c r="P46" s="50">
        <f t="shared" si="30"/>
        <v>0</v>
      </c>
      <c r="Q46" s="760">
        <f t="shared" si="30"/>
        <v>19341552</v>
      </c>
      <c r="R46" s="742">
        <f t="shared" si="30"/>
        <v>0</v>
      </c>
      <c r="S46" s="50">
        <f t="shared" si="30"/>
        <v>80658448</v>
      </c>
      <c r="T46" s="50">
        <f t="shared" si="30"/>
        <v>0</v>
      </c>
      <c r="U46" s="50">
        <f t="shared" si="30"/>
        <v>80658448</v>
      </c>
      <c r="V46" s="51">
        <f t="shared" si="13"/>
        <v>0</v>
      </c>
      <c r="W46" s="50">
        <f t="shared" si="30"/>
        <v>0</v>
      </c>
      <c r="X46" s="50">
        <f t="shared" si="30"/>
        <v>0</v>
      </c>
      <c r="Y46" s="51">
        <f t="shared" si="19"/>
        <v>0</v>
      </c>
      <c r="Z46" s="50">
        <f t="shared" si="30"/>
        <v>0</v>
      </c>
      <c r="AA46" s="50">
        <f t="shared" si="30"/>
        <v>0</v>
      </c>
      <c r="AB46" s="51">
        <f t="shared" si="4"/>
        <v>0</v>
      </c>
    </row>
    <row r="47" spans="1:28" ht="24" customHeight="1">
      <c r="A47" s="32" t="e">
        <f>+CONCATENATE(#REF!,"=",J47)</f>
        <v>#REF!</v>
      </c>
      <c r="B47" s="52" t="str">
        <f>CONCATENATE(C47,"-",D47,"-",E47,"-",F47,"-",G47)</f>
        <v>A-02-01-01-004</v>
      </c>
      <c r="C47" s="52" t="s">
        <v>23</v>
      </c>
      <c r="D47" s="52" t="s">
        <v>54</v>
      </c>
      <c r="E47" s="52" t="s">
        <v>25</v>
      </c>
      <c r="F47" s="52" t="s">
        <v>25</v>
      </c>
      <c r="G47" s="52" t="s">
        <v>38</v>
      </c>
      <c r="H47" s="52"/>
      <c r="I47" s="52"/>
      <c r="J47" s="53" t="s">
        <v>28</v>
      </c>
      <c r="K47" s="52" t="s">
        <v>29</v>
      </c>
      <c r="L47" s="52" t="s">
        <v>83</v>
      </c>
      <c r="M47" s="760">
        <f t="shared" ref="M47:U47" si="31">SUM(M48:M48)</f>
        <v>100000000</v>
      </c>
      <c r="N47" s="742">
        <f t="shared" si="31"/>
        <v>0</v>
      </c>
      <c r="O47" s="742">
        <f t="shared" si="31"/>
        <v>0</v>
      </c>
      <c r="P47" s="54">
        <f t="shared" si="31"/>
        <v>0</v>
      </c>
      <c r="Q47" s="54">
        <f t="shared" si="31"/>
        <v>19341552</v>
      </c>
      <c r="R47" s="54">
        <f t="shared" si="31"/>
        <v>0</v>
      </c>
      <c r="S47" s="54">
        <f t="shared" si="31"/>
        <v>80658448</v>
      </c>
      <c r="T47" s="54">
        <f t="shared" si="31"/>
        <v>0</v>
      </c>
      <c r="U47" s="54">
        <f t="shared" si="31"/>
        <v>80658448</v>
      </c>
      <c r="V47" s="55">
        <f t="shared" si="13"/>
        <v>0</v>
      </c>
      <c r="W47" s="54">
        <f>SUM(W48:W48)</f>
        <v>0</v>
      </c>
      <c r="X47" s="54">
        <f>SUM(X48:X48)</f>
        <v>0</v>
      </c>
      <c r="Y47" s="55">
        <f t="shared" si="19"/>
        <v>0</v>
      </c>
      <c r="Z47" s="54">
        <f>SUM(Z48:Z48)</f>
        <v>0</v>
      </c>
      <c r="AA47" s="54">
        <f>SUM(AA48:AA48)</f>
        <v>0</v>
      </c>
      <c r="AB47" s="55">
        <f t="shared" si="4"/>
        <v>0</v>
      </c>
    </row>
    <row r="48" spans="1:28" ht="24.95" customHeight="1">
      <c r="A48" s="32" t="e">
        <f>+CONCATENATE(#REF!,"=",J48)</f>
        <v>#REF!</v>
      </c>
      <c r="B48" s="56" t="str">
        <f t="shared" ref="B48" si="32">CONCATENATE(C48,"-",D48,"-",E48,"-",F48,"-",G48,"-",H48)</f>
        <v>A-02-01-01-004-007</v>
      </c>
      <c r="C48" s="57" t="s">
        <v>23</v>
      </c>
      <c r="D48" s="57" t="s">
        <v>54</v>
      </c>
      <c r="E48" s="57" t="s">
        <v>25</v>
      </c>
      <c r="F48" s="57" t="s">
        <v>25</v>
      </c>
      <c r="G48" s="57" t="s">
        <v>38</v>
      </c>
      <c r="H48" s="63" t="s">
        <v>44</v>
      </c>
      <c r="I48" s="57"/>
      <c r="J48" s="57">
        <v>10</v>
      </c>
      <c r="K48" s="58" t="s">
        <v>29</v>
      </c>
      <c r="L48" s="59" t="s">
        <v>85</v>
      </c>
      <c r="M48" s="60">
        <v>100000000</v>
      </c>
      <c r="N48" s="60"/>
      <c r="O48" s="60"/>
      <c r="P48" s="61"/>
      <c r="Q48" s="60">
        <f>5088644+14252908</f>
        <v>19341552</v>
      </c>
      <c r="R48" s="61"/>
      <c r="S48" s="60">
        <f>+M48-R48+N48-O48+P48-Q48</f>
        <v>80658448</v>
      </c>
      <c r="T48" s="60">
        <v>0</v>
      </c>
      <c r="U48" s="60">
        <f t="shared" ref="U48" si="33">+S48-T48</f>
        <v>80658448</v>
      </c>
      <c r="V48" s="62">
        <f t="shared" si="13"/>
        <v>0</v>
      </c>
      <c r="W48" s="60">
        <v>0</v>
      </c>
      <c r="X48" s="60">
        <f t="shared" ref="X48" si="34">+T48-W48</f>
        <v>0</v>
      </c>
      <c r="Y48" s="62">
        <f t="shared" si="19"/>
        <v>0</v>
      </c>
      <c r="Z48" s="60">
        <v>0</v>
      </c>
      <c r="AA48" s="60">
        <f t="shared" ref="AA48" si="35">+W48-Z48</f>
        <v>0</v>
      </c>
      <c r="AB48" s="62">
        <f t="shared" si="4"/>
        <v>0</v>
      </c>
    </row>
    <row r="49" spans="1:28" ht="24" customHeight="1">
      <c r="A49" s="32" t="e">
        <f>+CONCATENATE(#REF!,"=",J49)</f>
        <v>#REF!</v>
      </c>
      <c r="B49" s="43" t="str">
        <f>CONCATENATE(C49,"-",D49,"-",E49)</f>
        <v>A-02-02</v>
      </c>
      <c r="C49" s="44" t="s">
        <v>23</v>
      </c>
      <c r="D49" s="44" t="s">
        <v>54</v>
      </c>
      <c r="E49" s="44" t="s">
        <v>54</v>
      </c>
      <c r="F49" s="44"/>
      <c r="G49" s="44"/>
      <c r="H49" s="44"/>
      <c r="I49" s="44"/>
      <c r="J49" s="44"/>
      <c r="K49" s="45"/>
      <c r="L49" s="43" t="s">
        <v>86</v>
      </c>
      <c r="M49" s="46">
        <f t="shared" ref="M49:U49" si="36">+M50+M68</f>
        <v>44558000000</v>
      </c>
      <c r="N49" s="741">
        <f t="shared" si="36"/>
        <v>0</v>
      </c>
      <c r="O49" s="741">
        <f t="shared" si="36"/>
        <v>0</v>
      </c>
      <c r="P49" s="46">
        <f t="shared" si="36"/>
        <v>4837162591</v>
      </c>
      <c r="Q49" s="46">
        <f t="shared" si="36"/>
        <v>4817821039</v>
      </c>
      <c r="R49" s="46">
        <f t="shared" si="36"/>
        <v>0</v>
      </c>
      <c r="S49" s="46">
        <f t="shared" si="36"/>
        <v>44577341552</v>
      </c>
      <c r="T49" s="46">
        <f t="shared" si="36"/>
        <v>28201492465.23</v>
      </c>
      <c r="U49" s="46">
        <f t="shared" si="36"/>
        <v>16375849086.77</v>
      </c>
      <c r="V49" s="47">
        <f t="shared" si="13"/>
        <v>0.6326418643052687</v>
      </c>
      <c r="W49" s="46">
        <f>+W50+W68</f>
        <v>11986496197.41</v>
      </c>
      <c r="X49" s="46">
        <f>+X50+X68</f>
        <v>16214996267.82</v>
      </c>
      <c r="Y49" s="47">
        <f t="shared" si="19"/>
        <v>0.57496943779878629</v>
      </c>
      <c r="Z49" s="46">
        <f>+Z50+Z68</f>
        <v>11561950130.750002</v>
      </c>
      <c r="AA49" s="46">
        <f>+AA50+AA68</f>
        <v>424546066.65999997</v>
      </c>
      <c r="AB49" s="47">
        <f t="shared" si="4"/>
        <v>0.40997653386624433</v>
      </c>
    </row>
    <row r="50" spans="1:28" ht="24" customHeight="1">
      <c r="A50" s="32" t="e">
        <f>+CONCATENATE(#REF!,"=",J50)</f>
        <v>#REF!</v>
      </c>
      <c r="B50" s="48" t="str">
        <f>CONCATENATE(C50,"-",D50,"-",E50,"-",F50)</f>
        <v>A-02-02-01</v>
      </c>
      <c r="C50" s="48" t="s">
        <v>23</v>
      </c>
      <c r="D50" s="48" t="s">
        <v>54</v>
      </c>
      <c r="E50" s="48" t="s">
        <v>54</v>
      </c>
      <c r="F50" s="48" t="s">
        <v>25</v>
      </c>
      <c r="G50" s="48"/>
      <c r="H50" s="48"/>
      <c r="I50" s="48"/>
      <c r="J50" s="49" t="s">
        <v>28</v>
      </c>
      <c r="K50" s="48" t="s">
        <v>29</v>
      </c>
      <c r="L50" s="48" t="s">
        <v>87</v>
      </c>
      <c r="M50" s="50">
        <f t="shared" ref="M50:U50" si="37">+M51+M54+M57+M63</f>
        <v>1434662489</v>
      </c>
      <c r="N50" s="742">
        <f t="shared" si="37"/>
        <v>0</v>
      </c>
      <c r="O50" s="742">
        <f t="shared" si="37"/>
        <v>0</v>
      </c>
      <c r="P50" s="50">
        <f t="shared" si="37"/>
        <v>439748465</v>
      </c>
      <c r="Q50" s="50">
        <f t="shared" si="37"/>
        <v>0</v>
      </c>
      <c r="R50" s="742">
        <f t="shared" si="37"/>
        <v>0</v>
      </c>
      <c r="S50" s="50">
        <f t="shared" si="37"/>
        <v>1874410954</v>
      </c>
      <c r="T50" s="50">
        <f t="shared" si="37"/>
        <v>277620279</v>
      </c>
      <c r="U50" s="50">
        <f t="shared" si="37"/>
        <v>1596790675</v>
      </c>
      <c r="V50" s="51">
        <f t="shared" si="13"/>
        <v>0.14811067893492474</v>
      </c>
      <c r="W50" s="50">
        <f>+W51+W54+W57+W63</f>
        <v>157608374.79999998</v>
      </c>
      <c r="X50" s="50">
        <f>+X51+X54+X57+X63</f>
        <v>120011904.20000002</v>
      </c>
      <c r="Y50" s="51">
        <f t="shared" si="19"/>
        <v>0.43228796049153173</v>
      </c>
      <c r="Z50" s="50">
        <f>+Z51+Z54+Z57+Z63</f>
        <v>24909638.940000001</v>
      </c>
      <c r="AA50" s="50">
        <f>+AA51+AA54+AA57+AA63</f>
        <v>132698735.85999998</v>
      </c>
      <c r="AB50" s="51">
        <f t="shared" si="4"/>
        <v>8.9725574189773075E-2</v>
      </c>
    </row>
    <row r="51" spans="1:28" ht="24" customHeight="1">
      <c r="A51" s="32" t="e">
        <f>+CONCATENATE(#REF!,"=",J51)</f>
        <v>#REF!</v>
      </c>
      <c r="B51" s="52" t="str">
        <f>CONCATENATE(C51,"-",D51,"-",E51,"-",F51,"-",G51)</f>
        <v>A-02-02-01-001</v>
      </c>
      <c r="C51" s="52" t="s">
        <v>23</v>
      </c>
      <c r="D51" s="52" t="s">
        <v>54</v>
      </c>
      <c r="E51" s="52" t="s">
        <v>54</v>
      </c>
      <c r="F51" s="52" t="s">
        <v>25</v>
      </c>
      <c r="G51" s="52" t="s">
        <v>31</v>
      </c>
      <c r="H51" s="52"/>
      <c r="I51" s="52"/>
      <c r="J51" s="53" t="s">
        <v>28</v>
      </c>
      <c r="K51" s="52" t="s">
        <v>29</v>
      </c>
      <c r="L51" s="52" t="s">
        <v>88</v>
      </c>
      <c r="M51" s="54">
        <f>SUM(M52:M53)</f>
        <v>19000000</v>
      </c>
      <c r="N51" s="743">
        <f t="shared" ref="N51:U51" si="38">SUM(N52:N53)</f>
        <v>0</v>
      </c>
      <c r="O51" s="743">
        <f t="shared" si="38"/>
        <v>0</v>
      </c>
      <c r="P51" s="54">
        <f t="shared" si="38"/>
        <v>0</v>
      </c>
      <c r="Q51" s="743">
        <f t="shared" si="38"/>
        <v>0</v>
      </c>
      <c r="R51" s="743">
        <f t="shared" si="38"/>
        <v>0</v>
      </c>
      <c r="S51" s="54">
        <f t="shared" si="38"/>
        <v>19000000</v>
      </c>
      <c r="T51" s="54">
        <f t="shared" si="38"/>
        <v>0</v>
      </c>
      <c r="U51" s="54">
        <f t="shared" si="38"/>
        <v>19000000</v>
      </c>
      <c r="V51" s="55">
        <f t="shared" si="13"/>
        <v>0</v>
      </c>
      <c r="W51" s="54">
        <f t="shared" ref="W51:X51" si="39">SUM(W52:W53)</f>
        <v>0</v>
      </c>
      <c r="X51" s="54">
        <f t="shared" si="39"/>
        <v>0</v>
      </c>
      <c r="Y51" s="55">
        <f t="shared" si="19"/>
        <v>0</v>
      </c>
      <c r="Z51" s="54">
        <f t="shared" ref="Z51:AA51" si="40">SUM(Z52:Z53)</f>
        <v>0</v>
      </c>
      <c r="AA51" s="54">
        <f t="shared" si="40"/>
        <v>0</v>
      </c>
      <c r="AB51" s="55">
        <f t="shared" si="4"/>
        <v>0</v>
      </c>
    </row>
    <row r="52" spans="1:28" ht="24.95" customHeight="1">
      <c r="A52" s="32" t="e">
        <f>+CONCATENATE(#REF!,"=",J52)</f>
        <v>#REF!</v>
      </c>
      <c r="B52" s="56" t="str">
        <f t="shared" ref="B52:B67" si="41">CONCATENATE(C52,"-",D52,"-",E52,"-",F52,"-",G52,"-",H52)</f>
        <v>A-02-02-01-001-005</v>
      </c>
      <c r="C52" s="57" t="s">
        <v>23</v>
      </c>
      <c r="D52" s="57" t="s">
        <v>54</v>
      </c>
      <c r="E52" s="57" t="s">
        <v>54</v>
      </c>
      <c r="F52" s="57" t="s">
        <v>25</v>
      </c>
      <c r="G52" s="57" t="s">
        <v>31</v>
      </c>
      <c r="H52" s="57" t="s">
        <v>40</v>
      </c>
      <c r="I52" s="57"/>
      <c r="J52" s="57">
        <v>10</v>
      </c>
      <c r="K52" s="58" t="s">
        <v>29</v>
      </c>
      <c r="L52" s="59" t="s">
        <v>89</v>
      </c>
      <c r="M52" s="60">
        <v>6000000</v>
      </c>
      <c r="N52" s="60"/>
      <c r="O52" s="60"/>
      <c r="P52" s="60"/>
      <c r="Q52" s="60"/>
      <c r="R52" s="61"/>
      <c r="S52" s="60">
        <f>+M52-R52+N52-O52+P52-Q52</f>
        <v>6000000</v>
      </c>
      <c r="T52" s="60">
        <v>0</v>
      </c>
      <c r="U52" s="60">
        <f t="shared" si="9"/>
        <v>6000000</v>
      </c>
      <c r="V52" s="62">
        <f t="shared" si="13"/>
        <v>0</v>
      </c>
      <c r="W52" s="60">
        <v>0</v>
      </c>
      <c r="X52" s="60">
        <f t="shared" ref="X52:X53" si="42">+T52-W52</f>
        <v>0</v>
      </c>
      <c r="Y52" s="62">
        <f t="shared" si="19"/>
        <v>0</v>
      </c>
      <c r="Z52" s="60">
        <v>0</v>
      </c>
      <c r="AA52" s="60">
        <f t="shared" si="10"/>
        <v>0</v>
      </c>
      <c r="AB52" s="62">
        <f t="shared" si="4"/>
        <v>0</v>
      </c>
    </row>
    <row r="53" spans="1:28" ht="24.95" customHeight="1">
      <c r="A53" s="32" t="e">
        <f>+CONCATENATE(#REF!,"=",J53)</f>
        <v>#REF!</v>
      </c>
      <c r="B53" s="56" t="str">
        <f t="shared" si="41"/>
        <v>A-02-02-01-001-007</v>
      </c>
      <c r="C53" s="57" t="s">
        <v>23</v>
      </c>
      <c r="D53" s="57" t="s">
        <v>54</v>
      </c>
      <c r="E53" s="57" t="s">
        <v>54</v>
      </c>
      <c r="F53" s="57" t="s">
        <v>25</v>
      </c>
      <c r="G53" s="57" t="s">
        <v>31</v>
      </c>
      <c r="H53" s="57" t="s">
        <v>44</v>
      </c>
      <c r="I53" s="57"/>
      <c r="J53" s="57">
        <v>10</v>
      </c>
      <c r="K53" s="58" t="s">
        <v>29</v>
      </c>
      <c r="L53" s="59" t="s">
        <v>90</v>
      </c>
      <c r="M53" s="60">
        <v>13000000</v>
      </c>
      <c r="N53" s="60"/>
      <c r="O53" s="60"/>
      <c r="P53" s="60"/>
      <c r="Q53" s="60"/>
      <c r="R53" s="61"/>
      <c r="S53" s="60">
        <f>+M53-R53+N53-O53+P53-Q53</f>
        <v>13000000</v>
      </c>
      <c r="T53" s="60">
        <v>0</v>
      </c>
      <c r="U53" s="60">
        <f t="shared" si="9"/>
        <v>13000000</v>
      </c>
      <c r="V53" s="62">
        <f t="shared" si="13"/>
        <v>0</v>
      </c>
      <c r="W53" s="60">
        <v>0</v>
      </c>
      <c r="X53" s="60">
        <f t="shared" si="42"/>
        <v>0</v>
      </c>
      <c r="Y53" s="62">
        <f t="shared" si="19"/>
        <v>0</v>
      </c>
      <c r="Z53" s="60">
        <v>0</v>
      </c>
      <c r="AA53" s="60">
        <f t="shared" si="10"/>
        <v>0</v>
      </c>
      <c r="AB53" s="62">
        <f t="shared" si="4"/>
        <v>0</v>
      </c>
    </row>
    <row r="54" spans="1:28" ht="24" customHeight="1">
      <c r="A54" s="32" t="e">
        <f>+CONCATENATE(#REF!,"=",J54)</f>
        <v>#REF!</v>
      </c>
      <c r="B54" s="52" t="str">
        <f>CONCATENATE(C54,"-",D54,"-",E54,"-",F54,"-",G54)</f>
        <v>A-02-02-01-002</v>
      </c>
      <c r="C54" s="52" t="s">
        <v>23</v>
      </c>
      <c r="D54" s="52" t="s">
        <v>54</v>
      </c>
      <c r="E54" s="52" t="s">
        <v>54</v>
      </c>
      <c r="F54" s="52" t="s">
        <v>25</v>
      </c>
      <c r="G54" s="52" t="s">
        <v>34</v>
      </c>
      <c r="H54" s="52"/>
      <c r="I54" s="52"/>
      <c r="J54" s="53" t="s">
        <v>28</v>
      </c>
      <c r="K54" s="52" t="s">
        <v>29</v>
      </c>
      <c r="L54" s="52" t="s">
        <v>91</v>
      </c>
      <c r="M54" s="54">
        <f>SUM(M56:M56)</f>
        <v>130000000</v>
      </c>
      <c r="N54" s="54">
        <f t="shared" ref="N54:O54" si="43">SUM(N55:N56)</f>
        <v>0</v>
      </c>
      <c r="O54" s="54">
        <f t="shared" si="43"/>
        <v>0</v>
      </c>
      <c r="P54" s="54">
        <f>SUM(P55:P56)</f>
        <v>66000000</v>
      </c>
      <c r="Q54" s="54">
        <f>SUM(Q55:Q56)</f>
        <v>0</v>
      </c>
      <c r="R54" s="54">
        <f>SUM(R55:R56)</f>
        <v>0</v>
      </c>
      <c r="S54" s="54">
        <f>SUM(S55:S56)</f>
        <v>196000000</v>
      </c>
      <c r="T54" s="54">
        <f t="shared" ref="T54:U54" si="44">SUM(T55:T56)</f>
        <v>66000000</v>
      </c>
      <c r="U54" s="54">
        <f t="shared" si="44"/>
        <v>130000000</v>
      </c>
      <c r="V54" s="55">
        <f t="shared" si="13"/>
        <v>0.33673469387755101</v>
      </c>
      <c r="W54" s="54">
        <f t="shared" ref="W54:X54" si="45">SUM(W55:W56)</f>
        <v>50726847.649999999</v>
      </c>
      <c r="X54" s="54">
        <f t="shared" si="45"/>
        <v>15273152.350000001</v>
      </c>
      <c r="Y54" s="55">
        <f t="shared" si="19"/>
        <v>0.23141139924242426</v>
      </c>
      <c r="Z54" s="54">
        <f t="shared" ref="Z54:AA54" si="46">SUM(Z55:Z56)</f>
        <v>0</v>
      </c>
      <c r="AA54" s="54">
        <f t="shared" si="46"/>
        <v>50726847.649999999</v>
      </c>
      <c r="AB54" s="55">
        <f t="shared" si="4"/>
        <v>0</v>
      </c>
    </row>
    <row r="55" spans="1:28" ht="24.95" customHeight="1">
      <c r="A55" s="32" t="e">
        <f>+CONCATENATE(#REF!,"=",J55)</f>
        <v>#REF!</v>
      </c>
      <c r="B55" s="56" t="str">
        <f t="shared" ref="B55" si="47">CONCATENATE(C55,"-",D55,"-",E55,"-",F55,"-",G55,"-",H55)</f>
        <v>A-02-02-01-002-003</v>
      </c>
      <c r="C55" s="57" t="s">
        <v>23</v>
      </c>
      <c r="D55" s="57" t="s">
        <v>54</v>
      </c>
      <c r="E55" s="57" t="s">
        <v>54</v>
      </c>
      <c r="F55" s="57" t="s">
        <v>25</v>
      </c>
      <c r="G55" s="57" t="s">
        <v>34</v>
      </c>
      <c r="H55" s="63" t="s">
        <v>36</v>
      </c>
      <c r="I55" s="57"/>
      <c r="J55" s="57">
        <v>10</v>
      </c>
      <c r="K55" s="58" t="s">
        <v>29</v>
      </c>
      <c r="L55" s="59" t="s">
        <v>822</v>
      </c>
      <c r="M55" s="60">
        <v>0</v>
      </c>
      <c r="N55" s="60"/>
      <c r="O55" s="60"/>
      <c r="P55" s="60">
        <f>44000000+22000000</f>
        <v>66000000</v>
      </c>
      <c r="Q55" s="60"/>
      <c r="R55" s="61"/>
      <c r="S55" s="60">
        <f>+M55-R55+N55-O55+P55-Q55</f>
        <v>66000000</v>
      </c>
      <c r="T55" s="60">
        <v>66000000</v>
      </c>
      <c r="U55" s="60">
        <f t="shared" ref="U55" si="48">+S55-T55</f>
        <v>0</v>
      </c>
      <c r="V55" s="62">
        <f t="shared" si="13"/>
        <v>1</v>
      </c>
      <c r="W55" s="60">
        <v>50726847.649999999</v>
      </c>
      <c r="X55" s="60">
        <f t="shared" ref="X55" si="49">+T55-W55</f>
        <v>15273152.350000001</v>
      </c>
      <c r="Y55" s="62">
        <f t="shared" si="19"/>
        <v>0.23141139924242426</v>
      </c>
      <c r="Z55" s="60">
        <v>0</v>
      </c>
      <c r="AA55" s="60">
        <f t="shared" ref="AA55" si="50">+W55-Z55</f>
        <v>50726847.649999999</v>
      </c>
      <c r="AB55" s="62">
        <f t="shared" si="4"/>
        <v>0</v>
      </c>
    </row>
    <row r="56" spans="1:28" ht="24.95" customHeight="1">
      <c r="A56" s="32" t="e">
        <f>+CONCATENATE(#REF!,"=",J56)</f>
        <v>#REF!</v>
      </c>
      <c r="B56" s="56" t="str">
        <f t="shared" si="41"/>
        <v>A-02-02-01-002-008</v>
      </c>
      <c r="C56" s="57" t="s">
        <v>23</v>
      </c>
      <c r="D56" s="57" t="s">
        <v>54</v>
      </c>
      <c r="E56" s="57" t="s">
        <v>54</v>
      </c>
      <c r="F56" s="57" t="s">
        <v>25</v>
      </c>
      <c r="G56" s="57" t="s">
        <v>34</v>
      </c>
      <c r="H56" s="57" t="s">
        <v>46</v>
      </c>
      <c r="I56" s="57"/>
      <c r="J56" s="57">
        <v>10</v>
      </c>
      <c r="K56" s="58" t="s">
        <v>29</v>
      </c>
      <c r="L56" s="59" t="s">
        <v>92</v>
      </c>
      <c r="M56" s="60">
        <v>130000000</v>
      </c>
      <c r="N56" s="60"/>
      <c r="O56" s="60"/>
      <c r="P56" s="60"/>
      <c r="Q56" s="60"/>
      <c r="R56" s="61"/>
      <c r="S56" s="60">
        <f>+M56-R56+N56-O56+P56-Q56</f>
        <v>130000000</v>
      </c>
      <c r="T56" s="60">
        <v>0</v>
      </c>
      <c r="U56" s="60">
        <f t="shared" si="9"/>
        <v>130000000</v>
      </c>
      <c r="V56" s="62">
        <f t="shared" si="13"/>
        <v>0</v>
      </c>
      <c r="W56" s="60">
        <v>0</v>
      </c>
      <c r="X56" s="60">
        <f t="shared" si="12"/>
        <v>0</v>
      </c>
      <c r="Y56" s="62">
        <f t="shared" si="19"/>
        <v>0</v>
      </c>
      <c r="Z56" s="60">
        <v>0</v>
      </c>
      <c r="AA56" s="60">
        <f t="shared" si="10"/>
        <v>0</v>
      </c>
      <c r="AB56" s="62">
        <f t="shared" si="4"/>
        <v>0</v>
      </c>
    </row>
    <row r="57" spans="1:28" ht="24" customHeight="1">
      <c r="A57" s="32" t="e">
        <f>+CONCATENATE(#REF!,"=",J57)</f>
        <v>#REF!</v>
      </c>
      <c r="B57" s="52" t="str">
        <f>CONCATENATE(C57,"-",D57,"-",E57,"-",F57,"-",G57)</f>
        <v>A-02-02-01-003</v>
      </c>
      <c r="C57" s="52" t="s">
        <v>23</v>
      </c>
      <c r="D57" s="52" t="s">
        <v>54</v>
      </c>
      <c r="E57" s="52" t="s">
        <v>54</v>
      </c>
      <c r="F57" s="52" t="s">
        <v>25</v>
      </c>
      <c r="G57" s="52" t="s">
        <v>36</v>
      </c>
      <c r="H57" s="52"/>
      <c r="I57" s="52"/>
      <c r="J57" s="53" t="s">
        <v>28</v>
      </c>
      <c r="K57" s="52" t="s">
        <v>29</v>
      </c>
      <c r="L57" s="52" t="s">
        <v>93</v>
      </c>
      <c r="M57" s="54">
        <f t="shared" ref="M57:U57" si="51">SUM(M58:M62)</f>
        <v>360662489</v>
      </c>
      <c r="N57" s="743">
        <f t="shared" si="51"/>
        <v>0</v>
      </c>
      <c r="O57" s="743">
        <f t="shared" si="51"/>
        <v>0</v>
      </c>
      <c r="P57" s="54">
        <f t="shared" si="51"/>
        <v>373748465</v>
      </c>
      <c r="Q57" s="54">
        <f t="shared" si="51"/>
        <v>0</v>
      </c>
      <c r="R57" s="743">
        <f t="shared" si="51"/>
        <v>0</v>
      </c>
      <c r="S57" s="54">
        <f t="shared" si="51"/>
        <v>734410954</v>
      </c>
      <c r="T57" s="54">
        <f t="shared" si="51"/>
        <v>202635779</v>
      </c>
      <c r="U57" s="54">
        <f t="shared" si="51"/>
        <v>531775175</v>
      </c>
      <c r="V57" s="55">
        <f t="shared" si="13"/>
        <v>0.2759160629295298</v>
      </c>
      <c r="W57" s="54">
        <f>SUM(W58:W62)</f>
        <v>106881527.14999999</v>
      </c>
      <c r="X57" s="54">
        <f>SUM(X58:X62)</f>
        <v>95754251.850000009</v>
      </c>
      <c r="Y57" s="55">
        <f t="shared" si="19"/>
        <v>0.47254365602433918</v>
      </c>
      <c r="Z57" s="54">
        <f>SUM(Z58:Z62)</f>
        <v>24909638.940000001</v>
      </c>
      <c r="AA57" s="54">
        <f>SUM(AA58:AA62)</f>
        <v>81971888.209999993</v>
      </c>
      <c r="AB57" s="55">
        <f t="shared" si="4"/>
        <v>0.12292813768095713</v>
      </c>
    </row>
    <row r="58" spans="1:28" ht="24.95" customHeight="1">
      <c r="A58" s="32" t="e">
        <f>+CONCATENATE(#REF!,"=",J58)</f>
        <v>#REF!</v>
      </c>
      <c r="B58" s="56" t="str">
        <f t="shared" si="41"/>
        <v>A-02-02-01-003-002</v>
      </c>
      <c r="C58" s="57" t="s">
        <v>23</v>
      </c>
      <c r="D58" s="57" t="s">
        <v>54</v>
      </c>
      <c r="E58" s="57" t="s">
        <v>54</v>
      </c>
      <c r="F58" s="57" t="s">
        <v>25</v>
      </c>
      <c r="G58" s="57" t="s">
        <v>36</v>
      </c>
      <c r="H58" s="57" t="s">
        <v>34</v>
      </c>
      <c r="I58" s="57"/>
      <c r="J58" s="57">
        <v>10</v>
      </c>
      <c r="K58" s="58" t="s">
        <v>29</v>
      </c>
      <c r="L58" s="59" t="s">
        <v>94</v>
      </c>
      <c r="M58" s="60">
        <v>154100000</v>
      </c>
      <c r="N58" s="60"/>
      <c r="O58" s="60"/>
      <c r="P58" s="60">
        <f>253475175</f>
        <v>253475175</v>
      </c>
      <c r="Q58" s="60"/>
      <c r="R58" s="61"/>
      <c r="S58" s="60">
        <f t="shared" ref="S58:S62" si="52">+M58-R58+N58-O58+P58-Q58</f>
        <v>407575175</v>
      </c>
      <c r="T58" s="60">
        <v>300000</v>
      </c>
      <c r="U58" s="60">
        <f t="shared" si="9"/>
        <v>407275175</v>
      </c>
      <c r="V58" s="62">
        <f t="shared" si="13"/>
        <v>7.3606053165529528E-4</v>
      </c>
      <c r="W58" s="60">
        <v>300000</v>
      </c>
      <c r="X58" s="60">
        <f t="shared" si="12"/>
        <v>0</v>
      </c>
      <c r="Y58" s="62">
        <f t="shared" si="19"/>
        <v>0</v>
      </c>
      <c r="Z58" s="60">
        <v>300000</v>
      </c>
      <c r="AA58" s="60">
        <f t="shared" ref="AA58:AA62" si="53">+W58-Z58</f>
        <v>0</v>
      </c>
      <c r="AB58" s="62">
        <f t="shared" si="4"/>
        <v>1</v>
      </c>
    </row>
    <row r="59" spans="1:28" ht="24.95" customHeight="1">
      <c r="A59" s="32" t="e">
        <f>+CONCATENATE(#REF!,"=",J59)</f>
        <v>#REF!</v>
      </c>
      <c r="B59" s="56" t="str">
        <f t="shared" si="41"/>
        <v>A-02-02-01-003-003</v>
      </c>
      <c r="C59" s="57" t="s">
        <v>23</v>
      </c>
      <c r="D59" s="57" t="s">
        <v>54</v>
      </c>
      <c r="E59" s="57" t="s">
        <v>54</v>
      </c>
      <c r="F59" s="57" t="s">
        <v>25</v>
      </c>
      <c r="G59" s="57" t="s">
        <v>36</v>
      </c>
      <c r="H59" s="57" t="s">
        <v>36</v>
      </c>
      <c r="I59" s="57"/>
      <c r="J59" s="57">
        <v>10</v>
      </c>
      <c r="K59" s="58" t="s">
        <v>29</v>
      </c>
      <c r="L59" s="59" t="s">
        <v>95</v>
      </c>
      <c r="M59" s="60">
        <v>89562489</v>
      </c>
      <c r="N59" s="60"/>
      <c r="O59" s="60"/>
      <c r="P59" s="60">
        <f>21273290</f>
        <v>21273290</v>
      </c>
      <c r="Q59" s="60"/>
      <c r="R59" s="61"/>
      <c r="S59" s="60">
        <f t="shared" si="52"/>
        <v>110835779</v>
      </c>
      <c r="T59" s="60">
        <v>103335779</v>
      </c>
      <c r="U59" s="60">
        <f t="shared" si="9"/>
        <v>7500000</v>
      </c>
      <c r="V59" s="62">
        <f t="shared" si="13"/>
        <v>0.93233232023388402</v>
      </c>
      <c r="W59" s="60">
        <v>24609638.940000001</v>
      </c>
      <c r="X59" s="60">
        <f t="shared" si="12"/>
        <v>78726140.060000002</v>
      </c>
      <c r="Y59" s="62">
        <f t="shared" si="19"/>
        <v>0.76184784033030806</v>
      </c>
      <c r="Z59" s="60">
        <v>24609638.940000001</v>
      </c>
      <c r="AA59" s="60">
        <f t="shared" si="53"/>
        <v>0</v>
      </c>
      <c r="AB59" s="62">
        <f t="shared" si="4"/>
        <v>0.23815215966969197</v>
      </c>
    </row>
    <row r="60" spans="1:28" ht="24.95" customHeight="1">
      <c r="A60" s="32" t="e">
        <f>+CONCATENATE(#REF!,"=",J60)</f>
        <v>#REF!</v>
      </c>
      <c r="B60" s="56" t="str">
        <f t="shared" si="41"/>
        <v>A-02-02-01-003-005</v>
      </c>
      <c r="C60" s="57" t="s">
        <v>23</v>
      </c>
      <c r="D60" s="57" t="s">
        <v>54</v>
      </c>
      <c r="E60" s="57" t="s">
        <v>54</v>
      </c>
      <c r="F60" s="57" t="s">
        <v>25</v>
      </c>
      <c r="G60" s="57" t="s">
        <v>36</v>
      </c>
      <c r="H60" s="57" t="s">
        <v>40</v>
      </c>
      <c r="I60" s="57"/>
      <c r="J60" s="57">
        <v>10</v>
      </c>
      <c r="K60" s="58" t="s">
        <v>29</v>
      </c>
      <c r="L60" s="59" t="s">
        <v>96</v>
      </c>
      <c r="M60" s="60">
        <v>14000000</v>
      </c>
      <c r="N60" s="60"/>
      <c r="O60" s="60"/>
      <c r="P60" s="60">
        <f>66000000+33000000</f>
        <v>99000000</v>
      </c>
      <c r="Q60" s="60"/>
      <c r="R60" s="61"/>
      <c r="S60" s="60">
        <f t="shared" si="52"/>
        <v>113000000</v>
      </c>
      <c r="T60" s="60">
        <v>99000000</v>
      </c>
      <c r="U60" s="60">
        <f t="shared" si="9"/>
        <v>14000000</v>
      </c>
      <c r="V60" s="62">
        <f t="shared" si="13"/>
        <v>0.87610619469026552</v>
      </c>
      <c r="W60" s="60">
        <v>81971888.209999993</v>
      </c>
      <c r="X60" s="60">
        <f t="shared" si="12"/>
        <v>17028111.790000007</v>
      </c>
      <c r="Y60" s="62">
        <f t="shared" si="19"/>
        <v>0.17200112919191926</v>
      </c>
      <c r="Z60" s="60">
        <v>0</v>
      </c>
      <c r="AA60" s="60">
        <f t="shared" si="53"/>
        <v>81971888.209999993</v>
      </c>
      <c r="AB60" s="62">
        <f t="shared" si="4"/>
        <v>0</v>
      </c>
    </row>
    <row r="61" spans="1:28" ht="24.95" customHeight="1">
      <c r="A61" s="32" t="e">
        <f>+CONCATENATE(#REF!,"=",J61)</f>
        <v>#REF!</v>
      </c>
      <c r="B61" s="56" t="str">
        <f t="shared" si="41"/>
        <v>A-02-02-01-003-006</v>
      </c>
      <c r="C61" s="57" t="s">
        <v>23</v>
      </c>
      <c r="D61" s="57" t="s">
        <v>54</v>
      </c>
      <c r="E61" s="57" t="s">
        <v>54</v>
      </c>
      <c r="F61" s="57" t="s">
        <v>25</v>
      </c>
      <c r="G61" s="57" t="s">
        <v>36</v>
      </c>
      <c r="H61" s="57" t="s">
        <v>42</v>
      </c>
      <c r="I61" s="57"/>
      <c r="J61" s="57">
        <v>10</v>
      </c>
      <c r="K61" s="58" t="s">
        <v>29</v>
      </c>
      <c r="L61" s="59" t="s">
        <v>97</v>
      </c>
      <c r="M61" s="60">
        <v>20000000</v>
      </c>
      <c r="N61" s="60"/>
      <c r="O61" s="60"/>
      <c r="P61" s="60"/>
      <c r="Q61" s="60"/>
      <c r="R61" s="61"/>
      <c r="S61" s="60">
        <f t="shared" si="52"/>
        <v>20000000</v>
      </c>
      <c r="T61" s="60">
        <v>0</v>
      </c>
      <c r="U61" s="60">
        <f t="shared" si="9"/>
        <v>20000000</v>
      </c>
      <c r="V61" s="62">
        <f t="shared" si="13"/>
        <v>0</v>
      </c>
      <c r="W61" s="60">
        <v>0</v>
      </c>
      <c r="X61" s="60">
        <f t="shared" si="12"/>
        <v>0</v>
      </c>
      <c r="Y61" s="62">
        <f t="shared" si="19"/>
        <v>0</v>
      </c>
      <c r="Z61" s="60">
        <v>0</v>
      </c>
      <c r="AA61" s="60">
        <f t="shared" si="53"/>
        <v>0</v>
      </c>
      <c r="AB61" s="62">
        <f t="shared" si="4"/>
        <v>0</v>
      </c>
    </row>
    <row r="62" spans="1:28" ht="24.95" customHeight="1">
      <c r="A62" s="32" t="e">
        <f>+CONCATENATE(#REF!,"=",J62)</f>
        <v>#REF!</v>
      </c>
      <c r="B62" s="56" t="str">
        <f t="shared" si="41"/>
        <v>A-02-02-01-003-008</v>
      </c>
      <c r="C62" s="57" t="s">
        <v>23</v>
      </c>
      <c r="D62" s="57" t="s">
        <v>54</v>
      </c>
      <c r="E62" s="57" t="s">
        <v>54</v>
      </c>
      <c r="F62" s="57" t="s">
        <v>25</v>
      </c>
      <c r="G62" s="57" t="s">
        <v>36</v>
      </c>
      <c r="H62" s="57" t="s">
        <v>46</v>
      </c>
      <c r="I62" s="57"/>
      <c r="J62" s="57">
        <v>10</v>
      </c>
      <c r="K62" s="58" t="s">
        <v>29</v>
      </c>
      <c r="L62" s="59" t="s">
        <v>99</v>
      </c>
      <c r="M62" s="60">
        <v>83000000</v>
      </c>
      <c r="N62" s="60"/>
      <c r="O62" s="60"/>
      <c r="P62" s="60"/>
      <c r="Q62" s="60"/>
      <c r="R62" s="61"/>
      <c r="S62" s="60">
        <f t="shared" si="52"/>
        <v>83000000</v>
      </c>
      <c r="T62" s="60">
        <v>0</v>
      </c>
      <c r="U62" s="60">
        <f t="shared" si="9"/>
        <v>83000000</v>
      </c>
      <c r="V62" s="62">
        <f t="shared" si="13"/>
        <v>0</v>
      </c>
      <c r="W62" s="60">
        <v>0</v>
      </c>
      <c r="X62" s="60">
        <f t="shared" si="12"/>
        <v>0</v>
      </c>
      <c r="Y62" s="62">
        <f t="shared" si="19"/>
        <v>0</v>
      </c>
      <c r="Z62" s="60">
        <v>0</v>
      </c>
      <c r="AA62" s="60">
        <f t="shared" si="53"/>
        <v>0</v>
      </c>
      <c r="AB62" s="62">
        <f t="shared" si="4"/>
        <v>0</v>
      </c>
    </row>
    <row r="63" spans="1:28" ht="24" customHeight="1">
      <c r="A63" s="32" t="e">
        <f>+CONCATENATE(#REF!,"=",J63)</f>
        <v>#REF!</v>
      </c>
      <c r="B63" s="52" t="str">
        <f>CONCATENATE(C63,"-",D63,"-",E63,"-",F63,"-",G63)</f>
        <v>A-02-02-01-004</v>
      </c>
      <c r="C63" s="52" t="s">
        <v>23</v>
      </c>
      <c r="D63" s="52" t="s">
        <v>54</v>
      </c>
      <c r="E63" s="52" t="s">
        <v>54</v>
      </c>
      <c r="F63" s="52" t="s">
        <v>25</v>
      </c>
      <c r="G63" s="52" t="s">
        <v>38</v>
      </c>
      <c r="H63" s="52"/>
      <c r="I63" s="52"/>
      <c r="J63" s="53" t="s">
        <v>28</v>
      </c>
      <c r="K63" s="52" t="s">
        <v>29</v>
      </c>
      <c r="L63" s="52" t="s">
        <v>100</v>
      </c>
      <c r="M63" s="54">
        <f t="shared" ref="M63:U63" si="54">SUM(M64:M67)</f>
        <v>925000000</v>
      </c>
      <c r="N63" s="743">
        <f t="shared" si="54"/>
        <v>0</v>
      </c>
      <c r="O63" s="743">
        <f t="shared" si="54"/>
        <v>0</v>
      </c>
      <c r="P63" s="54">
        <f t="shared" si="54"/>
        <v>0</v>
      </c>
      <c r="Q63" s="54">
        <f t="shared" si="54"/>
        <v>0</v>
      </c>
      <c r="R63" s="743">
        <f t="shared" si="54"/>
        <v>0</v>
      </c>
      <c r="S63" s="54">
        <f t="shared" si="54"/>
        <v>925000000</v>
      </c>
      <c r="T63" s="54">
        <f t="shared" si="54"/>
        <v>8984500</v>
      </c>
      <c r="U63" s="54">
        <f t="shared" si="54"/>
        <v>916015500</v>
      </c>
      <c r="V63" s="55">
        <f t="shared" si="13"/>
        <v>9.7129729729729733E-3</v>
      </c>
      <c r="W63" s="54">
        <f>SUM(W64:W67)</f>
        <v>0</v>
      </c>
      <c r="X63" s="54">
        <f>SUM(X64:X67)</f>
        <v>8984500</v>
      </c>
      <c r="Y63" s="55">
        <f t="shared" si="19"/>
        <v>1</v>
      </c>
      <c r="Z63" s="54">
        <f>SUM(Z64:Z67)</f>
        <v>0</v>
      </c>
      <c r="AA63" s="54">
        <f>SUM(AA64:AA67)</f>
        <v>0</v>
      </c>
      <c r="AB63" s="55">
        <f t="shared" si="4"/>
        <v>0</v>
      </c>
    </row>
    <row r="64" spans="1:28" ht="24.95" customHeight="1">
      <c r="A64" s="32" t="e">
        <f>+CONCATENATE(#REF!,"=",J64)</f>
        <v>#REF!</v>
      </c>
      <c r="B64" s="56" t="str">
        <f t="shared" si="41"/>
        <v>A-02-02-01-004-002</v>
      </c>
      <c r="C64" s="57" t="s">
        <v>23</v>
      </c>
      <c r="D64" s="57" t="s">
        <v>54</v>
      </c>
      <c r="E64" s="57" t="s">
        <v>54</v>
      </c>
      <c r="F64" s="57" t="s">
        <v>25</v>
      </c>
      <c r="G64" s="57" t="s">
        <v>38</v>
      </c>
      <c r="H64" s="57" t="s">
        <v>34</v>
      </c>
      <c r="I64" s="57"/>
      <c r="J64" s="57">
        <v>10</v>
      </c>
      <c r="K64" s="58" t="s">
        <v>29</v>
      </c>
      <c r="L64" s="59" t="s">
        <v>101</v>
      </c>
      <c r="M64" s="60">
        <v>30000000</v>
      </c>
      <c r="N64" s="60"/>
      <c r="O64" s="60"/>
      <c r="P64" s="60"/>
      <c r="Q64" s="60"/>
      <c r="R64" s="61"/>
      <c r="S64" s="60">
        <f>+M64-R64+N64-O64+P64-Q64</f>
        <v>30000000</v>
      </c>
      <c r="T64" s="60">
        <v>0</v>
      </c>
      <c r="U64" s="60">
        <f t="shared" si="9"/>
        <v>30000000</v>
      </c>
      <c r="V64" s="62">
        <f t="shared" si="13"/>
        <v>0</v>
      </c>
      <c r="W64" s="60">
        <v>0</v>
      </c>
      <c r="X64" s="60">
        <f t="shared" si="12"/>
        <v>0</v>
      </c>
      <c r="Y64" s="62">
        <f t="shared" si="19"/>
        <v>0</v>
      </c>
      <c r="Z64" s="60">
        <v>0</v>
      </c>
      <c r="AA64" s="60">
        <f t="shared" ref="AA64:AA67" si="55">+W64-Z64</f>
        <v>0</v>
      </c>
      <c r="AB64" s="62">
        <f t="shared" si="4"/>
        <v>0</v>
      </c>
    </row>
    <row r="65" spans="1:28" ht="24.95" customHeight="1">
      <c r="A65" s="32" t="e">
        <f>+CONCATENATE(#REF!,"=",J65)</f>
        <v>#REF!</v>
      </c>
      <c r="B65" s="56" t="str">
        <f t="shared" si="41"/>
        <v>A-02-02-01-004-005</v>
      </c>
      <c r="C65" s="57" t="s">
        <v>23</v>
      </c>
      <c r="D65" s="57" t="s">
        <v>54</v>
      </c>
      <c r="E65" s="57" t="s">
        <v>54</v>
      </c>
      <c r="F65" s="57" t="s">
        <v>25</v>
      </c>
      <c r="G65" s="57" t="s">
        <v>38</v>
      </c>
      <c r="H65" s="57" t="s">
        <v>40</v>
      </c>
      <c r="I65" s="57"/>
      <c r="J65" s="57">
        <v>10</v>
      </c>
      <c r="K65" s="58" t="s">
        <v>29</v>
      </c>
      <c r="L65" s="59" t="s">
        <v>102</v>
      </c>
      <c r="M65" s="60">
        <v>565000000</v>
      </c>
      <c r="N65" s="60"/>
      <c r="O65" s="60"/>
      <c r="P65" s="60"/>
      <c r="Q65" s="60"/>
      <c r="R65" s="61"/>
      <c r="S65" s="60">
        <f t="shared" ref="S65:S67" si="56">+M65-R65+N65-O65+P65-Q65</f>
        <v>565000000</v>
      </c>
      <c r="T65" s="60">
        <v>8984500</v>
      </c>
      <c r="U65" s="60">
        <f t="shared" si="9"/>
        <v>556015500</v>
      </c>
      <c r="V65" s="62">
        <f t="shared" si="13"/>
        <v>1.5901769911504424E-2</v>
      </c>
      <c r="W65" s="60">
        <v>0</v>
      </c>
      <c r="X65" s="60">
        <f t="shared" si="12"/>
        <v>8984500</v>
      </c>
      <c r="Y65" s="62">
        <f t="shared" si="19"/>
        <v>1</v>
      </c>
      <c r="Z65" s="60">
        <v>0</v>
      </c>
      <c r="AA65" s="60">
        <f t="shared" si="55"/>
        <v>0</v>
      </c>
      <c r="AB65" s="62">
        <f t="shared" si="4"/>
        <v>0</v>
      </c>
    </row>
    <row r="66" spans="1:28" ht="24.95" customHeight="1">
      <c r="A66" s="32" t="e">
        <f>+CONCATENATE(#REF!,"=",J66)</f>
        <v>#REF!</v>
      </c>
      <c r="B66" s="56" t="str">
        <f t="shared" si="41"/>
        <v>A-02-02-01-004-006</v>
      </c>
      <c r="C66" s="57" t="s">
        <v>23</v>
      </c>
      <c r="D66" s="57" t="s">
        <v>54</v>
      </c>
      <c r="E66" s="57" t="s">
        <v>54</v>
      </c>
      <c r="F66" s="57" t="s">
        <v>25</v>
      </c>
      <c r="G66" s="57" t="s">
        <v>38</v>
      </c>
      <c r="H66" s="57" t="s">
        <v>42</v>
      </c>
      <c r="I66" s="57"/>
      <c r="J66" s="57">
        <v>10</v>
      </c>
      <c r="K66" s="58" t="s">
        <v>29</v>
      </c>
      <c r="L66" s="59" t="s">
        <v>84</v>
      </c>
      <c r="M66" s="60">
        <v>148000000</v>
      </c>
      <c r="N66" s="60"/>
      <c r="O66" s="60"/>
      <c r="P66" s="60"/>
      <c r="Q66" s="60"/>
      <c r="R66" s="61"/>
      <c r="S66" s="60">
        <f t="shared" si="56"/>
        <v>148000000</v>
      </c>
      <c r="T66" s="60">
        <v>0</v>
      </c>
      <c r="U66" s="60">
        <f t="shared" si="9"/>
        <v>148000000</v>
      </c>
      <c r="V66" s="62">
        <f t="shared" si="13"/>
        <v>0</v>
      </c>
      <c r="W66" s="60">
        <v>0</v>
      </c>
      <c r="X66" s="60">
        <f t="shared" si="12"/>
        <v>0</v>
      </c>
      <c r="Y66" s="62">
        <f t="shared" si="19"/>
        <v>0</v>
      </c>
      <c r="Z66" s="60">
        <v>0</v>
      </c>
      <c r="AA66" s="60">
        <f t="shared" si="55"/>
        <v>0</v>
      </c>
      <c r="AB66" s="62">
        <f t="shared" si="4"/>
        <v>0</v>
      </c>
    </row>
    <row r="67" spans="1:28" ht="24.95" customHeight="1">
      <c r="A67" s="32" t="e">
        <f>+CONCATENATE(#REF!,"=",J67)</f>
        <v>#REF!</v>
      </c>
      <c r="B67" s="56" t="str">
        <f t="shared" si="41"/>
        <v>A-02-02-01-004-007</v>
      </c>
      <c r="C67" s="57" t="s">
        <v>23</v>
      </c>
      <c r="D67" s="57" t="s">
        <v>54</v>
      </c>
      <c r="E67" s="57" t="s">
        <v>54</v>
      </c>
      <c r="F67" s="57" t="s">
        <v>25</v>
      </c>
      <c r="G67" s="57" t="s">
        <v>38</v>
      </c>
      <c r="H67" s="57" t="s">
        <v>44</v>
      </c>
      <c r="I67" s="57"/>
      <c r="J67" s="57">
        <v>10</v>
      </c>
      <c r="K67" s="58" t="s">
        <v>29</v>
      </c>
      <c r="L67" s="59" t="s">
        <v>85</v>
      </c>
      <c r="M67" s="60">
        <v>182000000</v>
      </c>
      <c r="N67" s="60"/>
      <c r="O67" s="60"/>
      <c r="P67" s="60"/>
      <c r="Q67" s="60"/>
      <c r="R67" s="61"/>
      <c r="S67" s="60">
        <f t="shared" si="56"/>
        <v>182000000</v>
      </c>
      <c r="T67" s="60">
        <v>0</v>
      </c>
      <c r="U67" s="60">
        <f t="shared" si="9"/>
        <v>182000000</v>
      </c>
      <c r="V67" s="62">
        <f t="shared" si="13"/>
        <v>0</v>
      </c>
      <c r="W67" s="60">
        <v>0</v>
      </c>
      <c r="X67" s="60">
        <f t="shared" si="12"/>
        <v>0</v>
      </c>
      <c r="Y67" s="62">
        <f t="shared" si="19"/>
        <v>0</v>
      </c>
      <c r="Z67" s="60">
        <v>0</v>
      </c>
      <c r="AA67" s="60">
        <f t="shared" si="55"/>
        <v>0</v>
      </c>
      <c r="AB67" s="62">
        <f t="shared" si="4"/>
        <v>0</v>
      </c>
    </row>
    <row r="68" spans="1:28" ht="24" customHeight="1">
      <c r="A68" s="32" t="e">
        <f>+CONCATENATE(#REF!,"=",J68)</f>
        <v>#REF!</v>
      </c>
      <c r="B68" s="48" t="str">
        <f>CONCATENATE(C68,"-",D68,"-",E68,"-",F68)</f>
        <v>A-02-02-02</v>
      </c>
      <c r="C68" s="48" t="s">
        <v>23</v>
      </c>
      <c r="D68" s="48" t="s">
        <v>54</v>
      </c>
      <c r="E68" s="48" t="s">
        <v>54</v>
      </c>
      <c r="F68" s="48" t="s">
        <v>54</v>
      </c>
      <c r="G68" s="48"/>
      <c r="H68" s="48"/>
      <c r="I68" s="48"/>
      <c r="J68" s="49" t="s">
        <v>28</v>
      </c>
      <c r="K68" s="48" t="s">
        <v>29</v>
      </c>
      <c r="L68" s="48" t="s">
        <v>103</v>
      </c>
      <c r="M68" s="50">
        <f t="shared" ref="M68:U68" si="57">+M69+M75+M78+M85+M91</f>
        <v>43123337511</v>
      </c>
      <c r="N68" s="743">
        <f t="shared" si="57"/>
        <v>0</v>
      </c>
      <c r="O68" s="743">
        <f t="shared" si="57"/>
        <v>0</v>
      </c>
      <c r="P68" s="50">
        <f t="shared" si="57"/>
        <v>4397414126</v>
      </c>
      <c r="Q68" s="50">
        <f t="shared" si="57"/>
        <v>4817821039</v>
      </c>
      <c r="R68" s="743">
        <f t="shared" si="57"/>
        <v>0</v>
      </c>
      <c r="S68" s="50">
        <f t="shared" si="57"/>
        <v>42702930598</v>
      </c>
      <c r="T68" s="50">
        <f t="shared" si="57"/>
        <v>27923872186.23</v>
      </c>
      <c r="U68" s="50">
        <f t="shared" si="57"/>
        <v>14779058411.77</v>
      </c>
      <c r="V68" s="51">
        <f t="shared" si="13"/>
        <v>0.65390997280963714</v>
      </c>
      <c r="W68" s="50">
        <f>+W69+W75+W78+W85+W91</f>
        <v>11828887822.610001</v>
      </c>
      <c r="X68" s="50">
        <f>+X69+X75+X78+X85+X91</f>
        <v>16094984363.619999</v>
      </c>
      <c r="Y68" s="51">
        <f t="shared" si="19"/>
        <v>0.57638798287999837</v>
      </c>
      <c r="Z68" s="50">
        <f>+Z69+Z75+Z78+Z85+Z91</f>
        <v>11537040491.810001</v>
      </c>
      <c r="AA68" s="50">
        <f>+AA69+AA75+AA78+AA85+AA91</f>
        <v>291847330.79999995</v>
      </c>
      <c r="AB68" s="51">
        <f t="shared" si="4"/>
        <v>0.41316048200146188</v>
      </c>
    </row>
    <row r="69" spans="1:28" ht="24.75" customHeight="1">
      <c r="A69" s="32" t="e">
        <f>+CONCATENATE(#REF!,"=",J69)</f>
        <v>#REF!</v>
      </c>
      <c r="B69" s="52" t="str">
        <f>CONCATENATE(C69,"-",D69,"-",E69,"-",F69,"-",G69)</f>
        <v>A-02-02-02-006</v>
      </c>
      <c r="C69" s="52" t="s">
        <v>23</v>
      </c>
      <c r="D69" s="52" t="s">
        <v>54</v>
      </c>
      <c r="E69" s="52" t="s">
        <v>54</v>
      </c>
      <c r="F69" s="52" t="s">
        <v>54</v>
      </c>
      <c r="G69" s="52" t="s">
        <v>42</v>
      </c>
      <c r="H69" s="52"/>
      <c r="I69" s="52"/>
      <c r="J69" s="53" t="s">
        <v>28</v>
      </c>
      <c r="K69" s="52" t="s">
        <v>29</v>
      </c>
      <c r="L69" s="52" t="s">
        <v>104</v>
      </c>
      <c r="M69" s="54">
        <f t="shared" ref="M69:U69" si="58">SUM(M70:M74)</f>
        <v>5553279341</v>
      </c>
      <c r="N69" s="743">
        <f t="shared" si="58"/>
        <v>0</v>
      </c>
      <c r="O69" s="743">
        <f t="shared" si="58"/>
        <v>0</v>
      </c>
      <c r="P69" s="54">
        <f t="shared" si="58"/>
        <v>0</v>
      </c>
      <c r="Q69" s="54">
        <f t="shared" si="58"/>
        <v>0</v>
      </c>
      <c r="R69" s="743">
        <f t="shared" si="58"/>
        <v>0</v>
      </c>
      <c r="S69" s="54">
        <f t="shared" si="58"/>
        <v>5553279341</v>
      </c>
      <c r="T69" s="54">
        <f t="shared" si="58"/>
        <v>2730113212.73</v>
      </c>
      <c r="U69" s="54">
        <f t="shared" si="58"/>
        <v>2823166128.27</v>
      </c>
      <c r="V69" s="55">
        <f t="shared" si="13"/>
        <v>0.49162180489886509</v>
      </c>
      <c r="W69" s="54">
        <f>SUM(W70:W74)</f>
        <v>2219406288.3099999</v>
      </c>
      <c r="X69" s="54">
        <f>SUM(X70:X74)</f>
        <v>510706924.41999996</v>
      </c>
      <c r="Y69" s="55">
        <f t="shared" si="19"/>
        <v>0.18706437595286174</v>
      </c>
      <c r="Z69" s="54">
        <f>SUM(Z70:Z74)</f>
        <v>2217888594.3099999</v>
      </c>
      <c r="AA69" s="54">
        <f>SUM(AA70:AA74)</f>
        <v>1517694.0000000298</v>
      </c>
      <c r="AB69" s="55">
        <f t="shared" si="4"/>
        <v>0.81237971523246955</v>
      </c>
    </row>
    <row r="70" spans="1:28" ht="24.95" customHeight="1">
      <c r="A70" s="32" t="e">
        <f>+CONCATENATE(#REF!,"=",J70)</f>
        <v>#REF!</v>
      </c>
      <c r="B70" s="56" t="str">
        <f t="shared" ref="B70:B74" si="59">CONCATENATE(C70,"-",D70,"-",E70,"-",F70,"-",G70,"-",H70)</f>
        <v>A-02-02-02-006-003</v>
      </c>
      <c r="C70" s="57" t="s">
        <v>23</v>
      </c>
      <c r="D70" s="57" t="s">
        <v>54</v>
      </c>
      <c r="E70" s="57" t="s">
        <v>54</v>
      </c>
      <c r="F70" s="57" t="s">
        <v>54</v>
      </c>
      <c r="G70" s="57" t="s">
        <v>42</v>
      </c>
      <c r="H70" s="57" t="s">
        <v>36</v>
      </c>
      <c r="I70" s="57"/>
      <c r="J70" s="57">
        <v>10</v>
      </c>
      <c r="K70" s="58" t="s">
        <v>29</v>
      </c>
      <c r="L70" s="59" t="s">
        <v>105</v>
      </c>
      <c r="M70" s="60">
        <v>182500000</v>
      </c>
      <c r="N70" s="60"/>
      <c r="O70" s="60"/>
      <c r="P70" s="60"/>
      <c r="Q70" s="60"/>
      <c r="R70" s="61"/>
      <c r="S70" s="60">
        <f t="shared" ref="S70:S74" si="60">+M70-R70+N70-O70+P70-Q70</f>
        <v>182500000</v>
      </c>
      <c r="T70" s="60">
        <v>109175566</v>
      </c>
      <c r="U70" s="60">
        <f t="shared" si="9"/>
        <v>73324434</v>
      </c>
      <c r="V70" s="62">
        <f t="shared" si="13"/>
        <v>0.59822227945205475</v>
      </c>
      <c r="W70" s="60">
        <v>40712616</v>
      </c>
      <c r="X70" s="60">
        <f t="shared" si="12"/>
        <v>68462950</v>
      </c>
      <c r="Y70" s="62">
        <f t="shared" si="19"/>
        <v>0.62709040592471033</v>
      </c>
      <c r="Z70" s="60">
        <v>40712616</v>
      </c>
      <c r="AA70" s="60">
        <f t="shared" ref="AA70:AA74" si="61">+W70-Z70</f>
        <v>0</v>
      </c>
      <c r="AB70" s="62">
        <f t="shared" si="4"/>
        <v>0.37290959407528973</v>
      </c>
    </row>
    <row r="71" spans="1:28" ht="24.95" customHeight="1">
      <c r="A71" s="32" t="e">
        <f>+CONCATENATE(#REF!,"=",J71)</f>
        <v>#REF!</v>
      </c>
      <c r="B71" s="56" t="str">
        <f t="shared" si="59"/>
        <v>A-02-02-02-006-004</v>
      </c>
      <c r="C71" s="57" t="s">
        <v>23</v>
      </c>
      <c r="D71" s="57" t="s">
        <v>54</v>
      </c>
      <c r="E71" s="57" t="s">
        <v>54</v>
      </c>
      <c r="F71" s="57" t="s">
        <v>54</v>
      </c>
      <c r="G71" s="57" t="s">
        <v>42</v>
      </c>
      <c r="H71" s="57" t="s">
        <v>38</v>
      </c>
      <c r="I71" s="57"/>
      <c r="J71" s="57">
        <v>10</v>
      </c>
      <c r="K71" s="58" t="s">
        <v>29</v>
      </c>
      <c r="L71" s="59" t="s">
        <v>106</v>
      </c>
      <c r="M71" s="60">
        <v>2460219321</v>
      </c>
      <c r="N71" s="60"/>
      <c r="O71" s="60"/>
      <c r="P71" s="60"/>
      <c r="Q71" s="60"/>
      <c r="R71" s="61"/>
      <c r="S71" s="60">
        <f t="shared" si="60"/>
        <v>2460219321</v>
      </c>
      <c r="T71" s="60">
        <v>1664267573</v>
      </c>
      <c r="U71" s="60">
        <f t="shared" si="9"/>
        <v>795951748</v>
      </c>
      <c r="V71" s="62">
        <f t="shared" si="13"/>
        <v>0.6764712230304446</v>
      </c>
      <c r="W71" s="60">
        <v>1257564939</v>
      </c>
      <c r="X71" s="60">
        <f t="shared" si="12"/>
        <v>406702634</v>
      </c>
      <c r="Y71" s="62">
        <f t="shared" si="19"/>
        <v>0.24437334512675746</v>
      </c>
      <c r="Z71" s="60">
        <v>1257564939</v>
      </c>
      <c r="AA71" s="60">
        <f t="shared" si="61"/>
        <v>0</v>
      </c>
      <c r="AB71" s="62">
        <f t="shared" si="4"/>
        <v>0.75562665487324254</v>
      </c>
    </row>
    <row r="72" spans="1:28" ht="24.95" customHeight="1">
      <c r="A72" s="32" t="e">
        <f>+CONCATENATE(#REF!,"=",J72)</f>
        <v>#REF!</v>
      </c>
      <c r="B72" s="56" t="str">
        <f t="shared" si="59"/>
        <v>A-02-02-02-006-005</v>
      </c>
      <c r="C72" s="57" t="s">
        <v>23</v>
      </c>
      <c r="D72" s="57" t="s">
        <v>54</v>
      </c>
      <c r="E72" s="57" t="s">
        <v>54</v>
      </c>
      <c r="F72" s="57" t="s">
        <v>54</v>
      </c>
      <c r="G72" s="57" t="s">
        <v>42</v>
      </c>
      <c r="H72" s="57" t="s">
        <v>40</v>
      </c>
      <c r="I72" s="57"/>
      <c r="J72" s="57">
        <v>10</v>
      </c>
      <c r="K72" s="58" t="s">
        <v>29</v>
      </c>
      <c r="L72" s="59" t="s">
        <v>107</v>
      </c>
      <c r="M72" s="60">
        <v>114000000</v>
      </c>
      <c r="N72" s="60"/>
      <c r="O72" s="60"/>
      <c r="P72" s="60"/>
      <c r="Q72" s="60"/>
      <c r="R72" s="61"/>
      <c r="S72" s="60">
        <f t="shared" si="60"/>
        <v>114000000</v>
      </c>
      <c r="T72" s="60">
        <v>38140000</v>
      </c>
      <c r="U72" s="60">
        <f t="shared" si="9"/>
        <v>75860000</v>
      </c>
      <c r="V72" s="62">
        <f t="shared" si="13"/>
        <v>0.33456140350877195</v>
      </c>
      <c r="W72" s="60">
        <v>5140000</v>
      </c>
      <c r="X72" s="60">
        <f t="shared" si="12"/>
        <v>33000000</v>
      </c>
      <c r="Y72" s="62">
        <f t="shared" si="19"/>
        <v>0.86523335081279495</v>
      </c>
      <c r="Z72" s="60">
        <v>5140000</v>
      </c>
      <c r="AA72" s="60">
        <f t="shared" si="61"/>
        <v>0</v>
      </c>
      <c r="AB72" s="62">
        <f t="shared" si="4"/>
        <v>0.13476664918720505</v>
      </c>
    </row>
    <row r="73" spans="1:28" ht="24.95" customHeight="1">
      <c r="A73" s="32" t="e">
        <f>+CONCATENATE(#REF!,"=",J73)</f>
        <v>#REF!</v>
      </c>
      <c r="B73" s="56" t="str">
        <f t="shared" si="59"/>
        <v>A-02-02-02-006-008</v>
      </c>
      <c r="C73" s="57" t="s">
        <v>23</v>
      </c>
      <c r="D73" s="57" t="s">
        <v>54</v>
      </c>
      <c r="E73" s="57" t="s">
        <v>54</v>
      </c>
      <c r="F73" s="57" t="s">
        <v>54</v>
      </c>
      <c r="G73" s="57" t="s">
        <v>42</v>
      </c>
      <c r="H73" s="57" t="s">
        <v>46</v>
      </c>
      <c r="I73" s="57"/>
      <c r="J73" s="57">
        <v>10</v>
      </c>
      <c r="K73" s="58" t="s">
        <v>29</v>
      </c>
      <c r="L73" s="59" t="s">
        <v>108</v>
      </c>
      <c r="M73" s="60">
        <v>1530960020</v>
      </c>
      <c r="N73" s="60"/>
      <c r="O73" s="60"/>
      <c r="P73" s="60"/>
      <c r="Q73" s="60"/>
      <c r="R73" s="61"/>
      <c r="S73" s="60">
        <f t="shared" si="60"/>
        <v>1530960020</v>
      </c>
      <c r="T73" s="60">
        <v>646615648</v>
      </c>
      <c r="U73" s="60">
        <f t="shared" si="9"/>
        <v>884344372</v>
      </c>
      <c r="V73" s="62">
        <f t="shared" si="13"/>
        <v>0.42235959107540899</v>
      </c>
      <c r="W73" s="60">
        <v>646614978.58000004</v>
      </c>
      <c r="X73" s="60">
        <f t="shared" si="12"/>
        <v>669.41999995708466</v>
      </c>
      <c r="Y73" s="62">
        <f t="shared" si="19"/>
        <v>1.0352672441930831E-6</v>
      </c>
      <c r="Z73" s="60">
        <v>646614978.58000004</v>
      </c>
      <c r="AA73" s="60">
        <f t="shared" si="61"/>
        <v>0</v>
      </c>
      <c r="AB73" s="62">
        <f t="shared" si="4"/>
        <v>0.99999896473275585</v>
      </c>
    </row>
    <row r="74" spans="1:28" ht="24.95" customHeight="1">
      <c r="A74" s="32" t="e">
        <f>+CONCATENATE(#REF!,"=",J74)</f>
        <v>#REF!</v>
      </c>
      <c r="B74" s="56" t="str">
        <f t="shared" si="59"/>
        <v>A-02-02-02-006-009</v>
      </c>
      <c r="C74" s="57" t="s">
        <v>23</v>
      </c>
      <c r="D74" s="57" t="s">
        <v>54</v>
      </c>
      <c r="E74" s="57" t="s">
        <v>54</v>
      </c>
      <c r="F74" s="57" t="s">
        <v>54</v>
      </c>
      <c r="G74" s="57" t="s">
        <v>42</v>
      </c>
      <c r="H74" s="57" t="s">
        <v>48</v>
      </c>
      <c r="I74" s="57"/>
      <c r="J74" s="57">
        <v>10</v>
      </c>
      <c r="K74" s="58" t="s">
        <v>29</v>
      </c>
      <c r="L74" s="59" t="s">
        <v>109</v>
      </c>
      <c r="M74" s="60">
        <v>1265600000</v>
      </c>
      <c r="N74" s="60"/>
      <c r="O74" s="60"/>
      <c r="P74" s="60"/>
      <c r="Q74" s="60"/>
      <c r="R74" s="61"/>
      <c r="S74" s="60">
        <f t="shared" si="60"/>
        <v>1265600000</v>
      </c>
      <c r="T74" s="60">
        <v>271914425.73000002</v>
      </c>
      <c r="U74" s="60">
        <f t="shared" si="9"/>
        <v>993685574.26999998</v>
      </c>
      <c r="V74" s="62">
        <f t="shared" si="13"/>
        <v>0.21485020996365362</v>
      </c>
      <c r="W74" s="60">
        <v>269373754.73000002</v>
      </c>
      <c r="X74" s="60">
        <f t="shared" si="12"/>
        <v>2540671</v>
      </c>
      <c r="Y74" s="62">
        <f t="shared" si="19"/>
        <v>9.3436418210587433E-3</v>
      </c>
      <c r="Z74" s="60">
        <v>267856060.72999999</v>
      </c>
      <c r="AA74" s="60">
        <f t="shared" si="61"/>
        <v>1517694.0000000298</v>
      </c>
      <c r="AB74" s="62">
        <f t="shared" si="4"/>
        <v>0.98507484481889962</v>
      </c>
    </row>
    <row r="75" spans="1:28" ht="28.5" customHeight="1">
      <c r="A75" s="32" t="e">
        <f>+CONCATENATE(#REF!,"=",J75)</f>
        <v>#REF!</v>
      </c>
      <c r="B75" s="52" t="str">
        <f>CONCATENATE(C75,"-",D75,"-",E75,"-",F75,"-",G75)</f>
        <v>A-02-02-02-007</v>
      </c>
      <c r="C75" s="52" t="s">
        <v>23</v>
      </c>
      <c r="D75" s="52" t="s">
        <v>54</v>
      </c>
      <c r="E75" s="52" t="s">
        <v>54</v>
      </c>
      <c r="F75" s="52" t="s">
        <v>54</v>
      </c>
      <c r="G75" s="52" t="s">
        <v>44</v>
      </c>
      <c r="H75" s="52"/>
      <c r="I75" s="52"/>
      <c r="J75" s="53" t="s">
        <v>28</v>
      </c>
      <c r="K75" s="52" t="s">
        <v>29</v>
      </c>
      <c r="L75" s="52" t="s">
        <v>110</v>
      </c>
      <c r="M75" s="54">
        <f>SUM(M76:M77)</f>
        <v>16189463994</v>
      </c>
      <c r="N75" s="743">
        <f t="shared" ref="N75:AA75" si="62">SUM(N76:N77)</f>
        <v>0</v>
      </c>
      <c r="O75" s="743">
        <f t="shared" si="62"/>
        <v>0</v>
      </c>
      <c r="P75" s="54">
        <f t="shared" si="62"/>
        <v>0</v>
      </c>
      <c r="Q75" s="54">
        <f t="shared" si="62"/>
        <v>0</v>
      </c>
      <c r="R75" s="743">
        <f t="shared" si="62"/>
        <v>0</v>
      </c>
      <c r="S75" s="54">
        <f t="shared" si="62"/>
        <v>16189463994</v>
      </c>
      <c r="T75" s="54">
        <f t="shared" si="62"/>
        <v>14001085240</v>
      </c>
      <c r="U75" s="54">
        <f t="shared" si="62"/>
        <v>2188378754</v>
      </c>
      <c r="V75" s="55">
        <f t="shared" si="13"/>
        <v>0.86482697915069717</v>
      </c>
      <c r="W75" s="54">
        <f t="shared" si="62"/>
        <v>5525529590.5</v>
      </c>
      <c r="X75" s="54">
        <f t="shared" si="62"/>
        <v>8475555649.5</v>
      </c>
      <c r="Y75" s="55">
        <f t="shared" si="19"/>
        <v>0.60534990711191472</v>
      </c>
      <c r="Z75" s="54">
        <f t="shared" si="62"/>
        <v>5525529590.5</v>
      </c>
      <c r="AA75" s="54">
        <f t="shared" si="62"/>
        <v>0</v>
      </c>
      <c r="AB75" s="55">
        <f t="shared" si="4"/>
        <v>0.39465009288808528</v>
      </c>
    </row>
    <row r="76" spans="1:28" ht="24.95" customHeight="1">
      <c r="A76" s="32" t="e">
        <f>+CONCATENATE(#REF!,"=",J76)</f>
        <v>#REF!</v>
      </c>
      <c r="B76" s="56" t="str">
        <f t="shared" ref="B76:B77" si="63">CONCATENATE(C76,"-",D76,"-",E76,"-",F76,"-",G76,"-",H76)</f>
        <v>A-02-02-02-007-001</v>
      </c>
      <c r="C76" s="57" t="s">
        <v>23</v>
      </c>
      <c r="D76" s="57" t="s">
        <v>54</v>
      </c>
      <c r="E76" s="57" t="s">
        <v>54</v>
      </c>
      <c r="F76" s="57" t="s">
        <v>54</v>
      </c>
      <c r="G76" s="57" t="s">
        <v>44</v>
      </c>
      <c r="H76" s="57" t="s">
        <v>31</v>
      </c>
      <c r="I76" s="57"/>
      <c r="J76" s="57">
        <v>10</v>
      </c>
      <c r="K76" s="58" t="s">
        <v>29</v>
      </c>
      <c r="L76" s="59" t="s">
        <v>111</v>
      </c>
      <c r="M76" s="60">
        <v>718200000</v>
      </c>
      <c r="N76" s="60"/>
      <c r="O76" s="60"/>
      <c r="P76" s="60"/>
      <c r="Q76" s="60"/>
      <c r="R76" s="61"/>
      <c r="S76" s="60">
        <f>+M76-R76+N76-O76+P76-Q76</f>
        <v>718200000</v>
      </c>
      <c r="T76" s="60">
        <v>103854437</v>
      </c>
      <c r="U76" s="60">
        <f t="shared" si="9"/>
        <v>614345563</v>
      </c>
      <c r="V76" s="62">
        <f t="shared" si="13"/>
        <v>0.14460378306878308</v>
      </c>
      <c r="W76" s="60">
        <v>908900</v>
      </c>
      <c r="X76" s="60">
        <f t="shared" si="12"/>
        <v>102945537</v>
      </c>
      <c r="Y76" s="62">
        <f t="shared" si="19"/>
        <v>0.99124832769542626</v>
      </c>
      <c r="Z76" s="60">
        <v>908900</v>
      </c>
      <c r="AA76" s="60">
        <f t="shared" ref="AA76:AA77" si="64">+W76-Z76</f>
        <v>0</v>
      </c>
      <c r="AB76" s="62">
        <f t="shared" si="4"/>
        <v>8.7516723045737571E-3</v>
      </c>
    </row>
    <row r="77" spans="1:28" ht="24.95" customHeight="1">
      <c r="A77" s="32" t="e">
        <f>+CONCATENATE(#REF!,"=",J77)</f>
        <v>#REF!</v>
      </c>
      <c r="B77" s="56" t="str">
        <f t="shared" si="63"/>
        <v>A-02-02-02-007-002</v>
      </c>
      <c r="C77" s="57" t="s">
        <v>23</v>
      </c>
      <c r="D77" s="57" t="s">
        <v>54</v>
      </c>
      <c r="E77" s="57" t="s">
        <v>54</v>
      </c>
      <c r="F77" s="57" t="s">
        <v>54</v>
      </c>
      <c r="G77" s="57" t="s">
        <v>44</v>
      </c>
      <c r="H77" s="57" t="s">
        <v>34</v>
      </c>
      <c r="I77" s="57"/>
      <c r="J77" s="57">
        <v>10</v>
      </c>
      <c r="K77" s="58" t="s">
        <v>29</v>
      </c>
      <c r="L77" s="59" t="s">
        <v>112</v>
      </c>
      <c r="M77" s="60">
        <v>15471263994</v>
      </c>
      <c r="N77" s="60"/>
      <c r="O77" s="60"/>
      <c r="P77" s="60"/>
      <c r="Q77" s="60"/>
      <c r="R77" s="61"/>
      <c r="S77" s="60">
        <f>+M77-R77+N77-O77+P77-Q77</f>
        <v>15471263994</v>
      </c>
      <c r="T77" s="60">
        <v>13897230803</v>
      </c>
      <c r="U77" s="60">
        <f t="shared" si="9"/>
        <v>1574033191</v>
      </c>
      <c r="V77" s="62">
        <f t="shared" si="13"/>
        <v>0.89826085369557174</v>
      </c>
      <c r="W77" s="60">
        <v>5524620690.5</v>
      </c>
      <c r="X77" s="60">
        <f t="shared" si="12"/>
        <v>8372610112.5</v>
      </c>
      <c r="Y77" s="62">
        <f t="shared" si="19"/>
        <v>0.60246607624107396</v>
      </c>
      <c r="Z77" s="60">
        <v>5524620690.5</v>
      </c>
      <c r="AA77" s="60">
        <f t="shared" si="64"/>
        <v>0</v>
      </c>
      <c r="AB77" s="62">
        <f t="shared" si="4"/>
        <v>0.39753392375892599</v>
      </c>
    </row>
    <row r="78" spans="1:28" ht="27.75" customHeight="1">
      <c r="A78" s="32" t="e">
        <f>+CONCATENATE(#REF!,"=",J78)</f>
        <v>#REF!</v>
      </c>
      <c r="B78" s="52" t="str">
        <f>CONCATENATE(C78,"-",D78,"-",E78,"-",F78,"-",G78)</f>
        <v>A-02-02-02-008</v>
      </c>
      <c r="C78" s="52" t="s">
        <v>23</v>
      </c>
      <c r="D78" s="52" t="s">
        <v>54</v>
      </c>
      <c r="E78" s="52" t="s">
        <v>54</v>
      </c>
      <c r="F78" s="52" t="s">
        <v>54</v>
      </c>
      <c r="G78" s="52" t="s">
        <v>46</v>
      </c>
      <c r="H78" s="52"/>
      <c r="I78" s="52"/>
      <c r="J78" s="53" t="s">
        <v>28</v>
      </c>
      <c r="K78" s="52" t="s">
        <v>29</v>
      </c>
      <c r="L78" s="52" t="s">
        <v>113</v>
      </c>
      <c r="M78" s="54">
        <f>SUM(M79:M84)</f>
        <v>18297410176</v>
      </c>
      <c r="N78" s="743">
        <f t="shared" ref="N78:U78" si="65">SUM(N79:N84)</f>
        <v>0</v>
      </c>
      <c r="O78" s="743">
        <f t="shared" si="65"/>
        <v>0</v>
      </c>
      <c r="P78" s="54">
        <f t="shared" si="65"/>
        <v>1227366029</v>
      </c>
      <c r="Q78" s="54">
        <f t="shared" si="65"/>
        <v>3609796562</v>
      </c>
      <c r="R78" s="743">
        <f t="shared" si="65"/>
        <v>0</v>
      </c>
      <c r="S78" s="54">
        <f t="shared" si="65"/>
        <v>15914979643</v>
      </c>
      <c r="T78" s="54">
        <f t="shared" si="65"/>
        <v>10658505244.389999</v>
      </c>
      <c r="U78" s="54">
        <f t="shared" si="65"/>
        <v>5256474398.6100006</v>
      </c>
      <c r="V78" s="55">
        <f t="shared" si="13"/>
        <v>0.66971529235213356</v>
      </c>
      <c r="W78" s="54">
        <f t="shared" ref="W78:AA78" si="66">SUM(W79:W84)</f>
        <v>3768587746.6900005</v>
      </c>
      <c r="X78" s="54">
        <f t="shared" si="66"/>
        <v>6889917497.6999989</v>
      </c>
      <c r="Y78" s="55">
        <f t="shared" si="19"/>
        <v>0.64642436624276556</v>
      </c>
      <c r="Z78" s="54">
        <f t="shared" si="66"/>
        <v>3490253131.8900003</v>
      </c>
      <c r="AA78" s="54">
        <f t="shared" si="66"/>
        <v>278334614.79999995</v>
      </c>
      <c r="AB78" s="55">
        <f t="shared" si="4"/>
        <v>0.32746178304195717</v>
      </c>
    </row>
    <row r="79" spans="1:28" ht="24.95" customHeight="1">
      <c r="A79" s="32" t="e">
        <f>+CONCATENATE(#REF!,"=",J79)</f>
        <v>#REF!</v>
      </c>
      <c r="B79" s="56" t="str">
        <f t="shared" ref="B79:B90" si="67">CONCATENATE(C79,"-",D79,"-",E79,"-",F79,"-",G79,"-",H79)</f>
        <v>A-02-02-02-008-002</v>
      </c>
      <c r="C79" s="57" t="s">
        <v>23</v>
      </c>
      <c r="D79" s="57" t="s">
        <v>54</v>
      </c>
      <c r="E79" s="57" t="s">
        <v>54</v>
      </c>
      <c r="F79" s="57" t="s">
        <v>54</v>
      </c>
      <c r="G79" s="57" t="s">
        <v>46</v>
      </c>
      <c r="H79" s="57" t="s">
        <v>34</v>
      </c>
      <c r="I79" s="57"/>
      <c r="J79" s="57">
        <v>10</v>
      </c>
      <c r="K79" s="58" t="s">
        <v>29</v>
      </c>
      <c r="L79" s="59" t="s">
        <v>114</v>
      </c>
      <c r="M79" s="60">
        <v>57307000</v>
      </c>
      <c r="N79" s="60"/>
      <c r="O79" s="60"/>
      <c r="P79" s="60"/>
      <c r="Q79" s="60"/>
      <c r="R79" s="61"/>
      <c r="S79" s="60">
        <f t="shared" ref="S79:S84" si="68">+M79-R79+N79-O79+P79-Q79</f>
        <v>57307000</v>
      </c>
      <c r="T79" s="60">
        <v>41015500</v>
      </c>
      <c r="U79" s="60">
        <f t="shared" si="9"/>
        <v>16291500</v>
      </c>
      <c r="V79" s="62">
        <f t="shared" si="13"/>
        <v>0.71571535763519289</v>
      </c>
      <c r="W79" s="60">
        <v>853525.42</v>
      </c>
      <c r="X79" s="60">
        <f t="shared" si="12"/>
        <v>40161974.579999998</v>
      </c>
      <c r="Y79" s="62">
        <f t="shared" si="19"/>
        <v>0.9791901739586254</v>
      </c>
      <c r="Z79" s="60">
        <v>853525.42</v>
      </c>
      <c r="AA79" s="60">
        <f t="shared" ref="AA79:AA84" si="69">+W79-Z79</f>
        <v>0</v>
      </c>
      <c r="AB79" s="62">
        <f t="shared" ref="AB79:AB142" si="70">+IF(T79&gt;0,(Z79/T79),0)</f>
        <v>2.0809826041374602E-2</v>
      </c>
    </row>
    <row r="80" spans="1:28" ht="24.95" customHeight="1">
      <c r="A80" s="32" t="e">
        <f>+CONCATENATE(#REF!,"=",J80)</f>
        <v>#REF!</v>
      </c>
      <c r="B80" s="56" t="str">
        <f t="shared" si="67"/>
        <v>A-02-02-02-008-003</v>
      </c>
      <c r="C80" s="57" t="s">
        <v>23</v>
      </c>
      <c r="D80" s="57" t="s">
        <v>54</v>
      </c>
      <c r="E80" s="57" t="s">
        <v>54</v>
      </c>
      <c r="F80" s="57" t="s">
        <v>54</v>
      </c>
      <c r="G80" s="57" t="s">
        <v>46</v>
      </c>
      <c r="H80" s="57" t="s">
        <v>36</v>
      </c>
      <c r="I80" s="57"/>
      <c r="J80" s="57">
        <v>10</v>
      </c>
      <c r="K80" s="58" t="s">
        <v>29</v>
      </c>
      <c r="L80" s="59" t="s">
        <v>115</v>
      </c>
      <c r="M80" s="60">
        <v>6648501421</v>
      </c>
      <c r="N80" s="60"/>
      <c r="O80" s="60"/>
      <c r="P80" s="60">
        <f>1062000000</f>
        <v>1062000000</v>
      </c>
      <c r="Q80" s="60">
        <f>3170048097</f>
        <v>3170048097</v>
      </c>
      <c r="R80" s="61"/>
      <c r="S80" s="60">
        <f t="shared" si="68"/>
        <v>4540453324</v>
      </c>
      <c r="T80" s="60">
        <v>3466347362</v>
      </c>
      <c r="U80" s="60">
        <f t="shared" si="9"/>
        <v>1074105962</v>
      </c>
      <c r="V80" s="62">
        <f t="shared" si="13"/>
        <v>0.76343640483595021</v>
      </c>
      <c r="W80" s="60">
        <v>1647219961</v>
      </c>
      <c r="X80" s="60">
        <f t="shared" si="12"/>
        <v>1819127401</v>
      </c>
      <c r="Y80" s="62">
        <f t="shared" si="19"/>
        <v>0.52479662625340773</v>
      </c>
      <c r="Z80" s="60">
        <v>1423538276</v>
      </c>
      <c r="AA80" s="60">
        <f t="shared" si="69"/>
        <v>223681685</v>
      </c>
      <c r="AB80" s="62">
        <f t="shared" si="70"/>
        <v>0.41067386713911219</v>
      </c>
    </row>
    <row r="81" spans="1:28" ht="24.95" customHeight="1">
      <c r="A81" s="32" t="e">
        <f>+CONCATENATE(#REF!,"=",J81)</f>
        <v>#REF!</v>
      </c>
      <c r="B81" s="56" t="str">
        <f t="shared" si="67"/>
        <v>A-02-02-02-008-004</v>
      </c>
      <c r="C81" s="57" t="s">
        <v>23</v>
      </c>
      <c r="D81" s="57" t="s">
        <v>54</v>
      </c>
      <c r="E81" s="57" t="s">
        <v>54</v>
      </c>
      <c r="F81" s="57" t="s">
        <v>54</v>
      </c>
      <c r="G81" s="57" t="s">
        <v>46</v>
      </c>
      <c r="H81" s="57" t="s">
        <v>38</v>
      </c>
      <c r="I81" s="57"/>
      <c r="J81" s="57">
        <v>10</v>
      </c>
      <c r="K81" s="58" t="s">
        <v>29</v>
      </c>
      <c r="L81" s="59" t="s">
        <v>116</v>
      </c>
      <c r="M81" s="60">
        <v>2672983340</v>
      </c>
      <c r="N81" s="60"/>
      <c r="O81" s="60"/>
      <c r="P81" s="60"/>
      <c r="Q81" s="60"/>
      <c r="R81" s="61"/>
      <c r="S81" s="60">
        <f t="shared" si="68"/>
        <v>2672983340</v>
      </c>
      <c r="T81" s="60">
        <v>934585164.83000004</v>
      </c>
      <c r="U81" s="60">
        <f t="shared" si="9"/>
        <v>1738398175.1700001</v>
      </c>
      <c r="V81" s="62">
        <f t="shared" si="13"/>
        <v>0.34964122328948</v>
      </c>
      <c r="W81" s="60">
        <v>458851188.43000001</v>
      </c>
      <c r="X81" s="60">
        <f t="shared" si="12"/>
        <v>475733976.40000004</v>
      </c>
      <c r="Y81" s="62">
        <f t="shared" si="19"/>
        <v>0.50903223622914606</v>
      </c>
      <c r="Z81" s="60">
        <v>458851188.43000001</v>
      </c>
      <c r="AA81" s="60">
        <f t="shared" si="69"/>
        <v>0</v>
      </c>
      <c r="AB81" s="62">
        <f t="shared" si="70"/>
        <v>0.49096776377085388</v>
      </c>
    </row>
    <row r="82" spans="1:28" ht="24.95" customHeight="1">
      <c r="A82" s="32" t="e">
        <f>+CONCATENATE(#REF!,"=",J82)</f>
        <v>#REF!</v>
      </c>
      <c r="B82" s="56" t="str">
        <f t="shared" si="67"/>
        <v>A-02-02-02-008-005</v>
      </c>
      <c r="C82" s="57" t="s">
        <v>23</v>
      </c>
      <c r="D82" s="57" t="s">
        <v>54</v>
      </c>
      <c r="E82" s="57" t="s">
        <v>54</v>
      </c>
      <c r="F82" s="57" t="s">
        <v>54</v>
      </c>
      <c r="G82" s="57" t="s">
        <v>46</v>
      </c>
      <c r="H82" s="57" t="s">
        <v>40</v>
      </c>
      <c r="I82" s="57"/>
      <c r="J82" s="57">
        <v>10</v>
      </c>
      <c r="K82" s="58" t="s">
        <v>29</v>
      </c>
      <c r="L82" s="59" t="s">
        <v>117</v>
      </c>
      <c r="M82" s="60">
        <v>7515815535</v>
      </c>
      <c r="N82" s="60"/>
      <c r="O82" s="60"/>
      <c r="P82" s="60">
        <f>5088644+10000000+2617440+133407037</f>
        <v>151113121</v>
      </c>
      <c r="Q82" s="60">
        <f>110000000+55000000</f>
        <v>165000000</v>
      </c>
      <c r="R82" s="61"/>
      <c r="S82" s="60">
        <f t="shared" si="68"/>
        <v>7501928656</v>
      </c>
      <c r="T82" s="60">
        <v>5820410182.9799995</v>
      </c>
      <c r="U82" s="60">
        <f t="shared" si="9"/>
        <v>1681518473.0200005</v>
      </c>
      <c r="V82" s="62">
        <f t="shared" si="13"/>
        <v>0.77585517669844384</v>
      </c>
      <c r="W82" s="60">
        <v>1515853937.3299999</v>
      </c>
      <c r="X82" s="60">
        <f t="shared" si="12"/>
        <v>4304556245.6499996</v>
      </c>
      <c r="Y82" s="62">
        <f t="shared" si="19"/>
        <v>0.73956235219252264</v>
      </c>
      <c r="Z82" s="60">
        <v>1461201007.53</v>
      </c>
      <c r="AA82" s="60">
        <f t="shared" si="69"/>
        <v>54652929.799999952</v>
      </c>
      <c r="AB82" s="62">
        <f t="shared" si="70"/>
        <v>0.25104777182247967</v>
      </c>
    </row>
    <row r="83" spans="1:28" ht="24.75" customHeight="1">
      <c r="A83" s="32" t="e">
        <f>+CONCATENATE(#REF!,"=",J83)</f>
        <v>#REF!</v>
      </c>
      <c r="B83" s="56" t="str">
        <f t="shared" si="67"/>
        <v>A-02-02-02-008-007</v>
      </c>
      <c r="C83" s="57" t="s">
        <v>23</v>
      </c>
      <c r="D83" s="57" t="s">
        <v>54</v>
      </c>
      <c r="E83" s="57" t="s">
        <v>54</v>
      </c>
      <c r="F83" s="57" t="s">
        <v>54</v>
      </c>
      <c r="G83" s="57" t="s">
        <v>46</v>
      </c>
      <c r="H83" s="57" t="s">
        <v>44</v>
      </c>
      <c r="I83" s="57"/>
      <c r="J83" s="57">
        <v>10</v>
      </c>
      <c r="K83" s="58" t="s">
        <v>29</v>
      </c>
      <c r="L83" s="59" t="s">
        <v>118</v>
      </c>
      <c r="M83" s="60">
        <v>1074802880</v>
      </c>
      <c r="N83" s="60"/>
      <c r="O83" s="60"/>
      <c r="P83" s="60">
        <f>14252908</f>
        <v>14252908</v>
      </c>
      <c r="Q83" s="60">
        <f>274748465</f>
        <v>274748465</v>
      </c>
      <c r="R83" s="61"/>
      <c r="S83" s="60">
        <f t="shared" si="68"/>
        <v>814307323</v>
      </c>
      <c r="T83" s="60">
        <v>244147034.58000001</v>
      </c>
      <c r="U83" s="60">
        <f t="shared" si="9"/>
        <v>570160288.41999996</v>
      </c>
      <c r="V83" s="62">
        <f t="shared" si="13"/>
        <v>0.2998217352148263</v>
      </c>
      <c r="W83" s="60">
        <v>128661034.51000001</v>
      </c>
      <c r="X83" s="60">
        <f t="shared" si="12"/>
        <v>115486000.07000001</v>
      </c>
      <c r="Y83" s="62">
        <f t="shared" si="19"/>
        <v>0.47301823783634178</v>
      </c>
      <c r="Z83" s="60">
        <v>128661034.51000001</v>
      </c>
      <c r="AA83" s="60">
        <f t="shared" si="69"/>
        <v>0</v>
      </c>
      <c r="AB83" s="62">
        <f t="shared" si="70"/>
        <v>0.52698176216365822</v>
      </c>
    </row>
    <row r="84" spans="1:28" ht="24.95" customHeight="1">
      <c r="A84" s="32" t="e">
        <f>+CONCATENATE(#REF!,"=",J84)</f>
        <v>#REF!</v>
      </c>
      <c r="B84" s="56" t="str">
        <f t="shared" si="67"/>
        <v>A-02-02-02-008-009</v>
      </c>
      <c r="C84" s="57" t="s">
        <v>23</v>
      </c>
      <c r="D84" s="57" t="s">
        <v>54</v>
      </c>
      <c r="E84" s="57" t="s">
        <v>54</v>
      </c>
      <c r="F84" s="57" t="s">
        <v>54</v>
      </c>
      <c r="G84" s="57" t="s">
        <v>46</v>
      </c>
      <c r="H84" s="57" t="s">
        <v>48</v>
      </c>
      <c r="I84" s="57"/>
      <c r="J84" s="57">
        <v>10</v>
      </c>
      <c r="K84" s="58" t="s">
        <v>29</v>
      </c>
      <c r="L84" s="59" t="s">
        <v>119</v>
      </c>
      <c r="M84" s="60">
        <v>328000000</v>
      </c>
      <c r="N84" s="60"/>
      <c r="O84" s="60"/>
      <c r="P84" s="60"/>
      <c r="Q84" s="60"/>
      <c r="R84" s="61"/>
      <c r="S84" s="60">
        <f t="shared" si="68"/>
        <v>328000000</v>
      </c>
      <c r="T84" s="60">
        <v>152000000</v>
      </c>
      <c r="U84" s="60">
        <f t="shared" si="9"/>
        <v>176000000</v>
      </c>
      <c r="V84" s="62">
        <f t="shared" si="13"/>
        <v>0.46341463414634149</v>
      </c>
      <c r="W84" s="60">
        <v>17148100</v>
      </c>
      <c r="X84" s="60">
        <f t="shared" si="12"/>
        <v>134851900</v>
      </c>
      <c r="Y84" s="62">
        <f t="shared" si="19"/>
        <v>0.887183552631579</v>
      </c>
      <c r="Z84" s="60">
        <v>17148100</v>
      </c>
      <c r="AA84" s="60">
        <f t="shared" si="69"/>
        <v>0</v>
      </c>
      <c r="AB84" s="62">
        <f t="shared" si="70"/>
        <v>0.11281644736842106</v>
      </c>
    </row>
    <row r="85" spans="1:28" ht="24" customHeight="1">
      <c r="A85" s="32" t="e">
        <f>+CONCATENATE(#REF!,"=",J85)</f>
        <v>#REF!</v>
      </c>
      <c r="B85" s="52" t="str">
        <f>CONCATENATE(C85,"-",D85,"-",E85,"-",F85,"-",G85)</f>
        <v>A-02-02-02-009</v>
      </c>
      <c r="C85" s="52" t="s">
        <v>23</v>
      </c>
      <c r="D85" s="52" t="s">
        <v>54</v>
      </c>
      <c r="E85" s="52" t="s">
        <v>54</v>
      </c>
      <c r="F85" s="52" t="s">
        <v>54</v>
      </c>
      <c r="G85" s="52" t="s">
        <v>48</v>
      </c>
      <c r="H85" s="52"/>
      <c r="I85" s="52"/>
      <c r="J85" s="53" t="s">
        <v>28</v>
      </c>
      <c r="K85" s="52" t="s">
        <v>29</v>
      </c>
      <c r="L85" s="52" t="s">
        <v>120</v>
      </c>
      <c r="M85" s="54">
        <f>SUM(M86:M90)</f>
        <v>2083184000</v>
      </c>
      <c r="N85" s="743">
        <f t="shared" ref="N85:AA85" si="71">SUM(N86:N90)</f>
        <v>0</v>
      </c>
      <c r="O85" s="743">
        <f t="shared" si="71"/>
        <v>0</v>
      </c>
      <c r="P85" s="54">
        <f t="shared" si="71"/>
        <v>3170048097</v>
      </c>
      <c r="Q85" s="54">
        <f t="shared" si="71"/>
        <v>1208024477</v>
      </c>
      <c r="R85" s="743">
        <f t="shared" si="71"/>
        <v>0</v>
      </c>
      <c r="S85" s="54">
        <f t="shared" si="71"/>
        <v>4045207620</v>
      </c>
      <c r="T85" s="54">
        <f t="shared" si="71"/>
        <v>151790116.11000001</v>
      </c>
      <c r="U85" s="54">
        <f t="shared" si="71"/>
        <v>3893417503.8899999</v>
      </c>
      <c r="V85" s="55">
        <f t="shared" ref="V85:V148" si="72">+IF(S85&gt;0,T85/S85,0)</f>
        <v>3.7523442643470552E-2</v>
      </c>
      <c r="W85" s="54">
        <f t="shared" si="71"/>
        <v>29012930.109999999</v>
      </c>
      <c r="X85" s="54">
        <f t="shared" si="71"/>
        <v>122777186</v>
      </c>
      <c r="Y85" s="55">
        <f t="shared" si="19"/>
        <v>0.80886153292764607</v>
      </c>
      <c r="Z85" s="54">
        <f t="shared" si="71"/>
        <v>28810840.109999999</v>
      </c>
      <c r="AA85" s="54">
        <f t="shared" si="71"/>
        <v>202090</v>
      </c>
      <c r="AB85" s="55">
        <f t="shared" si="70"/>
        <v>0.18980708921206185</v>
      </c>
    </row>
    <row r="86" spans="1:28" ht="24.95" customHeight="1">
      <c r="A86" s="32" t="e">
        <f>+CONCATENATE(#REF!,"=",J86)</f>
        <v>#REF!</v>
      </c>
      <c r="B86" s="56" t="str">
        <f t="shared" si="67"/>
        <v>A-02-02-02-009-002</v>
      </c>
      <c r="C86" s="57" t="s">
        <v>23</v>
      </c>
      <c r="D86" s="57" t="s">
        <v>54</v>
      </c>
      <c r="E86" s="57" t="s">
        <v>54</v>
      </c>
      <c r="F86" s="57" t="s">
        <v>54</v>
      </c>
      <c r="G86" s="57" t="s">
        <v>48</v>
      </c>
      <c r="H86" s="57" t="s">
        <v>34</v>
      </c>
      <c r="I86" s="57"/>
      <c r="J86" s="57">
        <v>10</v>
      </c>
      <c r="K86" s="58" t="s">
        <v>29</v>
      </c>
      <c r="L86" s="59" t="s">
        <v>121</v>
      </c>
      <c r="M86" s="60">
        <v>150000000</v>
      </c>
      <c r="N86" s="60"/>
      <c r="O86" s="60"/>
      <c r="P86" s="60"/>
      <c r="Q86" s="60"/>
      <c r="R86" s="61"/>
      <c r="S86" s="60">
        <f>+M86-R86+N86-O86+P86-Q86</f>
        <v>150000000</v>
      </c>
      <c r="T86" s="60">
        <v>0</v>
      </c>
      <c r="U86" s="60">
        <f t="shared" si="9"/>
        <v>150000000</v>
      </c>
      <c r="V86" s="62">
        <f t="shared" si="72"/>
        <v>0</v>
      </c>
      <c r="W86" s="60">
        <v>0</v>
      </c>
      <c r="X86" s="60">
        <f t="shared" si="12"/>
        <v>0</v>
      </c>
      <c r="Y86" s="62">
        <f t="shared" si="19"/>
        <v>0</v>
      </c>
      <c r="Z86" s="60">
        <v>0</v>
      </c>
      <c r="AA86" s="60">
        <f t="shared" ref="AA86:AA91" si="73">+W86-Z86</f>
        <v>0</v>
      </c>
      <c r="AB86" s="62">
        <f t="shared" si="70"/>
        <v>0</v>
      </c>
    </row>
    <row r="87" spans="1:28" ht="24.95" customHeight="1">
      <c r="A87" s="32" t="e">
        <f>+CONCATENATE(#REF!,"=",J87)</f>
        <v>#REF!</v>
      </c>
      <c r="B87" s="56" t="str">
        <f t="shared" si="67"/>
        <v>A-02-02-02-009-003</v>
      </c>
      <c r="C87" s="57" t="s">
        <v>23</v>
      </c>
      <c r="D87" s="57" t="s">
        <v>54</v>
      </c>
      <c r="E87" s="57" t="s">
        <v>54</v>
      </c>
      <c r="F87" s="57" t="s">
        <v>54</v>
      </c>
      <c r="G87" s="57" t="s">
        <v>48</v>
      </c>
      <c r="H87" s="57" t="s">
        <v>36</v>
      </c>
      <c r="I87" s="57"/>
      <c r="J87" s="57">
        <v>10</v>
      </c>
      <c r="K87" s="58" t="s">
        <v>29</v>
      </c>
      <c r="L87" s="59" t="s">
        <v>122</v>
      </c>
      <c r="M87" s="60">
        <v>285000000</v>
      </c>
      <c r="N87" s="60"/>
      <c r="O87" s="60"/>
      <c r="P87" s="60"/>
      <c r="Q87" s="60"/>
      <c r="R87" s="61"/>
      <c r="S87" s="60">
        <f>+M87-R87+N87-O87+P87-Q87</f>
        <v>285000000</v>
      </c>
      <c r="T87" s="60">
        <v>43909567</v>
      </c>
      <c r="U87" s="60">
        <f t="shared" si="9"/>
        <v>241090433</v>
      </c>
      <c r="V87" s="62">
        <f t="shared" si="72"/>
        <v>0.15406865614035087</v>
      </c>
      <c r="W87" s="60">
        <v>11268465</v>
      </c>
      <c r="X87" s="60">
        <f t="shared" si="12"/>
        <v>32641102</v>
      </c>
      <c r="Y87" s="62">
        <f t="shared" si="19"/>
        <v>0.7433710744631119</v>
      </c>
      <c r="Z87" s="60">
        <v>11268465</v>
      </c>
      <c r="AA87" s="60">
        <f t="shared" si="73"/>
        <v>0</v>
      </c>
      <c r="AB87" s="62">
        <f t="shared" si="70"/>
        <v>0.2566289255368881</v>
      </c>
    </row>
    <row r="88" spans="1:28" ht="24.95" customHeight="1">
      <c r="A88" s="32" t="e">
        <f>+CONCATENATE(#REF!,"=",J88)</f>
        <v>#REF!</v>
      </c>
      <c r="B88" s="56" t="str">
        <f t="shared" si="67"/>
        <v>A-02-02-02-009-004</v>
      </c>
      <c r="C88" s="57" t="s">
        <v>23</v>
      </c>
      <c r="D88" s="57" t="s">
        <v>54</v>
      </c>
      <c r="E88" s="57" t="s">
        <v>54</v>
      </c>
      <c r="F88" s="57" t="s">
        <v>54</v>
      </c>
      <c r="G88" s="57" t="s">
        <v>48</v>
      </c>
      <c r="H88" s="57" t="s">
        <v>38</v>
      </c>
      <c r="I88" s="57"/>
      <c r="J88" s="57">
        <v>10</v>
      </c>
      <c r="K88" s="58" t="s">
        <v>29</v>
      </c>
      <c r="L88" s="59" t="s">
        <v>123</v>
      </c>
      <c r="M88" s="60">
        <v>105720000</v>
      </c>
      <c r="N88" s="60"/>
      <c r="O88" s="60"/>
      <c r="P88" s="60"/>
      <c r="Q88" s="60"/>
      <c r="R88" s="61"/>
      <c r="S88" s="60">
        <f>+M88-R88+N88-O88+P88-Q88</f>
        <v>105720000</v>
      </c>
      <c r="T88" s="60">
        <v>17880549.109999999</v>
      </c>
      <c r="U88" s="60">
        <f t="shared" si="9"/>
        <v>87839450.890000001</v>
      </c>
      <c r="V88" s="62">
        <f t="shared" si="72"/>
        <v>0.16913118719258419</v>
      </c>
      <c r="W88" s="60">
        <v>17744465.109999999</v>
      </c>
      <c r="X88" s="60">
        <f t="shared" si="12"/>
        <v>136084</v>
      </c>
      <c r="Y88" s="62">
        <f t="shared" si="19"/>
        <v>7.6107282367459689E-3</v>
      </c>
      <c r="Z88" s="60">
        <v>17542375.109999999</v>
      </c>
      <c r="AA88" s="60">
        <f t="shared" si="73"/>
        <v>202090</v>
      </c>
      <c r="AB88" s="62">
        <f t="shared" si="70"/>
        <v>0.98108704615727538</v>
      </c>
    </row>
    <row r="89" spans="1:28" ht="24.95" customHeight="1">
      <c r="A89" s="32" t="e">
        <f>+CONCATENATE(#REF!,"=",J89)</f>
        <v>#REF!</v>
      </c>
      <c r="B89" s="56" t="str">
        <f t="shared" si="67"/>
        <v>A-02-02-02-009-006</v>
      </c>
      <c r="C89" s="57" t="s">
        <v>23</v>
      </c>
      <c r="D89" s="57" t="s">
        <v>54</v>
      </c>
      <c r="E89" s="57" t="s">
        <v>54</v>
      </c>
      <c r="F89" s="57" t="s">
        <v>54</v>
      </c>
      <c r="G89" s="57" t="s">
        <v>48</v>
      </c>
      <c r="H89" s="57" t="s">
        <v>42</v>
      </c>
      <c r="I89" s="57"/>
      <c r="J89" s="57">
        <v>10</v>
      </c>
      <c r="K89" s="58" t="s">
        <v>29</v>
      </c>
      <c r="L89" s="59" t="s">
        <v>124</v>
      </c>
      <c r="M89" s="60">
        <v>1481000000</v>
      </c>
      <c r="N89" s="60"/>
      <c r="O89" s="60"/>
      <c r="P89" s="60"/>
      <c r="Q89" s="60"/>
      <c r="R89" s="61"/>
      <c r="S89" s="60">
        <f>+M89-R89+N89-O89+P89-Q89</f>
        <v>1481000000</v>
      </c>
      <c r="T89" s="60">
        <v>90000000</v>
      </c>
      <c r="U89" s="60">
        <f t="shared" si="9"/>
        <v>1391000000</v>
      </c>
      <c r="V89" s="62">
        <f t="shared" si="72"/>
        <v>6.0769750168804863E-2</v>
      </c>
      <c r="W89" s="60">
        <v>0</v>
      </c>
      <c r="X89" s="60">
        <f t="shared" si="12"/>
        <v>90000000</v>
      </c>
      <c r="Y89" s="62">
        <f t="shared" si="19"/>
        <v>1</v>
      </c>
      <c r="Z89" s="60">
        <v>0</v>
      </c>
      <c r="AA89" s="60">
        <f t="shared" si="73"/>
        <v>0</v>
      </c>
      <c r="AB89" s="62">
        <f t="shared" si="70"/>
        <v>0</v>
      </c>
    </row>
    <row r="90" spans="1:28" ht="24.95" customHeight="1">
      <c r="A90" s="32" t="e">
        <f>+CONCATENATE(#REF!,"=",J90)</f>
        <v>#REF!</v>
      </c>
      <c r="B90" s="56" t="str">
        <f t="shared" si="67"/>
        <v>A-02-02-02-009-007</v>
      </c>
      <c r="C90" s="57" t="s">
        <v>23</v>
      </c>
      <c r="D90" s="57" t="s">
        <v>54</v>
      </c>
      <c r="E90" s="57" t="s">
        <v>54</v>
      </c>
      <c r="F90" s="57" t="s">
        <v>54</v>
      </c>
      <c r="G90" s="57" t="s">
        <v>48</v>
      </c>
      <c r="H90" s="57" t="s">
        <v>44</v>
      </c>
      <c r="I90" s="57"/>
      <c r="J90" s="57">
        <v>10</v>
      </c>
      <c r="K90" s="58" t="s">
        <v>29</v>
      </c>
      <c r="L90" s="59" t="s">
        <v>125</v>
      </c>
      <c r="M90" s="60">
        <v>61464000</v>
      </c>
      <c r="N90" s="60"/>
      <c r="O90" s="60"/>
      <c r="P90" s="60">
        <f>3170048097</f>
        <v>3170048097</v>
      </c>
      <c r="Q90" s="60">
        <f>10000000+2617440+133407037+1062000000</f>
        <v>1208024477</v>
      </c>
      <c r="R90" s="61"/>
      <c r="S90" s="60">
        <f>+M90-R90+N90-O90+P90-Q90</f>
        <v>2023487620</v>
      </c>
      <c r="T90" s="60">
        <v>0</v>
      </c>
      <c r="U90" s="60">
        <f>+S90-T90</f>
        <v>2023487620</v>
      </c>
      <c r="V90" s="62">
        <f t="shared" si="72"/>
        <v>0</v>
      </c>
      <c r="W90" s="60">
        <v>0</v>
      </c>
      <c r="X90" s="60">
        <f t="shared" si="12"/>
        <v>0</v>
      </c>
      <c r="Y90" s="62">
        <f t="shared" si="19"/>
        <v>0</v>
      </c>
      <c r="Z90" s="60">
        <v>0</v>
      </c>
      <c r="AA90" s="60">
        <f t="shared" si="73"/>
        <v>0</v>
      </c>
      <c r="AB90" s="62">
        <f t="shared" si="70"/>
        <v>0</v>
      </c>
    </row>
    <row r="91" spans="1:28" ht="24.95" customHeight="1">
      <c r="A91" s="32" t="e">
        <f>+CONCATENATE(#REF!,"=",J91)</f>
        <v>#REF!</v>
      </c>
      <c r="B91" s="56" t="str">
        <f>CONCATENATE(C91,"-",D91,"-",E91,"-",F91,"-",G91)</f>
        <v>A-02-02-02-010</v>
      </c>
      <c r="C91" s="57" t="s">
        <v>23</v>
      </c>
      <c r="D91" s="57" t="s">
        <v>54</v>
      </c>
      <c r="E91" s="57" t="s">
        <v>54</v>
      </c>
      <c r="F91" s="57" t="s">
        <v>54</v>
      </c>
      <c r="G91" s="57" t="s">
        <v>50</v>
      </c>
      <c r="H91" s="57"/>
      <c r="I91" s="57"/>
      <c r="J91" s="57" t="s">
        <v>28</v>
      </c>
      <c r="K91" s="58" t="s">
        <v>29</v>
      </c>
      <c r="L91" s="65" t="s">
        <v>126</v>
      </c>
      <c r="M91" s="66">
        <v>1000000000</v>
      </c>
      <c r="N91" s="66"/>
      <c r="O91" s="66"/>
      <c r="P91" s="60"/>
      <c r="Q91" s="66"/>
      <c r="R91" s="744"/>
      <c r="S91" s="66">
        <f t="shared" ref="S91" si="74">+M91+N91-O91+P91-Q91-R91</f>
        <v>1000000000</v>
      </c>
      <c r="T91" s="66">
        <v>382378373</v>
      </c>
      <c r="U91" s="66">
        <f t="shared" ref="U91" si="75">+S91-T91</f>
        <v>617621627</v>
      </c>
      <c r="V91" s="67">
        <f t="shared" si="72"/>
        <v>0.38237837299999999</v>
      </c>
      <c r="W91" s="66">
        <v>286351267</v>
      </c>
      <c r="X91" s="66">
        <f t="shared" si="12"/>
        <v>96027106</v>
      </c>
      <c r="Y91" s="67">
        <f t="shared" si="19"/>
        <v>0.25113111195752696</v>
      </c>
      <c r="Z91" s="66">
        <v>274558335</v>
      </c>
      <c r="AA91" s="66">
        <f t="shared" si="73"/>
        <v>11792932</v>
      </c>
      <c r="AB91" s="67">
        <f t="shared" si="70"/>
        <v>0.71802788647777416</v>
      </c>
    </row>
    <row r="92" spans="1:28" ht="24" customHeight="1">
      <c r="A92" s="32" t="e">
        <f>+CONCATENATE(#REF!,"=",J92)</f>
        <v>#REF!</v>
      </c>
      <c r="B92" s="38" t="str">
        <f>CONCATENATE(C92,"-",D92)</f>
        <v>A-03</v>
      </c>
      <c r="C92" s="39" t="s">
        <v>23</v>
      </c>
      <c r="D92" s="39" t="s">
        <v>65</v>
      </c>
      <c r="E92" s="39"/>
      <c r="F92" s="39"/>
      <c r="G92" s="39"/>
      <c r="H92" s="39"/>
      <c r="I92" s="39"/>
      <c r="J92" s="39"/>
      <c r="K92" s="40"/>
      <c r="L92" s="38" t="s">
        <v>127</v>
      </c>
      <c r="M92" s="41">
        <f>+M96+M102+M93</f>
        <v>8837000000</v>
      </c>
      <c r="N92" s="41">
        <f t="shared" ref="N92:U92" si="76">+N96+N102+N93</f>
        <v>0</v>
      </c>
      <c r="O92" s="41">
        <f t="shared" si="76"/>
        <v>0</v>
      </c>
      <c r="P92" s="41">
        <f t="shared" si="76"/>
        <v>55158452</v>
      </c>
      <c r="Q92" s="41">
        <f t="shared" si="76"/>
        <v>55158452</v>
      </c>
      <c r="R92" s="41">
        <f t="shared" si="76"/>
        <v>5880000000</v>
      </c>
      <c r="S92" s="41">
        <f t="shared" si="76"/>
        <v>2957000000</v>
      </c>
      <c r="T92" s="41">
        <f t="shared" si="76"/>
        <v>1244809856</v>
      </c>
      <c r="U92" s="41">
        <f t="shared" si="76"/>
        <v>1712190144</v>
      </c>
      <c r="V92" s="42">
        <f t="shared" si="72"/>
        <v>0.4209705295908015</v>
      </c>
      <c r="W92" s="41">
        <f t="shared" ref="W92:X92" si="77">+W96+W102+W93</f>
        <v>1223627697</v>
      </c>
      <c r="X92" s="41">
        <f t="shared" si="77"/>
        <v>21182159</v>
      </c>
      <c r="Y92" s="42">
        <f t="shared" si="19"/>
        <v>1.7016381174925401E-2</v>
      </c>
      <c r="Z92" s="41">
        <f t="shared" ref="Z92:AA92" si="78">+Z96+Z102+Z93</f>
        <v>1223627697</v>
      </c>
      <c r="AA92" s="41">
        <f t="shared" si="78"/>
        <v>0</v>
      </c>
      <c r="AB92" s="42">
        <f t="shared" si="70"/>
        <v>0.98298361882507457</v>
      </c>
    </row>
    <row r="93" spans="1:28" ht="19.5" customHeight="1">
      <c r="A93" s="32" t="e">
        <f>+CONCATENATE(#REF!,"=",J93)</f>
        <v>#REF!</v>
      </c>
      <c r="B93" s="43" t="str">
        <f>CONCATENATE(C93,"-",D93,"-",E93)</f>
        <v>A-03-03</v>
      </c>
      <c r="C93" s="44" t="s">
        <v>23</v>
      </c>
      <c r="D93" s="44" t="s">
        <v>65</v>
      </c>
      <c r="E93" s="44" t="s">
        <v>65</v>
      </c>
      <c r="F93" s="44"/>
      <c r="G93" s="44"/>
      <c r="H93" s="44"/>
      <c r="I93" s="44"/>
      <c r="J93" s="44"/>
      <c r="K93" s="45"/>
      <c r="L93" s="43" t="s">
        <v>128</v>
      </c>
      <c r="M93" s="46">
        <f>+M94</f>
        <v>5880000000</v>
      </c>
      <c r="N93" s="741">
        <f t="shared" ref="N93:AA94" si="79">+N94</f>
        <v>0</v>
      </c>
      <c r="O93" s="741">
        <f t="shared" si="79"/>
        <v>0</v>
      </c>
      <c r="P93" s="741">
        <f t="shared" si="79"/>
        <v>0</v>
      </c>
      <c r="Q93" s="46">
        <f t="shared" si="79"/>
        <v>0</v>
      </c>
      <c r="R93" s="46">
        <f t="shared" si="79"/>
        <v>5880000000</v>
      </c>
      <c r="S93" s="46">
        <f t="shared" si="79"/>
        <v>0</v>
      </c>
      <c r="T93" s="46">
        <f t="shared" si="79"/>
        <v>0</v>
      </c>
      <c r="U93" s="46">
        <f t="shared" si="79"/>
        <v>0</v>
      </c>
      <c r="V93" s="47">
        <f t="shared" si="72"/>
        <v>0</v>
      </c>
      <c r="W93" s="46">
        <f t="shared" ref="W93:X93" si="80">+W94</f>
        <v>0</v>
      </c>
      <c r="X93" s="46">
        <f t="shared" si="80"/>
        <v>0</v>
      </c>
      <c r="Y93" s="47">
        <f t="shared" ref="Y93:Y156" si="81">+IF(T93&gt;0,X93/T93,0)</f>
        <v>0</v>
      </c>
      <c r="Z93" s="46">
        <f t="shared" ref="Z93:AA93" si="82">+Z94</f>
        <v>0</v>
      </c>
      <c r="AA93" s="46">
        <f t="shared" si="82"/>
        <v>0</v>
      </c>
      <c r="AB93" s="47">
        <f t="shared" si="70"/>
        <v>0</v>
      </c>
    </row>
    <row r="94" spans="1:28" ht="20.25" customHeight="1">
      <c r="A94" s="32" t="e">
        <f>+CONCATENATE(#REF!,"=",J94)</f>
        <v>#REF!</v>
      </c>
      <c r="B94" s="48" t="str">
        <f>CONCATENATE(C94,"-",D94,"-",E94,"-",F94)</f>
        <v>A-03-03-01</v>
      </c>
      <c r="C94" s="48" t="s">
        <v>23</v>
      </c>
      <c r="D94" s="48" t="s">
        <v>65</v>
      </c>
      <c r="E94" s="48" t="s">
        <v>65</v>
      </c>
      <c r="F94" s="48" t="s">
        <v>25</v>
      </c>
      <c r="G94" s="48"/>
      <c r="H94" s="48"/>
      <c r="I94" s="48"/>
      <c r="J94" s="49"/>
      <c r="K94" s="48"/>
      <c r="L94" s="48" t="s">
        <v>129</v>
      </c>
      <c r="M94" s="50">
        <f>+M95</f>
        <v>5880000000</v>
      </c>
      <c r="N94" s="50">
        <f t="shared" si="79"/>
        <v>0</v>
      </c>
      <c r="O94" s="50">
        <f t="shared" si="79"/>
        <v>0</v>
      </c>
      <c r="P94" s="50">
        <f t="shared" si="79"/>
        <v>0</v>
      </c>
      <c r="Q94" s="50">
        <f t="shared" si="79"/>
        <v>0</v>
      </c>
      <c r="R94" s="50">
        <f t="shared" si="79"/>
        <v>5880000000</v>
      </c>
      <c r="S94" s="50">
        <f t="shared" si="79"/>
        <v>0</v>
      </c>
      <c r="T94" s="50">
        <f t="shared" si="79"/>
        <v>0</v>
      </c>
      <c r="U94" s="50">
        <f t="shared" si="79"/>
        <v>0</v>
      </c>
      <c r="V94" s="51">
        <f t="shared" si="72"/>
        <v>0</v>
      </c>
      <c r="W94" s="50">
        <f t="shared" si="79"/>
        <v>0</v>
      </c>
      <c r="X94" s="50">
        <f t="shared" si="79"/>
        <v>0</v>
      </c>
      <c r="Y94" s="51">
        <f t="shared" si="81"/>
        <v>0</v>
      </c>
      <c r="Z94" s="50">
        <f t="shared" si="79"/>
        <v>0</v>
      </c>
      <c r="AA94" s="50">
        <f t="shared" si="79"/>
        <v>0</v>
      </c>
      <c r="AB94" s="51">
        <f t="shared" si="70"/>
        <v>0</v>
      </c>
    </row>
    <row r="95" spans="1:28" ht="24.95" customHeight="1">
      <c r="A95" s="32" t="e">
        <f>+CONCATENATE(#REF!,"=",J95)</f>
        <v>#REF!</v>
      </c>
      <c r="B95" s="56" t="str">
        <f t="shared" ref="B95" si="83">CONCATENATE(C95,"-",D95,"-",E95,"-",F95,"-",G95)</f>
        <v>A-03-03-01-999</v>
      </c>
      <c r="C95" s="57" t="s">
        <v>23</v>
      </c>
      <c r="D95" s="57" t="s">
        <v>65</v>
      </c>
      <c r="E95" s="57" t="s">
        <v>65</v>
      </c>
      <c r="F95" s="57" t="s">
        <v>25</v>
      </c>
      <c r="G95" s="57" t="s">
        <v>134</v>
      </c>
      <c r="H95" s="57"/>
      <c r="I95" s="57"/>
      <c r="J95" s="57" t="s">
        <v>28</v>
      </c>
      <c r="K95" s="58" t="s">
        <v>29</v>
      </c>
      <c r="L95" s="59" t="s">
        <v>135</v>
      </c>
      <c r="M95" s="60">
        <v>5880000000</v>
      </c>
      <c r="N95" s="60"/>
      <c r="O95" s="60"/>
      <c r="P95" s="60"/>
      <c r="Q95" s="60"/>
      <c r="R95" s="60">
        <v>5880000000</v>
      </c>
      <c r="S95" s="60">
        <f>+M95+N95-O95+P95-Q95-R95</f>
        <v>0</v>
      </c>
      <c r="T95" s="61">
        <v>0</v>
      </c>
      <c r="U95" s="60">
        <f t="shared" ref="U95" si="84">+S95-T95</f>
        <v>0</v>
      </c>
      <c r="V95" s="62">
        <f t="shared" si="72"/>
        <v>0</v>
      </c>
      <c r="W95" s="60">
        <v>0</v>
      </c>
      <c r="X95" s="60">
        <f t="shared" ref="X95" si="85">+T95-W95</f>
        <v>0</v>
      </c>
      <c r="Y95" s="62">
        <f t="shared" si="81"/>
        <v>0</v>
      </c>
      <c r="Z95" s="60">
        <v>0</v>
      </c>
      <c r="AA95" s="60">
        <f t="shared" ref="AA95" si="86">+W95-Z95</f>
        <v>0</v>
      </c>
      <c r="AB95" s="62">
        <f t="shared" si="70"/>
        <v>0</v>
      </c>
    </row>
    <row r="96" spans="1:28" ht="24" customHeight="1">
      <c r="A96" s="32" t="e">
        <f>+CONCATENATE(#REF!,"=",J96)</f>
        <v>#REF!</v>
      </c>
      <c r="B96" s="43" t="str">
        <f>CONCATENATE(C96,"-",D96,"-",E96)</f>
        <v>A-03-04</v>
      </c>
      <c r="C96" s="44" t="s">
        <v>23</v>
      </c>
      <c r="D96" s="44" t="s">
        <v>65</v>
      </c>
      <c r="E96" s="44" t="s">
        <v>136</v>
      </c>
      <c r="F96" s="44"/>
      <c r="G96" s="44"/>
      <c r="H96" s="44"/>
      <c r="I96" s="44"/>
      <c r="J96" s="44"/>
      <c r="K96" s="45"/>
      <c r="L96" s="43" t="s">
        <v>137</v>
      </c>
      <c r="M96" s="46">
        <f>+M97</f>
        <v>598000000</v>
      </c>
      <c r="N96" s="741">
        <f t="shared" ref="N96:AA97" si="87">+N97</f>
        <v>0</v>
      </c>
      <c r="O96" s="741">
        <f t="shared" si="87"/>
        <v>0</v>
      </c>
      <c r="P96" s="46">
        <f t="shared" si="87"/>
        <v>0</v>
      </c>
      <c r="Q96" s="46">
        <f t="shared" si="87"/>
        <v>0</v>
      </c>
      <c r="R96" s="741">
        <f t="shared" si="87"/>
        <v>0</v>
      </c>
      <c r="S96" s="46">
        <f t="shared" si="87"/>
        <v>598000000</v>
      </c>
      <c r="T96" s="46">
        <f t="shared" si="87"/>
        <v>132217640</v>
      </c>
      <c r="U96" s="46">
        <f t="shared" si="87"/>
        <v>465782360</v>
      </c>
      <c r="V96" s="47">
        <f t="shared" si="72"/>
        <v>0.22109973244147157</v>
      </c>
      <c r="W96" s="46">
        <f t="shared" si="87"/>
        <v>111035481</v>
      </c>
      <c r="X96" s="46">
        <f t="shared" si="87"/>
        <v>21182159</v>
      </c>
      <c r="Y96" s="47">
        <f t="shared" si="81"/>
        <v>0.16020675456013284</v>
      </c>
      <c r="Z96" s="46">
        <f t="shared" si="87"/>
        <v>111035481</v>
      </c>
      <c r="AA96" s="46">
        <f t="shared" si="87"/>
        <v>0</v>
      </c>
      <c r="AB96" s="47">
        <f t="shared" si="70"/>
        <v>0.83979324543986722</v>
      </c>
    </row>
    <row r="97" spans="1:30" ht="21" customHeight="1">
      <c r="A97" s="32" t="e">
        <f>+CONCATENATE(#REF!,"=",J97)</f>
        <v>#REF!</v>
      </c>
      <c r="B97" s="48" t="str">
        <f>CONCATENATE(C97,"-",D97,"-",E97,"-",F97)</f>
        <v>A-03-04-02</v>
      </c>
      <c r="C97" s="48" t="s">
        <v>23</v>
      </c>
      <c r="D97" s="48" t="s">
        <v>65</v>
      </c>
      <c r="E97" s="48" t="s">
        <v>136</v>
      </c>
      <c r="F97" s="48" t="s">
        <v>54</v>
      </c>
      <c r="G97" s="48"/>
      <c r="H97" s="48"/>
      <c r="I97" s="48"/>
      <c r="J97" s="49" t="s">
        <v>28</v>
      </c>
      <c r="K97" s="48" t="s">
        <v>29</v>
      </c>
      <c r="L97" s="48" t="s">
        <v>138</v>
      </c>
      <c r="M97" s="50">
        <f>+M98</f>
        <v>598000000</v>
      </c>
      <c r="N97" s="742">
        <f t="shared" si="87"/>
        <v>0</v>
      </c>
      <c r="O97" s="742">
        <f t="shared" si="87"/>
        <v>0</v>
      </c>
      <c r="P97" s="50">
        <f t="shared" si="87"/>
        <v>0</v>
      </c>
      <c r="Q97" s="50">
        <f t="shared" si="87"/>
        <v>0</v>
      </c>
      <c r="R97" s="742">
        <f t="shared" si="87"/>
        <v>0</v>
      </c>
      <c r="S97" s="50">
        <f t="shared" si="87"/>
        <v>598000000</v>
      </c>
      <c r="T97" s="50">
        <f t="shared" si="87"/>
        <v>132217640</v>
      </c>
      <c r="U97" s="50">
        <f t="shared" si="87"/>
        <v>465782360</v>
      </c>
      <c r="V97" s="51">
        <f t="shared" si="72"/>
        <v>0.22109973244147157</v>
      </c>
      <c r="W97" s="50">
        <f t="shared" si="87"/>
        <v>111035481</v>
      </c>
      <c r="X97" s="50">
        <f t="shared" si="87"/>
        <v>21182159</v>
      </c>
      <c r="Y97" s="51">
        <f t="shared" si="81"/>
        <v>0.16020675456013284</v>
      </c>
      <c r="Z97" s="50">
        <f t="shared" si="87"/>
        <v>111035481</v>
      </c>
      <c r="AA97" s="50">
        <f t="shared" si="87"/>
        <v>0</v>
      </c>
      <c r="AB97" s="51">
        <f t="shared" si="70"/>
        <v>0.83979324543986722</v>
      </c>
    </row>
    <row r="98" spans="1:30" ht="21" customHeight="1">
      <c r="A98" s="32" t="e">
        <f>+CONCATENATE(#REF!,"=",J98)</f>
        <v>#REF!</v>
      </c>
      <c r="B98" s="52" t="str">
        <f>CONCATENATE(C98,"-",D98,"-",E98,"-",F98,"-",G98)</f>
        <v>A-03-04-02-012</v>
      </c>
      <c r="C98" s="52" t="s">
        <v>23</v>
      </c>
      <c r="D98" s="52" t="s">
        <v>65</v>
      </c>
      <c r="E98" s="52" t="s">
        <v>136</v>
      </c>
      <c r="F98" s="52" t="s">
        <v>54</v>
      </c>
      <c r="G98" s="52" t="s">
        <v>52</v>
      </c>
      <c r="H98" s="52"/>
      <c r="I98" s="52"/>
      <c r="J98" s="53" t="s">
        <v>28</v>
      </c>
      <c r="K98" s="52" t="s">
        <v>29</v>
      </c>
      <c r="L98" s="52" t="s">
        <v>139</v>
      </c>
      <c r="M98" s="54">
        <f>SUM(M99:M101)</f>
        <v>598000000</v>
      </c>
      <c r="N98" s="743">
        <f t="shared" ref="N98:U98" si="88">SUM(N99:N101)</f>
        <v>0</v>
      </c>
      <c r="O98" s="743">
        <f t="shared" si="88"/>
        <v>0</v>
      </c>
      <c r="P98" s="54">
        <f t="shared" si="88"/>
        <v>0</v>
      </c>
      <c r="Q98" s="54">
        <f t="shared" si="88"/>
        <v>0</v>
      </c>
      <c r="R98" s="743">
        <f t="shared" si="88"/>
        <v>0</v>
      </c>
      <c r="S98" s="54">
        <f t="shared" si="88"/>
        <v>598000000</v>
      </c>
      <c r="T98" s="54">
        <f t="shared" si="88"/>
        <v>132217640</v>
      </c>
      <c r="U98" s="54">
        <f t="shared" si="88"/>
        <v>465782360</v>
      </c>
      <c r="V98" s="55">
        <f t="shared" si="72"/>
        <v>0.22109973244147157</v>
      </c>
      <c r="W98" s="54">
        <f t="shared" ref="W98:X98" si="89">SUM(W99:W101)</f>
        <v>111035481</v>
      </c>
      <c r="X98" s="54">
        <f t="shared" si="89"/>
        <v>21182159</v>
      </c>
      <c r="Y98" s="55">
        <f t="shared" si="81"/>
        <v>0.16020675456013284</v>
      </c>
      <c r="Z98" s="54">
        <f>SUM(Z99:Z101)</f>
        <v>111035481</v>
      </c>
      <c r="AA98" s="54">
        <f>SUM(AA99:AA101)</f>
        <v>0</v>
      </c>
      <c r="AB98" s="55">
        <f t="shared" si="70"/>
        <v>0.83979324543986722</v>
      </c>
    </row>
    <row r="99" spans="1:30" ht="24.95" customHeight="1">
      <c r="A99" s="32" t="e">
        <f>+CONCATENATE(#REF!,"=",J99)</f>
        <v>#REF!</v>
      </c>
      <c r="B99" s="56" t="str">
        <f t="shared" ref="B99:B100" si="90">CONCATENATE(C99,"-",D99,"-",E99,"-",F99,"-",G99,"-",H99)</f>
        <v>A-03-04-02-012-001</v>
      </c>
      <c r="C99" s="57" t="s">
        <v>23</v>
      </c>
      <c r="D99" s="57" t="s">
        <v>65</v>
      </c>
      <c r="E99" s="57" t="s">
        <v>136</v>
      </c>
      <c r="F99" s="57" t="s">
        <v>54</v>
      </c>
      <c r="G99" s="57" t="s">
        <v>52</v>
      </c>
      <c r="H99" s="57" t="s">
        <v>31</v>
      </c>
      <c r="I99" s="57"/>
      <c r="J99" s="57" t="s">
        <v>28</v>
      </c>
      <c r="K99" s="58" t="s">
        <v>29</v>
      </c>
      <c r="L99" s="59" t="s">
        <v>140</v>
      </c>
      <c r="M99" s="60">
        <v>398000000</v>
      </c>
      <c r="N99" s="60"/>
      <c r="O99" s="60"/>
      <c r="P99" s="60"/>
      <c r="Q99" s="60"/>
      <c r="R99" s="61"/>
      <c r="S99" s="60">
        <f>+M99-R99+N99-O99+P99-Q99</f>
        <v>398000000</v>
      </c>
      <c r="T99" s="60">
        <v>112394275</v>
      </c>
      <c r="U99" s="60">
        <f t="shared" si="9"/>
        <v>285605725</v>
      </c>
      <c r="V99" s="62">
        <f t="shared" si="72"/>
        <v>0.28239767587939696</v>
      </c>
      <c r="W99" s="60">
        <v>96670309</v>
      </c>
      <c r="X99" s="60">
        <f t="shared" si="12"/>
        <v>15723966</v>
      </c>
      <c r="Y99" s="62">
        <f t="shared" si="81"/>
        <v>0.13990006163570165</v>
      </c>
      <c r="Z99" s="60">
        <v>96670309</v>
      </c>
      <c r="AA99" s="60">
        <f t="shared" si="10"/>
        <v>0</v>
      </c>
      <c r="AB99" s="62">
        <f t="shared" si="70"/>
        <v>0.86009993836429832</v>
      </c>
    </row>
    <row r="100" spans="1:30" ht="24.95" customHeight="1">
      <c r="A100" s="32" t="e">
        <f>+CONCATENATE(#REF!,"=",J100)</f>
        <v>#REF!</v>
      </c>
      <c r="B100" s="56" t="str">
        <f t="shared" si="90"/>
        <v>A-03-04-02-012-002</v>
      </c>
      <c r="C100" s="57" t="s">
        <v>23</v>
      </c>
      <c r="D100" s="57" t="s">
        <v>65</v>
      </c>
      <c r="E100" s="57" t="s">
        <v>136</v>
      </c>
      <c r="F100" s="57" t="s">
        <v>54</v>
      </c>
      <c r="G100" s="57" t="s">
        <v>52</v>
      </c>
      <c r="H100" s="57" t="s">
        <v>34</v>
      </c>
      <c r="I100" s="57"/>
      <c r="J100" s="57" t="s">
        <v>28</v>
      </c>
      <c r="K100" s="58" t="s">
        <v>29</v>
      </c>
      <c r="L100" s="59" t="s">
        <v>141</v>
      </c>
      <c r="M100" s="60">
        <v>200000000</v>
      </c>
      <c r="N100" s="60"/>
      <c r="O100" s="60"/>
      <c r="P100" s="60"/>
      <c r="Q100" s="60"/>
      <c r="R100" s="61"/>
      <c r="S100" s="60">
        <f>+M100-R100+N100-O100+P100-Q100</f>
        <v>200000000</v>
      </c>
      <c r="T100" s="60">
        <v>19823365</v>
      </c>
      <c r="U100" s="60">
        <f t="shared" si="9"/>
        <v>180176635</v>
      </c>
      <c r="V100" s="62">
        <f t="shared" si="72"/>
        <v>9.9116825000000006E-2</v>
      </c>
      <c r="W100" s="60">
        <v>14365172</v>
      </c>
      <c r="X100" s="60">
        <f t="shared" si="12"/>
        <v>5458193</v>
      </c>
      <c r="Y100" s="62">
        <f t="shared" si="81"/>
        <v>0.27534139637745658</v>
      </c>
      <c r="Z100" s="60">
        <v>14365172</v>
      </c>
      <c r="AA100" s="60">
        <f t="shared" si="10"/>
        <v>0</v>
      </c>
      <c r="AB100" s="62">
        <f t="shared" si="70"/>
        <v>0.72465860362254342</v>
      </c>
    </row>
    <row r="101" spans="1:30" ht="24.95" hidden="1" customHeight="1">
      <c r="A101" s="32" t="e">
        <f>+CONCATENATE(#REF!,"=",J101)</f>
        <v>#REF!</v>
      </c>
      <c r="B101" s="56"/>
      <c r="C101" s="57" t="s">
        <v>23</v>
      </c>
      <c r="D101" s="57" t="s">
        <v>65</v>
      </c>
      <c r="E101" s="57" t="s">
        <v>136</v>
      </c>
      <c r="F101" s="57" t="s">
        <v>54</v>
      </c>
      <c r="G101" s="57" t="s">
        <v>142</v>
      </c>
      <c r="H101" s="57"/>
      <c r="I101" s="57"/>
      <c r="J101" s="57" t="s">
        <v>28</v>
      </c>
      <c r="K101" s="58" t="s">
        <v>29</v>
      </c>
      <c r="L101" s="59"/>
      <c r="M101" s="60">
        <v>0</v>
      </c>
      <c r="N101" s="60"/>
      <c r="O101" s="60"/>
      <c r="P101" s="60"/>
      <c r="Q101" s="60"/>
      <c r="R101" s="61"/>
      <c r="S101" s="60">
        <f t="shared" ref="S101" si="91">+M101+N101-O101+P101-Q101-R101</f>
        <v>0</v>
      </c>
      <c r="T101" s="60">
        <v>0</v>
      </c>
      <c r="U101" s="60">
        <f t="shared" si="9"/>
        <v>0</v>
      </c>
      <c r="V101" s="62">
        <f t="shared" si="72"/>
        <v>0</v>
      </c>
      <c r="W101" s="60">
        <v>0</v>
      </c>
      <c r="X101" s="60">
        <f t="shared" si="12"/>
        <v>0</v>
      </c>
      <c r="Y101" s="62">
        <f t="shared" si="81"/>
        <v>0</v>
      </c>
      <c r="Z101" s="60">
        <v>0</v>
      </c>
      <c r="AA101" s="60">
        <f t="shared" si="10"/>
        <v>0</v>
      </c>
      <c r="AB101" s="62">
        <f t="shared" si="70"/>
        <v>0</v>
      </c>
    </row>
    <row r="102" spans="1:30" ht="24" customHeight="1">
      <c r="A102" s="32" t="e">
        <f>+CONCATENATE(#REF!,"=",J102)</f>
        <v>#REF!</v>
      </c>
      <c r="B102" s="43" t="str">
        <f>CONCATENATE(C102,"-",D102,"-",E102)</f>
        <v>A-03-10</v>
      </c>
      <c r="C102" s="44" t="s">
        <v>23</v>
      </c>
      <c r="D102" s="44" t="s">
        <v>65</v>
      </c>
      <c r="E102" s="44" t="s">
        <v>28</v>
      </c>
      <c r="F102" s="44"/>
      <c r="G102" s="44"/>
      <c r="H102" s="44"/>
      <c r="I102" s="44"/>
      <c r="J102" s="44"/>
      <c r="K102" s="45"/>
      <c r="L102" s="43" t="s">
        <v>143</v>
      </c>
      <c r="M102" s="46">
        <f>+M103</f>
        <v>2359000000</v>
      </c>
      <c r="N102" s="741">
        <f t="shared" ref="N102:U102" si="92">+N103</f>
        <v>0</v>
      </c>
      <c r="O102" s="741">
        <f t="shared" si="92"/>
        <v>0</v>
      </c>
      <c r="P102" s="46">
        <f t="shared" si="92"/>
        <v>55158452</v>
      </c>
      <c r="Q102" s="46">
        <f t="shared" si="92"/>
        <v>55158452</v>
      </c>
      <c r="R102" s="741">
        <f t="shared" si="92"/>
        <v>0</v>
      </c>
      <c r="S102" s="46">
        <f t="shared" si="92"/>
        <v>2359000000</v>
      </c>
      <c r="T102" s="46">
        <f t="shared" si="92"/>
        <v>1112592216</v>
      </c>
      <c r="U102" s="46">
        <f t="shared" si="92"/>
        <v>1246407784</v>
      </c>
      <c r="V102" s="47">
        <f t="shared" si="72"/>
        <v>0.47163722594319629</v>
      </c>
      <c r="W102" s="46">
        <f t="shared" ref="W102:AA102" si="93">+W103</f>
        <v>1112592216</v>
      </c>
      <c r="X102" s="46">
        <f t="shared" si="93"/>
        <v>0</v>
      </c>
      <c r="Y102" s="47">
        <f t="shared" si="81"/>
        <v>0</v>
      </c>
      <c r="Z102" s="46">
        <f t="shared" si="93"/>
        <v>1112592216</v>
      </c>
      <c r="AA102" s="46">
        <f t="shared" si="93"/>
        <v>0</v>
      </c>
      <c r="AB102" s="47">
        <f t="shared" si="70"/>
        <v>1</v>
      </c>
    </row>
    <row r="103" spans="1:30" ht="21.75" customHeight="1">
      <c r="A103" s="32" t="e">
        <f>+CONCATENATE(#REF!,"=",J103)</f>
        <v>#REF!</v>
      </c>
      <c r="B103" s="48" t="str">
        <f>CONCATENATE(C103,"-",D103,"-",E103,"-",F103)</f>
        <v>A-03-10-01</v>
      </c>
      <c r="C103" s="48" t="s">
        <v>23</v>
      </c>
      <c r="D103" s="48" t="s">
        <v>65</v>
      </c>
      <c r="E103" s="48" t="s">
        <v>28</v>
      </c>
      <c r="F103" s="48" t="s">
        <v>25</v>
      </c>
      <c r="G103" s="48"/>
      <c r="H103" s="48"/>
      <c r="I103" s="48"/>
      <c r="J103" s="49">
        <v>10</v>
      </c>
      <c r="K103" s="48" t="s">
        <v>29</v>
      </c>
      <c r="L103" s="48" t="s">
        <v>145</v>
      </c>
      <c r="M103" s="50">
        <f>SUM(M104:M105)</f>
        <v>2359000000</v>
      </c>
      <c r="N103" s="50">
        <f t="shared" ref="N103:U103" si="94">SUM(N104:N105)</f>
        <v>0</v>
      </c>
      <c r="O103" s="50">
        <f t="shared" si="94"/>
        <v>0</v>
      </c>
      <c r="P103" s="50">
        <f t="shared" si="94"/>
        <v>55158452</v>
      </c>
      <c r="Q103" s="50">
        <f t="shared" si="94"/>
        <v>55158452</v>
      </c>
      <c r="R103" s="50">
        <f t="shared" si="94"/>
        <v>0</v>
      </c>
      <c r="S103" s="50">
        <f t="shared" si="94"/>
        <v>2359000000</v>
      </c>
      <c r="T103" s="50">
        <f t="shared" si="94"/>
        <v>1112592216</v>
      </c>
      <c r="U103" s="50">
        <f t="shared" si="94"/>
        <v>1246407784</v>
      </c>
      <c r="V103" s="51">
        <f t="shared" si="72"/>
        <v>0.47163722594319629</v>
      </c>
      <c r="W103" s="50">
        <f t="shared" ref="W103:X103" si="95">SUM(W104:W105)</f>
        <v>1112592216</v>
      </c>
      <c r="X103" s="50">
        <f t="shared" si="95"/>
        <v>0</v>
      </c>
      <c r="Y103" s="51">
        <f t="shared" si="81"/>
        <v>0</v>
      </c>
      <c r="Z103" s="50">
        <f t="shared" ref="Z103:AA103" si="96">SUM(Z104:Z105)</f>
        <v>1112592216</v>
      </c>
      <c r="AA103" s="50">
        <f t="shared" si="96"/>
        <v>0</v>
      </c>
      <c r="AB103" s="51">
        <f t="shared" si="70"/>
        <v>1</v>
      </c>
    </row>
    <row r="104" spans="1:30" ht="24.95" customHeight="1">
      <c r="A104" s="32" t="e">
        <f>+CONCATENATE(#REF!,"=",J104)</f>
        <v>#REF!</v>
      </c>
      <c r="B104" s="56" t="str">
        <f t="shared" ref="B104:B105" si="97">CONCATENATE(C104,"-",D104,"-",E104,"-",F104,"-",G104)</f>
        <v>A-03-10-01-001</v>
      </c>
      <c r="C104" s="57" t="s">
        <v>23</v>
      </c>
      <c r="D104" s="57" t="s">
        <v>65</v>
      </c>
      <c r="E104" s="57" t="s">
        <v>28</v>
      </c>
      <c r="F104" s="57" t="s">
        <v>25</v>
      </c>
      <c r="G104" s="57" t="s">
        <v>31</v>
      </c>
      <c r="H104" s="57"/>
      <c r="I104" s="57"/>
      <c r="J104" s="57">
        <v>10</v>
      </c>
      <c r="K104" s="58" t="s">
        <v>29</v>
      </c>
      <c r="L104" s="59" t="s">
        <v>146</v>
      </c>
      <c r="M104" s="60">
        <v>2359000000</v>
      </c>
      <c r="N104" s="60"/>
      <c r="O104" s="60"/>
      <c r="P104" s="61"/>
      <c r="Q104" s="60">
        <f>55158452</f>
        <v>55158452</v>
      </c>
      <c r="R104" s="61"/>
      <c r="S104" s="60">
        <f>+M104-R104+N104-O104+P104-Q104</f>
        <v>2303841548</v>
      </c>
      <c r="T104" s="60">
        <v>1057433764</v>
      </c>
      <c r="U104" s="60">
        <f t="shared" ref="U104:U105" si="98">+S104-T104</f>
        <v>1246407784</v>
      </c>
      <c r="V104" s="62">
        <f t="shared" si="72"/>
        <v>0.45898719246467901</v>
      </c>
      <c r="W104" s="60">
        <v>1057433764</v>
      </c>
      <c r="X104" s="60">
        <f t="shared" ref="X104:X105" si="99">+T104-W104</f>
        <v>0</v>
      </c>
      <c r="Y104" s="62">
        <f t="shared" si="81"/>
        <v>0</v>
      </c>
      <c r="Z104" s="60">
        <v>1057433764</v>
      </c>
      <c r="AA104" s="60">
        <f t="shared" ref="AA104:AA105" si="100">+W104-Z104</f>
        <v>0</v>
      </c>
      <c r="AB104" s="62">
        <f t="shared" si="70"/>
        <v>1</v>
      </c>
    </row>
    <row r="105" spans="1:30" ht="24.95" customHeight="1">
      <c r="A105" s="32" t="e">
        <f>+CONCATENATE(#REF!,"=",J105)</f>
        <v>#REF!</v>
      </c>
      <c r="B105" s="56" t="str">
        <f t="shared" si="97"/>
        <v>A-03-10-01-002</v>
      </c>
      <c r="C105" s="57" t="s">
        <v>23</v>
      </c>
      <c r="D105" s="57" t="s">
        <v>65</v>
      </c>
      <c r="E105" s="57" t="s">
        <v>28</v>
      </c>
      <c r="F105" s="57" t="s">
        <v>25</v>
      </c>
      <c r="G105" s="63" t="s">
        <v>34</v>
      </c>
      <c r="H105" s="57"/>
      <c r="I105" s="57"/>
      <c r="J105" s="57">
        <v>10</v>
      </c>
      <c r="K105" s="58" t="s">
        <v>29</v>
      </c>
      <c r="L105" s="59" t="s">
        <v>147</v>
      </c>
      <c r="M105" s="60">
        <v>0</v>
      </c>
      <c r="N105" s="60"/>
      <c r="O105" s="60"/>
      <c r="P105" s="60">
        <f>55158452</f>
        <v>55158452</v>
      </c>
      <c r="Q105" s="60"/>
      <c r="R105" s="61"/>
      <c r="S105" s="60">
        <f>+M105-R105+N105-O105+P105-Q105</f>
        <v>55158452</v>
      </c>
      <c r="T105" s="60">
        <v>55158452</v>
      </c>
      <c r="U105" s="60">
        <f t="shared" si="98"/>
        <v>0</v>
      </c>
      <c r="V105" s="62">
        <f t="shared" si="72"/>
        <v>1</v>
      </c>
      <c r="W105" s="60">
        <v>55158452</v>
      </c>
      <c r="X105" s="60">
        <f t="shared" si="99"/>
        <v>0</v>
      </c>
      <c r="Y105" s="62">
        <f t="shared" si="81"/>
        <v>0</v>
      </c>
      <c r="Z105" s="60">
        <v>55158452</v>
      </c>
      <c r="AA105" s="60">
        <f t="shared" si="100"/>
        <v>0</v>
      </c>
      <c r="AB105" s="62">
        <f t="shared" si="70"/>
        <v>1</v>
      </c>
    </row>
    <row r="106" spans="1:30" ht="24" customHeight="1">
      <c r="A106" s="32" t="e">
        <f>+CONCATENATE(#REF!,"=",J106)</f>
        <v>#REF!</v>
      </c>
      <c r="B106" s="38" t="str">
        <f>CONCATENATE(C106,"-",D106)</f>
        <v>A-08</v>
      </c>
      <c r="C106" s="39" t="s">
        <v>23</v>
      </c>
      <c r="D106" s="39" t="s">
        <v>148</v>
      </c>
      <c r="E106" s="39"/>
      <c r="F106" s="39"/>
      <c r="G106" s="39"/>
      <c r="H106" s="39"/>
      <c r="I106" s="39"/>
      <c r="J106" s="39"/>
      <c r="K106" s="40"/>
      <c r="L106" s="38" t="s">
        <v>149</v>
      </c>
      <c r="M106" s="41">
        <f>+M107+M112</f>
        <v>30002470214</v>
      </c>
      <c r="N106" s="41">
        <f t="shared" ref="N106:U106" si="101">+N107+N112</f>
        <v>0</v>
      </c>
      <c r="O106" s="41">
        <f t="shared" si="101"/>
        <v>0</v>
      </c>
      <c r="P106" s="41">
        <f t="shared" si="101"/>
        <v>0</v>
      </c>
      <c r="Q106" s="41">
        <f t="shared" si="101"/>
        <v>0</v>
      </c>
      <c r="R106" s="41">
        <f t="shared" si="101"/>
        <v>0</v>
      </c>
      <c r="S106" s="41">
        <f t="shared" si="101"/>
        <v>30002470214</v>
      </c>
      <c r="T106" s="41">
        <f t="shared" si="101"/>
        <v>20652187.84</v>
      </c>
      <c r="U106" s="41">
        <f t="shared" si="101"/>
        <v>29981818026.16</v>
      </c>
      <c r="V106" s="42">
        <f t="shared" si="72"/>
        <v>6.8834958230749638E-4</v>
      </c>
      <c r="W106" s="41">
        <f t="shared" ref="W106:X106" si="102">+W107+W112</f>
        <v>20364923.84</v>
      </c>
      <c r="X106" s="41">
        <f t="shared" si="102"/>
        <v>287264</v>
      </c>
      <c r="Y106" s="42">
        <f t="shared" si="81"/>
        <v>1.3909615883098612E-2</v>
      </c>
      <c r="Z106" s="41">
        <f t="shared" ref="Z106:AA106" si="103">+Z107+Z112</f>
        <v>20223585.84</v>
      </c>
      <c r="AA106" s="41">
        <f t="shared" si="103"/>
        <v>141338</v>
      </c>
      <c r="AB106" s="42">
        <f t="shared" si="70"/>
        <v>0.97924665399518274</v>
      </c>
    </row>
    <row r="107" spans="1:30" ht="24" customHeight="1">
      <c r="A107" s="32" t="e">
        <f>+CONCATENATE(#REF!,"=",J107)</f>
        <v>#REF!</v>
      </c>
      <c r="B107" s="43" t="str">
        <f>CONCATENATE(C107,"-",D107,"-",E107)</f>
        <v>A-08-01</v>
      </c>
      <c r="C107" s="44" t="s">
        <v>23</v>
      </c>
      <c r="D107" s="44" t="s">
        <v>148</v>
      </c>
      <c r="E107" s="44" t="s">
        <v>25</v>
      </c>
      <c r="F107" s="44"/>
      <c r="G107" s="44"/>
      <c r="H107" s="44"/>
      <c r="I107" s="44"/>
      <c r="J107" s="44"/>
      <c r="K107" s="45"/>
      <c r="L107" s="43" t="s">
        <v>150</v>
      </c>
      <c r="M107" s="46">
        <f>+M108</f>
        <v>145622400</v>
      </c>
      <c r="N107" s="741">
        <f t="shared" ref="N107:AA107" si="104">+N108</f>
        <v>0</v>
      </c>
      <c r="O107" s="741">
        <f t="shared" si="104"/>
        <v>0</v>
      </c>
      <c r="P107" s="741">
        <f t="shared" si="104"/>
        <v>0</v>
      </c>
      <c r="Q107" s="759">
        <f t="shared" si="104"/>
        <v>0</v>
      </c>
      <c r="R107" s="741">
        <f t="shared" si="104"/>
        <v>0</v>
      </c>
      <c r="S107" s="46">
        <f t="shared" si="104"/>
        <v>145622400</v>
      </c>
      <c r="T107" s="46">
        <f t="shared" si="104"/>
        <v>20652187.84</v>
      </c>
      <c r="U107" s="46">
        <f t="shared" si="104"/>
        <v>124970212.16</v>
      </c>
      <c r="V107" s="47">
        <f t="shared" si="72"/>
        <v>0.14182013096886192</v>
      </c>
      <c r="W107" s="46">
        <f t="shared" si="104"/>
        <v>20364923.84</v>
      </c>
      <c r="X107" s="46">
        <f t="shared" si="104"/>
        <v>287264</v>
      </c>
      <c r="Y107" s="47">
        <f t="shared" si="81"/>
        <v>1.3909615883098612E-2</v>
      </c>
      <c r="Z107" s="46">
        <f t="shared" si="104"/>
        <v>20223585.84</v>
      </c>
      <c r="AA107" s="46">
        <f t="shared" si="104"/>
        <v>141338</v>
      </c>
      <c r="AB107" s="47">
        <f t="shared" si="70"/>
        <v>0.97924665399518274</v>
      </c>
    </row>
    <row r="108" spans="1:30" ht="24" customHeight="1">
      <c r="A108" s="32" t="e">
        <f>+CONCATENATE(#REF!,"=",J108)</f>
        <v>#REF!</v>
      </c>
      <c r="B108" s="48" t="str">
        <f>CONCATENATE(C108,"-",D108,"-",E108,"-",F108)</f>
        <v>A-08-01-02</v>
      </c>
      <c r="C108" s="48" t="s">
        <v>23</v>
      </c>
      <c r="D108" s="48" t="s">
        <v>148</v>
      </c>
      <c r="E108" s="48" t="s">
        <v>25</v>
      </c>
      <c r="F108" s="48" t="s">
        <v>54</v>
      </c>
      <c r="G108" s="48"/>
      <c r="H108" s="48"/>
      <c r="I108" s="48"/>
      <c r="J108" s="49" t="s">
        <v>28</v>
      </c>
      <c r="K108" s="48" t="s">
        <v>29</v>
      </c>
      <c r="L108" s="48" t="s">
        <v>151</v>
      </c>
      <c r="M108" s="50">
        <f>SUM(M109:M111)</f>
        <v>145622400</v>
      </c>
      <c r="N108" s="742">
        <f t="shared" ref="N108:U108" si="105">SUM(N109:N111)</f>
        <v>0</v>
      </c>
      <c r="O108" s="742">
        <f t="shared" si="105"/>
        <v>0</v>
      </c>
      <c r="P108" s="742">
        <f t="shared" si="105"/>
        <v>0</v>
      </c>
      <c r="Q108" s="760">
        <f t="shared" si="105"/>
        <v>0</v>
      </c>
      <c r="R108" s="742">
        <f t="shared" si="105"/>
        <v>0</v>
      </c>
      <c r="S108" s="50">
        <f t="shared" si="105"/>
        <v>145622400</v>
      </c>
      <c r="T108" s="50">
        <f t="shared" si="105"/>
        <v>20652187.84</v>
      </c>
      <c r="U108" s="50">
        <f t="shared" si="105"/>
        <v>124970212.16</v>
      </c>
      <c r="V108" s="51">
        <f t="shared" si="72"/>
        <v>0.14182013096886192</v>
      </c>
      <c r="W108" s="50">
        <f t="shared" ref="W108:AA108" si="106">SUM(W109:W111)</f>
        <v>20364923.84</v>
      </c>
      <c r="X108" s="50">
        <f t="shared" si="106"/>
        <v>287264</v>
      </c>
      <c r="Y108" s="51">
        <f t="shared" si="81"/>
        <v>1.3909615883098612E-2</v>
      </c>
      <c r="Z108" s="50">
        <f t="shared" si="106"/>
        <v>20223585.84</v>
      </c>
      <c r="AA108" s="50">
        <f t="shared" si="106"/>
        <v>141338</v>
      </c>
      <c r="AB108" s="51">
        <f t="shared" si="70"/>
        <v>0.97924665399518274</v>
      </c>
    </row>
    <row r="109" spans="1:30" ht="24.95" customHeight="1">
      <c r="A109" s="32" t="e">
        <f>+CONCATENATE(#REF!,"=",J109)</f>
        <v>#REF!</v>
      </c>
      <c r="B109" s="56" t="str">
        <f t="shared" ref="B109:B111" si="107">CONCATENATE(C109,"-",D109,"-",E109,"-",F109,"-",G109)</f>
        <v>A-08-01-02-001</v>
      </c>
      <c r="C109" s="57" t="s">
        <v>23</v>
      </c>
      <c r="D109" s="57" t="s">
        <v>148</v>
      </c>
      <c r="E109" s="57" t="s">
        <v>25</v>
      </c>
      <c r="F109" s="57" t="s">
        <v>54</v>
      </c>
      <c r="G109" s="57" t="s">
        <v>31</v>
      </c>
      <c r="H109" s="57"/>
      <c r="I109" s="57"/>
      <c r="J109" s="57" t="s">
        <v>28</v>
      </c>
      <c r="K109" s="58" t="s">
        <v>29</v>
      </c>
      <c r="L109" s="59" t="s">
        <v>152</v>
      </c>
      <c r="M109" s="60">
        <v>69216000</v>
      </c>
      <c r="N109" s="60">
        <v>0</v>
      </c>
      <c r="O109" s="60"/>
      <c r="P109" s="60"/>
      <c r="Q109" s="61"/>
      <c r="R109" s="61"/>
      <c r="S109" s="60">
        <f>+M109-R109+N109-O109+P109-Q109</f>
        <v>69216000</v>
      </c>
      <c r="T109" s="60">
        <v>0</v>
      </c>
      <c r="U109" s="60">
        <f t="shared" si="9"/>
        <v>69216000</v>
      </c>
      <c r="V109" s="62">
        <f t="shared" si="72"/>
        <v>0</v>
      </c>
      <c r="W109" s="60">
        <v>0</v>
      </c>
      <c r="X109" s="60">
        <f t="shared" si="12"/>
        <v>0</v>
      </c>
      <c r="Y109" s="62">
        <f t="shared" si="81"/>
        <v>0</v>
      </c>
      <c r="Z109" s="60">
        <v>0</v>
      </c>
      <c r="AA109" s="60">
        <f t="shared" si="10"/>
        <v>0</v>
      </c>
      <c r="AB109" s="62">
        <f t="shared" si="70"/>
        <v>0</v>
      </c>
    </row>
    <row r="110" spans="1:30" ht="24.95" customHeight="1">
      <c r="A110" s="32" t="e">
        <f>+CONCATENATE(#REF!,"=",J110)</f>
        <v>#REF!</v>
      </c>
      <c r="B110" s="56" t="str">
        <f t="shared" si="107"/>
        <v>A-08-01-02-004</v>
      </c>
      <c r="C110" s="57" t="s">
        <v>23</v>
      </c>
      <c r="D110" s="57" t="s">
        <v>148</v>
      </c>
      <c r="E110" s="57" t="s">
        <v>25</v>
      </c>
      <c r="F110" s="57" t="s">
        <v>54</v>
      </c>
      <c r="G110" s="57" t="s">
        <v>38</v>
      </c>
      <c r="H110" s="57"/>
      <c r="I110" s="57"/>
      <c r="J110" s="57" t="s">
        <v>28</v>
      </c>
      <c r="K110" s="58" t="s">
        <v>29</v>
      </c>
      <c r="L110" s="59" t="s">
        <v>153</v>
      </c>
      <c r="M110" s="60">
        <v>56000000</v>
      </c>
      <c r="N110" s="60"/>
      <c r="O110" s="60"/>
      <c r="P110" s="60"/>
      <c r="Q110" s="61"/>
      <c r="R110" s="61"/>
      <c r="S110" s="60">
        <f>+M110-R110+N110-O110+P110-Q110</f>
        <v>56000000</v>
      </c>
      <c r="T110" s="60">
        <v>20652187.84</v>
      </c>
      <c r="U110" s="60">
        <f t="shared" si="9"/>
        <v>35347812.159999996</v>
      </c>
      <c r="V110" s="62">
        <f t="shared" si="72"/>
        <v>0.36878906857142857</v>
      </c>
      <c r="W110" s="60">
        <v>20364923.84</v>
      </c>
      <c r="X110" s="60">
        <f t="shared" si="12"/>
        <v>287264</v>
      </c>
      <c r="Y110" s="62">
        <f t="shared" si="81"/>
        <v>1.3909615883098612E-2</v>
      </c>
      <c r="Z110" s="60">
        <v>20223585.84</v>
      </c>
      <c r="AA110" s="60">
        <f t="shared" si="10"/>
        <v>141338</v>
      </c>
      <c r="AB110" s="62">
        <f t="shared" si="70"/>
        <v>0.97924665399518274</v>
      </c>
    </row>
    <row r="111" spans="1:30" ht="24.95" customHeight="1">
      <c r="A111" s="32" t="e">
        <f>+CONCATENATE(#REF!,"=",J111)</f>
        <v>#REF!</v>
      </c>
      <c r="B111" s="56" t="str">
        <f t="shared" si="107"/>
        <v>A-08-01-02-006</v>
      </c>
      <c r="C111" s="57" t="s">
        <v>23</v>
      </c>
      <c r="D111" s="57" t="s">
        <v>148</v>
      </c>
      <c r="E111" s="57" t="s">
        <v>25</v>
      </c>
      <c r="F111" s="57" t="s">
        <v>54</v>
      </c>
      <c r="G111" s="57" t="s">
        <v>42</v>
      </c>
      <c r="H111" s="57"/>
      <c r="I111" s="57"/>
      <c r="J111" s="57" t="s">
        <v>28</v>
      </c>
      <c r="K111" s="58" t="s">
        <v>29</v>
      </c>
      <c r="L111" s="59" t="s">
        <v>154</v>
      </c>
      <c r="M111" s="60">
        <v>20406400</v>
      </c>
      <c r="N111" s="60">
        <v>0</v>
      </c>
      <c r="O111" s="60"/>
      <c r="P111" s="60"/>
      <c r="Q111" s="61"/>
      <c r="R111" s="61"/>
      <c r="S111" s="60">
        <f>+M111-R111+N111-O111+P111-Q111</f>
        <v>20406400</v>
      </c>
      <c r="T111" s="60">
        <v>0</v>
      </c>
      <c r="U111" s="60">
        <f t="shared" si="9"/>
        <v>20406400</v>
      </c>
      <c r="V111" s="62">
        <f t="shared" si="72"/>
        <v>0</v>
      </c>
      <c r="W111" s="60">
        <v>0</v>
      </c>
      <c r="X111" s="60">
        <f t="shared" si="12"/>
        <v>0</v>
      </c>
      <c r="Y111" s="62">
        <f t="shared" si="81"/>
        <v>0</v>
      </c>
      <c r="Z111" s="60">
        <v>0</v>
      </c>
      <c r="AA111" s="60">
        <f t="shared" si="10"/>
        <v>0</v>
      </c>
      <c r="AB111" s="62">
        <f t="shared" si="70"/>
        <v>0</v>
      </c>
    </row>
    <row r="112" spans="1:30" ht="24" customHeight="1">
      <c r="A112" s="32" t="e">
        <f>+CONCATENATE(#REF!,"=",J112)</f>
        <v>#REF!</v>
      </c>
      <c r="B112" s="43" t="str">
        <f>CONCATENATE(C112,"-",D112,"-",E112)</f>
        <v>A-08-04</v>
      </c>
      <c r="C112" s="44" t="s">
        <v>23</v>
      </c>
      <c r="D112" s="44" t="s">
        <v>148</v>
      </c>
      <c r="E112" s="44" t="s">
        <v>136</v>
      </c>
      <c r="F112" s="44"/>
      <c r="G112" s="44"/>
      <c r="H112" s="44"/>
      <c r="I112" s="44"/>
      <c r="J112" s="44"/>
      <c r="K112" s="45"/>
      <c r="L112" s="43" t="s">
        <v>155</v>
      </c>
      <c r="M112" s="46">
        <f t="shared" ref="M112:U112" si="108">SUM(M113:M113)</f>
        <v>29856847814</v>
      </c>
      <c r="N112" s="741">
        <f t="shared" si="108"/>
        <v>0</v>
      </c>
      <c r="O112" s="741">
        <f t="shared" si="108"/>
        <v>0</v>
      </c>
      <c r="P112" s="46">
        <f t="shared" si="108"/>
        <v>0</v>
      </c>
      <c r="Q112" s="741">
        <f t="shared" si="108"/>
        <v>0</v>
      </c>
      <c r="R112" s="741">
        <f t="shared" si="108"/>
        <v>0</v>
      </c>
      <c r="S112" s="46">
        <f t="shared" si="108"/>
        <v>29856847814</v>
      </c>
      <c r="T112" s="46">
        <f t="shared" si="108"/>
        <v>0</v>
      </c>
      <c r="U112" s="46">
        <f t="shared" si="108"/>
        <v>29856847814</v>
      </c>
      <c r="V112" s="47">
        <f t="shared" si="72"/>
        <v>0</v>
      </c>
      <c r="W112" s="46">
        <f>SUM(W113:W113)</f>
        <v>0</v>
      </c>
      <c r="X112" s="46">
        <f>SUM(X113:X113)</f>
        <v>0</v>
      </c>
      <c r="Y112" s="47">
        <f t="shared" si="81"/>
        <v>0</v>
      </c>
      <c r="Z112" s="46">
        <f>SUM(Z113:Z113)</f>
        <v>0</v>
      </c>
      <c r="AA112" s="46">
        <f>SUM(AA113:AA113)</f>
        <v>0</v>
      </c>
      <c r="AB112" s="47">
        <f t="shared" si="70"/>
        <v>0</v>
      </c>
    </row>
    <row r="113" spans="1:28" ht="24.95" customHeight="1">
      <c r="A113" s="32" t="e">
        <f>+CONCATENATE(#REF!,"=",J113)</f>
        <v>#REF!</v>
      </c>
      <c r="B113" s="56" t="str">
        <f>CONCATENATE(C113,"-",D113,"-",E113,"-",F113)</f>
        <v>A-08-04-01</v>
      </c>
      <c r="C113" s="57" t="s">
        <v>23</v>
      </c>
      <c r="D113" s="57" t="s">
        <v>148</v>
      </c>
      <c r="E113" s="57" t="s">
        <v>136</v>
      </c>
      <c r="F113" s="57" t="s">
        <v>25</v>
      </c>
      <c r="G113" s="57"/>
      <c r="H113" s="57"/>
      <c r="I113" s="57"/>
      <c r="J113" s="57" t="s">
        <v>144</v>
      </c>
      <c r="K113" s="58" t="s">
        <v>156</v>
      </c>
      <c r="L113" s="59" t="s">
        <v>157</v>
      </c>
      <c r="M113" s="60">
        <v>29856847814</v>
      </c>
      <c r="N113" s="60"/>
      <c r="O113" s="60"/>
      <c r="P113" s="60"/>
      <c r="Q113" s="60"/>
      <c r="R113" s="61"/>
      <c r="S113" s="60">
        <f>+M113-R113+N113-O113+P113-Q113</f>
        <v>29856847814</v>
      </c>
      <c r="T113" s="61">
        <v>0</v>
      </c>
      <c r="U113" s="60">
        <f t="shared" si="9"/>
        <v>29856847814</v>
      </c>
      <c r="V113" s="62">
        <f t="shared" si="72"/>
        <v>0</v>
      </c>
      <c r="W113" s="60">
        <v>0</v>
      </c>
      <c r="X113" s="60">
        <f t="shared" si="12"/>
        <v>0</v>
      </c>
      <c r="Y113" s="62">
        <f t="shared" si="81"/>
        <v>0</v>
      </c>
      <c r="Z113" s="60">
        <v>0</v>
      </c>
      <c r="AA113" s="60">
        <f t="shared" si="10"/>
        <v>0</v>
      </c>
      <c r="AB113" s="62">
        <f t="shared" si="70"/>
        <v>0</v>
      </c>
    </row>
    <row r="114" spans="1:28" ht="35.1" customHeight="1">
      <c r="A114" s="32" t="e">
        <f>+CONCATENATE(#REF!,"=",J114)</f>
        <v>#REF!</v>
      </c>
      <c r="B114" s="33" t="str">
        <f>CONCATENATE(C117)</f>
        <v>B</v>
      </c>
      <c r="C114" s="34" t="s">
        <v>162</v>
      </c>
      <c r="D114" s="35"/>
      <c r="E114" s="35"/>
      <c r="F114" s="35"/>
      <c r="G114" s="35"/>
      <c r="H114" s="35"/>
      <c r="I114" s="35"/>
      <c r="J114" s="34"/>
      <c r="K114" s="35"/>
      <c r="L114" s="33" t="s">
        <v>163</v>
      </c>
      <c r="M114" s="36">
        <f>+M115</f>
        <v>3731140006</v>
      </c>
      <c r="N114" s="739">
        <f t="shared" ref="N114:AA116" si="109">+N115</f>
        <v>0</v>
      </c>
      <c r="O114" s="739">
        <f t="shared" si="109"/>
        <v>0</v>
      </c>
      <c r="P114" s="739">
        <f t="shared" si="109"/>
        <v>0</v>
      </c>
      <c r="Q114" s="739">
        <f t="shared" si="109"/>
        <v>0</v>
      </c>
      <c r="R114" s="739">
        <f t="shared" si="109"/>
        <v>0</v>
      </c>
      <c r="S114" s="36">
        <f t="shared" si="109"/>
        <v>3731140006</v>
      </c>
      <c r="T114" s="36">
        <f t="shared" si="109"/>
        <v>0</v>
      </c>
      <c r="U114" s="36">
        <f t="shared" si="109"/>
        <v>3731140006</v>
      </c>
      <c r="V114" s="37">
        <f t="shared" si="72"/>
        <v>0</v>
      </c>
      <c r="W114" s="36">
        <f t="shared" si="109"/>
        <v>0</v>
      </c>
      <c r="X114" s="36">
        <f t="shared" si="109"/>
        <v>0</v>
      </c>
      <c r="Y114" s="37">
        <f t="shared" si="81"/>
        <v>0</v>
      </c>
      <c r="Z114" s="36">
        <f t="shared" si="109"/>
        <v>0</v>
      </c>
      <c r="AA114" s="36">
        <f t="shared" si="109"/>
        <v>0</v>
      </c>
      <c r="AB114" s="37">
        <f>+IF(T114&gt;0,(Z114/T114),0)</f>
        <v>0</v>
      </c>
    </row>
    <row r="115" spans="1:28" ht="24" customHeight="1">
      <c r="A115" s="32" t="e">
        <f>+CONCATENATE(#REF!,"=",J115)</f>
        <v>#REF!</v>
      </c>
      <c r="B115" s="38" t="str">
        <f>CONCATENATE(C115,"-",D115)</f>
        <v>B-10</v>
      </c>
      <c r="C115" s="39" t="s">
        <v>162</v>
      </c>
      <c r="D115" s="39">
        <v>10</v>
      </c>
      <c r="E115" s="39"/>
      <c r="F115" s="39"/>
      <c r="G115" s="39"/>
      <c r="H115" s="39"/>
      <c r="I115" s="39"/>
      <c r="J115" s="39"/>
      <c r="K115" s="40"/>
      <c r="L115" s="38" t="s">
        <v>164</v>
      </c>
      <c r="M115" s="41">
        <f>+M116</f>
        <v>3731140006</v>
      </c>
      <c r="N115" s="740">
        <f t="shared" si="109"/>
        <v>0</v>
      </c>
      <c r="O115" s="740">
        <f t="shared" si="109"/>
        <v>0</v>
      </c>
      <c r="P115" s="740">
        <f>+P116</f>
        <v>0</v>
      </c>
      <c r="Q115" s="740">
        <f t="shared" si="109"/>
        <v>0</v>
      </c>
      <c r="R115" s="740">
        <f t="shared" si="109"/>
        <v>0</v>
      </c>
      <c r="S115" s="41">
        <f t="shared" si="109"/>
        <v>3731140006</v>
      </c>
      <c r="T115" s="41">
        <f t="shared" si="109"/>
        <v>0</v>
      </c>
      <c r="U115" s="41">
        <f t="shared" si="109"/>
        <v>3731140006</v>
      </c>
      <c r="V115" s="42">
        <f t="shared" si="72"/>
        <v>0</v>
      </c>
      <c r="W115" s="41">
        <f t="shared" si="109"/>
        <v>0</v>
      </c>
      <c r="X115" s="41">
        <f t="shared" si="109"/>
        <v>0</v>
      </c>
      <c r="Y115" s="42">
        <f t="shared" si="81"/>
        <v>0</v>
      </c>
      <c r="Z115" s="41">
        <f t="shared" si="109"/>
        <v>0</v>
      </c>
      <c r="AA115" s="41">
        <f t="shared" si="109"/>
        <v>0</v>
      </c>
      <c r="AB115" s="42">
        <f t="shared" ref="AB115:AB117" si="110">+IF(T115&gt;0,(Z115/T115),0)</f>
        <v>0</v>
      </c>
    </row>
    <row r="116" spans="1:28" ht="24" customHeight="1">
      <c r="A116" s="32" t="e">
        <f>+CONCATENATE(#REF!,"=",J116)</f>
        <v>#REF!</v>
      </c>
      <c r="B116" s="43" t="str">
        <f>CONCATENATE(C116,"-",D116,"-",E116)</f>
        <v>B-10-04</v>
      </c>
      <c r="C116" s="44" t="s">
        <v>162</v>
      </c>
      <c r="D116" s="44">
        <v>10</v>
      </c>
      <c r="E116" s="44" t="s">
        <v>136</v>
      </c>
      <c r="F116" s="44"/>
      <c r="G116" s="44"/>
      <c r="H116" s="44"/>
      <c r="I116" s="44"/>
      <c r="J116" s="44"/>
      <c r="K116" s="45"/>
      <c r="L116" s="43" t="s">
        <v>165</v>
      </c>
      <c r="M116" s="46">
        <f>+M117</f>
        <v>3731140006</v>
      </c>
      <c r="N116" s="741">
        <f t="shared" si="109"/>
        <v>0</v>
      </c>
      <c r="O116" s="741">
        <f t="shared" si="109"/>
        <v>0</v>
      </c>
      <c r="P116" s="741">
        <f t="shared" si="109"/>
        <v>0</v>
      </c>
      <c r="Q116" s="741">
        <f t="shared" si="109"/>
        <v>0</v>
      </c>
      <c r="R116" s="741">
        <f t="shared" si="109"/>
        <v>0</v>
      </c>
      <c r="S116" s="46">
        <f t="shared" si="109"/>
        <v>3731140006</v>
      </c>
      <c r="T116" s="46">
        <f t="shared" si="109"/>
        <v>0</v>
      </c>
      <c r="U116" s="46">
        <f t="shared" si="109"/>
        <v>3731140006</v>
      </c>
      <c r="V116" s="47">
        <f t="shared" si="72"/>
        <v>0</v>
      </c>
      <c r="W116" s="46">
        <f t="shared" si="109"/>
        <v>0</v>
      </c>
      <c r="X116" s="46">
        <f t="shared" si="109"/>
        <v>0</v>
      </c>
      <c r="Y116" s="47">
        <f t="shared" si="81"/>
        <v>0</v>
      </c>
      <c r="Z116" s="46">
        <f t="shared" si="109"/>
        <v>0</v>
      </c>
      <c r="AA116" s="46">
        <f t="shared" si="109"/>
        <v>0</v>
      </c>
      <c r="AB116" s="47">
        <f t="shared" si="110"/>
        <v>0</v>
      </c>
    </row>
    <row r="117" spans="1:28" ht="24.95" customHeight="1">
      <c r="A117" s="32" t="e">
        <f>+CONCATENATE(#REF!,"=",J117)</f>
        <v>#REF!</v>
      </c>
      <c r="B117" s="56" t="str">
        <f>CONCATENATE(C117,"-",D117,"-",E117,"-",F117)</f>
        <v>B-10-04-01</v>
      </c>
      <c r="C117" s="57" t="s">
        <v>162</v>
      </c>
      <c r="D117" s="57">
        <v>10</v>
      </c>
      <c r="E117" s="57" t="s">
        <v>136</v>
      </c>
      <c r="F117" s="57" t="s">
        <v>25</v>
      </c>
      <c r="G117" s="57"/>
      <c r="H117" s="57"/>
      <c r="I117" s="57"/>
      <c r="J117" s="57" t="s">
        <v>144</v>
      </c>
      <c r="K117" s="58" t="s">
        <v>29</v>
      </c>
      <c r="L117" s="59" t="s">
        <v>166</v>
      </c>
      <c r="M117" s="60">
        <v>3731140006</v>
      </c>
      <c r="N117" s="60"/>
      <c r="O117" s="60"/>
      <c r="P117" s="60"/>
      <c r="Q117" s="60"/>
      <c r="R117" s="61"/>
      <c r="S117" s="60">
        <f>+M117-R117+N117-O117+P117-Q117</f>
        <v>3731140006</v>
      </c>
      <c r="T117" s="61">
        <v>0</v>
      </c>
      <c r="U117" s="60">
        <f t="shared" ref="U117" si="111">+S117-T117</f>
        <v>3731140006</v>
      </c>
      <c r="V117" s="62">
        <f t="shared" si="72"/>
        <v>0</v>
      </c>
      <c r="W117" s="60">
        <v>0</v>
      </c>
      <c r="X117" s="60">
        <f t="shared" ref="X117" si="112">+T117-W117</f>
        <v>0</v>
      </c>
      <c r="Y117" s="62">
        <f t="shared" si="81"/>
        <v>0</v>
      </c>
      <c r="Z117" s="60">
        <v>0</v>
      </c>
      <c r="AA117" s="60">
        <f t="shared" ref="AA117" si="113">+W117-Z117</f>
        <v>0</v>
      </c>
      <c r="AB117" s="62">
        <f t="shared" si="110"/>
        <v>0</v>
      </c>
    </row>
    <row r="118" spans="1:28" ht="35.1" customHeight="1">
      <c r="A118" s="32" t="e">
        <f>+CONCATENATE(#REF!,"=",J118)</f>
        <v>#REF!</v>
      </c>
      <c r="B118" s="33" t="str">
        <f>CONCATENATE(C119)</f>
        <v>C</v>
      </c>
      <c r="C118" s="34" t="s">
        <v>167</v>
      </c>
      <c r="D118" s="35"/>
      <c r="E118" s="35"/>
      <c r="F118" s="35"/>
      <c r="G118" s="35"/>
      <c r="H118" s="35"/>
      <c r="I118" s="35"/>
      <c r="J118" s="34"/>
      <c r="K118" s="35"/>
      <c r="L118" s="33" t="s">
        <v>168</v>
      </c>
      <c r="M118" s="36">
        <f t="shared" ref="M118:U118" si="114">+M119+M135+M223</f>
        <v>6468380211524</v>
      </c>
      <c r="N118" s="36">
        <f t="shared" si="114"/>
        <v>0</v>
      </c>
      <c r="O118" s="739">
        <f t="shared" si="114"/>
        <v>0</v>
      </c>
      <c r="P118" s="36">
        <f t="shared" si="114"/>
        <v>112452704310.39999</v>
      </c>
      <c r="Q118" s="36">
        <f t="shared" si="114"/>
        <v>112452704310.39999</v>
      </c>
      <c r="R118" s="739">
        <f t="shared" si="114"/>
        <v>0</v>
      </c>
      <c r="S118" s="36">
        <f t="shared" si="114"/>
        <v>6468380211524</v>
      </c>
      <c r="T118" s="36">
        <f t="shared" si="114"/>
        <v>2106818734667.7297</v>
      </c>
      <c r="U118" s="36">
        <f t="shared" si="114"/>
        <v>4361561476856.2705</v>
      </c>
      <c r="V118" s="37">
        <f t="shared" si="72"/>
        <v>0.32571040442462595</v>
      </c>
      <c r="W118" s="36">
        <f>+W119+W135+W223</f>
        <v>1626469351795.2402</v>
      </c>
      <c r="X118" s="36">
        <f>+X119+X135+X223</f>
        <v>480349382872.48987</v>
      </c>
      <c r="Y118" s="37">
        <f t="shared" si="81"/>
        <v>0.22799748975473519</v>
      </c>
      <c r="Z118" s="36">
        <f>+Z119+Z135+Z223</f>
        <v>1624944917050.04</v>
      </c>
      <c r="AA118" s="36">
        <f>+AA119+AA135+AA223</f>
        <v>1524434745.1999998</v>
      </c>
      <c r="AB118" s="37">
        <f t="shared" si="70"/>
        <v>0.77127893838779304</v>
      </c>
    </row>
    <row r="119" spans="1:28" ht="24" hidden="1" customHeight="1">
      <c r="A119" s="32" t="e">
        <f>+CONCATENATE(#REF!,"=",J119)</f>
        <v>#REF!</v>
      </c>
      <c r="B119" s="69" t="str">
        <f>CONCATENATE(C119,"-",D119)</f>
        <v>C-4101</v>
      </c>
      <c r="C119" s="70" t="s">
        <v>167</v>
      </c>
      <c r="D119" s="70">
        <v>4101</v>
      </c>
      <c r="E119" s="70"/>
      <c r="F119" s="70"/>
      <c r="G119" s="70"/>
      <c r="H119" s="70"/>
      <c r="I119" s="70"/>
      <c r="J119" s="70"/>
      <c r="K119" s="71"/>
      <c r="L119" s="69" t="s">
        <v>169</v>
      </c>
      <c r="M119" s="41">
        <f>+M120</f>
        <v>0</v>
      </c>
      <c r="N119" s="41">
        <f t="shared" ref="N119:R119" si="115">+N120</f>
        <v>0</v>
      </c>
      <c r="O119" s="740">
        <f t="shared" si="115"/>
        <v>0</v>
      </c>
      <c r="P119" s="41">
        <f t="shared" si="115"/>
        <v>0</v>
      </c>
      <c r="Q119" s="41">
        <f t="shared" si="115"/>
        <v>0</v>
      </c>
      <c r="R119" s="740">
        <f t="shared" si="115"/>
        <v>0</v>
      </c>
      <c r="S119" s="41">
        <f>+S120</f>
        <v>0</v>
      </c>
      <c r="T119" s="41">
        <f t="shared" ref="T119:AA119" si="116">+T120</f>
        <v>0</v>
      </c>
      <c r="U119" s="41">
        <f t="shared" si="116"/>
        <v>0</v>
      </c>
      <c r="V119" s="42">
        <f t="shared" si="72"/>
        <v>0</v>
      </c>
      <c r="W119" s="41">
        <f t="shared" si="116"/>
        <v>0</v>
      </c>
      <c r="X119" s="41">
        <f t="shared" si="116"/>
        <v>0</v>
      </c>
      <c r="Y119" s="42">
        <f t="shared" si="81"/>
        <v>0</v>
      </c>
      <c r="Z119" s="41">
        <f t="shared" si="116"/>
        <v>0</v>
      </c>
      <c r="AA119" s="41">
        <f t="shared" si="116"/>
        <v>0</v>
      </c>
      <c r="AB119" s="42">
        <f t="shared" si="70"/>
        <v>0</v>
      </c>
    </row>
    <row r="120" spans="1:28" ht="24" hidden="1" customHeight="1">
      <c r="A120" s="32" t="e">
        <f>+CONCATENATE(#REF!,"=",J120)</f>
        <v>#REF!</v>
      </c>
      <c r="B120" s="72" t="str">
        <f>CONCATENATE(C120,"-",D120,"-",E120)</f>
        <v>C-4101-1500</v>
      </c>
      <c r="C120" s="73" t="s">
        <v>167</v>
      </c>
      <c r="D120" s="73">
        <v>4101</v>
      </c>
      <c r="E120" s="73">
        <v>1500</v>
      </c>
      <c r="F120" s="73"/>
      <c r="G120" s="73"/>
      <c r="H120" s="73"/>
      <c r="I120" s="73"/>
      <c r="J120" s="73"/>
      <c r="K120" s="74"/>
      <c r="L120" s="72" t="s">
        <v>170</v>
      </c>
      <c r="M120" s="46"/>
      <c r="N120" s="46"/>
      <c r="O120" s="741"/>
      <c r="P120" s="46"/>
      <c r="Q120" s="46"/>
      <c r="R120" s="741"/>
      <c r="S120" s="46"/>
      <c r="T120" s="46"/>
      <c r="U120" s="46"/>
      <c r="V120" s="47">
        <f t="shared" si="72"/>
        <v>0</v>
      </c>
      <c r="W120" s="46"/>
      <c r="X120" s="46"/>
      <c r="Y120" s="47">
        <f t="shared" si="81"/>
        <v>0</v>
      </c>
      <c r="Z120" s="46"/>
      <c r="AA120" s="46"/>
      <c r="AB120" s="47">
        <f t="shared" si="70"/>
        <v>0</v>
      </c>
    </row>
    <row r="121" spans="1:28" ht="60" hidden="1" customHeight="1">
      <c r="A121" s="32" t="e">
        <f>+CONCATENATE(#REF!,"=",J121)</f>
        <v>#REF!</v>
      </c>
      <c r="B121" s="75" t="str">
        <f>CONCATENATE(C121,"-",D121,"-",E121,"-",F121)</f>
        <v>C-4101-1500-6</v>
      </c>
      <c r="C121" s="75" t="s">
        <v>167</v>
      </c>
      <c r="D121" s="75" t="s">
        <v>171</v>
      </c>
      <c r="E121" s="75" t="s">
        <v>172</v>
      </c>
      <c r="F121" s="75" t="s">
        <v>173</v>
      </c>
      <c r="G121" s="75"/>
      <c r="H121" s="75"/>
      <c r="I121" s="75"/>
      <c r="J121" s="76"/>
      <c r="K121" s="75"/>
      <c r="L121" s="75" t="s">
        <v>174</v>
      </c>
      <c r="M121" s="50">
        <f>+M126+M128+M130+M132+M122+M124</f>
        <v>0</v>
      </c>
      <c r="N121" s="50">
        <f t="shared" ref="N121:U121" si="117">+N126+N128+N130+N132+N122+N124</f>
        <v>0</v>
      </c>
      <c r="O121" s="742">
        <f t="shared" si="117"/>
        <v>0</v>
      </c>
      <c r="P121" s="50">
        <f t="shared" si="117"/>
        <v>0</v>
      </c>
      <c r="Q121" s="50">
        <f t="shared" si="117"/>
        <v>0</v>
      </c>
      <c r="R121" s="742">
        <f t="shared" si="117"/>
        <v>0</v>
      </c>
      <c r="S121" s="50">
        <f t="shared" si="117"/>
        <v>0</v>
      </c>
      <c r="T121" s="50">
        <f t="shared" si="117"/>
        <v>0</v>
      </c>
      <c r="U121" s="50">
        <f t="shared" si="117"/>
        <v>0</v>
      </c>
      <c r="V121" s="51">
        <f t="shared" si="72"/>
        <v>0</v>
      </c>
      <c r="W121" s="50">
        <f t="shared" ref="W121:AA121" si="118">+W126+W128+W130+W132+W122+W124</f>
        <v>0</v>
      </c>
      <c r="X121" s="50">
        <f t="shared" si="118"/>
        <v>0</v>
      </c>
      <c r="Y121" s="51">
        <f t="shared" si="81"/>
        <v>0</v>
      </c>
      <c r="Z121" s="50">
        <f t="shared" si="118"/>
        <v>0</v>
      </c>
      <c r="AA121" s="50">
        <f t="shared" si="118"/>
        <v>0</v>
      </c>
      <c r="AB121" s="51">
        <f t="shared" si="70"/>
        <v>0</v>
      </c>
    </row>
    <row r="122" spans="1:28" ht="24" hidden="1" customHeight="1">
      <c r="A122" s="32" t="e">
        <f>+CONCATENATE(#REF!,"=",J122)</f>
        <v>#REF!</v>
      </c>
      <c r="B122" s="77" t="str">
        <f>CONCATENATE(C122,"-",D122,"-",E122,"-",F122,"-",G122,"-",H122)</f>
        <v>C-4101-1500-6-0-4101073</v>
      </c>
      <c r="C122" s="52" t="s">
        <v>167</v>
      </c>
      <c r="D122" s="52" t="s">
        <v>171</v>
      </c>
      <c r="E122" s="52" t="s">
        <v>172</v>
      </c>
      <c r="F122" s="52" t="s">
        <v>173</v>
      </c>
      <c r="G122" s="52" t="s">
        <v>175</v>
      </c>
      <c r="H122" s="52" t="s">
        <v>176</v>
      </c>
      <c r="I122" s="52"/>
      <c r="J122" s="53" t="s">
        <v>144</v>
      </c>
      <c r="K122" s="52" t="s">
        <v>29</v>
      </c>
      <c r="L122" s="77" t="s">
        <v>177</v>
      </c>
      <c r="M122" s="54">
        <f t="shared" ref="M122:U122" si="119">SUM(M123:M123)</f>
        <v>0</v>
      </c>
      <c r="N122" s="54">
        <f t="shared" si="119"/>
        <v>0</v>
      </c>
      <c r="O122" s="743">
        <f t="shared" si="119"/>
        <v>0</v>
      </c>
      <c r="P122" s="54">
        <f t="shared" si="119"/>
        <v>0</v>
      </c>
      <c r="Q122" s="54">
        <f t="shared" si="119"/>
        <v>0</v>
      </c>
      <c r="R122" s="743">
        <f t="shared" si="119"/>
        <v>0</v>
      </c>
      <c r="S122" s="54">
        <f t="shared" si="119"/>
        <v>0</v>
      </c>
      <c r="T122" s="54">
        <f t="shared" si="119"/>
        <v>0</v>
      </c>
      <c r="U122" s="54">
        <f t="shared" si="119"/>
        <v>0</v>
      </c>
      <c r="V122" s="55">
        <f t="shared" si="72"/>
        <v>0</v>
      </c>
      <c r="W122" s="54">
        <f t="shared" ref="W122:X122" si="120">SUM(W123:W123)</f>
        <v>0</v>
      </c>
      <c r="X122" s="54">
        <f t="shared" si="120"/>
        <v>0</v>
      </c>
      <c r="Y122" s="55">
        <f t="shared" si="81"/>
        <v>0</v>
      </c>
      <c r="Z122" s="54">
        <f t="shared" ref="Z122:AA122" si="121">SUM(Z123:Z123)</f>
        <v>0</v>
      </c>
      <c r="AA122" s="54">
        <f t="shared" si="121"/>
        <v>0</v>
      </c>
      <c r="AB122" s="55">
        <f t="shared" si="70"/>
        <v>0</v>
      </c>
    </row>
    <row r="123" spans="1:28" ht="24.95" hidden="1" customHeight="1">
      <c r="A123" s="32" t="e">
        <f>+CONCATENATE(#REF!,"=",J123)</f>
        <v>#REF!</v>
      </c>
      <c r="B123" s="78" t="str">
        <f>CONCATENATE(C123,"-",D123,"-",E123,"-",F123,"-",G123,"-",H123,"-",I123)</f>
        <v>C-4101-1500-6-0-4101073-02</v>
      </c>
      <c r="C123" s="79" t="s">
        <v>167</v>
      </c>
      <c r="D123" s="79" t="s">
        <v>171</v>
      </c>
      <c r="E123" s="79" t="s">
        <v>172</v>
      </c>
      <c r="F123" s="79" t="s">
        <v>173</v>
      </c>
      <c r="G123" s="79" t="s">
        <v>175</v>
      </c>
      <c r="H123" s="79" t="s">
        <v>176</v>
      </c>
      <c r="I123" s="79" t="s">
        <v>54</v>
      </c>
      <c r="J123" s="79" t="s">
        <v>144</v>
      </c>
      <c r="K123" s="80" t="s">
        <v>29</v>
      </c>
      <c r="L123" s="59" t="s">
        <v>178</v>
      </c>
      <c r="M123" s="60"/>
      <c r="N123" s="60"/>
      <c r="O123" s="745"/>
      <c r="P123" s="60"/>
      <c r="Q123" s="60"/>
      <c r="R123" s="745"/>
      <c r="S123" s="60">
        <f>+M123-R123+N123-O123+P123-Q123</f>
        <v>0</v>
      </c>
      <c r="T123" s="60"/>
      <c r="U123" s="60">
        <f t="shared" ref="U123:U165" si="122">+S123-T123</f>
        <v>0</v>
      </c>
      <c r="V123" s="62">
        <f t="shared" si="72"/>
        <v>0</v>
      </c>
      <c r="W123" s="60"/>
      <c r="X123" s="60">
        <f t="shared" ref="X123:X165" si="123">+T123-W123</f>
        <v>0</v>
      </c>
      <c r="Y123" s="62">
        <f t="shared" si="81"/>
        <v>0</v>
      </c>
      <c r="Z123" s="60"/>
      <c r="AA123" s="60">
        <f t="shared" ref="AA123:AA165" si="124">+W123-Z123</f>
        <v>0</v>
      </c>
      <c r="AB123" s="62">
        <f t="shared" si="70"/>
        <v>0</v>
      </c>
    </row>
    <row r="124" spans="1:28" ht="33" hidden="1" customHeight="1">
      <c r="A124" s="32" t="e">
        <f>+CONCATENATE(#REF!,"=",J124)</f>
        <v>#REF!</v>
      </c>
      <c r="B124" s="77" t="str">
        <f>CONCATENATE(C124,"-",D124,"-",E124,"-",F124,"-",G124,"-",H124)</f>
        <v>C-4101-1500-6-0-4101074</v>
      </c>
      <c r="C124" s="52" t="s">
        <v>167</v>
      </c>
      <c r="D124" s="52" t="s">
        <v>171</v>
      </c>
      <c r="E124" s="52" t="s">
        <v>172</v>
      </c>
      <c r="F124" s="52" t="s">
        <v>173</v>
      </c>
      <c r="G124" s="52" t="s">
        <v>175</v>
      </c>
      <c r="H124" s="52" t="s">
        <v>179</v>
      </c>
      <c r="I124" s="52"/>
      <c r="J124" s="53" t="s">
        <v>144</v>
      </c>
      <c r="K124" s="52" t="s">
        <v>29</v>
      </c>
      <c r="L124" s="77" t="s">
        <v>180</v>
      </c>
      <c r="M124" s="54">
        <f>+M125</f>
        <v>0</v>
      </c>
      <c r="N124" s="54">
        <f t="shared" ref="N124:AA124" si="125">+N125</f>
        <v>0</v>
      </c>
      <c r="O124" s="743">
        <f t="shared" si="125"/>
        <v>0</v>
      </c>
      <c r="P124" s="54">
        <f t="shared" si="125"/>
        <v>0</v>
      </c>
      <c r="Q124" s="54">
        <f t="shared" si="125"/>
        <v>0</v>
      </c>
      <c r="R124" s="743">
        <f t="shared" si="125"/>
        <v>0</v>
      </c>
      <c r="S124" s="54">
        <f t="shared" si="125"/>
        <v>0</v>
      </c>
      <c r="T124" s="54">
        <f t="shared" si="125"/>
        <v>0</v>
      </c>
      <c r="U124" s="54">
        <f t="shared" si="125"/>
        <v>0</v>
      </c>
      <c r="V124" s="55">
        <f t="shared" si="72"/>
        <v>0</v>
      </c>
      <c r="W124" s="54">
        <f t="shared" si="125"/>
        <v>0</v>
      </c>
      <c r="X124" s="54">
        <f t="shared" si="125"/>
        <v>0</v>
      </c>
      <c r="Y124" s="55">
        <f t="shared" si="81"/>
        <v>0</v>
      </c>
      <c r="Z124" s="54">
        <f t="shared" si="125"/>
        <v>0</v>
      </c>
      <c r="AA124" s="54">
        <f t="shared" si="125"/>
        <v>0</v>
      </c>
      <c r="AB124" s="55">
        <f t="shared" si="70"/>
        <v>0</v>
      </c>
    </row>
    <row r="125" spans="1:28" ht="24.95" hidden="1" customHeight="1">
      <c r="A125" s="32" t="e">
        <f>+CONCATENATE(#REF!,"=",J125)</f>
        <v>#REF!</v>
      </c>
      <c r="B125" s="78" t="str">
        <f t="shared" ref="B125:B131" si="126">CONCATENATE(C125,"-",D125,"-",E125,"-",F125,"-",G125,"-",H125,"-",I125)</f>
        <v>C-4101-1500-6-0-4101074-02</v>
      </c>
      <c r="C125" s="79" t="s">
        <v>167</v>
      </c>
      <c r="D125" s="79" t="s">
        <v>171</v>
      </c>
      <c r="E125" s="79" t="s">
        <v>172</v>
      </c>
      <c r="F125" s="79" t="s">
        <v>173</v>
      </c>
      <c r="G125" s="79" t="s">
        <v>175</v>
      </c>
      <c r="H125" s="79" t="s">
        <v>179</v>
      </c>
      <c r="I125" s="79" t="s">
        <v>54</v>
      </c>
      <c r="J125" s="79" t="s">
        <v>144</v>
      </c>
      <c r="K125" s="80" t="s">
        <v>29</v>
      </c>
      <c r="L125" s="59" t="s">
        <v>178</v>
      </c>
      <c r="M125" s="60"/>
      <c r="N125" s="60"/>
      <c r="O125" s="745"/>
      <c r="P125" s="60"/>
      <c r="Q125" s="60"/>
      <c r="R125" s="745"/>
      <c r="S125" s="60">
        <f>+M125-R125+N125-O125+P125-Q125</f>
        <v>0</v>
      </c>
      <c r="T125" s="60"/>
      <c r="U125" s="60">
        <f t="shared" si="122"/>
        <v>0</v>
      </c>
      <c r="V125" s="62">
        <f t="shared" si="72"/>
        <v>0</v>
      </c>
      <c r="W125" s="60"/>
      <c r="X125" s="60">
        <f t="shared" si="123"/>
        <v>0</v>
      </c>
      <c r="Y125" s="62">
        <f t="shared" si="81"/>
        <v>0</v>
      </c>
      <c r="Z125" s="60"/>
      <c r="AA125" s="60">
        <f t="shared" si="124"/>
        <v>0</v>
      </c>
      <c r="AB125" s="62">
        <f t="shared" si="70"/>
        <v>0</v>
      </c>
    </row>
    <row r="126" spans="1:28" ht="43.5" hidden="1" customHeight="1">
      <c r="A126" s="32" t="e">
        <f>+CONCATENATE(#REF!,"=",J126)</f>
        <v>#REF!</v>
      </c>
      <c r="B126" s="77" t="str">
        <f t="shared" si="126"/>
        <v>C-4101-1500-6-0-4101077-</v>
      </c>
      <c r="C126" s="52" t="s">
        <v>167</v>
      </c>
      <c r="D126" s="52" t="s">
        <v>171</v>
      </c>
      <c r="E126" s="52" t="s">
        <v>172</v>
      </c>
      <c r="F126" s="52" t="s">
        <v>173</v>
      </c>
      <c r="G126" s="52" t="s">
        <v>175</v>
      </c>
      <c r="H126" s="52" t="s">
        <v>181</v>
      </c>
      <c r="I126" s="52"/>
      <c r="J126" s="53" t="s">
        <v>144</v>
      </c>
      <c r="K126" s="52" t="s">
        <v>29</v>
      </c>
      <c r="L126" s="77" t="s">
        <v>182</v>
      </c>
      <c r="M126" s="54">
        <f>+M127</f>
        <v>0</v>
      </c>
      <c r="N126" s="54">
        <f t="shared" ref="N126:AA126" si="127">+N127</f>
        <v>0</v>
      </c>
      <c r="O126" s="743">
        <f t="shared" si="127"/>
        <v>0</v>
      </c>
      <c r="P126" s="54">
        <f t="shared" si="127"/>
        <v>0</v>
      </c>
      <c r="Q126" s="54">
        <f t="shared" si="127"/>
        <v>0</v>
      </c>
      <c r="R126" s="743">
        <f t="shared" si="127"/>
        <v>0</v>
      </c>
      <c r="S126" s="54">
        <f t="shared" si="127"/>
        <v>0</v>
      </c>
      <c r="T126" s="54">
        <f t="shared" si="127"/>
        <v>0</v>
      </c>
      <c r="U126" s="54">
        <f t="shared" si="127"/>
        <v>0</v>
      </c>
      <c r="V126" s="55">
        <f t="shared" si="72"/>
        <v>0</v>
      </c>
      <c r="W126" s="54">
        <f t="shared" si="127"/>
        <v>0</v>
      </c>
      <c r="X126" s="54">
        <f t="shared" si="127"/>
        <v>0</v>
      </c>
      <c r="Y126" s="55">
        <f t="shared" si="81"/>
        <v>0</v>
      </c>
      <c r="Z126" s="54">
        <f t="shared" si="127"/>
        <v>0</v>
      </c>
      <c r="AA126" s="54">
        <f t="shared" si="127"/>
        <v>0</v>
      </c>
      <c r="AB126" s="55">
        <f t="shared" si="70"/>
        <v>0</v>
      </c>
    </row>
    <row r="127" spans="1:28" ht="24.95" hidden="1" customHeight="1">
      <c r="A127" s="32" t="e">
        <f>+CONCATENATE(#REF!,"=",J127)</f>
        <v>#REF!</v>
      </c>
      <c r="B127" s="78" t="str">
        <f t="shared" si="126"/>
        <v>C-4101-1500-6-0-4101077-02</v>
      </c>
      <c r="C127" s="79" t="s">
        <v>167</v>
      </c>
      <c r="D127" s="79" t="s">
        <v>171</v>
      </c>
      <c r="E127" s="79" t="s">
        <v>172</v>
      </c>
      <c r="F127" s="79" t="s">
        <v>173</v>
      </c>
      <c r="G127" s="79" t="s">
        <v>175</v>
      </c>
      <c r="H127" s="79" t="s">
        <v>181</v>
      </c>
      <c r="I127" s="79" t="s">
        <v>54</v>
      </c>
      <c r="J127" s="79" t="s">
        <v>144</v>
      </c>
      <c r="K127" s="80" t="s">
        <v>29</v>
      </c>
      <c r="L127" s="59" t="s">
        <v>178</v>
      </c>
      <c r="M127" s="60"/>
      <c r="N127" s="60"/>
      <c r="O127" s="745"/>
      <c r="P127" s="60"/>
      <c r="Q127" s="60"/>
      <c r="R127" s="745"/>
      <c r="S127" s="60">
        <f>+M127-R127+N127-O127+P127-Q127</f>
        <v>0</v>
      </c>
      <c r="T127" s="60"/>
      <c r="U127" s="60">
        <f t="shared" si="122"/>
        <v>0</v>
      </c>
      <c r="V127" s="62">
        <f t="shared" si="72"/>
        <v>0</v>
      </c>
      <c r="W127" s="60"/>
      <c r="X127" s="60">
        <f t="shared" si="123"/>
        <v>0</v>
      </c>
      <c r="Y127" s="62">
        <f t="shared" si="81"/>
        <v>0</v>
      </c>
      <c r="Z127" s="60"/>
      <c r="AA127" s="60">
        <f t="shared" si="124"/>
        <v>0</v>
      </c>
      <c r="AB127" s="62">
        <f t="shared" si="70"/>
        <v>0</v>
      </c>
    </row>
    <row r="128" spans="1:28" ht="45" hidden="1" customHeight="1">
      <c r="A128" s="32" t="e">
        <f>+CONCATENATE(#REF!,"=",J128)</f>
        <v>#REF!</v>
      </c>
      <c r="B128" s="77" t="str">
        <f t="shared" si="126"/>
        <v>C-4101-1500-6-0-4101078-</v>
      </c>
      <c r="C128" s="52" t="s">
        <v>167</v>
      </c>
      <c r="D128" s="52" t="s">
        <v>171</v>
      </c>
      <c r="E128" s="52" t="s">
        <v>172</v>
      </c>
      <c r="F128" s="52" t="s">
        <v>173</v>
      </c>
      <c r="G128" s="52" t="s">
        <v>175</v>
      </c>
      <c r="H128" s="52" t="s">
        <v>183</v>
      </c>
      <c r="I128" s="52"/>
      <c r="J128" s="53" t="s">
        <v>144</v>
      </c>
      <c r="K128" s="52" t="s">
        <v>29</v>
      </c>
      <c r="L128" s="77" t="s">
        <v>184</v>
      </c>
      <c r="M128" s="54">
        <f t="shared" ref="M128:U128" si="128">SUM(M129:M129)</f>
        <v>0</v>
      </c>
      <c r="N128" s="54">
        <f t="shared" si="128"/>
        <v>0</v>
      </c>
      <c r="O128" s="743">
        <f t="shared" si="128"/>
        <v>0</v>
      </c>
      <c r="P128" s="54">
        <f t="shared" si="128"/>
        <v>0</v>
      </c>
      <c r="Q128" s="54">
        <f t="shared" si="128"/>
        <v>0</v>
      </c>
      <c r="R128" s="743">
        <f t="shared" si="128"/>
        <v>0</v>
      </c>
      <c r="S128" s="54">
        <f t="shared" si="128"/>
        <v>0</v>
      </c>
      <c r="T128" s="54">
        <f t="shared" si="128"/>
        <v>0</v>
      </c>
      <c r="U128" s="54">
        <f t="shared" si="128"/>
        <v>0</v>
      </c>
      <c r="V128" s="55">
        <f t="shared" si="72"/>
        <v>0</v>
      </c>
      <c r="W128" s="54">
        <f t="shared" ref="W128:X128" si="129">SUM(W129:W129)</f>
        <v>0</v>
      </c>
      <c r="X128" s="54">
        <f t="shared" si="129"/>
        <v>0</v>
      </c>
      <c r="Y128" s="55">
        <f t="shared" si="81"/>
        <v>0</v>
      </c>
      <c r="Z128" s="54">
        <f t="shared" ref="Z128:AA128" si="130">SUM(Z129:Z129)</f>
        <v>0</v>
      </c>
      <c r="AA128" s="54">
        <f t="shared" si="130"/>
        <v>0</v>
      </c>
      <c r="AB128" s="55">
        <f t="shared" si="70"/>
        <v>0</v>
      </c>
    </row>
    <row r="129" spans="1:28" ht="24.95" hidden="1" customHeight="1">
      <c r="A129" s="32" t="e">
        <f>+CONCATENATE(#REF!,"=",J129)</f>
        <v>#REF!</v>
      </c>
      <c r="B129" s="78" t="str">
        <f t="shared" si="126"/>
        <v>C-4101-1500-6-0-4101078-02</v>
      </c>
      <c r="C129" s="79" t="s">
        <v>167</v>
      </c>
      <c r="D129" s="79" t="s">
        <v>171</v>
      </c>
      <c r="E129" s="79" t="s">
        <v>172</v>
      </c>
      <c r="F129" s="79" t="s">
        <v>173</v>
      </c>
      <c r="G129" s="79" t="s">
        <v>175</v>
      </c>
      <c r="H129" s="79" t="s">
        <v>183</v>
      </c>
      <c r="I129" s="79" t="s">
        <v>54</v>
      </c>
      <c r="J129" s="79" t="s">
        <v>144</v>
      </c>
      <c r="K129" s="80" t="s">
        <v>29</v>
      </c>
      <c r="L129" s="59" t="s">
        <v>178</v>
      </c>
      <c r="M129" s="60">
        <v>0</v>
      </c>
      <c r="N129" s="60"/>
      <c r="O129" s="745"/>
      <c r="P129" s="60"/>
      <c r="Q129" s="60"/>
      <c r="R129" s="745"/>
      <c r="S129" s="60">
        <f>+M129-R129+N129-O129+P129-Q129</f>
        <v>0</v>
      </c>
      <c r="T129" s="60">
        <v>0</v>
      </c>
      <c r="U129" s="60">
        <f t="shared" si="122"/>
        <v>0</v>
      </c>
      <c r="V129" s="62">
        <f t="shared" si="72"/>
        <v>0</v>
      </c>
      <c r="W129" s="60">
        <v>0</v>
      </c>
      <c r="X129" s="60">
        <f t="shared" si="123"/>
        <v>0</v>
      </c>
      <c r="Y129" s="62">
        <f t="shared" si="81"/>
        <v>0</v>
      </c>
      <c r="Z129" s="60">
        <v>0</v>
      </c>
      <c r="AA129" s="60">
        <f t="shared" si="124"/>
        <v>0</v>
      </c>
      <c r="AB129" s="62">
        <f t="shared" si="70"/>
        <v>0</v>
      </c>
    </row>
    <row r="130" spans="1:28" ht="33.75" hidden="1" customHeight="1">
      <c r="A130" s="32" t="e">
        <f>+CONCATENATE(#REF!,"=",J130)</f>
        <v>#REF!</v>
      </c>
      <c r="B130" s="77" t="str">
        <f>CONCATENATE(C130,"-",D130,"-",E130,"-",F130,"-",G130,"-",H130)</f>
        <v>C-4101-1500-6-0-4101080</v>
      </c>
      <c r="C130" s="52" t="s">
        <v>167</v>
      </c>
      <c r="D130" s="52" t="s">
        <v>171</v>
      </c>
      <c r="E130" s="52" t="s">
        <v>172</v>
      </c>
      <c r="F130" s="52" t="s">
        <v>173</v>
      </c>
      <c r="G130" s="52" t="s">
        <v>175</v>
      </c>
      <c r="H130" s="52" t="s">
        <v>185</v>
      </c>
      <c r="I130" s="52"/>
      <c r="J130" s="53" t="s">
        <v>144</v>
      </c>
      <c r="K130" s="52" t="s">
        <v>29</v>
      </c>
      <c r="L130" s="77" t="s">
        <v>186</v>
      </c>
      <c r="M130" s="54">
        <f>+M131</f>
        <v>0</v>
      </c>
      <c r="N130" s="54">
        <f t="shared" ref="N130:AA130" si="131">+N131</f>
        <v>0</v>
      </c>
      <c r="O130" s="743">
        <f t="shared" si="131"/>
        <v>0</v>
      </c>
      <c r="P130" s="54">
        <f t="shared" si="131"/>
        <v>0</v>
      </c>
      <c r="Q130" s="54">
        <f t="shared" si="131"/>
        <v>0</v>
      </c>
      <c r="R130" s="743">
        <f t="shared" si="131"/>
        <v>0</v>
      </c>
      <c r="S130" s="54">
        <f t="shared" si="131"/>
        <v>0</v>
      </c>
      <c r="T130" s="54">
        <f t="shared" si="131"/>
        <v>0</v>
      </c>
      <c r="U130" s="54">
        <f t="shared" si="131"/>
        <v>0</v>
      </c>
      <c r="V130" s="55">
        <f t="shared" si="72"/>
        <v>0</v>
      </c>
      <c r="W130" s="54">
        <f t="shared" si="131"/>
        <v>0</v>
      </c>
      <c r="X130" s="54">
        <f t="shared" si="131"/>
        <v>0</v>
      </c>
      <c r="Y130" s="55">
        <f t="shared" si="81"/>
        <v>0</v>
      </c>
      <c r="Z130" s="54">
        <f t="shared" si="131"/>
        <v>0</v>
      </c>
      <c r="AA130" s="54">
        <f t="shared" si="131"/>
        <v>0</v>
      </c>
      <c r="AB130" s="55">
        <f t="shared" si="70"/>
        <v>0</v>
      </c>
    </row>
    <row r="131" spans="1:28" ht="24.95" hidden="1" customHeight="1">
      <c r="A131" s="32" t="e">
        <f>+CONCATENATE(#REF!,"=",J131)</f>
        <v>#REF!</v>
      </c>
      <c r="B131" s="78" t="str">
        <f t="shared" si="126"/>
        <v>C-4101-1500-6-0-4101080-02</v>
      </c>
      <c r="C131" s="79" t="s">
        <v>167</v>
      </c>
      <c r="D131" s="79" t="s">
        <v>171</v>
      </c>
      <c r="E131" s="79" t="s">
        <v>172</v>
      </c>
      <c r="F131" s="79" t="s">
        <v>173</v>
      </c>
      <c r="G131" s="79" t="s">
        <v>175</v>
      </c>
      <c r="H131" s="79" t="s">
        <v>185</v>
      </c>
      <c r="I131" s="79" t="s">
        <v>54</v>
      </c>
      <c r="J131" s="79" t="s">
        <v>144</v>
      </c>
      <c r="K131" s="80" t="s">
        <v>29</v>
      </c>
      <c r="L131" s="59" t="s">
        <v>178</v>
      </c>
      <c r="M131" s="60"/>
      <c r="N131" s="60"/>
      <c r="O131" s="745"/>
      <c r="P131" s="60"/>
      <c r="Q131" s="60"/>
      <c r="R131" s="745"/>
      <c r="S131" s="60">
        <f>+M131-R131+N131-O131+P131-Q131</f>
        <v>0</v>
      </c>
      <c r="T131" s="60"/>
      <c r="U131" s="60">
        <f t="shared" si="122"/>
        <v>0</v>
      </c>
      <c r="V131" s="62">
        <f t="shared" si="72"/>
        <v>0</v>
      </c>
      <c r="W131" s="60"/>
      <c r="X131" s="60">
        <f t="shared" si="123"/>
        <v>0</v>
      </c>
      <c r="Y131" s="62">
        <f t="shared" si="81"/>
        <v>0</v>
      </c>
      <c r="Z131" s="60"/>
      <c r="AA131" s="60">
        <f t="shared" si="124"/>
        <v>0</v>
      </c>
      <c r="AB131" s="62">
        <f t="shared" si="70"/>
        <v>0</v>
      </c>
    </row>
    <row r="132" spans="1:28" ht="24" hidden="1" customHeight="1">
      <c r="A132" s="32" t="e">
        <f>+CONCATENATE(#REF!,"=",J132)</f>
        <v>#REF!</v>
      </c>
      <c r="B132" s="77"/>
      <c r="C132" s="52" t="s">
        <v>167</v>
      </c>
      <c r="D132" s="52" t="s">
        <v>171</v>
      </c>
      <c r="E132" s="52" t="s">
        <v>172</v>
      </c>
      <c r="F132" s="52" t="s">
        <v>173</v>
      </c>
      <c r="G132" s="52" t="s">
        <v>175</v>
      </c>
      <c r="H132" s="52" t="s">
        <v>187</v>
      </c>
      <c r="I132" s="52"/>
      <c r="J132" s="53" t="s">
        <v>144</v>
      </c>
      <c r="K132" s="52" t="s">
        <v>29</v>
      </c>
      <c r="L132" s="77" t="s">
        <v>188</v>
      </c>
      <c r="M132" s="54">
        <f>SUM(M133:M134)</f>
        <v>0</v>
      </c>
      <c r="N132" s="54">
        <f t="shared" ref="N132:AA132" si="132">SUM(N133:N134)</f>
        <v>0</v>
      </c>
      <c r="O132" s="743">
        <f t="shared" si="132"/>
        <v>0</v>
      </c>
      <c r="P132" s="54">
        <f t="shared" si="132"/>
        <v>0</v>
      </c>
      <c r="Q132" s="54">
        <f t="shared" si="132"/>
        <v>0</v>
      </c>
      <c r="R132" s="743">
        <f t="shared" si="132"/>
        <v>0</v>
      </c>
      <c r="S132" s="54">
        <f t="shared" si="132"/>
        <v>0</v>
      </c>
      <c r="T132" s="54">
        <f t="shared" si="132"/>
        <v>0</v>
      </c>
      <c r="U132" s="54">
        <f t="shared" si="132"/>
        <v>0</v>
      </c>
      <c r="V132" s="55">
        <f t="shared" si="72"/>
        <v>0</v>
      </c>
      <c r="W132" s="54">
        <f t="shared" si="132"/>
        <v>0</v>
      </c>
      <c r="X132" s="54">
        <f t="shared" si="132"/>
        <v>0</v>
      </c>
      <c r="Y132" s="55">
        <f t="shared" si="81"/>
        <v>0</v>
      </c>
      <c r="Z132" s="54">
        <f t="shared" si="132"/>
        <v>0</v>
      </c>
      <c r="AA132" s="54">
        <f t="shared" si="132"/>
        <v>0</v>
      </c>
      <c r="AB132" s="55">
        <f t="shared" si="70"/>
        <v>0</v>
      </c>
    </row>
    <row r="133" spans="1:28" ht="24.95" hidden="1" customHeight="1">
      <c r="A133" s="32" t="e">
        <f>+CONCATENATE(#REF!,"=",J133)</f>
        <v>#REF!</v>
      </c>
      <c r="B133" s="78"/>
      <c r="C133" s="79" t="s">
        <v>167</v>
      </c>
      <c r="D133" s="79" t="s">
        <v>171</v>
      </c>
      <c r="E133" s="79" t="s">
        <v>172</v>
      </c>
      <c r="F133" s="79" t="s">
        <v>173</v>
      </c>
      <c r="G133" s="79" t="s">
        <v>175</v>
      </c>
      <c r="H133" s="79" t="s">
        <v>187</v>
      </c>
      <c r="I133" s="79" t="s">
        <v>54</v>
      </c>
      <c r="J133" s="79" t="s">
        <v>144</v>
      </c>
      <c r="K133" s="80" t="s">
        <v>29</v>
      </c>
      <c r="L133" s="59" t="s">
        <v>178</v>
      </c>
      <c r="M133" s="60">
        <v>0</v>
      </c>
      <c r="N133" s="60"/>
      <c r="O133" s="745"/>
      <c r="P133" s="60"/>
      <c r="Q133" s="60"/>
      <c r="R133" s="745"/>
      <c r="S133" s="60">
        <f>+M133-R133+N133-O133+P133-Q133</f>
        <v>0</v>
      </c>
      <c r="T133" s="60">
        <v>0</v>
      </c>
      <c r="U133" s="60">
        <f t="shared" si="122"/>
        <v>0</v>
      </c>
      <c r="V133" s="62">
        <f t="shared" si="72"/>
        <v>0</v>
      </c>
      <c r="W133" s="60">
        <v>0</v>
      </c>
      <c r="X133" s="60">
        <f t="shared" si="123"/>
        <v>0</v>
      </c>
      <c r="Y133" s="62">
        <f t="shared" si="81"/>
        <v>0</v>
      </c>
      <c r="Z133" s="60">
        <v>0</v>
      </c>
      <c r="AA133" s="60">
        <f t="shared" si="124"/>
        <v>0</v>
      </c>
      <c r="AB133" s="62">
        <f t="shared" si="70"/>
        <v>0</v>
      </c>
    </row>
    <row r="134" spans="1:28" ht="24.95" hidden="1" customHeight="1">
      <c r="A134" s="32" t="e">
        <f>+CONCATENATE(#REF!,"=",J134)</f>
        <v>#REF!</v>
      </c>
      <c r="B134" s="78"/>
      <c r="C134" s="79" t="s">
        <v>167</v>
      </c>
      <c r="D134" s="79" t="s">
        <v>171</v>
      </c>
      <c r="E134" s="79" t="s">
        <v>172</v>
      </c>
      <c r="F134" s="79" t="s">
        <v>173</v>
      </c>
      <c r="G134" s="79" t="s">
        <v>175</v>
      </c>
      <c r="H134" s="79" t="s">
        <v>187</v>
      </c>
      <c r="I134" s="79" t="s">
        <v>65</v>
      </c>
      <c r="J134" s="79" t="s">
        <v>144</v>
      </c>
      <c r="K134" s="80" t="s">
        <v>29</v>
      </c>
      <c r="L134" s="59" t="s">
        <v>127</v>
      </c>
      <c r="M134" s="60">
        <v>0</v>
      </c>
      <c r="N134" s="60"/>
      <c r="O134" s="745"/>
      <c r="P134" s="60"/>
      <c r="Q134" s="60"/>
      <c r="R134" s="745"/>
      <c r="S134" s="60">
        <f>+M134-R134+N134-O134+P134-Q134</f>
        <v>0</v>
      </c>
      <c r="T134" s="60">
        <v>0</v>
      </c>
      <c r="U134" s="60">
        <f t="shared" si="122"/>
        <v>0</v>
      </c>
      <c r="V134" s="62">
        <f t="shared" si="72"/>
        <v>0</v>
      </c>
      <c r="W134" s="60">
        <v>0</v>
      </c>
      <c r="X134" s="60">
        <f t="shared" si="123"/>
        <v>0</v>
      </c>
      <c r="Y134" s="62">
        <f t="shared" si="81"/>
        <v>0</v>
      </c>
      <c r="Z134" s="60">
        <v>0</v>
      </c>
      <c r="AA134" s="60">
        <f t="shared" si="124"/>
        <v>0</v>
      </c>
      <c r="AB134" s="62">
        <f t="shared" si="70"/>
        <v>0</v>
      </c>
    </row>
    <row r="135" spans="1:28" ht="31.5" customHeight="1">
      <c r="A135" s="32" t="e">
        <f>+CONCATENATE(#REF!,"=",J135)</f>
        <v>#REF!</v>
      </c>
      <c r="B135" s="38" t="str">
        <f>CONCATENATE(C135,"-",D135)</f>
        <v>C-4103</v>
      </c>
      <c r="C135" s="39" t="s">
        <v>167</v>
      </c>
      <c r="D135" s="39">
        <v>4103</v>
      </c>
      <c r="E135" s="39"/>
      <c r="F135" s="39"/>
      <c r="G135" s="39"/>
      <c r="H135" s="39"/>
      <c r="I135" s="39"/>
      <c r="J135" s="39"/>
      <c r="K135" s="40"/>
      <c r="L135" s="38" t="s">
        <v>189</v>
      </c>
      <c r="M135" s="41">
        <f>+M136</f>
        <v>6462380211524</v>
      </c>
      <c r="N135" s="41">
        <f t="shared" ref="N135:U135" si="133">+N136</f>
        <v>0</v>
      </c>
      <c r="O135" s="740">
        <f t="shared" si="133"/>
        <v>0</v>
      </c>
      <c r="P135" s="41">
        <f t="shared" si="133"/>
        <v>112452704310.39999</v>
      </c>
      <c r="Q135" s="41">
        <f t="shared" si="133"/>
        <v>112452704310.39999</v>
      </c>
      <c r="R135" s="740">
        <f t="shared" si="133"/>
        <v>0</v>
      </c>
      <c r="S135" s="41">
        <f t="shared" si="133"/>
        <v>6462380211524</v>
      </c>
      <c r="T135" s="41">
        <f t="shared" si="133"/>
        <v>2105908544763.5698</v>
      </c>
      <c r="U135" s="41">
        <f t="shared" si="133"/>
        <v>4356471666760.4307</v>
      </c>
      <c r="V135" s="42">
        <f t="shared" si="72"/>
        <v>0.32587196603013568</v>
      </c>
      <c r="W135" s="41">
        <f t="shared" ref="W135:X135" si="134">+W136</f>
        <v>1626469351795.2402</v>
      </c>
      <c r="X135" s="41">
        <f t="shared" si="134"/>
        <v>479439192968.3299</v>
      </c>
      <c r="Y135" s="42">
        <f t="shared" si="81"/>
        <v>0.2276638243196627</v>
      </c>
      <c r="Z135" s="41">
        <f t="shared" ref="Z135:AA135" si="135">+Z136</f>
        <v>1624944917050.04</v>
      </c>
      <c r="AA135" s="41">
        <f t="shared" si="135"/>
        <v>1524434745.1999998</v>
      </c>
      <c r="AB135" s="42">
        <f t="shared" si="70"/>
        <v>0.77161229108953189</v>
      </c>
    </row>
    <row r="136" spans="1:28" ht="24" customHeight="1">
      <c r="A136" s="32" t="e">
        <f>+CONCATENATE(#REF!,"=",J136)</f>
        <v>#REF!</v>
      </c>
      <c r="B136" s="43" t="str">
        <f>CONCATENATE(C136,"-",D136,"-",E136)</f>
        <v>C-4103-1500</v>
      </c>
      <c r="C136" s="44" t="s">
        <v>167</v>
      </c>
      <c r="D136" s="44">
        <v>4103</v>
      </c>
      <c r="E136" s="44">
        <v>1500</v>
      </c>
      <c r="F136" s="44"/>
      <c r="G136" s="44"/>
      <c r="H136" s="44"/>
      <c r="I136" s="44"/>
      <c r="J136" s="44"/>
      <c r="K136" s="45"/>
      <c r="L136" s="43" t="s">
        <v>170</v>
      </c>
      <c r="M136" s="46">
        <f t="shared" ref="M136:U136" si="136">+M137+M145+M154+M161+M166+M174+M181+M186+M212+M197+M217+M171</f>
        <v>6462380211524</v>
      </c>
      <c r="N136" s="46">
        <f t="shared" si="136"/>
        <v>0</v>
      </c>
      <c r="O136" s="46">
        <f t="shared" si="136"/>
        <v>0</v>
      </c>
      <c r="P136" s="46">
        <f t="shared" si="136"/>
        <v>112452704310.39999</v>
      </c>
      <c r="Q136" s="46">
        <f t="shared" si="136"/>
        <v>112452704310.39999</v>
      </c>
      <c r="R136" s="46">
        <f t="shared" si="136"/>
        <v>0</v>
      </c>
      <c r="S136" s="46">
        <f t="shared" si="136"/>
        <v>6462380211524</v>
      </c>
      <c r="T136" s="46">
        <f t="shared" si="136"/>
        <v>2105908544763.5698</v>
      </c>
      <c r="U136" s="46">
        <f t="shared" si="136"/>
        <v>4356471666760.4307</v>
      </c>
      <c r="V136" s="47">
        <f t="shared" si="72"/>
        <v>0.32587196603013568</v>
      </c>
      <c r="W136" s="46">
        <f>+W137+W145+W154+W161+W166+W174+W181+W186+W212+W197+W217+W171</f>
        <v>1626469351795.2402</v>
      </c>
      <c r="X136" s="46">
        <f>+X137+X145+X154+X161+X166+X174+X181+X186+X212+X197+X217+X171</f>
        <v>479439192968.3299</v>
      </c>
      <c r="Y136" s="47">
        <f t="shared" si="81"/>
        <v>0.2276638243196627</v>
      </c>
      <c r="Z136" s="46">
        <f>+Z137+Z145+Z154+Z161+Z166+Z174+Z181+Z186+Z212+Z197+Z217+Z171</f>
        <v>1624944917050.04</v>
      </c>
      <c r="AA136" s="46">
        <f>+AA137+AA145+AA154+AA161+AA166+AA174+AA181+AA186+AA212+AA197+AA217+AA171</f>
        <v>1524434745.1999998</v>
      </c>
      <c r="AB136" s="47">
        <f t="shared" si="70"/>
        <v>0.77161229108953189</v>
      </c>
    </row>
    <row r="137" spans="1:28" ht="37.5" customHeight="1">
      <c r="A137" s="32" t="e">
        <f>+CONCATENATE(#REF!,"=",J137)</f>
        <v>#REF!</v>
      </c>
      <c r="B137" s="48" t="str">
        <f>CONCATENATE(C137,"-",D137,"-",E137,"-",F137)</f>
        <v>C-4103-1500-12</v>
      </c>
      <c r="C137" s="48" t="s">
        <v>167</v>
      </c>
      <c r="D137" s="48" t="s">
        <v>190</v>
      </c>
      <c r="E137" s="48" t="s">
        <v>172</v>
      </c>
      <c r="F137" s="48" t="s">
        <v>191</v>
      </c>
      <c r="G137" s="48"/>
      <c r="H137" s="48"/>
      <c r="I137" s="48"/>
      <c r="J137" s="49"/>
      <c r="K137" s="48"/>
      <c r="L137" s="48" t="s">
        <v>192</v>
      </c>
      <c r="M137" s="50">
        <f t="shared" ref="M137:U137" si="137">+M138+M141+M143</f>
        <v>2437607024958</v>
      </c>
      <c r="N137" s="50">
        <f t="shared" si="137"/>
        <v>0</v>
      </c>
      <c r="O137" s="50">
        <f t="shared" si="137"/>
        <v>0</v>
      </c>
      <c r="P137" s="50">
        <f t="shared" si="137"/>
        <v>33924730829.400002</v>
      </c>
      <c r="Q137" s="50">
        <f t="shared" si="137"/>
        <v>33924730829.400002</v>
      </c>
      <c r="R137" s="50">
        <f t="shared" si="137"/>
        <v>0</v>
      </c>
      <c r="S137" s="50">
        <f t="shared" si="137"/>
        <v>2437607024958</v>
      </c>
      <c r="T137" s="50">
        <f t="shared" si="137"/>
        <v>1122686815152.2</v>
      </c>
      <c r="U137" s="50">
        <f t="shared" si="137"/>
        <v>1314920209805.8</v>
      </c>
      <c r="V137" s="51">
        <f t="shared" si="72"/>
        <v>0.46056924010199873</v>
      </c>
      <c r="W137" s="50">
        <f>+W138+W141+W143</f>
        <v>1040117195733.99</v>
      </c>
      <c r="X137" s="50">
        <f>+X138+X141+X143</f>
        <v>82569619418.209991</v>
      </c>
      <c r="Y137" s="51">
        <f t="shared" si="81"/>
        <v>7.3546440827325671E-2</v>
      </c>
      <c r="Z137" s="50">
        <f>+Z138+Z141+Z143</f>
        <v>1039647277400.99</v>
      </c>
      <c r="AA137" s="50">
        <f>+AA138+AA141+AA143</f>
        <v>469918333</v>
      </c>
      <c r="AB137" s="51">
        <f t="shared" si="70"/>
        <v>0.92603499334767503</v>
      </c>
    </row>
    <row r="138" spans="1:28" ht="27.75" customHeight="1">
      <c r="A138" s="32" t="e">
        <f>+CONCATENATE(#REF!,"=",J138)</f>
        <v>#REF!</v>
      </c>
      <c r="B138" s="52" t="str">
        <f>CONCATENATE(C138,"-",D138,"-",E138,"-",F138,"-",G138,"-",H138)</f>
        <v>C-4103-1500-12-0-4103006</v>
      </c>
      <c r="C138" s="52" t="s">
        <v>167</v>
      </c>
      <c r="D138" s="52" t="s">
        <v>190</v>
      </c>
      <c r="E138" s="52" t="s">
        <v>172</v>
      </c>
      <c r="F138" s="52" t="s">
        <v>191</v>
      </c>
      <c r="G138" s="52" t="s">
        <v>175</v>
      </c>
      <c r="H138" s="52" t="s">
        <v>193</v>
      </c>
      <c r="I138" s="52"/>
      <c r="J138" s="53"/>
      <c r="K138" s="52"/>
      <c r="L138" s="52" t="s">
        <v>194</v>
      </c>
      <c r="M138" s="54">
        <f t="shared" ref="M138:U138" si="138">SUM(M139:M140)</f>
        <v>2430621085885</v>
      </c>
      <c r="N138" s="54">
        <f t="shared" si="138"/>
        <v>0</v>
      </c>
      <c r="O138" s="54">
        <f t="shared" si="138"/>
        <v>0</v>
      </c>
      <c r="P138" s="54">
        <f t="shared" si="138"/>
        <v>33924730829.400002</v>
      </c>
      <c r="Q138" s="54">
        <f t="shared" si="138"/>
        <v>33924730829.400002</v>
      </c>
      <c r="R138" s="54">
        <f t="shared" si="138"/>
        <v>0</v>
      </c>
      <c r="S138" s="54">
        <f t="shared" si="138"/>
        <v>2430621085885</v>
      </c>
      <c r="T138" s="54">
        <f t="shared" si="138"/>
        <v>1122686815152.2</v>
      </c>
      <c r="U138" s="54">
        <f t="shared" si="138"/>
        <v>1307934270732.8</v>
      </c>
      <c r="V138" s="55">
        <f t="shared" si="72"/>
        <v>0.46189297940012919</v>
      </c>
      <c r="W138" s="54">
        <f>SUM(W139:W140)</f>
        <v>1040117195733.99</v>
      </c>
      <c r="X138" s="54">
        <f>SUM(X139:X140)</f>
        <v>82569619418.209991</v>
      </c>
      <c r="Y138" s="55">
        <f t="shared" si="81"/>
        <v>7.3546440827325671E-2</v>
      </c>
      <c r="Z138" s="54">
        <f>SUM(Z139:Z140)</f>
        <v>1039647277400.99</v>
      </c>
      <c r="AA138" s="54">
        <f>SUM(AA139:AA140)</f>
        <v>469918333</v>
      </c>
      <c r="AB138" s="55">
        <f t="shared" si="70"/>
        <v>0.92603499334767503</v>
      </c>
    </row>
    <row r="139" spans="1:28" ht="24.95" customHeight="1">
      <c r="A139" s="32" t="e">
        <f>+CONCATENATE(#REF!,"=",J139)</f>
        <v>#REF!</v>
      </c>
      <c r="B139" s="56" t="str">
        <f t="shared" ref="B139:B153" si="139">CONCATENATE(C139,"-",D139,"-",E139,"-",F139,"-",G139,"-",H139,"-",I139)</f>
        <v>C-4103-1500-12-0-4103006-02</v>
      </c>
      <c r="C139" s="57" t="s">
        <v>167</v>
      </c>
      <c r="D139" s="57" t="s">
        <v>190</v>
      </c>
      <c r="E139" s="57" t="s">
        <v>172</v>
      </c>
      <c r="F139" s="57" t="s">
        <v>191</v>
      </c>
      <c r="G139" s="57" t="s">
        <v>175</v>
      </c>
      <c r="H139" s="57" t="s">
        <v>193</v>
      </c>
      <c r="I139" s="57" t="s">
        <v>54</v>
      </c>
      <c r="J139" s="57">
        <v>10</v>
      </c>
      <c r="K139" s="58" t="s">
        <v>29</v>
      </c>
      <c r="L139" s="59" t="s">
        <v>178</v>
      </c>
      <c r="M139" s="60">
        <v>83108753174</v>
      </c>
      <c r="N139" s="60"/>
      <c r="O139" s="60"/>
      <c r="P139" s="60">
        <f>12244730829.4+21680000000</f>
        <v>33924730829.400002</v>
      </c>
      <c r="Q139" s="60"/>
      <c r="R139" s="61"/>
      <c r="S139" s="81">
        <f>+M139-R139+N139-O139+P139-Q139</f>
        <v>117033484003.39999</v>
      </c>
      <c r="T139" s="60">
        <v>91511022902.199997</v>
      </c>
      <c r="U139" s="60">
        <f>+S139-T139</f>
        <v>25522461101.199997</v>
      </c>
      <c r="V139" s="62">
        <f t="shared" si="72"/>
        <v>0.78192171822844703</v>
      </c>
      <c r="W139" s="60">
        <v>12459037083.99</v>
      </c>
      <c r="X139" s="60">
        <f>+T139-W139</f>
        <v>79051985818.209991</v>
      </c>
      <c r="Y139" s="62">
        <f t="shared" si="81"/>
        <v>0.86385206187340646</v>
      </c>
      <c r="Z139" s="60">
        <v>11989118750.99</v>
      </c>
      <c r="AA139" s="60">
        <f>+W139-Z139</f>
        <v>469918333</v>
      </c>
      <c r="AB139" s="62">
        <f t="shared" si="70"/>
        <v>0.13101283726008675</v>
      </c>
    </row>
    <row r="140" spans="1:28" ht="24.95" customHeight="1">
      <c r="A140" s="32" t="e">
        <f>+CONCATENATE(#REF!,"=",J140)</f>
        <v>#REF!</v>
      </c>
      <c r="B140" s="56" t="str">
        <f t="shared" si="139"/>
        <v>C-4103-1500-12-0-4103006-03</v>
      </c>
      <c r="C140" s="57" t="s">
        <v>167</v>
      </c>
      <c r="D140" s="57" t="s">
        <v>190</v>
      </c>
      <c r="E140" s="57" t="s">
        <v>172</v>
      </c>
      <c r="F140" s="57" t="s">
        <v>191</v>
      </c>
      <c r="G140" s="57" t="s">
        <v>175</v>
      </c>
      <c r="H140" s="57" t="s">
        <v>193</v>
      </c>
      <c r="I140" s="57" t="s">
        <v>65</v>
      </c>
      <c r="J140" s="57">
        <v>10</v>
      </c>
      <c r="K140" s="58" t="s">
        <v>29</v>
      </c>
      <c r="L140" s="59" t="s">
        <v>127</v>
      </c>
      <c r="M140" s="60">
        <v>2347512332711</v>
      </c>
      <c r="N140" s="60"/>
      <c r="O140" s="60"/>
      <c r="P140" s="81"/>
      <c r="Q140" s="60">
        <f>12244730829.4+21680000000</f>
        <v>33924730829.400002</v>
      </c>
      <c r="R140" s="61"/>
      <c r="S140" s="81">
        <f>+M140-R140+N140-O140+P140-Q140</f>
        <v>2313587601881.6001</v>
      </c>
      <c r="T140" s="60">
        <v>1031175792250</v>
      </c>
      <c r="U140" s="60">
        <f>+S140-T140</f>
        <v>1282411809631.6001</v>
      </c>
      <c r="V140" s="62">
        <f t="shared" si="72"/>
        <v>0.44570423502069378</v>
      </c>
      <c r="W140" s="60">
        <v>1027658158650</v>
      </c>
      <c r="X140" s="60">
        <f>+T140-W140</f>
        <v>3517633600</v>
      </c>
      <c r="Y140" s="62">
        <f t="shared" si="81"/>
        <v>3.4112841151212546E-3</v>
      </c>
      <c r="Z140" s="60">
        <v>1027658158650</v>
      </c>
      <c r="AA140" s="60">
        <f t="shared" ref="AA140" si="140">+W140-Z140</f>
        <v>0</v>
      </c>
      <c r="AB140" s="62">
        <f t="shared" si="70"/>
        <v>0.99658871588487874</v>
      </c>
    </row>
    <row r="141" spans="1:28" ht="28.5" customHeight="1">
      <c r="A141" s="32" t="e">
        <f>+CONCATENATE(#REF!,"=",J141)</f>
        <v>#REF!</v>
      </c>
      <c r="B141" s="52" t="str">
        <f>CONCATENATE(C141,"-",D141,"-",E141,"-",F141,"-",G141,"-",H141)</f>
        <v>C-4103-1500-12-0-4103009</v>
      </c>
      <c r="C141" s="52" t="s">
        <v>167</v>
      </c>
      <c r="D141" s="52" t="s">
        <v>190</v>
      </c>
      <c r="E141" s="52" t="s">
        <v>172</v>
      </c>
      <c r="F141" s="52" t="s">
        <v>191</v>
      </c>
      <c r="G141" s="52" t="s">
        <v>175</v>
      </c>
      <c r="H141" s="52">
        <v>4103009</v>
      </c>
      <c r="I141" s="52"/>
      <c r="J141" s="53"/>
      <c r="K141" s="52" t="s">
        <v>29</v>
      </c>
      <c r="L141" s="52" t="s">
        <v>195</v>
      </c>
      <c r="M141" s="54">
        <f>+M142</f>
        <v>6385939073</v>
      </c>
      <c r="N141" s="54">
        <f>+N142</f>
        <v>0</v>
      </c>
      <c r="O141" s="54">
        <f t="shared" ref="O141:AA141" si="141">+O142</f>
        <v>0</v>
      </c>
      <c r="P141" s="54">
        <f t="shared" si="141"/>
        <v>0</v>
      </c>
      <c r="Q141" s="54">
        <f t="shared" si="141"/>
        <v>0</v>
      </c>
      <c r="R141" s="54">
        <f t="shared" si="141"/>
        <v>0</v>
      </c>
      <c r="S141" s="54">
        <f t="shared" si="141"/>
        <v>6385939073</v>
      </c>
      <c r="T141" s="54">
        <f t="shared" si="141"/>
        <v>0</v>
      </c>
      <c r="U141" s="54">
        <f t="shared" si="141"/>
        <v>6385939073</v>
      </c>
      <c r="V141" s="55">
        <f t="shared" si="72"/>
        <v>0</v>
      </c>
      <c r="W141" s="54">
        <f t="shared" si="141"/>
        <v>0</v>
      </c>
      <c r="X141" s="54">
        <f t="shared" si="141"/>
        <v>0</v>
      </c>
      <c r="Y141" s="55">
        <f t="shared" si="81"/>
        <v>0</v>
      </c>
      <c r="Z141" s="54">
        <f t="shared" si="141"/>
        <v>0</v>
      </c>
      <c r="AA141" s="54">
        <f t="shared" si="141"/>
        <v>0</v>
      </c>
      <c r="AB141" s="55">
        <f t="shared" si="70"/>
        <v>0</v>
      </c>
    </row>
    <row r="142" spans="1:28" ht="24.95" customHeight="1">
      <c r="A142" s="32" t="e">
        <f>+CONCATENATE(#REF!,"=",J142)</f>
        <v>#REF!</v>
      </c>
      <c r="B142" s="56" t="str">
        <f t="shared" si="139"/>
        <v>C-4103-1500-12-0-4103009-02</v>
      </c>
      <c r="C142" s="57" t="s">
        <v>167</v>
      </c>
      <c r="D142" s="57" t="s">
        <v>190</v>
      </c>
      <c r="E142" s="57" t="s">
        <v>172</v>
      </c>
      <c r="F142" s="57" t="s">
        <v>191</v>
      </c>
      <c r="G142" s="57" t="s">
        <v>175</v>
      </c>
      <c r="H142" s="57">
        <v>4103009</v>
      </c>
      <c r="I142" s="57" t="s">
        <v>54</v>
      </c>
      <c r="J142" s="57">
        <v>10</v>
      </c>
      <c r="K142" s="58" t="s">
        <v>29</v>
      </c>
      <c r="L142" s="59" t="s">
        <v>178</v>
      </c>
      <c r="M142" s="60">
        <v>6385939073</v>
      </c>
      <c r="N142" s="60"/>
      <c r="O142" s="60"/>
      <c r="P142" s="60"/>
      <c r="Q142" s="60"/>
      <c r="R142" s="61"/>
      <c r="S142" s="81">
        <f>+M142-R142+N142-O142+P142-Q142</f>
        <v>6385939073</v>
      </c>
      <c r="T142" s="60">
        <v>0</v>
      </c>
      <c r="U142" s="60">
        <f>+S142-T142</f>
        <v>6385939073</v>
      </c>
      <c r="V142" s="62">
        <f t="shared" si="72"/>
        <v>0</v>
      </c>
      <c r="W142" s="60">
        <v>0</v>
      </c>
      <c r="X142" s="60">
        <f>+T142-W142</f>
        <v>0</v>
      </c>
      <c r="Y142" s="62">
        <f t="shared" si="81"/>
        <v>0</v>
      </c>
      <c r="Z142" s="60">
        <v>0</v>
      </c>
      <c r="AA142" s="60">
        <f t="shared" ref="AA142" si="142">+W142-Z142</f>
        <v>0</v>
      </c>
      <c r="AB142" s="62">
        <f t="shared" si="70"/>
        <v>0</v>
      </c>
    </row>
    <row r="143" spans="1:28" ht="27.75" customHeight="1">
      <c r="A143" s="32" t="e">
        <f>+CONCATENATE(#REF!,"=",J143)</f>
        <v>#REF!</v>
      </c>
      <c r="B143" s="52" t="str">
        <f>CONCATENATE(C143,"-",D143,"-",E143,"-",F143,"-",G143,"-",H143)</f>
        <v>C-4103-1500-12-0-4103047</v>
      </c>
      <c r="C143" s="52" t="s">
        <v>167</v>
      </c>
      <c r="D143" s="52" t="s">
        <v>190</v>
      </c>
      <c r="E143" s="52" t="s">
        <v>172</v>
      </c>
      <c r="F143" s="52" t="s">
        <v>191</v>
      </c>
      <c r="G143" s="52" t="s">
        <v>175</v>
      </c>
      <c r="H143" s="52">
        <v>4103047</v>
      </c>
      <c r="I143" s="52"/>
      <c r="J143" s="53"/>
      <c r="K143" s="52" t="s">
        <v>29</v>
      </c>
      <c r="L143" s="52" t="s">
        <v>195</v>
      </c>
      <c r="M143" s="54">
        <f>+M144</f>
        <v>600000000</v>
      </c>
      <c r="N143" s="54">
        <f>+N144</f>
        <v>0</v>
      </c>
      <c r="O143" s="54">
        <f t="shared" ref="O143:U143" si="143">+O144</f>
        <v>0</v>
      </c>
      <c r="P143" s="54">
        <f t="shared" si="143"/>
        <v>0</v>
      </c>
      <c r="Q143" s="54">
        <f t="shared" si="143"/>
        <v>0</v>
      </c>
      <c r="R143" s="54">
        <f t="shared" si="143"/>
        <v>0</v>
      </c>
      <c r="S143" s="54">
        <f t="shared" si="143"/>
        <v>600000000</v>
      </c>
      <c r="T143" s="54">
        <f t="shared" si="143"/>
        <v>0</v>
      </c>
      <c r="U143" s="54">
        <f t="shared" si="143"/>
        <v>600000000</v>
      </c>
      <c r="V143" s="55">
        <f t="shared" si="72"/>
        <v>0</v>
      </c>
      <c r="W143" s="54">
        <f t="shared" ref="W143:X143" si="144">+W144</f>
        <v>0</v>
      </c>
      <c r="X143" s="54">
        <f t="shared" si="144"/>
        <v>0</v>
      </c>
      <c r="Y143" s="55">
        <f t="shared" si="81"/>
        <v>0</v>
      </c>
      <c r="Z143" s="54">
        <f t="shared" ref="Z143:AA143" si="145">+Z144</f>
        <v>0</v>
      </c>
      <c r="AA143" s="54">
        <f t="shared" si="145"/>
        <v>0</v>
      </c>
      <c r="AB143" s="55">
        <f t="shared" ref="AB143:AB206" si="146">+IF(T143&gt;0,(Z143/T143),0)</f>
        <v>0</v>
      </c>
    </row>
    <row r="144" spans="1:28" ht="24.95" customHeight="1">
      <c r="A144" s="32" t="e">
        <f>+CONCATENATE(#REF!,"=",J144)</f>
        <v>#REF!</v>
      </c>
      <c r="B144" s="56" t="str">
        <f t="shared" ref="B144" si="147">CONCATENATE(C144,"-",D144,"-",E144,"-",F144,"-",G144,"-",H144,"-",I144)</f>
        <v>C-4103-1500-12-0-4103047-02</v>
      </c>
      <c r="C144" s="57" t="s">
        <v>167</v>
      </c>
      <c r="D144" s="57" t="s">
        <v>190</v>
      </c>
      <c r="E144" s="57" t="s">
        <v>172</v>
      </c>
      <c r="F144" s="57" t="s">
        <v>191</v>
      </c>
      <c r="G144" s="57" t="s">
        <v>175</v>
      </c>
      <c r="H144" s="57">
        <v>4103047</v>
      </c>
      <c r="I144" s="57" t="s">
        <v>54</v>
      </c>
      <c r="J144" s="57">
        <v>10</v>
      </c>
      <c r="K144" s="58" t="s">
        <v>29</v>
      </c>
      <c r="L144" s="59" t="s">
        <v>178</v>
      </c>
      <c r="M144" s="60">
        <v>600000000</v>
      </c>
      <c r="N144" s="60"/>
      <c r="O144" s="60"/>
      <c r="P144" s="60"/>
      <c r="Q144" s="60"/>
      <c r="R144" s="61"/>
      <c r="S144" s="60">
        <f>+M144-R144+N144-O144+P144-Q144</f>
        <v>600000000</v>
      </c>
      <c r="T144" s="60">
        <v>0</v>
      </c>
      <c r="U144" s="60">
        <f>+S144-T144</f>
        <v>600000000</v>
      </c>
      <c r="V144" s="62">
        <f t="shared" si="72"/>
        <v>0</v>
      </c>
      <c r="W144" s="60">
        <v>0</v>
      </c>
      <c r="X144" s="60">
        <f>+T144-W144</f>
        <v>0</v>
      </c>
      <c r="Y144" s="62">
        <f t="shared" si="81"/>
        <v>0</v>
      </c>
      <c r="Z144" s="60">
        <v>0</v>
      </c>
      <c r="AA144" s="60">
        <f t="shared" ref="AA144" si="148">+W144-Z144</f>
        <v>0</v>
      </c>
      <c r="AB144" s="62">
        <f t="shared" si="146"/>
        <v>0</v>
      </c>
    </row>
    <row r="145" spans="1:28" ht="42" customHeight="1">
      <c r="A145" s="32" t="e">
        <f>+CONCATENATE(#REF!,"=",J145)</f>
        <v>#REF!</v>
      </c>
      <c r="B145" s="48" t="str">
        <f>CONCATENATE(C145,"-",D145,"-",E145,"-",F145)</f>
        <v>C-4103-1500-13</v>
      </c>
      <c r="C145" s="48" t="s">
        <v>167</v>
      </c>
      <c r="D145" s="48" t="s">
        <v>190</v>
      </c>
      <c r="E145" s="48" t="s">
        <v>172</v>
      </c>
      <c r="F145" s="48" t="s">
        <v>22</v>
      </c>
      <c r="G145" s="48"/>
      <c r="H145" s="48"/>
      <c r="I145" s="48"/>
      <c r="J145" s="49"/>
      <c r="K145" s="48"/>
      <c r="L145" s="48" t="s">
        <v>196</v>
      </c>
      <c r="M145" s="50">
        <f>+M146+M148+M150+M152</f>
        <v>40000000000</v>
      </c>
      <c r="N145" s="50">
        <f t="shared" ref="N145:AA145" si="149">+N146+N148+N150+N152</f>
        <v>0</v>
      </c>
      <c r="O145" s="50">
        <f t="shared" si="149"/>
        <v>0</v>
      </c>
      <c r="P145" s="50">
        <f t="shared" si="149"/>
        <v>300000000</v>
      </c>
      <c r="Q145" s="50">
        <f t="shared" si="149"/>
        <v>300000000</v>
      </c>
      <c r="R145" s="50">
        <f t="shared" si="149"/>
        <v>0</v>
      </c>
      <c r="S145" s="50">
        <f t="shared" si="149"/>
        <v>40000000000</v>
      </c>
      <c r="T145" s="50">
        <f t="shared" si="149"/>
        <v>9016012875</v>
      </c>
      <c r="U145" s="50">
        <f t="shared" si="149"/>
        <v>30983987125</v>
      </c>
      <c r="V145" s="51">
        <f t="shared" si="72"/>
        <v>0.225400321875</v>
      </c>
      <c r="W145" s="50">
        <f t="shared" si="149"/>
        <v>445582586</v>
      </c>
      <c r="X145" s="50">
        <f t="shared" si="149"/>
        <v>8570430289</v>
      </c>
      <c r="Y145" s="51">
        <f t="shared" si="81"/>
        <v>0.95057875446966911</v>
      </c>
      <c r="Z145" s="50">
        <f t="shared" si="149"/>
        <v>365212586</v>
      </c>
      <c r="AA145" s="50">
        <f t="shared" si="149"/>
        <v>80370000</v>
      </c>
      <c r="AB145" s="51">
        <f t="shared" si="146"/>
        <v>4.0507105642304218E-2</v>
      </c>
    </row>
    <row r="146" spans="1:28" ht="27.75" customHeight="1">
      <c r="A146" s="32" t="e">
        <f>+CONCATENATE(#REF!,"=",J146)</f>
        <v>#REF!</v>
      </c>
      <c r="B146" s="52" t="str">
        <f>CONCATENATE(C146,"-",D146,"-",E146,"-",F146,"-",G146,"-",H146)</f>
        <v>C-4103-1500-13-0-4103051</v>
      </c>
      <c r="C146" s="52" t="s">
        <v>167</v>
      </c>
      <c r="D146" s="52" t="s">
        <v>190</v>
      </c>
      <c r="E146" s="52" t="s">
        <v>172</v>
      </c>
      <c r="F146" s="52" t="s">
        <v>22</v>
      </c>
      <c r="G146" s="52" t="s">
        <v>175</v>
      </c>
      <c r="H146" s="52" t="s">
        <v>197</v>
      </c>
      <c r="I146" s="52"/>
      <c r="J146" s="53"/>
      <c r="K146" s="52" t="s">
        <v>29</v>
      </c>
      <c r="L146" s="52" t="s">
        <v>198</v>
      </c>
      <c r="M146" s="54">
        <f>+M147</f>
        <v>2721167612</v>
      </c>
      <c r="N146" s="54">
        <f t="shared" ref="N146:AA146" si="150">+N147</f>
        <v>0</v>
      </c>
      <c r="O146" s="54">
        <f t="shared" si="150"/>
        <v>0</v>
      </c>
      <c r="P146" s="54">
        <f t="shared" si="150"/>
        <v>0</v>
      </c>
      <c r="Q146" s="54">
        <f t="shared" si="150"/>
        <v>0</v>
      </c>
      <c r="R146" s="54">
        <f t="shared" si="150"/>
        <v>0</v>
      </c>
      <c r="S146" s="54">
        <f t="shared" si="150"/>
        <v>2721167612</v>
      </c>
      <c r="T146" s="54">
        <f t="shared" si="150"/>
        <v>221895258</v>
      </c>
      <c r="U146" s="54">
        <f t="shared" si="150"/>
        <v>2499272354</v>
      </c>
      <c r="V146" s="55">
        <f t="shared" si="72"/>
        <v>8.1544134591882686E-2</v>
      </c>
      <c r="W146" s="54">
        <f t="shared" si="150"/>
        <v>0</v>
      </c>
      <c r="X146" s="54">
        <f t="shared" si="150"/>
        <v>221895258</v>
      </c>
      <c r="Y146" s="55">
        <f t="shared" si="81"/>
        <v>1</v>
      </c>
      <c r="Z146" s="54">
        <f t="shared" si="150"/>
        <v>0</v>
      </c>
      <c r="AA146" s="54">
        <f t="shared" si="150"/>
        <v>0</v>
      </c>
      <c r="AB146" s="55">
        <f t="shared" si="146"/>
        <v>0</v>
      </c>
    </row>
    <row r="147" spans="1:28" ht="24.95" customHeight="1">
      <c r="A147" s="32" t="e">
        <f>+CONCATENATE(#REF!,"=",J147)</f>
        <v>#REF!</v>
      </c>
      <c r="B147" s="56" t="str">
        <f t="shared" si="139"/>
        <v>C-4103-1500-13-0-4103051-02</v>
      </c>
      <c r="C147" s="57" t="s">
        <v>167</v>
      </c>
      <c r="D147" s="57" t="s">
        <v>190</v>
      </c>
      <c r="E147" s="57" t="s">
        <v>172</v>
      </c>
      <c r="F147" s="57" t="s">
        <v>22</v>
      </c>
      <c r="G147" s="57" t="s">
        <v>175</v>
      </c>
      <c r="H147" s="57" t="s">
        <v>197</v>
      </c>
      <c r="I147" s="57" t="s">
        <v>54</v>
      </c>
      <c r="J147" s="57">
        <v>11</v>
      </c>
      <c r="K147" s="58" t="s">
        <v>29</v>
      </c>
      <c r="L147" s="59" t="s">
        <v>178</v>
      </c>
      <c r="M147" s="60">
        <v>2721167612</v>
      </c>
      <c r="N147" s="60"/>
      <c r="O147" s="60"/>
      <c r="P147" s="60"/>
      <c r="Q147" s="60">
        <v>0</v>
      </c>
      <c r="R147" s="61">
        <v>0</v>
      </c>
      <c r="S147" s="81">
        <f>+M147-R147+N147-O147+P147-Q147</f>
        <v>2721167612</v>
      </c>
      <c r="T147" s="60">
        <v>221895258</v>
      </c>
      <c r="U147" s="60">
        <f t="shared" si="122"/>
        <v>2499272354</v>
      </c>
      <c r="V147" s="62">
        <f t="shared" si="72"/>
        <v>8.1544134591882686E-2</v>
      </c>
      <c r="W147" s="60">
        <v>0</v>
      </c>
      <c r="X147" s="60">
        <f t="shared" si="123"/>
        <v>221895258</v>
      </c>
      <c r="Y147" s="62">
        <f t="shared" si="81"/>
        <v>1</v>
      </c>
      <c r="Z147" s="60">
        <v>0</v>
      </c>
      <c r="AA147" s="60">
        <f t="shared" si="124"/>
        <v>0</v>
      </c>
      <c r="AB147" s="62">
        <f t="shared" si="146"/>
        <v>0</v>
      </c>
    </row>
    <row r="148" spans="1:28" ht="27.75" customHeight="1">
      <c r="A148" s="32" t="e">
        <f>+CONCATENATE(#REF!,"=",J148)</f>
        <v>#REF!</v>
      </c>
      <c r="B148" s="52" t="str">
        <f>CONCATENATE(C148,"-",D148,"-",E148,"-",F148,"-",G148,"-",H148)</f>
        <v>C-4103-1500-13-0-4103053</v>
      </c>
      <c r="C148" s="52" t="s">
        <v>167</v>
      </c>
      <c r="D148" s="52" t="s">
        <v>190</v>
      </c>
      <c r="E148" s="52" t="s">
        <v>172</v>
      </c>
      <c r="F148" s="52" t="s">
        <v>22</v>
      </c>
      <c r="G148" s="52" t="s">
        <v>175</v>
      </c>
      <c r="H148" s="52" t="s">
        <v>199</v>
      </c>
      <c r="I148" s="52"/>
      <c r="J148" s="53"/>
      <c r="K148" s="52" t="s">
        <v>29</v>
      </c>
      <c r="L148" s="52" t="s">
        <v>200</v>
      </c>
      <c r="M148" s="54">
        <f>+M149</f>
        <v>2097587400</v>
      </c>
      <c r="N148" s="54">
        <f t="shared" ref="N148:AA148" si="151">+N149</f>
        <v>0</v>
      </c>
      <c r="O148" s="54">
        <f t="shared" si="151"/>
        <v>0</v>
      </c>
      <c r="P148" s="54">
        <f t="shared" si="151"/>
        <v>0</v>
      </c>
      <c r="Q148" s="54">
        <f t="shared" si="151"/>
        <v>0</v>
      </c>
      <c r="R148" s="54">
        <f t="shared" si="151"/>
        <v>0</v>
      </c>
      <c r="S148" s="54">
        <f t="shared" si="151"/>
        <v>2097587400</v>
      </c>
      <c r="T148" s="54">
        <f t="shared" si="151"/>
        <v>295860342</v>
      </c>
      <c r="U148" s="54">
        <f t="shared" si="151"/>
        <v>1801727058</v>
      </c>
      <c r="V148" s="55">
        <f t="shared" si="72"/>
        <v>0.14104792105444569</v>
      </c>
      <c r="W148" s="54">
        <f t="shared" si="151"/>
        <v>0</v>
      </c>
      <c r="X148" s="54">
        <f t="shared" si="151"/>
        <v>295860342</v>
      </c>
      <c r="Y148" s="55">
        <f t="shared" si="81"/>
        <v>1</v>
      </c>
      <c r="Z148" s="54">
        <f t="shared" si="151"/>
        <v>0</v>
      </c>
      <c r="AA148" s="54">
        <f t="shared" si="151"/>
        <v>0</v>
      </c>
      <c r="AB148" s="55">
        <f t="shared" si="146"/>
        <v>0</v>
      </c>
    </row>
    <row r="149" spans="1:28" ht="24.95" customHeight="1">
      <c r="A149" s="32" t="e">
        <f>+CONCATENATE(#REF!,"=",J149)</f>
        <v>#REF!</v>
      </c>
      <c r="B149" s="56" t="str">
        <f t="shared" si="139"/>
        <v>C-4103-1500-13-0-4103053-02</v>
      </c>
      <c r="C149" s="57" t="s">
        <v>167</v>
      </c>
      <c r="D149" s="57" t="s">
        <v>190</v>
      </c>
      <c r="E149" s="57" t="s">
        <v>172</v>
      </c>
      <c r="F149" s="57" t="s">
        <v>22</v>
      </c>
      <c r="G149" s="57" t="s">
        <v>175</v>
      </c>
      <c r="H149" s="57" t="s">
        <v>199</v>
      </c>
      <c r="I149" s="57" t="s">
        <v>54</v>
      </c>
      <c r="J149" s="57">
        <v>11</v>
      </c>
      <c r="K149" s="58" t="s">
        <v>29</v>
      </c>
      <c r="L149" s="59" t="s">
        <v>178</v>
      </c>
      <c r="M149" s="60">
        <v>2097587400</v>
      </c>
      <c r="N149" s="60"/>
      <c r="O149" s="60"/>
      <c r="P149" s="60"/>
      <c r="Q149" s="61"/>
      <c r="R149" s="61">
        <v>0</v>
      </c>
      <c r="S149" s="60">
        <f>+M149-R149+N149-O149+P149-Q149</f>
        <v>2097587400</v>
      </c>
      <c r="T149" s="60">
        <v>295860342</v>
      </c>
      <c r="U149" s="60">
        <f t="shared" si="122"/>
        <v>1801727058</v>
      </c>
      <c r="V149" s="62">
        <f t="shared" ref="V149:V228" si="152">+IF(S149&gt;0,T149/S149,0)</f>
        <v>0.14104792105444569</v>
      </c>
      <c r="W149" s="60">
        <v>0</v>
      </c>
      <c r="X149" s="60">
        <f t="shared" si="123"/>
        <v>295860342</v>
      </c>
      <c r="Y149" s="62">
        <f t="shared" si="81"/>
        <v>1</v>
      </c>
      <c r="Z149" s="60">
        <v>0</v>
      </c>
      <c r="AA149" s="60">
        <f t="shared" si="124"/>
        <v>0</v>
      </c>
      <c r="AB149" s="62">
        <f t="shared" si="146"/>
        <v>0</v>
      </c>
    </row>
    <row r="150" spans="1:28" ht="43.5" customHeight="1">
      <c r="A150" s="32" t="e">
        <f>+CONCATENATE(#REF!,"=",J150)</f>
        <v>#REF!</v>
      </c>
      <c r="B150" s="52" t="str">
        <f>CONCATENATE(C150,"-",D150,"-",E150,"-",F150,"-",G150,"-",H150)</f>
        <v>C-4103-1500-13-0-4103054</v>
      </c>
      <c r="C150" s="52" t="s">
        <v>167</v>
      </c>
      <c r="D150" s="52" t="s">
        <v>190</v>
      </c>
      <c r="E150" s="52" t="s">
        <v>172</v>
      </c>
      <c r="F150" s="52" t="s">
        <v>22</v>
      </c>
      <c r="G150" s="52" t="s">
        <v>175</v>
      </c>
      <c r="H150" s="52" t="s">
        <v>201</v>
      </c>
      <c r="I150" s="52"/>
      <c r="J150" s="53"/>
      <c r="K150" s="52" t="s">
        <v>29</v>
      </c>
      <c r="L150" s="52" t="s">
        <v>202</v>
      </c>
      <c r="M150" s="54">
        <f>+M151</f>
        <v>2265502874</v>
      </c>
      <c r="N150" s="54">
        <f t="shared" ref="N150:AA150" si="153">+N151</f>
        <v>0</v>
      </c>
      <c r="O150" s="54">
        <f t="shared" si="153"/>
        <v>0</v>
      </c>
      <c r="P150" s="54">
        <f t="shared" si="153"/>
        <v>300000000</v>
      </c>
      <c r="Q150" s="54">
        <f t="shared" si="153"/>
        <v>0</v>
      </c>
      <c r="R150" s="54">
        <f t="shared" si="153"/>
        <v>0</v>
      </c>
      <c r="S150" s="54">
        <f t="shared" si="153"/>
        <v>2565502874</v>
      </c>
      <c r="T150" s="54">
        <f t="shared" si="153"/>
        <v>1068555178</v>
      </c>
      <c r="U150" s="54">
        <f t="shared" si="153"/>
        <v>1496947696</v>
      </c>
      <c r="V150" s="55">
        <f t="shared" si="152"/>
        <v>0.41650905513661102</v>
      </c>
      <c r="W150" s="54">
        <f t="shared" si="153"/>
        <v>445582586</v>
      </c>
      <c r="X150" s="54">
        <f t="shared" si="153"/>
        <v>622972592</v>
      </c>
      <c r="Y150" s="55">
        <f t="shared" si="81"/>
        <v>0.58300460736712656</v>
      </c>
      <c r="Z150" s="54">
        <f t="shared" si="153"/>
        <v>365212586</v>
      </c>
      <c r="AA150" s="54">
        <f t="shared" si="153"/>
        <v>80370000</v>
      </c>
      <c r="AB150" s="55">
        <f t="shared" si="146"/>
        <v>0.34178168195634351</v>
      </c>
    </row>
    <row r="151" spans="1:28" ht="24.95" customHeight="1">
      <c r="A151" s="32" t="e">
        <f>+CONCATENATE(#REF!,"=",J151)</f>
        <v>#REF!</v>
      </c>
      <c r="B151" s="56" t="str">
        <f t="shared" si="139"/>
        <v>C-4103-1500-13-0-4103054-02</v>
      </c>
      <c r="C151" s="57" t="s">
        <v>167</v>
      </c>
      <c r="D151" s="57" t="s">
        <v>190</v>
      </c>
      <c r="E151" s="57" t="s">
        <v>172</v>
      </c>
      <c r="F151" s="57" t="s">
        <v>22</v>
      </c>
      <c r="G151" s="57" t="s">
        <v>175</v>
      </c>
      <c r="H151" s="57" t="s">
        <v>201</v>
      </c>
      <c r="I151" s="57" t="s">
        <v>54</v>
      </c>
      <c r="J151" s="57">
        <v>11</v>
      </c>
      <c r="K151" s="58" t="s">
        <v>29</v>
      </c>
      <c r="L151" s="59" t="s">
        <v>178</v>
      </c>
      <c r="M151" s="60">
        <v>2265502874</v>
      </c>
      <c r="N151" s="60"/>
      <c r="O151" s="60"/>
      <c r="P151" s="60">
        <f>300000000</f>
        <v>300000000</v>
      </c>
      <c r="Q151" s="60"/>
      <c r="R151" s="61">
        <v>0</v>
      </c>
      <c r="S151" s="60">
        <f>+M151-R151+N151-O151+P151-Q151</f>
        <v>2565502874</v>
      </c>
      <c r="T151" s="60">
        <v>1068555178</v>
      </c>
      <c r="U151" s="60">
        <f t="shared" si="122"/>
        <v>1496947696</v>
      </c>
      <c r="V151" s="62">
        <f t="shared" si="152"/>
        <v>0.41650905513661102</v>
      </c>
      <c r="W151" s="60">
        <v>445582586</v>
      </c>
      <c r="X151" s="60">
        <f t="shared" si="123"/>
        <v>622972592</v>
      </c>
      <c r="Y151" s="62">
        <f t="shared" si="81"/>
        <v>0.58300460736712656</v>
      </c>
      <c r="Z151" s="60">
        <v>365212586</v>
      </c>
      <c r="AA151" s="60">
        <f t="shared" si="124"/>
        <v>80370000</v>
      </c>
      <c r="AB151" s="62">
        <f t="shared" si="146"/>
        <v>0.34178168195634351</v>
      </c>
    </row>
    <row r="152" spans="1:28" ht="44.25" customHeight="1">
      <c r="A152" s="32" t="e">
        <f>+CONCATENATE(#REF!,"=",J152)</f>
        <v>#REF!</v>
      </c>
      <c r="B152" s="52" t="str">
        <f>CONCATENATE(C152,"-",D152,"-",E152,"-",F152,"-",G152,"-",H152)</f>
        <v>C-4103-1500-13-0-4103055</v>
      </c>
      <c r="C152" s="52" t="s">
        <v>167</v>
      </c>
      <c r="D152" s="52" t="s">
        <v>190</v>
      </c>
      <c r="E152" s="52" t="s">
        <v>172</v>
      </c>
      <c r="F152" s="52" t="s">
        <v>22</v>
      </c>
      <c r="G152" s="52" t="s">
        <v>175</v>
      </c>
      <c r="H152" s="52" t="s">
        <v>203</v>
      </c>
      <c r="I152" s="52"/>
      <c r="J152" s="53"/>
      <c r="K152" s="52" t="s">
        <v>29</v>
      </c>
      <c r="L152" s="52" t="s">
        <v>204</v>
      </c>
      <c r="M152" s="54">
        <f t="shared" ref="M152:U152" si="154">SUM(M153:M153)</f>
        <v>32915742114</v>
      </c>
      <c r="N152" s="54">
        <f t="shared" si="154"/>
        <v>0</v>
      </c>
      <c r="O152" s="54">
        <f t="shared" si="154"/>
        <v>0</v>
      </c>
      <c r="P152" s="54">
        <f t="shared" si="154"/>
        <v>0</v>
      </c>
      <c r="Q152" s="54">
        <f t="shared" si="154"/>
        <v>300000000</v>
      </c>
      <c r="R152" s="54">
        <f t="shared" si="154"/>
        <v>0</v>
      </c>
      <c r="S152" s="54">
        <f t="shared" si="154"/>
        <v>32615742114</v>
      </c>
      <c r="T152" s="54">
        <f t="shared" si="154"/>
        <v>7429702097</v>
      </c>
      <c r="U152" s="54">
        <f t="shared" si="154"/>
        <v>25186040017</v>
      </c>
      <c r="V152" s="55">
        <f t="shared" si="152"/>
        <v>0.22779497308481816</v>
      </c>
      <c r="W152" s="54">
        <f t="shared" ref="W152:X152" si="155">SUM(W153:W153)</f>
        <v>0</v>
      </c>
      <c r="X152" s="54">
        <f t="shared" si="155"/>
        <v>7429702097</v>
      </c>
      <c r="Y152" s="55">
        <f t="shared" si="81"/>
        <v>1</v>
      </c>
      <c r="Z152" s="54">
        <f t="shared" ref="Z152:AA152" si="156">SUM(Z153:Z153)</f>
        <v>0</v>
      </c>
      <c r="AA152" s="54">
        <f t="shared" si="156"/>
        <v>0</v>
      </c>
      <c r="AB152" s="55">
        <f t="shared" si="146"/>
        <v>0</v>
      </c>
    </row>
    <row r="153" spans="1:28" ht="24.95" customHeight="1">
      <c r="A153" s="32" t="e">
        <f>+CONCATENATE(#REF!,"=",J153)</f>
        <v>#REF!</v>
      </c>
      <c r="B153" s="56" t="str">
        <f t="shared" si="139"/>
        <v>C-4103-1500-13-0-4103055-02</v>
      </c>
      <c r="C153" s="57" t="s">
        <v>167</v>
      </c>
      <c r="D153" s="57" t="s">
        <v>190</v>
      </c>
      <c r="E153" s="57" t="s">
        <v>172</v>
      </c>
      <c r="F153" s="57" t="s">
        <v>22</v>
      </c>
      <c r="G153" s="57" t="s">
        <v>175</v>
      </c>
      <c r="H153" s="57" t="s">
        <v>203</v>
      </c>
      <c r="I153" s="57" t="s">
        <v>54</v>
      </c>
      <c r="J153" s="57">
        <v>11</v>
      </c>
      <c r="K153" s="58" t="s">
        <v>29</v>
      </c>
      <c r="L153" s="59" t="s">
        <v>178</v>
      </c>
      <c r="M153" s="60">
        <v>32915742114</v>
      </c>
      <c r="N153" s="60"/>
      <c r="O153" s="60"/>
      <c r="P153" s="60"/>
      <c r="Q153" s="60">
        <f>300000000</f>
        <v>300000000</v>
      </c>
      <c r="R153" s="61">
        <v>0</v>
      </c>
      <c r="S153" s="60">
        <f>+M153-R153+N153-O153+P153-Q153</f>
        <v>32615742114</v>
      </c>
      <c r="T153" s="60">
        <v>7429702097</v>
      </c>
      <c r="U153" s="60">
        <f t="shared" si="122"/>
        <v>25186040017</v>
      </c>
      <c r="V153" s="62">
        <f t="shared" si="152"/>
        <v>0.22779497308481816</v>
      </c>
      <c r="W153" s="60">
        <v>0</v>
      </c>
      <c r="X153" s="60">
        <f t="shared" si="123"/>
        <v>7429702097</v>
      </c>
      <c r="Y153" s="62">
        <f t="shared" si="81"/>
        <v>1</v>
      </c>
      <c r="Z153" s="60">
        <v>0</v>
      </c>
      <c r="AA153" s="60">
        <f t="shared" si="124"/>
        <v>0</v>
      </c>
      <c r="AB153" s="62">
        <f t="shared" si="146"/>
        <v>0</v>
      </c>
    </row>
    <row r="154" spans="1:28" ht="45.75" customHeight="1">
      <c r="A154" s="32" t="e">
        <f>+CONCATENATE(#REF!,"=",J154)</f>
        <v>#REF!</v>
      </c>
      <c r="B154" s="48" t="str">
        <f>CONCATENATE(C154,"-",D154,"-",E154,"-",F154)</f>
        <v>C-4103-1500-14</v>
      </c>
      <c r="C154" s="48" t="s">
        <v>167</v>
      </c>
      <c r="D154" s="48" t="s">
        <v>190</v>
      </c>
      <c r="E154" s="48" t="s">
        <v>172</v>
      </c>
      <c r="F154" s="48" t="s">
        <v>205</v>
      </c>
      <c r="G154" s="48"/>
      <c r="H154" s="48"/>
      <c r="I154" s="48"/>
      <c r="J154" s="49"/>
      <c r="K154" s="48"/>
      <c r="L154" s="48" t="s">
        <v>206</v>
      </c>
      <c r="M154" s="50">
        <f t="shared" ref="M154:U154" si="157">+M156+M159+M155</f>
        <v>947599205073</v>
      </c>
      <c r="N154" s="50">
        <f t="shared" si="157"/>
        <v>0</v>
      </c>
      <c r="O154" s="50">
        <f t="shared" si="157"/>
        <v>0</v>
      </c>
      <c r="P154" s="50">
        <f t="shared" si="157"/>
        <v>0</v>
      </c>
      <c r="Q154" s="50">
        <f t="shared" si="157"/>
        <v>0</v>
      </c>
      <c r="R154" s="50">
        <f t="shared" si="157"/>
        <v>0</v>
      </c>
      <c r="S154" s="50">
        <f t="shared" si="157"/>
        <v>947599205073</v>
      </c>
      <c r="T154" s="50">
        <f t="shared" si="157"/>
        <v>375640460969.69</v>
      </c>
      <c r="U154" s="50">
        <f t="shared" si="157"/>
        <v>571958744103.31006</v>
      </c>
      <c r="V154" s="51">
        <f t="shared" si="152"/>
        <v>0.39641280718545124</v>
      </c>
      <c r="W154" s="50">
        <f>+W156+W159</f>
        <v>61097440508.600006</v>
      </c>
      <c r="X154" s="50">
        <f>+X156+X159</f>
        <v>314543020461.08997</v>
      </c>
      <c r="Y154" s="51">
        <f t="shared" si="81"/>
        <v>0.83735127906381224</v>
      </c>
      <c r="Z154" s="50">
        <f>+Z156+Z159</f>
        <v>60462957413.400002</v>
      </c>
      <c r="AA154" s="50">
        <f>+AA156+AA159</f>
        <v>634483095.19999981</v>
      </c>
      <c r="AB154" s="51">
        <f t="shared" si="146"/>
        <v>0.16095965077169547</v>
      </c>
    </row>
    <row r="155" spans="1:28" ht="24" hidden="1" customHeight="1">
      <c r="A155" s="32"/>
      <c r="B155" s="52"/>
      <c r="C155" s="52"/>
      <c r="D155" s="52"/>
      <c r="E155" s="52"/>
      <c r="F155" s="52"/>
      <c r="G155" s="52"/>
      <c r="H155" s="52"/>
      <c r="I155" s="52"/>
      <c r="J155" s="53"/>
      <c r="K155" s="52"/>
      <c r="L155" s="52"/>
      <c r="M155" s="54"/>
      <c r="N155" s="54"/>
      <c r="O155" s="54"/>
      <c r="P155" s="54"/>
      <c r="Q155" s="54"/>
      <c r="R155" s="54"/>
      <c r="S155" s="54">
        <f>+M155-R155+N155-O155+P155-Q155</f>
        <v>0</v>
      </c>
      <c r="T155" s="54"/>
      <c r="U155" s="54">
        <f t="shared" ref="U155:U157" si="158">+S155-T155</f>
        <v>0</v>
      </c>
      <c r="V155" s="55"/>
      <c r="W155" s="54"/>
      <c r="X155" s="54">
        <f t="shared" ref="X155:X157" si="159">+T155-W155</f>
        <v>0</v>
      </c>
      <c r="Y155" s="55"/>
      <c r="Z155" s="54"/>
      <c r="AA155" s="54">
        <f t="shared" ref="AA155:AA157" si="160">+W155-Z155</f>
        <v>0</v>
      </c>
      <c r="AB155" s="55"/>
    </row>
    <row r="156" spans="1:28" ht="30.75" customHeight="1">
      <c r="A156" s="32" t="e">
        <f>+CONCATENATE(#REF!,"=",J156)</f>
        <v>#REF!</v>
      </c>
      <c r="B156" s="52" t="str">
        <f>CONCATENATE(C156,"-",D156,"-",E156,"-",F156,"-",G156,"-",H156)</f>
        <v>C-4103-1500-14-0-4103016</v>
      </c>
      <c r="C156" s="52" t="s">
        <v>167</v>
      </c>
      <c r="D156" s="52" t="s">
        <v>190</v>
      </c>
      <c r="E156" s="52" t="s">
        <v>172</v>
      </c>
      <c r="F156" s="52" t="s">
        <v>205</v>
      </c>
      <c r="G156" s="52" t="s">
        <v>175</v>
      </c>
      <c r="H156" s="52" t="s">
        <v>207</v>
      </c>
      <c r="I156" s="52"/>
      <c r="J156" s="53"/>
      <c r="K156" s="52"/>
      <c r="L156" s="52" t="s">
        <v>208</v>
      </c>
      <c r="M156" s="54">
        <f>SUM(M157:M158)</f>
        <v>918263049313</v>
      </c>
      <c r="N156" s="54">
        <f t="shared" ref="N156:U156" si="161">SUM(N157:N158)</f>
        <v>0</v>
      </c>
      <c r="O156" s="54">
        <f t="shared" si="161"/>
        <v>0</v>
      </c>
      <c r="P156" s="54">
        <f t="shared" si="161"/>
        <v>0</v>
      </c>
      <c r="Q156" s="54">
        <f t="shared" si="161"/>
        <v>0</v>
      </c>
      <c r="R156" s="54">
        <f t="shared" si="161"/>
        <v>0</v>
      </c>
      <c r="S156" s="54">
        <f t="shared" si="161"/>
        <v>918263049313</v>
      </c>
      <c r="T156" s="54">
        <f t="shared" si="161"/>
        <v>365678456213.32001</v>
      </c>
      <c r="U156" s="54">
        <f t="shared" si="161"/>
        <v>552584593099.68005</v>
      </c>
      <c r="V156" s="55">
        <f t="shared" si="152"/>
        <v>0.39822843409293551</v>
      </c>
      <c r="W156" s="54">
        <f t="shared" ref="W156:X156" si="162">SUM(W157:W158)</f>
        <v>57716314455.270004</v>
      </c>
      <c r="X156" s="54">
        <f t="shared" si="162"/>
        <v>307962141758.04999</v>
      </c>
      <c r="Y156" s="55">
        <f t="shared" si="81"/>
        <v>0.84216648950847417</v>
      </c>
      <c r="Z156" s="54">
        <f t="shared" ref="Z156:AA156" si="163">SUM(Z157:Z158)</f>
        <v>57500419760.07</v>
      </c>
      <c r="AA156" s="54">
        <f t="shared" si="163"/>
        <v>215894695.19999981</v>
      </c>
      <c r="AB156" s="55">
        <f t="shared" si="146"/>
        <v>0.15724311559258744</v>
      </c>
    </row>
    <row r="157" spans="1:28" ht="24.95" customHeight="1">
      <c r="A157" s="32" t="e">
        <f>+CONCATENATE(#REF!,"=",J157)</f>
        <v>#REF!</v>
      </c>
      <c r="B157" s="56" t="str">
        <f t="shared" ref="B157:B158" si="164">CONCATENATE(C157,"-",D157,"-",E157,"-",F157,"-",G157,"-",H157,"-",I157)</f>
        <v>C-4103-1500-14-0-4103016-02</v>
      </c>
      <c r="C157" s="57" t="s">
        <v>167</v>
      </c>
      <c r="D157" s="57" t="s">
        <v>190</v>
      </c>
      <c r="E157" s="57" t="s">
        <v>172</v>
      </c>
      <c r="F157" s="57" t="s">
        <v>205</v>
      </c>
      <c r="G157" s="57" t="s">
        <v>175</v>
      </c>
      <c r="H157" s="57" t="s">
        <v>207</v>
      </c>
      <c r="I157" s="57" t="s">
        <v>54</v>
      </c>
      <c r="J157" s="57">
        <v>11</v>
      </c>
      <c r="K157" s="58" t="s">
        <v>29</v>
      </c>
      <c r="L157" s="59" t="s">
        <v>178</v>
      </c>
      <c r="M157" s="60">
        <v>101740918684</v>
      </c>
      <c r="N157" s="60"/>
      <c r="O157" s="60"/>
      <c r="P157" s="60"/>
      <c r="Q157" s="761"/>
      <c r="R157" s="61">
        <v>0</v>
      </c>
      <c r="S157" s="81">
        <f>+M157-R157+N157-O157+P157-Q157</f>
        <v>101740918684</v>
      </c>
      <c r="T157" s="60">
        <v>53233723927.139999</v>
      </c>
      <c r="U157" s="60">
        <f t="shared" si="158"/>
        <v>48507194756.860001</v>
      </c>
      <c r="V157" s="62">
        <f t="shared" si="152"/>
        <v>0.52322826072054773</v>
      </c>
      <c r="W157" s="60">
        <v>7548964641.7299995</v>
      </c>
      <c r="X157" s="60">
        <f t="shared" si="159"/>
        <v>45684759285.410004</v>
      </c>
      <c r="Y157" s="62">
        <f t="shared" ref="Y157:Y228" si="165">+IF(T157&gt;0,X157/T157,0)</f>
        <v>0.8581920616325448</v>
      </c>
      <c r="Z157" s="60">
        <v>7333069946.5299997</v>
      </c>
      <c r="AA157" s="60">
        <f t="shared" si="160"/>
        <v>215894695.19999981</v>
      </c>
      <c r="AB157" s="62">
        <f t="shared" si="146"/>
        <v>0.13775233828402902</v>
      </c>
    </row>
    <row r="158" spans="1:28" ht="24.95" customHeight="1">
      <c r="A158" s="32" t="e">
        <f>+CONCATENATE(#REF!,"=",J158)</f>
        <v>#REF!</v>
      </c>
      <c r="B158" s="56" t="str">
        <f t="shared" si="164"/>
        <v>C-4103-1500-14-0-4103016-03</v>
      </c>
      <c r="C158" s="57" t="s">
        <v>167</v>
      </c>
      <c r="D158" s="57" t="s">
        <v>190</v>
      </c>
      <c r="E158" s="57" t="s">
        <v>172</v>
      </c>
      <c r="F158" s="57" t="s">
        <v>205</v>
      </c>
      <c r="G158" s="57" t="s">
        <v>175</v>
      </c>
      <c r="H158" s="57" t="s">
        <v>207</v>
      </c>
      <c r="I158" s="57" t="s">
        <v>65</v>
      </c>
      <c r="J158" s="57">
        <v>11</v>
      </c>
      <c r="K158" s="58" t="s">
        <v>29</v>
      </c>
      <c r="L158" s="59" t="s">
        <v>127</v>
      </c>
      <c r="M158" s="60">
        <v>816522130629</v>
      </c>
      <c r="N158" s="60"/>
      <c r="O158" s="60"/>
      <c r="P158" s="60"/>
      <c r="Q158" s="761"/>
      <c r="R158" s="61">
        <v>0</v>
      </c>
      <c r="S158" s="81">
        <f>+M158-R158+N158-O158+P158-Q158</f>
        <v>816522130629</v>
      </c>
      <c r="T158" s="60">
        <v>312444732286.17999</v>
      </c>
      <c r="U158" s="60">
        <f t="shared" si="122"/>
        <v>504077398342.82001</v>
      </c>
      <c r="V158" s="62">
        <f t="shared" si="152"/>
        <v>0.38265310953114179</v>
      </c>
      <c r="W158" s="60">
        <v>50167349813.540001</v>
      </c>
      <c r="X158" s="60">
        <f t="shared" si="123"/>
        <v>262277382472.63998</v>
      </c>
      <c r="Y158" s="62">
        <f t="shared" si="165"/>
        <v>0.83943608379484591</v>
      </c>
      <c r="Z158" s="60">
        <v>50167349813.540001</v>
      </c>
      <c r="AA158" s="60">
        <f t="shared" si="124"/>
        <v>0</v>
      </c>
      <c r="AB158" s="62">
        <f t="shared" si="146"/>
        <v>0.16056391620515406</v>
      </c>
    </row>
    <row r="159" spans="1:28" ht="27.75" customHeight="1">
      <c r="A159" s="32" t="e">
        <f>+CONCATENATE(#REF!,"=",J159)</f>
        <v>#REF!</v>
      </c>
      <c r="B159" s="52" t="str">
        <f>CONCATENATE(C159,"-",D159,"-",E159,"-",F159,"-",G159,"-",H159)</f>
        <v>C-4103-1500-14-0-4103048</v>
      </c>
      <c r="C159" s="52" t="s">
        <v>167</v>
      </c>
      <c r="D159" s="52" t="s">
        <v>190</v>
      </c>
      <c r="E159" s="52" t="s">
        <v>172</v>
      </c>
      <c r="F159" s="52" t="s">
        <v>205</v>
      </c>
      <c r="G159" s="52" t="s">
        <v>175</v>
      </c>
      <c r="H159" s="52" t="s">
        <v>209</v>
      </c>
      <c r="I159" s="52"/>
      <c r="J159" s="53"/>
      <c r="K159" s="52" t="s">
        <v>29</v>
      </c>
      <c r="L159" s="52" t="s">
        <v>210</v>
      </c>
      <c r="M159" s="54">
        <f t="shared" ref="M159:U159" si="166">SUM(M160:M160)</f>
        <v>29336155760</v>
      </c>
      <c r="N159" s="54">
        <f t="shared" si="166"/>
        <v>0</v>
      </c>
      <c r="O159" s="54">
        <f t="shared" si="166"/>
        <v>0</v>
      </c>
      <c r="P159" s="54">
        <f t="shared" si="166"/>
        <v>0</v>
      </c>
      <c r="Q159" s="762">
        <f t="shared" si="166"/>
        <v>0</v>
      </c>
      <c r="R159" s="54">
        <f t="shared" si="166"/>
        <v>0</v>
      </c>
      <c r="S159" s="54">
        <f t="shared" si="166"/>
        <v>29336155760</v>
      </c>
      <c r="T159" s="54">
        <f t="shared" si="166"/>
        <v>9962004756.3700008</v>
      </c>
      <c r="U159" s="54">
        <f t="shared" si="166"/>
        <v>19374151003.629997</v>
      </c>
      <c r="V159" s="55">
        <f t="shared" si="152"/>
        <v>0.33958112432554116</v>
      </c>
      <c r="W159" s="54">
        <f>SUM(W160:W160)</f>
        <v>3381126053.3299999</v>
      </c>
      <c r="X159" s="54">
        <f>SUM(X160:X160)</f>
        <v>6580878703.0400009</v>
      </c>
      <c r="Y159" s="55">
        <f t="shared" si="165"/>
        <v>0.66059782784504217</v>
      </c>
      <c r="Z159" s="54">
        <f>SUM(Z160:Z160)</f>
        <v>2962537653.3299999</v>
      </c>
      <c r="AA159" s="54">
        <f>SUM(AA160:AA160)</f>
        <v>418588400</v>
      </c>
      <c r="AB159" s="55">
        <f t="shared" si="146"/>
        <v>0.29738368187745201</v>
      </c>
    </row>
    <row r="160" spans="1:28" ht="24.95" customHeight="1">
      <c r="A160" s="32" t="e">
        <f>+CONCATENATE(#REF!,"=",J160)</f>
        <v>#REF!</v>
      </c>
      <c r="B160" s="56" t="str">
        <f t="shared" ref="B160" si="167">CONCATENATE(C160,"-",D160,"-",E160,"-",F160,"-",G160,"-",H160,"-",I160)</f>
        <v>C-4103-1500-14-0-4103048-02</v>
      </c>
      <c r="C160" s="57" t="s">
        <v>167</v>
      </c>
      <c r="D160" s="57" t="s">
        <v>190</v>
      </c>
      <c r="E160" s="57" t="s">
        <v>172</v>
      </c>
      <c r="F160" s="57" t="s">
        <v>205</v>
      </c>
      <c r="G160" s="57" t="s">
        <v>175</v>
      </c>
      <c r="H160" s="57" t="s">
        <v>209</v>
      </c>
      <c r="I160" s="57" t="s">
        <v>54</v>
      </c>
      <c r="J160" s="57">
        <v>11</v>
      </c>
      <c r="K160" s="58" t="s">
        <v>29</v>
      </c>
      <c r="L160" s="59" t="s">
        <v>178</v>
      </c>
      <c r="M160" s="60">
        <v>29336155760</v>
      </c>
      <c r="N160" s="60"/>
      <c r="O160" s="60"/>
      <c r="P160" s="60"/>
      <c r="Q160" s="61"/>
      <c r="R160" s="61">
        <v>0</v>
      </c>
      <c r="S160" s="81">
        <f>+M160-R160+N160-O160+P160-Q160</f>
        <v>29336155760</v>
      </c>
      <c r="T160" s="60">
        <v>9962004756.3700008</v>
      </c>
      <c r="U160" s="60">
        <f t="shared" ref="U160" si="168">+S160-T160</f>
        <v>19374151003.629997</v>
      </c>
      <c r="V160" s="62">
        <f t="shared" si="152"/>
        <v>0.33958112432554116</v>
      </c>
      <c r="W160" s="60">
        <v>3381126053.3299999</v>
      </c>
      <c r="X160" s="60">
        <f t="shared" ref="X160" si="169">+T160-W160</f>
        <v>6580878703.0400009</v>
      </c>
      <c r="Y160" s="62">
        <f t="shared" si="165"/>
        <v>0.66059782784504217</v>
      </c>
      <c r="Z160" s="60">
        <v>2962537653.3299999</v>
      </c>
      <c r="AA160" s="60">
        <f t="shared" ref="AA160" si="170">+W160-Z160</f>
        <v>418588400</v>
      </c>
      <c r="AB160" s="62">
        <f t="shared" si="146"/>
        <v>0.29738368187745201</v>
      </c>
    </row>
    <row r="161" spans="1:28" ht="36" customHeight="1">
      <c r="A161" s="32" t="e">
        <f>+CONCATENATE(#REF!,"=",J161)</f>
        <v>#REF!</v>
      </c>
      <c r="B161" s="48" t="str">
        <f>CONCATENATE(C161,"-",D161,"-",E161,"-",F161)</f>
        <v>C-4103-1500-16</v>
      </c>
      <c r="C161" s="48" t="s">
        <v>167</v>
      </c>
      <c r="D161" s="48" t="s">
        <v>190</v>
      </c>
      <c r="E161" s="48" t="s">
        <v>172</v>
      </c>
      <c r="F161" s="48" t="s">
        <v>211</v>
      </c>
      <c r="G161" s="48"/>
      <c r="H161" s="48"/>
      <c r="I161" s="48"/>
      <c r="J161" s="49"/>
      <c r="K161" s="48"/>
      <c r="L161" s="48" t="s">
        <v>212</v>
      </c>
      <c r="M161" s="50">
        <f>+M162+M164</f>
        <v>500000000</v>
      </c>
      <c r="N161" s="50">
        <f t="shared" ref="N161:U161" si="171">+N162+N164</f>
        <v>0</v>
      </c>
      <c r="O161" s="50">
        <f t="shared" si="171"/>
        <v>0</v>
      </c>
      <c r="P161" s="50">
        <f t="shared" si="171"/>
        <v>0</v>
      </c>
      <c r="Q161" s="50">
        <f t="shared" si="171"/>
        <v>0</v>
      </c>
      <c r="R161" s="50">
        <f t="shared" si="171"/>
        <v>0</v>
      </c>
      <c r="S161" s="50">
        <f t="shared" si="171"/>
        <v>500000000</v>
      </c>
      <c r="T161" s="50">
        <f t="shared" si="171"/>
        <v>0</v>
      </c>
      <c r="U161" s="50">
        <f t="shared" si="171"/>
        <v>500000000</v>
      </c>
      <c r="V161" s="51">
        <f t="shared" si="152"/>
        <v>0</v>
      </c>
      <c r="W161" s="50">
        <f t="shared" ref="W161:AA161" si="172">+W162+W164</f>
        <v>0</v>
      </c>
      <c r="X161" s="50">
        <f t="shared" si="172"/>
        <v>0</v>
      </c>
      <c r="Y161" s="51">
        <f t="shared" si="165"/>
        <v>0</v>
      </c>
      <c r="Z161" s="50">
        <f t="shared" si="172"/>
        <v>0</v>
      </c>
      <c r="AA161" s="50">
        <f t="shared" si="172"/>
        <v>0</v>
      </c>
      <c r="AB161" s="51">
        <f t="shared" si="146"/>
        <v>0</v>
      </c>
    </row>
    <row r="162" spans="1:28" ht="28.5" customHeight="1">
      <c r="A162" s="32" t="e">
        <f>+CONCATENATE(#REF!,"=",J162)</f>
        <v>#REF!</v>
      </c>
      <c r="B162" s="52" t="str">
        <f>CONCATENATE(C162,"-",D162,"-",E162,"-",F162,"-",G162,"-",H162)</f>
        <v>C-4103-1500-16-0-4103056</v>
      </c>
      <c r="C162" s="52" t="s">
        <v>167</v>
      </c>
      <c r="D162" s="52" t="s">
        <v>190</v>
      </c>
      <c r="E162" s="52" t="s">
        <v>172</v>
      </c>
      <c r="F162" s="52" t="s">
        <v>211</v>
      </c>
      <c r="G162" s="52" t="s">
        <v>175</v>
      </c>
      <c r="H162" s="52" t="s">
        <v>213</v>
      </c>
      <c r="I162" s="52"/>
      <c r="J162" s="53"/>
      <c r="K162" s="52" t="s">
        <v>29</v>
      </c>
      <c r="L162" s="52" t="s">
        <v>214</v>
      </c>
      <c r="M162" s="54">
        <f>+M163</f>
        <v>410000000</v>
      </c>
      <c r="N162" s="54">
        <f t="shared" ref="N162:AA162" si="173">+N163</f>
        <v>0</v>
      </c>
      <c r="O162" s="54">
        <f t="shared" si="173"/>
        <v>0</v>
      </c>
      <c r="P162" s="54">
        <f t="shared" si="173"/>
        <v>0</v>
      </c>
      <c r="Q162" s="54">
        <f t="shared" si="173"/>
        <v>0</v>
      </c>
      <c r="R162" s="54">
        <f t="shared" si="173"/>
        <v>0</v>
      </c>
      <c r="S162" s="54">
        <f t="shared" si="173"/>
        <v>410000000</v>
      </c>
      <c r="T162" s="54">
        <f t="shared" si="173"/>
        <v>0</v>
      </c>
      <c r="U162" s="54">
        <f t="shared" si="173"/>
        <v>410000000</v>
      </c>
      <c r="V162" s="55">
        <f t="shared" si="152"/>
        <v>0</v>
      </c>
      <c r="W162" s="54">
        <f t="shared" si="173"/>
        <v>0</v>
      </c>
      <c r="X162" s="54">
        <f t="shared" si="173"/>
        <v>0</v>
      </c>
      <c r="Y162" s="55">
        <f t="shared" si="165"/>
        <v>0</v>
      </c>
      <c r="Z162" s="54">
        <f t="shared" si="173"/>
        <v>0</v>
      </c>
      <c r="AA162" s="54">
        <f t="shared" si="173"/>
        <v>0</v>
      </c>
      <c r="AB162" s="55">
        <f t="shared" si="146"/>
        <v>0</v>
      </c>
    </row>
    <row r="163" spans="1:28" ht="24.95" customHeight="1">
      <c r="A163" s="32" t="e">
        <f>+CONCATENATE(#REF!,"=",J163)</f>
        <v>#REF!</v>
      </c>
      <c r="B163" s="56" t="str">
        <f t="shared" ref="B163:B165" si="174">CONCATENATE(C163,"-",D163,"-",E163,"-",F163,"-",G163,"-",H163,"-",I163)</f>
        <v>C-4103-1500-16-0-4103056-02</v>
      </c>
      <c r="C163" s="57" t="s">
        <v>167</v>
      </c>
      <c r="D163" s="57" t="s">
        <v>190</v>
      </c>
      <c r="E163" s="57" t="s">
        <v>172</v>
      </c>
      <c r="F163" s="57" t="s">
        <v>211</v>
      </c>
      <c r="G163" s="57" t="s">
        <v>175</v>
      </c>
      <c r="H163" s="57" t="s">
        <v>213</v>
      </c>
      <c r="I163" s="57" t="s">
        <v>54</v>
      </c>
      <c r="J163" s="57">
        <v>11</v>
      </c>
      <c r="K163" s="58" t="s">
        <v>29</v>
      </c>
      <c r="L163" s="59" t="s">
        <v>178</v>
      </c>
      <c r="M163" s="60">
        <v>410000000</v>
      </c>
      <c r="N163" s="60"/>
      <c r="O163" s="60"/>
      <c r="P163" s="61"/>
      <c r="Q163" s="61"/>
      <c r="R163" s="61">
        <v>0</v>
      </c>
      <c r="S163" s="60">
        <f>+M163-R163+N163-O163+P163-Q163</f>
        <v>410000000</v>
      </c>
      <c r="T163" s="60">
        <v>0</v>
      </c>
      <c r="U163" s="60">
        <f t="shared" si="122"/>
        <v>410000000</v>
      </c>
      <c r="V163" s="62">
        <f t="shared" si="152"/>
        <v>0</v>
      </c>
      <c r="W163" s="60">
        <v>0</v>
      </c>
      <c r="X163" s="60">
        <f t="shared" si="123"/>
        <v>0</v>
      </c>
      <c r="Y163" s="62">
        <f t="shared" si="165"/>
        <v>0</v>
      </c>
      <c r="Z163" s="60">
        <v>0</v>
      </c>
      <c r="AA163" s="60">
        <f t="shared" si="124"/>
        <v>0</v>
      </c>
      <c r="AB163" s="62">
        <f t="shared" si="146"/>
        <v>0</v>
      </c>
    </row>
    <row r="164" spans="1:28" ht="24" customHeight="1">
      <c r="A164" s="32" t="e">
        <f>+CONCATENATE(#REF!,"=",J164)</f>
        <v>#REF!</v>
      </c>
      <c r="B164" s="52" t="str">
        <f>CONCATENATE(C164,"-",D164,"-",E164,"-",F164,"-",G164,"-",H164)</f>
        <v>C-4103-1500-16-0-4103060</v>
      </c>
      <c r="C164" s="52" t="s">
        <v>167</v>
      </c>
      <c r="D164" s="52" t="s">
        <v>190</v>
      </c>
      <c r="E164" s="52" t="s">
        <v>172</v>
      </c>
      <c r="F164" s="52" t="s">
        <v>211</v>
      </c>
      <c r="G164" s="52" t="s">
        <v>175</v>
      </c>
      <c r="H164" s="52" t="s">
        <v>215</v>
      </c>
      <c r="I164" s="52"/>
      <c r="J164" s="53"/>
      <c r="K164" s="52" t="s">
        <v>29</v>
      </c>
      <c r="L164" s="52" t="s">
        <v>216</v>
      </c>
      <c r="M164" s="54">
        <f>+M165</f>
        <v>90000000</v>
      </c>
      <c r="N164" s="54">
        <f t="shared" ref="N164:AA164" si="175">+N165</f>
        <v>0</v>
      </c>
      <c r="O164" s="54">
        <f t="shared" si="175"/>
        <v>0</v>
      </c>
      <c r="P164" s="54">
        <f t="shared" si="175"/>
        <v>0</v>
      </c>
      <c r="Q164" s="54">
        <f t="shared" si="175"/>
        <v>0</v>
      </c>
      <c r="R164" s="54">
        <f t="shared" si="175"/>
        <v>0</v>
      </c>
      <c r="S164" s="54">
        <f t="shared" si="175"/>
        <v>90000000</v>
      </c>
      <c r="T164" s="54">
        <f t="shared" si="175"/>
        <v>0</v>
      </c>
      <c r="U164" s="54">
        <f t="shared" si="175"/>
        <v>90000000</v>
      </c>
      <c r="V164" s="55">
        <f t="shared" si="152"/>
        <v>0</v>
      </c>
      <c r="W164" s="54">
        <f t="shared" si="175"/>
        <v>0</v>
      </c>
      <c r="X164" s="54">
        <f t="shared" si="175"/>
        <v>0</v>
      </c>
      <c r="Y164" s="55">
        <f t="shared" si="165"/>
        <v>0</v>
      </c>
      <c r="Z164" s="54">
        <f t="shared" si="175"/>
        <v>0</v>
      </c>
      <c r="AA164" s="54">
        <f t="shared" si="175"/>
        <v>0</v>
      </c>
      <c r="AB164" s="55">
        <f t="shared" si="146"/>
        <v>0</v>
      </c>
    </row>
    <row r="165" spans="1:28" ht="24.95" customHeight="1">
      <c r="A165" s="32" t="e">
        <f>+CONCATENATE(#REF!,"=",J165)</f>
        <v>#REF!</v>
      </c>
      <c r="B165" s="56" t="str">
        <f t="shared" si="174"/>
        <v>C-4103-1500-16-0-4103060-02</v>
      </c>
      <c r="C165" s="57" t="s">
        <v>167</v>
      </c>
      <c r="D165" s="57" t="s">
        <v>190</v>
      </c>
      <c r="E165" s="57" t="s">
        <v>172</v>
      </c>
      <c r="F165" s="57" t="s">
        <v>211</v>
      </c>
      <c r="G165" s="57" t="s">
        <v>175</v>
      </c>
      <c r="H165" s="57" t="s">
        <v>215</v>
      </c>
      <c r="I165" s="57" t="s">
        <v>54</v>
      </c>
      <c r="J165" s="57">
        <v>11</v>
      </c>
      <c r="K165" s="58" t="s">
        <v>29</v>
      </c>
      <c r="L165" s="59" t="s">
        <v>178</v>
      </c>
      <c r="M165" s="60">
        <v>90000000</v>
      </c>
      <c r="N165" s="60"/>
      <c r="O165" s="60"/>
      <c r="P165" s="61"/>
      <c r="Q165" s="61"/>
      <c r="R165" s="61">
        <v>0</v>
      </c>
      <c r="S165" s="60">
        <f>+M165-R165+N165-O165+P165-Q165</f>
        <v>90000000</v>
      </c>
      <c r="T165" s="60">
        <v>0</v>
      </c>
      <c r="U165" s="60">
        <f t="shared" si="122"/>
        <v>90000000</v>
      </c>
      <c r="V165" s="62">
        <f t="shared" si="152"/>
        <v>0</v>
      </c>
      <c r="W165" s="60">
        <v>0</v>
      </c>
      <c r="X165" s="60">
        <f t="shared" si="123"/>
        <v>0</v>
      </c>
      <c r="Y165" s="62">
        <f t="shared" si="165"/>
        <v>0</v>
      </c>
      <c r="Z165" s="60">
        <v>0</v>
      </c>
      <c r="AA165" s="60">
        <f t="shared" si="124"/>
        <v>0</v>
      </c>
      <c r="AB165" s="62">
        <f t="shared" si="146"/>
        <v>0</v>
      </c>
    </row>
    <row r="166" spans="1:28" ht="50.25" customHeight="1">
      <c r="A166" s="32" t="e">
        <f>+CONCATENATE(#REF!,"=",J166)</f>
        <v>#REF!</v>
      </c>
      <c r="B166" s="48" t="str">
        <f>CONCATENATE(C166,"-",D166,"-",E166,"-",F166)</f>
        <v>C-4103-1500-17</v>
      </c>
      <c r="C166" s="48" t="s">
        <v>167</v>
      </c>
      <c r="D166" s="48" t="s">
        <v>190</v>
      </c>
      <c r="E166" s="48" t="s">
        <v>172</v>
      </c>
      <c r="F166" s="48" t="s">
        <v>217</v>
      </c>
      <c r="G166" s="48"/>
      <c r="H166" s="48"/>
      <c r="I166" s="48"/>
      <c r="J166" s="49"/>
      <c r="K166" s="48"/>
      <c r="L166" s="48" t="s">
        <v>218</v>
      </c>
      <c r="M166" s="50">
        <f>+M169+M167</f>
        <v>18000000000</v>
      </c>
      <c r="N166" s="50">
        <f t="shared" ref="N166:U166" si="176">+N169+N167</f>
        <v>0</v>
      </c>
      <c r="O166" s="50">
        <f t="shared" si="176"/>
        <v>0</v>
      </c>
      <c r="P166" s="50">
        <f t="shared" si="176"/>
        <v>0</v>
      </c>
      <c r="Q166" s="50">
        <f t="shared" si="176"/>
        <v>0</v>
      </c>
      <c r="R166" s="50">
        <f t="shared" si="176"/>
        <v>0</v>
      </c>
      <c r="S166" s="50">
        <f t="shared" si="176"/>
        <v>18000000000</v>
      </c>
      <c r="T166" s="50">
        <f t="shared" si="176"/>
        <v>790723272</v>
      </c>
      <c r="U166" s="50">
        <f t="shared" si="176"/>
        <v>17209276728</v>
      </c>
      <c r="V166" s="51">
        <f t="shared" si="152"/>
        <v>4.3929070666666667E-2</v>
      </c>
      <c r="W166" s="50">
        <f t="shared" ref="W166:X166" si="177">+W169+W167</f>
        <v>191446781</v>
      </c>
      <c r="X166" s="50">
        <f t="shared" si="177"/>
        <v>599276491</v>
      </c>
      <c r="Y166" s="51">
        <f t="shared" si="165"/>
        <v>0.75788396803376235</v>
      </c>
      <c r="Z166" s="50">
        <f t="shared" ref="Z166:AA166" si="178">+Z169+Z167</f>
        <v>172946781</v>
      </c>
      <c r="AA166" s="50">
        <f t="shared" si="178"/>
        <v>18500000</v>
      </c>
      <c r="AB166" s="51">
        <f t="shared" si="146"/>
        <v>0.21871973056080737</v>
      </c>
    </row>
    <row r="167" spans="1:28" ht="24" customHeight="1">
      <c r="A167" s="32" t="e">
        <f>+CONCATENATE(#REF!,"=",J167)</f>
        <v>#REF!</v>
      </c>
      <c r="B167" s="52" t="str">
        <f>CONCATENATE(C167,"-",D167,"-",E167,"-",F167,"-",G167,"-",H167)</f>
        <v>C-4103-1500-17-0-4103005</v>
      </c>
      <c r="C167" s="52" t="s">
        <v>167</v>
      </c>
      <c r="D167" s="52" t="s">
        <v>190</v>
      </c>
      <c r="E167" s="52" t="s">
        <v>172</v>
      </c>
      <c r="F167" s="52" t="s">
        <v>217</v>
      </c>
      <c r="G167" s="52" t="s">
        <v>175</v>
      </c>
      <c r="H167" s="52" t="s">
        <v>219</v>
      </c>
      <c r="I167" s="52"/>
      <c r="J167" s="53"/>
      <c r="K167" s="52" t="s">
        <v>29</v>
      </c>
      <c r="L167" s="52" t="s">
        <v>220</v>
      </c>
      <c r="M167" s="54">
        <f>M168</f>
        <v>3388943635</v>
      </c>
      <c r="N167" s="54">
        <f t="shared" ref="N167:AA167" si="179">N168</f>
        <v>0</v>
      </c>
      <c r="O167" s="54">
        <f t="shared" si="179"/>
        <v>0</v>
      </c>
      <c r="P167" s="54">
        <f t="shared" si="179"/>
        <v>0</v>
      </c>
      <c r="Q167" s="54">
        <f t="shared" si="179"/>
        <v>0</v>
      </c>
      <c r="R167" s="54">
        <f t="shared" si="179"/>
        <v>0</v>
      </c>
      <c r="S167" s="54">
        <f t="shared" si="179"/>
        <v>3388943635</v>
      </c>
      <c r="T167" s="54">
        <f t="shared" si="179"/>
        <v>790723272</v>
      </c>
      <c r="U167" s="54">
        <f t="shared" si="179"/>
        <v>2598220363</v>
      </c>
      <c r="V167" s="55">
        <f t="shared" si="152"/>
        <v>0.23332440936274232</v>
      </c>
      <c r="W167" s="54">
        <f t="shared" si="179"/>
        <v>191446781</v>
      </c>
      <c r="X167" s="54">
        <f t="shared" si="179"/>
        <v>599276491</v>
      </c>
      <c r="Y167" s="55">
        <f t="shared" si="165"/>
        <v>0.75788396803376235</v>
      </c>
      <c r="Z167" s="54">
        <f t="shared" si="179"/>
        <v>172946781</v>
      </c>
      <c r="AA167" s="54">
        <f t="shared" si="179"/>
        <v>18500000</v>
      </c>
      <c r="AB167" s="55">
        <f t="shared" si="146"/>
        <v>0.21871973056080737</v>
      </c>
    </row>
    <row r="168" spans="1:28" ht="24.95" customHeight="1">
      <c r="A168" s="32" t="e">
        <f>+CONCATENATE(#REF!,"=",J168)</f>
        <v>#REF!</v>
      </c>
      <c r="B168" s="56" t="str">
        <f t="shared" ref="B168:B170" si="180">CONCATENATE(C168,"-",D168,"-",E168,"-",F168,"-",G168,"-",H168,"-",I168)</f>
        <v>C-4103-1500-17-0-4103005-02</v>
      </c>
      <c r="C168" s="57" t="s">
        <v>167</v>
      </c>
      <c r="D168" s="57" t="s">
        <v>190</v>
      </c>
      <c r="E168" s="57" t="s">
        <v>172</v>
      </c>
      <c r="F168" s="57" t="s">
        <v>217</v>
      </c>
      <c r="G168" s="57" t="s">
        <v>175</v>
      </c>
      <c r="H168" s="57" t="s">
        <v>219</v>
      </c>
      <c r="I168" s="57" t="s">
        <v>54</v>
      </c>
      <c r="J168" s="57">
        <v>11</v>
      </c>
      <c r="K168" s="58" t="s">
        <v>29</v>
      </c>
      <c r="L168" s="59" t="s">
        <v>178</v>
      </c>
      <c r="M168" s="60">
        <v>3388943635</v>
      </c>
      <c r="N168" s="60"/>
      <c r="O168" s="60"/>
      <c r="P168" s="60"/>
      <c r="Q168" s="61"/>
      <c r="R168" s="61">
        <v>0</v>
      </c>
      <c r="S168" s="60">
        <f>+M168-R168+N168-O168+P168-Q168</f>
        <v>3388943635</v>
      </c>
      <c r="T168" s="60">
        <v>790723272</v>
      </c>
      <c r="U168" s="60">
        <f>+S168-T168</f>
        <v>2598220363</v>
      </c>
      <c r="V168" s="62">
        <f t="shared" si="152"/>
        <v>0.23332440936274232</v>
      </c>
      <c r="W168" s="60">
        <v>191446781</v>
      </c>
      <c r="X168" s="60">
        <f>+T168-W168</f>
        <v>599276491</v>
      </c>
      <c r="Y168" s="62">
        <f t="shared" si="165"/>
        <v>0.75788396803376235</v>
      </c>
      <c r="Z168" s="60">
        <v>172946781</v>
      </c>
      <c r="AA168" s="60">
        <f>+W168-Z168</f>
        <v>18500000</v>
      </c>
      <c r="AB168" s="62">
        <f t="shared" si="146"/>
        <v>0.21871973056080737</v>
      </c>
    </row>
    <row r="169" spans="1:28" ht="28.5" customHeight="1">
      <c r="A169" s="32" t="e">
        <f>+CONCATENATE(#REF!,"=",J169)</f>
        <v>#REF!</v>
      </c>
      <c r="B169" s="52" t="str">
        <f>CONCATENATE(C169,"-",D169,"-",E169,"-",F169,"-",G169,"-",H169)</f>
        <v>C-4103-1500-17-0-4103057</v>
      </c>
      <c r="C169" s="52" t="s">
        <v>167</v>
      </c>
      <c r="D169" s="52" t="s">
        <v>190</v>
      </c>
      <c r="E169" s="52" t="s">
        <v>172</v>
      </c>
      <c r="F169" s="52" t="s">
        <v>217</v>
      </c>
      <c r="G169" s="52" t="s">
        <v>175</v>
      </c>
      <c r="H169" s="52" t="s">
        <v>221</v>
      </c>
      <c r="I169" s="52"/>
      <c r="J169" s="53"/>
      <c r="K169" s="52" t="s">
        <v>29</v>
      </c>
      <c r="L169" s="52" t="s">
        <v>222</v>
      </c>
      <c r="M169" s="54">
        <f t="shared" ref="M169:U169" si="181">SUM(M170:M170)</f>
        <v>14611056365</v>
      </c>
      <c r="N169" s="54">
        <f t="shared" si="181"/>
        <v>0</v>
      </c>
      <c r="O169" s="54">
        <f t="shared" si="181"/>
        <v>0</v>
      </c>
      <c r="P169" s="54">
        <f t="shared" si="181"/>
        <v>0</v>
      </c>
      <c r="Q169" s="54">
        <f t="shared" si="181"/>
        <v>0</v>
      </c>
      <c r="R169" s="54">
        <f t="shared" si="181"/>
        <v>0</v>
      </c>
      <c r="S169" s="54">
        <f t="shared" si="181"/>
        <v>14611056365</v>
      </c>
      <c r="T169" s="54">
        <f t="shared" si="181"/>
        <v>0</v>
      </c>
      <c r="U169" s="54">
        <f t="shared" si="181"/>
        <v>14611056365</v>
      </c>
      <c r="V169" s="55">
        <f t="shared" si="152"/>
        <v>0</v>
      </c>
      <c r="W169" s="54">
        <f>SUM(W170:W170)</f>
        <v>0</v>
      </c>
      <c r="X169" s="54">
        <f>SUM(X170:X170)</f>
        <v>0</v>
      </c>
      <c r="Y169" s="55">
        <f t="shared" si="165"/>
        <v>0</v>
      </c>
      <c r="Z169" s="54">
        <f>SUM(Z170:Z170)</f>
        <v>0</v>
      </c>
      <c r="AA169" s="54">
        <f>SUM(AA170:AA170)</f>
        <v>0</v>
      </c>
      <c r="AB169" s="55">
        <f t="shared" si="146"/>
        <v>0</v>
      </c>
    </row>
    <row r="170" spans="1:28" ht="24.95" customHeight="1">
      <c r="A170" s="32" t="e">
        <f>+CONCATENATE(#REF!,"=",J170)</f>
        <v>#REF!</v>
      </c>
      <c r="B170" s="56" t="str">
        <f t="shared" si="180"/>
        <v>C-4103-1500-17-0-4103057-02</v>
      </c>
      <c r="C170" s="57" t="s">
        <v>167</v>
      </c>
      <c r="D170" s="57" t="s">
        <v>190</v>
      </c>
      <c r="E170" s="57" t="s">
        <v>172</v>
      </c>
      <c r="F170" s="57" t="s">
        <v>217</v>
      </c>
      <c r="G170" s="57" t="s">
        <v>175</v>
      </c>
      <c r="H170" s="57" t="s">
        <v>221</v>
      </c>
      <c r="I170" s="57" t="s">
        <v>54</v>
      </c>
      <c r="J170" s="57">
        <v>11</v>
      </c>
      <c r="K170" s="58" t="s">
        <v>29</v>
      </c>
      <c r="L170" s="59" t="s">
        <v>178</v>
      </c>
      <c r="M170" s="60">
        <v>14611056365</v>
      </c>
      <c r="N170" s="60"/>
      <c r="O170" s="60"/>
      <c r="P170" s="60"/>
      <c r="Q170" s="61"/>
      <c r="R170" s="61">
        <v>0</v>
      </c>
      <c r="S170" s="60">
        <f>+M170-R170+N170-O170+P170-Q170</f>
        <v>14611056365</v>
      </c>
      <c r="T170" s="60">
        <v>0</v>
      </c>
      <c r="U170" s="60">
        <f t="shared" ref="U170" si="182">+S170-T170</f>
        <v>14611056365</v>
      </c>
      <c r="V170" s="62">
        <f t="shared" si="152"/>
        <v>0</v>
      </c>
      <c r="W170" s="60">
        <v>0</v>
      </c>
      <c r="X170" s="60">
        <f t="shared" ref="X170" si="183">+T170-W170</f>
        <v>0</v>
      </c>
      <c r="Y170" s="62">
        <f t="shared" si="165"/>
        <v>0</v>
      </c>
      <c r="Z170" s="60">
        <v>0</v>
      </c>
      <c r="AA170" s="60">
        <f t="shared" ref="AA170" si="184">+W170-Z170</f>
        <v>0</v>
      </c>
      <c r="AB170" s="62">
        <f t="shared" si="146"/>
        <v>0</v>
      </c>
    </row>
    <row r="171" spans="1:28" ht="39.75" customHeight="1">
      <c r="A171" s="32" t="e">
        <f>+CONCATENATE(#REF!,"=",J171)</f>
        <v>#REF!</v>
      </c>
      <c r="B171" s="48" t="str">
        <f>CONCATENATE(C171,"-",D171,"-",E171,"-",F171)</f>
        <v>C-4103-1500-18</v>
      </c>
      <c r="C171" s="48" t="s">
        <v>167</v>
      </c>
      <c r="D171" s="48" t="s">
        <v>190</v>
      </c>
      <c r="E171" s="48" t="s">
        <v>172</v>
      </c>
      <c r="F171" s="48">
        <v>18</v>
      </c>
      <c r="G171" s="48"/>
      <c r="H171" s="48"/>
      <c r="I171" s="48"/>
      <c r="J171" s="49"/>
      <c r="K171" s="48"/>
      <c r="L171" s="48" t="s">
        <v>823</v>
      </c>
      <c r="M171" s="50">
        <f>+M172</f>
        <v>41200000000</v>
      </c>
      <c r="N171" s="50">
        <f t="shared" ref="N171:U171" si="185">+N172</f>
        <v>0</v>
      </c>
      <c r="O171" s="50">
        <f t="shared" si="185"/>
        <v>0</v>
      </c>
      <c r="P171" s="50">
        <f t="shared" si="185"/>
        <v>0</v>
      </c>
      <c r="Q171" s="50">
        <f t="shared" si="185"/>
        <v>0</v>
      </c>
      <c r="R171" s="50">
        <f t="shared" si="185"/>
        <v>0</v>
      </c>
      <c r="S171" s="50">
        <f t="shared" si="185"/>
        <v>41200000000</v>
      </c>
      <c r="T171" s="50">
        <f t="shared" si="185"/>
        <v>2853539363.6700001</v>
      </c>
      <c r="U171" s="50">
        <f t="shared" si="185"/>
        <v>38346460636.330002</v>
      </c>
      <c r="V171" s="51">
        <f t="shared" si="152"/>
        <v>6.9260664166747574E-2</v>
      </c>
      <c r="W171" s="50">
        <f t="shared" ref="W171:X171" si="186">+W172</f>
        <v>1197302669.6700001</v>
      </c>
      <c r="X171" s="50">
        <f t="shared" si="186"/>
        <v>1656236694</v>
      </c>
      <c r="Y171" s="51">
        <f t="shared" si="165"/>
        <v>0.58041487532517422</v>
      </c>
      <c r="Z171" s="50">
        <f t="shared" ref="Z171:AA171" si="187">+Z172</f>
        <v>1078502685.6700001</v>
      </c>
      <c r="AA171" s="50">
        <f t="shared" si="187"/>
        <v>118799984</v>
      </c>
      <c r="AB171" s="51">
        <f t="shared" si="146"/>
        <v>0.37795262241727545</v>
      </c>
    </row>
    <row r="172" spans="1:28" ht="30" customHeight="1">
      <c r="A172" s="32" t="e">
        <f>+CONCATENATE(#REF!,"=",J172)</f>
        <v>#REF!</v>
      </c>
      <c r="B172" s="52" t="str">
        <f>CONCATENATE(C172,"-",D172,"-",E172,"-",F172,"-",G172,"-",H172)</f>
        <v>C-4103-1500-18-0-4103050</v>
      </c>
      <c r="C172" s="52" t="s">
        <v>167</v>
      </c>
      <c r="D172" s="52" t="s">
        <v>190</v>
      </c>
      <c r="E172" s="52" t="s">
        <v>172</v>
      </c>
      <c r="F172" s="48">
        <v>18</v>
      </c>
      <c r="G172" s="52" t="s">
        <v>175</v>
      </c>
      <c r="H172" s="52">
        <v>4103050</v>
      </c>
      <c r="I172" s="52"/>
      <c r="J172" s="53"/>
      <c r="K172" s="52" t="s">
        <v>29</v>
      </c>
      <c r="L172" s="52" t="s">
        <v>824</v>
      </c>
      <c r="M172" s="54">
        <f>M173</f>
        <v>41200000000</v>
      </c>
      <c r="N172" s="54">
        <f t="shared" ref="N172:AA172" si="188">N173</f>
        <v>0</v>
      </c>
      <c r="O172" s="54">
        <f t="shared" si="188"/>
        <v>0</v>
      </c>
      <c r="P172" s="54">
        <f t="shared" si="188"/>
        <v>0</v>
      </c>
      <c r="Q172" s="54">
        <f t="shared" si="188"/>
        <v>0</v>
      </c>
      <c r="R172" s="54">
        <f t="shared" si="188"/>
        <v>0</v>
      </c>
      <c r="S172" s="54">
        <f t="shared" si="188"/>
        <v>41200000000</v>
      </c>
      <c r="T172" s="54">
        <f t="shared" si="188"/>
        <v>2853539363.6700001</v>
      </c>
      <c r="U172" s="54">
        <f t="shared" si="188"/>
        <v>38346460636.330002</v>
      </c>
      <c r="V172" s="55">
        <f t="shared" si="152"/>
        <v>6.9260664166747574E-2</v>
      </c>
      <c r="W172" s="54">
        <f t="shared" si="188"/>
        <v>1197302669.6700001</v>
      </c>
      <c r="X172" s="54">
        <f t="shared" si="188"/>
        <v>1656236694</v>
      </c>
      <c r="Y172" s="55">
        <f t="shared" si="165"/>
        <v>0.58041487532517422</v>
      </c>
      <c r="Z172" s="54">
        <f t="shared" si="188"/>
        <v>1078502685.6700001</v>
      </c>
      <c r="AA172" s="54">
        <f t="shared" si="188"/>
        <v>118799984</v>
      </c>
      <c r="AB172" s="55">
        <f t="shared" si="146"/>
        <v>0.37795262241727545</v>
      </c>
    </row>
    <row r="173" spans="1:28" ht="24.95" customHeight="1">
      <c r="A173" s="32" t="e">
        <f>+CONCATENATE(#REF!,"=",J173)</f>
        <v>#REF!</v>
      </c>
      <c r="B173" s="56" t="str">
        <f t="shared" ref="B173" si="189">CONCATENATE(C173,"-",D173,"-",E173,"-",F173,"-",G173,"-",H173,"-",I173)</f>
        <v>C-4103-1500-18-0-4103050-02</v>
      </c>
      <c r="C173" s="57" t="s">
        <v>167</v>
      </c>
      <c r="D173" s="57" t="s">
        <v>190</v>
      </c>
      <c r="E173" s="57" t="s">
        <v>172</v>
      </c>
      <c r="F173" s="57">
        <v>18</v>
      </c>
      <c r="G173" s="57" t="s">
        <v>175</v>
      </c>
      <c r="H173" s="57">
        <v>4103050</v>
      </c>
      <c r="I173" s="57" t="s">
        <v>54</v>
      </c>
      <c r="J173" s="57">
        <v>11</v>
      </c>
      <c r="K173" s="58" t="s">
        <v>29</v>
      </c>
      <c r="L173" s="59" t="s">
        <v>178</v>
      </c>
      <c r="M173" s="60">
        <v>41200000000</v>
      </c>
      <c r="N173" s="60"/>
      <c r="O173" s="60"/>
      <c r="P173" s="60"/>
      <c r="Q173" s="60">
        <v>0</v>
      </c>
      <c r="R173" s="61">
        <v>0</v>
      </c>
      <c r="S173" s="60">
        <f>+M173-R173+N173-O173+P173-Q173</f>
        <v>41200000000</v>
      </c>
      <c r="T173" s="60">
        <v>2853539363.6700001</v>
      </c>
      <c r="U173" s="60">
        <f>+S173-T173</f>
        <v>38346460636.330002</v>
      </c>
      <c r="V173" s="62">
        <f t="shared" si="152"/>
        <v>6.9260664166747574E-2</v>
      </c>
      <c r="W173" s="60">
        <v>1197302669.6700001</v>
      </c>
      <c r="X173" s="60">
        <f>+T173-W173</f>
        <v>1656236694</v>
      </c>
      <c r="Y173" s="62">
        <f t="shared" si="165"/>
        <v>0.58041487532517422</v>
      </c>
      <c r="Z173" s="60">
        <v>1078502685.6700001</v>
      </c>
      <c r="AA173" s="60">
        <f>+W173-Z173</f>
        <v>118799984</v>
      </c>
      <c r="AB173" s="62">
        <f t="shared" si="146"/>
        <v>0.37795262241727545</v>
      </c>
    </row>
    <row r="174" spans="1:28" ht="33" customHeight="1">
      <c r="A174" s="32" t="e">
        <f>+CONCATENATE(#REF!,"=",J174)</f>
        <v>#REF!</v>
      </c>
      <c r="B174" s="48" t="str">
        <f>CONCATENATE(C174,"-",D174,"-",E174,"-",F174)</f>
        <v>C-4103-1500-19</v>
      </c>
      <c r="C174" s="48" t="s">
        <v>167</v>
      </c>
      <c r="D174" s="48" t="s">
        <v>190</v>
      </c>
      <c r="E174" s="48" t="s">
        <v>172</v>
      </c>
      <c r="F174" s="48">
        <v>19</v>
      </c>
      <c r="G174" s="48"/>
      <c r="H174" s="48"/>
      <c r="I174" s="48"/>
      <c r="J174" s="49"/>
      <c r="K174" s="48"/>
      <c r="L174" s="48" t="s">
        <v>227</v>
      </c>
      <c r="M174" s="50">
        <f>+M175+M179+M177</f>
        <v>12000000000</v>
      </c>
      <c r="N174" s="50">
        <f t="shared" ref="N174:AA174" si="190">+N175+N179+N177</f>
        <v>0</v>
      </c>
      <c r="O174" s="50">
        <f t="shared" si="190"/>
        <v>0</v>
      </c>
      <c r="P174" s="50">
        <f t="shared" si="190"/>
        <v>0</v>
      </c>
      <c r="Q174" s="50">
        <f t="shared" si="190"/>
        <v>0</v>
      </c>
      <c r="R174" s="50">
        <f t="shared" si="190"/>
        <v>0</v>
      </c>
      <c r="S174" s="50">
        <f t="shared" si="190"/>
        <v>12000000000</v>
      </c>
      <c r="T174" s="50">
        <f t="shared" si="190"/>
        <v>6196495908.0500002</v>
      </c>
      <c r="U174" s="50">
        <f t="shared" si="190"/>
        <v>5803504091.9499998</v>
      </c>
      <c r="V174" s="51">
        <f t="shared" si="152"/>
        <v>0.51637465900416668</v>
      </c>
      <c r="W174" s="50">
        <f t="shared" si="190"/>
        <v>1397941103</v>
      </c>
      <c r="X174" s="50">
        <f t="shared" si="190"/>
        <v>4798554805.0500002</v>
      </c>
      <c r="Y174" s="51">
        <f t="shared" si="165"/>
        <v>0.77439812375508799</v>
      </c>
      <c r="Z174" s="50">
        <f t="shared" si="190"/>
        <v>1328507770</v>
      </c>
      <c r="AA174" s="50">
        <f t="shared" si="190"/>
        <v>69433333</v>
      </c>
      <c r="AB174" s="51">
        <f t="shared" si="146"/>
        <v>0.21439661862345574</v>
      </c>
    </row>
    <row r="175" spans="1:28" ht="30" customHeight="1">
      <c r="A175" s="32" t="e">
        <f>+CONCATENATE(#REF!,"=",J175)</f>
        <v>#REF!</v>
      </c>
      <c r="B175" s="52" t="str">
        <f>CONCATENATE(C175,"-",D175,"-",E175,"-",F175,"-",G175,"-",H175)</f>
        <v>C-4103-1500-19-0-4103049</v>
      </c>
      <c r="C175" s="52" t="s">
        <v>167</v>
      </c>
      <c r="D175" s="52" t="s">
        <v>190</v>
      </c>
      <c r="E175" s="52" t="s">
        <v>172</v>
      </c>
      <c r="F175" s="52">
        <v>19</v>
      </c>
      <c r="G175" s="52" t="s">
        <v>175</v>
      </c>
      <c r="H175" s="52">
        <v>4103049</v>
      </c>
      <c r="I175" s="52"/>
      <c r="J175" s="53"/>
      <c r="K175" s="52" t="s">
        <v>29</v>
      </c>
      <c r="L175" s="52" t="s">
        <v>228</v>
      </c>
      <c r="M175" s="54">
        <f>M176</f>
        <v>250000000</v>
      </c>
      <c r="N175" s="54">
        <f t="shared" ref="N175:AA179" si="191">N176</f>
        <v>0</v>
      </c>
      <c r="O175" s="54">
        <f t="shared" si="191"/>
        <v>0</v>
      </c>
      <c r="P175" s="54">
        <f t="shared" si="191"/>
        <v>0</v>
      </c>
      <c r="Q175" s="54">
        <f t="shared" si="191"/>
        <v>0</v>
      </c>
      <c r="R175" s="54">
        <f t="shared" si="191"/>
        <v>0</v>
      </c>
      <c r="S175" s="54">
        <f t="shared" si="191"/>
        <v>250000000</v>
      </c>
      <c r="T175" s="54">
        <f t="shared" si="191"/>
        <v>0</v>
      </c>
      <c r="U175" s="54">
        <f t="shared" si="191"/>
        <v>250000000</v>
      </c>
      <c r="V175" s="55">
        <f t="shared" si="152"/>
        <v>0</v>
      </c>
      <c r="W175" s="54">
        <f t="shared" si="191"/>
        <v>0</v>
      </c>
      <c r="X175" s="54">
        <f t="shared" si="191"/>
        <v>0</v>
      </c>
      <c r="Y175" s="55">
        <f t="shared" si="165"/>
        <v>0</v>
      </c>
      <c r="Z175" s="54">
        <f t="shared" si="191"/>
        <v>0</v>
      </c>
      <c r="AA175" s="54">
        <f t="shared" si="191"/>
        <v>0</v>
      </c>
      <c r="AB175" s="55">
        <f t="shared" si="146"/>
        <v>0</v>
      </c>
    </row>
    <row r="176" spans="1:28" ht="24.95" customHeight="1">
      <c r="A176" s="32" t="e">
        <f>+CONCATENATE(#REF!,"=",J176)</f>
        <v>#REF!</v>
      </c>
      <c r="B176" s="56" t="str">
        <f t="shared" ref="B176" si="192">CONCATENATE(C176,"-",D176,"-",E176,"-",F176,"-",G176,"-",H176,"-",I176)</f>
        <v>C-4103-1500-19-0-4103049-02</v>
      </c>
      <c r="C176" s="57" t="s">
        <v>167</v>
      </c>
      <c r="D176" s="57" t="s">
        <v>190</v>
      </c>
      <c r="E176" s="57" t="s">
        <v>172</v>
      </c>
      <c r="F176" s="57">
        <v>19</v>
      </c>
      <c r="G176" s="57" t="s">
        <v>175</v>
      </c>
      <c r="H176" s="57">
        <v>4103049</v>
      </c>
      <c r="I176" s="57" t="s">
        <v>54</v>
      </c>
      <c r="J176" s="57">
        <v>11</v>
      </c>
      <c r="K176" s="58" t="s">
        <v>29</v>
      </c>
      <c r="L176" s="59" t="s">
        <v>178</v>
      </c>
      <c r="M176" s="60">
        <v>250000000</v>
      </c>
      <c r="N176" s="60"/>
      <c r="O176" s="60"/>
      <c r="P176" s="60"/>
      <c r="Q176" s="60">
        <v>0</v>
      </c>
      <c r="R176" s="61">
        <v>0</v>
      </c>
      <c r="S176" s="60">
        <f>+M176-R176+N176-O176+P176-Q176</f>
        <v>250000000</v>
      </c>
      <c r="T176" s="60">
        <v>0</v>
      </c>
      <c r="U176" s="60">
        <f>+S176-T176</f>
        <v>250000000</v>
      </c>
      <c r="V176" s="62">
        <f t="shared" si="152"/>
        <v>0</v>
      </c>
      <c r="W176" s="60">
        <v>0</v>
      </c>
      <c r="X176" s="60">
        <f>+T176-W176</f>
        <v>0</v>
      </c>
      <c r="Y176" s="62">
        <f t="shared" si="165"/>
        <v>0</v>
      </c>
      <c r="Z176" s="60">
        <v>0</v>
      </c>
      <c r="AA176" s="60">
        <f>+W176-Z176</f>
        <v>0</v>
      </c>
      <c r="AB176" s="62">
        <f t="shared" si="146"/>
        <v>0</v>
      </c>
    </row>
    <row r="177" spans="1:28" ht="30" customHeight="1">
      <c r="A177" s="32" t="e">
        <f>+CONCATENATE(#REF!,"=",J177)</f>
        <v>#REF!</v>
      </c>
      <c r="B177" s="52" t="str">
        <f>CONCATENATE(C177,"-",D177,"-",E177,"-",F177,"-",G177,"-",H177)</f>
        <v>C-4103-1500-19-0-4103052</v>
      </c>
      <c r="C177" s="52" t="s">
        <v>167</v>
      </c>
      <c r="D177" s="52" t="s">
        <v>190</v>
      </c>
      <c r="E177" s="52" t="s">
        <v>172</v>
      </c>
      <c r="F177" s="52">
        <v>19</v>
      </c>
      <c r="G177" s="52" t="s">
        <v>175</v>
      </c>
      <c r="H177" s="52">
        <v>4103052</v>
      </c>
      <c r="I177" s="52"/>
      <c r="J177" s="53"/>
      <c r="K177" s="52" t="s">
        <v>29</v>
      </c>
      <c r="L177" s="52" t="s">
        <v>229</v>
      </c>
      <c r="M177" s="54">
        <f>M178</f>
        <v>11700000000</v>
      </c>
      <c r="N177" s="54">
        <f t="shared" si="191"/>
        <v>0</v>
      </c>
      <c r="O177" s="54">
        <f t="shared" si="191"/>
        <v>0</v>
      </c>
      <c r="P177" s="54">
        <f t="shared" si="191"/>
        <v>0</v>
      </c>
      <c r="Q177" s="54">
        <f t="shared" si="191"/>
        <v>0</v>
      </c>
      <c r="R177" s="54">
        <f t="shared" si="191"/>
        <v>0</v>
      </c>
      <c r="S177" s="54">
        <f t="shared" si="191"/>
        <v>11700000000</v>
      </c>
      <c r="T177" s="54">
        <f t="shared" si="191"/>
        <v>6196495908.0500002</v>
      </c>
      <c r="U177" s="54">
        <f t="shared" si="191"/>
        <v>5503504091.9499998</v>
      </c>
      <c r="V177" s="55">
        <f t="shared" si="152"/>
        <v>0.52961503487606842</v>
      </c>
      <c r="W177" s="54">
        <f t="shared" si="191"/>
        <v>1397941103</v>
      </c>
      <c r="X177" s="54">
        <f t="shared" si="191"/>
        <v>4798554805.0500002</v>
      </c>
      <c r="Y177" s="55">
        <f t="shared" si="165"/>
        <v>0.77439812375508799</v>
      </c>
      <c r="Z177" s="54">
        <f t="shared" si="191"/>
        <v>1328507770</v>
      </c>
      <c r="AA177" s="54">
        <f t="shared" si="191"/>
        <v>69433333</v>
      </c>
      <c r="AB177" s="55">
        <f t="shared" si="146"/>
        <v>0.21439661862345574</v>
      </c>
    </row>
    <row r="178" spans="1:28" ht="24.95" customHeight="1">
      <c r="A178" s="32" t="e">
        <f>+CONCATENATE(#REF!,"=",J178)</f>
        <v>#REF!</v>
      </c>
      <c r="B178" s="56" t="str">
        <f t="shared" ref="B178:B180" si="193">CONCATENATE(C178,"-",D178,"-",E178,"-",F178,"-",G178,"-",H178,"-",I178)</f>
        <v>C-4103-1500-19-0-4103052-02</v>
      </c>
      <c r="C178" s="57" t="s">
        <v>167</v>
      </c>
      <c r="D178" s="57" t="s">
        <v>190</v>
      </c>
      <c r="E178" s="57" t="s">
        <v>172</v>
      </c>
      <c r="F178" s="57">
        <v>19</v>
      </c>
      <c r="G178" s="57" t="s">
        <v>175</v>
      </c>
      <c r="H178" s="57">
        <v>4103052</v>
      </c>
      <c r="I178" s="57" t="s">
        <v>54</v>
      </c>
      <c r="J178" s="57">
        <v>11</v>
      </c>
      <c r="K178" s="58" t="s">
        <v>29</v>
      </c>
      <c r="L178" s="59" t="s">
        <v>178</v>
      </c>
      <c r="M178" s="60">
        <v>11700000000</v>
      </c>
      <c r="N178" s="60"/>
      <c r="O178" s="60"/>
      <c r="P178" s="60"/>
      <c r="Q178" s="60">
        <v>0</v>
      </c>
      <c r="R178" s="61">
        <v>0</v>
      </c>
      <c r="S178" s="60">
        <f>+M178-R178+N178-O178+P178-Q178</f>
        <v>11700000000</v>
      </c>
      <c r="T178" s="60">
        <v>6196495908.0500002</v>
      </c>
      <c r="U178" s="60">
        <f>+S178-T178</f>
        <v>5503504091.9499998</v>
      </c>
      <c r="V178" s="62">
        <f t="shared" si="152"/>
        <v>0.52961503487606842</v>
      </c>
      <c r="W178" s="60">
        <v>1397941103</v>
      </c>
      <c r="X178" s="60">
        <f>+T178-W178</f>
        <v>4798554805.0500002</v>
      </c>
      <c r="Y178" s="62">
        <f t="shared" si="165"/>
        <v>0.77439812375508799</v>
      </c>
      <c r="Z178" s="60">
        <v>1328507770</v>
      </c>
      <c r="AA178" s="60">
        <f>+W178-Z178</f>
        <v>69433333</v>
      </c>
      <c r="AB178" s="62">
        <f t="shared" si="146"/>
        <v>0.21439661862345574</v>
      </c>
    </row>
    <row r="179" spans="1:28" ht="27.75" customHeight="1">
      <c r="A179" s="32" t="e">
        <f>+CONCATENATE(#REF!,"=",J179)</f>
        <v>#REF!</v>
      </c>
      <c r="B179" s="52" t="str">
        <f>CONCATENATE(C179,"-",D179,"-",E179,"-",F179,"-",G179,"-",H179)</f>
        <v>C-4103-1500-19-0-4103060</v>
      </c>
      <c r="C179" s="52" t="s">
        <v>167</v>
      </c>
      <c r="D179" s="52" t="s">
        <v>190</v>
      </c>
      <c r="E179" s="52" t="s">
        <v>172</v>
      </c>
      <c r="F179" s="52">
        <v>19</v>
      </c>
      <c r="G179" s="52" t="s">
        <v>175</v>
      </c>
      <c r="H179" s="52">
        <v>4103060</v>
      </c>
      <c r="I179" s="52"/>
      <c r="J179" s="53"/>
      <c r="K179" s="52" t="s">
        <v>29</v>
      </c>
      <c r="L179" s="52" t="s">
        <v>216</v>
      </c>
      <c r="M179" s="54">
        <f>M180</f>
        <v>50000000</v>
      </c>
      <c r="N179" s="54">
        <f t="shared" si="191"/>
        <v>0</v>
      </c>
      <c r="O179" s="54">
        <f t="shared" si="191"/>
        <v>0</v>
      </c>
      <c r="P179" s="54">
        <f t="shared" si="191"/>
        <v>0</v>
      </c>
      <c r="Q179" s="54">
        <f t="shared" si="191"/>
        <v>0</v>
      </c>
      <c r="R179" s="54">
        <f t="shared" si="191"/>
        <v>0</v>
      </c>
      <c r="S179" s="54">
        <f t="shared" si="191"/>
        <v>50000000</v>
      </c>
      <c r="T179" s="54">
        <f t="shared" si="191"/>
        <v>0</v>
      </c>
      <c r="U179" s="54">
        <f t="shared" si="191"/>
        <v>50000000</v>
      </c>
      <c r="V179" s="55">
        <f t="shared" si="152"/>
        <v>0</v>
      </c>
      <c r="W179" s="54">
        <f t="shared" si="191"/>
        <v>0</v>
      </c>
      <c r="X179" s="54">
        <f t="shared" si="191"/>
        <v>0</v>
      </c>
      <c r="Y179" s="55">
        <f t="shared" si="165"/>
        <v>0</v>
      </c>
      <c r="Z179" s="54">
        <f t="shared" si="191"/>
        <v>0</v>
      </c>
      <c r="AA179" s="54">
        <f t="shared" si="191"/>
        <v>0</v>
      </c>
      <c r="AB179" s="55">
        <f t="shared" si="146"/>
        <v>0</v>
      </c>
    </row>
    <row r="180" spans="1:28" ht="24.95" customHeight="1">
      <c r="A180" s="32" t="e">
        <f>+CONCATENATE(#REF!,"=",J180)</f>
        <v>#REF!</v>
      </c>
      <c r="B180" s="56" t="str">
        <f t="shared" si="193"/>
        <v>C-4103-1500-19-0-4103060-02</v>
      </c>
      <c r="C180" s="57" t="s">
        <v>167</v>
      </c>
      <c r="D180" s="57" t="s">
        <v>190</v>
      </c>
      <c r="E180" s="57" t="s">
        <v>172</v>
      </c>
      <c r="F180" s="57">
        <v>19</v>
      </c>
      <c r="G180" s="57" t="s">
        <v>175</v>
      </c>
      <c r="H180" s="57">
        <v>4103060</v>
      </c>
      <c r="I180" s="57" t="s">
        <v>54</v>
      </c>
      <c r="J180" s="57">
        <v>11</v>
      </c>
      <c r="K180" s="58" t="s">
        <v>29</v>
      </c>
      <c r="L180" s="59" t="s">
        <v>178</v>
      </c>
      <c r="M180" s="60">
        <v>50000000</v>
      </c>
      <c r="N180" s="60"/>
      <c r="O180" s="60"/>
      <c r="P180" s="60"/>
      <c r="Q180" s="60">
        <v>0</v>
      </c>
      <c r="R180" s="61">
        <v>0</v>
      </c>
      <c r="S180" s="60">
        <f>+M180-R180+N180-O180+P180-Q180</f>
        <v>50000000</v>
      </c>
      <c r="T180" s="60">
        <v>0</v>
      </c>
      <c r="U180" s="60">
        <f>+S180-T180</f>
        <v>50000000</v>
      </c>
      <c r="V180" s="62">
        <f t="shared" si="152"/>
        <v>0</v>
      </c>
      <c r="W180" s="60">
        <v>0</v>
      </c>
      <c r="X180" s="60">
        <f>+T180-W180</f>
        <v>0</v>
      </c>
      <c r="Y180" s="62">
        <f t="shared" si="165"/>
        <v>0</v>
      </c>
      <c r="Z180" s="60">
        <v>0</v>
      </c>
      <c r="AA180" s="60">
        <f>+W180-Z180</f>
        <v>0</v>
      </c>
      <c r="AB180" s="62">
        <f t="shared" si="146"/>
        <v>0</v>
      </c>
    </row>
    <row r="181" spans="1:28" ht="39.75" customHeight="1">
      <c r="A181" s="32" t="e">
        <f>+CONCATENATE(#REF!,"=",J181)</f>
        <v>#REF!</v>
      </c>
      <c r="B181" s="48" t="str">
        <f>CONCATENATE(C181,"-",D181,"-",E181,"-",F181)</f>
        <v>C-4103-1500-20</v>
      </c>
      <c r="C181" s="48" t="s">
        <v>167</v>
      </c>
      <c r="D181" s="48" t="s">
        <v>190</v>
      </c>
      <c r="E181" s="48" t="s">
        <v>172</v>
      </c>
      <c r="F181" s="48">
        <v>20</v>
      </c>
      <c r="G181" s="48"/>
      <c r="H181" s="48"/>
      <c r="I181" s="48"/>
      <c r="J181" s="49"/>
      <c r="K181" s="48"/>
      <c r="L181" s="48" t="s">
        <v>230</v>
      </c>
      <c r="M181" s="50">
        <f>+M182</f>
        <v>1021056959210</v>
      </c>
      <c r="N181" s="50">
        <f t="shared" ref="N181:U181" si="194">+N182</f>
        <v>0</v>
      </c>
      <c r="O181" s="50">
        <f t="shared" si="194"/>
        <v>0</v>
      </c>
      <c r="P181" s="50">
        <f t="shared" si="194"/>
        <v>1186130026</v>
      </c>
      <c r="Q181" s="50">
        <f t="shared" si="194"/>
        <v>1186130026</v>
      </c>
      <c r="R181" s="50">
        <f t="shared" si="194"/>
        <v>0</v>
      </c>
      <c r="S181" s="50">
        <f t="shared" si="194"/>
        <v>1021056959210</v>
      </c>
      <c r="T181" s="50">
        <f t="shared" si="194"/>
        <v>2780516464.0300002</v>
      </c>
      <c r="U181" s="50">
        <f t="shared" si="194"/>
        <v>1018276442745.97</v>
      </c>
      <c r="V181" s="51">
        <f t="shared" si="152"/>
        <v>2.7231746857504483E-3</v>
      </c>
      <c r="W181" s="50">
        <f t="shared" ref="W181:X181" si="195">+W182</f>
        <v>1757257474.1199999</v>
      </c>
      <c r="X181" s="50">
        <f t="shared" si="195"/>
        <v>1023258989.9100003</v>
      </c>
      <c r="Y181" s="51">
        <f t="shared" si="165"/>
        <v>0.3680104049543797</v>
      </c>
      <c r="Z181" s="50">
        <f t="shared" ref="Z181:AA181" si="196">+Z182</f>
        <v>1742497474.1199999</v>
      </c>
      <c r="AA181" s="50">
        <f t="shared" si="196"/>
        <v>14760000</v>
      </c>
      <c r="AB181" s="51">
        <f t="shared" si="146"/>
        <v>0.62668122870758847</v>
      </c>
    </row>
    <row r="182" spans="1:28" ht="30.75" customHeight="1">
      <c r="A182" s="32" t="e">
        <f>+CONCATENATE(#REF!,"=",J182)</f>
        <v>#REF!</v>
      </c>
      <c r="B182" s="52" t="str">
        <f>CONCATENATE(C182,"-",D182,"-",E182,"-",F182,"-",G182,"-",H182)</f>
        <v>C-4103-1500-20-0-4103061</v>
      </c>
      <c r="C182" s="52" t="s">
        <v>167</v>
      </c>
      <c r="D182" s="52" t="s">
        <v>190</v>
      </c>
      <c r="E182" s="52" t="s">
        <v>172</v>
      </c>
      <c r="F182" s="52">
        <v>20</v>
      </c>
      <c r="G182" s="52" t="s">
        <v>175</v>
      </c>
      <c r="H182" s="52">
        <v>4103061</v>
      </c>
      <c r="I182" s="52"/>
      <c r="J182" s="53"/>
      <c r="K182" s="52" t="s">
        <v>29</v>
      </c>
      <c r="L182" s="52" t="s">
        <v>231</v>
      </c>
      <c r="M182" s="54">
        <f>SUM(M183:M185)</f>
        <v>1021056959210</v>
      </c>
      <c r="N182" s="54">
        <f t="shared" ref="N182:U182" si="197">SUM(N183:N185)</f>
        <v>0</v>
      </c>
      <c r="O182" s="54">
        <f t="shared" si="197"/>
        <v>0</v>
      </c>
      <c r="P182" s="54">
        <f t="shared" si="197"/>
        <v>1186130026</v>
      </c>
      <c r="Q182" s="54">
        <f t="shared" si="197"/>
        <v>1186130026</v>
      </c>
      <c r="R182" s="54">
        <f t="shared" si="197"/>
        <v>0</v>
      </c>
      <c r="S182" s="54">
        <f t="shared" si="197"/>
        <v>1021056959210</v>
      </c>
      <c r="T182" s="54">
        <f t="shared" si="197"/>
        <v>2780516464.0300002</v>
      </c>
      <c r="U182" s="54">
        <f t="shared" si="197"/>
        <v>1018276442745.97</v>
      </c>
      <c r="V182" s="55">
        <f t="shared" si="152"/>
        <v>2.7231746857504483E-3</v>
      </c>
      <c r="W182" s="54">
        <f t="shared" ref="W182:X182" si="198">SUM(W183:W185)</f>
        <v>1757257474.1199999</v>
      </c>
      <c r="X182" s="54">
        <f t="shared" si="198"/>
        <v>1023258989.9100003</v>
      </c>
      <c r="Y182" s="55">
        <f t="shared" si="165"/>
        <v>0.3680104049543797</v>
      </c>
      <c r="Z182" s="54">
        <f t="shared" ref="Z182:AA182" si="199">SUM(Z183:Z185)</f>
        <v>1742497474.1199999</v>
      </c>
      <c r="AA182" s="54">
        <f t="shared" si="199"/>
        <v>14760000</v>
      </c>
      <c r="AB182" s="55">
        <f t="shared" si="146"/>
        <v>0.62668122870758847</v>
      </c>
    </row>
    <row r="183" spans="1:28" ht="24.95" customHeight="1">
      <c r="A183" s="32" t="e">
        <f>+CONCATENATE(#REF!,"=",J183)</f>
        <v>#REF!</v>
      </c>
      <c r="B183" s="56" t="str">
        <f t="shared" ref="B183:B185" si="200">CONCATENATE(C183,"-",D183,"-",E183,"-",F183,"-",G183,"-",H183,"-",I183)</f>
        <v>C-4103-1500-20-0-4103061-02</v>
      </c>
      <c r="C183" s="57" t="s">
        <v>167</v>
      </c>
      <c r="D183" s="57" t="s">
        <v>190</v>
      </c>
      <c r="E183" s="57" t="s">
        <v>172</v>
      </c>
      <c r="F183" s="57">
        <v>20</v>
      </c>
      <c r="G183" s="57" t="s">
        <v>175</v>
      </c>
      <c r="H183" s="57">
        <v>4103061</v>
      </c>
      <c r="I183" s="57" t="s">
        <v>54</v>
      </c>
      <c r="J183" s="57">
        <v>11</v>
      </c>
      <c r="K183" s="58" t="s">
        <v>29</v>
      </c>
      <c r="L183" s="59" t="s">
        <v>178</v>
      </c>
      <c r="M183" s="60">
        <v>36797363155</v>
      </c>
      <c r="N183" s="60"/>
      <c r="O183" s="60"/>
      <c r="P183" s="60">
        <f>1186130026</f>
        <v>1186130026</v>
      </c>
      <c r="Q183" s="60"/>
      <c r="R183" s="61">
        <v>0</v>
      </c>
      <c r="S183" s="60">
        <f>+M183+N183-O183+P183-Q183-R183</f>
        <v>37983493181</v>
      </c>
      <c r="T183" s="60">
        <v>2780516464.0300002</v>
      </c>
      <c r="U183" s="60">
        <f>+S183-T183</f>
        <v>35202976716.970001</v>
      </c>
      <c r="V183" s="62">
        <f t="shared" si="152"/>
        <v>7.3203284668427043E-2</v>
      </c>
      <c r="W183" s="60">
        <v>1757257474.1199999</v>
      </c>
      <c r="X183" s="60">
        <f>+T183-W183</f>
        <v>1023258989.9100003</v>
      </c>
      <c r="Y183" s="62">
        <f t="shared" si="165"/>
        <v>0.3680104049543797</v>
      </c>
      <c r="Z183" s="60">
        <v>1742497474.1199999</v>
      </c>
      <c r="AA183" s="60">
        <f>+W183-Z183</f>
        <v>14760000</v>
      </c>
      <c r="AB183" s="62">
        <f t="shared" si="146"/>
        <v>0.62668122870758847</v>
      </c>
    </row>
    <row r="184" spans="1:28" ht="24.95" customHeight="1">
      <c r="A184" s="32" t="e">
        <f>+CONCATENATE(#REF!,"=",J184)</f>
        <v>#REF!</v>
      </c>
      <c r="B184" s="56" t="str">
        <f t="shared" si="200"/>
        <v>C-4103-1500-20-0-4103061-03</v>
      </c>
      <c r="C184" s="57" t="s">
        <v>167</v>
      </c>
      <c r="D184" s="57" t="s">
        <v>190</v>
      </c>
      <c r="E184" s="57" t="s">
        <v>172</v>
      </c>
      <c r="F184" s="57">
        <v>20</v>
      </c>
      <c r="G184" s="57" t="s">
        <v>175</v>
      </c>
      <c r="H184" s="57">
        <v>4103061</v>
      </c>
      <c r="I184" s="57" t="s">
        <v>65</v>
      </c>
      <c r="J184" s="57">
        <v>10</v>
      </c>
      <c r="K184" s="58" t="s">
        <v>29</v>
      </c>
      <c r="L184" s="59" t="s">
        <v>127</v>
      </c>
      <c r="M184" s="60">
        <v>777446076033</v>
      </c>
      <c r="N184" s="60"/>
      <c r="O184" s="60"/>
      <c r="P184" s="60"/>
      <c r="Q184" s="60"/>
      <c r="R184" s="61">
        <v>0</v>
      </c>
      <c r="S184" s="60">
        <f>+M184+N184-O184+P184-Q184-R184</f>
        <v>777446076033</v>
      </c>
      <c r="T184" s="60">
        <v>0</v>
      </c>
      <c r="U184" s="60">
        <f>+S184-T184</f>
        <v>777446076033</v>
      </c>
      <c r="V184" s="62">
        <f t="shared" si="152"/>
        <v>0</v>
      </c>
      <c r="W184" s="60">
        <v>0</v>
      </c>
      <c r="X184" s="60">
        <f>+T184-W184</f>
        <v>0</v>
      </c>
      <c r="Y184" s="62">
        <f t="shared" si="165"/>
        <v>0</v>
      </c>
      <c r="Z184" s="60">
        <v>0</v>
      </c>
      <c r="AA184" s="60">
        <f>+W184-Z184</f>
        <v>0</v>
      </c>
      <c r="AB184" s="62">
        <f t="shared" si="146"/>
        <v>0</v>
      </c>
    </row>
    <row r="185" spans="1:28" ht="24.95" customHeight="1">
      <c r="A185" s="32" t="e">
        <f>+CONCATENATE(#REF!,"=",J185)</f>
        <v>#REF!</v>
      </c>
      <c r="B185" s="56" t="str">
        <f t="shared" si="200"/>
        <v>C-4103-1500-20-0-4103061-03</v>
      </c>
      <c r="C185" s="57" t="s">
        <v>167</v>
      </c>
      <c r="D185" s="57" t="s">
        <v>190</v>
      </c>
      <c r="E185" s="57" t="s">
        <v>172</v>
      </c>
      <c r="F185" s="57">
        <v>20</v>
      </c>
      <c r="G185" s="57" t="s">
        <v>175</v>
      </c>
      <c r="H185" s="57">
        <v>4103061</v>
      </c>
      <c r="I185" s="57" t="s">
        <v>65</v>
      </c>
      <c r="J185" s="57">
        <v>11</v>
      </c>
      <c r="K185" s="58" t="s">
        <v>29</v>
      </c>
      <c r="L185" s="59" t="s">
        <v>127</v>
      </c>
      <c r="M185" s="60">
        <v>206813520022</v>
      </c>
      <c r="N185" s="60"/>
      <c r="O185" s="60"/>
      <c r="P185" s="61"/>
      <c r="Q185" s="60">
        <f>1186130026</f>
        <v>1186130026</v>
      </c>
      <c r="R185" s="61">
        <v>0</v>
      </c>
      <c r="S185" s="60">
        <f>+M185+N185-O185+P185-Q185-R185</f>
        <v>205627389996</v>
      </c>
      <c r="T185" s="60">
        <v>0</v>
      </c>
      <c r="U185" s="60">
        <f>+S185-T185</f>
        <v>205627389996</v>
      </c>
      <c r="V185" s="62">
        <f t="shared" si="152"/>
        <v>0</v>
      </c>
      <c r="W185" s="60">
        <v>0</v>
      </c>
      <c r="X185" s="60">
        <f>+T185-W185</f>
        <v>0</v>
      </c>
      <c r="Y185" s="62">
        <f t="shared" si="165"/>
        <v>0</v>
      </c>
      <c r="Z185" s="60">
        <v>0</v>
      </c>
      <c r="AA185" s="60">
        <f>+W185-Z185</f>
        <v>0</v>
      </c>
      <c r="AB185" s="62">
        <f t="shared" si="146"/>
        <v>0</v>
      </c>
    </row>
    <row r="186" spans="1:28" ht="36" customHeight="1">
      <c r="A186" s="32" t="e">
        <f>+CONCATENATE(#REF!,"=",J186)</f>
        <v>#REF!</v>
      </c>
      <c r="B186" s="48" t="str">
        <f>CONCATENATE(C186,"-",D186,"-",E186,"-",F186)</f>
        <v>C-4103-1500-21</v>
      </c>
      <c r="C186" s="48" t="s">
        <v>167</v>
      </c>
      <c r="D186" s="48">
        <v>4103</v>
      </c>
      <c r="E186" s="48" t="s">
        <v>172</v>
      </c>
      <c r="F186" s="48">
        <v>21</v>
      </c>
      <c r="G186" s="48"/>
      <c r="H186" s="48"/>
      <c r="I186" s="48"/>
      <c r="J186" s="49"/>
      <c r="K186" s="48"/>
      <c r="L186" s="48" t="s">
        <v>232</v>
      </c>
      <c r="M186" s="50">
        <f>+M191+M193+M195+M187+M189</f>
        <v>34000000000</v>
      </c>
      <c r="N186" s="50">
        <f t="shared" ref="N186:AA186" si="201">+N191+N193+N195+N187+N189</f>
        <v>0</v>
      </c>
      <c r="O186" s="50">
        <f t="shared" si="201"/>
        <v>0</v>
      </c>
      <c r="P186" s="50">
        <f t="shared" si="201"/>
        <v>0</v>
      </c>
      <c r="Q186" s="50">
        <f t="shared" si="201"/>
        <v>0</v>
      </c>
      <c r="R186" s="50">
        <f t="shared" si="201"/>
        <v>0</v>
      </c>
      <c r="S186" s="50">
        <f t="shared" si="201"/>
        <v>34000000000</v>
      </c>
      <c r="T186" s="50">
        <f t="shared" si="201"/>
        <v>946495432</v>
      </c>
      <c r="U186" s="50">
        <f t="shared" si="201"/>
        <v>33053504568</v>
      </c>
      <c r="V186" s="51">
        <f t="shared" si="152"/>
        <v>2.7838100941176471E-2</v>
      </c>
      <c r="W186" s="50">
        <f t="shared" si="201"/>
        <v>222713128</v>
      </c>
      <c r="X186" s="50">
        <f t="shared" si="201"/>
        <v>723782304</v>
      </c>
      <c r="Y186" s="51">
        <f t="shared" si="165"/>
        <v>0.76469709153334831</v>
      </c>
      <c r="Z186" s="50">
        <f t="shared" si="201"/>
        <v>186013128</v>
      </c>
      <c r="AA186" s="50">
        <f t="shared" si="201"/>
        <v>36700000</v>
      </c>
      <c r="AB186" s="51">
        <f t="shared" si="146"/>
        <v>0.19652828921418397</v>
      </c>
    </row>
    <row r="187" spans="1:28" ht="30" customHeight="1">
      <c r="A187" s="32" t="e">
        <f>+CONCATENATE(#REF!,"=",J187)</f>
        <v>#REF!</v>
      </c>
      <c r="B187" s="52" t="str">
        <f>CONCATENATE(C187,"-",D187,"-",E187,"-",F187,"-",G187,"-",H187)</f>
        <v>C-4103-1500-21-0-4103005</v>
      </c>
      <c r="C187" s="52" t="s">
        <v>167</v>
      </c>
      <c r="D187" s="52">
        <v>4103</v>
      </c>
      <c r="E187" s="52" t="s">
        <v>172</v>
      </c>
      <c r="F187" s="52">
        <v>21</v>
      </c>
      <c r="G187" s="52" t="s">
        <v>175</v>
      </c>
      <c r="H187" s="52" t="s">
        <v>219</v>
      </c>
      <c r="I187" s="52"/>
      <c r="J187" s="53"/>
      <c r="K187" s="52" t="s">
        <v>29</v>
      </c>
      <c r="L187" s="52" t="s">
        <v>233</v>
      </c>
      <c r="M187" s="54">
        <f t="shared" ref="M187:U187" si="202">SUM(M188:M188)</f>
        <v>4441786439</v>
      </c>
      <c r="N187" s="54">
        <f t="shared" si="202"/>
        <v>0</v>
      </c>
      <c r="O187" s="54">
        <f t="shared" si="202"/>
        <v>0</v>
      </c>
      <c r="P187" s="54">
        <f t="shared" si="202"/>
        <v>0</v>
      </c>
      <c r="Q187" s="54">
        <f t="shared" si="202"/>
        <v>0</v>
      </c>
      <c r="R187" s="54">
        <f t="shared" si="202"/>
        <v>0</v>
      </c>
      <c r="S187" s="54">
        <f t="shared" si="202"/>
        <v>4441786439</v>
      </c>
      <c r="T187" s="54">
        <f t="shared" si="202"/>
        <v>0</v>
      </c>
      <c r="U187" s="54">
        <f t="shared" si="202"/>
        <v>4441786439</v>
      </c>
      <c r="V187" s="55">
        <f t="shared" si="152"/>
        <v>0</v>
      </c>
      <c r="W187" s="54">
        <f t="shared" ref="W187:X187" si="203">SUM(W188:W188)</f>
        <v>0</v>
      </c>
      <c r="X187" s="54">
        <f t="shared" si="203"/>
        <v>0</v>
      </c>
      <c r="Y187" s="55">
        <f t="shared" si="165"/>
        <v>0</v>
      </c>
      <c r="Z187" s="54">
        <f t="shared" ref="Z187:AA187" si="204">SUM(Z188:Z188)</f>
        <v>0</v>
      </c>
      <c r="AA187" s="54">
        <f t="shared" si="204"/>
        <v>0</v>
      </c>
      <c r="AB187" s="55">
        <f t="shared" si="146"/>
        <v>0</v>
      </c>
    </row>
    <row r="188" spans="1:28" ht="24.95" customHeight="1">
      <c r="A188" s="32" t="e">
        <f>+CONCATENATE(#REF!,"=",J188)</f>
        <v>#REF!</v>
      </c>
      <c r="B188" s="56" t="str">
        <f t="shared" ref="B188:B196" si="205">CONCATENATE(C188,"-",D188,"-",E188,"-",F188,"-",G188,"-",H188,"-",I188)</f>
        <v>C-4103-1500-21-0-4103005-02</v>
      </c>
      <c r="C188" s="57" t="s">
        <v>167</v>
      </c>
      <c r="D188" s="57">
        <v>4103</v>
      </c>
      <c r="E188" s="57" t="s">
        <v>172</v>
      </c>
      <c r="F188" s="57">
        <v>21</v>
      </c>
      <c r="G188" s="57" t="s">
        <v>175</v>
      </c>
      <c r="H188" s="57" t="s">
        <v>219</v>
      </c>
      <c r="I188" s="57" t="s">
        <v>54</v>
      </c>
      <c r="J188" s="57">
        <v>11</v>
      </c>
      <c r="K188" s="58" t="s">
        <v>29</v>
      </c>
      <c r="L188" s="59" t="s">
        <v>178</v>
      </c>
      <c r="M188" s="60">
        <v>4441786439</v>
      </c>
      <c r="N188" s="60"/>
      <c r="O188" s="60"/>
      <c r="P188" s="60"/>
      <c r="Q188" s="60"/>
      <c r="R188" s="61">
        <v>0</v>
      </c>
      <c r="S188" s="60">
        <f>+M188-R188+N188-O188+P188-Q188</f>
        <v>4441786439</v>
      </c>
      <c r="T188" s="60">
        <v>0</v>
      </c>
      <c r="U188" s="60">
        <f t="shared" ref="U188" si="206">+S188-T188</f>
        <v>4441786439</v>
      </c>
      <c r="V188" s="62">
        <f t="shared" si="152"/>
        <v>0</v>
      </c>
      <c r="W188" s="60">
        <v>0</v>
      </c>
      <c r="X188" s="60">
        <f t="shared" ref="X188" si="207">+T188-W188</f>
        <v>0</v>
      </c>
      <c r="Y188" s="62">
        <f t="shared" si="165"/>
        <v>0</v>
      </c>
      <c r="Z188" s="60">
        <v>0</v>
      </c>
      <c r="AA188" s="60">
        <f t="shared" ref="AA188" si="208">+W188-Z188</f>
        <v>0</v>
      </c>
      <c r="AB188" s="62">
        <f t="shared" si="146"/>
        <v>0</v>
      </c>
    </row>
    <row r="189" spans="1:28" ht="30" customHeight="1">
      <c r="A189" s="32" t="e">
        <f>+CONCATENATE(#REF!,"=",J189)</f>
        <v>#REF!</v>
      </c>
      <c r="B189" s="52" t="str">
        <f>CONCATENATE(C189,"-",D189,"-",E189,"-",F189,"-",G189,"-",H189)</f>
        <v>C-4103-1500-21-0-4103050</v>
      </c>
      <c r="C189" s="52" t="s">
        <v>167</v>
      </c>
      <c r="D189" s="52">
        <v>4103</v>
      </c>
      <c r="E189" s="52" t="s">
        <v>172</v>
      </c>
      <c r="F189" s="52">
        <v>21</v>
      </c>
      <c r="G189" s="52" t="s">
        <v>175</v>
      </c>
      <c r="H189" s="52" t="s">
        <v>234</v>
      </c>
      <c r="I189" s="52"/>
      <c r="J189" s="53"/>
      <c r="K189" s="52" t="s">
        <v>29</v>
      </c>
      <c r="L189" s="52" t="s">
        <v>235</v>
      </c>
      <c r="M189" s="54">
        <f>+M190</f>
        <v>1567335560</v>
      </c>
      <c r="N189" s="54">
        <f t="shared" ref="N189:AA189" si="209">+N190</f>
        <v>0</v>
      </c>
      <c r="O189" s="54">
        <f t="shared" si="209"/>
        <v>0</v>
      </c>
      <c r="P189" s="54">
        <f t="shared" si="209"/>
        <v>0</v>
      </c>
      <c r="Q189" s="54">
        <f t="shared" si="209"/>
        <v>0</v>
      </c>
      <c r="R189" s="54">
        <f t="shared" si="209"/>
        <v>0</v>
      </c>
      <c r="S189" s="54">
        <f t="shared" si="209"/>
        <v>1567335560</v>
      </c>
      <c r="T189" s="54">
        <f t="shared" si="209"/>
        <v>0</v>
      </c>
      <c r="U189" s="54">
        <f t="shared" si="209"/>
        <v>1567335560</v>
      </c>
      <c r="V189" s="55">
        <f t="shared" si="152"/>
        <v>0</v>
      </c>
      <c r="W189" s="54">
        <f t="shared" si="209"/>
        <v>0</v>
      </c>
      <c r="X189" s="54">
        <f t="shared" si="209"/>
        <v>0</v>
      </c>
      <c r="Y189" s="55">
        <f t="shared" si="165"/>
        <v>0</v>
      </c>
      <c r="Z189" s="54">
        <f t="shared" si="209"/>
        <v>0</v>
      </c>
      <c r="AA189" s="54">
        <f t="shared" si="209"/>
        <v>0</v>
      </c>
      <c r="AB189" s="55">
        <f t="shared" si="146"/>
        <v>0</v>
      </c>
    </row>
    <row r="190" spans="1:28" ht="24.95" customHeight="1">
      <c r="A190" s="32" t="e">
        <f>+CONCATENATE(#REF!,"=",J190)</f>
        <v>#REF!</v>
      </c>
      <c r="B190" s="56" t="str">
        <f t="shared" si="205"/>
        <v>C-4103-1500-21-0-4103050-02</v>
      </c>
      <c r="C190" s="57" t="s">
        <v>167</v>
      </c>
      <c r="D190" s="57">
        <v>4103</v>
      </c>
      <c r="E190" s="57" t="s">
        <v>172</v>
      </c>
      <c r="F190" s="57">
        <v>21</v>
      </c>
      <c r="G190" s="57" t="s">
        <v>175</v>
      </c>
      <c r="H190" s="57" t="s">
        <v>234</v>
      </c>
      <c r="I190" s="57" t="s">
        <v>54</v>
      </c>
      <c r="J190" s="57">
        <v>11</v>
      </c>
      <c r="K190" s="58" t="s">
        <v>29</v>
      </c>
      <c r="L190" s="59" t="s">
        <v>178</v>
      </c>
      <c r="M190" s="60">
        <v>1567335560</v>
      </c>
      <c r="N190" s="60"/>
      <c r="O190" s="60"/>
      <c r="P190" s="60"/>
      <c r="Q190" s="60"/>
      <c r="R190" s="61">
        <v>0</v>
      </c>
      <c r="S190" s="60">
        <f>+M190-R190+N190-O190+P190-Q190</f>
        <v>1567335560</v>
      </c>
      <c r="T190" s="60">
        <v>0</v>
      </c>
      <c r="U190" s="60">
        <f t="shared" ref="U190" si="210">+S190-T190</f>
        <v>1567335560</v>
      </c>
      <c r="V190" s="62">
        <f t="shared" si="152"/>
        <v>0</v>
      </c>
      <c r="W190" s="60">
        <v>0</v>
      </c>
      <c r="X190" s="60">
        <f t="shared" ref="X190" si="211">+T190-W190</f>
        <v>0</v>
      </c>
      <c r="Y190" s="62">
        <f t="shared" si="165"/>
        <v>0</v>
      </c>
      <c r="Z190" s="60">
        <v>0</v>
      </c>
      <c r="AA190" s="60">
        <f t="shared" ref="AA190" si="212">+W190-Z190</f>
        <v>0</v>
      </c>
      <c r="AB190" s="62">
        <f t="shared" si="146"/>
        <v>0</v>
      </c>
    </row>
    <row r="191" spans="1:28" ht="30" customHeight="1">
      <c r="A191" s="32" t="e">
        <f>+CONCATENATE(#REF!,"=",J191)</f>
        <v>#REF!</v>
      </c>
      <c r="B191" s="52" t="str">
        <f>CONCATENATE(C191,"-",D191,"-",E191,"-",F191,"-",G191,"-",H191)</f>
        <v>C-4103-1500-21-0-4103051</v>
      </c>
      <c r="C191" s="52" t="s">
        <v>167</v>
      </c>
      <c r="D191" s="52">
        <v>4103</v>
      </c>
      <c r="E191" s="52" t="s">
        <v>172</v>
      </c>
      <c r="F191" s="52">
        <v>21</v>
      </c>
      <c r="G191" s="52" t="s">
        <v>175</v>
      </c>
      <c r="H191" s="52" t="s">
        <v>197</v>
      </c>
      <c r="I191" s="52"/>
      <c r="J191" s="53"/>
      <c r="K191" s="52" t="s">
        <v>29</v>
      </c>
      <c r="L191" s="52" t="s">
        <v>236</v>
      </c>
      <c r="M191" s="54">
        <f>+M192</f>
        <v>2072835407</v>
      </c>
      <c r="N191" s="54">
        <f t="shared" ref="N191:AA191" si="213">+N192</f>
        <v>0</v>
      </c>
      <c r="O191" s="54">
        <f t="shared" si="213"/>
        <v>0</v>
      </c>
      <c r="P191" s="54">
        <f t="shared" si="213"/>
        <v>0</v>
      </c>
      <c r="Q191" s="54">
        <f t="shared" si="213"/>
        <v>0</v>
      </c>
      <c r="R191" s="54">
        <f t="shared" si="213"/>
        <v>0</v>
      </c>
      <c r="S191" s="54">
        <f t="shared" si="213"/>
        <v>2072835407</v>
      </c>
      <c r="T191" s="54">
        <f t="shared" si="213"/>
        <v>0</v>
      </c>
      <c r="U191" s="54">
        <f t="shared" si="213"/>
        <v>2072835407</v>
      </c>
      <c r="V191" s="55">
        <f t="shared" si="152"/>
        <v>0</v>
      </c>
      <c r="W191" s="54">
        <f t="shared" si="213"/>
        <v>0</v>
      </c>
      <c r="X191" s="54">
        <f t="shared" si="213"/>
        <v>0</v>
      </c>
      <c r="Y191" s="55">
        <f t="shared" si="165"/>
        <v>0</v>
      </c>
      <c r="Z191" s="54">
        <f t="shared" si="213"/>
        <v>0</v>
      </c>
      <c r="AA191" s="54">
        <f t="shared" si="213"/>
        <v>0</v>
      </c>
      <c r="AB191" s="55">
        <f t="shared" si="146"/>
        <v>0</v>
      </c>
    </row>
    <row r="192" spans="1:28" ht="24.95" customHeight="1">
      <c r="A192" s="32" t="e">
        <f>+CONCATENATE(#REF!,"=",J192)</f>
        <v>#REF!</v>
      </c>
      <c r="B192" s="56" t="str">
        <f t="shared" si="205"/>
        <v>C-4103-1500-21-0-4103051-02</v>
      </c>
      <c r="C192" s="57" t="s">
        <v>167</v>
      </c>
      <c r="D192" s="57">
        <v>4103</v>
      </c>
      <c r="E192" s="57" t="s">
        <v>172</v>
      </c>
      <c r="F192" s="57">
        <v>21</v>
      </c>
      <c r="G192" s="57" t="s">
        <v>175</v>
      </c>
      <c r="H192" s="57" t="s">
        <v>197</v>
      </c>
      <c r="I192" s="57" t="s">
        <v>54</v>
      </c>
      <c r="J192" s="57">
        <v>11</v>
      </c>
      <c r="K192" s="58" t="s">
        <v>29</v>
      </c>
      <c r="L192" s="59" t="s">
        <v>178</v>
      </c>
      <c r="M192" s="60">
        <v>2072835407</v>
      </c>
      <c r="N192" s="60"/>
      <c r="O192" s="60"/>
      <c r="P192" s="60"/>
      <c r="Q192" s="761"/>
      <c r="R192" s="61">
        <v>0</v>
      </c>
      <c r="S192" s="60">
        <f>+M192-R192+N192-O192+P192-Q192</f>
        <v>2072835407</v>
      </c>
      <c r="T192" s="60">
        <v>0</v>
      </c>
      <c r="U192" s="60">
        <f t="shared" ref="U192" si="214">+S192-T192</f>
        <v>2072835407</v>
      </c>
      <c r="V192" s="62">
        <f t="shared" si="152"/>
        <v>0</v>
      </c>
      <c r="W192" s="60">
        <v>0</v>
      </c>
      <c r="X192" s="60">
        <f t="shared" ref="X192" si="215">+T192-W192</f>
        <v>0</v>
      </c>
      <c r="Y192" s="62">
        <f t="shared" si="165"/>
        <v>0</v>
      </c>
      <c r="Z192" s="60">
        <v>0</v>
      </c>
      <c r="AA192" s="60">
        <f t="shared" ref="AA192" si="216">+W192-Z192</f>
        <v>0</v>
      </c>
      <c r="AB192" s="62">
        <f t="shared" si="146"/>
        <v>0</v>
      </c>
    </row>
    <row r="193" spans="1:28" ht="30" customHeight="1">
      <c r="A193" s="32" t="e">
        <f>+CONCATENATE(#REF!,"=",J193)</f>
        <v>#REF!</v>
      </c>
      <c r="B193" s="52" t="str">
        <f>CONCATENATE(C193,"-",D193,"-",E193,"-",F193,"-",G193,"-",H193)</f>
        <v>C-4103-1500-21-0-4103055</v>
      </c>
      <c r="C193" s="52" t="s">
        <v>167</v>
      </c>
      <c r="D193" s="52">
        <v>4103</v>
      </c>
      <c r="E193" s="52" t="s">
        <v>172</v>
      </c>
      <c r="F193" s="52">
        <v>21</v>
      </c>
      <c r="G193" s="52" t="s">
        <v>175</v>
      </c>
      <c r="H193" s="52" t="s">
        <v>203</v>
      </c>
      <c r="I193" s="52"/>
      <c r="J193" s="53"/>
      <c r="K193" s="52" t="s">
        <v>29</v>
      </c>
      <c r="L193" s="52" t="s">
        <v>237</v>
      </c>
      <c r="M193" s="54">
        <f t="shared" ref="M193:U193" si="217">SUM(M194:M194)</f>
        <v>5803396375</v>
      </c>
      <c r="N193" s="54">
        <f t="shared" si="217"/>
        <v>0</v>
      </c>
      <c r="O193" s="54">
        <f t="shared" si="217"/>
        <v>0</v>
      </c>
      <c r="P193" s="54">
        <f t="shared" si="217"/>
        <v>0</v>
      </c>
      <c r="Q193" s="54">
        <f t="shared" si="217"/>
        <v>0</v>
      </c>
      <c r="R193" s="54">
        <f t="shared" si="217"/>
        <v>0</v>
      </c>
      <c r="S193" s="54">
        <f t="shared" si="217"/>
        <v>5803396375</v>
      </c>
      <c r="T193" s="54">
        <f t="shared" si="217"/>
        <v>0</v>
      </c>
      <c r="U193" s="54">
        <f t="shared" si="217"/>
        <v>5803396375</v>
      </c>
      <c r="V193" s="55">
        <f t="shared" si="152"/>
        <v>0</v>
      </c>
      <c r="W193" s="54">
        <f t="shared" ref="W193:X193" si="218">SUM(W194:W194)</f>
        <v>0</v>
      </c>
      <c r="X193" s="54">
        <f t="shared" si="218"/>
        <v>0</v>
      </c>
      <c r="Y193" s="55">
        <f t="shared" si="165"/>
        <v>0</v>
      </c>
      <c r="Z193" s="54">
        <f t="shared" ref="Z193:AA193" si="219">SUM(Z194:Z194)</f>
        <v>0</v>
      </c>
      <c r="AA193" s="54">
        <f t="shared" si="219"/>
        <v>0</v>
      </c>
      <c r="AB193" s="55">
        <f t="shared" si="146"/>
        <v>0</v>
      </c>
    </row>
    <row r="194" spans="1:28" ht="24.95" customHeight="1">
      <c r="A194" s="32" t="e">
        <f>+CONCATENATE(#REF!,"=",J194)</f>
        <v>#REF!</v>
      </c>
      <c r="B194" s="56" t="str">
        <f t="shared" si="205"/>
        <v>C-4103-1500-21-0-4103055-02</v>
      </c>
      <c r="C194" s="57" t="s">
        <v>167</v>
      </c>
      <c r="D194" s="57">
        <v>4103</v>
      </c>
      <c r="E194" s="57" t="s">
        <v>172</v>
      </c>
      <c r="F194" s="57">
        <v>21</v>
      </c>
      <c r="G194" s="57" t="s">
        <v>175</v>
      </c>
      <c r="H194" s="57" t="s">
        <v>203</v>
      </c>
      <c r="I194" s="57" t="s">
        <v>54</v>
      </c>
      <c r="J194" s="57">
        <v>11</v>
      </c>
      <c r="K194" s="58" t="s">
        <v>29</v>
      </c>
      <c r="L194" s="59" t="s">
        <v>178</v>
      </c>
      <c r="M194" s="60">
        <v>5803396375</v>
      </c>
      <c r="N194" s="60"/>
      <c r="O194" s="60"/>
      <c r="P194" s="60"/>
      <c r="Q194" s="60"/>
      <c r="R194" s="61">
        <v>0</v>
      </c>
      <c r="S194" s="60">
        <f>+M194-R194+N194-O194+P194-Q194</f>
        <v>5803396375</v>
      </c>
      <c r="T194" s="60">
        <v>0</v>
      </c>
      <c r="U194" s="60">
        <f t="shared" ref="U194" si="220">+S194-T194</f>
        <v>5803396375</v>
      </c>
      <c r="V194" s="62">
        <f t="shared" si="152"/>
        <v>0</v>
      </c>
      <c r="W194" s="60">
        <v>0</v>
      </c>
      <c r="X194" s="60">
        <f t="shared" ref="X194" si="221">+T194-W194</f>
        <v>0</v>
      </c>
      <c r="Y194" s="62">
        <f t="shared" si="165"/>
        <v>0</v>
      </c>
      <c r="Z194" s="60">
        <v>0</v>
      </c>
      <c r="AA194" s="60">
        <f t="shared" ref="AA194" si="222">+W194-Z194</f>
        <v>0</v>
      </c>
      <c r="AB194" s="62">
        <f t="shared" si="146"/>
        <v>0</v>
      </c>
    </row>
    <row r="195" spans="1:28" ht="30" customHeight="1">
      <c r="A195" s="32" t="e">
        <f>+CONCATENATE(#REF!,"=",J195)</f>
        <v>#REF!</v>
      </c>
      <c r="B195" s="52" t="str">
        <f>CONCATENATE(C195,"-",D195,"-",E195,"-",F195,"-",G195,"-",H195)</f>
        <v>C-4103-1500-21-0-4103058</v>
      </c>
      <c r="C195" s="52" t="s">
        <v>167</v>
      </c>
      <c r="D195" s="52">
        <v>4103</v>
      </c>
      <c r="E195" s="52" t="s">
        <v>172</v>
      </c>
      <c r="F195" s="52">
        <v>21</v>
      </c>
      <c r="G195" s="52" t="s">
        <v>175</v>
      </c>
      <c r="H195" s="52" t="s">
        <v>223</v>
      </c>
      <c r="I195" s="52"/>
      <c r="J195" s="53"/>
      <c r="K195" s="52" t="s">
        <v>29</v>
      </c>
      <c r="L195" s="52" t="s">
        <v>238</v>
      </c>
      <c r="M195" s="54">
        <f t="shared" ref="M195:U195" si="223">SUM(M196:M196)</f>
        <v>20114646219</v>
      </c>
      <c r="N195" s="54">
        <f t="shared" si="223"/>
        <v>0</v>
      </c>
      <c r="O195" s="54">
        <f t="shared" si="223"/>
        <v>0</v>
      </c>
      <c r="P195" s="54">
        <f t="shared" si="223"/>
        <v>0</v>
      </c>
      <c r="Q195" s="54">
        <f t="shared" si="223"/>
        <v>0</v>
      </c>
      <c r="R195" s="54">
        <f t="shared" si="223"/>
        <v>0</v>
      </c>
      <c r="S195" s="54">
        <f t="shared" si="223"/>
        <v>20114646219</v>
      </c>
      <c r="T195" s="54">
        <f t="shared" si="223"/>
        <v>946495432</v>
      </c>
      <c r="U195" s="54">
        <f t="shared" si="223"/>
        <v>19168150787</v>
      </c>
      <c r="V195" s="55">
        <f t="shared" si="152"/>
        <v>4.7055037493324355E-2</v>
      </c>
      <c r="W195" s="54">
        <f>SUM(W196:W196)</f>
        <v>222713128</v>
      </c>
      <c r="X195" s="54">
        <f>SUM(X196:X196)</f>
        <v>723782304</v>
      </c>
      <c r="Y195" s="55">
        <f t="shared" si="165"/>
        <v>0.76469709153334831</v>
      </c>
      <c r="Z195" s="54">
        <f>SUM(Z196:Z196)</f>
        <v>186013128</v>
      </c>
      <c r="AA195" s="54">
        <f>SUM(AA196:AA196)</f>
        <v>36700000</v>
      </c>
      <c r="AB195" s="55">
        <f t="shared" si="146"/>
        <v>0.19652828921418397</v>
      </c>
    </row>
    <row r="196" spans="1:28" ht="24.95" customHeight="1">
      <c r="A196" s="32" t="e">
        <f>+CONCATENATE(#REF!,"=",J196)</f>
        <v>#REF!</v>
      </c>
      <c r="B196" s="56" t="str">
        <f t="shared" si="205"/>
        <v>C-4103-1500-21-0-4103058-02</v>
      </c>
      <c r="C196" s="57" t="s">
        <v>167</v>
      </c>
      <c r="D196" s="57">
        <v>4103</v>
      </c>
      <c r="E196" s="57" t="s">
        <v>172</v>
      </c>
      <c r="F196" s="57">
        <v>21</v>
      </c>
      <c r="G196" s="57" t="s">
        <v>175</v>
      </c>
      <c r="H196" s="57" t="s">
        <v>223</v>
      </c>
      <c r="I196" s="57" t="s">
        <v>54</v>
      </c>
      <c r="J196" s="57">
        <v>11</v>
      </c>
      <c r="K196" s="58" t="s">
        <v>29</v>
      </c>
      <c r="L196" s="59" t="s">
        <v>178</v>
      </c>
      <c r="M196" s="60">
        <v>20114646219</v>
      </c>
      <c r="N196" s="60"/>
      <c r="O196" s="60"/>
      <c r="P196" s="60"/>
      <c r="Q196" s="61"/>
      <c r="R196" s="61">
        <v>0</v>
      </c>
      <c r="S196" s="60">
        <f>+M196-R196+N196-O196+P196-Q196</f>
        <v>20114646219</v>
      </c>
      <c r="T196" s="60">
        <v>946495432</v>
      </c>
      <c r="U196" s="60">
        <f t="shared" ref="U196" si="224">+S196-T196</f>
        <v>19168150787</v>
      </c>
      <c r="V196" s="62">
        <f t="shared" si="152"/>
        <v>4.7055037493324355E-2</v>
      </c>
      <c r="W196" s="60">
        <v>222713128</v>
      </c>
      <c r="X196" s="60">
        <f t="shared" ref="X196" si="225">+T196-W196</f>
        <v>723782304</v>
      </c>
      <c r="Y196" s="62">
        <f t="shared" si="165"/>
        <v>0.76469709153334831</v>
      </c>
      <c r="Z196" s="60">
        <v>186013128</v>
      </c>
      <c r="AA196" s="60">
        <f t="shared" ref="AA196" si="226">+W196-Z196</f>
        <v>36700000</v>
      </c>
      <c r="AB196" s="62">
        <f t="shared" si="146"/>
        <v>0.19652828921418397</v>
      </c>
    </row>
    <row r="197" spans="1:28" ht="45.75" customHeight="1">
      <c r="A197" s="32" t="e">
        <f>+CONCATENATE(#REF!,"=",J197)</f>
        <v>#REF!</v>
      </c>
      <c r="B197" s="48" t="str">
        <f>CONCATENATE(C197,"-",D197,"-",E197,"-",F197)</f>
        <v>C-4103-1500-22</v>
      </c>
      <c r="C197" s="48" t="s">
        <v>167</v>
      </c>
      <c r="D197" s="48">
        <v>4103</v>
      </c>
      <c r="E197" s="48" t="s">
        <v>172</v>
      </c>
      <c r="F197" s="48">
        <v>22</v>
      </c>
      <c r="G197" s="48"/>
      <c r="H197" s="48"/>
      <c r="I197" s="48"/>
      <c r="J197" s="49"/>
      <c r="K197" s="48"/>
      <c r="L197" s="48" t="s">
        <v>239</v>
      </c>
      <c r="M197" s="50">
        <f t="shared" ref="M197:U197" si="227">+M198+M200+M202+M204+M206+M209</f>
        <v>188272298572</v>
      </c>
      <c r="N197" s="50">
        <f t="shared" si="227"/>
        <v>0</v>
      </c>
      <c r="O197" s="742">
        <f t="shared" si="227"/>
        <v>0</v>
      </c>
      <c r="P197" s="50">
        <f t="shared" si="227"/>
        <v>75956656176</v>
      </c>
      <c r="Q197" s="50">
        <f t="shared" si="227"/>
        <v>75956656176</v>
      </c>
      <c r="R197" s="742">
        <f t="shared" si="227"/>
        <v>0</v>
      </c>
      <c r="S197" s="50">
        <f t="shared" si="227"/>
        <v>188272298572</v>
      </c>
      <c r="T197" s="50">
        <f t="shared" si="227"/>
        <v>30791823446</v>
      </c>
      <c r="U197" s="50">
        <f t="shared" si="227"/>
        <v>157480475126</v>
      </c>
      <c r="V197" s="51">
        <f t="shared" si="152"/>
        <v>0.16354941050568012</v>
      </c>
      <c r="W197" s="50">
        <f>+W198+W200+W202+W204+W206+W209</f>
        <v>556494024</v>
      </c>
      <c r="X197" s="50">
        <f>+X198+X200+X202+X204+X206+X209</f>
        <v>30235329422</v>
      </c>
      <c r="Y197" s="51">
        <f t="shared" si="165"/>
        <v>0.98192721437962482</v>
      </c>
      <c r="Z197" s="50">
        <f>+Z198+Z200+Z202+Z204+Z206+Z209</f>
        <v>486994024</v>
      </c>
      <c r="AA197" s="50">
        <f>+AA198+AA200+AA202+AA204+AA206+AA209</f>
        <v>69500000</v>
      </c>
      <c r="AB197" s="51">
        <f t="shared" si="146"/>
        <v>1.5815692917765894E-2</v>
      </c>
    </row>
    <row r="198" spans="1:28" ht="30" customHeight="1">
      <c r="A198" s="32" t="e">
        <f>+CONCATENATE(#REF!,"=",J198)</f>
        <v>#REF!</v>
      </c>
      <c r="B198" s="52" t="str">
        <f>CONCATENATE(C198,"-",D198,"-",E198,"-",F198,"-",G198,"-",H198)</f>
        <v>C-4103-1500-22-0-4103005</v>
      </c>
      <c r="C198" s="52" t="s">
        <v>167</v>
      </c>
      <c r="D198" s="52">
        <v>4103</v>
      </c>
      <c r="E198" s="52" t="s">
        <v>172</v>
      </c>
      <c r="F198" s="52">
        <v>22</v>
      </c>
      <c r="G198" s="52" t="s">
        <v>175</v>
      </c>
      <c r="H198" s="52" t="s">
        <v>219</v>
      </c>
      <c r="I198" s="52"/>
      <c r="J198" s="53"/>
      <c r="K198" s="52" t="s">
        <v>29</v>
      </c>
      <c r="L198" s="52" t="s">
        <v>240</v>
      </c>
      <c r="M198" s="54">
        <f t="shared" ref="M198:U198" si="228">SUM(M199:M199)</f>
        <v>10954065210</v>
      </c>
      <c r="N198" s="54">
        <f t="shared" si="228"/>
        <v>0</v>
      </c>
      <c r="O198" s="743">
        <f t="shared" si="228"/>
        <v>0</v>
      </c>
      <c r="P198" s="54">
        <f t="shared" si="228"/>
        <v>14887645880</v>
      </c>
      <c r="Q198" s="743">
        <f t="shared" si="228"/>
        <v>0</v>
      </c>
      <c r="R198" s="743">
        <f t="shared" si="228"/>
        <v>0</v>
      </c>
      <c r="S198" s="54">
        <f t="shared" si="228"/>
        <v>25841711090</v>
      </c>
      <c r="T198" s="54">
        <f t="shared" si="228"/>
        <v>1122276608</v>
      </c>
      <c r="U198" s="54">
        <f t="shared" si="228"/>
        <v>24719434482</v>
      </c>
      <c r="V198" s="55">
        <f t="shared" si="152"/>
        <v>4.342888147349843E-2</v>
      </c>
      <c r="W198" s="54">
        <f t="shared" ref="W198:X198" si="229">SUM(W199:W199)</f>
        <v>0</v>
      </c>
      <c r="X198" s="54">
        <f t="shared" si="229"/>
        <v>1122276608</v>
      </c>
      <c r="Y198" s="55">
        <f t="shared" si="165"/>
        <v>1</v>
      </c>
      <c r="Z198" s="54">
        <f t="shared" ref="Z198:AA198" si="230">SUM(Z199:Z199)</f>
        <v>0</v>
      </c>
      <c r="AA198" s="54">
        <f t="shared" si="230"/>
        <v>0</v>
      </c>
      <c r="AB198" s="55">
        <f t="shared" si="146"/>
        <v>0</v>
      </c>
    </row>
    <row r="199" spans="1:28" ht="24.95" customHeight="1">
      <c r="A199" s="32" t="e">
        <f>+CONCATENATE(#REF!,"=",J199)</f>
        <v>#REF!</v>
      </c>
      <c r="B199" s="56" t="str">
        <f t="shared" ref="B199:B211" si="231">CONCATENATE(C199,"-",D199,"-",E199,"-",F199,"-",G199,"-",H199,"-",I199)</f>
        <v>C-4103-1500-22-0-4103005-02</v>
      </c>
      <c r="C199" s="57" t="s">
        <v>167</v>
      </c>
      <c r="D199" s="57">
        <v>4103</v>
      </c>
      <c r="E199" s="57" t="s">
        <v>172</v>
      </c>
      <c r="F199" s="57">
        <v>22</v>
      </c>
      <c r="G199" s="57" t="s">
        <v>175</v>
      </c>
      <c r="H199" s="57" t="s">
        <v>219</v>
      </c>
      <c r="I199" s="57" t="s">
        <v>54</v>
      </c>
      <c r="J199" s="57">
        <v>11</v>
      </c>
      <c r="K199" s="58" t="s">
        <v>29</v>
      </c>
      <c r="L199" s="59" t="s">
        <v>178</v>
      </c>
      <c r="M199" s="60">
        <v>10954065210</v>
      </c>
      <c r="N199" s="60"/>
      <c r="O199" s="60"/>
      <c r="P199" s="60">
        <f>14887645880</f>
        <v>14887645880</v>
      </c>
      <c r="Q199" s="60">
        <v>0</v>
      </c>
      <c r="R199" s="61">
        <v>0</v>
      </c>
      <c r="S199" s="60">
        <f>+M199-R199+N199-O199+P199-Q199</f>
        <v>25841711090</v>
      </c>
      <c r="T199" s="60">
        <v>1122276608</v>
      </c>
      <c r="U199" s="60">
        <f t="shared" ref="U199" si="232">+S199-T199</f>
        <v>24719434482</v>
      </c>
      <c r="V199" s="62">
        <f t="shared" si="152"/>
        <v>4.342888147349843E-2</v>
      </c>
      <c r="W199" s="60">
        <v>0</v>
      </c>
      <c r="X199" s="60">
        <f t="shared" ref="X199" si="233">+T199-W199</f>
        <v>1122276608</v>
      </c>
      <c r="Y199" s="62">
        <f t="shared" si="165"/>
        <v>1</v>
      </c>
      <c r="Z199" s="60">
        <v>0</v>
      </c>
      <c r="AA199" s="60">
        <f t="shared" ref="AA199" si="234">+W199-Z199</f>
        <v>0</v>
      </c>
      <c r="AB199" s="62">
        <f t="shared" si="146"/>
        <v>0</v>
      </c>
    </row>
    <row r="200" spans="1:28" ht="26.25" customHeight="1">
      <c r="A200" s="32" t="e">
        <f>+CONCATENATE(#REF!,"=",J200)</f>
        <v>#REF!</v>
      </c>
      <c r="B200" s="52" t="str">
        <f>CONCATENATE(C200,"-",D200,"-",E200,"-",F200,"-",G200,"-",H200)</f>
        <v>C-4103-1500-22-0-4103050</v>
      </c>
      <c r="C200" s="52" t="s">
        <v>167</v>
      </c>
      <c r="D200" s="52">
        <v>4103</v>
      </c>
      <c r="E200" s="52" t="s">
        <v>172</v>
      </c>
      <c r="F200" s="52">
        <v>22</v>
      </c>
      <c r="G200" s="52" t="s">
        <v>175</v>
      </c>
      <c r="H200" s="52" t="s">
        <v>234</v>
      </c>
      <c r="I200" s="52"/>
      <c r="J200" s="53"/>
      <c r="K200" s="52" t="s">
        <v>29</v>
      </c>
      <c r="L200" s="52" t="s">
        <v>241</v>
      </c>
      <c r="M200" s="54">
        <f t="shared" ref="M200:U200" si="235">SUM(M201:M201)</f>
        <v>23566120170</v>
      </c>
      <c r="N200" s="54">
        <f t="shared" si="235"/>
        <v>0</v>
      </c>
      <c r="O200" s="743">
        <f t="shared" si="235"/>
        <v>0</v>
      </c>
      <c r="P200" s="54">
        <f t="shared" si="235"/>
        <v>15512436655</v>
      </c>
      <c r="Q200" s="743">
        <f t="shared" si="235"/>
        <v>0</v>
      </c>
      <c r="R200" s="743">
        <f t="shared" si="235"/>
        <v>0</v>
      </c>
      <c r="S200" s="54">
        <f t="shared" si="235"/>
        <v>39078556825</v>
      </c>
      <c r="T200" s="54">
        <f t="shared" si="235"/>
        <v>3274292860</v>
      </c>
      <c r="U200" s="54">
        <f t="shared" si="235"/>
        <v>35804263965</v>
      </c>
      <c r="V200" s="55">
        <f t="shared" si="152"/>
        <v>8.3787455986739853E-2</v>
      </c>
      <c r="W200" s="54">
        <f>SUM(W201:W201)</f>
        <v>0</v>
      </c>
      <c r="X200" s="54">
        <f>SUM(X201:X201)</f>
        <v>3274292860</v>
      </c>
      <c r="Y200" s="55">
        <f t="shared" si="165"/>
        <v>1</v>
      </c>
      <c r="Z200" s="54">
        <f>SUM(Z201:Z201)</f>
        <v>0</v>
      </c>
      <c r="AA200" s="54">
        <f>SUM(AA201:AA201)</f>
        <v>0</v>
      </c>
      <c r="AB200" s="55">
        <f t="shared" si="146"/>
        <v>0</v>
      </c>
    </row>
    <row r="201" spans="1:28" ht="24.95" customHeight="1">
      <c r="A201" s="32" t="e">
        <f>+CONCATENATE(#REF!,"=",J201)</f>
        <v>#REF!</v>
      </c>
      <c r="B201" s="56" t="str">
        <f t="shared" si="231"/>
        <v>C-4103-1500-22-0-4103050-02</v>
      </c>
      <c r="C201" s="57" t="s">
        <v>167</v>
      </c>
      <c r="D201" s="57">
        <v>4103</v>
      </c>
      <c r="E201" s="57" t="s">
        <v>172</v>
      </c>
      <c r="F201" s="57">
        <v>22</v>
      </c>
      <c r="G201" s="57" t="s">
        <v>175</v>
      </c>
      <c r="H201" s="57" t="s">
        <v>234</v>
      </c>
      <c r="I201" s="57" t="s">
        <v>54</v>
      </c>
      <c r="J201" s="57">
        <v>11</v>
      </c>
      <c r="K201" s="58" t="s">
        <v>29</v>
      </c>
      <c r="L201" s="59" t="s">
        <v>178</v>
      </c>
      <c r="M201" s="60">
        <v>23566120170</v>
      </c>
      <c r="N201" s="60"/>
      <c r="O201" s="60"/>
      <c r="P201" s="60">
        <f>15512436655</f>
        <v>15512436655</v>
      </c>
      <c r="Q201" s="60">
        <v>0</v>
      </c>
      <c r="R201" s="61">
        <v>0</v>
      </c>
      <c r="S201" s="60">
        <f>+M201-R201+N201-O201+P201-Q201</f>
        <v>39078556825</v>
      </c>
      <c r="T201" s="60">
        <v>3274292860</v>
      </c>
      <c r="U201" s="60">
        <f t="shared" ref="U201" si="236">+S201-T201</f>
        <v>35804263965</v>
      </c>
      <c r="V201" s="62">
        <f t="shared" si="152"/>
        <v>8.3787455986739853E-2</v>
      </c>
      <c r="W201" s="60">
        <v>0</v>
      </c>
      <c r="X201" s="60">
        <f t="shared" ref="X201" si="237">+T201-W201</f>
        <v>3274292860</v>
      </c>
      <c r="Y201" s="62">
        <f t="shared" si="165"/>
        <v>1</v>
      </c>
      <c r="Z201" s="60">
        <v>0</v>
      </c>
      <c r="AA201" s="60">
        <f t="shared" ref="AA201" si="238">+W201-Z201</f>
        <v>0</v>
      </c>
      <c r="AB201" s="62">
        <f t="shared" si="146"/>
        <v>0</v>
      </c>
    </row>
    <row r="202" spans="1:28" ht="24.75" customHeight="1">
      <c r="A202" s="32" t="e">
        <f>+CONCATENATE(#REF!,"=",J202)</f>
        <v>#REF!</v>
      </c>
      <c r="B202" s="52" t="str">
        <f>CONCATENATE(C202,"-",D202,"-",E202,"-",F202,"-",G202,"-",H202)</f>
        <v>C-4103-1500-22-0-4103051</v>
      </c>
      <c r="C202" s="52" t="s">
        <v>167</v>
      </c>
      <c r="D202" s="52">
        <v>4103</v>
      </c>
      <c r="E202" s="52" t="s">
        <v>172</v>
      </c>
      <c r="F202" s="52">
        <v>22</v>
      </c>
      <c r="G202" s="52" t="s">
        <v>175</v>
      </c>
      <c r="H202" s="52">
        <v>4103051</v>
      </c>
      <c r="I202" s="52"/>
      <c r="J202" s="53"/>
      <c r="K202" s="52" t="s">
        <v>29</v>
      </c>
      <c r="L202" s="52" t="s">
        <v>242</v>
      </c>
      <c r="M202" s="54">
        <f t="shared" ref="M202:U202" si="239">SUM(M203:M203)</f>
        <v>18826252848</v>
      </c>
      <c r="N202" s="54">
        <f t="shared" si="239"/>
        <v>0</v>
      </c>
      <c r="O202" s="743">
        <f t="shared" si="239"/>
        <v>0</v>
      </c>
      <c r="P202" s="54">
        <f t="shared" si="239"/>
        <v>6493886506</v>
      </c>
      <c r="Q202" s="743">
        <f t="shared" si="239"/>
        <v>0</v>
      </c>
      <c r="R202" s="743">
        <f t="shared" si="239"/>
        <v>0</v>
      </c>
      <c r="S202" s="54">
        <f t="shared" si="239"/>
        <v>25320139354</v>
      </c>
      <c r="T202" s="54">
        <f t="shared" si="239"/>
        <v>1169144192</v>
      </c>
      <c r="U202" s="54">
        <f t="shared" si="239"/>
        <v>24150995162</v>
      </c>
      <c r="V202" s="55">
        <f t="shared" si="152"/>
        <v>4.6174476990597686E-2</v>
      </c>
      <c r="W202" s="54">
        <f t="shared" ref="W202:X202" si="240">SUM(W203:W203)</f>
        <v>0</v>
      </c>
      <c r="X202" s="54">
        <f t="shared" si="240"/>
        <v>1169144192</v>
      </c>
      <c r="Y202" s="55">
        <f t="shared" si="165"/>
        <v>1</v>
      </c>
      <c r="Z202" s="54">
        <f t="shared" ref="Z202:AA202" si="241">SUM(Z203:Z203)</f>
        <v>0</v>
      </c>
      <c r="AA202" s="54">
        <f t="shared" si="241"/>
        <v>0</v>
      </c>
      <c r="AB202" s="55">
        <f t="shared" si="146"/>
        <v>0</v>
      </c>
    </row>
    <row r="203" spans="1:28" ht="24.95" customHeight="1">
      <c r="A203" s="32" t="e">
        <f>+CONCATENATE(#REF!,"=",J203)</f>
        <v>#REF!</v>
      </c>
      <c r="B203" s="56" t="str">
        <f t="shared" si="231"/>
        <v>C-4103-1500-22-0-4103051-02</v>
      </c>
      <c r="C203" s="57" t="s">
        <v>167</v>
      </c>
      <c r="D203" s="57">
        <v>4103</v>
      </c>
      <c r="E203" s="57" t="s">
        <v>172</v>
      </c>
      <c r="F203" s="57">
        <v>22</v>
      </c>
      <c r="G203" s="57" t="s">
        <v>175</v>
      </c>
      <c r="H203" s="57">
        <v>4103051</v>
      </c>
      <c r="I203" s="57" t="s">
        <v>54</v>
      </c>
      <c r="J203" s="57">
        <v>11</v>
      </c>
      <c r="K203" s="58" t="s">
        <v>29</v>
      </c>
      <c r="L203" s="59" t="s">
        <v>178</v>
      </c>
      <c r="M203" s="60">
        <v>18826252848</v>
      </c>
      <c r="N203" s="60"/>
      <c r="O203" s="60"/>
      <c r="P203" s="60">
        <f>6493886506</f>
        <v>6493886506</v>
      </c>
      <c r="Q203" s="60">
        <v>0</v>
      </c>
      <c r="R203" s="61">
        <v>0</v>
      </c>
      <c r="S203" s="60">
        <f>+M203-R203+N203-O203+P203-Q203</f>
        <v>25320139354</v>
      </c>
      <c r="T203" s="60">
        <v>1169144192</v>
      </c>
      <c r="U203" s="60">
        <f t="shared" ref="U203" si="242">+S203-T203</f>
        <v>24150995162</v>
      </c>
      <c r="V203" s="62">
        <f t="shared" si="152"/>
        <v>4.6174476990597686E-2</v>
      </c>
      <c r="W203" s="60">
        <v>0</v>
      </c>
      <c r="X203" s="60">
        <f t="shared" ref="X203" si="243">+T203-W203</f>
        <v>1169144192</v>
      </c>
      <c r="Y203" s="62">
        <f t="shared" si="165"/>
        <v>1</v>
      </c>
      <c r="Z203" s="60">
        <v>0</v>
      </c>
      <c r="AA203" s="60">
        <f t="shared" ref="AA203" si="244">+W203-Z203</f>
        <v>0</v>
      </c>
      <c r="AB203" s="62">
        <f t="shared" si="146"/>
        <v>0</v>
      </c>
    </row>
    <row r="204" spans="1:28" ht="26.25" customHeight="1">
      <c r="A204" s="32" t="e">
        <f>+CONCATENATE(#REF!,"=",J204)</f>
        <v>#REF!</v>
      </c>
      <c r="B204" s="52" t="str">
        <f>CONCATENATE(C204,"-",D204,"-",E204,"-",F204,"-",G204,"-",H204)</f>
        <v>C-4103-1500-22-0-4103055</v>
      </c>
      <c r="C204" s="52" t="s">
        <v>167</v>
      </c>
      <c r="D204" s="52">
        <v>4103</v>
      </c>
      <c r="E204" s="52" t="s">
        <v>172</v>
      </c>
      <c r="F204" s="52">
        <v>22</v>
      </c>
      <c r="G204" s="52" t="s">
        <v>175</v>
      </c>
      <c r="H204" s="52">
        <v>4103055</v>
      </c>
      <c r="I204" s="52"/>
      <c r="J204" s="53"/>
      <c r="K204" s="52" t="s">
        <v>29</v>
      </c>
      <c r="L204" s="52" t="s">
        <v>243</v>
      </c>
      <c r="M204" s="54">
        <f t="shared" ref="M204:U204" si="245">SUM(M205:M205)</f>
        <v>9355356380</v>
      </c>
      <c r="N204" s="54">
        <f t="shared" si="245"/>
        <v>0</v>
      </c>
      <c r="O204" s="743">
        <f t="shared" si="245"/>
        <v>0</v>
      </c>
      <c r="P204" s="54">
        <f t="shared" si="245"/>
        <v>21850058864</v>
      </c>
      <c r="Q204" s="54">
        <f t="shared" si="245"/>
        <v>0</v>
      </c>
      <c r="R204" s="743">
        <f t="shared" si="245"/>
        <v>0</v>
      </c>
      <c r="S204" s="54">
        <f t="shared" si="245"/>
        <v>31205415244</v>
      </c>
      <c r="T204" s="54">
        <f t="shared" si="245"/>
        <v>1962919342</v>
      </c>
      <c r="U204" s="54">
        <f t="shared" si="245"/>
        <v>29242495902</v>
      </c>
      <c r="V204" s="55">
        <f t="shared" si="152"/>
        <v>6.2903163654501243E-2</v>
      </c>
      <c r="W204" s="54">
        <f>SUM(W205:W205)</f>
        <v>0</v>
      </c>
      <c r="X204" s="54">
        <f>SUM(X205:X205)</f>
        <v>1962919342</v>
      </c>
      <c r="Y204" s="55">
        <f t="shared" si="165"/>
        <v>1</v>
      </c>
      <c r="Z204" s="54">
        <f>SUM(Z205:Z205)</f>
        <v>0</v>
      </c>
      <c r="AA204" s="54">
        <f>SUM(AA205:AA205)</f>
        <v>0</v>
      </c>
      <c r="AB204" s="55">
        <f t="shared" si="146"/>
        <v>0</v>
      </c>
    </row>
    <row r="205" spans="1:28" ht="24.95" customHeight="1">
      <c r="A205" s="32" t="e">
        <f>+CONCATENATE(#REF!,"=",J205)</f>
        <v>#REF!</v>
      </c>
      <c r="B205" s="56" t="str">
        <f t="shared" si="231"/>
        <v>C-4103-1500-22-0-4103055-02</v>
      </c>
      <c r="C205" s="57" t="s">
        <v>167</v>
      </c>
      <c r="D205" s="57">
        <v>4103</v>
      </c>
      <c r="E205" s="57" t="s">
        <v>172</v>
      </c>
      <c r="F205" s="57">
        <v>22</v>
      </c>
      <c r="G205" s="57" t="s">
        <v>175</v>
      </c>
      <c r="H205" s="57" t="s">
        <v>203</v>
      </c>
      <c r="I205" s="57" t="s">
        <v>54</v>
      </c>
      <c r="J205" s="57">
        <v>11</v>
      </c>
      <c r="K205" s="58" t="s">
        <v>29</v>
      </c>
      <c r="L205" s="59" t="s">
        <v>178</v>
      </c>
      <c r="M205" s="60">
        <v>9355356380</v>
      </c>
      <c r="N205" s="60"/>
      <c r="O205" s="60"/>
      <c r="P205" s="60">
        <f>21850058864</f>
        <v>21850058864</v>
      </c>
      <c r="Q205" s="60"/>
      <c r="R205" s="61">
        <v>0</v>
      </c>
      <c r="S205" s="60">
        <f>+M205-R205+N205-O205+P205-Q205</f>
        <v>31205415244</v>
      </c>
      <c r="T205" s="60">
        <v>1962919342</v>
      </c>
      <c r="U205" s="60">
        <f t="shared" ref="U205" si="246">+S205-T205</f>
        <v>29242495902</v>
      </c>
      <c r="V205" s="62">
        <f t="shared" si="152"/>
        <v>6.2903163654501243E-2</v>
      </c>
      <c r="W205" s="60">
        <v>0</v>
      </c>
      <c r="X205" s="60">
        <f t="shared" ref="X205" si="247">+T205-W205</f>
        <v>1962919342</v>
      </c>
      <c r="Y205" s="62">
        <f t="shared" si="165"/>
        <v>1</v>
      </c>
      <c r="Z205" s="60">
        <v>0</v>
      </c>
      <c r="AA205" s="60">
        <f t="shared" ref="AA205" si="248">+W205-Z205</f>
        <v>0</v>
      </c>
      <c r="AB205" s="62">
        <f t="shared" si="146"/>
        <v>0</v>
      </c>
    </row>
    <row r="206" spans="1:28" ht="27.75" customHeight="1">
      <c r="A206" s="32" t="e">
        <f>+CONCATENATE(#REF!,"=",J206)</f>
        <v>#REF!</v>
      </c>
      <c r="B206" s="52" t="str">
        <f>CONCATENATE(C206,"-",D206,"-",E206,"-",F206,"-",G206,"-",H206)</f>
        <v>C-4103-1500-22-0-4103057</v>
      </c>
      <c r="C206" s="52" t="s">
        <v>167</v>
      </c>
      <c r="D206" s="52">
        <v>4103</v>
      </c>
      <c r="E206" s="52" t="s">
        <v>172</v>
      </c>
      <c r="F206" s="52">
        <v>22</v>
      </c>
      <c r="G206" s="52" t="s">
        <v>175</v>
      </c>
      <c r="H206" s="52">
        <v>4103057</v>
      </c>
      <c r="I206" s="52"/>
      <c r="J206" s="53"/>
      <c r="K206" s="52" t="s">
        <v>29</v>
      </c>
      <c r="L206" s="52" t="s">
        <v>244</v>
      </c>
      <c r="M206" s="54">
        <f>SUM(M207:M208)</f>
        <v>42878440876</v>
      </c>
      <c r="N206" s="54">
        <f t="shared" ref="N206:U206" si="249">SUM(N207:N208)</f>
        <v>0</v>
      </c>
      <c r="O206" s="743">
        <f t="shared" si="249"/>
        <v>0</v>
      </c>
      <c r="P206" s="54">
        <f t="shared" si="249"/>
        <v>2559683689</v>
      </c>
      <c r="Q206" s="54">
        <f t="shared" si="249"/>
        <v>18063056176</v>
      </c>
      <c r="R206" s="743">
        <f t="shared" si="249"/>
        <v>0</v>
      </c>
      <c r="S206" s="54">
        <f t="shared" si="249"/>
        <v>27375068389</v>
      </c>
      <c r="T206" s="54">
        <f t="shared" si="249"/>
        <v>22263782933</v>
      </c>
      <c r="U206" s="54">
        <f t="shared" si="249"/>
        <v>5111285456</v>
      </c>
      <c r="V206" s="55">
        <f t="shared" si="152"/>
        <v>0.81328684248862571</v>
      </c>
      <c r="W206" s="54">
        <f t="shared" ref="W206:X206" si="250">SUM(W207:W208)</f>
        <v>556494024</v>
      </c>
      <c r="X206" s="54">
        <f t="shared" si="250"/>
        <v>21707288909</v>
      </c>
      <c r="Y206" s="55">
        <f t="shared" si="165"/>
        <v>0.97500451627314655</v>
      </c>
      <c r="Z206" s="54">
        <f t="shared" ref="Z206:AA206" si="251">SUM(Z207:Z208)</f>
        <v>486994024</v>
      </c>
      <c r="AA206" s="54">
        <f t="shared" si="251"/>
        <v>69500000</v>
      </c>
      <c r="AB206" s="55">
        <f t="shared" si="146"/>
        <v>2.1873821958538944E-2</v>
      </c>
    </row>
    <row r="207" spans="1:28" ht="24.95" customHeight="1">
      <c r="A207" s="32" t="e">
        <f>+CONCATENATE(#REF!,"=",J207)</f>
        <v>#REF!</v>
      </c>
      <c r="B207" s="56" t="str">
        <f t="shared" si="231"/>
        <v>C-4103-1500-22-0-4103057-02</v>
      </c>
      <c r="C207" s="57" t="s">
        <v>167</v>
      </c>
      <c r="D207" s="57">
        <v>4103</v>
      </c>
      <c r="E207" s="57" t="s">
        <v>172</v>
      </c>
      <c r="F207" s="57">
        <v>22</v>
      </c>
      <c r="G207" s="57" t="s">
        <v>175</v>
      </c>
      <c r="H207" s="57" t="s">
        <v>221</v>
      </c>
      <c r="I207" s="57" t="s">
        <v>54</v>
      </c>
      <c r="J207" s="57">
        <v>11</v>
      </c>
      <c r="K207" s="58" t="s">
        <v>29</v>
      </c>
      <c r="L207" s="59" t="s">
        <v>178</v>
      </c>
      <c r="M207" s="60">
        <v>4467871684</v>
      </c>
      <c r="N207" s="60"/>
      <c r="O207" s="60"/>
      <c r="P207" s="60">
        <f>2559683689</f>
        <v>2559683689</v>
      </c>
      <c r="Q207" s="60">
        <f>110858384</f>
        <v>110858384</v>
      </c>
      <c r="R207" s="61">
        <v>0</v>
      </c>
      <c r="S207" s="60">
        <f>+M207-R207+N207-O207+P207-Q207</f>
        <v>6916696989</v>
      </c>
      <c r="T207" s="60">
        <v>1805411533</v>
      </c>
      <c r="U207" s="60">
        <f t="shared" ref="U207:U208" si="252">+S207-T207</f>
        <v>5111285456</v>
      </c>
      <c r="V207" s="62">
        <f t="shared" si="152"/>
        <v>0.26102220985988606</v>
      </c>
      <c r="W207" s="60">
        <v>556494024</v>
      </c>
      <c r="X207" s="60">
        <f t="shared" ref="X207:X208" si="253">+T207-W207</f>
        <v>1248917509</v>
      </c>
      <c r="Y207" s="62">
        <f t="shared" si="165"/>
        <v>0.69176333825934411</v>
      </c>
      <c r="Z207" s="60">
        <v>486994024</v>
      </c>
      <c r="AA207" s="60">
        <f t="shared" ref="AA207:AA208" si="254">+W207-Z207</f>
        <v>69500000</v>
      </c>
      <c r="AB207" s="62">
        <f t="shared" ref="AB207:AB228" si="255">+IF(T207&gt;0,(Z207/T207),0)</f>
        <v>0.26974128341297132</v>
      </c>
    </row>
    <row r="208" spans="1:28" ht="24.95" customHeight="1">
      <c r="A208" s="32" t="e">
        <f>+CONCATENATE(#REF!,"=",J208)</f>
        <v>#REF!</v>
      </c>
      <c r="B208" s="56" t="str">
        <f t="shared" si="231"/>
        <v>C-4103-1500-22-0-4103057-03</v>
      </c>
      <c r="C208" s="57" t="s">
        <v>167</v>
      </c>
      <c r="D208" s="57">
        <v>4103</v>
      </c>
      <c r="E208" s="57" t="s">
        <v>172</v>
      </c>
      <c r="F208" s="57">
        <v>22</v>
      </c>
      <c r="G208" s="57" t="s">
        <v>175</v>
      </c>
      <c r="H208" s="57" t="s">
        <v>221</v>
      </c>
      <c r="I208" s="57" t="s">
        <v>65</v>
      </c>
      <c r="J208" s="57">
        <v>11</v>
      </c>
      <c r="K208" s="58" t="s">
        <v>29</v>
      </c>
      <c r="L208" s="59" t="s">
        <v>127</v>
      </c>
      <c r="M208" s="60">
        <v>38410569192</v>
      </c>
      <c r="N208" s="60"/>
      <c r="O208" s="60"/>
      <c r="P208" s="60"/>
      <c r="Q208" s="60">
        <f>17952197792</f>
        <v>17952197792</v>
      </c>
      <c r="R208" s="61">
        <v>0</v>
      </c>
      <c r="S208" s="60">
        <f>+M208-R208+N208-O208+P208-Q208</f>
        <v>20458371400</v>
      </c>
      <c r="T208" s="60">
        <v>20458371400</v>
      </c>
      <c r="U208" s="60">
        <f t="shared" si="252"/>
        <v>0</v>
      </c>
      <c r="V208" s="62">
        <f t="shared" si="152"/>
        <v>1</v>
      </c>
      <c r="W208" s="60">
        <v>0</v>
      </c>
      <c r="X208" s="60">
        <f t="shared" si="253"/>
        <v>20458371400</v>
      </c>
      <c r="Y208" s="62">
        <f t="shared" si="165"/>
        <v>1</v>
      </c>
      <c r="Z208" s="60">
        <v>0</v>
      </c>
      <c r="AA208" s="60">
        <f t="shared" si="254"/>
        <v>0</v>
      </c>
      <c r="AB208" s="62">
        <f t="shared" si="255"/>
        <v>0</v>
      </c>
    </row>
    <row r="209" spans="1:28" ht="23.25" customHeight="1">
      <c r="A209" s="32" t="e">
        <f>+CONCATENATE(#REF!,"=",J209)</f>
        <v>#REF!</v>
      </c>
      <c r="B209" s="52" t="str">
        <f>CONCATENATE(C209,"-",D209,"-",E209,"-",F209,"-",G209,"-",H209)</f>
        <v>C-4103-1500-22-0-4103062</v>
      </c>
      <c r="C209" s="52" t="s">
        <v>167</v>
      </c>
      <c r="D209" s="52">
        <v>4103</v>
      </c>
      <c r="E209" s="52" t="s">
        <v>172</v>
      </c>
      <c r="F209" s="52">
        <v>22</v>
      </c>
      <c r="G209" s="52" t="s">
        <v>175</v>
      </c>
      <c r="H209" s="52">
        <v>4103062</v>
      </c>
      <c r="I209" s="52"/>
      <c r="J209" s="53"/>
      <c r="K209" s="52" t="s">
        <v>29</v>
      </c>
      <c r="L209" s="52" t="s">
        <v>245</v>
      </c>
      <c r="M209" s="54">
        <f>SUM(M210:M211)</f>
        <v>82692063088</v>
      </c>
      <c r="N209" s="54">
        <f t="shared" ref="N209:U209" si="256">SUM(N210:N211)</f>
        <v>0</v>
      </c>
      <c r="O209" s="743">
        <f t="shared" si="256"/>
        <v>0</v>
      </c>
      <c r="P209" s="54">
        <f t="shared" si="256"/>
        <v>14652944582</v>
      </c>
      <c r="Q209" s="54">
        <f t="shared" si="256"/>
        <v>57893600000</v>
      </c>
      <c r="R209" s="743">
        <f t="shared" si="256"/>
        <v>0</v>
      </c>
      <c r="S209" s="54">
        <f t="shared" si="256"/>
        <v>39451407670</v>
      </c>
      <c r="T209" s="54">
        <f t="shared" si="256"/>
        <v>999407511</v>
      </c>
      <c r="U209" s="54">
        <f t="shared" si="256"/>
        <v>38452000159</v>
      </c>
      <c r="V209" s="55">
        <f t="shared" si="152"/>
        <v>2.5332619797999719E-2</v>
      </c>
      <c r="W209" s="54">
        <f t="shared" ref="W209:X209" si="257">SUM(W210:W211)</f>
        <v>0</v>
      </c>
      <c r="X209" s="54">
        <f t="shared" si="257"/>
        <v>999407511</v>
      </c>
      <c r="Y209" s="55">
        <f t="shared" si="165"/>
        <v>1</v>
      </c>
      <c r="Z209" s="54">
        <f t="shared" ref="Z209:AA209" si="258">SUM(Z210:Z211)</f>
        <v>0</v>
      </c>
      <c r="AA209" s="54">
        <f t="shared" si="258"/>
        <v>0</v>
      </c>
      <c r="AB209" s="55">
        <f t="shared" si="255"/>
        <v>0</v>
      </c>
    </row>
    <row r="210" spans="1:28" ht="24.95" customHeight="1">
      <c r="A210" s="32" t="e">
        <f>+CONCATENATE(#REF!,"=",J210)</f>
        <v>#REF!</v>
      </c>
      <c r="B210" s="56" t="str">
        <f t="shared" si="231"/>
        <v>C-4103-1500-22-0-4103062-02</v>
      </c>
      <c r="C210" s="57" t="s">
        <v>167</v>
      </c>
      <c r="D210" s="57">
        <v>4103</v>
      </c>
      <c r="E210" s="57" t="s">
        <v>172</v>
      </c>
      <c r="F210" s="57">
        <v>22</v>
      </c>
      <c r="G210" s="57" t="s">
        <v>175</v>
      </c>
      <c r="H210" s="57" t="s">
        <v>246</v>
      </c>
      <c r="I210" s="57" t="s">
        <v>54</v>
      </c>
      <c r="J210" s="57">
        <v>11</v>
      </c>
      <c r="K210" s="58" t="s">
        <v>29</v>
      </c>
      <c r="L210" s="59" t="s">
        <v>178</v>
      </c>
      <c r="M210" s="60">
        <v>11892063088</v>
      </c>
      <c r="N210" s="60"/>
      <c r="O210" s="60"/>
      <c r="P210" s="60">
        <f>14542086198+110858384</f>
        <v>14652944582</v>
      </c>
      <c r="Q210" s="60">
        <v>0</v>
      </c>
      <c r="R210" s="61">
        <v>0</v>
      </c>
      <c r="S210" s="60">
        <f>+M210-R210+N210-O210+P210-Q210</f>
        <v>26545007670</v>
      </c>
      <c r="T210" s="60">
        <v>999407511</v>
      </c>
      <c r="U210" s="60">
        <f t="shared" ref="U210:U211" si="259">+S210-T210</f>
        <v>25545600159</v>
      </c>
      <c r="V210" s="62">
        <f t="shared" si="152"/>
        <v>3.7649546891240358E-2</v>
      </c>
      <c r="W210" s="60">
        <v>0</v>
      </c>
      <c r="X210" s="60">
        <f t="shared" ref="X210:X211" si="260">+T210-W210</f>
        <v>999407511</v>
      </c>
      <c r="Y210" s="62">
        <f t="shared" si="165"/>
        <v>1</v>
      </c>
      <c r="Z210" s="60">
        <v>0</v>
      </c>
      <c r="AA210" s="60">
        <f t="shared" ref="AA210:AA211" si="261">+W210-Z210</f>
        <v>0</v>
      </c>
      <c r="AB210" s="62">
        <f t="shared" si="255"/>
        <v>0</v>
      </c>
    </row>
    <row r="211" spans="1:28" ht="24.95" customHeight="1">
      <c r="A211" s="32" t="e">
        <f>+CONCATENATE(#REF!,"=",J211)</f>
        <v>#REF!</v>
      </c>
      <c r="B211" s="56" t="str">
        <f t="shared" si="231"/>
        <v>C-4103-1500-22-0-4103062-03</v>
      </c>
      <c r="C211" s="57" t="s">
        <v>167</v>
      </c>
      <c r="D211" s="57">
        <v>4103</v>
      </c>
      <c r="E211" s="57" t="s">
        <v>172</v>
      </c>
      <c r="F211" s="57">
        <v>22</v>
      </c>
      <c r="G211" s="57" t="s">
        <v>175</v>
      </c>
      <c r="H211" s="57" t="s">
        <v>246</v>
      </c>
      <c r="I211" s="57" t="s">
        <v>65</v>
      </c>
      <c r="J211" s="57">
        <v>11</v>
      </c>
      <c r="K211" s="58" t="s">
        <v>29</v>
      </c>
      <c r="L211" s="59" t="s">
        <v>127</v>
      </c>
      <c r="M211" s="60">
        <v>70800000000</v>
      </c>
      <c r="N211" s="60"/>
      <c r="O211" s="60"/>
      <c r="P211" s="60"/>
      <c r="Q211" s="60">
        <f>57893600000</f>
        <v>57893600000</v>
      </c>
      <c r="R211" s="61">
        <v>0</v>
      </c>
      <c r="S211" s="60">
        <f>+M211-R211+N211-O211+P211-Q211</f>
        <v>12906400000</v>
      </c>
      <c r="T211" s="60">
        <v>0</v>
      </c>
      <c r="U211" s="60">
        <f t="shared" si="259"/>
        <v>12906400000</v>
      </c>
      <c r="V211" s="62">
        <f t="shared" si="152"/>
        <v>0</v>
      </c>
      <c r="W211" s="60">
        <v>0</v>
      </c>
      <c r="X211" s="60">
        <f t="shared" si="260"/>
        <v>0</v>
      </c>
      <c r="Y211" s="62">
        <f t="shared" si="165"/>
        <v>0</v>
      </c>
      <c r="Z211" s="60">
        <v>0</v>
      </c>
      <c r="AA211" s="60">
        <f t="shared" si="261"/>
        <v>0</v>
      </c>
      <c r="AB211" s="62">
        <f t="shared" si="255"/>
        <v>0</v>
      </c>
    </row>
    <row r="212" spans="1:28" ht="36" customHeight="1">
      <c r="A212" s="32"/>
      <c r="B212" s="48" t="str">
        <f>CONCATENATE(C212,"-",D212,"-",E212,"-",F212)</f>
        <v>C-4103-1500-23</v>
      </c>
      <c r="C212" s="48" t="s">
        <v>167</v>
      </c>
      <c r="D212" s="48" t="s">
        <v>190</v>
      </c>
      <c r="E212" s="48" t="s">
        <v>172</v>
      </c>
      <c r="F212" s="48">
        <v>23</v>
      </c>
      <c r="G212" s="48"/>
      <c r="H212" s="48"/>
      <c r="I212" s="48"/>
      <c r="J212" s="49"/>
      <c r="K212" s="48"/>
      <c r="L212" s="48" t="s">
        <v>247</v>
      </c>
      <c r="M212" s="50">
        <f>+M213</f>
        <v>1716644723711</v>
      </c>
      <c r="N212" s="50">
        <f t="shared" ref="N212:U212" si="262">+N213</f>
        <v>0</v>
      </c>
      <c r="O212" s="742">
        <f t="shared" si="262"/>
        <v>0</v>
      </c>
      <c r="P212" s="50">
        <f t="shared" si="262"/>
        <v>1085187279</v>
      </c>
      <c r="Q212" s="50">
        <f t="shared" si="262"/>
        <v>1085187279</v>
      </c>
      <c r="R212" s="742">
        <f t="shared" si="262"/>
        <v>0</v>
      </c>
      <c r="S212" s="50">
        <f t="shared" si="262"/>
        <v>1716644723711</v>
      </c>
      <c r="T212" s="50">
        <f t="shared" si="262"/>
        <v>554205661880.92993</v>
      </c>
      <c r="U212" s="50">
        <f t="shared" si="262"/>
        <v>1162439061830.0701</v>
      </c>
      <c r="V212" s="51">
        <f t="shared" si="152"/>
        <v>0.32284237630886248</v>
      </c>
      <c r="W212" s="50">
        <f t="shared" ref="W212:X212" si="263">+W213</f>
        <v>519485977786.85999</v>
      </c>
      <c r="X212" s="50">
        <f t="shared" si="263"/>
        <v>34719684094.07</v>
      </c>
      <c r="Y212" s="51">
        <f t="shared" si="165"/>
        <v>6.2647653176682014E-2</v>
      </c>
      <c r="Z212" s="50">
        <f t="shared" ref="Z212:AA212" si="264">+Z213</f>
        <v>519474007786.85999</v>
      </c>
      <c r="AA212" s="50">
        <f t="shared" si="264"/>
        <v>11970000</v>
      </c>
      <c r="AB212" s="51">
        <f t="shared" si="255"/>
        <v>0.93733074834314489</v>
      </c>
    </row>
    <row r="213" spans="1:28" ht="33.75" customHeight="1">
      <c r="A213" s="32"/>
      <c r="B213" s="52" t="str">
        <f>CONCATENATE(C213,"-",D213,"-",E213,"-",F213,"-",G213,"-",H213)</f>
        <v>C-4103-1500-23-0-4103065</v>
      </c>
      <c r="C213" s="52" t="s">
        <v>167</v>
      </c>
      <c r="D213" s="52" t="s">
        <v>190</v>
      </c>
      <c r="E213" s="52" t="s">
        <v>172</v>
      </c>
      <c r="F213" s="52">
        <v>23</v>
      </c>
      <c r="G213" s="52" t="s">
        <v>175</v>
      </c>
      <c r="H213" s="52">
        <v>4103065</v>
      </c>
      <c r="I213" s="52"/>
      <c r="J213" s="53"/>
      <c r="K213" s="52" t="s">
        <v>29</v>
      </c>
      <c r="L213" s="52" t="s">
        <v>248</v>
      </c>
      <c r="M213" s="54">
        <f t="shared" ref="M213:U213" si="265">SUM(M214:M216)</f>
        <v>1716644723711</v>
      </c>
      <c r="N213" s="54">
        <f t="shared" si="265"/>
        <v>0</v>
      </c>
      <c r="O213" s="743">
        <f t="shared" si="265"/>
        <v>0</v>
      </c>
      <c r="P213" s="54">
        <f t="shared" si="265"/>
        <v>1085187279</v>
      </c>
      <c r="Q213" s="54">
        <f t="shared" si="265"/>
        <v>1085187279</v>
      </c>
      <c r="R213" s="743">
        <f t="shared" si="265"/>
        <v>0</v>
      </c>
      <c r="S213" s="54">
        <f t="shared" si="265"/>
        <v>1716644723711</v>
      </c>
      <c r="T213" s="54">
        <f t="shared" si="265"/>
        <v>554205661880.92993</v>
      </c>
      <c r="U213" s="54">
        <f t="shared" si="265"/>
        <v>1162439061830.0701</v>
      </c>
      <c r="V213" s="55">
        <f t="shared" si="152"/>
        <v>0.32284237630886248</v>
      </c>
      <c r="W213" s="54">
        <f>SUM(W214:W216)</f>
        <v>519485977786.85999</v>
      </c>
      <c r="X213" s="54">
        <f>SUM(X214:X216)</f>
        <v>34719684094.07</v>
      </c>
      <c r="Y213" s="55">
        <f t="shared" si="165"/>
        <v>6.2647653176682014E-2</v>
      </c>
      <c r="Z213" s="54">
        <f>SUM(Z214:Z216)</f>
        <v>519474007786.85999</v>
      </c>
      <c r="AA213" s="54">
        <f>SUM(AA214:AA216)</f>
        <v>11970000</v>
      </c>
      <c r="AB213" s="55">
        <f t="shared" si="255"/>
        <v>0.93733074834314489</v>
      </c>
    </row>
    <row r="214" spans="1:28" ht="24.95" customHeight="1">
      <c r="A214" s="32"/>
      <c r="B214" s="56" t="str">
        <f t="shared" ref="B214:B216" si="266">CONCATENATE(C214,"-",D214,"-",E214,"-",F214,"-",G214,"-",H214,"-",I214)</f>
        <v>C-4103-1500-23-0-4103065-02</v>
      </c>
      <c r="C214" s="57" t="s">
        <v>167</v>
      </c>
      <c r="D214" s="57" t="s">
        <v>190</v>
      </c>
      <c r="E214" s="57" t="s">
        <v>172</v>
      </c>
      <c r="F214" s="57">
        <v>23</v>
      </c>
      <c r="G214" s="57" t="s">
        <v>175</v>
      </c>
      <c r="H214" s="57">
        <v>4103065</v>
      </c>
      <c r="I214" s="57" t="s">
        <v>54</v>
      </c>
      <c r="J214" s="57">
        <v>10</v>
      </c>
      <c r="K214" s="58" t="s">
        <v>29</v>
      </c>
      <c r="L214" s="59" t="s">
        <v>178</v>
      </c>
      <c r="M214" s="60">
        <v>58404083711</v>
      </c>
      <c r="N214" s="60"/>
      <c r="O214" s="60"/>
      <c r="P214" s="60">
        <f>1085187279</f>
        <v>1085187279</v>
      </c>
      <c r="Q214" s="60"/>
      <c r="R214" s="61">
        <v>0</v>
      </c>
      <c r="S214" s="60">
        <f>+M214+N214-O214+P214-Q214-R214</f>
        <v>59489270990</v>
      </c>
      <c r="T214" s="60">
        <v>26390886880.93</v>
      </c>
      <c r="U214" s="60">
        <f>+S214-T214</f>
        <v>33098384109.07</v>
      </c>
      <c r="V214" s="62">
        <f t="shared" si="152"/>
        <v>0.44362431143871711</v>
      </c>
      <c r="W214" s="60">
        <v>1271777786.8599999</v>
      </c>
      <c r="X214" s="60">
        <f>+T214-W214</f>
        <v>25119109094.07</v>
      </c>
      <c r="Y214" s="62">
        <f t="shared" si="165"/>
        <v>0.95180996407593321</v>
      </c>
      <c r="Z214" s="60">
        <v>1259807786.8599999</v>
      </c>
      <c r="AA214" s="60">
        <f>+W214-Z214</f>
        <v>11970000</v>
      </c>
      <c r="AB214" s="62">
        <f t="shared" si="255"/>
        <v>4.7736470265057077E-2</v>
      </c>
    </row>
    <row r="215" spans="1:28" ht="24.95" customHeight="1">
      <c r="A215" s="32"/>
      <c r="B215" s="56" t="str">
        <f t="shared" si="266"/>
        <v>C-4103-1500-23-0-4103065-03</v>
      </c>
      <c r="C215" s="57" t="s">
        <v>167</v>
      </c>
      <c r="D215" s="57" t="s">
        <v>190</v>
      </c>
      <c r="E215" s="57" t="s">
        <v>172</v>
      </c>
      <c r="F215" s="57">
        <v>23</v>
      </c>
      <c r="G215" s="57" t="s">
        <v>175</v>
      </c>
      <c r="H215" s="57">
        <v>4103065</v>
      </c>
      <c r="I215" s="57" t="s">
        <v>65</v>
      </c>
      <c r="J215" s="57">
        <v>10</v>
      </c>
      <c r="K215" s="58" t="s">
        <v>29</v>
      </c>
      <c r="L215" s="59" t="s">
        <v>127</v>
      </c>
      <c r="M215" s="60">
        <v>794540092896</v>
      </c>
      <c r="N215" s="60"/>
      <c r="O215" s="60"/>
      <c r="P215" s="60"/>
      <c r="Q215" s="60">
        <f>1085187279</f>
        <v>1085187279</v>
      </c>
      <c r="R215" s="61">
        <v>0</v>
      </c>
      <c r="S215" s="60">
        <f>+M215+N215-O215+P215-Q215-R215</f>
        <v>793454905617</v>
      </c>
      <c r="T215" s="60">
        <v>292260080335</v>
      </c>
      <c r="U215" s="60">
        <f>+S215-T215</f>
        <v>501194825282</v>
      </c>
      <c r="V215" s="62">
        <f t="shared" si="152"/>
        <v>0.3683386141619921</v>
      </c>
      <c r="W215" s="60">
        <v>282659505335</v>
      </c>
      <c r="X215" s="60">
        <f>+T215-W215</f>
        <v>9600575000</v>
      </c>
      <c r="Y215" s="62">
        <f t="shared" si="165"/>
        <v>3.2849422983102734E-2</v>
      </c>
      <c r="Z215" s="60">
        <v>282659505335</v>
      </c>
      <c r="AA215" s="60">
        <f>+W215-Z215</f>
        <v>0</v>
      </c>
      <c r="AB215" s="62">
        <f t="shared" si="255"/>
        <v>0.96715057701689722</v>
      </c>
    </row>
    <row r="216" spans="1:28" ht="24.95" customHeight="1">
      <c r="A216" s="32"/>
      <c r="B216" s="56" t="str">
        <f t="shared" si="266"/>
        <v>C-4103-1500-23-0-4103065-03</v>
      </c>
      <c r="C216" s="57" t="s">
        <v>167</v>
      </c>
      <c r="D216" s="57" t="s">
        <v>190</v>
      </c>
      <c r="E216" s="57" t="s">
        <v>172</v>
      </c>
      <c r="F216" s="57">
        <v>23</v>
      </c>
      <c r="G216" s="57" t="s">
        <v>175</v>
      </c>
      <c r="H216" s="57">
        <v>4103065</v>
      </c>
      <c r="I216" s="57" t="s">
        <v>65</v>
      </c>
      <c r="J216" s="57">
        <v>16</v>
      </c>
      <c r="K216" s="58" t="s">
        <v>156</v>
      </c>
      <c r="L216" s="59" t="s">
        <v>127</v>
      </c>
      <c r="M216" s="60">
        <v>863700547104</v>
      </c>
      <c r="N216" s="60"/>
      <c r="O216" s="60"/>
      <c r="P216" s="60"/>
      <c r="Q216" s="60"/>
      <c r="R216" s="61">
        <v>0</v>
      </c>
      <c r="S216" s="60">
        <f>+M216+N216-O216+P216-Q216-R216</f>
        <v>863700547104</v>
      </c>
      <c r="T216" s="60">
        <v>235554694665</v>
      </c>
      <c r="U216" s="60">
        <f>+S216-T216</f>
        <v>628145852439</v>
      </c>
      <c r="V216" s="62">
        <f t="shared" si="152"/>
        <v>0.27272727272758851</v>
      </c>
      <c r="W216" s="60">
        <v>235554694665</v>
      </c>
      <c r="X216" s="60">
        <f>+T216-W216</f>
        <v>0</v>
      </c>
      <c r="Y216" s="62">
        <f t="shared" si="165"/>
        <v>0</v>
      </c>
      <c r="Z216" s="60">
        <v>235554694665</v>
      </c>
      <c r="AA216" s="60">
        <f>+W216-Z216</f>
        <v>0</v>
      </c>
      <c r="AB216" s="62">
        <f t="shared" si="255"/>
        <v>1</v>
      </c>
    </row>
    <row r="217" spans="1:28" ht="36" customHeight="1">
      <c r="A217" s="32" t="e">
        <f>+CONCATENATE(#REF!,"=",J217)</f>
        <v>#REF!</v>
      </c>
      <c r="B217" s="48" t="str">
        <f>CONCATENATE(C217,"-",D217,"-",E217,"-",F217)</f>
        <v>C-4103-1500-25</v>
      </c>
      <c r="C217" s="48" t="s">
        <v>167</v>
      </c>
      <c r="D217" s="48" t="s">
        <v>190</v>
      </c>
      <c r="E217" s="48" t="s">
        <v>172</v>
      </c>
      <c r="F217" s="48">
        <v>25</v>
      </c>
      <c r="G217" s="48"/>
      <c r="H217" s="48"/>
      <c r="I217" s="48"/>
      <c r="J217" s="49"/>
      <c r="K217" s="48"/>
      <c r="L217" s="48" t="s">
        <v>825</v>
      </c>
      <c r="M217" s="50">
        <f>+M218+M220</f>
        <v>5500000000</v>
      </c>
      <c r="N217" s="50">
        <f t="shared" ref="N217:U217" si="267">+N218+N220</f>
        <v>0</v>
      </c>
      <c r="O217" s="50">
        <f t="shared" si="267"/>
        <v>0</v>
      </c>
      <c r="P217" s="50">
        <f t="shared" si="267"/>
        <v>0</v>
      </c>
      <c r="Q217" s="50">
        <f t="shared" si="267"/>
        <v>0</v>
      </c>
      <c r="R217" s="50">
        <f t="shared" si="267"/>
        <v>0</v>
      </c>
      <c r="S217" s="50">
        <f t="shared" si="267"/>
        <v>5500000000</v>
      </c>
      <c r="T217" s="50">
        <f t="shared" si="267"/>
        <v>0</v>
      </c>
      <c r="U217" s="50">
        <f t="shared" si="267"/>
        <v>5500000000</v>
      </c>
      <c r="V217" s="51">
        <f t="shared" si="152"/>
        <v>0</v>
      </c>
      <c r="W217" s="50">
        <f t="shared" ref="W217:X217" si="268">+W218+W220</f>
        <v>0</v>
      </c>
      <c r="X217" s="50">
        <f t="shared" si="268"/>
        <v>0</v>
      </c>
      <c r="Y217" s="51">
        <f t="shared" si="165"/>
        <v>0</v>
      </c>
      <c r="Z217" s="50">
        <f t="shared" ref="Z217:AA217" si="269">+Z218+Z220</f>
        <v>0</v>
      </c>
      <c r="AA217" s="50">
        <f t="shared" si="269"/>
        <v>0</v>
      </c>
      <c r="AB217" s="51">
        <f t="shared" si="255"/>
        <v>0</v>
      </c>
    </row>
    <row r="218" spans="1:28" ht="33.75" customHeight="1">
      <c r="A218" s="32" t="e">
        <f>+CONCATENATE(#REF!,"=",J218)</f>
        <v>#REF!</v>
      </c>
      <c r="B218" s="52" t="str">
        <f>CONCATENATE(C218,"-",D218,"-",E218,"-",F218,"-",G218,"-",H218)</f>
        <v>C-4103-1500-25-0-4103050</v>
      </c>
      <c r="C218" s="52" t="s">
        <v>167</v>
      </c>
      <c r="D218" s="52" t="s">
        <v>190</v>
      </c>
      <c r="E218" s="52" t="s">
        <v>172</v>
      </c>
      <c r="F218" s="52">
        <v>25</v>
      </c>
      <c r="G218" s="52" t="s">
        <v>175</v>
      </c>
      <c r="H218" s="52">
        <v>4103050</v>
      </c>
      <c r="I218" s="52"/>
      <c r="J218" s="53"/>
      <c r="K218" s="52" t="s">
        <v>29</v>
      </c>
      <c r="L218" s="52" t="s">
        <v>269</v>
      </c>
      <c r="M218" s="54">
        <f t="shared" ref="M218:U218" si="270">SUM(M219:M219)</f>
        <v>1283500000</v>
      </c>
      <c r="N218" s="54">
        <f t="shared" si="270"/>
        <v>0</v>
      </c>
      <c r="O218" s="743">
        <f t="shared" si="270"/>
        <v>0</v>
      </c>
      <c r="P218" s="54">
        <f t="shared" si="270"/>
        <v>0</v>
      </c>
      <c r="Q218" s="54">
        <f t="shared" si="270"/>
        <v>0</v>
      </c>
      <c r="R218" s="743">
        <f t="shared" si="270"/>
        <v>0</v>
      </c>
      <c r="S218" s="54">
        <f t="shared" si="270"/>
        <v>1283500000</v>
      </c>
      <c r="T218" s="54">
        <f t="shared" si="270"/>
        <v>0</v>
      </c>
      <c r="U218" s="54">
        <f t="shared" si="270"/>
        <v>1283500000</v>
      </c>
      <c r="V218" s="55">
        <f t="shared" si="152"/>
        <v>0</v>
      </c>
      <c r="W218" s="54">
        <f>SUM(W219:W219)</f>
        <v>0</v>
      </c>
      <c r="X218" s="54">
        <f>SUM(X219:X219)</f>
        <v>0</v>
      </c>
      <c r="Y218" s="55">
        <f t="shared" si="165"/>
        <v>0</v>
      </c>
      <c r="Z218" s="54">
        <f>SUM(Z219:Z219)</f>
        <v>0</v>
      </c>
      <c r="AA218" s="54">
        <f>SUM(AA219:AA219)</f>
        <v>0</v>
      </c>
      <c r="AB218" s="55">
        <f t="shared" si="255"/>
        <v>0</v>
      </c>
    </row>
    <row r="219" spans="1:28" ht="24.95" customHeight="1">
      <c r="A219" s="32" t="e">
        <f>+CONCATENATE(#REF!,"=",J219)</f>
        <v>#REF!</v>
      </c>
      <c r="B219" s="56" t="str">
        <f t="shared" ref="B219" si="271">CONCATENATE(C219,"-",D219,"-",E219,"-",F219,"-",G219,"-",H219,"-",I219)</f>
        <v>C-4103-1500-25-0-4103050-02</v>
      </c>
      <c r="C219" s="57" t="s">
        <v>167</v>
      </c>
      <c r="D219" s="57" t="s">
        <v>190</v>
      </c>
      <c r="E219" s="57" t="s">
        <v>172</v>
      </c>
      <c r="F219" s="57">
        <v>25</v>
      </c>
      <c r="G219" s="57" t="s">
        <v>175</v>
      </c>
      <c r="H219" s="57">
        <v>4103050</v>
      </c>
      <c r="I219" s="57" t="s">
        <v>54</v>
      </c>
      <c r="J219" s="57">
        <v>11</v>
      </c>
      <c r="K219" s="58" t="s">
        <v>29</v>
      </c>
      <c r="L219" s="59" t="s">
        <v>178</v>
      </c>
      <c r="M219" s="60">
        <v>1283500000</v>
      </c>
      <c r="N219" s="60"/>
      <c r="O219" s="60"/>
      <c r="P219" s="60"/>
      <c r="Q219" s="60"/>
      <c r="R219" s="61">
        <v>0</v>
      </c>
      <c r="S219" s="60">
        <f>+M219+N219-O219+P219-Q219-R219</f>
        <v>1283500000</v>
      </c>
      <c r="T219" s="60">
        <v>0</v>
      </c>
      <c r="U219" s="60">
        <f>+S219-T219</f>
        <v>1283500000</v>
      </c>
      <c r="V219" s="62">
        <f t="shared" si="152"/>
        <v>0</v>
      </c>
      <c r="W219" s="60">
        <v>0</v>
      </c>
      <c r="X219" s="60">
        <f>+T219-W219</f>
        <v>0</v>
      </c>
      <c r="Y219" s="62">
        <f t="shared" si="165"/>
        <v>0</v>
      </c>
      <c r="Z219" s="60">
        <v>0</v>
      </c>
      <c r="AA219" s="60">
        <f>+W219-Z219</f>
        <v>0</v>
      </c>
      <c r="AB219" s="62">
        <f t="shared" si="255"/>
        <v>0</v>
      </c>
    </row>
    <row r="220" spans="1:28" ht="33.75" customHeight="1">
      <c r="A220" s="32" t="e">
        <f>+CONCATENATE(#REF!,"=",J220)</f>
        <v>#REF!</v>
      </c>
      <c r="B220" s="52" t="str">
        <f>CONCATENATE(C220,"-",D220,"-",E220,"-",F220,"-",G220,"-",H220)</f>
        <v>C-4103-1500-25-0-4103057</v>
      </c>
      <c r="C220" s="52" t="s">
        <v>167</v>
      </c>
      <c r="D220" s="52" t="s">
        <v>190</v>
      </c>
      <c r="E220" s="52" t="s">
        <v>172</v>
      </c>
      <c r="F220" s="52">
        <v>25</v>
      </c>
      <c r="G220" s="52" t="s">
        <v>175</v>
      </c>
      <c r="H220" s="52">
        <v>4103057</v>
      </c>
      <c r="I220" s="52"/>
      <c r="J220" s="53"/>
      <c r="K220" s="52" t="s">
        <v>29</v>
      </c>
      <c r="L220" s="52" t="s">
        <v>222</v>
      </c>
      <c r="M220" s="54">
        <f t="shared" ref="M220:U220" si="272">SUM(M221:M222)</f>
        <v>4216500000</v>
      </c>
      <c r="N220" s="54">
        <f t="shared" si="272"/>
        <v>0</v>
      </c>
      <c r="O220" s="743">
        <f t="shared" si="272"/>
        <v>0</v>
      </c>
      <c r="P220" s="54">
        <f t="shared" si="272"/>
        <v>0</v>
      </c>
      <c r="Q220" s="54">
        <f t="shared" si="272"/>
        <v>0</v>
      </c>
      <c r="R220" s="743">
        <f t="shared" si="272"/>
        <v>0</v>
      </c>
      <c r="S220" s="54">
        <f t="shared" si="272"/>
        <v>4216500000</v>
      </c>
      <c r="T220" s="54">
        <f t="shared" si="272"/>
        <v>0</v>
      </c>
      <c r="U220" s="54">
        <f t="shared" si="272"/>
        <v>4216500000</v>
      </c>
      <c r="V220" s="55">
        <f t="shared" si="152"/>
        <v>0</v>
      </c>
      <c r="W220" s="54">
        <f>SUM(W221:W222)</f>
        <v>0</v>
      </c>
      <c r="X220" s="54">
        <f>SUM(X221:X222)</f>
        <v>0</v>
      </c>
      <c r="Y220" s="55">
        <f t="shared" si="165"/>
        <v>0</v>
      </c>
      <c r="Z220" s="54">
        <f>SUM(Z221:Z222)</f>
        <v>0</v>
      </c>
      <c r="AA220" s="54">
        <f>SUM(AA221:AA222)</f>
        <v>0</v>
      </c>
      <c r="AB220" s="55">
        <f t="shared" si="255"/>
        <v>0</v>
      </c>
    </row>
    <row r="221" spans="1:28" ht="24.95" customHeight="1">
      <c r="A221" s="32" t="e">
        <f>+CONCATENATE(#REF!,"=",J221)</f>
        <v>#REF!</v>
      </c>
      <c r="B221" s="56" t="str">
        <f t="shared" ref="B221:B222" si="273">CONCATENATE(C221,"-",D221,"-",E221,"-",F221,"-",G221,"-",H221,"-",I221)</f>
        <v>C-4103-1500-25-0-4103057-02</v>
      </c>
      <c r="C221" s="57" t="s">
        <v>167</v>
      </c>
      <c r="D221" s="57" t="s">
        <v>190</v>
      </c>
      <c r="E221" s="57" t="s">
        <v>172</v>
      </c>
      <c r="F221" s="57">
        <v>25</v>
      </c>
      <c r="G221" s="57" t="s">
        <v>175</v>
      </c>
      <c r="H221" s="57">
        <v>4103057</v>
      </c>
      <c r="I221" s="57" t="s">
        <v>54</v>
      </c>
      <c r="J221" s="57">
        <v>11</v>
      </c>
      <c r="K221" s="58" t="s">
        <v>29</v>
      </c>
      <c r="L221" s="59" t="s">
        <v>178</v>
      </c>
      <c r="M221" s="60">
        <v>315000000</v>
      </c>
      <c r="N221" s="60"/>
      <c r="O221" s="60"/>
      <c r="P221" s="60"/>
      <c r="Q221" s="60"/>
      <c r="R221" s="61">
        <v>0</v>
      </c>
      <c r="S221" s="60">
        <f>+M221+N221-O221+P221-Q221-R221</f>
        <v>315000000</v>
      </c>
      <c r="T221" s="60">
        <v>0</v>
      </c>
      <c r="U221" s="60">
        <f>+S221-T221</f>
        <v>315000000</v>
      </c>
      <c r="V221" s="62">
        <f t="shared" si="152"/>
        <v>0</v>
      </c>
      <c r="W221" s="60">
        <v>0</v>
      </c>
      <c r="X221" s="60">
        <f>+T221-W221</f>
        <v>0</v>
      </c>
      <c r="Y221" s="62">
        <f t="shared" si="165"/>
        <v>0</v>
      </c>
      <c r="Z221" s="60">
        <v>0</v>
      </c>
      <c r="AA221" s="60">
        <f>+W221-Z221</f>
        <v>0</v>
      </c>
      <c r="AB221" s="62">
        <f t="shared" si="255"/>
        <v>0</v>
      </c>
    </row>
    <row r="222" spans="1:28" ht="24.95" customHeight="1">
      <c r="A222" s="32" t="e">
        <f>+CONCATENATE(#REF!,"=",J222)</f>
        <v>#REF!</v>
      </c>
      <c r="B222" s="56" t="str">
        <f t="shared" si="273"/>
        <v>C-4103-1500-25-0-4103057-03</v>
      </c>
      <c r="C222" s="57" t="s">
        <v>167</v>
      </c>
      <c r="D222" s="57" t="s">
        <v>190</v>
      </c>
      <c r="E222" s="57" t="s">
        <v>172</v>
      </c>
      <c r="F222" s="57">
        <v>25</v>
      </c>
      <c r="G222" s="57" t="s">
        <v>175</v>
      </c>
      <c r="H222" s="57">
        <v>4103057</v>
      </c>
      <c r="I222" s="57" t="s">
        <v>65</v>
      </c>
      <c r="J222" s="57">
        <v>11</v>
      </c>
      <c r="K222" s="58" t="s">
        <v>29</v>
      </c>
      <c r="L222" s="59" t="s">
        <v>127</v>
      </c>
      <c r="M222" s="60">
        <v>3901500000</v>
      </c>
      <c r="N222" s="60"/>
      <c r="O222" s="60"/>
      <c r="P222" s="60"/>
      <c r="Q222" s="60"/>
      <c r="R222" s="61">
        <v>0</v>
      </c>
      <c r="S222" s="60">
        <f>+M222+N222-O222+P222-Q222-R222</f>
        <v>3901500000</v>
      </c>
      <c r="T222" s="60">
        <v>0</v>
      </c>
      <c r="U222" s="60">
        <f>+S222-T222</f>
        <v>3901500000</v>
      </c>
      <c r="V222" s="62">
        <f t="shared" si="152"/>
        <v>0</v>
      </c>
      <c r="W222" s="60">
        <v>0</v>
      </c>
      <c r="X222" s="60">
        <f>+T222-W222</f>
        <v>0</v>
      </c>
      <c r="Y222" s="62">
        <f t="shared" si="165"/>
        <v>0</v>
      </c>
      <c r="Z222" s="60">
        <v>0</v>
      </c>
      <c r="AA222" s="60">
        <f>+W222-Z222</f>
        <v>0</v>
      </c>
      <c r="AB222" s="62">
        <f t="shared" si="255"/>
        <v>0</v>
      </c>
    </row>
    <row r="223" spans="1:28" ht="24" customHeight="1">
      <c r="A223" s="32" t="e">
        <f>+CONCATENATE(#REF!,"=",J223)</f>
        <v>#REF!</v>
      </c>
      <c r="B223" s="38" t="str">
        <f>CONCATENATE(C223,"-",D223)</f>
        <v>C-4199</v>
      </c>
      <c r="C223" s="39" t="s">
        <v>167</v>
      </c>
      <c r="D223" s="39">
        <v>4199</v>
      </c>
      <c r="E223" s="39"/>
      <c r="F223" s="39"/>
      <c r="G223" s="39"/>
      <c r="H223" s="39"/>
      <c r="I223" s="39"/>
      <c r="J223" s="39"/>
      <c r="K223" s="40"/>
      <c r="L223" s="38" t="s">
        <v>250</v>
      </c>
      <c r="M223" s="41">
        <f>+M224</f>
        <v>6000000000</v>
      </c>
      <c r="N223" s="41">
        <f t="shared" ref="N223:AA226" si="274">+N224</f>
        <v>0</v>
      </c>
      <c r="O223" s="740">
        <f t="shared" si="274"/>
        <v>0</v>
      </c>
      <c r="P223" s="740">
        <f t="shared" si="274"/>
        <v>0</v>
      </c>
      <c r="Q223" s="740">
        <f t="shared" si="274"/>
        <v>0</v>
      </c>
      <c r="R223" s="740">
        <f t="shared" si="274"/>
        <v>0</v>
      </c>
      <c r="S223" s="41">
        <f t="shared" si="274"/>
        <v>6000000000</v>
      </c>
      <c r="T223" s="41">
        <f t="shared" si="274"/>
        <v>910189904.15999997</v>
      </c>
      <c r="U223" s="41">
        <f t="shared" si="274"/>
        <v>5089810095.8400002</v>
      </c>
      <c r="V223" s="42">
        <f t="shared" si="152"/>
        <v>0.15169831736</v>
      </c>
      <c r="W223" s="41">
        <f t="shared" si="274"/>
        <v>0</v>
      </c>
      <c r="X223" s="41">
        <f t="shared" si="274"/>
        <v>910189904.15999997</v>
      </c>
      <c r="Y223" s="42">
        <f t="shared" si="165"/>
        <v>1</v>
      </c>
      <c r="Z223" s="41">
        <f t="shared" si="274"/>
        <v>0</v>
      </c>
      <c r="AA223" s="41">
        <f t="shared" si="274"/>
        <v>0</v>
      </c>
      <c r="AB223" s="42">
        <f t="shared" si="255"/>
        <v>0</v>
      </c>
    </row>
    <row r="224" spans="1:28" ht="24" customHeight="1">
      <c r="A224" s="32" t="e">
        <f>+CONCATENATE(#REF!,"=",J224)</f>
        <v>#REF!</v>
      </c>
      <c r="B224" s="43" t="str">
        <f>CONCATENATE(C224,"-",D224,"-",E224)</f>
        <v>C-4199-1500</v>
      </c>
      <c r="C224" s="44" t="s">
        <v>167</v>
      </c>
      <c r="D224" s="44">
        <v>4199</v>
      </c>
      <c r="E224" s="44">
        <v>1500</v>
      </c>
      <c r="F224" s="44"/>
      <c r="G224" s="44"/>
      <c r="H224" s="44"/>
      <c r="I224" s="44"/>
      <c r="J224" s="44"/>
      <c r="K224" s="45"/>
      <c r="L224" s="43" t="s">
        <v>170</v>
      </c>
      <c r="M224" s="46">
        <f>+M225</f>
        <v>6000000000</v>
      </c>
      <c r="N224" s="46">
        <f t="shared" si="274"/>
        <v>0</v>
      </c>
      <c r="O224" s="741">
        <f t="shared" si="274"/>
        <v>0</v>
      </c>
      <c r="P224" s="741">
        <f t="shared" si="274"/>
        <v>0</v>
      </c>
      <c r="Q224" s="741">
        <f t="shared" si="274"/>
        <v>0</v>
      </c>
      <c r="R224" s="741">
        <f t="shared" si="274"/>
        <v>0</v>
      </c>
      <c r="S224" s="46">
        <f t="shared" si="274"/>
        <v>6000000000</v>
      </c>
      <c r="T224" s="46">
        <f t="shared" si="274"/>
        <v>910189904.15999997</v>
      </c>
      <c r="U224" s="46">
        <f t="shared" si="274"/>
        <v>5089810095.8400002</v>
      </c>
      <c r="V224" s="47">
        <f t="shared" si="152"/>
        <v>0.15169831736</v>
      </c>
      <c r="W224" s="46">
        <f t="shared" si="274"/>
        <v>0</v>
      </c>
      <c r="X224" s="46">
        <f t="shared" si="274"/>
        <v>910189904.15999997</v>
      </c>
      <c r="Y224" s="47">
        <f t="shared" si="165"/>
        <v>1</v>
      </c>
      <c r="Z224" s="46">
        <f t="shared" si="274"/>
        <v>0</v>
      </c>
      <c r="AA224" s="46">
        <f t="shared" si="274"/>
        <v>0</v>
      </c>
      <c r="AB224" s="47">
        <f t="shared" si="255"/>
        <v>0</v>
      </c>
    </row>
    <row r="225" spans="1:28" ht="39" customHeight="1">
      <c r="A225" s="32" t="e">
        <f>+CONCATENATE(#REF!,"=",J225)</f>
        <v>#REF!</v>
      </c>
      <c r="B225" s="48" t="str">
        <f>CONCATENATE(C225,"-",D225,"-",E225,"-",F225)</f>
        <v>C-4199-1500-2</v>
      </c>
      <c r="C225" s="48" t="s">
        <v>167</v>
      </c>
      <c r="D225" s="48" t="s">
        <v>251</v>
      </c>
      <c r="E225" s="48" t="s">
        <v>172</v>
      </c>
      <c r="F225" s="48" t="s">
        <v>252</v>
      </c>
      <c r="G225" s="48"/>
      <c r="H225" s="48"/>
      <c r="I225" s="48"/>
      <c r="J225" s="49"/>
      <c r="K225" s="48"/>
      <c r="L225" s="48" t="s">
        <v>253</v>
      </c>
      <c r="M225" s="50">
        <f>+M226</f>
        <v>6000000000</v>
      </c>
      <c r="N225" s="50">
        <f t="shared" si="274"/>
        <v>0</v>
      </c>
      <c r="O225" s="742">
        <f t="shared" si="274"/>
        <v>0</v>
      </c>
      <c r="P225" s="742">
        <f t="shared" si="274"/>
        <v>0</v>
      </c>
      <c r="Q225" s="742">
        <f t="shared" si="274"/>
        <v>0</v>
      </c>
      <c r="R225" s="742">
        <f t="shared" si="274"/>
        <v>0</v>
      </c>
      <c r="S225" s="50">
        <f t="shared" si="274"/>
        <v>6000000000</v>
      </c>
      <c r="T225" s="50">
        <f t="shared" si="274"/>
        <v>910189904.15999997</v>
      </c>
      <c r="U225" s="50">
        <f t="shared" si="274"/>
        <v>5089810095.8400002</v>
      </c>
      <c r="V225" s="51">
        <f t="shared" si="152"/>
        <v>0.15169831736</v>
      </c>
      <c r="W225" s="50">
        <f t="shared" si="274"/>
        <v>0</v>
      </c>
      <c r="X225" s="50">
        <f t="shared" si="274"/>
        <v>910189904.15999997</v>
      </c>
      <c r="Y225" s="51">
        <f t="shared" si="165"/>
        <v>1</v>
      </c>
      <c r="Z225" s="50">
        <f t="shared" si="274"/>
        <v>0</v>
      </c>
      <c r="AA225" s="50">
        <f t="shared" si="274"/>
        <v>0</v>
      </c>
      <c r="AB225" s="51">
        <f t="shared" si="255"/>
        <v>0</v>
      </c>
    </row>
    <row r="226" spans="1:28" ht="24" customHeight="1">
      <c r="A226" s="32" t="e">
        <f>+CONCATENATE(#REF!,"=",J226)</f>
        <v>#REF!</v>
      </c>
      <c r="B226" s="52" t="str">
        <f>CONCATENATE(C226,"-",D226,"-",E226,"-",F226,"-",G226,"-",H226)</f>
        <v>C-4199-1500-2-0-4199062</v>
      </c>
      <c r="C226" s="52" t="s">
        <v>167</v>
      </c>
      <c r="D226" s="52" t="s">
        <v>251</v>
      </c>
      <c r="E226" s="52" t="s">
        <v>172</v>
      </c>
      <c r="F226" s="52" t="s">
        <v>252</v>
      </c>
      <c r="G226" s="52" t="s">
        <v>175</v>
      </c>
      <c r="H226" s="52" t="s">
        <v>254</v>
      </c>
      <c r="I226" s="52"/>
      <c r="J226" s="53"/>
      <c r="K226" s="52" t="s">
        <v>29</v>
      </c>
      <c r="L226" s="52" t="s">
        <v>255</v>
      </c>
      <c r="M226" s="54">
        <f>+M227</f>
        <v>6000000000</v>
      </c>
      <c r="N226" s="54">
        <f t="shared" si="274"/>
        <v>0</v>
      </c>
      <c r="O226" s="743">
        <f t="shared" si="274"/>
        <v>0</v>
      </c>
      <c r="P226" s="743">
        <f t="shared" si="274"/>
        <v>0</v>
      </c>
      <c r="Q226" s="743">
        <f t="shared" si="274"/>
        <v>0</v>
      </c>
      <c r="R226" s="743">
        <f t="shared" si="274"/>
        <v>0</v>
      </c>
      <c r="S226" s="54">
        <f t="shared" si="274"/>
        <v>6000000000</v>
      </c>
      <c r="T226" s="54">
        <f t="shared" si="274"/>
        <v>910189904.15999997</v>
      </c>
      <c r="U226" s="54">
        <f t="shared" si="274"/>
        <v>5089810095.8400002</v>
      </c>
      <c r="V226" s="55">
        <f t="shared" si="152"/>
        <v>0.15169831736</v>
      </c>
      <c r="W226" s="54">
        <f t="shared" si="274"/>
        <v>0</v>
      </c>
      <c r="X226" s="54">
        <f t="shared" si="274"/>
        <v>910189904.15999997</v>
      </c>
      <c r="Y226" s="55">
        <f t="shared" si="165"/>
        <v>1</v>
      </c>
      <c r="Z226" s="54">
        <f t="shared" si="274"/>
        <v>0</v>
      </c>
      <c r="AA226" s="54">
        <f t="shared" si="274"/>
        <v>0</v>
      </c>
      <c r="AB226" s="55">
        <f t="shared" si="255"/>
        <v>0</v>
      </c>
    </row>
    <row r="227" spans="1:28" ht="24.95" customHeight="1">
      <c r="A227" s="32" t="e">
        <f>+CONCATENATE(#REF!,"=",J227)</f>
        <v>#REF!</v>
      </c>
      <c r="B227" s="56" t="str">
        <f t="shared" ref="B227" si="275">CONCATENATE(C227,"-",D227,"-",E227,"-",F227,"-",G227,"-",H227,"-",I227)</f>
        <v>C-4199-1500-2-0-4199062-02</v>
      </c>
      <c r="C227" s="57" t="s">
        <v>167</v>
      </c>
      <c r="D227" s="57" t="s">
        <v>251</v>
      </c>
      <c r="E227" s="57" t="s">
        <v>172</v>
      </c>
      <c r="F227" s="57" t="s">
        <v>252</v>
      </c>
      <c r="G227" s="57" t="s">
        <v>175</v>
      </c>
      <c r="H227" s="57" t="s">
        <v>254</v>
      </c>
      <c r="I227" s="57" t="s">
        <v>54</v>
      </c>
      <c r="J227" s="57">
        <v>11</v>
      </c>
      <c r="K227" s="58" t="s">
        <v>29</v>
      </c>
      <c r="L227" s="59" t="s">
        <v>178</v>
      </c>
      <c r="M227" s="60">
        <v>6000000000</v>
      </c>
      <c r="N227" s="60">
        <v>0</v>
      </c>
      <c r="O227" s="60">
        <v>0</v>
      </c>
      <c r="P227" s="60">
        <v>0</v>
      </c>
      <c r="Q227" s="60">
        <v>0</v>
      </c>
      <c r="R227" s="61">
        <v>0</v>
      </c>
      <c r="S227" s="60">
        <f>+M227-R227+N227-O227+P227-Q227</f>
        <v>6000000000</v>
      </c>
      <c r="T227" s="60">
        <v>910189904.15999997</v>
      </c>
      <c r="U227" s="60">
        <f t="shared" ref="U227" si="276">+S227-T227</f>
        <v>5089810095.8400002</v>
      </c>
      <c r="V227" s="62">
        <f t="shared" si="152"/>
        <v>0.15169831736</v>
      </c>
      <c r="W227" s="60">
        <v>0</v>
      </c>
      <c r="X227" s="60">
        <f t="shared" ref="X227" si="277">+T227-W227</f>
        <v>910189904.15999997</v>
      </c>
      <c r="Y227" s="62">
        <f t="shared" si="165"/>
        <v>1</v>
      </c>
      <c r="Z227" s="60">
        <v>0</v>
      </c>
      <c r="AA227" s="60">
        <f t="shared" ref="AA227" si="278">+W227-Z227</f>
        <v>0</v>
      </c>
      <c r="AB227" s="62">
        <f t="shared" si="255"/>
        <v>0</v>
      </c>
    </row>
    <row r="228" spans="1:28" ht="35.1" customHeight="1">
      <c r="A228" s="32"/>
      <c r="B228" s="33"/>
      <c r="C228" s="34"/>
      <c r="D228" s="35"/>
      <c r="E228" s="35"/>
      <c r="F228" s="35"/>
      <c r="G228" s="35"/>
      <c r="H228" s="35"/>
      <c r="I228" s="35"/>
      <c r="J228" s="34"/>
      <c r="K228" s="35"/>
      <c r="L228" s="33" t="s">
        <v>256</v>
      </c>
      <c r="M228" s="36">
        <f t="shared" ref="M228:U228" si="279">+M8+M118+M114</f>
        <v>6684523821744</v>
      </c>
      <c r="N228" s="36">
        <f t="shared" si="279"/>
        <v>0</v>
      </c>
      <c r="O228" s="36">
        <f t="shared" si="279"/>
        <v>0</v>
      </c>
      <c r="P228" s="36">
        <f t="shared" si="279"/>
        <v>117345025353.39999</v>
      </c>
      <c r="Q228" s="36">
        <f t="shared" si="279"/>
        <v>117345025353.39999</v>
      </c>
      <c r="R228" s="36">
        <f t="shared" si="279"/>
        <v>5880000000</v>
      </c>
      <c r="S228" s="36">
        <f t="shared" si="279"/>
        <v>6678643821744</v>
      </c>
      <c r="T228" s="36">
        <f t="shared" si="279"/>
        <v>2177528180380.7998</v>
      </c>
      <c r="U228" s="36">
        <f t="shared" si="279"/>
        <v>4501115641363.2002</v>
      </c>
      <c r="V228" s="37">
        <f t="shared" si="152"/>
        <v>0.32604346608383439</v>
      </c>
      <c r="W228" s="36">
        <f>+W8+W118+W114</f>
        <v>1679470007910.4902</v>
      </c>
      <c r="X228" s="36">
        <f>+X8+X118+X114</f>
        <v>498058172470.30988</v>
      </c>
      <c r="Y228" s="37">
        <f t="shared" si="165"/>
        <v>0.22872639580866913</v>
      </c>
      <c r="Z228" s="36">
        <f>+Z8+Z118+Z114</f>
        <v>1677520885760.6301</v>
      </c>
      <c r="AA228" s="36">
        <f>+AA8+AA118+AA114</f>
        <v>1949122149.8599997</v>
      </c>
      <c r="AB228" s="37">
        <f t="shared" si="255"/>
        <v>0.77037849653328949</v>
      </c>
    </row>
    <row r="229" spans="1:28" s="107" customFormat="1" ht="16.5">
      <c r="A229" s="763"/>
      <c r="B229" s="763"/>
      <c r="C229" s="299"/>
      <c r="D229" s="299"/>
      <c r="E229" s="299"/>
      <c r="F229" s="299"/>
      <c r="G229" s="299"/>
      <c r="H229" s="300"/>
      <c r="I229" s="301"/>
      <c r="J229" s="301"/>
      <c r="K229" s="764"/>
      <c r="L229" s="301"/>
      <c r="M229" s="103"/>
      <c r="N229" s="103"/>
      <c r="O229" s="103"/>
      <c r="P229" s="103"/>
      <c r="Q229" s="103"/>
      <c r="R229" s="103"/>
      <c r="S229" s="103"/>
      <c r="T229" s="103"/>
      <c r="U229" s="103"/>
      <c r="V229" s="765"/>
      <c r="W229" s="766"/>
      <c r="X229" s="103"/>
      <c r="Y229" s="765"/>
      <c r="Z229" s="103"/>
      <c r="AA229" s="103"/>
      <c r="AB229" s="767"/>
    </row>
    <row r="230" spans="1:28" s="8" customFormat="1" ht="16.5">
      <c r="A230" s="32"/>
      <c r="B230" s="32"/>
      <c r="C230" s="91"/>
      <c r="D230" s="91"/>
      <c r="E230" s="91"/>
      <c r="F230" s="91"/>
      <c r="G230" s="91"/>
      <c r="H230" s="92"/>
      <c r="I230" s="93"/>
      <c r="J230" s="93"/>
      <c r="K230" s="94"/>
      <c r="L230" s="93"/>
      <c r="M230" s="95">
        <v>6684523821744</v>
      </c>
      <c r="N230" s="95"/>
      <c r="O230" s="95">
        <v>0</v>
      </c>
      <c r="P230" s="95">
        <f>3170048097+34396596738.4+1550407037+78227973481</f>
        <v>117345025353.39999</v>
      </c>
      <c r="Q230" s="95">
        <f>3170048097+34396596738.4+1550407037+78227973481</f>
        <v>117345025353.39999</v>
      </c>
      <c r="R230" s="95">
        <v>5880000000</v>
      </c>
      <c r="S230" s="95">
        <v>6678643821744</v>
      </c>
      <c r="T230" s="95">
        <v>2177528180380.8</v>
      </c>
      <c r="U230" s="95">
        <f>+S228-T228</f>
        <v>4501115641363.2002</v>
      </c>
      <c r="V230" s="96">
        <f>+V228</f>
        <v>0.32604346608383439</v>
      </c>
      <c r="W230" s="95">
        <v>1679470007910.49</v>
      </c>
      <c r="X230" s="95">
        <f>+T230-W230</f>
        <v>498058172470.31006</v>
      </c>
      <c r="Y230" s="96">
        <f>+Y228</f>
        <v>0.22872639580866913</v>
      </c>
      <c r="Z230" s="95">
        <v>1677520885760.6299</v>
      </c>
      <c r="AA230" s="95">
        <f>+W230-Z230</f>
        <v>1949122149.8601074</v>
      </c>
      <c r="AB230" s="96">
        <f>+AB228</f>
        <v>0.77037849653328949</v>
      </c>
    </row>
    <row r="231" spans="1:28" s="8" customFormat="1" ht="16.5">
      <c r="A231" s="32"/>
      <c r="B231" s="32"/>
      <c r="C231" s="94"/>
      <c r="D231" s="93"/>
      <c r="E231" s="93"/>
      <c r="F231" s="93"/>
      <c r="G231" s="93"/>
      <c r="H231" s="93"/>
      <c r="I231" s="93"/>
      <c r="J231" s="93"/>
      <c r="K231" s="94"/>
      <c r="L231" s="97"/>
      <c r="M231" s="98">
        <f t="shared" ref="M231" si="280">+M228-M230</f>
        <v>0</v>
      </c>
      <c r="N231" s="98">
        <f>+N228-N230</f>
        <v>0</v>
      </c>
      <c r="O231" s="98">
        <f>+O228-O230</f>
        <v>0</v>
      </c>
      <c r="P231" s="98">
        <f t="shared" ref="P231:W231" si="281">+P228-P230</f>
        <v>0</v>
      </c>
      <c r="Q231" s="98">
        <f t="shared" si="281"/>
        <v>0</v>
      </c>
      <c r="R231" s="98">
        <f t="shared" si="281"/>
        <v>0</v>
      </c>
      <c r="S231" s="98">
        <f t="shared" si="281"/>
        <v>0</v>
      </c>
      <c r="T231" s="98">
        <f t="shared" si="281"/>
        <v>0</v>
      </c>
      <c r="U231" s="98">
        <f t="shared" si="281"/>
        <v>0</v>
      </c>
      <c r="V231" s="98"/>
      <c r="W231" s="98">
        <f t="shared" si="281"/>
        <v>0</v>
      </c>
      <c r="X231" s="98">
        <f>+X228-X230</f>
        <v>0</v>
      </c>
      <c r="Y231" s="98"/>
      <c r="Z231" s="98">
        <f>+Z228-Z230</f>
        <v>0</v>
      </c>
      <c r="AA231" s="98">
        <f>+AA228-AA230</f>
        <v>-1.0776519775390625E-4</v>
      </c>
      <c r="AB231" s="98"/>
    </row>
    <row r="232" spans="1:28" s="108" customFormat="1" ht="16.5">
      <c r="A232" s="99"/>
      <c r="B232" s="100"/>
      <c r="C232" s="101"/>
      <c r="D232" s="102"/>
      <c r="E232" s="102"/>
      <c r="F232" s="102"/>
      <c r="G232" s="102"/>
      <c r="H232" s="102"/>
      <c r="I232" s="102"/>
      <c r="J232" s="102"/>
      <c r="K232" s="101"/>
      <c r="L232" s="103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4"/>
      <c r="X232" s="104"/>
      <c r="Y232" s="105"/>
      <c r="Z232" s="104"/>
      <c r="AA232" s="104"/>
      <c r="AB232" s="106"/>
    </row>
    <row r="233" spans="1:28" ht="18">
      <c r="A233" s="30"/>
      <c r="B233" s="31"/>
      <c r="C233" s="312"/>
      <c r="D233" s="317"/>
      <c r="E233" s="312"/>
      <c r="F233" s="312"/>
      <c r="G233" s="312"/>
      <c r="H233" s="312"/>
      <c r="I233" s="312"/>
      <c r="J233" s="312"/>
      <c r="K233" s="317"/>
      <c r="L233" s="312"/>
      <c r="M233" s="335"/>
      <c r="N233" s="364"/>
      <c r="O233" s="332"/>
      <c r="P233" s="332"/>
      <c r="Q233" s="329"/>
      <c r="R233" s="633"/>
      <c r="S233" s="359"/>
      <c r="T233" s="332"/>
      <c r="U233" s="332"/>
      <c r="V233" s="333"/>
      <c r="W233" s="332"/>
      <c r="X233" s="332"/>
      <c r="Y233" s="333"/>
      <c r="Z233" s="332"/>
      <c r="AA233" s="332"/>
      <c r="AB233" s="333"/>
    </row>
    <row r="234" spans="1:28" ht="18">
      <c r="A234" s="30"/>
      <c r="B234" s="31"/>
      <c r="C234" s="312"/>
      <c r="D234" s="317"/>
      <c r="E234" s="312"/>
      <c r="F234" s="312"/>
      <c r="G234" s="312"/>
      <c r="H234" s="312"/>
      <c r="I234" s="312"/>
      <c r="J234" s="312"/>
      <c r="K234" s="317"/>
      <c r="L234" s="312"/>
      <c r="M234" s="332"/>
      <c r="N234" s="632"/>
      <c r="O234" s="332"/>
      <c r="P234" s="359"/>
      <c r="Q234" s="633"/>
      <c r="R234" s="633"/>
      <c r="S234" s="332"/>
      <c r="T234" s="332"/>
      <c r="U234" s="332"/>
      <c r="V234" s="333"/>
      <c r="W234" s="332"/>
      <c r="X234" s="332"/>
      <c r="Y234" s="333"/>
      <c r="Z234" s="332"/>
      <c r="AA234" s="332"/>
      <c r="AB234" s="333"/>
    </row>
    <row r="235" spans="1:28" ht="18">
      <c r="A235" s="1"/>
      <c r="B235" s="2"/>
      <c r="C235" s="312"/>
      <c r="D235" s="312"/>
      <c r="E235" s="312"/>
      <c r="F235" s="312"/>
      <c r="G235" s="312"/>
      <c r="H235" s="312"/>
      <c r="I235" s="312"/>
      <c r="J235" s="312"/>
      <c r="K235" s="317"/>
      <c r="L235" s="312"/>
      <c r="M235" s="332"/>
      <c r="N235" s="632"/>
      <c r="O235" s="332"/>
      <c r="P235" s="332"/>
      <c r="Q235" s="332"/>
      <c r="R235" s="332"/>
      <c r="S235" s="332"/>
      <c r="T235" s="332"/>
      <c r="U235" s="332"/>
      <c r="V235" s="333"/>
      <c r="W235" s="332"/>
      <c r="X235" s="631"/>
      <c r="Y235" s="333"/>
      <c r="Z235" s="332"/>
      <c r="AA235" s="332"/>
      <c r="AB235" s="333"/>
    </row>
    <row r="236" spans="1:28" ht="30">
      <c r="A236" s="1"/>
      <c r="B236" s="2"/>
      <c r="C236" s="318"/>
      <c r="D236" s="318"/>
      <c r="E236" s="318"/>
      <c r="F236" s="318"/>
      <c r="G236" s="318"/>
      <c r="H236" s="318"/>
      <c r="I236" s="312"/>
      <c r="J236" s="312"/>
      <c r="K236" s="317"/>
      <c r="L236" s="336" t="s">
        <v>738</v>
      </c>
      <c r="M236" s="628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20"/>
      <c r="Z236" s="376"/>
      <c r="AA236" s="319"/>
      <c r="AB236" s="319"/>
    </row>
    <row r="237" spans="1:28" ht="30">
      <c r="A237" s="1"/>
      <c r="B237" s="2"/>
      <c r="C237" s="321"/>
      <c r="D237" s="322"/>
      <c r="E237" s="322"/>
      <c r="F237" s="322"/>
      <c r="G237" s="322"/>
      <c r="H237" s="322"/>
      <c r="I237" s="322"/>
      <c r="J237" s="322"/>
      <c r="K237" s="321"/>
      <c r="L237" s="337" t="s">
        <v>739</v>
      </c>
      <c r="M237" s="628"/>
      <c r="O237" s="323"/>
      <c r="P237" s="323"/>
      <c r="Q237" s="323"/>
      <c r="R237" s="323"/>
      <c r="S237" s="360"/>
      <c r="T237" s="323"/>
      <c r="U237" s="323"/>
      <c r="V237" s="323"/>
      <c r="W237" s="323"/>
      <c r="X237" s="323"/>
      <c r="Y237" s="324"/>
      <c r="Z237" s="323"/>
      <c r="AA237" s="323"/>
      <c r="AB237" s="323"/>
    </row>
    <row r="238" spans="1:28" ht="30">
      <c r="A238" s="325"/>
      <c r="B238" s="313"/>
      <c r="C238" s="308"/>
      <c r="D238" s="308"/>
      <c r="E238" s="308"/>
      <c r="F238" s="308"/>
      <c r="G238" s="308"/>
      <c r="H238" s="308"/>
      <c r="I238" s="308"/>
      <c r="J238" s="308"/>
      <c r="K238" s="336"/>
      <c r="L238" s="308"/>
      <c r="M238" s="628"/>
      <c r="O238" s="309"/>
      <c r="P238" s="746"/>
      <c r="Q238" s="630"/>
      <c r="R238" s="630"/>
      <c r="S238" s="334"/>
      <c r="T238" s="334"/>
      <c r="U238" s="629"/>
      <c r="V238" s="329"/>
      <c r="W238" s="329"/>
      <c r="X238" s="329"/>
      <c r="Y238" s="329"/>
    </row>
  </sheetData>
  <sheetProtection selectLockedCells="1" selectUnlockedCells="1"/>
  <autoFilter ref="A6:AB231" xr:uid="{00000000-0009-0000-0000-000002000000}"/>
  <mergeCells count="14">
    <mergeCell ref="B5:B6"/>
    <mergeCell ref="C5:I5"/>
    <mergeCell ref="J5:J6"/>
    <mergeCell ref="L5:L6"/>
    <mergeCell ref="M5:M6"/>
    <mergeCell ref="S5:S6"/>
    <mergeCell ref="T5:V5"/>
    <mergeCell ref="W5:Y5"/>
    <mergeCell ref="Z5:AB5"/>
    <mergeCell ref="M2:AB2"/>
    <mergeCell ref="M3:AB3"/>
    <mergeCell ref="N5:O5"/>
    <mergeCell ref="P5:Q5"/>
    <mergeCell ref="R5:R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82941-148C-4370-A5BE-EBCF5A13133E}">
  <sheetPr>
    <tabColor rgb="FFFFC000"/>
    <pageSetUpPr fitToPage="1"/>
  </sheetPr>
  <dimension ref="A1:S222"/>
  <sheetViews>
    <sheetView showGridLines="0" zoomScale="80" zoomScaleNormal="80" workbookViewId="0"/>
  </sheetViews>
  <sheetFormatPr baseColWidth="10" defaultColWidth="11.42578125" defaultRowHeight="12.75" outlineLevelRow="1" outlineLevelCol="1"/>
  <cols>
    <col min="1" max="1" width="6.5703125" style="554" bestFit="1" customWidth="1"/>
    <col min="2" max="2" width="28.7109375" style="391" bestFit="1" customWidth="1"/>
    <col min="3" max="3" width="6.140625" style="392" customWidth="1" outlineLevel="1"/>
    <col min="4" max="4" width="5.5703125" style="392" customWidth="1" outlineLevel="1"/>
    <col min="5" max="6" width="7.140625" style="392" customWidth="1" outlineLevel="1"/>
    <col min="7" max="7" width="5.85546875" style="392" customWidth="1" outlineLevel="1"/>
    <col min="8" max="8" width="8.7109375" style="392" customWidth="1" outlineLevel="1"/>
    <col min="9" max="9" width="6.28515625" style="392" customWidth="1" outlineLevel="1"/>
    <col min="10" max="10" width="6.140625" style="392" bestFit="1" customWidth="1"/>
    <col min="11" max="11" width="5" style="392" bestFit="1" customWidth="1"/>
    <col min="12" max="12" width="75.7109375" style="555" customWidth="1"/>
    <col min="13" max="13" width="23.7109375" style="395" customWidth="1"/>
    <col min="14" max="14" width="22" style="395" customWidth="1"/>
    <col min="15" max="15" width="12.85546875" style="395" customWidth="1"/>
    <col min="16" max="16" width="23.7109375" style="395" bestFit="1" customWidth="1"/>
    <col min="17" max="17" width="12.5703125" style="395" customWidth="1"/>
    <col min="18" max="18" width="22" style="395" customWidth="1"/>
    <col min="19" max="19" width="12.7109375" style="395" customWidth="1"/>
    <col min="20" max="16384" width="11.42578125" style="395"/>
  </cols>
  <sheetData>
    <row r="1" spans="1:19" s="391" customFormat="1" ht="11.25" customHeight="1">
      <c r="A1" s="385"/>
      <c r="B1" s="386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9"/>
      <c r="N1" s="388">
        <v>13</v>
      </c>
      <c r="O1" s="390"/>
      <c r="P1" s="388">
        <v>14</v>
      </c>
      <c r="Q1" s="390"/>
      <c r="R1" s="388">
        <v>16</v>
      </c>
      <c r="S1" s="390"/>
    </row>
    <row r="2" spans="1:19" ht="25.5" customHeight="1">
      <c r="A2" s="385"/>
      <c r="B2" s="386"/>
      <c r="D2" s="393"/>
      <c r="E2" s="393"/>
      <c r="F2" s="393"/>
      <c r="G2" s="393"/>
      <c r="H2" s="393"/>
      <c r="I2" s="393"/>
      <c r="J2" s="393"/>
      <c r="K2" s="393"/>
      <c r="L2" s="394"/>
      <c r="M2" s="556" t="s">
        <v>0</v>
      </c>
      <c r="N2" s="556"/>
      <c r="O2" s="556"/>
      <c r="P2" s="556"/>
      <c r="Q2" s="556"/>
      <c r="R2" s="556"/>
      <c r="S2" s="556"/>
    </row>
    <row r="3" spans="1:19" ht="28.5" customHeight="1">
      <c r="A3" s="385"/>
      <c r="B3" s="386"/>
      <c r="D3" s="396"/>
      <c r="E3" s="396"/>
      <c r="F3" s="396"/>
      <c r="G3" s="396"/>
      <c r="H3" s="396"/>
      <c r="I3" s="396"/>
      <c r="J3" s="396"/>
      <c r="K3" s="396"/>
      <c r="L3" s="397"/>
      <c r="M3" s="557" t="s">
        <v>833</v>
      </c>
      <c r="N3" s="557"/>
      <c r="O3" s="557"/>
      <c r="P3" s="557"/>
      <c r="Q3" s="557"/>
      <c r="R3" s="557"/>
      <c r="S3" s="557"/>
    </row>
    <row r="4" spans="1:19" ht="29.25" customHeight="1">
      <c r="A4" s="385"/>
      <c r="B4" s="386"/>
      <c r="C4" s="398"/>
      <c r="D4" s="398"/>
      <c r="E4" s="398"/>
      <c r="F4" s="398"/>
      <c r="G4" s="398"/>
      <c r="H4" s="398"/>
      <c r="I4" s="399"/>
      <c r="J4" s="399"/>
      <c r="K4" s="399"/>
      <c r="L4" s="399"/>
      <c r="M4" s="400"/>
      <c r="N4" s="400"/>
      <c r="O4" s="401"/>
      <c r="P4" s="400"/>
      <c r="Q4" s="401"/>
      <c r="R4" s="400"/>
      <c r="S4" s="401"/>
    </row>
    <row r="5" spans="1:19" s="404" customFormat="1" ht="24.95" customHeight="1">
      <c r="A5" s="402"/>
      <c r="B5" s="854" t="s">
        <v>2</v>
      </c>
      <c r="C5" s="856" t="s">
        <v>2</v>
      </c>
      <c r="D5" s="856"/>
      <c r="E5" s="856"/>
      <c r="F5" s="856"/>
      <c r="G5" s="856"/>
      <c r="H5" s="856"/>
      <c r="I5" s="856"/>
      <c r="J5" s="857" t="s">
        <v>3</v>
      </c>
      <c r="K5" s="857" t="s">
        <v>4</v>
      </c>
      <c r="L5" s="859" t="s">
        <v>5</v>
      </c>
      <c r="M5" s="848" t="s">
        <v>6</v>
      </c>
      <c r="N5" s="850" t="s">
        <v>7</v>
      </c>
      <c r="O5" s="851"/>
      <c r="P5" s="852" t="s">
        <v>8</v>
      </c>
      <c r="Q5" s="853"/>
      <c r="R5" s="850" t="s">
        <v>9</v>
      </c>
      <c r="S5" s="851"/>
    </row>
    <row r="6" spans="1:19" s="404" customFormat="1" ht="30">
      <c r="A6" s="402"/>
      <c r="B6" s="855" t="s">
        <v>2</v>
      </c>
      <c r="C6" s="405" t="s">
        <v>10</v>
      </c>
      <c r="D6" s="405" t="s">
        <v>11</v>
      </c>
      <c r="E6" s="405" t="s">
        <v>12</v>
      </c>
      <c r="F6" s="405" t="s">
        <v>13</v>
      </c>
      <c r="G6" s="405" t="s">
        <v>14</v>
      </c>
      <c r="H6" s="405" t="s">
        <v>15</v>
      </c>
      <c r="I6" s="405" t="s">
        <v>16</v>
      </c>
      <c r="J6" s="858"/>
      <c r="K6" s="858" t="s">
        <v>17</v>
      </c>
      <c r="L6" s="860"/>
      <c r="M6" s="849" t="s">
        <v>6</v>
      </c>
      <c r="N6" s="403" t="s">
        <v>18</v>
      </c>
      <c r="O6" s="407" t="s">
        <v>19</v>
      </c>
      <c r="P6" s="403" t="s">
        <v>18</v>
      </c>
      <c r="Q6" s="408" t="s">
        <v>813</v>
      </c>
      <c r="R6" s="406" t="s">
        <v>18</v>
      </c>
      <c r="S6" s="408" t="s">
        <v>20</v>
      </c>
    </row>
    <row r="7" spans="1:19" ht="32.1" customHeight="1">
      <c r="A7" s="411" t="e">
        <v>#REF!</v>
      </c>
      <c r="B7" s="412" t="s">
        <v>23</v>
      </c>
      <c r="C7" s="413" t="s">
        <v>23</v>
      </c>
      <c r="D7" s="414"/>
      <c r="E7" s="414"/>
      <c r="F7" s="414"/>
      <c r="G7" s="414"/>
      <c r="H7" s="414"/>
      <c r="I7" s="415"/>
      <c r="J7" s="416"/>
      <c r="K7" s="416"/>
      <c r="L7" s="412" t="s">
        <v>24</v>
      </c>
      <c r="M7" s="417">
        <v>206532470214</v>
      </c>
      <c r="N7" s="417">
        <v>88110758280.509995</v>
      </c>
      <c r="O7" s="418">
        <v>0.42661939882486005</v>
      </c>
      <c r="P7" s="419">
        <v>72035757718.660004</v>
      </c>
      <c r="Q7" s="418">
        <v>0.34878659827202796</v>
      </c>
      <c r="R7" s="419">
        <v>68975728271.660004</v>
      </c>
      <c r="S7" s="418">
        <v>0.33397038344716617</v>
      </c>
    </row>
    <row r="8" spans="1:19" ht="32.1" customHeight="1">
      <c r="A8" s="411" t="e">
        <v>#REF!</v>
      </c>
      <c r="B8" s="420" t="s">
        <v>303</v>
      </c>
      <c r="C8" s="421" t="s">
        <v>23</v>
      </c>
      <c r="D8" s="422" t="s">
        <v>25</v>
      </c>
      <c r="E8" s="422"/>
      <c r="F8" s="422"/>
      <c r="G8" s="422"/>
      <c r="H8" s="422"/>
      <c r="I8" s="423"/>
      <c r="J8" s="424"/>
      <c r="K8" s="424"/>
      <c r="L8" s="420" t="s">
        <v>26</v>
      </c>
      <c r="M8" s="425">
        <v>128915000000</v>
      </c>
      <c r="N8" s="425">
        <v>57387762572</v>
      </c>
      <c r="O8" s="426">
        <v>0.44515969880929296</v>
      </c>
      <c r="P8" s="427">
        <v>56414677830</v>
      </c>
      <c r="Q8" s="426">
        <v>0.43761143257184965</v>
      </c>
      <c r="R8" s="427">
        <v>53519223265</v>
      </c>
      <c r="S8" s="426">
        <v>0.41515124900127992</v>
      </c>
    </row>
    <row r="9" spans="1:19" ht="32.1" customHeight="1">
      <c r="A9" s="411" t="e">
        <v>#REF!</v>
      </c>
      <c r="B9" s="428" t="s">
        <v>305</v>
      </c>
      <c r="C9" s="429" t="s">
        <v>23</v>
      </c>
      <c r="D9" s="430" t="s">
        <v>25</v>
      </c>
      <c r="E9" s="430" t="s">
        <v>25</v>
      </c>
      <c r="F9" s="430"/>
      <c r="G9" s="430"/>
      <c r="H9" s="430"/>
      <c r="I9" s="431"/>
      <c r="J9" s="432"/>
      <c r="K9" s="432"/>
      <c r="L9" s="428" t="s">
        <v>27</v>
      </c>
      <c r="M9" s="433">
        <v>128915000000</v>
      </c>
      <c r="N9" s="433">
        <v>57387762572</v>
      </c>
      <c r="O9" s="434">
        <v>0.44515969880929296</v>
      </c>
      <c r="P9" s="435">
        <v>56414677830</v>
      </c>
      <c r="Q9" s="434">
        <v>0.43761143257184965</v>
      </c>
      <c r="R9" s="435">
        <v>53519223265</v>
      </c>
      <c r="S9" s="434">
        <v>0.41515124900127992</v>
      </c>
    </row>
    <row r="10" spans="1:19" ht="32.1" customHeight="1">
      <c r="A10" s="411" t="e">
        <v>#REF!</v>
      </c>
      <c r="B10" s="436" t="s">
        <v>307</v>
      </c>
      <c r="C10" s="437" t="s">
        <v>23</v>
      </c>
      <c r="D10" s="438" t="s">
        <v>25</v>
      </c>
      <c r="E10" s="438" t="s">
        <v>25</v>
      </c>
      <c r="F10" s="438" t="s">
        <v>25</v>
      </c>
      <c r="G10" s="438"/>
      <c r="H10" s="438"/>
      <c r="I10" s="439"/>
      <c r="J10" s="440" t="s">
        <v>28</v>
      </c>
      <c r="K10" s="440" t="s">
        <v>29</v>
      </c>
      <c r="L10" s="436" t="s">
        <v>30</v>
      </c>
      <c r="M10" s="441">
        <v>87725000000</v>
      </c>
      <c r="N10" s="441">
        <v>38798127304</v>
      </c>
      <c r="O10" s="442">
        <v>0.44226990372185809</v>
      </c>
      <c r="P10" s="443">
        <v>38761724332</v>
      </c>
      <c r="Q10" s="442">
        <v>0.44185493681390708</v>
      </c>
      <c r="R10" s="443">
        <v>35866269767</v>
      </c>
      <c r="S10" s="442">
        <v>0.40884890016528924</v>
      </c>
    </row>
    <row r="11" spans="1:19" ht="32.1" customHeight="1">
      <c r="A11" s="411" t="e">
        <v>#REF!</v>
      </c>
      <c r="B11" s="444" t="s">
        <v>309</v>
      </c>
      <c r="C11" s="445" t="s">
        <v>23</v>
      </c>
      <c r="D11" s="446" t="s">
        <v>25</v>
      </c>
      <c r="E11" s="446" t="s">
        <v>25</v>
      </c>
      <c r="F11" s="446" t="s">
        <v>25</v>
      </c>
      <c r="G11" s="446" t="s">
        <v>31</v>
      </c>
      <c r="H11" s="446"/>
      <c r="I11" s="447"/>
      <c r="J11" s="448" t="s">
        <v>28</v>
      </c>
      <c r="K11" s="448" t="s">
        <v>29</v>
      </c>
      <c r="L11" s="444" t="s">
        <v>32</v>
      </c>
      <c r="M11" s="449">
        <v>87725000000</v>
      </c>
      <c r="N11" s="449">
        <v>38798127304</v>
      </c>
      <c r="O11" s="450">
        <v>0.44226990372185809</v>
      </c>
      <c r="P11" s="449">
        <v>38761724332</v>
      </c>
      <c r="Q11" s="450">
        <v>0.44185493681390708</v>
      </c>
      <c r="R11" s="449">
        <v>35866269767</v>
      </c>
      <c r="S11" s="450">
        <v>0.40884890016528924</v>
      </c>
    </row>
    <row r="12" spans="1:19" ht="32.1" customHeight="1">
      <c r="A12" s="411" t="e">
        <v>#REF!</v>
      </c>
      <c r="B12" s="451" t="s">
        <v>311</v>
      </c>
      <c r="C12" s="452" t="s">
        <v>23</v>
      </c>
      <c r="D12" s="453" t="s">
        <v>25</v>
      </c>
      <c r="E12" s="453" t="s">
        <v>25</v>
      </c>
      <c r="F12" s="453" t="s">
        <v>25</v>
      </c>
      <c r="G12" s="453" t="s">
        <v>31</v>
      </c>
      <c r="H12" s="453" t="s">
        <v>31</v>
      </c>
      <c r="I12" s="454"/>
      <c r="J12" s="455" t="s">
        <v>28</v>
      </c>
      <c r="K12" s="456" t="s">
        <v>29</v>
      </c>
      <c r="L12" s="457" t="s">
        <v>33</v>
      </c>
      <c r="M12" s="458">
        <v>71741000000</v>
      </c>
      <c r="N12" s="458">
        <v>32116831999</v>
      </c>
      <c r="O12" s="460">
        <v>0.44767750657225297</v>
      </c>
      <c r="P12" s="461">
        <v>32113940121</v>
      </c>
      <c r="Q12" s="460">
        <v>0.44763719659608869</v>
      </c>
      <c r="R12" s="461">
        <v>32113940121</v>
      </c>
      <c r="S12" s="460">
        <v>0.44763719659608869</v>
      </c>
    </row>
    <row r="13" spans="1:19" ht="32.1" customHeight="1">
      <c r="A13" s="411" t="e">
        <v>#REF!</v>
      </c>
      <c r="B13" s="451" t="s">
        <v>313</v>
      </c>
      <c r="C13" s="452" t="s">
        <v>23</v>
      </c>
      <c r="D13" s="453" t="s">
        <v>25</v>
      </c>
      <c r="E13" s="453" t="s">
        <v>25</v>
      </c>
      <c r="F13" s="453" t="s">
        <v>25</v>
      </c>
      <c r="G13" s="453" t="s">
        <v>31</v>
      </c>
      <c r="H13" s="453" t="s">
        <v>34</v>
      </c>
      <c r="I13" s="454"/>
      <c r="J13" s="455" t="s">
        <v>28</v>
      </c>
      <c r="K13" s="456" t="s">
        <v>29</v>
      </c>
      <c r="L13" s="457" t="s">
        <v>35</v>
      </c>
      <c r="M13" s="458">
        <v>360000000</v>
      </c>
      <c r="N13" s="458">
        <v>165348297</v>
      </c>
      <c r="O13" s="460">
        <v>0.45930082500000002</v>
      </c>
      <c r="P13" s="461">
        <v>165348297</v>
      </c>
      <c r="Q13" s="460">
        <v>0.45930082500000002</v>
      </c>
      <c r="R13" s="461">
        <v>165348297</v>
      </c>
      <c r="S13" s="460">
        <v>0.45930082500000002</v>
      </c>
    </row>
    <row r="14" spans="1:19" ht="32.1" customHeight="1">
      <c r="A14" s="411" t="e">
        <v>#REF!</v>
      </c>
      <c r="B14" s="451" t="s">
        <v>315</v>
      </c>
      <c r="C14" s="452" t="s">
        <v>23</v>
      </c>
      <c r="D14" s="453" t="s">
        <v>25</v>
      </c>
      <c r="E14" s="453" t="s">
        <v>25</v>
      </c>
      <c r="F14" s="453" t="s">
        <v>25</v>
      </c>
      <c r="G14" s="453" t="s">
        <v>31</v>
      </c>
      <c r="H14" s="453" t="s">
        <v>36</v>
      </c>
      <c r="I14" s="454"/>
      <c r="J14" s="455" t="s">
        <v>28</v>
      </c>
      <c r="K14" s="456" t="s">
        <v>29</v>
      </c>
      <c r="L14" s="457" t="s">
        <v>37</v>
      </c>
      <c r="M14" s="458">
        <v>840000000</v>
      </c>
      <c r="N14" s="458">
        <v>520443937</v>
      </c>
      <c r="O14" s="460">
        <v>0.61957611547619051</v>
      </c>
      <c r="P14" s="461">
        <v>520443937</v>
      </c>
      <c r="Q14" s="460">
        <v>0.61957611547619051</v>
      </c>
      <c r="R14" s="461">
        <v>520443937</v>
      </c>
      <c r="S14" s="460">
        <v>0.61957611547619051</v>
      </c>
    </row>
    <row r="15" spans="1:19" ht="32.1" customHeight="1">
      <c r="A15" s="411" t="e">
        <v>#REF!</v>
      </c>
      <c r="B15" s="451" t="s">
        <v>317</v>
      </c>
      <c r="C15" s="452" t="s">
        <v>23</v>
      </c>
      <c r="D15" s="453" t="s">
        <v>25</v>
      </c>
      <c r="E15" s="453" t="s">
        <v>25</v>
      </c>
      <c r="F15" s="453" t="s">
        <v>25</v>
      </c>
      <c r="G15" s="453" t="s">
        <v>31</v>
      </c>
      <c r="H15" s="453" t="s">
        <v>38</v>
      </c>
      <c r="I15" s="454"/>
      <c r="J15" s="455" t="s">
        <v>28</v>
      </c>
      <c r="K15" s="456" t="s">
        <v>29</v>
      </c>
      <c r="L15" s="457" t="s">
        <v>39</v>
      </c>
      <c r="M15" s="458">
        <v>180000000</v>
      </c>
      <c r="N15" s="458">
        <v>46512881</v>
      </c>
      <c r="O15" s="460">
        <v>0.25840489444444442</v>
      </c>
      <c r="P15" s="461">
        <v>46512881</v>
      </c>
      <c r="Q15" s="460">
        <v>0.25840489444444442</v>
      </c>
      <c r="R15" s="461">
        <v>46512881</v>
      </c>
      <c r="S15" s="460">
        <v>0.25840489444444442</v>
      </c>
    </row>
    <row r="16" spans="1:19" ht="32.1" customHeight="1">
      <c r="A16" s="411" t="e">
        <v>#REF!</v>
      </c>
      <c r="B16" s="451" t="s">
        <v>319</v>
      </c>
      <c r="C16" s="452" t="s">
        <v>23</v>
      </c>
      <c r="D16" s="453" t="s">
        <v>25</v>
      </c>
      <c r="E16" s="453" t="s">
        <v>25</v>
      </c>
      <c r="F16" s="453" t="s">
        <v>25</v>
      </c>
      <c r="G16" s="453" t="s">
        <v>31</v>
      </c>
      <c r="H16" s="453" t="s">
        <v>40</v>
      </c>
      <c r="I16" s="454"/>
      <c r="J16" s="455" t="s">
        <v>28</v>
      </c>
      <c r="K16" s="456" t="s">
        <v>29</v>
      </c>
      <c r="L16" s="457" t="s">
        <v>41</v>
      </c>
      <c r="M16" s="458">
        <v>204000000</v>
      </c>
      <c r="N16" s="458">
        <v>101245485</v>
      </c>
      <c r="O16" s="460">
        <v>0.49630139705882353</v>
      </c>
      <c r="P16" s="461">
        <v>67734391</v>
      </c>
      <c r="Q16" s="460">
        <v>0.33203132843137256</v>
      </c>
      <c r="R16" s="461">
        <v>67734391</v>
      </c>
      <c r="S16" s="460">
        <v>0.33203132843137256</v>
      </c>
    </row>
    <row r="17" spans="1:19" ht="32.1" customHeight="1">
      <c r="A17" s="411" t="e">
        <v>#REF!</v>
      </c>
      <c r="B17" s="451" t="s">
        <v>321</v>
      </c>
      <c r="C17" s="452" t="s">
        <v>23</v>
      </c>
      <c r="D17" s="453" t="s">
        <v>25</v>
      </c>
      <c r="E17" s="453" t="s">
        <v>25</v>
      </c>
      <c r="F17" s="453" t="s">
        <v>25</v>
      </c>
      <c r="G17" s="453" t="s">
        <v>31</v>
      </c>
      <c r="H17" s="453" t="s">
        <v>42</v>
      </c>
      <c r="I17" s="454"/>
      <c r="J17" s="455" t="s">
        <v>28</v>
      </c>
      <c r="K17" s="456" t="s">
        <v>29</v>
      </c>
      <c r="L17" s="457" t="s">
        <v>43</v>
      </c>
      <c r="M17" s="458">
        <v>3700000000</v>
      </c>
      <c r="N17" s="458">
        <v>2958613020</v>
      </c>
      <c r="O17" s="460">
        <v>0.79962514054054057</v>
      </c>
      <c r="P17" s="461">
        <v>2958613020</v>
      </c>
      <c r="Q17" s="460">
        <v>0.79962514054054057</v>
      </c>
      <c r="R17" s="461">
        <v>63158455</v>
      </c>
      <c r="S17" s="460">
        <v>1.7069852702702702E-2</v>
      </c>
    </row>
    <row r="18" spans="1:19" ht="32.1" customHeight="1">
      <c r="A18" s="411" t="e">
        <v>#REF!</v>
      </c>
      <c r="B18" s="451" t="s">
        <v>323</v>
      </c>
      <c r="C18" s="452" t="s">
        <v>23</v>
      </c>
      <c r="D18" s="453" t="s">
        <v>25</v>
      </c>
      <c r="E18" s="453" t="s">
        <v>25</v>
      </c>
      <c r="F18" s="453" t="s">
        <v>25</v>
      </c>
      <c r="G18" s="453" t="s">
        <v>31</v>
      </c>
      <c r="H18" s="453" t="s">
        <v>44</v>
      </c>
      <c r="I18" s="454"/>
      <c r="J18" s="455" t="s">
        <v>28</v>
      </c>
      <c r="K18" s="456" t="s">
        <v>29</v>
      </c>
      <c r="L18" s="457" t="s">
        <v>45</v>
      </c>
      <c r="M18" s="458">
        <v>2000000000</v>
      </c>
      <c r="N18" s="458">
        <v>1141822007</v>
      </c>
      <c r="O18" s="460">
        <v>0.57091100350000001</v>
      </c>
      <c r="P18" s="461">
        <v>1141822007</v>
      </c>
      <c r="Q18" s="460">
        <v>0.57091100350000001</v>
      </c>
      <c r="R18" s="461">
        <v>1141822007</v>
      </c>
      <c r="S18" s="460">
        <v>0.57091100350000001</v>
      </c>
    </row>
    <row r="19" spans="1:19" ht="32.1" customHeight="1">
      <c r="A19" s="411" t="e">
        <v>#REF!</v>
      </c>
      <c r="B19" s="451" t="s">
        <v>325</v>
      </c>
      <c r="C19" s="452" t="s">
        <v>23</v>
      </c>
      <c r="D19" s="453" t="s">
        <v>25</v>
      </c>
      <c r="E19" s="453" t="s">
        <v>25</v>
      </c>
      <c r="F19" s="453" t="s">
        <v>25</v>
      </c>
      <c r="G19" s="453" t="s">
        <v>31</v>
      </c>
      <c r="H19" s="453" t="s">
        <v>46</v>
      </c>
      <c r="I19" s="454"/>
      <c r="J19" s="455" t="s">
        <v>28</v>
      </c>
      <c r="K19" s="456" t="s">
        <v>29</v>
      </c>
      <c r="L19" s="457" t="s">
        <v>47</v>
      </c>
      <c r="M19" s="458">
        <v>200000000</v>
      </c>
      <c r="N19" s="458">
        <v>72386598</v>
      </c>
      <c r="O19" s="460">
        <v>0.36193299000000001</v>
      </c>
      <c r="P19" s="461">
        <v>72386598</v>
      </c>
      <c r="Q19" s="460">
        <v>0.36193299000000001</v>
      </c>
      <c r="R19" s="461">
        <v>72386598</v>
      </c>
      <c r="S19" s="460">
        <v>0.36193299000000001</v>
      </c>
    </row>
    <row r="20" spans="1:19" ht="32.1" customHeight="1">
      <c r="A20" s="411" t="e">
        <v>#REF!</v>
      </c>
      <c r="B20" s="451" t="s">
        <v>327</v>
      </c>
      <c r="C20" s="452" t="s">
        <v>23</v>
      </c>
      <c r="D20" s="453" t="s">
        <v>25</v>
      </c>
      <c r="E20" s="453" t="s">
        <v>25</v>
      </c>
      <c r="F20" s="453" t="s">
        <v>25</v>
      </c>
      <c r="G20" s="453" t="s">
        <v>31</v>
      </c>
      <c r="H20" s="453" t="s">
        <v>48</v>
      </c>
      <c r="I20" s="454"/>
      <c r="J20" s="455" t="s">
        <v>28</v>
      </c>
      <c r="K20" s="456" t="s">
        <v>29</v>
      </c>
      <c r="L20" s="457" t="s">
        <v>49</v>
      </c>
      <c r="M20" s="458">
        <v>5200000000</v>
      </c>
      <c r="N20" s="458">
        <v>33043153</v>
      </c>
      <c r="O20" s="460">
        <v>6.3544524999999998E-3</v>
      </c>
      <c r="P20" s="461">
        <v>33043153</v>
      </c>
      <c r="Q20" s="460">
        <v>6.3544524999999998E-3</v>
      </c>
      <c r="R20" s="461">
        <v>33043153</v>
      </c>
      <c r="S20" s="460">
        <v>6.3544524999999998E-3</v>
      </c>
    </row>
    <row r="21" spans="1:19" ht="32.1" customHeight="1">
      <c r="A21" s="411" t="e">
        <v>#REF!</v>
      </c>
      <c r="B21" s="451" t="s">
        <v>329</v>
      </c>
      <c r="C21" s="452" t="s">
        <v>23</v>
      </c>
      <c r="D21" s="453" t="s">
        <v>25</v>
      </c>
      <c r="E21" s="453" t="s">
        <v>25</v>
      </c>
      <c r="F21" s="453" t="s">
        <v>25</v>
      </c>
      <c r="G21" s="453" t="s">
        <v>31</v>
      </c>
      <c r="H21" s="453" t="s">
        <v>50</v>
      </c>
      <c r="I21" s="454"/>
      <c r="J21" s="455" t="s">
        <v>28</v>
      </c>
      <c r="K21" s="456" t="s">
        <v>29</v>
      </c>
      <c r="L21" s="457" t="s">
        <v>51</v>
      </c>
      <c r="M21" s="458">
        <v>3300000000</v>
      </c>
      <c r="N21" s="458">
        <v>1641879927</v>
      </c>
      <c r="O21" s="460">
        <v>0.49753937181818181</v>
      </c>
      <c r="P21" s="461">
        <v>1641879927</v>
      </c>
      <c r="Q21" s="460">
        <v>0.49753937181818181</v>
      </c>
      <c r="R21" s="461">
        <v>1641879927</v>
      </c>
      <c r="S21" s="460">
        <v>0.49753937181818181</v>
      </c>
    </row>
    <row r="22" spans="1:19" ht="32.1" customHeight="1">
      <c r="A22" s="411" t="e">
        <v>#REF!</v>
      </c>
      <c r="B22" s="436" t="s">
        <v>331</v>
      </c>
      <c r="C22" s="437" t="s">
        <v>23</v>
      </c>
      <c r="D22" s="438" t="s">
        <v>25</v>
      </c>
      <c r="E22" s="438" t="s">
        <v>25</v>
      </c>
      <c r="F22" s="438" t="s">
        <v>54</v>
      </c>
      <c r="G22" s="438"/>
      <c r="H22" s="438"/>
      <c r="I22" s="439"/>
      <c r="J22" s="440" t="s">
        <v>28</v>
      </c>
      <c r="K22" s="440" t="s">
        <v>29</v>
      </c>
      <c r="L22" s="436" t="s">
        <v>55</v>
      </c>
      <c r="M22" s="441">
        <v>32057000000</v>
      </c>
      <c r="N22" s="441">
        <v>13857058600</v>
      </c>
      <c r="O22" s="442">
        <v>0.43226311258071559</v>
      </c>
      <c r="P22" s="443">
        <v>12921146370</v>
      </c>
      <c r="Q22" s="442">
        <v>0.40306785943787626</v>
      </c>
      <c r="R22" s="443">
        <v>12921146370</v>
      </c>
      <c r="S22" s="442">
        <v>0.40306785943787626</v>
      </c>
    </row>
    <row r="23" spans="1:19" ht="32.1" customHeight="1">
      <c r="A23" s="411" t="e">
        <v>#REF!</v>
      </c>
      <c r="B23" s="451" t="s">
        <v>333</v>
      </c>
      <c r="C23" s="452" t="s">
        <v>23</v>
      </c>
      <c r="D23" s="453" t="s">
        <v>25</v>
      </c>
      <c r="E23" s="453" t="s">
        <v>25</v>
      </c>
      <c r="F23" s="453" t="s">
        <v>54</v>
      </c>
      <c r="G23" s="453" t="s">
        <v>31</v>
      </c>
      <c r="H23" s="453"/>
      <c r="I23" s="454"/>
      <c r="J23" s="455" t="s">
        <v>28</v>
      </c>
      <c r="K23" s="456" t="s">
        <v>29</v>
      </c>
      <c r="L23" s="457" t="s">
        <v>834</v>
      </c>
      <c r="M23" s="458">
        <v>10048180000</v>
      </c>
      <c r="N23" s="458">
        <v>3905435400</v>
      </c>
      <c r="O23" s="460">
        <v>0.38867092349062216</v>
      </c>
      <c r="P23" s="461">
        <v>3905435400</v>
      </c>
      <c r="Q23" s="460">
        <v>0.38867092349062216</v>
      </c>
      <c r="R23" s="461">
        <v>3905435400</v>
      </c>
      <c r="S23" s="460">
        <v>0.38867092349062216</v>
      </c>
    </row>
    <row r="24" spans="1:19" ht="32.1" customHeight="1">
      <c r="A24" s="411" t="e">
        <v>#REF!</v>
      </c>
      <c r="B24" s="451" t="s">
        <v>335</v>
      </c>
      <c r="C24" s="452" t="s">
        <v>23</v>
      </c>
      <c r="D24" s="453" t="s">
        <v>25</v>
      </c>
      <c r="E24" s="453" t="s">
        <v>25</v>
      </c>
      <c r="F24" s="453" t="s">
        <v>54</v>
      </c>
      <c r="G24" s="453" t="s">
        <v>34</v>
      </c>
      <c r="H24" s="453"/>
      <c r="I24" s="454"/>
      <c r="J24" s="455" t="s">
        <v>28</v>
      </c>
      <c r="K24" s="456" t="s">
        <v>29</v>
      </c>
      <c r="L24" s="457" t="s">
        <v>835</v>
      </c>
      <c r="M24" s="458">
        <v>7117460000</v>
      </c>
      <c r="N24" s="458">
        <v>3117337500</v>
      </c>
      <c r="O24" s="460">
        <v>0.43798454785836521</v>
      </c>
      <c r="P24" s="461">
        <v>3117337500</v>
      </c>
      <c r="Q24" s="460">
        <v>0.43798454785836521</v>
      </c>
      <c r="R24" s="461">
        <v>3117337500</v>
      </c>
      <c r="S24" s="460">
        <v>0.43798454785836521</v>
      </c>
    </row>
    <row r="25" spans="1:19" ht="32.1" customHeight="1">
      <c r="A25" s="411" t="e">
        <v>#REF!</v>
      </c>
      <c r="B25" s="451" t="s">
        <v>337</v>
      </c>
      <c r="C25" s="452" t="s">
        <v>23</v>
      </c>
      <c r="D25" s="453" t="s">
        <v>25</v>
      </c>
      <c r="E25" s="453" t="s">
        <v>25</v>
      </c>
      <c r="F25" s="453" t="s">
        <v>54</v>
      </c>
      <c r="G25" s="453" t="s">
        <v>36</v>
      </c>
      <c r="H25" s="453"/>
      <c r="I25" s="454"/>
      <c r="J25" s="455" t="s">
        <v>28</v>
      </c>
      <c r="K25" s="456" t="s">
        <v>29</v>
      </c>
      <c r="L25" s="457" t="s">
        <v>836</v>
      </c>
      <c r="M25" s="458">
        <v>5734390000</v>
      </c>
      <c r="N25" s="458">
        <v>3769390000</v>
      </c>
      <c r="O25" s="460">
        <v>0.65733059662841209</v>
      </c>
      <c r="P25" s="461">
        <v>2833477770</v>
      </c>
      <c r="Q25" s="460">
        <v>0.49412017145677223</v>
      </c>
      <c r="R25" s="461">
        <v>2833477770</v>
      </c>
      <c r="S25" s="460">
        <v>0.49412017145677223</v>
      </c>
    </row>
    <row r="26" spans="1:19" ht="32.1" customHeight="1">
      <c r="A26" s="411" t="e">
        <v>#REF!</v>
      </c>
      <c r="B26" s="451" t="s">
        <v>339</v>
      </c>
      <c r="C26" s="452" t="s">
        <v>23</v>
      </c>
      <c r="D26" s="453" t="s">
        <v>25</v>
      </c>
      <c r="E26" s="453" t="s">
        <v>25</v>
      </c>
      <c r="F26" s="453" t="s">
        <v>54</v>
      </c>
      <c r="G26" s="453" t="s">
        <v>38</v>
      </c>
      <c r="H26" s="453"/>
      <c r="I26" s="454"/>
      <c r="J26" s="455" t="s">
        <v>28</v>
      </c>
      <c r="K26" s="456" t="s">
        <v>29</v>
      </c>
      <c r="L26" s="457" t="s">
        <v>837</v>
      </c>
      <c r="M26" s="458">
        <v>3803090000</v>
      </c>
      <c r="N26" s="458">
        <v>1044060500</v>
      </c>
      <c r="O26" s="460">
        <v>0.27452952730542796</v>
      </c>
      <c r="P26" s="461">
        <v>1044060500</v>
      </c>
      <c r="Q26" s="460">
        <v>0.27452952730542796</v>
      </c>
      <c r="R26" s="461">
        <v>1044060500</v>
      </c>
      <c r="S26" s="460">
        <v>0.27452952730542796</v>
      </c>
    </row>
    <row r="27" spans="1:19" ht="32.1" customHeight="1">
      <c r="A27" s="411" t="e">
        <v>#REF!</v>
      </c>
      <c r="B27" s="451" t="s">
        <v>341</v>
      </c>
      <c r="C27" s="452" t="s">
        <v>23</v>
      </c>
      <c r="D27" s="453" t="s">
        <v>25</v>
      </c>
      <c r="E27" s="453" t="s">
        <v>25</v>
      </c>
      <c r="F27" s="453" t="s">
        <v>54</v>
      </c>
      <c r="G27" s="453" t="s">
        <v>40</v>
      </c>
      <c r="H27" s="453"/>
      <c r="I27" s="454"/>
      <c r="J27" s="455" t="s">
        <v>28</v>
      </c>
      <c r="K27" s="456" t="s">
        <v>29</v>
      </c>
      <c r="L27" s="457" t="s">
        <v>60</v>
      </c>
      <c r="M27" s="458">
        <v>600000000</v>
      </c>
      <c r="N27" s="458">
        <v>300015200</v>
      </c>
      <c r="O27" s="460">
        <v>0.50002533333333332</v>
      </c>
      <c r="P27" s="461">
        <v>300015200</v>
      </c>
      <c r="Q27" s="460">
        <v>0.50002533333333332</v>
      </c>
      <c r="R27" s="461">
        <v>300015200</v>
      </c>
      <c r="S27" s="460">
        <v>0.50002533333333332</v>
      </c>
    </row>
    <row r="28" spans="1:19" ht="32.1" customHeight="1">
      <c r="A28" s="411" t="e">
        <v>#REF!</v>
      </c>
      <c r="B28" s="451" t="s">
        <v>343</v>
      </c>
      <c r="C28" s="452" t="s">
        <v>23</v>
      </c>
      <c r="D28" s="453" t="s">
        <v>25</v>
      </c>
      <c r="E28" s="453" t="s">
        <v>25</v>
      </c>
      <c r="F28" s="453" t="s">
        <v>54</v>
      </c>
      <c r="G28" s="453" t="s">
        <v>42</v>
      </c>
      <c r="H28" s="453"/>
      <c r="I28" s="454"/>
      <c r="J28" s="455" t="s">
        <v>28</v>
      </c>
      <c r="K28" s="456" t="s">
        <v>29</v>
      </c>
      <c r="L28" s="457" t="s">
        <v>61</v>
      </c>
      <c r="M28" s="458">
        <v>2852320000</v>
      </c>
      <c r="N28" s="458">
        <v>1032080800</v>
      </c>
      <c r="O28" s="460">
        <v>0.36183906434060692</v>
      </c>
      <c r="P28" s="461">
        <v>1032080800</v>
      </c>
      <c r="Q28" s="460">
        <v>0.36183906434060692</v>
      </c>
      <c r="R28" s="461">
        <v>1032080800</v>
      </c>
      <c r="S28" s="460">
        <v>0.36183906434060692</v>
      </c>
    </row>
    <row r="29" spans="1:19" ht="32.1" customHeight="1">
      <c r="A29" s="411" t="e">
        <v>#REF!</v>
      </c>
      <c r="B29" s="451" t="s">
        <v>345</v>
      </c>
      <c r="C29" s="452" t="s">
        <v>23</v>
      </c>
      <c r="D29" s="453" t="s">
        <v>25</v>
      </c>
      <c r="E29" s="453" t="s">
        <v>25</v>
      </c>
      <c r="F29" s="453" t="s">
        <v>54</v>
      </c>
      <c r="G29" s="453" t="s">
        <v>44</v>
      </c>
      <c r="H29" s="453"/>
      <c r="I29" s="454"/>
      <c r="J29" s="455" t="s">
        <v>28</v>
      </c>
      <c r="K29" s="456" t="s">
        <v>29</v>
      </c>
      <c r="L29" s="457" t="s">
        <v>62</v>
      </c>
      <c r="M29" s="458">
        <v>475390000</v>
      </c>
      <c r="N29" s="458">
        <v>172250900</v>
      </c>
      <c r="O29" s="460">
        <v>0.36233597677696205</v>
      </c>
      <c r="P29" s="461">
        <v>172250900</v>
      </c>
      <c r="Q29" s="460">
        <v>0.36233597677696205</v>
      </c>
      <c r="R29" s="461">
        <v>172250900</v>
      </c>
      <c r="S29" s="460">
        <v>0.36233597677696205</v>
      </c>
    </row>
    <row r="30" spans="1:19" ht="32.1" customHeight="1">
      <c r="A30" s="411" t="e">
        <v>#REF!</v>
      </c>
      <c r="B30" s="451" t="s">
        <v>347</v>
      </c>
      <c r="C30" s="452" t="s">
        <v>23</v>
      </c>
      <c r="D30" s="453" t="s">
        <v>25</v>
      </c>
      <c r="E30" s="453" t="s">
        <v>25</v>
      </c>
      <c r="F30" s="453" t="s">
        <v>54</v>
      </c>
      <c r="G30" s="453" t="s">
        <v>46</v>
      </c>
      <c r="H30" s="453"/>
      <c r="I30" s="454"/>
      <c r="J30" s="455" t="s">
        <v>28</v>
      </c>
      <c r="K30" s="456" t="s">
        <v>29</v>
      </c>
      <c r="L30" s="457" t="s">
        <v>63</v>
      </c>
      <c r="M30" s="458">
        <v>475390000</v>
      </c>
      <c r="N30" s="458">
        <v>172250900</v>
      </c>
      <c r="O30" s="460">
        <v>0.36233597677696205</v>
      </c>
      <c r="P30" s="461">
        <v>172250900</v>
      </c>
      <c r="Q30" s="460">
        <v>0.36233597677696205</v>
      </c>
      <c r="R30" s="461">
        <v>172250900</v>
      </c>
      <c r="S30" s="460">
        <v>0.36233597677696205</v>
      </c>
    </row>
    <row r="31" spans="1:19" ht="32.1" customHeight="1">
      <c r="A31" s="411" t="e">
        <v>#REF!</v>
      </c>
      <c r="B31" s="451" t="s">
        <v>349</v>
      </c>
      <c r="C31" s="452" t="s">
        <v>23</v>
      </c>
      <c r="D31" s="453" t="s">
        <v>25</v>
      </c>
      <c r="E31" s="453" t="s">
        <v>25</v>
      </c>
      <c r="F31" s="453" t="s">
        <v>54</v>
      </c>
      <c r="G31" s="453" t="s">
        <v>48</v>
      </c>
      <c r="H31" s="453"/>
      <c r="I31" s="454"/>
      <c r="J31" s="455" t="s">
        <v>28</v>
      </c>
      <c r="K31" s="456" t="s">
        <v>29</v>
      </c>
      <c r="L31" s="457" t="s">
        <v>64</v>
      </c>
      <c r="M31" s="458">
        <v>950780000</v>
      </c>
      <c r="N31" s="458">
        <v>344237400</v>
      </c>
      <c r="O31" s="460">
        <v>0.36205788931193333</v>
      </c>
      <c r="P31" s="461">
        <v>344237400</v>
      </c>
      <c r="Q31" s="460">
        <v>0.36205788931193333</v>
      </c>
      <c r="R31" s="461">
        <v>344237400</v>
      </c>
      <c r="S31" s="460">
        <v>0.36205788931193333</v>
      </c>
    </row>
    <row r="32" spans="1:19" ht="32.1" customHeight="1">
      <c r="A32" s="411" t="e">
        <v>#REF!</v>
      </c>
      <c r="B32" s="436" t="s">
        <v>351</v>
      </c>
      <c r="C32" s="437" t="s">
        <v>23</v>
      </c>
      <c r="D32" s="438" t="s">
        <v>25</v>
      </c>
      <c r="E32" s="438" t="s">
        <v>25</v>
      </c>
      <c r="F32" s="438" t="s">
        <v>65</v>
      </c>
      <c r="G32" s="438"/>
      <c r="H32" s="438"/>
      <c r="I32" s="439"/>
      <c r="J32" s="440" t="s">
        <v>28</v>
      </c>
      <c r="K32" s="440" t="s">
        <v>29</v>
      </c>
      <c r="L32" s="436" t="s">
        <v>66</v>
      </c>
      <c r="M32" s="441">
        <v>9133000000</v>
      </c>
      <c r="N32" s="441">
        <v>4732576668</v>
      </c>
      <c r="O32" s="442">
        <v>0.51818424044673161</v>
      </c>
      <c r="P32" s="443">
        <v>4731807128</v>
      </c>
      <c r="Q32" s="442">
        <v>0.51809998116719591</v>
      </c>
      <c r="R32" s="443">
        <v>4731807128</v>
      </c>
      <c r="S32" s="442">
        <v>0.51809998116719591</v>
      </c>
    </row>
    <row r="33" spans="1:19" ht="32.1" customHeight="1">
      <c r="A33" s="411" t="e">
        <v>#REF!</v>
      </c>
      <c r="B33" s="444" t="s">
        <v>353</v>
      </c>
      <c r="C33" s="445" t="s">
        <v>23</v>
      </c>
      <c r="D33" s="446" t="s">
        <v>25</v>
      </c>
      <c r="E33" s="446" t="s">
        <v>25</v>
      </c>
      <c r="F33" s="446" t="s">
        <v>65</v>
      </c>
      <c r="G33" s="446" t="s">
        <v>31</v>
      </c>
      <c r="H33" s="446"/>
      <c r="I33" s="447"/>
      <c r="J33" s="448" t="s">
        <v>28</v>
      </c>
      <c r="K33" s="448" t="s">
        <v>29</v>
      </c>
      <c r="L33" s="444" t="s">
        <v>67</v>
      </c>
      <c r="M33" s="449">
        <v>4840000000</v>
      </c>
      <c r="N33" s="449">
        <v>2673027362</v>
      </c>
      <c r="O33" s="450">
        <v>0.55227838057851242</v>
      </c>
      <c r="P33" s="449">
        <v>2673027362</v>
      </c>
      <c r="Q33" s="450">
        <v>0.55227838057851242</v>
      </c>
      <c r="R33" s="449">
        <v>2673027362</v>
      </c>
      <c r="S33" s="450">
        <v>0.55227838057851242</v>
      </c>
    </row>
    <row r="34" spans="1:19" ht="32.1" customHeight="1">
      <c r="A34" s="411" t="e">
        <v>#REF!</v>
      </c>
      <c r="B34" s="451" t="s">
        <v>355</v>
      </c>
      <c r="C34" s="452" t="s">
        <v>23</v>
      </c>
      <c r="D34" s="453" t="s">
        <v>25</v>
      </c>
      <c r="E34" s="453" t="s">
        <v>25</v>
      </c>
      <c r="F34" s="453" t="s">
        <v>65</v>
      </c>
      <c r="G34" s="453" t="s">
        <v>31</v>
      </c>
      <c r="H34" s="453" t="s">
        <v>31</v>
      </c>
      <c r="I34" s="454"/>
      <c r="J34" s="455" t="s">
        <v>28</v>
      </c>
      <c r="K34" s="456" t="s">
        <v>29</v>
      </c>
      <c r="L34" s="457" t="s">
        <v>838</v>
      </c>
      <c r="M34" s="458">
        <v>3560000000</v>
      </c>
      <c r="N34" s="458">
        <v>2193947873</v>
      </c>
      <c r="O34" s="460">
        <v>0.61627749241573038</v>
      </c>
      <c r="P34" s="461">
        <v>2193947873</v>
      </c>
      <c r="Q34" s="460">
        <v>0.61627749241573038</v>
      </c>
      <c r="R34" s="461">
        <v>2193947873</v>
      </c>
      <c r="S34" s="460">
        <v>0.61627749241573038</v>
      </c>
    </row>
    <row r="35" spans="1:19" ht="32.1" customHeight="1">
      <c r="A35" s="411" t="e">
        <v>#REF!</v>
      </c>
      <c r="B35" s="451" t="s">
        <v>357</v>
      </c>
      <c r="C35" s="452" t="s">
        <v>23</v>
      </c>
      <c r="D35" s="453" t="s">
        <v>25</v>
      </c>
      <c r="E35" s="453" t="s">
        <v>25</v>
      </c>
      <c r="F35" s="453" t="s">
        <v>65</v>
      </c>
      <c r="G35" s="453" t="s">
        <v>31</v>
      </c>
      <c r="H35" s="453" t="s">
        <v>34</v>
      </c>
      <c r="I35" s="454"/>
      <c r="J35" s="455" t="s">
        <v>28</v>
      </c>
      <c r="K35" s="456" t="s">
        <v>29</v>
      </c>
      <c r="L35" s="457" t="s">
        <v>69</v>
      </c>
      <c r="M35" s="458">
        <v>900000000</v>
      </c>
      <c r="N35" s="458">
        <v>274925416</v>
      </c>
      <c r="O35" s="460">
        <v>0.30547268444444442</v>
      </c>
      <c r="P35" s="461">
        <v>274925416</v>
      </c>
      <c r="Q35" s="460">
        <v>0.30547268444444442</v>
      </c>
      <c r="R35" s="461">
        <v>274925416</v>
      </c>
      <c r="S35" s="460">
        <v>0.30547268444444442</v>
      </c>
    </row>
    <row r="36" spans="1:19" ht="32.1" customHeight="1">
      <c r="A36" s="411" t="e">
        <v>#REF!</v>
      </c>
      <c r="B36" s="462" t="s">
        <v>359</v>
      </c>
      <c r="C36" s="463" t="s">
        <v>23</v>
      </c>
      <c r="D36" s="464" t="s">
        <v>25</v>
      </c>
      <c r="E36" s="464" t="s">
        <v>25</v>
      </c>
      <c r="F36" s="464" t="s">
        <v>65</v>
      </c>
      <c r="G36" s="464" t="s">
        <v>31</v>
      </c>
      <c r="H36" s="464" t="s">
        <v>36</v>
      </c>
      <c r="I36" s="465"/>
      <c r="J36" s="466" t="s">
        <v>28</v>
      </c>
      <c r="K36" s="467" t="s">
        <v>29</v>
      </c>
      <c r="L36" s="468" t="s">
        <v>70</v>
      </c>
      <c r="M36" s="469">
        <v>380000000</v>
      </c>
      <c r="N36" s="469">
        <v>204154073</v>
      </c>
      <c r="O36" s="470">
        <v>0.53724756052631584</v>
      </c>
      <c r="P36" s="471">
        <v>204154073</v>
      </c>
      <c r="Q36" s="470">
        <v>0.53724756052631584</v>
      </c>
      <c r="R36" s="471">
        <v>204154073</v>
      </c>
      <c r="S36" s="470">
        <v>0.53724756052631584</v>
      </c>
    </row>
    <row r="37" spans="1:19" ht="32.1" customHeight="1">
      <c r="A37" s="411" t="e">
        <v>#REF!</v>
      </c>
      <c r="B37" s="451" t="s">
        <v>361</v>
      </c>
      <c r="C37" s="452" t="s">
        <v>23</v>
      </c>
      <c r="D37" s="453" t="s">
        <v>25</v>
      </c>
      <c r="E37" s="453" t="s">
        <v>25</v>
      </c>
      <c r="F37" s="453" t="s">
        <v>65</v>
      </c>
      <c r="G37" s="453" t="s">
        <v>34</v>
      </c>
      <c r="H37" s="453"/>
      <c r="I37" s="454"/>
      <c r="J37" s="455" t="s">
        <v>28</v>
      </c>
      <c r="K37" s="456" t="s">
        <v>29</v>
      </c>
      <c r="L37" s="457" t="s">
        <v>71</v>
      </c>
      <c r="M37" s="458">
        <v>2600000000</v>
      </c>
      <c r="N37" s="458">
        <v>1119823554</v>
      </c>
      <c r="O37" s="460">
        <v>0.43070136692307692</v>
      </c>
      <c r="P37" s="461">
        <v>1119823554</v>
      </c>
      <c r="Q37" s="460">
        <v>0.43070136692307692</v>
      </c>
      <c r="R37" s="461">
        <v>1119823554</v>
      </c>
      <c r="S37" s="460">
        <v>0.43070136692307692</v>
      </c>
    </row>
    <row r="38" spans="1:19" ht="32.1" customHeight="1">
      <c r="A38" s="411" t="e">
        <v>#REF!</v>
      </c>
      <c r="B38" s="451" t="s">
        <v>363</v>
      </c>
      <c r="C38" s="452" t="s">
        <v>23</v>
      </c>
      <c r="D38" s="453" t="s">
        <v>25</v>
      </c>
      <c r="E38" s="453" t="s">
        <v>25</v>
      </c>
      <c r="F38" s="453" t="s">
        <v>65</v>
      </c>
      <c r="G38" s="453" t="s">
        <v>40</v>
      </c>
      <c r="H38" s="453"/>
      <c r="I38" s="454"/>
      <c r="J38" s="455" t="s">
        <v>28</v>
      </c>
      <c r="K38" s="456" t="s">
        <v>29</v>
      </c>
      <c r="L38" s="457" t="s">
        <v>72</v>
      </c>
      <c r="M38" s="458">
        <v>6000000</v>
      </c>
      <c r="N38" s="458">
        <v>4650659</v>
      </c>
      <c r="O38" s="460">
        <v>0.77510983333333339</v>
      </c>
      <c r="P38" s="461">
        <v>4650659</v>
      </c>
      <c r="Q38" s="460">
        <v>0.77510983333333339</v>
      </c>
      <c r="R38" s="461">
        <v>4650659</v>
      </c>
      <c r="S38" s="460">
        <v>0.77510983333333339</v>
      </c>
    </row>
    <row r="39" spans="1:19" ht="32.1" customHeight="1">
      <c r="A39" s="411" t="e">
        <v>#REF!</v>
      </c>
      <c r="B39" s="451" t="s">
        <v>364</v>
      </c>
      <c r="C39" s="452" t="s">
        <v>23</v>
      </c>
      <c r="D39" s="453" t="s">
        <v>25</v>
      </c>
      <c r="E39" s="453" t="s">
        <v>25</v>
      </c>
      <c r="F39" s="453" t="s">
        <v>65</v>
      </c>
      <c r="G39" s="453" t="s">
        <v>44</v>
      </c>
      <c r="H39" s="453"/>
      <c r="I39" s="454"/>
      <c r="J39" s="455" t="s">
        <v>28</v>
      </c>
      <c r="K39" s="456" t="s">
        <v>29</v>
      </c>
      <c r="L39" s="457" t="s">
        <v>73</v>
      </c>
      <c r="M39" s="458">
        <v>13000000</v>
      </c>
      <c r="N39" s="458">
        <v>0</v>
      </c>
      <c r="O39" s="460">
        <v>0</v>
      </c>
      <c r="P39" s="461">
        <v>0</v>
      </c>
      <c r="Q39" s="460">
        <v>0</v>
      </c>
      <c r="R39" s="461">
        <v>0</v>
      </c>
      <c r="S39" s="460">
        <v>0</v>
      </c>
    </row>
    <row r="40" spans="1:19" ht="32.1" customHeight="1">
      <c r="A40" s="411" t="e">
        <v>#REF!</v>
      </c>
      <c r="B40" s="451" t="s">
        <v>366</v>
      </c>
      <c r="C40" s="452" t="s">
        <v>23</v>
      </c>
      <c r="D40" s="453" t="s">
        <v>25</v>
      </c>
      <c r="E40" s="453" t="s">
        <v>25</v>
      </c>
      <c r="F40" s="453" t="s">
        <v>65</v>
      </c>
      <c r="G40" s="453" t="s">
        <v>74</v>
      </c>
      <c r="H40" s="453"/>
      <c r="I40" s="454"/>
      <c r="J40" s="455" t="s">
        <v>28</v>
      </c>
      <c r="K40" s="456" t="s">
        <v>29</v>
      </c>
      <c r="L40" s="457" t="s">
        <v>75</v>
      </c>
      <c r="M40" s="458">
        <v>40000000</v>
      </c>
      <c r="N40" s="458">
        <v>0</v>
      </c>
      <c r="O40" s="460">
        <v>0</v>
      </c>
      <c r="P40" s="461">
        <v>0</v>
      </c>
      <c r="Q40" s="460">
        <v>0</v>
      </c>
      <c r="R40" s="461">
        <v>0</v>
      </c>
      <c r="S40" s="460">
        <v>0</v>
      </c>
    </row>
    <row r="41" spans="1:19" ht="32.1" customHeight="1">
      <c r="A41" s="411" t="e">
        <v>#REF!</v>
      </c>
      <c r="B41" s="451" t="s">
        <v>368</v>
      </c>
      <c r="C41" s="452" t="s">
        <v>23</v>
      </c>
      <c r="D41" s="453" t="s">
        <v>25</v>
      </c>
      <c r="E41" s="453" t="s">
        <v>25</v>
      </c>
      <c r="F41" s="453" t="s">
        <v>65</v>
      </c>
      <c r="G41" s="453" t="s">
        <v>76</v>
      </c>
      <c r="H41" s="453"/>
      <c r="I41" s="454"/>
      <c r="J41" s="455" t="s">
        <v>28</v>
      </c>
      <c r="K41" s="456" t="s">
        <v>29</v>
      </c>
      <c r="L41" s="457" t="s">
        <v>77</v>
      </c>
      <c r="M41" s="458">
        <v>984000000</v>
      </c>
      <c r="N41" s="458">
        <v>575439961</v>
      </c>
      <c r="O41" s="460">
        <v>0.5847967083333333</v>
      </c>
      <c r="P41" s="461">
        <v>574670421</v>
      </c>
      <c r="Q41" s="460">
        <v>0.58401465548780485</v>
      </c>
      <c r="R41" s="461">
        <v>574670421</v>
      </c>
      <c r="S41" s="460">
        <v>0.58401465548780485</v>
      </c>
    </row>
    <row r="42" spans="1:19" ht="32.1" customHeight="1">
      <c r="A42" s="411" t="e">
        <v>#REF!</v>
      </c>
      <c r="B42" s="451" t="s">
        <v>370</v>
      </c>
      <c r="C42" s="452" t="s">
        <v>23</v>
      </c>
      <c r="D42" s="453" t="s">
        <v>25</v>
      </c>
      <c r="E42" s="453" t="s">
        <v>25</v>
      </c>
      <c r="F42" s="453" t="s">
        <v>65</v>
      </c>
      <c r="G42" s="453" t="s">
        <v>78</v>
      </c>
      <c r="H42" s="453"/>
      <c r="I42" s="454"/>
      <c r="J42" s="455" t="s">
        <v>28</v>
      </c>
      <c r="K42" s="456" t="s">
        <v>29</v>
      </c>
      <c r="L42" s="457" t="s">
        <v>79</v>
      </c>
      <c r="M42" s="458">
        <v>650000000</v>
      </c>
      <c r="N42" s="458">
        <v>359635132</v>
      </c>
      <c r="O42" s="460">
        <v>0.55328481846153843</v>
      </c>
      <c r="P42" s="461">
        <v>359635132</v>
      </c>
      <c r="Q42" s="460">
        <v>0.55328481846153843</v>
      </c>
      <c r="R42" s="461">
        <v>359635132</v>
      </c>
      <c r="S42" s="460">
        <v>0.55328481846153843</v>
      </c>
    </row>
    <row r="43" spans="1:19" ht="32.1" customHeight="1">
      <c r="A43" s="411" t="e">
        <v>#REF!</v>
      </c>
      <c r="B43" s="420" t="s">
        <v>372</v>
      </c>
      <c r="C43" s="421" t="s">
        <v>23</v>
      </c>
      <c r="D43" s="422" t="s">
        <v>54</v>
      </c>
      <c r="E43" s="422"/>
      <c r="F43" s="422"/>
      <c r="G43" s="422"/>
      <c r="H43" s="422"/>
      <c r="I43" s="423"/>
      <c r="J43" s="424"/>
      <c r="K43" s="424"/>
      <c r="L43" s="420" t="s">
        <v>178</v>
      </c>
      <c r="M43" s="425">
        <v>44658000000</v>
      </c>
      <c r="N43" s="425">
        <v>29347515851.669998</v>
      </c>
      <c r="O43" s="426">
        <v>0.65716144591495362</v>
      </c>
      <c r="P43" s="427">
        <v>14281603303.82</v>
      </c>
      <c r="Q43" s="426">
        <v>0.3197994380361861</v>
      </c>
      <c r="R43" s="427">
        <v>14117418970.82</v>
      </c>
      <c r="S43" s="426">
        <v>0.31612295603967933</v>
      </c>
    </row>
    <row r="44" spans="1:19" ht="32.1" customHeight="1">
      <c r="A44" s="411" t="e">
        <v>#REF!</v>
      </c>
      <c r="B44" s="428" t="s">
        <v>373</v>
      </c>
      <c r="C44" s="429" t="s">
        <v>23</v>
      </c>
      <c r="D44" s="430" t="s">
        <v>54</v>
      </c>
      <c r="E44" s="430" t="s">
        <v>25</v>
      </c>
      <c r="F44" s="430"/>
      <c r="G44" s="430"/>
      <c r="H44" s="430"/>
      <c r="I44" s="431"/>
      <c r="J44" s="432"/>
      <c r="K44" s="432"/>
      <c r="L44" s="428" t="s">
        <v>291</v>
      </c>
      <c r="M44" s="433">
        <v>375658448</v>
      </c>
      <c r="N44" s="433">
        <v>0</v>
      </c>
      <c r="O44" s="434">
        <v>0</v>
      </c>
      <c r="P44" s="435">
        <v>0</v>
      </c>
      <c r="Q44" s="434">
        <v>0</v>
      </c>
      <c r="R44" s="435">
        <v>0</v>
      </c>
      <c r="S44" s="434">
        <v>0</v>
      </c>
    </row>
    <row r="45" spans="1:19" ht="32.1" customHeight="1">
      <c r="A45" s="411" t="e">
        <v>#REF!</v>
      </c>
      <c r="B45" s="436" t="s">
        <v>374</v>
      </c>
      <c r="C45" s="437" t="s">
        <v>23</v>
      </c>
      <c r="D45" s="438" t="s">
        <v>54</v>
      </c>
      <c r="E45" s="438" t="s">
        <v>25</v>
      </c>
      <c r="F45" s="438" t="s">
        <v>25</v>
      </c>
      <c r="G45" s="438"/>
      <c r="H45" s="438"/>
      <c r="I45" s="439"/>
      <c r="J45" s="440" t="s">
        <v>28</v>
      </c>
      <c r="K45" s="440" t="s">
        <v>29</v>
      </c>
      <c r="L45" s="436" t="s">
        <v>82</v>
      </c>
      <c r="M45" s="441">
        <v>375658448</v>
      </c>
      <c r="N45" s="441">
        <v>0</v>
      </c>
      <c r="O45" s="442">
        <v>0</v>
      </c>
      <c r="P45" s="443">
        <v>0</v>
      </c>
      <c r="Q45" s="442">
        <v>0</v>
      </c>
      <c r="R45" s="443">
        <v>0</v>
      </c>
      <c r="S45" s="442">
        <v>0</v>
      </c>
    </row>
    <row r="46" spans="1:19" ht="32.1" customHeight="1">
      <c r="A46" s="411" t="e">
        <v>#REF!</v>
      </c>
      <c r="B46" s="444" t="s">
        <v>375</v>
      </c>
      <c r="C46" s="445" t="s">
        <v>23</v>
      </c>
      <c r="D46" s="446" t="s">
        <v>54</v>
      </c>
      <c r="E46" s="446" t="s">
        <v>25</v>
      </c>
      <c r="F46" s="446" t="s">
        <v>25</v>
      </c>
      <c r="G46" s="446" t="s">
        <v>38</v>
      </c>
      <c r="H46" s="446"/>
      <c r="I46" s="447"/>
      <c r="J46" s="448" t="s">
        <v>28</v>
      </c>
      <c r="K46" s="448" t="s">
        <v>29</v>
      </c>
      <c r="L46" s="444" t="s">
        <v>83</v>
      </c>
      <c r="M46" s="449">
        <v>375658448</v>
      </c>
      <c r="N46" s="449">
        <v>0</v>
      </c>
      <c r="O46" s="450">
        <v>0</v>
      </c>
      <c r="P46" s="449">
        <v>0</v>
      </c>
      <c r="Q46" s="450">
        <v>0</v>
      </c>
      <c r="R46" s="449">
        <v>0</v>
      </c>
      <c r="S46" s="450">
        <v>0</v>
      </c>
    </row>
    <row r="47" spans="1:19" ht="32.1" customHeight="1">
      <c r="A47" s="411" t="e">
        <v>#REF!</v>
      </c>
      <c r="B47" s="451" t="s">
        <v>724</v>
      </c>
      <c r="C47" s="452" t="s">
        <v>23</v>
      </c>
      <c r="D47" s="453" t="s">
        <v>54</v>
      </c>
      <c r="E47" s="453" t="s">
        <v>25</v>
      </c>
      <c r="F47" s="453" t="s">
        <v>25</v>
      </c>
      <c r="G47" s="453" t="s">
        <v>38</v>
      </c>
      <c r="H47" s="472" t="s">
        <v>42</v>
      </c>
      <c r="I47" s="454"/>
      <c r="J47" s="455">
        <v>10</v>
      </c>
      <c r="K47" s="456" t="s">
        <v>29</v>
      </c>
      <c r="L47" s="457" t="s">
        <v>84</v>
      </c>
      <c r="M47" s="458">
        <v>295000000</v>
      </c>
      <c r="N47" s="458">
        <v>0</v>
      </c>
      <c r="O47" s="460">
        <v>0</v>
      </c>
      <c r="P47" s="461">
        <v>0</v>
      </c>
      <c r="Q47" s="460">
        <v>0</v>
      </c>
      <c r="R47" s="461">
        <v>0</v>
      </c>
      <c r="S47" s="460">
        <v>0</v>
      </c>
    </row>
    <row r="48" spans="1:19" ht="32.1" customHeight="1">
      <c r="A48" s="411" t="e">
        <v>#REF!</v>
      </c>
      <c r="B48" s="451" t="s">
        <v>725</v>
      </c>
      <c r="C48" s="452" t="s">
        <v>23</v>
      </c>
      <c r="D48" s="453" t="s">
        <v>54</v>
      </c>
      <c r="E48" s="453" t="s">
        <v>25</v>
      </c>
      <c r="F48" s="453" t="s">
        <v>25</v>
      </c>
      <c r="G48" s="453" t="s">
        <v>38</v>
      </c>
      <c r="H48" s="472" t="s">
        <v>44</v>
      </c>
      <c r="I48" s="454"/>
      <c r="J48" s="455">
        <v>10</v>
      </c>
      <c r="K48" s="456" t="s">
        <v>29</v>
      </c>
      <c r="L48" s="457" t="s">
        <v>85</v>
      </c>
      <c r="M48" s="458">
        <v>80658448</v>
      </c>
      <c r="N48" s="458">
        <v>0</v>
      </c>
      <c r="O48" s="460">
        <v>0</v>
      </c>
      <c r="P48" s="461">
        <v>0</v>
      </c>
      <c r="Q48" s="460">
        <v>0</v>
      </c>
      <c r="R48" s="461">
        <v>0</v>
      </c>
      <c r="S48" s="460">
        <v>0</v>
      </c>
    </row>
    <row r="49" spans="1:19" ht="32.1" customHeight="1">
      <c r="A49" s="411" t="e">
        <v>#REF!</v>
      </c>
      <c r="B49" s="428" t="s">
        <v>377</v>
      </c>
      <c r="C49" s="429" t="s">
        <v>23</v>
      </c>
      <c r="D49" s="430" t="s">
        <v>54</v>
      </c>
      <c r="E49" s="430" t="s">
        <v>54</v>
      </c>
      <c r="F49" s="430"/>
      <c r="G49" s="430"/>
      <c r="H49" s="430"/>
      <c r="I49" s="431"/>
      <c r="J49" s="432"/>
      <c r="K49" s="432"/>
      <c r="L49" s="428" t="s">
        <v>86</v>
      </c>
      <c r="M49" s="433">
        <v>44282341552</v>
      </c>
      <c r="N49" s="433">
        <v>29347515851.669998</v>
      </c>
      <c r="O49" s="434">
        <v>0.66273631481767303</v>
      </c>
      <c r="P49" s="435">
        <v>14281603303.82</v>
      </c>
      <c r="Q49" s="434">
        <v>0.32251237859789678</v>
      </c>
      <c r="R49" s="435">
        <v>14117418970.82</v>
      </c>
      <c r="S49" s="434">
        <v>0.31880470806274225</v>
      </c>
    </row>
    <row r="50" spans="1:19" ht="32.1" customHeight="1">
      <c r="A50" s="411" t="e">
        <v>#REF!</v>
      </c>
      <c r="B50" s="436" t="s">
        <v>379</v>
      </c>
      <c r="C50" s="437" t="s">
        <v>23</v>
      </c>
      <c r="D50" s="438" t="s">
        <v>54</v>
      </c>
      <c r="E50" s="438" t="s">
        <v>54</v>
      </c>
      <c r="F50" s="438" t="s">
        <v>25</v>
      </c>
      <c r="G50" s="438"/>
      <c r="H50" s="438"/>
      <c r="I50" s="439"/>
      <c r="J50" s="440" t="s">
        <v>28</v>
      </c>
      <c r="K50" s="440" t="s">
        <v>29</v>
      </c>
      <c r="L50" s="436" t="s">
        <v>87</v>
      </c>
      <c r="M50" s="441">
        <v>1764410954</v>
      </c>
      <c r="N50" s="441">
        <v>277620279</v>
      </c>
      <c r="O50" s="442">
        <v>0.15734445445978568</v>
      </c>
      <c r="P50" s="443">
        <v>172964058.63999999</v>
      </c>
      <c r="Q50" s="442">
        <v>9.8029349822320352E-2</v>
      </c>
      <c r="R50" s="443">
        <v>172964058.63999999</v>
      </c>
      <c r="S50" s="442">
        <v>9.8029349822320352E-2</v>
      </c>
    </row>
    <row r="51" spans="1:19" ht="32.1" customHeight="1">
      <c r="A51" s="411" t="e">
        <v>#REF!</v>
      </c>
      <c r="B51" s="444" t="s">
        <v>381</v>
      </c>
      <c r="C51" s="445" t="s">
        <v>23</v>
      </c>
      <c r="D51" s="446" t="s">
        <v>54</v>
      </c>
      <c r="E51" s="446" t="s">
        <v>54</v>
      </c>
      <c r="F51" s="446" t="s">
        <v>25</v>
      </c>
      <c r="G51" s="446" t="s">
        <v>31</v>
      </c>
      <c r="H51" s="446"/>
      <c r="I51" s="447"/>
      <c r="J51" s="448" t="s">
        <v>28</v>
      </c>
      <c r="K51" s="448" t="s">
        <v>29</v>
      </c>
      <c r="L51" s="444" t="s">
        <v>88</v>
      </c>
      <c r="M51" s="449">
        <v>19000000</v>
      </c>
      <c r="N51" s="449">
        <v>0</v>
      </c>
      <c r="O51" s="450">
        <v>0</v>
      </c>
      <c r="P51" s="449">
        <v>0</v>
      </c>
      <c r="Q51" s="450">
        <v>0</v>
      </c>
      <c r="R51" s="449">
        <v>0</v>
      </c>
      <c r="S51" s="450">
        <v>0</v>
      </c>
    </row>
    <row r="52" spans="1:19" ht="32.1" customHeight="1">
      <c r="A52" s="411" t="e">
        <v>#REF!</v>
      </c>
      <c r="B52" s="451" t="s">
        <v>555</v>
      </c>
      <c r="C52" s="452" t="s">
        <v>23</v>
      </c>
      <c r="D52" s="453" t="s">
        <v>54</v>
      </c>
      <c r="E52" s="453" t="s">
        <v>54</v>
      </c>
      <c r="F52" s="453" t="s">
        <v>25</v>
      </c>
      <c r="G52" s="453" t="s">
        <v>31</v>
      </c>
      <c r="H52" s="453" t="s">
        <v>40</v>
      </c>
      <c r="I52" s="454"/>
      <c r="J52" s="455">
        <v>10</v>
      </c>
      <c r="K52" s="456" t="s">
        <v>29</v>
      </c>
      <c r="L52" s="457" t="s">
        <v>89</v>
      </c>
      <c r="M52" s="458">
        <v>6000000</v>
      </c>
      <c r="N52" s="458">
        <v>0</v>
      </c>
      <c r="O52" s="460">
        <v>0</v>
      </c>
      <c r="P52" s="461">
        <v>0</v>
      </c>
      <c r="Q52" s="460">
        <v>0</v>
      </c>
      <c r="R52" s="461">
        <v>0</v>
      </c>
      <c r="S52" s="460">
        <v>0</v>
      </c>
    </row>
    <row r="53" spans="1:19" ht="32.1" customHeight="1">
      <c r="A53" s="411" t="e">
        <v>#REF!</v>
      </c>
      <c r="B53" s="451" t="s">
        <v>557</v>
      </c>
      <c r="C53" s="452" t="s">
        <v>23</v>
      </c>
      <c r="D53" s="453" t="s">
        <v>54</v>
      </c>
      <c r="E53" s="453" t="s">
        <v>54</v>
      </c>
      <c r="F53" s="453" t="s">
        <v>25</v>
      </c>
      <c r="G53" s="453" t="s">
        <v>31</v>
      </c>
      <c r="H53" s="453" t="s">
        <v>44</v>
      </c>
      <c r="I53" s="454"/>
      <c r="J53" s="455">
        <v>10</v>
      </c>
      <c r="K53" s="456" t="s">
        <v>29</v>
      </c>
      <c r="L53" s="457" t="s">
        <v>90</v>
      </c>
      <c r="M53" s="458">
        <v>13000000</v>
      </c>
      <c r="N53" s="458">
        <v>0</v>
      </c>
      <c r="O53" s="460">
        <v>0</v>
      </c>
      <c r="P53" s="461">
        <v>0</v>
      </c>
      <c r="Q53" s="460">
        <v>0</v>
      </c>
      <c r="R53" s="461">
        <v>0</v>
      </c>
      <c r="S53" s="460">
        <v>0</v>
      </c>
    </row>
    <row r="54" spans="1:19" ht="32.1" customHeight="1">
      <c r="A54" s="411" t="e">
        <v>#REF!</v>
      </c>
      <c r="B54" s="444" t="s">
        <v>383</v>
      </c>
      <c r="C54" s="445" t="s">
        <v>23</v>
      </c>
      <c r="D54" s="446" t="s">
        <v>54</v>
      </c>
      <c r="E54" s="446" t="s">
        <v>54</v>
      </c>
      <c r="F54" s="446" t="s">
        <v>25</v>
      </c>
      <c r="G54" s="446" t="s">
        <v>34</v>
      </c>
      <c r="H54" s="446"/>
      <c r="I54" s="447"/>
      <c r="J54" s="448" t="s">
        <v>28</v>
      </c>
      <c r="K54" s="448" t="s">
        <v>29</v>
      </c>
      <c r="L54" s="444" t="s">
        <v>91</v>
      </c>
      <c r="M54" s="449">
        <v>196000000</v>
      </c>
      <c r="N54" s="449">
        <v>66000000</v>
      </c>
      <c r="O54" s="450">
        <v>0.33673469387755101</v>
      </c>
      <c r="P54" s="449">
        <v>57098031.490000002</v>
      </c>
      <c r="Q54" s="450">
        <v>0.29131648719387754</v>
      </c>
      <c r="R54" s="449">
        <v>57098031.490000002</v>
      </c>
      <c r="S54" s="450">
        <v>0.29131648719387754</v>
      </c>
    </row>
    <row r="55" spans="1:19" ht="32.1" customHeight="1">
      <c r="A55" s="411" t="e">
        <v>#REF!</v>
      </c>
      <c r="B55" s="451" t="s">
        <v>826</v>
      </c>
      <c r="C55" s="452" t="s">
        <v>23</v>
      </c>
      <c r="D55" s="453" t="s">
        <v>54</v>
      </c>
      <c r="E55" s="453" t="s">
        <v>54</v>
      </c>
      <c r="F55" s="453" t="s">
        <v>25</v>
      </c>
      <c r="G55" s="453" t="s">
        <v>34</v>
      </c>
      <c r="H55" s="472" t="s">
        <v>36</v>
      </c>
      <c r="I55" s="454"/>
      <c r="J55" s="455">
        <v>10</v>
      </c>
      <c r="K55" s="456" t="s">
        <v>29</v>
      </c>
      <c r="L55" s="457" t="s">
        <v>822</v>
      </c>
      <c r="M55" s="458">
        <v>66000000</v>
      </c>
      <c r="N55" s="458">
        <v>66000000</v>
      </c>
      <c r="O55" s="460">
        <v>1</v>
      </c>
      <c r="P55" s="461">
        <v>57098031.490000002</v>
      </c>
      <c r="Q55" s="460">
        <v>0.86512168924242427</v>
      </c>
      <c r="R55" s="461">
        <v>57098031.490000002</v>
      </c>
      <c r="S55" s="460">
        <v>0.86512168924242427</v>
      </c>
    </row>
    <row r="56" spans="1:19" ht="32.1" customHeight="1">
      <c r="A56" s="411" t="e">
        <v>#REF!</v>
      </c>
      <c r="B56" s="451" t="s">
        <v>559</v>
      </c>
      <c r="C56" s="452" t="s">
        <v>23</v>
      </c>
      <c r="D56" s="453" t="s">
        <v>54</v>
      </c>
      <c r="E56" s="453" t="s">
        <v>54</v>
      </c>
      <c r="F56" s="453" t="s">
        <v>25</v>
      </c>
      <c r="G56" s="453" t="s">
        <v>34</v>
      </c>
      <c r="H56" s="453" t="s">
        <v>46</v>
      </c>
      <c r="I56" s="454"/>
      <c r="J56" s="455">
        <v>10</v>
      </c>
      <c r="K56" s="456" t="s">
        <v>29</v>
      </c>
      <c r="L56" s="457" t="s">
        <v>92</v>
      </c>
      <c r="M56" s="458">
        <v>130000000</v>
      </c>
      <c r="N56" s="458">
        <v>0</v>
      </c>
      <c r="O56" s="460">
        <v>0</v>
      </c>
      <c r="P56" s="461">
        <v>0</v>
      </c>
      <c r="Q56" s="460">
        <v>0</v>
      </c>
      <c r="R56" s="461">
        <v>0</v>
      </c>
      <c r="S56" s="460">
        <v>0</v>
      </c>
    </row>
    <row r="57" spans="1:19" ht="32.1" customHeight="1">
      <c r="A57" s="411" t="e">
        <v>#REF!</v>
      </c>
      <c r="B57" s="444" t="s">
        <v>385</v>
      </c>
      <c r="C57" s="445" t="s">
        <v>23</v>
      </c>
      <c r="D57" s="446" t="s">
        <v>54</v>
      </c>
      <c r="E57" s="446" t="s">
        <v>54</v>
      </c>
      <c r="F57" s="446" t="s">
        <v>25</v>
      </c>
      <c r="G57" s="446" t="s">
        <v>36</v>
      </c>
      <c r="H57" s="446"/>
      <c r="I57" s="447"/>
      <c r="J57" s="448" t="s">
        <v>28</v>
      </c>
      <c r="K57" s="448" t="s">
        <v>29</v>
      </c>
      <c r="L57" s="444" t="s">
        <v>93</v>
      </c>
      <c r="M57" s="449">
        <v>734410954</v>
      </c>
      <c r="N57" s="449">
        <v>202635779</v>
      </c>
      <c r="O57" s="450">
        <v>0.2759160629295298</v>
      </c>
      <c r="P57" s="449">
        <v>106881527.14999999</v>
      </c>
      <c r="Q57" s="450">
        <v>0.14553367779696813</v>
      </c>
      <c r="R57" s="449">
        <v>106881527.14999999</v>
      </c>
      <c r="S57" s="450">
        <v>0.14553367779696813</v>
      </c>
    </row>
    <row r="58" spans="1:19" ht="32.1" customHeight="1">
      <c r="A58" s="411" t="e">
        <v>#REF!</v>
      </c>
      <c r="B58" s="451" t="s">
        <v>561</v>
      </c>
      <c r="C58" s="452" t="s">
        <v>23</v>
      </c>
      <c r="D58" s="453" t="s">
        <v>54</v>
      </c>
      <c r="E58" s="453" t="s">
        <v>54</v>
      </c>
      <c r="F58" s="453" t="s">
        <v>25</v>
      </c>
      <c r="G58" s="453" t="s">
        <v>36</v>
      </c>
      <c r="H58" s="453" t="s">
        <v>34</v>
      </c>
      <c r="I58" s="454"/>
      <c r="J58" s="455">
        <v>10</v>
      </c>
      <c r="K58" s="456" t="s">
        <v>29</v>
      </c>
      <c r="L58" s="457" t="s">
        <v>94</v>
      </c>
      <c r="M58" s="458">
        <v>407575175</v>
      </c>
      <c r="N58" s="458">
        <v>300000</v>
      </c>
      <c r="O58" s="460">
        <v>7.3606053165529528E-4</v>
      </c>
      <c r="P58" s="461">
        <v>300000</v>
      </c>
      <c r="Q58" s="460">
        <v>7.3606053165529528E-4</v>
      </c>
      <c r="R58" s="461">
        <v>300000</v>
      </c>
      <c r="S58" s="460">
        <v>7.3606053165529528E-4</v>
      </c>
    </row>
    <row r="59" spans="1:19" ht="32.1" customHeight="1">
      <c r="A59" s="411" t="e">
        <v>#REF!</v>
      </c>
      <c r="B59" s="451" t="s">
        <v>563</v>
      </c>
      <c r="C59" s="452" t="s">
        <v>23</v>
      </c>
      <c r="D59" s="453" t="s">
        <v>54</v>
      </c>
      <c r="E59" s="453" t="s">
        <v>54</v>
      </c>
      <c r="F59" s="453" t="s">
        <v>25</v>
      </c>
      <c r="G59" s="453" t="s">
        <v>36</v>
      </c>
      <c r="H59" s="453" t="s">
        <v>36</v>
      </c>
      <c r="I59" s="454"/>
      <c r="J59" s="455">
        <v>10</v>
      </c>
      <c r="K59" s="456" t="s">
        <v>29</v>
      </c>
      <c r="L59" s="457" t="s">
        <v>95</v>
      </c>
      <c r="M59" s="458">
        <v>110835779</v>
      </c>
      <c r="N59" s="458">
        <v>103335779</v>
      </c>
      <c r="O59" s="460">
        <v>0.93233232023388402</v>
      </c>
      <c r="P59" s="461">
        <v>24609638.940000001</v>
      </c>
      <c r="Q59" s="460">
        <v>0.22203695559355432</v>
      </c>
      <c r="R59" s="461">
        <v>24609638.940000001</v>
      </c>
      <c r="S59" s="460">
        <v>0.22203695559355432</v>
      </c>
    </row>
    <row r="60" spans="1:19" ht="32.1" customHeight="1">
      <c r="A60" s="411" t="e">
        <v>#REF!</v>
      </c>
      <c r="B60" s="451" t="s">
        <v>565</v>
      </c>
      <c r="C60" s="452" t="s">
        <v>23</v>
      </c>
      <c r="D60" s="453" t="s">
        <v>54</v>
      </c>
      <c r="E60" s="453" t="s">
        <v>54</v>
      </c>
      <c r="F60" s="453" t="s">
        <v>25</v>
      </c>
      <c r="G60" s="453" t="s">
        <v>36</v>
      </c>
      <c r="H60" s="453" t="s">
        <v>40</v>
      </c>
      <c r="I60" s="454"/>
      <c r="J60" s="455">
        <v>10</v>
      </c>
      <c r="K60" s="456" t="s">
        <v>29</v>
      </c>
      <c r="L60" s="457" t="s">
        <v>96</v>
      </c>
      <c r="M60" s="458">
        <v>113000000</v>
      </c>
      <c r="N60" s="458">
        <v>99000000</v>
      </c>
      <c r="O60" s="460">
        <v>0.87610619469026552</v>
      </c>
      <c r="P60" s="461">
        <v>81971888.209999993</v>
      </c>
      <c r="Q60" s="460">
        <v>0.72541493991150441</v>
      </c>
      <c r="R60" s="461">
        <v>81971888.209999993</v>
      </c>
      <c r="S60" s="460">
        <v>0.72541493991150441</v>
      </c>
    </row>
    <row r="61" spans="1:19" ht="32.1" customHeight="1">
      <c r="A61" s="411" t="e">
        <v>#REF!</v>
      </c>
      <c r="B61" s="451" t="s">
        <v>567</v>
      </c>
      <c r="C61" s="452" t="s">
        <v>23</v>
      </c>
      <c r="D61" s="453" t="s">
        <v>54</v>
      </c>
      <c r="E61" s="453" t="s">
        <v>54</v>
      </c>
      <c r="F61" s="453" t="s">
        <v>25</v>
      </c>
      <c r="G61" s="453" t="s">
        <v>36</v>
      </c>
      <c r="H61" s="453" t="s">
        <v>42</v>
      </c>
      <c r="I61" s="454"/>
      <c r="J61" s="455">
        <v>10</v>
      </c>
      <c r="K61" s="456" t="s">
        <v>29</v>
      </c>
      <c r="L61" s="457" t="s">
        <v>97</v>
      </c>
      <c r="M61" s="458">
        <v>20000000</v>
      </c>
      <c r="N61" s="458">
        <v>0</v>
      </c>
      <c r="O61" s="460">
        <v>0</v>
      </c>
      <c r="P61" s="461">
        <v>0</v>
      </c>
      <c r="Q61" s="460">
        <v>0</v>
      </c>
      <c r="R61" s="461">
        <v>0</v>
      </c>
      <c r="S61" s="460">
        <v>0</v>
      </c>
    </row>
    <row r="62" spans="1:19" ht="32.1" customHeight="1">
      <c r="A62" s="411" t="e">
        <v>#REF!</v>
      </c>
      <c r="B62" s="451" t="s">
        <v>571</v>
      </c>
      <c r="C62" s="452" t="s">
        <v>23</v>
      </c>
      <c r="D62" s="453" t="s">
        <v>54</v>
      </c>
      <c r="E62" s="453" t="s">
        <v>54</v>
      </c>
      <c r="F62" s="453" t="s">
        <v>25</v>
      </c>
      <c r="G62" s="453" t="s">
        <v>36</v>
      </c>
      <c r="H62" s="453" t="s">
        <v>46</v>
      </c>
      <c r="I62" s="454"/>
      <c r="J62" s="455">
        <v>10</v>
      </c>
      <c r="K62" s="456" t="s">
        <v>29</v>
      </c>
      <c r="L62" s="457" t="s">
        <v>99</v>
      </c>
      <c r="M62" s="458">
        <v>83000000</v>
      </c>
      <c r="N62" s="458">
        <v>0</v>
      </c>
      <c r="O62" s="460">
        <v>0</v>
      </c>
      <c r="P62" s="461">
        <v>0</v>
      </c>
      <c r="Q62" s="460">
        <v>0</v>
      </c>
      <c r="R62" s="461">
        <v>0</v>
      </c>
      <c r="S62" s="460">
        <v>0</v>
      </c>
    </row>
    <row r="63" spans="1:19" ht="32.1" customHeight="1">
      <c r="A63" s="411" t="e">
        <v>#REF!</v>
      </c>
      <c r="B63" s="444" t="s">
        <v>387</v>
      </c>
      <c r="C63" s="445" t="s">
        <v>23</v>
      </c>
      <c r="D63" s="446" t="s">
        <v>54</v>
      </c>
      <c r="E63" s="446" t="s">
        <v>54</v>
      </c>
      <c r="F63" s="446" t="s">
        <v>25</v>
      </c>
      <c r="G63" s="446" t="s">
        <v>38</v>
      </c>
      <c r="H63" s="446"/>
      <c r="I63" s="447"/>
      <c r="J63" s="448" t="s">
        <v>28</v>
      </c>
      <c r="K63" s="448" t="s">
        <v>29</v>
      </c>
      <c r="L63" s="444" t="s">
        <v>100</v>
      </c>
      <c r="M63" s="449">
        <v>815000000</v>
      </c>
      <c r="N63" s="449">
        <v>8984500</v>
      </c>
      <c r="O63" s="450">
        <v>1.1023926380368098E-2</v>
      </c>
      <c r="P63" s="449">
        <v>8984500</v>
      </c>
      <c r="Q63" s="450">
        <v>1.1023926380368098E-2</v>
      </c>
      <c r="R63" s="449">
        <v>8984500</v>
      </c>
      <c r="S63" s="450">
        <v>1.1023926380368098E-2</v>
      </c>
    </row>
    <row r="64" spans="1:19" ht="32.1" customHeight="1">
      <c r="A64" s="411" t="e">
        <v>#REF!</v>
      </c>
      <c r="B64" s="451" t="s">
        <v>573</v>
      </c>
      <c r="C64" s="452" t="s">
        <v>23</v>
      </c>
      <c r="D64" s="453" t="s">
        <v>54</v>
      </c>
      <c r="E64" s="453" t="s">
        <v>54</v>
      </c>
      <c r="F64" s="453" t="s">
        <v>25</v>
      </c>
      <c r="G64" s="453" t="s">
        <v>38</v>
      </c>
      <c r="H64" s="453" t="s">
        <v>34</v>
      </c>
      <c r="I64" s="454"/>
      <c r="J64" s="455">
        <v>10</v>
      </c>
      <c r="K64" s="456" t="s">
        <v>29</v>
      </c>
      <c r="L64" s="457" t="s">
        <v>101</v>
      </c>
      <c r="M64" s="458">
        <v>30000000</v>
      </c>
      <c r="N64" s="458">
        <v>0</v>
      </c>
      <c r="O64" s="460">
        <v>0</v>
      </c>
      <c r="P64" s="461">
        <v>0</v>
      </c>
      <c r="Q64" s="460">
        <v>0</v>
      </c>
      <c r="R64" s="461">
        <v>0</v>
      </c>
      <c r="S64" s="460">
        <v>0</v>
      </c>
    </row>
    <row r="65" spans="1:19" ht="32.1" customHeight="1">
      <c r="A65" s="411" t="e">
        <v>#REF!</v>
      </c>
      <c r="B65" s="451" t="s">
        <v>575</v>
      </c>
      <c r="C65" s="452" t="s">
        <v>23</v>
      </c>
      <c r="D65" s="453" t="s">
        <v>54</v>
      </c>
      <c r="E65" s="453" t="s">
        <v>54</v>
      </c>
      <c r="F65" s="453" t="s">
        <v>25</v>
      </c>
      <c r="G65" s="453" t="s">
        <v>38</v>
      </c>
      <c r="H65" s="453" t="s">
        <v>40</v>
      </c>
      <c r="I65" s="454"/>
      <c r="J65" s="455">
        <v>10</v>
      </c>
      <c r="K65" s="456" t="s">
        <v>29</v>
      </c>
      <c r="L65" s="457" t="s">
        <v>102</v>
      </c>
      <c r="M65" s="458">
        <v>565000000</v>
      </c>
      <c r="N65" s="458">
        <v>8984500</v>
      </c>
      <c r="O65" s="460">
        <v>1.5901769911504424E-2</v>
      </c>
      <c r="P65" s="461">
        <v>8984500</v>
      </c>
      <c r="Q65" s="460">
        <v>1.5901769911504424E-2</v>
      </c>
      <c r="R65" s="461">
        <v>8984500</v>
      </c>
      <c r="S65" s="460">
        <v>1.5901769911504424E-2</v>
      </c>
    </row>
    <row r="66" spans="1:19" ht="32.1" customHeight="1">
      <c r="A66" s="411" t="e">
        <v>#REF!</v>
      </c>
      <c r="B66" s="451" t="s">
        <v>577</v>
      </c>
      <c r="C66" s="452" t="s">
        <v>23</v>
      </c>
      <c r="D66" s="453" t="s">
        <v>54</v>
      </c>
      <c r="E66" s="453" t="s">
        <v>54</v>
      </c>
      <c r="F66" s="453" t="s">
        <v>25</v>
      </c>
      <c r="G66" s="453" t="s">
        <v>38</v>
      </c>
      <c r="H66" s="453" t="s">
        <v>42</v>
      </c>
      <c r="I66" s="454"/>
      <c r="J66" s="455">
        <v>10</v>
      </c>
      <c r="K66" s="456" t="s">
        <v>29</v>
      </c>
      <c r="L66" s="457" t="s">
        <v>84</v>
      </c>
      <c r="M66" s="458">
        <v>38000000</v>
      </c>
      <c r="N66" s="458">
        <v>0</v>
      </c>
      <c r="O66" s="460">
        <v>0</v>
      </c>
      <c r="P66" s="461">
        <v>0</v>
      </c>
      <c r="Q66" s="460">
        <v>0</v>
      </c>
      <c r="R66" s="461">
        <v>0</v>
      </c>
      <c r="S66" s="460">
        <v>0</v>
      </c>
    </row>
    <row r="67" spans="1:19" ht="32.1" customHeight="1">
      <c r="A67" s="411" t="e">
        <v>#REF!</v>
      </c>
      <c r="B67" s="451" t="s">
        <v>579</v>
      </c>
      <c r="C67" s="452" t="s">
        <v>23</v>
      </c>
      <c r="D67" s="453" t="s">
        <v>54</v>
      </c>
      <c r="E67" s="453" t="s">
        <v>54</v>
      </c>
      <c r="F67" s="453" t="s">
        <v>25</v>
      </c>
      <c r="G67" s="453" t="s">
        <v>38</v>
      </c>
      <c r="H67" s="453" t="s">
        <v>44</v>
      </c>
      <c r="I67" s="454"/>
      <c r="J67" s="455">
        <v>10</v>
      </c>
      <c r="K67" s="456" t="s">
        <v>29</v>
      </c>
      <c r="L67" s="457" t="s">
        <v>85</v>
      </c>
      <c r="M67" s="458">
        <v>182000000</v>
      </c>
      <c r="N67" s="458">
        <v>0</v>
      </c>
      <c r="O67" s="460">
        <v>0</v>
      </c>
      <c r="P67" s="461">
        <v>0</v>
      </c>
      <c r="Q67" s="460">
        <v>0</v>
      </c>
      <c r="R67" s="461">
        <v>0</v>
      </c>
      <c r="S67" s="460">
        <v>0</v>
      </c>
    </row>
    <row r="68" spans="1:19" ht="32.1" customHeight="1">
      <c r="A68" s="411" t="e">
        <v>#REF!</v>
      </c>
      <c r="B68" s="436" t="s">
        <v>389</v>
      </c>
      <c r="C68" s="437" t="s">
        <v>23</v>
      </c>
      <c r="D68" s="438" t="s">
        <v>54</v>
      </c>
      <c r="E68" s="438" t="s">
        <v>54</v>
      </c>
      <c r="F68" s="438" t="s">
        <v>54</v>
      </c>
      <c r="G68" s="438"/>
      <c r="H68" s="438"/>
      <c r="I68" s="439"/>
      <c r="J68" s="440" t="s">
        <v>28</v>
      </c>
      <c r="K68" s="440" t="s">
        <v>29</v>
      </c>
      <c r="L68" s="436" t="s">
        <v>103</v>
      </c>
      <c r="M68" s="441">
        <v>42517930598</v>
      </c>
      <c r="N68" s="441">
        <v>29069895572.669998</v>
      </c>
      <c r="O68" s="442">
        <v>0.68370908846719403</v>
      </c>
      <c r="P68" s="443">
        <v>14108639245.18</v>
      </c>
      <c r="Q68" s="442">
        <v>0.33182798519934686</v>
      </c>
      <c r="R68" s="443">
        <v>13944454912.18</v>
      </c>
      <c r="S68" s="442">
        <v>0.32796645358925192</v>
      </c>
    </row>
    <row r="69" spans="1:19" ht="39.950000000000003" customHeight="1">
      <c r="A69" s="411" t="e">
        <v>#REF!</v>
      </c>
      <c r="B69" s="444" t="s">
        <v>391</v>
      </c>
      <c r="C69" s="445" t="s">
        <v>23</v>
      </c>
      <c r="D69" s="446" t="s">
        <v>54</v>
      </c>
      <c r="E69" s="446" t="s">
        <v>54</v>
      </c>
      <c r="F69" s="446" t="s">
        <v>54</v>
      </c>
      <c r="G69" s="446" t="s">
        <v>42</v>
      </c>
      <c r="H69" s="446"/>
      <c r="I69" s="447"/>
      <c r="J69" s="448" t="s">
        <v>28</v>
      </c>
      <c r="K69" s="448" t="s">
        <v>29</v>
      </c>
      <c r="L69" s="444" t="s">
        <v>104</v>
      </c>
      <c r="M69" s="449">
        <v>5621279341</v>
      </c>
      <c r="N69" s="449">
        <v>2966781667.73</v>
      </c>
      <c r="O69" s="450">
        <v>0.52777695036273065</v>
      </c>
      <c r="P69" s="449">
        <v>2360928808.3099999</v>
      </c>
      <c r="Q69" s="450">
        <v>0.41999848523628103</v>
      </c>
      <c r="R69" s="449">
        <v>2335383049.3099999</v>
      </c>
      <c r="S69" s="450">
        <v>0.41545401102492552</v>
      </c>
    </row>
    <row r="70" spans="1:19" ht="32.1" customHeight="1">
      <c r="A70" s="411" t="e">
        <v>#REF!</v>
      </c>
      <c r="B70" s="451" t="s">
        <v>583</v>
      </c>
      <c r="C70" s="452" t="s">
        <v>23</v>
      </c>
      <c r="D70" s="453" t="s">
        <v>54</v>
      </c>
      <c r="E70" s="453" t="s">
        <v>54</v>
      </c>
      <c r="F70" s="453" t="s">
        <v>54</v>
      </c>
      <c r="G70" s="453" t="s">
        <v>42</v>
      </c>
      <c r="H70" s="453" t="s">
        <v>36</v>
      </c>
      <c r="I70" s="454"/>
      <c r="J70" s="455">
        <v>10</v>
      </c>
      <c r="K70" s="456" t="s">
        <v>29</v>
      </c>
      <c r="L70" s="457" t="s">
        <v>105</v>
      </c>
      <c r="M70" s="458">
        <v>182500000</v>
      </c>
      <c r="N70" s="458">
        <v>129603430</v>
      </c>
      <c r="O70" s="460">
        <v>0.71015578082191777</v>
      </c>
      <c r="P70" s="461">
        <v>55929894</v>
      </c>
      <c r="Q70" s="460">
        <v>0.3064651726027397</v>
      </c>
      <c r="R70" s="461">
        <v>55929894</v>
      </c>
      <c r="S70" s="460">
        <v>0.3064651726027397</v>
      </c>
    </row>
    <row r="71" spans="1:19" ht="32.1" customHeight="1">
      <c r="A71" s="411" t="e">
        <v>#REF!</v>
      </c>
      <c r="B71" s="451" t="s">
        <v>585</v>
      </c>
      <c r="C71" s="452" t="s">
        <v>23</v>
      </c>
      <c r="D71" s="453" t="s">
        <v>54</v>
      </c>
      <c r="E71" s="453" t="s">
        <v>54</v>
      </c>
      <c r="F71" s="453" t="s">
        <v>54</v>
      </c>
      <c r="G71" s="453" t="s">
        <v>42</v>
      </c>
      <c r="H71" s="453" t="s">
        <v>38</v>
      </c>
      <c r="I71" s="454"/>
      <c r="J71" s="455">
        <v>10</v>
      </c>
      <c r="K71" s="456" t="s">
        <v>29</v>
      </c>
      <c r="L71" s="457" t="s">
        <v>106</v>
      </c>
      <c r="M71" s="458">
        <v>2495219321</v>
      </c>
      <c r="N71" s="458">
        <v>1828939559</v>
      </c>
      <c r="O71" s="460">
        <v>0.73297747561004878</v>
      </c>
      <c r="P71" s="461">
        <v>1331369735</v>
      </c>
      <c r="Q71" s="460">
        <v>0.53356822135636228</v>
      </c>
      <c r="R71" s="461">
        <v>1309179879</v>
      </c>
      <c r="S71" s="460">
        <v>0.52467527322420893</v>
      </c>
    </row>
    <row r="72" spans="1:19" ht="32.1" customHeight="1">
      <c r="A72" s="411" t="e">
        <v>#REF!</v>
      </c>
      <c r="B72" s="451" t="s">
        <v>587</v>
      </c>
      <c r="C72" s="452" t="s">
        <v>23</v>
      </c>
      <c r="D72" s="453" t="s">
        <v>54</v>
      </c>
      <c r="E72" s="453" t="s">
        <v>54</v>
      </c>
      <c r="F72" s="453" t="s">
        <v>54</v>
      </c>
      <c r="G72" s="453" t="s">
        <v>42</v>
      </c>
      <c r="H72" s="453" t="s">
        <v>40</v>
      </c>
      <c r="I72" s="454"/>
      <c r="J72" s="455">
        <v>10</v>
      </c>
      <c r="K72" s="456" t="s">
        <v>29</v>
      </c>
      <c r="L72" s="457" t="s">
        <v>107</v>
      </c>
      <c r="M72" s="458">
        <v>147000000</v>
      </c>
      <c r="N72" s="458">
        <v>38140000</v>
      </c>
      <c r="O72" s="460">
        <v>0.25945578231292515</v>
      </c>
      <c r="P72" s="461">
        <v>5140000</v>
      </c>
      <c r="Q72" s="460">
        <v>3.4965986394557821E-2</v>
      </c>
      <c r="R72" s="461">
        <v>5140000</v>
      </c>
      <c r="S72" s="460">
        <v>3.4965986394557821E-2</v>
      </c>
    </row>
    <row r="73" spans="1:19" ht="32.1" customHeight="1">
      <c r="A73" s="411" t="e">
        <v>#REF!</v>
      </c>
      <c r="B73" s="451" t="s">
        <v>591</v>
      </c>
      <c r="C73" s="452" t="s">
        <v>23</v>
      </c>
      <c r="D73" s="453" t="s">
        <v>54</v>
      </c>
      <c r="E73" s="453" t="s">
        <v>54</v>
      </c>
      <c r="F73" s="453" t="s">
        <v>54</v>
      </c>
      <c r="G73" s="453" t="s">
        <v>42</v>
      </c>
      <c r="H73" s="453" t="s">
        <v>46</v>
      </c>
      <c r="I73" s="454"/>
      <c r="J73" s="455">
        <v>10</v>
      </c>
      <c r="K73" s="456" t="s">
        <v>29</v>
      </c>
      <c r="L73" s="457" t="s">
        <v>108</v>
      </c>
      <c r="M73" s="458">
        <v>1530960020</v>
      </c>
      <c r="N73" s="458">
        <v>646714498</v>
      </c>
      <c r="O73" s="460">
        <v>0.42242415840486808</v>
      </c>
      <c r="P73" s="461">
        <v>646713828.58000004</v>
      </c>
      <c r="Q73" s="460">
        <v>0.42242372114981819</v>
      </c>
      <c r="R73" s="461">
        <v>646713828.58000004</v>
      </c>
      <c r="S73" s="460">
        <v>0.42242372114981819</v>
      </c>
    </row>
    <row r="74" spans="1:19" ht="32.1" customHeight="1">
      <c r="A74" s="411" t="e">
        <v>#REF!</v>
      </c>
      <c r="B74" s="451" t="s">
        <v>593</v>
      </c>
      <c r="C74" s="452" t="s">
        <v>23</v>
      </c>
      <c r="D74" s="453" t="s">
        <v>54</v>
      </c>
      <c r="E74" s="453" t="s">
        <v>54</v>
      </c>
      <c r="F74" s="453" t="s">
        <v>54</v>
      </c>
      <c r="G74" s="453" t="s">
        <v>42</v>
      </c>
      <c r="H74" s="453" t="s">
        <v>48</v>
      </c>
      <c r="I74" s="454"/>
      <c r="J74" s="455">
        <v>10</v>
      </c>
      <c r="K74" s="456" t="s">
        <v>29</v>
      </c>
      <c r="L74" s="457" t="s">
        <v>109</v>
      </c>
      <c r="M74" s="458">
        <v>1265600000</v>
      </c>
      <c r="N74" s="458">
        <v>323384180.73000002</v>
      </c>
      <c r="O74" s="460">
        <v>0.25551847402812894</v>
      </c>
      <c r="P74" s="461">
        <v>321775350.73000002</v>
      </c>
      <c r="Q74" s="460">
        <v>0.25424727459702912</v>
      </c>
      <c r="R74" s="461">
        <v>318419447.73000002</v>
      </c>
      <c r="S74" s="460">
        <v>0.25159564454013911</v>
      </c>
    </row>
    <row r="75" spans="1:19" ht="32.1" customHeight="1">
      <c r="A75" s="411" t="e">
        <v>#REF!</v>
      </c>
      <c r="B75" s="444" t="s">
        <v>393</v>
      </c>
      <c r="C75" s="445" t="s">
        <v>23</v>
      </c>
      <c r="D75" s="446" t="s">
        <v>54</v>
      </c>
      <c r="E75" s="446" t="s">
        <v>54</v>
      </c>
      <c r="F75" s="446" t="s">
        <v>54</v>
      </c>
      <c r="G75" s="446" t="s">
        <v>44</v>
      </c>
      <c r="H75" s="446"/>
      <c r="I75" s="447"/>
      <c r="J75" s="448" t="s">
        <v>28</v>
      </c>
      <c r="K75" s="448" t="s">
        <v>29</v>
      </c>
      <c r="L75" s="444" t="s">
        <v>110</v>
      </c>
      <c r="M75" s="449">
        <v>15939856524.559999</v>
      </c>
      <c r="N75" s="449">
        <v>14152727751</v>
      </c>
      <c r="O75" s="450">
        <v>0.88788300755364979</v>
      </c>
      <c r="P75" s="449">
        <v>6848323793.9200001</v>
      </c>
      <c r="Q75" s="450">
        <v>0.42963522183328057</v>
      </c>
      <c r="R75" s="449">
        <v>6848049293.9200001</v>
      </c>
      <c r="S75" s="450">
        <v>0.42961800085016966</v>
      </c>
    </row>
    <row r="76" spans="1:19" ht="32.1" customHeight="1">
      <c r="A76" s="411" t="e">
        <v>#REF!</v>
      </c>
      <c r="B76" s="451" t="s">
        <v>595</v>
      </c>
      <c r="C76" s="452" t="s">
        <v>23</v>
      </c>
      <c r="D76" s="453" t="s">
        <v>54</v>
      </c>
      <c r="E76" s="453" t="s">
        <v>54</v>
      </c>
      <c r="F76" s="453" t="s">
        <v>54</v>
      </c>
      <c r="G76" s="453" t="s">
        <v>44</v>
      </c>
      <c r="H76" s="453" t="s">
        <v>31</v>
      </c>
      <c r="I76" s="454"/>
      <c r="J76" s="455">
        <v>10</v>
      </c>
      <c r="K76" s="456" t="s">
        <v>29</v>
      </c>
      <c r="L76" s="457" t="s">
        <v>111</v>
      </c>
      <c r="M76" s="458">
        <v>718200000</v>
      </c>
      <c r="N76" s="458">
        <v>116094501</v>
      </c>
      <c r="O76" s="460">
        <v>0.16164647869674184</v>
      </c>
      <c r="P76" s="461">
        <v>113259936.42</v>
      </c>
      <c r="Q76" s="460">
        <v>0.1576997165413534</v>
      </c>
      <c r="R76" s="461">
        <v>112985436.42</v>
      </c>
      <c r="S76" s="460">
        <v>0.15731751102756891</v>
      </c>
    </row>
    <row r="77" spans="1:19" ht="32.1" customHeight="1">
      <c r="A77" s="411" t="e">
        <v>#REF!</v>
      </c>
      <c r="B77" s="451" t="s">
        <v>597</v>
      </c>
      <c r="C77" s="452" t="s">
        <v>23</v>
      </c>
      <c r="D77" s="453" t="s">
        <v>54</v>
      </c>
      <c r="E77" s="453" t="s">
        <v>54</v>
      </c>
      <c r="F77" s="453" t="s">
        <v>54</v>
      </c>
      <c r="G77" s="453" t="s">
        <v>44</v>
      </c>
      <c r="H77" s="453" t="s">
        <v>34</v>
      </c>
      <c r="I77" s="454"/>
      <c r="J77" s="455">
        <v>10</v>
      </c>
      <c r="K77" s="456" t="s">
        <v>29</v>
      </c>
      <c r="L77" s="457" t="s">
        <v>112</v>
      </c>
      <c r="M77" s="458">
        <v>15221656524.559999</v>
      </c>
      <c r="N77" s="458">
        <v>14036633250</v>
      </c>
      <c r="O77" s="460">
        <v>0.92214886253358985</v>
      </c>
      <c r="P77" s="461">
        <v>6735063857.5</v>
      </c>
      <c r="Q77" s="460">
        <v>0.44246589368463529</v>
      </c>
      <c r="R77" s="461">
        <v>6735063857.5</v>
      </c>
      <c r="S77" s="460">
        <v>0.44246589368463529</v>
      </c>
    </row>
    <row r="78" spans="1:19" ht="32.1" customHeight="1">
      <c r="A78" s="411" t="e">
        <v>#REF!</v>
      </c>
      <c r="B78" s="444" t="s">
        <v>395</v>
      </c>
      <c r="C78" s="445" t="s">
        <v>23</v>
      </c>
      <c r="D78" s="446" t="s">
        <v>54</v>
      </c>
      <c r="E78" s="446" t="s">
        <v>54</v>
      </c>
      <c r="F78" s="446" t="s">
        <v>54</v>
      </c>
      <c r="G78" s="446" t="s">
        <v>46</v>
      </c>
      <c r="H78" s="446"/>
      <c r="I78" s="447"/>
      <c r="J78" s="448" t="s">
        <v>28</v>
      </c>
      <c r="K78" s="448" t="s">
        <v>29</v>
      </c>
      <c r="L78" s="444" t="s">
        <v>113</v>
      </c>
      <c r="M78" s="449">
        <v>15896587112.439999</v>
      </c>
      <c r="N78" s="449">
        <v>11297810478.83</v>
      </c>
      <c r="O78" s="450">
        <v>0.71070666923146097</v>
      </c>
      <c r="P78" s="449">
        <v>4493682917.8400002</v>
      </c>
      <c r="Q78" s="450">
        <v>0.28268224406001169</v>
      </c>
      <c r="R78" s="449">
        <v>4355700718.8400002</v>
      </c>
      <c r="S78" s="450">
        <v>0.27400225520303112</v>
      </c>
    </row>
    <row r="79" spans="1:19" ht="32.1" customHeight="1">
      <c r="A79" s="411" t="e">
        <v>#REF!</v>
      </c>
      <c r="B79" s="451" t="s">
        <v>599</v>
      </c>
      <c r="C79" s="452" t="s">
        <v>23</v>
      </c>
      <c r="D79" s="453" t="s">
        <v>54</v>
      </c>
      <c r="E79" s="453" t="s">
        <v>54</v>
      </c>
      <c r="F79" s="453" t="s">
        <v>54</v>
      </c>
      <c r="G79" s="453" t="s">
        <v>46</v>
      </c>
      <c r="H79" s="453" t="s">
        <v>34</v>
      </c>
      <c r="I79" s="454"/>
      <c r="J79" s="455">
        <v>10</v>
      </c>
      <c r="K79" s="456" t="s">
        <v>29</v>
      </c>
      <c r="L79" s="457" t="s">
        <v>114</v>
      </c>
      <c r="M79" s="458">
        <v>57307000</v>
      </c>
      <c r="N79" s="458">
        <v>41015500</v>
      </c>
      <c r="O79" s="460">
        <v>0.71571535763519289</v>
      </c>
      <c r="P79" s="461">
        <v>2717185.42</v>
      </c>
      <c r="Q79" s="460">
        <v>4.7414546564992062E-2</v>
      </c>
      <c r="R79" s="461">
        <v>2717185.42</v>
      </c>
      <c r="S79" s="460">
        <v>4.7414546564992062E-2</v>
      </c>
    </row>
    <row r="80" spans="1:19" ht="32.1" customHeight="1">
      <c r="A80" s="411" t="e">
        <v>#REF!</v>
      </c>
      <c r="B80" s="451" t="s">
        <v>601</v>
      </c>
      <c r="C80" s="452" t="s">
        <v>23</v>
      </c>
      <c r="D80" s="453" t="s">
        <v>54</v>
      </c>
      <c r="E80" s="453" t="s">
        <v>54</v>
      </c>
      <c r="F80" s="453" t="s">
        <v>54</v>
      </c>
      <c r="G80" s="453" t="s">
        <v>46</v>
      </c>
      <c r="H80" s="453" t="s">
        <v>36</v>
      </c>
      <c r="I80" s="454"/>
      <c r="J80" s="455">
        <v>10</v>
      </c>
      <c r="K80" s="456" t="s">
        <v>29</v>
      </c>
      <c r="L80" s="457" t="s">
        <v>115</v>
      </c>
      <c r="M80" s="458">
        <v>4793786642</v>
      </c>
      <c r="N80" s="458">
        <v>3904801698</v>
      </c>
      <c r="O80" s="460">
        <v>0.81455475381167375</v>
      </c>
      <c r="P80" s="461">
        <v>1888138493</v>
      </c>
      <c r="Q80" s="460">
        <v>0.39387203353135797</v>
      </c>
      <c r="R80" s="461">
        <v>1750156294</v>
      </c>
      <c r="S80" s="460">
        <v>0.36508848321831511</v>
      </c>
    </row>
    <row r="81" spans="1:19" ht="32.1" customHeight="1">
      <c r="A81" s="411" t="e">
        <v>#REF!</v>
      </c>
      <c r="B81" s="451" t="s">
        <v>603</v>
      </c>
      <c r="C81" s="452" t="s">
        <v>23</v>
      </c>
      <c r="D81" s="453" t="s">
        <v>54</v>
      </c>
      <c r="E81" s="453" t="s">
        <v>54</v>
      </c>
      <c r="F81" s="453" t="s">
        <v>54</v>
      </c>
      <c r="G81" s="453" t="s">
        <v>46</v>
      </c>
      <c r="H81" s="453" t="s">
        <v>38</v>
      </c>
      <c r="I81" s="454"/>
      <c r="J81" s="455">
        <v>10</v>
      </c>
      <c r="K81" s="456" t="s">
        <v>29</v>
      </c>
      <c r="L81" s="457" t="s">
        <v>116</v>
      </c>
      <c r="M81" s="458">
        <v>2472983340</v>
      </c>
      <c r="N81" s="458">
        <v>1029028233.27</v>
      </c>
      <c r="O81" s="460">
        <v>0.41610803300842292</v>
      </c>
      <c r="P81" s="461">
        <v>529580448.56999999</v>
      </c>
      <c r="Q81" s="460">
        <v>0.21414638748435724</v>
      </c>
      <c r="R81" s="461">
        <v>529580448.56999999</v>
      </c>
      <c r="S81" s="460">
        <v>0.21414638748435724</v>
      </c>
    </row>
    <row r="82" spans="1:19" ht="32.1" customHeight="1">
      <c r="A82" s="411" t="e">
        <v>#REF!</v>
      </c>
      <c r="B82" s="451" t="s">
        <v>605</v>
      </c>
      <c r="C82" s="452" t="s">
        <v>23</v>
      </c>
      <c r="D82" s="453" t="s">
        <v>54</v>
      </c>
      <c r="E82" s="453" t="s">
        <v>54</v>
      </c>
      <c r="F82" s="453" t="s">
        <v>54</v>
      </c>
      <c r="G82" s="453" t="s">
        <v>46</v>
      </c>
      <c r="H82" s="453" t="s">
        <v>40</v>
      </c>
      <c r="I82" s="454"/>
      <c r="J82" s="455">
        <v>10</v>
      </c>
      <c r="K82" s="456" t="s">
        <v>29</v>
      </c>
      <c r="L82" s="457" t="s">
        <v>117</v>
      </c>
      <c r="M82" s="458">
        <v>7380202807.4399996</v>
      </c>
      <c r="N82" s="458">
        <v>5926228962.9799995</v>
      </c>
      <c r="O82" s="460">
        <v>0.80298998789108533</v>
      </c>
      <c r="P82" s="461">
        <v>1910664806.3399999</v>
      </c>
      <c r="Q82" s="460">
        <v>0.25889055574649716</v>
      </c>
      <c r="R82" s="461">
        <v>1910664806.3399999</v>
      </c>
      <c r="S82" s="460">
        <v>0.25889055574649716</v>
      </c>
    </row>
    <row r="83" spans="1:19" ht="32.1" customHeight="1">
      <c r="A83" s="411" t="e">
        <v>#REF!</v>
      </c>
      <c r="B83" s="451" t="s">
        <v>607</v>
      </c>
      <c r="C83" s="452" t="s">
        <v>23</v>
      </c>
      <c r="D83" s="453" t="s">
        <v>54</v>
      </c>
      <c r="E83" s="453" t="s">
        <v>54</v>
      </c>
      <c r="F83" s="453" t="s">
        <v>54</v>
      </c>
      <c r="G83" s="453" t="s">
        <v>46</v>
      </c>
      <c r="H83" s="453" t="s">
        <v>44</v>
      </c>
      <c r="I83" s="454"/>
      <c r="J83" s="455">
        <v>10</v>
      </c>
      <c r="K83" s="456" t="s">
        <v>29</v>
      </c>
      <c r="L83" s="457" t="s">
        <v>118</v>
      </c>
      <c r="M83" s="458">
        <v>864307323</v>
      </c>
      <c r="N83" s="458">
        <v>244147034.58000001</v>
      </c>
      <c r="O83" s="460">
        <v>0.28247710979998258</v>
      </c>
      <c r="P83" s="461">
        <v>128661034.51000001</v>
      </c>
      <c r="Q83" s="460">
        <v>0.14886028509329199</v>
      </c>
      <c r="R83" s="461">
        <v>128661034.51000001</v>
      </c>
      <c r="S83" s="460">
        <v>0.14886028509329199</v>
      </c>
    </row>
    <row r="84" spans="1:19" ht="32.1" customHeight="1">
      <c r="A84" s="411" t="e">
        <v>#REF!</v>
      </c>
      <c r="B84" s="451" t="s">
        <v>609</v>
      </c>
      <c r="C84" s="452" t="s">
        <v>23</v>
      </c>
      <c r="D84" s="453" t="s">
        <v>54</v>
      </c>
      <c r="E84" s="453" t="s">
        <v>54</v>
      </c>
      <c r="F84" s="453" t="s">
        <v>54</v>
      </c>
      <c r="G84" s="453" t="s">
        <v>46</v>
      </c>
      <c r="H84" s="453" t="s">
        <v>48</v>
      </c>
      <c r="I84" s="454"/>
      <c r="J84" s="455">
        <v>10</v>
      </c>
      <c r="K84" s="456" t="s">
        <v>29</v>
      </c>
      <c r="L84" s="457" t="s">
        <v>119</v>
      </c>
      <c r="M84" s="458">
        <v>328000000</v>
      </c>
      <c r="N84" s="458">
        <v>152589050</v>
      </c>
      <c r="O84" s="460">
        <v>0.46521051829268295</v>
      </c>
      <c r="P84" s="461">
        <v>33920950</v>
      </c>
      <c r="Q84" s="460">
        <v>0.10341753048780487</v>
      </c>
      <c r="R84" s="461">
        <v>33920950</v>
      </c>
      <c r="S84" s="460">
        <v>0.10341753048780487</v>
      </c>
    </row>
    <row r="85" spans="1:19" ht="32.1" customHeight="1">
      <c r="A85" s="411" t="e">
        <v>#REF!</v>
      </c>
      <c r="B85" s="444" t="s">
        <v>397</v>
      </c>
      <c r="C85" s="445" t="s">
        <v>23</v>
      </c>
      <c r="D85" s="446" t="s">
        <v>54</v>
      </c>
      <c r="E85" s="446" t="s">
        <v>54</v>
      </c>
      <c r="F85" s="446" t="s">
        <v>54</v>
      </c>
      <c r="G85" s="446" t="s">
        <v>48</v>
      </c>
      <c r="H85" s="446"/>
      <c r="I85" s="447"/>
      <c r="J85" s="448" t="s">
        <v>28</v>
      </c>
      <c r="K85" s="448" t="s">
        <v>29</v>
      </c>
      <c r="L85" s="444" t="s">
        <v>120</v>
      </c>
      <c r="M85" s="449">
        <v>4060207620</v>
      </c>
      <c r="N85" s="449">
        <v>155610884.11000001</v>
      </c>
      <c r="O85" s="450">
        <v>3.8325844063609733E-2</v>
      </c>
      <c r="P85" s="449">
        <v>49416714.109999999</v>
      </c>
      <c r="Q85" s="450">
        <v>1.2170982061749836E-2</v>
      </c>
      <c r="R85" s="449">
        <v>49034839.109999999</v>
      </c>
      <c r="S85" s="450">
        <v>1.2076928989655953E-2</v>
      </c>
    </row>
    <row r="86" spans="1:19" ht="32.1" customHeight="1">
      <c r="A86" s="411" t="e">
        <v>#REF!</v>
      </c>
      <c r="B86" s="451" t="s">
        <v>611</v>
      </c>
      <c r="C86" s="452" t="s">
        <v>23</v>
      </c>
      <c r="D86" s="453" t="s">
        <v>54</v>
      </c>
      <c r="E86" s="453" t="s">
        <v>54</v>
      </c>
      <c r="F86" s="453" t="s">
        <v>54</v>
      </c>
      <c r="G86" s="453" t="s">
        <v>48</v>
      </c>
      <c r="H86" s="453" t="s">
        <v>34</v>
      </c>
      <c r="I86" s="454"/>
      <c r="J86" s="455">
        <v>10</v>
      </c>
      <c r="K86" s="456" t="s">
        <v>29</v>
      </c>
      <c r="L86" s="457" t="s">
        <v>121</v>
      </c>
      <c r="M86" s="458">
        <v>150000000</v>
      </c>
      <c r="N86" s="458">
        <v>0</v>
      </c>
      <c r="O86" s="460">
        <v>0</v>
      </c>
      <c r="P86" s="461">
        <v>0</v>
      </c>
      <c r="Q86" s="460">
        <v>0</v>
      </c>
      <c r="R86" s="461">
        <v>0</v>
      </c>
      <c r="S86" s="460">
        <v>0</v>
      </c>
    </row>
    <row r="87" spans="1:19" ht="32.1" customHeight="1">
      <c r="A87" s="411" t="e">
        <v>#REF!</v>
      </c>
      <c r="B87" s="451" t="s">
        <v>613</v>
      </c>
      <c r="C87" s="452" t="s">
        <v>23</v>
      </c>
      <c r="D87" s="453" t="s">
        <v>54</v>
      </c>
      <c r="E87" s="453" t="s">
        <v>54</v>
      </c>
      <c r="F87" s="453" t="s">
        <v>54</v>
      </c>
      <c r="G87" s="453" t="s">
        <v>48</v>
      </c>
      <c r="H87" s="453" t="s">
        <v>36</v>
      </c>
      <c r="I87" s="454"/>
      <c r="J87" s="455">
        <v>10</v>
      </c>
      <c r="K87" s="456" t="s">
        <v>29</v>
      </c>
      <c r="L87" s="457" t="s">
        <v>122</v>
      </c>
      <c r="M87" s="458">
        <v>285000000</v>
      </c>
      <c r="N87" s="458">
        <v>43909567</v>
      </c>
      <c r="O87" s="460">
        <v>0.15406865614035087</v>
      </c>
      <c r="P87" s="461">
        <v>17609407</v>
      </c>
      <c r="Q87" s="460">
        <v>6.1787392982456141E-2</v>
      </c>
      <c r="R87" s="461">
        <v>17609407</v>
      </c>
      <c r="S87" s="460">
        <v>6.1787392982456141E-2</v>
      </c>
    </row>
    <row r="88" spans="1:19" ht="39.950000000000003" customHeight="1">
      <c r="A88" s="411" t="e">
        <v>#REF!</v>
      </c>
      <c r="B88" s="451" t="s">
        <v>615</v>
      </c>
      <c r="C88" s="452" t="s">
        <v>23</v>
      </c>
      <c r="D88" s="453" t="s">
        <v>54</v>
      </c>
      <c r="E88" s="453" t="s">
        <v>54</v>
      </c>
      <c r="F88" s="453" t="s">
        <v>54</v>
      </c>
      <c r="G88" s="453" t="s">
        <v>48</v>
      </c>
      <c r="H88" s="453" t="s">
        <v>38</v>
      </c>
      <c r="I88" s="454"/>
      <c r="J88" s="455">
        <v>10</v>
      </c>
      <c r="K88" s="456" t="s">
        <v>29</v>
      </c>
      <c r="L88" s="457" t="s">
        <v>123</v>
      </c>
      <c r="M88" s="458">
        <v>105720000</v>
      </c>
      <c r="N88" s="458">
        <v>21701317.109999999</v>
      </c>
      <c r="O88" s="460">
        <v>0.20527163365493756</v>
      </c>
      <c r="P88" s="461">
        <v>21529031.109999999</v>
      </c>
      <c r="Q88" s="460">
        <v>0.20364198931138858</v>
      </c>
      <c r="R88" s="461">
        <v>21147156.109999999</v>
      </c>
      <c r="S88" s="460">
        <v>0.20002985348089292</v>
      </c>
    </row>
    <row r="89" spans="1:19" ht="32.1" customHeight="1">
      <c r="A89" s="411" t="e">
        <v>#REF!</v>
      </c>
      <c r="B89" s="451" t="s">
        <v>617</v>
      </c>
      <c r="C89" s="452" t="s">
        <v>23</v>
      </c>
      <c r="D89" s="453" t="s">
        <v>54</v>
      </c>
      <c r="E89" s="453" t="s">
        <v>54</v>
      </c>
      <c r="F89" s="453" t="s">
        <v>54</v>
      </c>
      <c r="G89" s="453" t="s">
        <v>48</v>
      </c>
      <c r="H89" s="453" t="s">
        <v>42</v>
      </c>
      <c r="I89" s="454"/>
      <c r="J89" s="455">
        <v>10</v>
      </c>
      <c r="K89" s="456" t="s">
        <v>29</v>
      </c>
      <c r="L89" s="457" t="s">
        <v>124</v>
      </c>
      <c r="M89" s="458">
        <v>1481000000</v>
      </c>
      <c r="N89" s="458">
        <v>90000000</v>
      </c>
      <c r="O89" s="460">
        <v>6.0769750168804863E-2</v>
      </c>
      <c r="P89" s="461">
        <v>10278276</v>
      </c>
      <c r="Q89" s="460">
        <v>6.9400918298446997E-3</v>
      </c>
      <c r="R89" s="461">
        <v>10278276</v>
      </c>
      <c r="S89" s="460">
        <v>6.9400918298446997E-3</v>
      </c>
    </row>
    <row r="90" spans="1:19" ht="32.1" customHeight="1">
      <c r="A90" s="411" t="e">
        <v>#REF!</v>
      </c>
      <c r="B90" s="462" t="s">
        <v>619</v>
      </c>
      <c r="C90" s="463" t="s">
        <v>23</v>
      </c>
      <c r="D90" s="464" t="s">
        <v>54</v>
      </c>
      <c r="E90" s="464" t="s">
        <v>54</v>
      </c>
      <c r="F90" s="464" t="s">
        <v>54</v>
      </c>
      <c r="G90" s="464" t="s">
        <v>48</v>
      </c>
      <c r="H90" s="464" t="s">
        <v>44</v>
      </c>
      <c r="I90" s="465"/>
      <c r="J90" s="466">
        <v>10</v>
      </c>
      <c r="K90" s="467" t="s">
        <v>29</v>
      </c>
      <c r="L90" s="468" t="s">
        <v>125</v>
      </c>
      <c r="M90" s="469">
        <v>2038487620</v>
      </c>
      <c r="N90" s="469">
        <v>0</v>
      </c>
      <c r="O90" s="470">
        <v>0</v>
      </c>
      <c r="P90" s="471">
        <v>0</v>
      </c>
      <c r="Q90" s="470">
        <v>0</v>
      </c>
      <c r="R90" s="471">
        <v>0</v>
      </c>
      <c r="S90" s="470">
        <v>0</v>
      </c>
    </row>
    <row r="91" spans="1:19" s="482" customFormat="1" ht="32.1" customHeight="1">
      <c r="A91" s="411" t="e">
        <v>#REF!</v>
      </c>
      <c r="B91" s="473" t="s">
        <v>399</v>
      </c>
      <c r="C91" s="474" t="s">
        <v>23</v>
      </c>
      <c r="D91" s="475" t="s">
        <v>54</v>
      </c>
      <c r="E91" s="475" t="s">
        <v>54</v>
      </c>
      <c r="F91" s="475" t="s">
        <v>54</v>
      </c>
      <c r="G91" s="475" t="s">
        <v>50</v>
      </c>
      <c r="H91" s="475"/>
      <c r="I91" s="476"/>
      <c r="J91" s="477" t="s">
        <v>28</v>
      </c>
      <c r="K91" s="478" t="s">
        <v>29</v>
      </c>
      <c r="L91" s="479" t="s">
        <v>126</v>
      </c>
      <c r="M91" s="480">
        <v>1000000000</v>
      </c>
      <c r="N91" s="480">
        <v>496964791</v>
      </c>
      <c r="O91" s="460">
        <v>0.49696479100000002</v>
      </c>
      <c r="P91" s="481">
        <v>356287011</v>
      </c>
      <c r="Q91" s="460">
        <v>0.35628701099999999</v>
      </c>
      <c r="R91" s="481">
        <v>356287011</v>
      </c>
      <c r="S91" s="460">
        <v>0.35628701099999999</v>
      </c>
    </row>
    <row r="92" spans="1:19" ht="24" customHeight="1">
      <c r="A92" s="411" t="e">
        <v>#REF!</v>
      </c>
      <c r="B92" s="420" t="s">
        <v>401</v>
      </c>
      <c r="C92" s="421" t="s">
        <v>23</v>
      </c>
      <c r="D92" s="422" t="s">
        <v>65</v>
      </c>
      <c r="E92" s="422"/>
      <c r="F92" s="422"/>
      <c r="G92" s="422"/>
      <c r="H92" s="422"/>
      <c r="I92" s="423"/>
      <c r="J92" s="424"/>
      <c r="K92" s="424"/>
      <c r="L92" s="420" t="s">
        <v>127</v>
      </c>
      <c r="M92" s="425">
        <v>2957000000</v>
      </c>
      <c r="N92" s="425">
        <v>1332004862</v>
      </c>
      <c r="O92" s="426">
        <v>0.45045818802840715</v>
      </c>
      <c r="P92" s="427">
        <v>1296231360</v>
      </c>
      <c r="Q92" s="426">
        <v>0.43836028407169431</v>
      </c>
      <c r="R92" s="427">
        <v>1296231360</v>
      </c>
      <c r="S92" s="426">
        <v>0.43836028407169431</v>
      </c>
    </row>
    <row r="93" spans="1:19" ht="19.5" customHeight="1">
      <c r="A93" s="411" t="e">
        <v>#REF!</v>
      </c>
      <c r="B93" s="428" t="s">
        <v>621</v>
      </c>
      <c r="C93" s="429" t="s">
        <v>23</v>
      </c>
      <c r="D93" s="430" t="s">
        <v>65</v>
      </c>
      <c r="E93" s="430" t="s">
        <v>65</v>
      </c>
      <c r="F93" s="430"/>
      <c r="G93" s="430"/>
      <c r="H93" s="430"/>
      <c r="I93" s="431"/>
      <c r="J93" s="432"/>
      <c r="K93" s="432"/>
      <c r="L93" s="428" t="s">
        <v>128</v>
      </c>
      <c r="M93" s="433">
        <v>0</v>
      </c>
      <c r="N93" s="433">
        <v>0</v>
      </c>
      <c r="O93" s="434" t="e">
        <v>#DIV/0!</v>
      </c>
      <c r="P93" s="435">
        <v>0</v>
      </c>
      <c r="Q93" s="434" t="e">
        <v>#DIV/0!</v>
      </c>
      <c r="R93" s="435">
        <v>0</v>
      </c>
      <c r="S93" s="434" t="e">
        <v>#DIV/0!</v>
      </c>
    </row>
    <row r="94" spans="1:19" ht="32.1" customHeight="1">
      <c r="A94" s="411" t="e">
        <v>#REF!</v>
      </c>
      <c r="B94" s="436" t="s">
        <v>623</v>
      </c>
      <c r="C94" s="437" t="s">
        <v>23</v>
      </c>
      <c r="D94" s="438" t="s">
        <v>65</v>
      </c>
      <c r="E94" s="438" t="s">
        <v>65</v>
      </c>
      <c r="F94" s="438" t="s">
        <v>25</v>
      </c>
      <c r="G94" s="438"/>
      <c r="H94" s="438"/>
      <c r="I94" s="439"/>
      <c r="J94" s="440"/>
      <c r="K94" s="440"/>
      <c r="L94" s="436" t="s">
        <v>129</v>
      </c>
      <c r="M94" s="441">
        <v>0</v>
      </c>
      <c r="N94" s="441">
        <v>0</v>
      </c>
      <c r="O94" s="442" t="e">
        <v>#DIV/0!</v>
      </c>
      <c r="P94" s="443">
        <v>0</v>
      </c>
      <c r="Q94" s="442" t="e">
        <v>#DIV/0!</v>
      </c>
      <c r="R94" s="443">
        <v>0</v>
      </c>
      <c r="S94" s="442" t="e">
        <v>#DIV/0!</v>
      </c>
    </row>
    <row r="95" spans="1:19" ht="32.1" customHeight="1">
      <c r="A95" s="411" t="e">
        <v>#REF!</v>
      </c>
      <c r="B95" s="451" t="s">
        <v>627</v>
      </c>
      <c r="C95" s="452" t="s">
        <v>23</v>
      </c>
      <c r="D95" s="453" t="s">
        <v>65</v>
      </c>
      <c r="E95" s="453" t="s">
        <v>65</v>
      </c>
      <c r="F95" s="453" t="s">
        <v>25</v>
      </c>
      <c r="G95" s="453" t="s">
        <v>134</v>
      </c>
      <c r="H95" s="453"/>
      <c r="I95" s="454"/>
      <c r="J95" s="455" t="s">
        <v>28</v>
      </c>
      <c r="K95" s="456" t="s">
        <v>29</v>
      </c>
      <c r="L95" s="457" t="s">
        <v>135</v>
      </c>
      <c r="M95" s="458">
        <v>0</v>
      </c>
      <c r="N95" s="459">
        <v>0</v>
      </c>
      <c r="O95" s="460" t="e">
        <v>#DIV/0!</v>
      </c>
      <c r="P95" s="461">
        <v>0</v>
      </c>
      <c r="Q95" s="460" t="e">
        <v>#DIV/0!</v>
      </c>
      <c r="R95" s="461">
        <v>0</v>
      </c>
      <c r="S95" s="460" t="e">
        <v>#DIV/0!</v>
      </c>
    </row>
    <row r="96" spans="1:19" ht="24" customHeight="1">
      <c r="A96" s="411" t="e">
        <v>#REF!</v>
      </c>
      <c r="B96" s="428" t="s">
        <v>403</v>
      </c>
      <c r="C96" s="429" t="s">
        <v>23</v>
      </c>
      <c r="D96" s="430" t="s">
        <v>65</v>
      </c>
      <c r="E96" s="430" t="s">
        <v>136</v>
      </c>
      <c r="F96" s="430"/>
      <c r="G96" s="430"/>
      <c r="H96" s="430"/>
      <c r="I96" s="431"/>
      <c r="J96" s="432"/>
      <c r="K96" s="432"/>
      <c r="L96" s="428" t="s">
        <v>839</v>
      </c>
      <c r="M96" s="433">
        <v>598000000</v>
      </c>
      <c r="N96" s="433">
        <v>219412646</v>
      </c>
      <c r="O96" s="434">
        <v>0.36691077926421406</v>
      </c>
      <c r="P96" s="435">
        <v>183639144</v>
      </c>
      <c r="Q96" s="434">
        <v>0.30708886956521741</v>
      </c>
      <c r="R96" s="435">
        <v>183639144</v>
      </c>
      <c r="S96" s="434">
        <v>0.30708886956521741</v>
      </c>
    </row>
    <row r="97" spans="1:19" ht="32.1" customHeight="1">
      <c r="A97" s="411" t="e">
        <v>#REF!</v>
      </c>
      <c r="B97" s="436" t="s">
        <v>405</v>
      </c>
      <c r="C97" s="437" t="s">
        <v>23</v>
      </c>
      <c r="D97" s="438" t="s">
        <v>65</v>
      </c>
      <c r="E97" s="438" t="s">
        <v>136</v>
      </c>
      <c r="F97" s="438" t="s">
        <v>54</v>
      </c>
      <c r="G97" s="438"/>
      <c r="H97" s="438"/>
      <c r="I97" s="439"/>
      <c r="J97" s="440" t="s">
        <v>28</v>
      </c>
      <c r="K97" s="440" t="s">
        <v>29</v>
      </c>
      <c r="L97" s="436" t="s">
        <v>138</v>
      </c>
      <c r="M97" s="441">
        <v>598000000</v>
      </c>
      <c r="N97" s="441">
        <v>219412646</v>
      </c>
      <c r="O97" s="442">
        <v>0.36691077926421406</v>
      </c>
      <c r="P97" s="443">
        <v>183639144</v>
      </c>
      <c r="Q97" s="442">
        <v>0.30708886956521741</v>
      </c>
      <c r="R97" s="443">
        <v>183639144</v>
      </c>
      <c r="S97" s="442">
        <v>0.30708886956521741</v>
      </c>
    </row>
    <row r="98" spans="1:19" ht="32.1" customHeight="1">
      <c r="A98" s="411" t="e">
        <v>#REF!</v>
      </c>
      <c r="B98" s="444" t="s">
        <v>407</v>
      </c>
      <c r="C98" s="445" t="s">
        <v>23</v>
      </c>
      <c r="D98" s="446" t="s">
        <v>65</v>
      </c>
      <c r="E98" s="446" t="s">
        <v>136</v>
      </c>
      <c r="F98" s="446" t="s">
        <v>54</v>
      </c>
      <c r="G98" s="446" t="s">
        <v>52</v>
      </c>
      <c r="H98" s="446"/>
      <c r="I98" s="447"/>
      <c r="J98" s="448" t="s">
        <v>28</v>
      </c>
      <c r="K98" s="448" t="s">
        <v>29</v>
      </c>
      <c r="L98" s="444" t="s">
        <v>761</v>
      </c>
      <c r="M98" s="449">
        <v>598000000</v>
      </c>
      <c r="N98" s="449">
        <v>219412646</v>
      </c>
      <c r="O98" s="450">
        <v>0.36691077926421406</v>
      </c>
      <c r="P98" s="449">
        <v>183639144</v>
      </c>
      <c r="Q98" s="450">
        <v>0.30708886956521741</v>
      </c>
      <c r="R98" s="449">
        <v>183639144</v>
      </c>
      <c r="S98" s="450">
        <v>0.30708886956521741</v>
      </c>
    </row>
    <row r="99" spans="1:19" ht="32.1" customHeight="1">
      <c r="A99" s="411" t="e">
        <v>#REF!</v>
      </c>
      <c r="B99" s="451" t="s">
        <v>409</v>
      </c>
      <c r="C99" s="452" t="s">
        <v>23</v>
      </c>
      <c r="D99" s="453" t="s">
        <v>65</v>
      </c>
      <c r="E99" s="453" t="s">
        <v>136</v>
      </c>
      <c r="F99" s="453" t="s">
        <v>54</v>
      </c>
      <c r="G99" s="453" t="s">
        <v>52</v>
      </c>
      <c r="H99" s="453" t="s">
        <v>31</v>
      </c>
      <c r="I99" s="454"/>
      <c r="J99" s="455" t="s">
        <v>28</v>
      </c>
      <c r="K99" s="456" t="s">
        <v>29</v>
      </c>
      <c r="L99" s="457" t="s">
        <v>140</v>
      </c>
      <c r="M99" s="458">
        <v>398000000</v>
      </c>
      <c r="N99" s="458">
        <v>181358160</v>
      </c>
      <c r="O99" s="460">
        <v>0.45567376884422112</v>
      </c>
      <c r="P99" s="461">
        <v>154665110</v>
      </c>
      <c r="Q99" s="460">
        <v>0.38860580402010048</v>
      </c>
      <c r="R99" s="461">
        <v>154665110</v>
      </c>
      <c r="S99" s="460">
        <v>0.38860580402010048</v>
      </c>
    </row>
    <row r="100" spans="1:19" ht="32.1" customHeight="1">
      <c r="A100" s="411" t="e">
        <v>#REF!</v>
      </c>
      <c r="B100" s="451" t="s">
        <v>411</v>
      </c>
      <c r="C100" s="452" t="s">
        <v>23</v>
      </c>
      <c r="D100" s="453" t="s">
        <v>65</v>
      </c>
      <c r="E100" s="453" t="s">
        <v>136</v>
      </c>
      <c r="F100" s="453" t="s">
        <v>54</v>
      </c>
      <c r="G100" s="453" t="s">
        <v>52</v>
      </c>
      <c r="H100" s="453" t="s">
        <v>34</v>
      </c>
      <c r="I100" s="454"/>
      <c r="J100" s="455" t="s">
        <v>28</v>
      </c>
      <c r="K100" s="456" t="s">
        <v>29</v>
      </c>
      <c r="L100" s="457" t="s">
        <v>141</v>
      </c>
      <c r="M100" s="458">
        <v>200000000</v>
      </c>
      <c r="N100" s="458">
        <v>38054486</v>
      </c>
      <c r="O100" s="460">
        <v>0.19027242999999999</v>
      </c>
      <c r="P100" s="461">
        <v>28974034</v>
      </c>
      <c r="Q100" s="460">
        <v>0.14487016999999999</v>
      </c>
      <c r="R100" s="461">
        <v>28974034</v>
      </c>
      <c r="S100" s="460">
        <v>0.14487016999999999</v>
      </c>
    </row>
    <row r="101" spans="1:19" ht="24" customHeight="1">
      <c r="A101" s="411" t="e">
        <v>#REF!</v>
      </c>
      <c r="B101" s="428" t="s">
        <v>415</v>
      </c>
      <c r="C101" s="429" t="s">
        <v>23</v>
      </c>
      <c r="D101" s="430" t="s">
        <v>65</v>
      </c>
      <c r="E101" s="430" t="s">
        <v>28</v>
      </c>
      <c r="F101" s="430"/>
      <c r="G101" s="430"/>
      <c r="H101" s="430"/>
      <c r="I101" s="431"/>
      <c r="J101" s="432"/>
      <c r="K101" s="432"/>
      <c r="L101" s="428" t="s">
        <v>143</v>
      </c>
      <c r="M101" s="433">
        <v>2359000000</v>
      </c>
      <c r="N101" s="433">
        <v>1112592216</v>
      </c>
      <c r="O101" s="434">
        <v>0.47163722594319629</v>
      </c>
      <c r="P101" s="435">
        <v>1112592216</v>
      </c>
      <c r="Q101" s="434">
        <v>0.47163722594319629</v>
      </c>
      <c r="R101" s="435">
        <v>1112592216</v>
      </c>
      <c r="S101" s="434">
        <v>0.47163722594319629</v>
      </c>
    </row>
    <row r="102" spans="1:19" ht="32.1" customHeight="1">
      <c r="A102" s="411" t="e">
        <v>#REF!</v>
      </c>
      <c r="B102" s="436" t="s">
        <v>417</v>
      </c>
      <c r="C102" s="437" t="s">
        <v>23</v>
      </c>
      <c r="D102" s="438" t="s">
        <v>65</v>
      </c>
      <c r="E102" s="438" t="s">
        <v>28</v>
      </c>
      <c r="F102" s="438" t="s">
        <v>25</v>
      </c>
      <c r="G102" s="438"/>
      <c r="H102" s="438"/>
      <c r="I102" s="439"/>
      <c r="J102" s="440">
        <v>10</v>
      </c>
      <c r="K102" s="440" t="s">
        <v>29</v>
      </c>
      <c r="L102" s="436" t="s">
        <v>145</v>
      </c>
      <c r="M102" s="441">
        <v>2359000000</v>
      </c>
      <c r="N102" s="441">
        <v>1112592216</v>
      </c>
      <c r="O102" s="442">
        <v>0.47163722594319629</v>
      </c>
      <c r="P102" s="443">
        <v>1112592216</v>
      </c>
      <c r="Q102" s="442">
        <v>0.47163722594319629</v>
      </c>
      <c r="R102" s="443">
        <v>1112592216</v>
      </c>
      <c r="S102" s="442">
        <v>0.47163722594319629</v>
      </c>
    </row>
    <row r="103" spans="1:19" ht="32.1" customHeight="1">
      <c r="A103" s="411" t="e">
        <v>#REF!</v>
      </c>
      <c r="B103" s="451" t="s">
        <v>418</v>
      </c>
      <c r="C103" s="452" t="s">
        <v>23</v>
      </c>
      <c r="D103" s="453" t="s">
        <v>65</v>
      </c>
      <c r="E103" s="453" t="s">
        <v>28</v>
      </c>
      <c r="F103" s="453" t="s">
        <v>25</v>
      </c>
      <c r="G103" s="453" t="s">
        <v>31</v>
      </c>
      <c r="H103" s="453"/>
      <c r="I103" s="454"/>
      <c r="J103" s="455">
        <v>10</v>
      </c>
      <c r="K103" s="456" t="s">
        <v>29</v>
      </c>
      <c r="L103" s="457" t="s">
        <v>146</v>
      </c>
      <c r="M103" s="458">
        <v>2303841548</v>
      </c>
      <c r="N103" s="458">
        <v>1057433764</v>
      </c>
      <c r="O103" s="460">
        <v>0.45898719246467901</v>
      </c>
      <c r="P103" s="461">
        <v>1057433764</v>
      </c>
      <c r="Q103" s="460">
        <v>0.45898719246467901</v>
      </c>
      <c r="R103" s="461">
        <v>1057433764</v>
      </c>
      <c r="S103" s="460">
        <v>0.45898719246467901</v>
      </c>
    </row>
    <row r="104" spans="1:19" ht="32.1" customHeight="1">
      <c r="A104" s="411" t="e">
        <v>#REF!</v>
      </c>
      <c r="B104" s="451" t="s">
        <v>419</v>
      </c>
      <c r="C104" s="452" t="s">
        <v>23</v>
      </c>
      <c r="D104" s="453" t="s">
        <v>65</v>
      </c>
      <c r="E104" s="453" t="s">
        <v>28</v>
      </c>
      <c r="F104" s="453" t="s">
        <v>25</v>
      </c>
      <c r="G104" s="472" t="s">
        <v>34</v>
      </c>
      <c r="H104" s="453"/>
      <c r="I104" s="454"/>
      <c r="J104" s="455">
        <v>10</v>
      </c>
      <c r="K104" s="456" t="s">
        <v>29</v>
      </c>
      <c r="L104" s="457" t="s">
        <v>147</v>
      </c>
      <c r="M104" s="458">
        <v>55158452</v>
      </c>
      <c r="N104" s="458">
        <v>55158452</v>
      </c>
      <c r="O104" s="460">
        <v>1</v>
      </c>
      <c r="P104" s="461">
        <v>55158452</v>
      </c>
      <c r="Q104" s="460">
        <v>1</v>
      </c>
      <c r="R104" s="461">
        <v>55158452</v>
      </c>
      <c r="S104" s="460">
        <v>1</v>
      </c>
    </row>
    <row r="105" spans="1:19" ht="24" customHeight="1">
      <c r="A105" s="411" t="e">
        <v>#REF!</v>
      </c>
      <c r="B105" s="420" t="s">
        <v>421</v>
      </c>
      <c r="C105" s="421" t="s">
        <v>23</v>
      </c>
      <c r="D105" s="422" t="s">
        <v>148</v>
      </c>
      <c r="E105" s="422"/>
      <c r="F105" s="422"/>
      <c r="G105" s="422"/>
      <c r="H105" s="422"/>
      <c r="I105" s="423"/>
      <c r="J105" s="424"/>
      <c r="K105" s="424"/>
      <c r="L105" s="420" t="s">
        <v>149</v>
      </c>
      <c r="M105" s="425">
        <v>30002470214</v>
      </c>
      <c r="N105" s="425">
        <v>43474994.840000004</v>
      </c>
      <c r="O105" s="426">
        <v>1.4490471794456892E-3</v>
      </c>
      <c r="P105" s="427">
        <v>43245224.840000004</v>
      </c>
      <c r="Q105" s="426">
        <v>1.4413888100394E-3</v>
      </c>
      <c r="R105" s="427">
        <v>42854675.840000004</v>
      </c>
      <c r="S105" s="426">
        <v>1.4283715818840411E-3</v>
      </c>
    </row>
    <row r="106" spans="1:19" ht="24" customHeight="1">
      <c r="A106" s="411" t="e">
        <v>#REF!</v>
      </c>
      <c r="B106" s="428" t="s">
        <v>423</v>
      </c>
      <c r="C106" s="429" t="s">
        <v>23</v>
      </c>
      <c r="D106" s="430" t="s">
        <v>148</v>
      </c>
      <c r="E106" s="430" t="s">
        <v>25</v>
      </c>
      <c r="F106" s="430"/>
      <c r="G106" s="430"/>
      <c r="H106" s="430"/>
      <c r="I106" s="431"/>
      <c r="J106" s="432"/>
      <c r="K106" s="432"/>
      <c r="L106" s="428" t="s">
        <v>150</v>
      </c>
      <c r="M106" s="433">
        <v>145622400</v>
      </c>
      <c r="N106" s="433">
        <v>43474994.840000004</v>
      </c>
      <c r="O106" s="434">
        <v>0.29854606736326283</v>
      </c>
      <c r="P106" s="435">
        <v>43245224.840000004</v>
      </c>
      <c r="Q106" s="434">
        <v>0.29696821944975499</v>
      </c>
      <c r="R106" s="435">
        <v>42854675.840000004</v>
      </c>
      <c r="S106" s="434">
        <v>0.2942862900213154</v>
      </c>
    </row>
    <row r="107" spans="1:19" ht="32.1" customHeight="1">
      <c r="A107" s="411" t="e">
        <v>#REF!</v>
      </c>
      <c r="B107" s="436" t="s">
        <v>425</v>
      </c>
      <c r="C107" s="437" t="s">
        <v>23</v>
      </c>
      <c r="D107" s="438" t="s">
        <v>148</v>
      </c>
      <c r="E107" s="438" t="s">
        <v>25</v>
      </c>
      <c r="F107" s="438" t="s">
        <v>54</v>
      </c>
      <c r="G107" s="438"/>
      <c r="H107" s="438"/>
      <c r="I107" s="439"/>
      <c r="J107" s="440" t="s">
        <v>28</v>
      </c>
      <c r="K107" s="440" t="s">
        <v>29</v>
      </c>
      <c r="L107" s="436" t="s">
        <v>151</v>
      </c>
      <c r="M107" s="441">
        <v>145622400</v>
      </c>
      <c r="N107" s="441">
        <v>43474994.840000004</v>
      </c>
      <c r="O107" s="442">
        <v>0.29854606736326283</v>
      </c>
      <c r="P107" s="443">
        <v>43245224.840000004</v>
      </c>
      <c r="Q107" s="442">
        <v>0.29696821944975499</v>
      </c>
      <c r="R107" s="443">
        <v>42854675.840000004</v>
      </c>
      <c r="S107" s="442">
        <v>0.2942862900213154</v>
      </c>
    </row>
    <row r="108" spans="1:19" ht="32.1" customHeight="1">
      <c r="A108" s="411" t="e">
        <v>#REF!</v>
      </c>
      <c r="B108" s="451" t="s">
        <v>427</v>
      </c>
      <c r="C108" s="452" t="s">
        <v>23</v>
      </c>
      <c r="D108" s="453" t="s">
        <v>148</v>
      </c>
      <c r="E108" s="453" t="s">
        <v>25</v>
      </c>
      <c r="F108" s="453" t="s">
        <v>54</v>
      </c>
      <c r="G108" s="453" t="s">
        <v>31</v>
      </c>
      <c r="H108" s="453"/>
      <c r="I108" s="454"/>
      <c r="J108" s="455" t="s">
        <v>28</v>
      </c>
      <c r="K108" s="456" t="s">
        <v>29</v>
      </c>
      <c r="L108" s="457" t="s">
        <v>152</v>
      </c>
      <c r="M108" s="458">
        <v>71216000</v>
      </c>
      <c r="N108" s="458">
        <v>10400760</v>
      </c>
      <c r="O108" s="460">
        <v>0.14604527072567963</v>
      </c>
      <c r="P108" s="461">
        <v>10400760</v>
      </c>
      <c r="Q108" s="460">
        <v>0.14604527072567963</v>
      </c>
      <c r="R108" s="461">
        <v>10400760</v>
      </c>
      <c r="S108" s="460">
        <v>0.14604527072567963</v>
      </c>
    </row>
    <row r="109" spans="1:19" ht="32.1" customHeight="1">
      <c r="A109" s="411" t="e">
        <v>#REF!</v>
      </c>
      <c r="B109" s="451" t="s">
        <v>429</v>
      </c>
      <c r="C109" s="452" t="s">
        <v>23</v>
      </c>
      <c r="D109" s="453" t="s">
        <v>148</v>
      </c>
      <c r="E109" s="453" t="s">
        <v>25</v>
      </c>
      <c r="F109" s="453" t="s">
        <v>54</v>
      </c>
      <c r="G109" s="453" t="s">
        <v>38</v>
      </c>
      <c r="H109" s="453"/>
      <c r="I109" s="454"/>
      <c r="J109" s="455" t="s">
        <v>28</v>
      </c>
      <c r="K109" s="456" t="s">
        <v>29</v>
      </c>
      <c r="L109" s="457" t="s">
        <v>153</v>
      </c>
      <c r="M109" s="458">
        <v>54000000</v>
      </c>
      <c r="N109" s="458">
        <v>25606134.84</v>
      </c>
      <c r="O109" s="460">
        <v>0.47418768222222224</v>
      </c>
      <c r="P109" s="461">
        <v>25376364.84</v>
      </c>
      <c r="Q109" s="460">
        <v>0.46993268222222223</v>
      </c>
      <c r="R109" s="461">
        <v>24985815.84</v>
      </c>
      <c r="S109" s="460">
        <v>0.46270029333333335</v>
      </c>
    </row>
    <row r="110" spans="1:19" ht="32.1" customHeight="1">
      <c r="A110" s="411" t="e">
        <v>#REF!</v>
      </c>
      <c r="B110" s="451" t="s">
        <v>431</v>
      </c>
      <c r="C110" s="452" t="s">
        <v>23</v>
      </c>
      <c r="D110" s="453" t="s">
        <v>148</v>
      </c>
      <c r="E110" s="453" t="s">
        <v>25</v>
      </c>
      <c r="F110" s="453" t="s">
        <v>54</v>
      </c>
      <c r="G110" s="453" t="s">
        <v>42</v>
      </c>
      <c r="H110" s="453"/>
      <c r="I110" s="454"/>
      <c r="J110" s="455" t="s">
        <v>28</v>
      </c>
      <c r="K110" s="456" t="s">
        <v>29</v>
      </c>
      <c r="L110" s="457" t="s">
        <v>154</v>
      </c>
      <c r="M110" s="458">
        <v>20406400</v>
      </c>
      <c r="N110" s="458">
        <v>7468100</v>
      </c>
      <c r="O110" s="460">
        <v>0.36596851968010036</v>
      </c>
      <c r="P110" s="461">
        <v>7468100</v>
      </c>
      <c r="Q110" s="460">
        <v>0.36596851968010036</v>
      </c>
      <c r="R110" s="461">
        <v>7468100</v>
      </c>
      <c r="S110" s="460">
        <v>0.36596851968010036</v>
      </c>
    </row>
    <row r="111" spans="1:19" ht="24" customHeight="1">
      <c r="A111" s="411" t="e">
        <v>#REF!</v>
      </c>
      <c r="B111" s="428" t="s">
        <v>432</v>
      </c>
      <c r="C111" s="429" t="s">
        <v>23</v>
      </c>
      <c r="D111" s="430" t="s">
        <v>148</v>
      </c>
      <c r="E111" s="430" t="s">
        <v>136</v>
      </c>
      <c r="F111" s="430"/>
      <c r="G111" s="430"/>
      <c r="H111" s="430"/>
      <c r="I111" s="431"/>
      <c r="J111" s="432"/>
      <c r="K111" s="432"/>
      <c r="L111" s="428" t="s">
        <v>155</v>
      </c>
      <c r="M111" s="433">
        <v>29856847814</v>
      </c>
      <c r="N111" s="433">
        <v>0</v>
      </c>
      <c r="O111" s="434">
        <v>0</v>
      </c>
      <c r="P111" s="435">
        <v>0</v>
      </c>
      <c r="Q111" s="434">
        <v>0</v>
      </c>
      <c r="R111" s="435">
        <v>0</v>
      </c>
      <c r="S111" s="434">
        <v>0</v>
      </c>
    </row>
    <row r="112" spans="1:19" ht="32.1" customHeight="1">
      <c r="A112" s="411" t="e">
        <v>#REF!</v>
      </c>
      <c r="B112" s="451" t="s">
        <v>434</v>
      </c>
      <c r="C112" s="452" t="s">
        <v>23</v>
      </c>
      <c r="D112" s="453" t="s">
        <v>148</v>
      </c>
      <c r="E112" s="453" t="s">
        <v>136</v>
      </c>
      <c r="F112" s="453" t="s">
        <v>25</v>
      </c>
      <c r="G112" s="453"/>
      <c r="H112" s="453"/>
      <c r="I112" s="454"/>
      <c r="J112" s="455" t="s">
        <v>144</v>
      </c>
      <c r="K112" s="456" t="s">
        <v>156</v>
      </c>
      <c r="L112" s="457" t="s">
        <v>157</v>
      </c>
      <c r="M112" s="458">
        <v>29856847814</v>
      </c>
      <c r="N112" s="459">
        <v>0</v>
      </c>
      <c r="O112" s="460">
        <v>0</v>
      </c>
      <c r="P112" s="461">
        <v>0</v>
      </c>
      <c r="Q112" s="460">
        <v>0</v>
      </c>
      <c r="R112" s="461">
        <v>0</v>
      </c>
      <c r="S112" s="460">
        <v>0</v>
      </c>
    </row>
    <row r="113" spans="1:19" ht="32.1" customHeight="1">
      <c r="A113" s="411" t="e">
        <v>#REF!</v>
      </c>
      <c r="B113" s="483" t="s">
        <v>162</v>
      </c>
      <c r="C113" s="484" t="s">
        <v>162</v>
      </c>
      <c r="D113" s="485"/>
      <c r="E113" s="485"/>
      <c r="F113" s="485"/>
      <c r="G113" s="485"/>
      <c r="H113" s="485"/>
      <c r="I113" s="486"/>
      <c r="J113" s="487"/>
      <c r="K113" s="487"/>
      <c r="L113" s="483" t="s">
        <v>840</v>
      </c>
      <c r="M113" s="488">
        <v>3731140006</v>
      </c>
      <c r="N113" s="488">
        <v>0</v>
      </c>
      <c r="O113" s="489">
        <v>0</v>
      </c>
      <c r="P113" s="490">
        <v>0</v>
      </c>
      <c r="Q113" s="489">
        <v>0</v>
      </c>
      <c r="R113" s="490">
        <v>0</v>
      </c>
      <c r="S113" s="489">
        <v>0</v>
      </c>
    </row>
    <row r="114" spans="1:19" ht="32.1" customHeight="1">
      <c r="A114" s="411" t="e">
        <v>#REF!</v>
      </c>
      <c r="B114" s="420" t="s">
        <v>729</v>
      </c>
      <c r="C114" s="421" t="s">
        <v>162</v>
      </c>
      <c r="D114" s="422">
        <v>10</v>
      </c>
      <c r="E114" s="422"/>
      <c r="F114" s="422"/>
      <c r="G114" s="422"/>
      <c r="H114" s="422"/>
      <c r="I114" s="423"/>
      <c r="J114" s="424"/>
      <c r="K114" s="424"/>
      <c r="L114" s="420" t="s">
        <v>164</v>
      </c>
      <c r="M114" s="425">
        <v>3731140006</v>
      </c>
      <c r="N114" s="425">
        <v>0</v>
      </c>
      <c r="O114" s="426">
        <v>0</v>
      </c>
      <c r="P114" s="427">
        <v>0</v>
      </c>
      <c r="Q114" s="426">
        <v>0</v>
      </c>
      <c r="R114" s="427">
        <v>0</v>
      </c>
      <c r="S114" s="426">
        <v>0</v>
      </c>
    </row>
    <row r="115" spans="1:19" ht="32.1" customHeight="1">
      <c r="A115" s="411" t="e">
        <v>#REF!</v>
      </c>
      <c r="B115" s="428" t="s">
        <v>730</v>
      </c>
      <c r="C115" s="429" t="s">
        <v>162</v>
      </c>
      <c r="D115" s="430">
        <v>10</v>
      </c>
      <c r="E115" s="430" t="s">
        <v>136</v>
      </c>
      <c r="F115" s="430"/>
      <c r="G115" s="430"/>
      <c r="H115" s="430"/>
      <c r="I115" s="431"/>
      <c r="J115" s="432"/>
      <c r="K115" s="432"/>
      <c r="L115" s="428" t="s">
        <v>165</v>
      </c>
      <c r="M115" s="433">
        <v>3731140006</v>
      </c>
      <c r="N115" s="433">
        <v>0</v>
      </c>
      <c r="O115" s="434">
        <v>0</v>
      </c>
      <c r="P115" s="435">
        <v>0</v>
      </c>
      <c r="Q115" s="434">
        <v>0</v>
      </c>
      <c r="R115" s="435">
        <v>0</v>
      </c>
      <c r="S115" s="434">
        <v>0</v>
      </c>
    </row>
    <row r="116" spans="1:19" ht="32.1" customHeight="1">
      <c r="A116" s="411" t="e">
        <v>#REF!</v>
      </c>
      <c r="B116" s="451" t="s">
        <v>731</v>
      </c>
      <c r="C116" s="452" t="s">
        <v>162</v>
      </c>
      <c r="D116" s="453">
        <v>10</v>
      </c>
      <c r="E116" s="453" t="s">
        <v>136</v>
      </c>
      <c r="F116" s="453" t="s">
        <v>25</v>
      </c>
      <c r="G116" s="453"/>
      <c r="H116" s="453"/>
      <c r="I116" s="454"/>
      <c r="J116" s="455" t="s">
        <v>144</v>
      </c>
      <c r="K116" s="456" t="s">
        <v>29</v>
      </c>
      <c r="L116" s="457" t="s">
        <v>166</v>
      </c>
      <c r="M116" s="458">
        <v>3731140006</v>
      </c>
      <c r="N116" s="459">
        <v>0</v>
      </c>
      <c r="O116" s="460">
        <v>0</v>
      </c>
      <c r="P116" s="461">
        <v>0</v>
      </c>
      <c r="Q116" s="460">
        <v>0</v>
      </c>
      <c r="R116" s="461">
        <v>0</v>
      </c>
      <c r="S116" s="460">
        <v>0</v>
      </c>
    </row>
    <row r="117" spans="1:19" ht="32.1" customHeight="1">
      <c r="A117" s="411" t="e">
        <v>#REF!</v>
      </c>
      <c r="B117" s="483" t="s">
        <v>167</v>
      </c>
      <c r="C117" s="484" t="s">
        <v>167</v>
      </c>
      <c r="D117" s="485"/>
      <c r="E117" s="485"/>
      <c r="F117" s="485"/>
      <c r="G117" s="485"/>
      <c r="H117" s="485"/>
      <c r="I117" s="486"/>
      <c r="J117" s="487"/>
      <c r="K117" s="487"/>
      <c r="L117" s="483" t="s">
        <v>168</v>
      </c>
      <c r="M117" s="488">
        <v>6468380211524</v>
      </c>
      <c r="N117" s="488">
        <v>3105416280296.3296</v>
      </c>
      <c r="O117" s="489">
        <v>0.48009179713396433</v>
      </c>
      <c r="P117" s="490">
        <v>2664146576542.52</v>
      </c>
      <c r="Q117" s="489">
        <v>0.41187229096337036</v>
      </c>
      <c r="R117" s="490">
        <v>2663300600664.52</v>
      </c>
      <c r="S117" s="489">
        <v>0.4117415046072293</v>
      </c>
    </row>
    <row r="118" spans="1:19" ht="32.1" hidden="1" customHeight="1" outlineLevel="1">
      <c r="A118" s="411" t="e">
        <v>#REF!</v>
      </c>
      <c r="B118" s="420" t="s">
        <v>482</v>
      </c>
      <c r="C118" s="421" t="s">
        <v>167</v>
      </c>
      <c r="D118" s="422">
        <v>4103</v>
      </c>
      <c r="E118" s="422"/>
      <c r="F118" s="422"/>
      <c r="G118" s="422"/>
      <c r="H118" s="422"/>
      <c r="I118" s="423"/>
      <c r="J118" s="424"/>
      <c r="K118" s="424"/>
      <c r="L118" s="420" t="s">
        <v>189</v>
      </c>
      <c r="M118" s="425">
        <v>6462380211524</v>
      </c>
      <c r="N118" s="425">
        <v>3101640415941.7695</v>
      </c>
      <c r="O118" s="426">
        <v>0.47995325474827188</v>
      </c>
      <c r="P118" s="427">
        <v>2663236386638.3599</v>
      </c>
      <c r="Q118" s="426">
        <v>0.4121138496136702</v>
      </c>
      <c r="R118" s="427">
        <v>2662390410760.3599</v>
      </c>
      <c r="S118" s="426">
        <v>0.41198294182887418</v>
      </c>
    </row>
    <row r="119" spans="1:19" ht="32.1" hidden="1" customHeight="1" outlineLevel="1">
      <c r="A119" s="411" t="e">
        <v>#REF!</v>
      </c>
      <c r="B119" s="428" t="s">
        <v>296</v>
      </c>
      <c r="C119" s="429" t="s">
        <v>167</v>
      </c>
      <c r="D119" s="430">
        <v>4103</v>
      </c>
      <c r="E119" s="430">
        <v>1500</v>
      </c>
      <c r="F119" s="430"/>
      <c r="G119" s="430"/>
      <c r="H119" s="430"/>
      <c r="I119" s="431"/>
      <c r="J119" s="432"/>
      <c r="K119" s="432"/>
      <c r="L119" s="428" t="s">
        <v>170</v>
      </c>
      <c r="M119" s="433">
        <v>6462380211524</v>
      </c>
      <c r="N119" s="433">
        <v>3101640415941.7695</v>
      </c>
      <c r="O119" s="434">
        <v>0.47995325474827188</v>
      </c>
      <c r="P119" s="435">
        <v>2663236386638.3599</v>
      </c>
      <c r="Q119" s="434">
        <v>0.4121138496136702</v>
      </c>
      <c r="R119" s="435">
        <v>2662390410760.3599</v>
      </c>
      <c r="S119" s="434">
        <v>0.41198294182887418</v>
      </c>
    </row>
    <row r="120" spans="1:19" ht="32.1" customHeight="1" collapsed="1">
      <c r="A120" s="411" t="e">
        <v>#REF!</v>
      </c>
      <c r="B120" s="436" t="s">
        <v>297</v>
      </c>
      <c r="C120" s="437" t="s">
        <v>167</v>
      </c>
      <c r="D120" s="438" t="s">
        <v>190</v>
      </c>
      <c r="E120" s="438" t="s">
        <v>172</v>
      </c>
      <c r="F120" s="438" t="s">
        <v>191</v>
      </c>
      <c r="G120" s="438"/>
      <c r="H120" s="438"/>
      <c r="I120" s="439"/>
      <c r="J120" s="440"/>
      <c r="K120" s="440"/>
      <c r="L120" s="436" t="s">
        <v>841</v>
      </c>
      <c r="M120" s="441">
        <v>2437607024958</v>
      </c>
      <c r="N120" s="441">
        <v>1989088960891.2</v>
      </c>
      <c r="O120" s="442">
        <v>0.8160006680836801</v>
      </c>
      <c r="P120" s="443">
        <v>1917636912391.96</v>
      </c>
      <c r="Q120" s="442">
        <v>0.78668829419910324</v>
      </c>
      <c r="R120" s="443">
        <v>1917315355249.96</v>
      </c>
      <c r="S120" s="442">
        <v>0.78655637911241882</v>
      </c>
    </row>
    <row r="121" spans="1:19" ht="32.1" hidden="1" customHeight="1" outlineLevel="1">
      <c r="A121" s="411" t="e">
        <v>#REF!</v>
      </c>
      <c r="B121" s="444" t="s">
        <v>486</v>
      </c>
      <c r="C121" s="445" t="s">
        <v>167</v>
      </c>
      <c r="D121" s="446" t="s">
        <v>190</v>
      </c>
      <c r="E121" s="446" t="s">
        <v>172</v>
      </c>
      <c r="F121" s="446" t="s">
        <v>191</v>
      </c>
      <c r="G121" s="446" t="s">
        <v>175</v>
      </c>
      <c r="H121" s="446" t="s">
        <v>193</v>
      </c>
      <c r="I121" s="447"/>
      <c r="J121" s="448"/>
      <c r="K121" s="448"/>
      <c r="L121" s="444" t="s">
        <v>194</v>
      </c>
      <c r="M121" s="449">
        <v>2437007024958</v>
      </c>
      <c r="N121" s="449">
        <v>1989088960891.2</v>
      </c>
      <c r="O121" s="450">
        <v>0.81620157041832098</v>
      </c>
      <c r="P121" s="449">
        <v>1917636912391.96</v>
      </c>
      <c r="Q121" s="450">
        <v>0.7868819797205997</v>
      </c>
      <c r="R121" s="449">
        <v>1917315355249.96</v>
      </c>
      <c r="S121" s="450">
        <v>0.78675003215594075</v>
      </c>
    </row>
    <row r="122" spans="1:19" ht="32.1" hidden="1" customHeight="1" outlineLevel="1">
      <c r="A122" s="411" t="e">
        <v>#REF!</v>
      </c>
      <c r="B122" s="451" t="s">
        <v>488</v>
      </c>
      <c r="C122" s="452" t="s">
        <v>167</v>
      </c>
      <c r="D122" s="453" t="s">
        <v>190</v>
      </c>
      <c r="E122" s="453" t="s">
        <v>172</v>
      </c>
      <c r="F122" s="453" t="s">
        <v>191</v>
      </c>
      <c r="G122" s="453" t="s">
        <v>175</v>
      </c>
      <c r="H122" s="453" t="s">
        <v>193</v>
      </c>
      <c r="I122" s="454" t="s">
        <v>54</v>
      </c>
      <c r="J122" s="455">
        <v>10</v>
      </c>
      <c r="K122" s="456" t="s">
        <v>29</v>
      </c>
      <c r="L122" s="457" t="s">
        <v>178</v>
      </c>
      <c r="M122" s="491">
        <v>116387423076.39999</v>
      </c>
      <c r="N122" s="458">
        <v>93166322241.199997</v>
      </c>
      <c r="O122" s="460">
        <v>0.80048444908040439</v>
      </c>
      <c r="P122" s="461">
        <v>23771723741.959999</v>
      </c>
      <c r="Q122" s="460">
        <v>0.20424649943796391</v>
      </c>
      <c r="R122" s="461">
        <v>23450166599.959999</v>
      </c>
      <c r="S122" s="460">
        <v>0.20148368251582172</v>
      </c>
    </row>
    <row r="123" spans="1:19" ht="32.1" hidden="1" customHeight="1" outlineLevel="1">
      <c r="A123" s="411" t="e">
        <v>#REF!</v>
      </c>
      <c r="B123" s="451" t="s">
        <v>491</v>
      </c>
      <c r="C123" s="452" t="s">
        <v>167</v>
      </c>
      <c r="D123" s="453" t="s">
        <v>190</v>
      </c>
      <c r="E123" s="453" t="s">
        <v>172</v>
      </c>
      <c r="F123" s="453" t="s">
        <v>191</v>
      </c>
      <c r="G123" s="453" t="s">
        <v>175</v>
      </c>
      <c r="H123" s="453" t="s">
        <v>193</v>
      </c>
      <c r="I123" s="454" t="s">
        <v>65</v>
      </c>
      <c r="J123" s="455">
        <v>10</v>
      </c>
      <c r="K123" s="456" t="s">
        <v>29</v>
      </c>
      <c r="L123" s="457" t="s">
        <v>127</v>
      </c>
      <c r="M123" s="491">
        <v>2320619601881.6001</v>
      </c>
      <c r="N123" s="458">
        <v>1895922638650</v>
      </c>
      <c r="O123" s="460">
        <v>0.81698984060668622</v>
      </c>
      <c r="P123" s="461">
        <v>1893865188650</v>
      </c>
      <c r="Q123" s="460">
        <v>0.81610324549289337</v>
      </c>
      <c r="R123" s="461">
        <v>1893865188650</v>
      </c>
      <c r="S123" s="460">
        <v>0.81610324549289337</v>
      </c>
    </row>
    <row r="124" spans="1:19" ht="32.1" hidden="1" customHeight="1" outlineLevel="1">
      <c r="A124" s="411" t="e">
        <v>#REF!</v>
      </c>
      <c r="B124" s="444" t="s">
        <v>494</v>
      </c>
      <c r="C124" s="445" t="s">
        <v>167</v>
      </c>
      <c r="D124" s="446" t="s">
        <v>190</v>
      </c>
      <c r="E124" s="446" t="s">
        <v>172</v>
      </c>
      <c r="F124" s="446" t="s">
        <v>191</v>
      </c>
      <c r="G124" s="446" t="s">
        <v>175</v>
      </c>
      <c r="H124" s="446">
        <v>4103009</v>
      </c>
      <c r="I124" s="447"/>
      <c r="J124" s="448"/>
      <c r="K124" s="448" t="s">
        <v>29</v>
      </c>
      <c r="L124" s="444" t="s">
        <v>195</v>
      </c>
      <c r="M124" s="449">
        <v>0</v>
      </c>
      <c r="N124" s="449">
        <v>0</v>
      </c>
      <c r="O124" s="450" t="e">
        <v>#DIV/0!</v>
      </c>
      <c r="P124" s="449">
        <v>0</v>
      </c>
      <c r="Q124" s="450" t="e">
        <v>#DIV/0!</v>
      </c>
      <c r="R124" s="449">
        <v>0</v>
      </c>
      <c r="S124" s="450" t="e">
        <v>#DIV/0!</v>
      </c>
    </row>
    <row r="125" spans="1:19" ht="32.1" hidden="1" customHeight="1" outlineLevel="1">
      <c r="A125" s="411" t="e">
        <v>#REF!</v>
      </c>
      <c r="B125" s="451" t="s">
        <v>496</v>
      </c>
      <c r="C125" s="452" t="s">
        <v>167</v>
      </c>
      <c r="D125" s="453" t="s">
        <v>190</v>
      </c>
      <c r="E125" s="453" t="s">
        <v>172</v>
      </c>
      <c r="F125" s="453" t="s">
        <v>191</v>
      </c>
      <c r="G125" s="453" t="s">
        <v>175</v>
      </c>
      <c r="H125" s="453">
        <v>4103009</v>
      </c>
      <c r="I125" s="454" t="s">
        <v>54</v>
      </c>
      <c r="J125" s="455">
        <v>10</v>
      </c>
      <c r="K125" s="456" t="s">
        <v>29</v>
      </c>
      <c r="L125" s="457" t="s">
        <v>178</v>
      </c>
      <c r="M125" s="491">
        <v>0</v>
      </c>
      <c r="N125" s="458">
        <v>0</v>
      </c>
      <c r="O125" s="460" t="e">
        <v>#DIV/0!</v>
      </c>
      <c r="P125" s="461">
        <v>0</v>
      </c>
      <c r="Q125" s="460" t="e">
        <v>#DIV/0!</v>
      </c>
      <c r="R125" s="461">
        <v>0</v>
      </c>
      <c r="S125" s="460" t="e">
        <v>#DIV/0!</v>
      </c>
    </row>
    <row r="126" spans="1:19" ht="32.1" hidden="1" customHeight="1" outlineLevel="1">
      <c r="A126" s="411" t="e">
        <v>#REF!</v>
      </c>
      <c r="B126" s="444" t="s">
        <v>497</v>
      </c>
      <c r="C126" s="445" t="s">
        <v>167</v>
      </c>
      <c r="D126" s="446" t="s">
        <v>190</v>
      </c>
      <c r="E126" s="446" t="s">
        <v>172</v>
      </c>
      <c r="F126" s="446" t="s">
        <v>191</v>
      </c>
      <c r="G126" s="446" t="s">
        <v>175</v>
      </c>
      <c r="H126" s="446">
        <v>4103047</v>
      </c>
      <c r="I126" s="447"/>
      <c r="J126" s="448"/>
      <c r="K126" s="448" t="s">
        <v>29</v>
      </c>
      <c r="L126" s="444" t="s">
        <v>292</v>
      </c>
      <c r="M126" s="449">
        <v>600000000</v>
      </c>
      <c r="N126" s="449">
        <v>0</v>
      </c>
      <c r="O126" s="450">
        <v>0</v>
      </c>
      <c r="P126" s="449">
        <v>0</v>
      </c>
      <c r="Q126" s="450">
        <v>0</v>
      </c>
      <c r="R126" s="449">
        <v>0</v>
      </c>
      <c r="S126" s="450">
        <v>0</v>
      </c>
    </row>
    <row r="127" spans="1:19" ht="32.1" hidden="1" customHeight="1" outlineLevel="1">
      <c r="A127" s="411" t="e">
        <v>#REF!</v>
      </c>
      <c r="B127" s="451" t="s">
        <v>498</v>
      </c>
      <c r="C127" s="452" t="s">
        <v>167</v>
      </c>
      <c r="D127" s="453" t="s">
        <v>190</v>
      </c>
      <c r="E127" s="453" t="s">
        <v>172</v>
      </c>
      <c r="F127" s="453" t="s">
        <v>191</v>
      </c>
      <c r="G127" s="453" t="s">
        <v>175</v>
      </c>
      <c r="H127" s="453">
        <v>4103047</v>
      </c>
      <c r="I127" s="454" t="s">
        <v>54</v>
      </c>
      <c r="J127" s="455">
        <v>10</v>
      </c>
      <c r="K127" s="456" t="s">
        <v>29</v>
      </c>
      <c r="L127" s="457" t="s">
        <v>178</v>
      </c>
      <c r="M127" s="458">
        <v>600000000</v>
      </c>
      <c r="N127" s="458">
        <v>0</v>
      </c>
      <c r="O127" s="460">
        <v>0</v>
      </c>
      <c r="P127" s="461">
        <v>0</v>
      </c>
      <c r="Q127" s="460">
        <v>0</v>
      </c>
      <c r="R127" s="461">
        <v>0</v>
      </c>
      <c r="S127" s="460">
        <v>0</v>
      </c>
    </row>
    <row r="128" spans="1:19" ht="32.1" customHeight="1" collapsed="1">
      <c r="A128" s="411" t="e">
        <v>#REF!</v>
      </c>
      <c r="B128" s="436" t="s">
        <v>298</v>
      </c>
      <c r="C128" s="437" t="s">
        <v>167</v>
      </c>
      <c r="D128" s="438" t="s">
        <v>190</v>
      </c>
      <c r="E128" s="438" t="s">
        <v>172</v>
      </c>
      <c r="F128" s="438" t="s">
        <v>22</v>
      </c>
      <c r="G128" s="438"/>
      <c r="H128" s="438"/>
      <c r="I128" s="439"/>
      <c r="J128" s="440"/>
      <c r="K128" s="440"/>
      <c r="L128" s="436" t="s">
        <v>842</v>
      </c>
      <c r="M128" s="441">
        <v>40000000000</v>
      </c>
      <c r="N128" s="441">
        <v>9471020939</v>
      </c>
      <c r="O128" s="442">
        <v>0.236775523475</v>
      </c>
      <c r="P128" s="443">
        <v>820995791</v>
      </c>
      <c r="Q128" s="442">
        <v>2.0524894775E-2</v>
      </c>
      <c r="R128" s="443">
        <v>774289125</v>
      </c>
      <c r="S128" s="442">
        <v>1.9357228125000001E-2</v>
      </c>
    </row>
    <row r="129" spans="1:19" ht="32.1" hidden="1" customHeight="1" outlineLevel="1">
      <c r="A129" s="411" t="e">
        <v>#REF!</v>
      </c>
      <c r="B129" s="444" t="s">
        <v>500</v>
      </c>
      <c r="C129" s="445" t="s">
        <v>167</v>
      </c>
      <c r="D129" s="446" t="s">
        <v>190</v>
      </c>
      <c r="E129" s="446" t="s">
        <v>172</v>
      </c>
      <c r="F129" s="446" t="s">
        <v>22</v>
      </c>
      <c r="G129" s="446" t="s">
        <v>175</v>
      </c>
      <c r="H129" s="446" t="s">
        <v>197</v>
      </c>
      <c r="I129" s="447"/>
      <c r="J129" s="448"/>
      <c r="K129" s="448" t="s">
        <v>29</v>
      </c>
      <c r="L129" s="444" t="s">
        <v>198</v>
      </c>
      <c r="M129" s="449">
        <v>2721167612</v>
      </c>
      <c r="N129" s="449">
        <v>221895258</v>
      </c>
      <c r="O129" s="450">
        <v>8.1544134591882686E-2</v>
      </c>
      <c r="P129" s="449">
        <v>0</v>
      </c>
      <c r="Q129" s="450">
        <v>0</v>
      </c>
      <c r="R129" s="449">
        <v>0</v>
      </c>
      <c r="S129" s="450">
        <v>0</v>
      </c>
    </row>
    <row r="130" spans="1:19" ht="32.1" hidden="1" customHeight="1" outlineLevel="1">
      <c r="A130" s="411" t="e">
        <v>#REF!</v>
      </c>
      <c r="B130" s="451" t="s">
        <v>501</v>
      </c>
      <c r="C130" s="452" t="s">
        <v>167</v>
      </c>
      <c r="D130" s="453" t="s">
        <v>190</v>
      </c>
      <c r="E130" s="453" t="s">
        <v>172</v>
      </c>
      <c r="F130" s="453" t="s">
        <v>22</v>
      </c>
      <c r="G130" s="453" t="s">
        <v>175</v>
      </c>
      <c r="H130" s="453" t="s">
        <v>197</v>
      </c>
      <c r="I130" s="454" t="s">
        <v>54</v>
      </c>
      <c r="J130" s="455">
        <v>11</v>
      </c>
      <c r="K130" s="456" t="s">
        <v>29</v>
      </c>
      <c r="L130" s="457" t="s">
        <v>178</v>
      </c>
      <c r="M130" s="491">
        <v>2721167612</v>
      </c>
      <c r="N130" s="458">
        <v>221895258</v>
      </c>
      <c r="O130" s="460">
        <v>8.1544134591882686E-2</v>
      </c>
      <c r="P130" s="461">
        <v>0</v>
      </c>
      <c r="Q130" s="460">
        <v>0</v>
      </c>
      <c r="R130" s="461">
        <v>0</v>
      </c>
      <c r="S130" s="460">
        <v>0</v>
      </c>
    </row>
    <row r="131" spans="1:19" ht="32.1" hidden="1" customHeight="1" outlineLevel="1">
      <c r="A131" s="411" t="e">
        <v>#REF!</v>
      </c>
      <c r="B131" s="444" t="s">
        <v>502</v>
      </c>
      <c r="C131" s="445" t="s">
        <v>167</v>
      </c>
      <c r="D131" s="446" t="s">
        <v>190</v>
      </c>
      <c r="E131" s="446" t="s">
        <v>172</v>
      </c>
      <c r="F131" s="446" t="s">
        <v>22</v>
      </c>
      <c r="G131" s="446" t="s">
        <v>175</v>
      </c>
      <c r="H131" s="446" t="s">
        <v>199</v>
      </c>
      <c r="I131" s="447"/>
      <c r="J131" s="448"/>
      <c r="K131" s="448" t="s">
        <v>29</v>
      </c>
      <c r="L131" s="444" t="s">
        <v>200</v>
      </c>
      <c r="M131" s="449">
        <v>2097587400</v>
      </c>
      <c r="N131" s="449">
        <v>295860342</v>
      </c>
      <c r="O131" s="450">
        <v>0.14104792105444569</v>
      </c>
      <c r="P131" s="449">
        <v>0</v>
      </c>
      <c r="Q131" s="450">
        <v>0</v>
      </c>
      <c r="R131" s="449">
        <v>0</v>
      </c>
      <c r="S131" s="450">
        <v>0</v>
      </c>
    </row>
    <row r="132" spans="1:19" ht="32.1" hidden="1" customHeight="1" outlineLevel="1">
      <c r="A132" s="411" t="e">
        <v>#REF!</v>
      </c>
      <c r="B132" s="451" t="s">
        <v>503</v>
      </c>
      <c r="C132" s="452" t="s">
        <v>167</v>
      </c>
      <c r="D132" s="453" t="s">
        <v>190</v>
      </c>
      <c r="E132" s="453" t="s">
        <v>172</v>
      </c>
      <c r="F132" s="453" t="s">
        <v>22</v>
      </c>
      <c r="G132" s="453" t="s">
        <v>175</v>
      </c>
      <c r="H132" s="453" t="s">
        <v>199</v>
      </c>
      <c r="I132" s="454" t="s">
        <v>54</v>
      </c>
      <c r="J132" s="455">
        <v>11</v>
      </c>
      <c r="K132" s="456" t="s">
        <v>29</v>
      </c>
      <c r="L132" s="457" t="s">
        <v>178</v>
      </c>
      <c r="M132" s="458">
        <v>2097587400</v>
      </c>
      <c r="N132" s="458">
        <v>295860342</v>
      </c>
      <c r="O132" s="460">
        <v>0.14104792105444569</v>
      </c>
      <c r="P132" s="461">
        <v>0</v>
      </c>
      <c r="Q132" s="460">
        <v>0</v>
      </c>
      <c r="R132" s="461">
        <v>0</v>
      </c>
      <c r="S132" s="460">
        <v>0</v>
      </c>
    </row>
    <row r="133" spans="1:19" ht="39.950000000000003" hidden="1" customHeight="1" outlineLevel="1">
      <c r="A133" s="411" t="e">
        <v>#REF!</v>
      </c>
      <c r="B133" s="444" t="s">
        <v>504</v>
      </c>
      <c r="C133" s="445" t="s">
        <v>167</v>
      </c>
      <c r="D133" s="446" t="s">
        <v>190</v>
      </c>
      <c r="E133" s="446" t="s">
        <v>172</v>
      </c>
      <c r="F133" s="446" t="s">
        <v>22</v>
      </c>
      <c r="G133" s="446" t="s">
        <v>175</v>
      </c>
      <c r="H133" s="446" t="s">
        <v>201</v>
      </c>
      <c r="I133" s="447"/>
      <c r="J133" s="448"/>
      <c r="K133" s="448" t="s">
        <v>29</v>
      </c>
      <c r="L133" s="444" t="s">
        <v>202</v>
      </c>
      <c r="M133" s="449">
        <v>2565502874</v>
      </c>
      <c r="N133" s="449">
        <v>1523563242</v>
      </c>
      <c r="O133" s="450">
        <v>0.59386534212863251</v>
      </c>
      <c r="P133" s="449">
        <v>612661951</v>
      </c>
      <c r="Q133" s="450">
        <v>0.23880774300001817</v>
      </c>
      <c r="R133" s="449">
        <v>565955285</v>
      </c>
      <c r="S133" s="450">
        <v>0.22060208574921283</v>
      </c>
    </row>
    <row r="134" spans="1:19" ht="32.1" hidden="1" customHeight="1" outlineLevel="1">
      <c r="A134" s="411" t="e">
        <v>#REF!</v>
      </c>
      <c r="B134" s="451" t="s">
        <v>505</v>
      </c>
      <c r="C134" s="452" t="s">
        <v>167</v>
      </c>
      <c r="D134" s="453" t="s">
        <v>190</v>
      </c>
      <c r="E134" s="453" t="s">
        <v>172</v>
      </c>
      <c r="F134" s="453" t="s">
        <v>22</v>
      </c>
      <c r="G134" s="453" t="s">
        <v>175</v>
      </c>
      <c r="H134" s="453" t="s">
        <v>201</v>
      </c>
      <c r="I134" s="454" t="s">
        <v>54</v>
      </c>
      <c r="J134" s="455">
        <v>11</v>
      </c>
      <c r="K134" s="456" t="s">
        <v>29</v>
      </c>
      <c r="L134" s="457" t="s">
        <v>178</v>
      </c>
      <c r="M134" s="458">
        <v>2565502874</v>
      </c>
      <c r="N134" s="458">
        <v>1523563242</v>
      </c>
      <c r="O134" s="460">
        <v>0.59386534212863251</v>
      </c>
      <c r="P134" s="461">
        <v>612661951</v>
      </c>
      <c r="Q134" s="460">
        <v>0.23880774300001817</v>
      </c>
      <c r="R134" s="461">
        <v>565955285</v>
      </c>
      <c r="S134" s="460">
        <v>0.22060208574921283</v>
      </c>
    </row>
    <row r="135" spans="1:19" ht="39.950000000000003" hidden="1" customHeight="1" outlineLevel="1">
      <c r="A135" s="411" t="e">
        <v>#REF!</v>
      </c>
      <c r="B135" s="444" t="s">
        <v>506</v>
      </c>
      <c r="C135" s="445" t="s">
        <v>167</v>
      </c>
      <c r="D135" s="446" t="s">
        <v>190</v>
      </c>
      <c r="E135" s="446" t="s">
        <v>172</v>
      </c>
      <c r="F135" s="446" t="s">
        <v>22</v>
      </c>
      <c r="G135" s="446" t="s">
        <v>175</v>
      </c>
      <c r="H135" s="446" t="s">
        <v>203</v>
      </c>
      <c r="I135" s="447"/>
      <c r="J135" s="448"/>
      <c r="K135" s="448" t="s">
        <v>29</v>
      </c>
      <c r="L135" s="444" t="s">
        <v>204</v>
      </c>
      <c r="M135" s="449">
        <v>32615742114</v>
      </c>
      <c r="N135" s="449">
        <v>7429702097</v>
      </c>
      <c r="O135" s="450">
        <v>0.22779497308481816</v>
      </c>
      <c r="P135" s="449">
        <v>208333840</v>
      </c>
      <c r="Q135" s="450">
        <v>6.387524137020162E-3</v>
      </c>
      <c r="R135" s="449">
        <v>208333840</v>
      </c>
      <c r="S135" s="450">
        <v>6.387524137020162E-3</v>
      </c>
    </row>
    <row r="136" spans="1:19" ht="32.1" hidden="1" customHeight="1" outlineLevel="1">
      <c r="A136" s="411" t="e">
        <v>#REF!</v>
      </c>
      <c r="B136" s="451" t="s">
        <v>507</v>
      </c>
      <c r="C136" s="452" t="s">
        <v>167</v>
      </c>
      <c r="D136" s="453" t="s">
        <v>190</v>
      </c>
      <c r="E136" s="453" t="s">
        <v>172</v>
      </c>
      <c r="F136" s="453" t="s">
        <v>22</v>
      </c>
      <c r="G136" s="453" t="s">
        <v>175</v>
      </c>
      <c r="H136" s="453" t="s">
        <v>203</v>
      </c>
      <c r="I136" s="454" t="s">
        <v>54</v>
      </c>
      <c r="J136" s="455">
        <v>11</v>
      </c>
      <c r="K136" s="456" t="s">
        <v>29</v>
      </c>
      <c r="L136" s="457" t="s">
        <v>178</v>
      </c>
      <c r="M136" s="458">
        <v>32615742114</v>
      </c>
      <c r="N136" s="458">
        <v>7429702097</v>
      </c>
      <c r="O136" s="460">
        <v>0.22779497308481816</v>
      </c>
      <c r="P136" s="461">
        <v>208333840</v>
      </c>
      <c r="Q136" s="460">
        <v>6.387524137020162E-3</v>
      </c>
      <c r="R136" s="461">
        <v>208333840</v>
      </c>
      <c r="S136" s="460">
        <v>6.387524137020162E-3</v>
      </c>
    </row>
    <row r="137" spans="1:19" ht="39.950000000000003" customHeight="1" collapsed="1">
      <c r="A137" s="411" t="e">
        <v>#REF!</v>
      </c>
      <c r="B137" s="436" t="s">
        <v>299</v>
      </c>
      <c r="C137" s="437" t="s">
        <v>167</v>
      </c>
      <c r="D137" s="438" t="s">
        <v>190</v>
      </c>
      <c r="E137" s="438" t="s">
        <v>172</v>
      </c>
      <c r="F137" s="438" t="s">
        <v>205</v>
      </c>
      <c r="G137" s="438"/>
      <c r="H137" s="438"/>
      <c r="I137" s="439"/>
      <c r="J137" s="440"/>
      <c r="K137" s="440"/>
      <c r="L137" s="436" t="s">
        <v>843</v>
      </c>
      <c r="M137" s="441">
        <v>947599205073</v>
      </c>
      <c r="N137" s="441">
        <v>381602383459.21997</v>
      </c>
      <c r="O137" s="442">
        <v>0.40270441492173115</v>
      </c>
      <c r="P137" s="443">
        <v>80591021712.899994</v>
      </c>
      <c r="Q137" s="442">
        <v>8.504758265040073E-2</v>
      </c>
      <c r="R137" s="443">
        <v>80254554976.899994</v>
      </c>
      <c r="S137" s="442">
        <v>8.4692509815600198E-2</v>
      </c>
    </row>
    <row r="138" spans="1:19" ht="32.1" hidden="1" customHeight="1" outlineLevel="1">
      <c r="A138" s="411" t="e">
        <v>#REF!</v>
      </c>
      <c r="B138" s="444" t="s">
        <v>510</v>
      </c>
      <c r="C138" s="445" t="s">
        <v>167</v>
      </c>
      <c r="D138" s="446" t="s">
        <v>190</v>
      </c>
      <c r="E138" s="446" t="s">
        <v>172</v>
      </c>
      <c r="F138" s="446" t="s">
        <v>205</v>
      </c>
      <c r="G138" s="446" t="s">
        <v>175</v>
      </c>
      <c r="H138" s="446" t="s">
        <v>207</v>
      </c>
      <c r="I138" s="447"/>
      <c r="J138" s="448"/>
      <c r="K138" s="448"/>
      <c r="L138" s="444" t="s">
        <v>208</v>
      </c>
      <c r="M138" s="449">
        <v>918263049313</v>
      </c>
      <c r="N138" s="449">
        <v>369208574983.84998</v>
      </c>
      <c r="O138" s="450">
        <v>0.40207277779507078</v>
      </c>
      <c r="P138" s="449">
        <v>76018839220.569992</v>
      </c>
      <c r="Q138" s="450">
        <v>8.2785471197434776E-2</v>
      </c>
      <c r="R138" s="449">
        <v>75898453117.569992</v>
      </c>
      <c r="S138" s="450">
        <v>8.265436921844295E-2</v>
      </c>
    </row>
    <row r="139" spans="1:19" ht="32.1" hidden="1" customHeight="1" outlineLevel="1">
      <c r="A139" s="411" t="e">
        <v>#REF!</v>
      </c>
      <c r="B139" s="451" t="s">
        <v>511</v>
      </c>
      <c r="C139" s="452" t="s">
        <v>167</v>
      </c>
      <c r="D139" s="453" t="s">
        <v>190</v>
      </c>
      <c r="E139" s="453" t="s">
        <v>172</v>
      </c>
      <c r="F139" s="453" t="s">
        <v>205</v>
      </c>
      <c r="G139" s="453" t="s">
        <v>175</v>
      </c>
      <c r="H139" s="453" t="s">
        <v>207</v>
      </c>
      <c r="I139" s="454" t="s">
        <v>54</v>
      </c>
      <c r="J139" s="455">
        <v>11</v>
      </c>
      <c r="K139" s="456" t="s">
        <v>29</v>
      </c>
      <c r="L139" s="457" t="s">
        <v>178</v>
      </c>
      <c r="M139" s="491">
        <v>101740918684</v>
      </c>
      <c r="N139" s="458">
        <v>56739381906.669998</v>
      </c>
      <c r="O139" s="460">
        <v>0.55768497710246212</v>
      </c>
      <c r="P139" s="461">
        <v>9326707810.7299995</v>
      </c>
      <c r="Q139" s="460">
        <v>9.167115779343496E-2</v>
      </c>
      <c r="R139" s="461">
        <v>9206321707.7299995</v>
      </c>
      <c r="S139" s="460">
        <v>9.0487896382419886E-2</v>
      </c>
    </row>
    <row r="140" spans="1:19" ht="32.1" hidden="1" customHeight="1" outlineLevel="1">
      <c r="A140" s="411" t="e">
        <v>#REF!</v>
      </c>
      <c r="B140" s="451" t="s">
        <v>514</v>
      </c>
      <c r="C140" s="452" t="s">
        <v>167</v>
      </c>
      <c r="D140" s="453" t="s">
        <v>190</v>
      </c>
      <c r="E140" s="453" t="s">
        <v>172</v>
      </c>
      <c r="F140" s="453" t="s">
        <v>205</v>
      </c>
      <c r="G140" s="453" t="s">
        <v>175</v>
      </c>
      <c r="H140" s="453" t="s">
        <v>207</v>
      </c>
      <c r="I140" s="454" t="s">
        <v>65</v>
      </c>
      <c r="J140" s="455">
        <v>11</v>
      </c>
      <c r="K140" s="456" t="s">
        <v>29</v>
      </c>
      <c r="L140" s="457" t="s">
        <v>127</v>
      </c>
      <c r="M140" s="491">
        <v>816522130629</v>
      </c>
      <c r="N140" s="458">
        <v>312469193077.17999</v>
      </c>
      <c r="O140" s="460">
        <v>0.38268306682204967</v>
      </c>
      <c r="P140" s="461">
        <v>66692131409.839996</v>
      </c>
      <c r="Q140" s="460">
        <v>8.1678290040300985E-2</v>
      </c>
      <c r="R140" s="461">
        <v>66692131409.839996</v>
      </c>
      <c r="S140" s="460">
        <v>8.1678290040300985E-2</v>
      </c>
    </row>
    <row r="141" spans="1:19" ht="32.1" hidden="1" customHeight="1" outlineLevel="1">
      <c r="A141" s="411" t="e">
        <v>#REF!</v>
      </c>
      <c r="B141" s="444" t="s">
        <v>516</v>
      </c>
      <c r="C141" s="445" t="s">
        <v>167</v>
      </c>
      <c r="D141" s="446" t="s">
        <v>190</v>
      </c>
      <c r="E141" s="446" t="s">
        <v>172</v>
      </c>
      <c r="F141" s="446" t="s">
        <v>205</v>
      </c>
      <c r="G141" s="446" t="s">
        <v>175</v>
      </c>
      <c r="H141" s="446" t="s">
        <v>209</v>
      </c>
      <c r="I141" s="447"/>
      <c r="J141" s="448"/>
      <c r="K141" s="448" t="s">
        <v>29</v>
      </c>
      <c r="L141" s="444" t="s">
        <v>210</v>
      </c>
      <c r="M141" s="449">
        <v>29336155760</v>
      </c>
      <c r="N141" s="449">
        <v>12393808475.370001</v>
      </c>
      <c r="O141" s="450">
        <v>0.42247554781083563</v>
      </c>
      <c r="P141" s="449">
        <v>4572182492.3299999</v>
      </c>
      <c r="Q141" s="450">
        <v>0.15585486147998281</v>
      </c>
      <c r="R141" s="449">
        <v>4356101859.3299999</v>
      </c>
      <c r="S141" s="450">
        <v>0.14848918498277022</v>
      </c>
    </row>
    <row r="142" spans="1:19" ht="32.1" hidden="1" customHeight="1" outlineLevel="1">
      <c r="A142" s="411" t="e">
        <v>#REF!</v>
      </c>
      <c r="B142" s="451" t="s">
        <v>517</v>
      </c>
      <c r="C142" s="452" t="s">
        <v>167</v>
      </c>
      <c r="D142" s="453" t="s">
        <v>190</v>
      </c>
      <c r="E142" s="453" t="s">
        <v>172</v>
      </c>
      <c r="F142" s="453" t="s">
        <v>205</v>
      </c>
      <c r="G142" s="453" t="s">
        <v>175</v>
      </c>
      <c r="H142" s="453" t="s">
        <v>209</v>
      </c>
      <c r="I142" s="454" t="s">
        <v>54</v>
      </c>
      <c r="J142" s="455">
        <v>11</v>
      </c>
      <c r="K142" s="456" t="s">
        <v>29</v>
      </c>
      <c r="L142" s="457" t="s">
        <v>178</v>
      </c>
      <c r="M142" s="491">
        <v>29336155760</v>
      </c>
      <c r="N142" s="458">
        <v>12393808475.370001</v>
      </c>
      <c r="O142" s="460">
        <v>0.42247554781083563</v>
      </c>
      <c r="P142" s="461">
        <v>4572182492.3299999</v>
      </c>
      <c r="Q142" s="460">
        <v>0.15585486147998281</v>
      </c>
      <c r="R142" s="461">
        <v>4356101859.3299999</v>
      </c>
      <c r="S142" s="460">
        <v>0.14848918498277022</v>
      </c>
    </row>
    <row r="143" spans="1:19" ht="32.1" customHeight="1" collapsed="1">
      <c r="A143" s="411" t="e">
        <v>#REF!</v>
      </c>
      <c r="B143" s="436" t="s">
        <v>520</v>
      </c>
      <c r="C143" s="437" t="s">
        <v>167</v>
      </c>
      <c r="D143" s="438" t="s">
        <v>190</v>
      </c>
      <c r="E143" s="438" t="s">
        <v>172</v>
      </c>
      <c r="F143" s="438" t="s">
        <v>211</v>
      </c>
      <c r="G143" s="438"/>
      <c r="H143" s="438"/>
      <c r="I143" s="439"/>
      <c r="J143" s="440"/>
      <c r="K143" s="440"/>
      <c r="L143" s="436" t="s">
        <v>844</v>
      </c>
      <c r="M143" s="441">
        <v>500000000</v>
      </c>
      <c r="N143" s="441">
        <v>0</v>
      </c>
      <c r="O143" s="442">
        <v>0</v>
      </c>
      <c r="P143" s="443">
        <v>0</v>
      </c>
      <c r="Q143" s="442">
        <v>0</v>
      </c>
      <c r="R143" s="443">
        <v>0</v>
      </c>
      <c r="S143" s="442">
        <v>0</v>
      </c>
    </row>
    <row r="144" spans="1:19" ht="32.1" hidden="1" customHeight="1" outlineLevel="1">
      <c r="A144" s="411" t="e">
        <v>#REF!</v>
      </c>
      <c r="B144" s="444" t="s">
        <v>522</v>
      </c>
      <c r="C144" s="445" t="s">
        <v>167</v>
      </c>
      <c r="D144" s="446" t="s">
        <v>190</v>
      </c>
      <c r="E144" s="446" t="s">
        <v>172</v>
      </c>
      <c r="F144" s="446" t="s">
        <v>211</v>
      </c>
      <c r="G144" s="446" t="s">
        <v>175</v>
      </c>
      <c r="H144" s="446" t="s">
        <v>213</v>
      </c>
      <c r="I144" s="447"/>
      <c r="J144" s="448"/>
      <c r="K144" s="448" t="s">
        <v>29</v>
      </c>
      <c r="L144" s="444" t="s">
        <v>214</v>
      </c>
      <c r="M144" s="449">
        <v>410000000</v>
      </c>
      <c r="N144" s="449">
        <v>0</v>
      </c>
      <c r="O144" s="450">
        <v>0</v>
      </c>
      <c r="P144" s="449">
        <v>0</v>
      </c>
      <c r="Q144" s="450">
        <v>0</v>
      </c>
      <c r="R144" s="449">
        <v>0</v>
      </c>
      <c r="S144" s="450">
        <v>0</v>
      </c>
    </row>
    <row r="145" spans="1:19" ht="32.1" hidden="1" customHeight="1" outlineLevel="1">
      <c r="A145" s="411" t="e">
        <v>#REF!</v>
      </c>
      <c r="B145" s="451" t="s">
        <v>524</v>
      </c>
      <c r="C145" s="452" t="s">
        <v>167</v>
      </c>
      <c r="D145" s="453" t="s">
        <v>190</v>
      </c>
      <c r="E145" s="453" t="s">
        <v>172</v>
      </c>
      <c r="F145" s="453" t="s">
        <v>211</v>
      </c>
      <c r="G145" s="453" t="s">
        <v>175</v>
      </c>
      <c r="H145" s="453" t="s">
        <v>213</v>
      </c>
      <c r="I145" s="454" t="s">
        <v>54</v>
      </c>
      <c r="J145" s="455">
        <v>11</v>
      </c>
      <c r="K145" s="456" t="s">
        <v>29</v>
      </c>
      <c r="L145" s="457" t="s">
        <v>178</v>
      </c>
      <c r="M145" s="458">
        <v>410000000</v>
      </c>
      <c r="N145" s="458">
        <v>0</v>
      </c>
      <c r="O145" s="460">
        <v>0</v>
      </c>
      <c r="P145" s="461">
        <v>0</v>
      </c>
      <c r="Q145" s="460">
        <v>0</v>
      </c>
      <c r="R145" s="461">
        <v>0</v>
      </c>
      <c r="S145" s="460">
        <v>0</v>
      </c>
    </row>
    <row r="146" spans="1:19" ht="32.1" hidden="1" customHeight="1" outlineLevel="1">
      <c r="A146" s="411" t="e">
        <v>#REF!</v>
      </c>
      <c r="B146" s="444" t="s">
        <v>526</v>
      </c>
      <c r="C146" s="445" t="s">
        <v>167</v>
      </c>
      <c r="D146" s="446" t="s">
        <v>190</v>
      </c>
      <c r="E146" s="446" t="s">
        <v>172</v>
      </c>
      <c r="F146" s="446" t="s">
        <v>211</v>
      </c>
      <c r="G146" s="446" t="s">
        <v>175</v>
      </c>
      <c r="H146" s="446" t="s">
        <v>215</v>
      </c>
      <c r="I146" s="447"/>
      <c r="J146" s="448"/>
      <c r="K146" s="448" t="s">
        <v>29</v>
      </c>
      <c r="L146" s="444" t="s">
        <v>216</v>
      </c>
      <c r="M146" s="449">
        <v>90000000</v>
      </c>
      <c r="N146" s="449">
        <v>0</v>
      </c>
      <c r="O146" s="450">
        <v>0</v>
      </c>
      <c r="P146" s="449">
        <v>0</v>
      </c>
      <c r="Q146" s="450">
        <v>0</v>
      </c>
      <c r="R146" s="449">
        <v>0</v>
      </c>
      <c r="S146" s="450">
        <v>0</v>
      </c>
    </row>
    <row r="147" spans="1:19" ht="32.1" hidden="1" customHeight="1" outlineLevel="1">
      <c r="A147" s="411" t="e">
        <v>#REF!</v>
      </c>
      <c r="B147" s="451" t="s">
        <v>528</v>
      </c>
      <c r="C147" s="452" t="s">
        <v>167</v>
      </c>
      <c r="D147" s="453" t="s">
        <v>190</v>
      </c>
      <c r="E147" s="453" t="s">
        <v>172</v>
      </c>
      <c r="F147" s="453" t="s">
        <v>211</v>
      </c>
      <c r="G147" s="453" t="s">
        <v>175</v>
      </c>
      <c r="H147" s="453" t="s">
        <v>215</v>
      </c>
      <c r="I147" s="454" t="s">
        <v>54</v>
      </c>
      <c r="J147" s="455">
        <v>11</v>
      </c>
      <c r="K147" s="456" t="s">
        <v>29</v>
      </c>
      <c r="L147" s="457" t="s">
        <v>178</v>
      </c>
      <c r="M147" s="458">
        <v>90000000</v>
      </c>
      <c r="N147" s="458">
        <v>0</v>
      </c>
      <c r="O147" s="460">
        <v>0</v>
      </c>
      <c r="P147" s="461">
        <v>0</v>
      </c>
      <c r="Q147" s="460">
        <v>0</v>
      </c>
      <c r="R147" s="461">
        <v>0</v>
      </c>
      <c r="S147" s="460">
        <v>0</v>
      </c>
    </row>
    <row r="148" spans="1:19" ht="51" collapsed="1">
      <c r="A148" s="411" t="e">
        <v>#REF!</v>
      </c>
      <c r="B148" s="436" t="s">
        <v>530</v>
      </c>
      <c r="C148" s="437" t="s">
        <v>167</v>
      </c>
      <c r="D148" s="438" t="s">
        <v>190</v>
      </c>
      <c r="E148" s="438" t="s">
        <v>172</v>
      </c>
      <c r="F148" s="438" t="s">
        <v>217</v>
      </c>
      <c r="G148" s="438"/>
      <c r="H148" s="438"/>
      <c r="I148" s="439"/>
      <c r="J148" s="440"/>
      <c r="K148" s="440"/>
      <c r="L148" s="436" t="s">
        <v>845</v>
      </c>
      <c r="M148" s="441">
        <v>18000000000</v>
      </c>
      <c r="N148" s="441">
        <v>839199722</v>
      </c>
      <c r="O148" s="442">
        <v>4.6622206777777779E-2</v>
      </c>
      <c r="P148" s="443">
        <v>286685338</v>
      </c>
      <c r="Q148" s="442">
        <v>1.5926963222222222E-2</v>
      </c>
      <c r="R148" s="443">
        <v>268463338</v>
      </c>
      <c r="S148" s="442">
        <v>1.4914629888888888E-2</v>
      </c>
    </row>
    <row r="149" spans="1:19" ht="32.1" hidden="1" customHeight="1" outlineLevel="1">
      <c r="A149" s="411" t="e">
        <v>#REF!</v>
      </c>
      <c r="B149" s="444" t="s">
        <v>531</v>
      </c>
      <c r="C149" s="445" t="s">
        <v>167</v>
      </c>
      <c r="D149" s="446" t="s">
        <v>190</v>
      </c>
      <c r="E149" s="446" t="s">
        <v>172</v>
      </c>
      <c r="F149" s="446" t="s">
        <v>217</v>
      </c>
      <c r="G149" s="446" t="s">
        <v>175</v>
      </c>
      <c r="H149" s="446" t="s">
        <v>219</v>
      </c>
      <c r="I149" s="447"/>
      <c r="J149" s="448"/>
      <c r="K149" s="448" t="s">
        <v>29</v>
      </c>
      <c r="L149" s="444" t="s">
        <v>846</v>
      </c>
      <c r="M149" s="449">
        <v>3388943635</v>
      </c>
      <c r="N149" s="449">
        <v>839199722</v>
      </c>
      <c r="O149" s="450">
        <v>0.2476287045122248</v>
      </c>
      <c r="P149" s="449">
        <v>286685338</v>
      </c>
      <c r="Q149" s="450">
        <v>8.4594306921838197E-2</v>
      </c>
      <c r="R149" s="449">
        <v>268463338</v>
      </c>
      <c r="S149" s="450">
        <v>7.9217410176844083E-2</v>
      </c>
    </row>
    <row r="150" spans="1:19" ht="32.1" hidden="1" customHeight="1" outlineLevel="1">
      <c r="A150" s="411" t="e">
        <v>#REF!</v>
      </c>
      <c r="B150" s="451" t="s">
        <v>532</v>
      </c>
      <c r="C150" s="452" t="s">
        <v>167</v>
      </c>
      <c r="D150" s="453" t="s">
        <v>190</v>
      </c>
      <c r="E150" s="453" t="s">
        <v>172</v>
      </c>
      <c r="F150" s="453" t="s">
        <v>217</v>
      </c>
      <c r="G150" s="453" t="s">
        <v>175</v>
      </c>
      <c r="H150" s="453" t="s">
        <v>219</v>
      </c>
      <c r="I150" s="454" t="s">
        <v>54</v>
      </c>
      <c r="J150" s="455">
        <v>11</v>
      </c>
      <c r="K150" s="456" t="s">
        <v>29</v>
      </c>
      <c r="L150" s="457" t="s">
        <v>178</v>
      </c>
      <c r="M150" s="458">
        <v>3388943635</v>
      </c>
      <c r="N150" s="458">
        <v>839199722</v>
      </c>
      <c r="O150" s="460">
        <v>0.2476287045122248</v>
      </c>
      <c r="P150" s="461">
        <v>286685338</v>
      </c>
      <c r="Q150" s="460">
        <v>8.4594306921838197E-2</v>
      </c>
      <c r="R150" s="461">
        <v>268463338</v>
      </c>
      <c r="S150" s="460">
        <v>7.9217410176844083E-2</v>
      </c>
    </row>
    <row r="151" spans="1:19" ht="32.1" hidden="1" customHeight="1" outlineLevel="1">
      <c r="A151" s="411" t="e">
        <v>#REF!</v>
      </c>
      <c r="B151" s="444" t="s">
        <v>533</v>
      </c>
      <c r="C151" s="445" t="s">
        <v>167</v>
      </c>
      <c r="D151" s="446" t="s">
        <v>190</v>
      </c>
      <c r="E151" s="446" t="s">
        <v>172</v>
      </c>
      <c r="F151" s="446" t="s">
        <v>217</v>
      </c>
      <c r="G151" s="446" t="s">
        <v>175</v>
      </c>
      <c r="H151" s="446" t="s">
        <v>221</v>
      </c>
      <c r="I151" s="447"/>
      <c r="J151" s="448"/>
      <c r="K151" s="448" t="s">
        <v>29</v>
      </c>
      <c r="L151" s="444" t="s">
        <v>222</v>
      </c>
      <c r="M151" s="449">
        <v>14611056365</v>
      </c>
      <c r="N151" s="449">
        <v>0</v>
      </c>
      <c r="O151" s="450">
        <v>0</v>
      </c>
      <c r="P151" s="449">
        <v>0</v>
      </c>
      <c r="Q151" s="450">
        <v>0</v>
      </c>
      <c r="R151" s="449">
        <v>0</v>
      </c>
      <c r="S151" s="450">
        <v>0</v>
      </c>
    </row>
    <row r="152" spans="1:19" ht="32.1" hidden="1" customHeight="1" outlineLevel="1">
      <c r="A152" s="411" t="e">
        <v>#REF!</v>
      </c>
      <c r="B152" s="451" t="s">
        <v>534</v>
      </c>
      <c r="C152" s="452" t="s">
        <v>167</v>
      </c>
      <c r="D152" s="453" t="s">
        <v>190</v>
      </c>
      <c r="E152" s="453" t="s">
        <v>172</v>
      </c>
      <c r="F152" s="453" t="s">
        <v>217</v>
      </c>
      <c r="G152" s="453" t="s">
        <v>175</v>
      </c>
      <c r="H152" s="453" t="s">
        <v>221</v>
      </c>
      <c r="I152" s="454" t="s">
        <v>54</v>
      </c>
      <c r="J152" s="455">
        <v>11</v>
      </c>
      <c r="K152" s="456" t="s">
        <v>29</v>
      </c>
      <c r="L152" s="457" t="s">
        <v>178</v>
      </c>
      <c r="M152" s="458">
        <v>14611056365</v>
      </c>
      <c r="N152" s="458">
        <v>0</v>
      </c>
      <c r="O152" s="460">
        <v>0</v>
      </c>
      <c r="P152" s="461">
        <v>0</v>
      </c>
      <c r="Q152" s="460">
        <v>0</v>
      </c>
      <c r="R152" s="461">
        <v>0</v>
      </c>
      <c r="S152" s="460">
        <v>0</v>
      </c>
    </row>
    <row r="153" spans="1:19" ht="39.950000000000003" customHeight="1" collapsed="1">
      <c r="A153" s="411" t="e">
        <v>#REF!</v>
      </c>
      <c r="B153" s="436" t="s">
        <v>658</v>
      </c>
      <c r="C153" s="437" t="s">
        <v>167</v>
      </c>
      <c r="D153" s="438" t="s">
        <v>190</v>
      </c>
      <c r="E153" s="438" t="s">
        <v>172</v>
      </c>
      <c r="F153" s="438">
        <v>18</v>
      </c>
      <c r="G153" s="438"/>
      <c r="H153" s="438"/>
      <c r="I153" s="439"/>
      <c r="J153" s="440"/>
      <c r="K153" s="440"/>
      <c r="L153" s="436" t="s">
        <v>847</v>
      </c>
      <c r="M153" s="441">
        <v>41200000000</v>
      </c>
      <c r="N153" s="441">
        <v>3176456029.6700001</v>
      </c>
      <c r="O153" s="442">
        <v>7.7098447322087385E-2</v>
      </c>
      <c r="P153" s="443">
        <v>1418339335.6700001</v>
      </c>
      <c r="Q153" s="442">
        <v>3.4425712030825242E-2</v>
      </c>
      <c r="R153" s="443">
        <v>1397839335.6700001</v>
      </c>
      <c r="S153" s="442">
        <v>3.3928139215291267E-2</v>
      </c>
    </row>
    <row r="154" spans="1:19" ht="32.1" hidden="1" customHeight="1" outlineLevel="1">
      <c r="A154" s="411" t="e">
        <v>#REF!</v>
      </c>
      <c r="B154" s="444" t="s">
        <v>660</v>
      </c>
      <c r="C154" s="445" t="s">
        <v>167</v>
      </c>
      <c r="D154" s="446" t="s">
        <v>190</v>
      </c>
      <c r="E154" s="446" t="s">
        <v>172</v>
      </c>
      <c r="F154" s="446">
        <v>18</v>
      </c>
      <c r="G154" s="446" t="s">
        <v>175</v>
      </c>
      <c r="H154" s="446">
        <v>4103050</v>
      </c>
      <c r="I154" s="447"/>
      <c r="J154" s="448"/>
      <c r="K154" s="448" t="s">
        <v>29</v>
      </c>
      <c r="L154" s="444" t="s">
        <v>269</v>
      </c>
      <c r="M154" s="449">
        <v>41200000000</v>
      </c>
      <c r="N154" s="449">
        <v>3176456029.6700001</v>
      </c>
      <c r="O154" s="450">
        <v>7.7098447322087385E-2</v>
      </c>
      <c r="P154" s="449">
        <v>1418339335.6700001</v>
      </c>
      <c r="Q154" s="450">
        <v>3.4425712030825242E-2</v>
      </c>
      <c r="R154" s="449">
        <v>1397839335.6700001</v>
      </c>
      <c r="S154" s="450">
        <v>3.3928139215291267E-2</v>
      </c>
    </row>
    <row r="155" spans="1:19" ht="32.1" hidden="1" customHeight="1" outlineLevel="1">
      <c r="A155" s="411" t="e">
        <v>#REF!</v>
      </c>
      <c r="B155" s="451" t="s">
        <v>662</v>
      </c>
      <c r="C155" s="452" t="s">
        <v>167</v>
      </c>
      <c r="D155" s="453" t="s">
        <v>190</v>
      </c>
      <c r="E155" s="453" t="s">
        <v>172</v>
      </c>
      <c r="F155" s="453">
        <v>18</v>
      </c>
      <c r="G155" s="453" t="s">
        <v>175</v>
      </c>
      <c r="H155" s="453">
        <v>4103050</v>
      </c>
      <c r="I155" s="454" t="s">
        <v>54</v>
      </c>
      <c r="J155" s="455">
        <v>11</v>
      </c>
      <c r="K155" s="456" t="s">
        <v>29</v>
      </c>
      <c r="L155" s="457" t="s">
        <v>178</v>
      </c>
      <c r="M155" s="458">
        <v>41200000000</v>
      </c>
      <c r="N155" s="458">
        <v>3176456029.6700001</v>
      </c>
      <c r="O155" s="460">
        <v>7.7098447322087385E-2</v>
      </c>
      <c r="P155" s="461">
        <v>1418339335.6700001</v>
      </c>
      <c r="Q155" s="460">
        <v>3.4425712030825242E-2</v>
      </c>
      <c r="R155" s="461">
        <v>1397839335.6700001</v>
      </c>
      <c r="S155" s="460">
        <v>3.3928139215291267E-2</v>
      </c>
    </row>
    <row r="156" spans="1:19" ht="32.1" customHeight="1" collapsed="1">
      <c r="A156" s="411" t="e">
        <v>#REF!</v>
      </c>
      <c r="B156" s="436" t="s">
        <v>664</v>
      </c>
      <c r="C156" s="437" t="s">
        <v>167</v>
      </c>
      <c r="D156" s="438" t="s">
        <v>190</v>
      </c>
      <c r="E156" s="438" t="s">
        <v>172</v>
      </c>
      <c r="F156" s="438">
        <v>19</v>
      </c>
      <c r="G156" s="438"/>
      <c r="H156" s="438"/>
      <c r="I156" s="439"/>
      <c r="J156" s="440"/>
      <c r="K156" s="440"/>
      <c r="L156" s="436" t="s">
        <v>848</v>
      </c>
      <c r="M156" s="441">
        <v>12000000000</v>
      </c>
      <c r="N156" s="441">
        <v>7233914715.7200003</v>
      </c>
      <c r="O156" s="442">
        <v>0.60282622631000005</v>
      </c>
      <c r="P156" s="443">
        <v>2000397039</v>
      </c>
      <c r="Q156" s="442">
        <v>0.16669975325</v>
      </c>
      <c r="R156" s="443">
        <v>1977303705</v>
      </c>
      <c r="S156" s="442">
        <v>0.16477530874999999</v>
      </c>
    </row>
    <row r="157" spans="1:19" ht="32.1" hidden="1" customHeight="1" outlineLevel="1">
      <c r="A157" s="411" t="e">
        <v>#REF!</v>
      </c>
      <c r="B157" s="444" t="s">
        <v>666</v>
      </c>
      <c r="C157" s="445" t="s">
        <v>167</v>
      </c>
      <c r="D157" s="446" t="s">
        <v>190</v>
      </c>
      <c r="E157" s="446" t="s">
        <v>172</v>
      </c>
      <c r="F157" s="446">
        <v>19</v>
      </c>
      <c r="G157" s="446" t="s">
        <v>175</v>
      </c>
      <c r="H157" s="446">
        <v>4103049</v>
      </c>
      <c r="I157" s="447"/>
      <c r="J157" s="448"/>
      <c r="K157" s="448" t="s">
        <v>29</v>
      </c>
      <c r="L157" s="444" t="s">
        <v>228</v>
      </c>
      <c r="M157" s="449">
        <v>250000000</v>
      </c>
      <c r="N157" s="449">
        <v>0</v>
      </c>
      <c r="O157" s="450">
        <v>0</v>
      </c>
      <c r="P157" s="449">
        <v>0</v>
      </c>
      <c r="Q157" s="450">
        <v>0</v>
      </c>
      <c r="R157" s="449">
        <v>0</v>
      </c>
      <c r="S157" s="450">
        <v>0</v>
      </c>
    </row>
    <row r="158" spans="1:19" ht="32.1" hidden="1" customHeight="1" outlineLevel="1">
      <c r="A158" s="411" t="e">
        <v>#REF!</v>
      </c>
      <c r="B158" s="451" t="s">
        <v>668</v>
      </c>
      <c r="C158" s="452" t="s">
        <v>167</v>
      </c>
      <c r="D158" s="453" t="s">
        <v>190</v>
      </c>
      <c r="E158" s="453" t="s">
        <v>172</v>
      </c>
      <c r="F158" s="453">
        <v>19</v>
      </c>
      <c r="G158" s="453" t="s">
        <v>175</v>
      </c>
      <c r="H158" s="453">
        <v>4103049</v>
      </c>
      <c r="I158" s="454" t="s">
        <v>54</v>
      </c>
      <c r="J158" s="455">
        <v>11</v>
      </c>
      <c r="K158" s="456" t="s">
        <v>29</v>
      </c>
      <c r="L158" s="457" t="s">
        <v>178</v>
      </c>
      <c r="M158" s="458">
        <v>250000000</v>
      </c>
      <c r="N158" s="458">
        <v>0</v>
      </c>
      <c r="O158" s="460">
        <v>0</v>
      </c>
      <c r="P158" s="461">
        <v>0</v>
      </c>
      <c r="Q158" s="460">
        <v>0</v>
      </c>
      <c r="R158" s="461">
        <v>0</v>
      </c>
      <c r="S158" s="460">
        <v>0</v>
      </c>
    </row>
    <row r="159" spans="1:19" ht="32.1" hidden="1" customHeight="1" outlineLevel="1">
      <c r="A159" s="411" t="e">
        <v>#REF!</v>
      </c>
      <c r="B159" s="444" t="s">
        <v>670</v>
      </c>
      <c r="C159" s="445" t="s">
        <v>167</v>
      </c>
      <c r="D159" s="446" t="s">
        <v>190</v>
      </c>
      <c r="E159" s="446" t="s">
        <v>172</v>
      </c>
      <c r="F159" s="446">
        <v>19</v>
      </c>
      <c r="G159" s="446" t="s">
        <v>175</v>
      </c>
      <c r="H159" s="446">
        <v>4103052</v>
      </c>
      <c r="I159" s="447"/>
      <c r="J159" s="448"/>
      <c r="K159" s="448" t="s">
        <v>29</v>
      </c>
      <c r="L159" s="444" t="s">
        <v>229</v>
      </c>
      <c r="M159" s="449">
        <v>11700000000</v>
      </c>
      <c r="N159" s="449">
        <v>7233914715.7200003</v>
      </c>
      <c r="O159" s="450">
        <v>0.61828330903589745</v>
      </c>
      <c r="P159" s="449">
        <v>2000397039</v>
      </c>
      <c r="Q159" s="450">
        <v>0.17097410589743589</v>
      </c>
      <c r="R159" s="449">
        <v>1977303705</v>
      </c>
      <c r="S159" s="450">
        <v>0.16900031666666668</v>
      </c>
    </row>
    <row r="160" spans="1:19" ht="32.1" hidden="1" customHeight="1" outlineLevel="1">
      <c r="A160" s="411" t="e">
        <v>#REF!</v>
      </c>
      <c r="B160" s="451" t="s">
        <v>672</v>
      </c>
      <c r="C160" s="452" t="s">
        <v>167</v>
      </c>
      <c r="D160" s="453" t="s">
        <v>190</v>
      </c>
      <c r="E160" s="453" t="s">
        <v>172</v>
      </c>
      <c r="F160" s="453">
        <v>19</v>
      </c>
      <c r="G160" s="453" t="s">
        <v>175</v>
      </c>
      <c r="H160" s="453">
        <v>4103052</v>
      </c>
      <c r="I160" s="454" t="s">
        <v>54</v>
      </c>
      <c r="J160" s="455">
        <v>11</v>
      </c>
      <c r="K160" s="456" t="s">
        <v>29</v>
      </c>
      <c r="L160" s="457" t="s">
        <v>178</v>
      </c>
      <c r="M160" s="458">
        <v>11700000000</v>
      </c>
      <c r="N160" s="458">
        <v>7233914715.7200003</v>
      </c>
      <c r="O160" s="460">
        <v>0.61828330903589745</v>
      </c>
      <c r="P160" s="461">
        <v>2000397039</v>
      </c>
      <c r="Q160" s="460">
        <v>0.17097410589743589</v>
      </c>
      <c r="R160" s="461">
        <v>1977303705</v>
      </c>
      <c r="S160" s="460">
        <v>0.16900031666666668</v>
      </c>
    </row>
    <row r="161" spans="1:19" ht="32.1" hidden="1" customHeight="1" outlineLevel="1">
      <c r="A161" s="411" t="e">
        <v>#REF!</v>
      </c>
      <c r="B161" s="444" t="s">
        <v>674</v>
      </c>
      <c r="C161" s="445" t="s">
        <v>167</v>
      </c>
      <c r="D161" s="446" t="s">
        <v>190</v>
      </c>
      <c r="E161" s="446" t="s">
        <v>172</v>
      </c>
      <c r="F161" s="446">
        <v>19</v>
      </c>
      <c r="G161" s="446" t="s">
        <v>175</v>
      </c>
      <c r="H161" s="446">
        <v>4103060</v>
      </c>
      <c r="I161" s="447"/>
      <c r="J161" s="448"/>
      <c r="K161" s="448" t="s">
        <v>29</v>
      </c>
      <c r="L161" s="444" t="s">
        <v>216</v>
      </c>
      <c r="M161" s="449">
        <v>50000000</v>
      </c>
      <c r="N161" s="449">
        <v>0</v>
      </c>
      <c r="O161" s="450">
        <v>0</v>
      </c>
      <c r="P161" s="449">
        <v>0</v>
      </c>
      <c r="Q161" s="450">
        <v>0</v>
      </c>
      <c r="R161" s="449">
        <v>0</v>
      </c>
      <c r="S161" s="450">
        <v>0</v>
      </c>
    </row>
    <row r="162" spans="1:19" ht="32.1" hidden="1" customHeight="1" outlineLevel="1">
      <c r="A162" s="411" t="e">
        <v>#REF!</v>
      </c>
      <c r="B162" s="451" t="s">
        <v>676</v>
      </c>
      <c r="C162" s="452" t="s">
        <v>167</v>
      </c>
      <c r="D162" s="453" t="s">
        <v>190</v>
      </c>
      <c r="E162" s="453" t="s">
        <v>172</v>
      </c>
      <c r="F162" s="453">
        <v>19</v>
      </c>
      <c r="G162" s="453" t="s">
        <v>175</v>
      </c>
      <c r="H162" s="453">
        <v>4103060</v>
      </c>
      <c r="I162" s="454" t="s">
        <v>54</v>
      </c>
      <c r="J162" s="455">
        <v>11</v>
      </c>
      <c r="K162" s="456" t="s">
        <v>29</v>
      </c>
      <c r="L162" s="457" t="s">
        <v>178</v>
      </c>
      <c r="M162" s="458">
        <v>50000000</v>
      </c>
      <c r="N162" s="458">
        <v>0</v>
      </c>
      <c r="O162" s="460">
        <v>0</v>
      </c>
      <c r="P162" s="461">
        <v>0</v>
      </c>
      <c r="Q162" s="460">
        <v>0</v>
      </c>
      <c r="R162" s="461">
        <v>0</v>
      </c>
      <c r="S162" s="460">
        <v>0</v>
      </c>
    </row>
    <row r="163" spans="1:19" ht="39.950000000000003" customHeight="1" collapsed="1">
      <c r="A163" s="411" t="e">
        <v>#REF!</v>
      </c>
      <c r="B163" s="436" t="s">
        <v>678</v>
      </c>
      <c r="C163" s="437" t="s">
        <v>167</v>
      </c>
      <c r="D163" s="438" t="s">
        <v>190</v>
      </c>
      <c r="E163" s="438" t="s">
        <v>172</v>
      </c>
      <c r="F163" s="438">
        <v>20</v>
      </c>
      <c r="G163" s="438"/>
      <c r="H163" s="438"/>
      <c r="I163" s="439"/>
      <c r="J163" s="440"/>
      <c r="K163" s="440"/>
      <c r="L163" s="436" t="s">
        <v>849</v>
      </c>
      <c r="M163" s="441">
        <v>1021056959210</v>
      </c>
      <c r="N163" s="441">
        <v>3049478207.0300002</v>
      </c>
      <c r="O163" s="442">
        <v>2.9865897093433514E-3</v>
      </c>
      <c r="P163" s="443">
        <v>1991390807.1199999</v>
      </c>
      <c r="Q163" s="442">
        <v>1.950322936597734E-3</v>
      </c>
      <c r="R163" s="443">
        <v>1970090807.1199999</v>
      </c>
      <c r="S163" s="442">
        <v>1.9294622002716431E-3</v>
      </c>
    </row>
    <row r="164" spans="1:19" ht="32.1" hidden="1" customHeight="1" outlineLevel="1">
      <c r="A164" s="411" t="e">
        <v>#REF!</v>
      </c>
      <c r="B164" s="444" t="s">
        <v>680</v>
      </c>
      <c r="C164" s="445" t="s">
        <v>167</v>
      </c>
      <c r="D164" s="446" t="s">
        <v>190</v>
      </c>
      <c r="E164" s="446" t="s">
        <v>172</v>
      </c>
      <c r="F164" s="446">
        <v>20</v>
      </c>
      <c r="G164" s="446" t="s">
        <v>175</v>
      </c>
      <c r="H164" s="446">
        <v>4103061</v>
      </c>
      <c r="I164" s="447"/>
      <c r="J164" s="448"/>
      <c r="K164" s="448" t="s">
        <v>29</v>
      </c>
      <c r="L164" s="444" t="s">
        <v>231</v>
      </c>
      <c r="M164" s="449">
        <v>777446076033</v>
      </c>
      <c r="N164" s="449">
        <v>0</v>
      </c>
      <c r="O164" s="450">
        <v>0</v>
      </c>
      <c r="P164" s="449">
        <v>0</v>
      </c>
      <c r="Q164" s="450">
        <v>0</v>
      </c>
      <c r="R164" s="449">
        <v>0</v>
      </c>
      <c r="S164" s="450">
        <v>0</v>
      </c>
    </row>
    <row r="165" spans="1:19" ht="32.1" hidden="1" customHeight="1" outlineLevel="1">
      <c r="A165" s="411" t="e">
        <v>#REF!</v>
      </c>
      <c r="B165" s="451" t="s">
        <v>684</v>
      </c>
      <c r="C165" s="452" t="s">
        <v>167</v>
      </c>
      <c r="D165" s="453" t="s">
        <v>190</v>
      </c>
      <c r="E165" s="453" t="s">
        <v>172</v>
      </c>
      <c r="F165" s="453">
        <v>20</v>
      </c>
      <c r="G165" s="453" t="s">
        <v>175</v>
      </c>
      <c r="H165" s="453">
        <v>4103061</v>
      </c>
      <c r="I165" s="454" t="s">
        <v>65</v>
      </c>
      <c r="J165" s="455">
        <v>10</v>
      </c>
      <c r="K165" s="456" t="s">
        <v>29</v>
      </c>
      <c r="L165" s="457" t="s">
        <v>127</v>
      </c>
      <c r="M165" s="458">
        <v>777446076033</v>
      </c>
      <c r="N165" s="458">
        <v>0</v>
      </c>
      <c r="O165" s="460">
        <v>0</v>
      </c>
      <c r="P165" s="461">
        <v>0</v>
      </c>
      <c r="Q165" s="460">
        <v>0</v>
      </c>
      <c r="R165" s="461">
        <v>0</v>
      </c>
      <c r="S165" s="460">
        <v>0</v>
      </c>
    </row>
    <row r="166" spans="1:19" ht="32.1" hidden="1" customHeight="1" outlineLevel="1">
      <c r="A166" s="411" t="e">
        <v>#REF!</v>
      </c>
      <c r="B166" s="444" t="s">
        <v>680</v>
      </c>
      <c r="C166" s="445" t="s">
        <v>167</v>
      </c>
      <c r="D166" s="446" t="s">
        <v>190</v>
      </c>
      <c r="E166" s="446" t="s">
        <v>172</v>
      </c>
      <c r="F166" s="446">
        <v>20</v>
      </c>
      <c r="G166" s="446" t="s">
        <v>175</v>
      </c>
      <c r="H166" s="446">
        <v>4103061</v>
      </c>
      <c r="I166" s="447"/>
      <c r="J166" s="448"/>
      <c r="K166" s="448" t="s">
        <v>29</v>
      </c>
      <c r="L166" s="444" t="s">
        <v>231</v>
      </c>
      <c r="M166" s="449">
        <v>243610883177</v>
      </c>
      <c r="N166" s="449">
        <v>3049478207.0300002</v>
      </c>
      <c r="O166" s="450">
        <v>1.2517824192666898E-2</v>
      </c>
      <c r="P166" s="449">
        <v>1991390807.1199999</v>
      </c>
      <c r="Q166" s="450">
        <v>8.1744739034221147E-3</v>
      </c>
      <c r="R166" s="449">
        <v>1970090807.1199999</v>
      </c>
      <c r="S166" s="450">
        <v>8.0870393860384051E-3</v>
      </c>
    </row>
    <row r="167" spans="1:19" ht="32.1" hidden="1" customHeight="1" outlineLevel="1">
      <c r="A167" s="411" t="e">
        <v>#REF!</v>
      </c>
      <c r="B167" s="451" t="s">
        <v>682</v>
      </c>
      <c r="C167" s="452" t="s">
        <v>167</v>
      </c>
      <c r="D167" s="453" t="s">
        <v>190</v>
      </c>
      <c r="E167" s="453" t="s">
        <v>172</v>
      </c>
      <c r="F167" s="453">
        <v>20</v>
      </c>
      <c r="G167" s="453" t="s">
        <v>175</v>
      </c>
      <c r="H167" s="453">
        <v>4103061</v>
      </c>
      <c r="I167" s="454" t="s">
        <v>54</v>
      </c>
      <c r="J167" s="455">
        <v>11</v>
      </c>
      <c r="K167" s="456" t="s">
        <v>29</v>
      </c>
      <c r="L167" s="457" t="s">
        <v>178</v>
      </c>
      <c r="M167" s="458">
        <v>37983493181</v>
      </c>
      <c r="N167" s="458">
        <v>3049478207.0300002</v>
      </c>
      <c r="O167" s="460">
        <v>8.0284301196273389E-2</v>
      </c>
      <c r="P167" s="461">
        <v>1991390807.1199999</v>
      </c>
      <c r="Q167" s="460">
        <v>5.2427795348641816E-2</v>
      </c>
      <c r="R167" s="461">
        <v>1970090807.1199999</v>
      </c>
      <c r="S167" s="460">
        <v>5.1867025440026492E-2</v>
      </c>
    </row>
    <row r="168" spans="1:19" ht="32.1" hidden="1" customHeight="1" outlineLevel="1">
      <c r="A168" s="411" t="e">
        <v>#REF!</v>
      </c>
      <c r="B168" s="451" t="s">
        <v>684</v>
      </c>
      <c r="C168" s="452" t="s">
        <v>167</v>
      </c>
      <c r="D168" s="453" t="s">
        <v>190</v>
      </c>
      <c r="E168" s="453" t="s">
        <v>172</v>
      </c>
      <c r="F168" s="453">
        <v>20</v>
      </c>
      <c r="G168" s="453" t="s">
        <v>175</v>
      </c>
      <c r="H168" s="453">
        <v>4103061</v>
      </c>
      <c r="I168" s="454" t="s">
        <v>65</v>
      </c>
      <c r="J168" s="455">
        <v>11</v>
      </c>
      <c r="K168" s="456" t="s">
        <v>29</v>
      </c>
      <c r="L168" s="457" t="s">
        <v>127</v>
      </c>
      <c r="M168" s="458">
        <v>205627389996</v>
      </c>
      <c r="N168" s="458">
        <v>0</v>
      </c>
      <c r="O168" s="460">
        <v>0</v>
      </c>
      <c r="P168" s="461">
        <v>0</v>
      </c>
      <c r="Q168" s="460">
        <v>0</v>
      </c>
      <c r="R168" s="461">
        <v>0</v>
      </c>
      <c r="S168" s="460">
        <v>0</v>
      </c>
    </row>
    <row r="169" spans="1:19" ht="32.1" customHeight="1" collapsed="1">
      <c r="A169" s="411" t="e">
        <v>#REF!</v>
      </c>
      <c r="B169" s="436" t="s">
        <v>692</v>
      </c>
      <c r="C169" s="437" t="s">
        <v>167</v>
      </c>
      <c r="D169" s="438">
        <v>4103</v>
      </c>
      <c r="E169" s="438" t="s">
        <v>172</v>
      </c>
      <c r="F169" s="438">
        <v>21</v>
      </c>
      <c r="G169" s="438"/>
      <c r="H169" s="438"/>
      <c r="I169" s="439"/>
      <c r="J169" s="440"/>
      <c r="K169" s="440"/>
      <c r="L169" s="436" t="s">
        <v>850</v>
      </c>
      <c r="M169" s="441">
        <v>34000000000</v>
      </c>
      <c r="N169" s="441">
        <v>1112154791</v>
      </c>
      <c r="O169" s="442">
        <v>3.2710435029411768E-2</v>
      </c>
      <c r="P169" s="443">
        <v>441996113</v>
      </c>
      <c r="Q169" s="442">
        <v>1.2999885676470589E-2</v>
      </c>
      <c r="R169" s="443">
        <v>424846113</v>
      </c>
      <c r="S169" s="442">
        <v>1.2495473911764705E-2</v>
      </c>
    </row>
    <row r="170" spans="1:19" ht="32.1" hidden="1" customHeight="1" outlineLevel="1">
      <c r="A170" s="411" t="e">
        <v>#REF!</v>
      </c>
      <c r="B170" s="444" t="s">
        <v>693</v>
      </c>
      <c r="C170" s="445" t="s">
        <v>167</v>
      </c>
      <c r="D170" s="446">
        <v>4103</v>
      </c>
      <c r="E170" s="446" t="s">
        <v>172</v>
      </c>
      <c r="F170" s="446">
        <v>21</v>
      </c>
      <c r="G170" s="446" t="s">
        <v>175</v>
      </c>
      <c r="H170" s="446" t="s">
        <v>219</v>
      </c>
      <c r="I170" s="447"/>
      <c r="J170" s="448"/>
      <c r="K170" s="448" t="s">
        <v>29</v>
      </c>
      <c r="L170" s="444" t="s">
        <v>846</v>
      </c>
      <c r="M170" s="449">
        <v>4441786439</v>
      </c>
      <c r="N170" s="449">
        <v>0</v>
      </c>
      <c r="O170" s="450">
        <v>0</v>
      </c>
      <c r="P170" s="449">
        <v>0</v>
      </c>
      <c r="Q170" s="450">
        <v>0</v>
      </c>
      <c r="R170" s="449">
        <v>0</v>
      </c>
      <c r="S170" s="450">
        <v>0</v>
      </c>
    </row>
    <row r="171" spans="1:19" ht="32.1" hidden="1" customHeight="1" outlineLevel="1">
      <c r="A171" s="411" t="e">
        <v>#REF!</v>
      </c>
      <c r="B171" s="451" t="s">
        <v>694</v>
      </c>
      <c r="C171" s="452" t="s">
        <v>167</v>
      </c>
      <c r="D171" s="453">
        <v>4103</v>
      </c>
      <c r="E171" s="453" t="s">
        <v>172</v>
      </c>
      <c r="F171" s="453">
        <v>21</v>
      </c>
      <c r="G171" s="453" t="s">
        <v>175</v>
      </c>
      <c r="H171" s="453" t="s">
        <v>219</v>
      </c>
      <c r="I171" s="454" t="s">
        <v>54</v>
      </c>
      <c r="J171" s="455">
        <v>11</v>
      </c>
      <c r="K171" s="456" t="s">
        <v>29</v>
      </c>
      <c r="L171" s="457" t="s">
        <v>178</v>
      </c>
      <c r="M171" s="458">
        <v>4441786439</v>
      </c>
      <c r="N171" s="458">
        <v>0</v>
      </c>
      <c r="O171" s="460">
        <v>0</v>
      </c>
      <c r="P171" s="461">
        <v>0</v>
      </c>
      <c r="Q171" s="460">
        <v>0</v>
      </c>
      <c r="R171" s="461">
        <v>0</v>
      </c>
      <c r="S171" s="460">
        <v>0</v>
      </c>
    </row>
    <row r="172" spans="1:19" ht="32.1" hidden="1" customHeight="1" outlineLevel="1">
      <c r="A172" s="411" t="e">
        <v>#REF!</v>
      </c>
      <c r="B172" s="444" t="s">
        <v>695</v>
      </c>
      <c r="C172" s="445" t="s">
        <v>167</v>
      </c>
      <c r="D172" s="446">
        <v>4103</v>
      </c>
      <c r="E172" s="446" t="s">
        <v>172</v>
      </c>
      <c r="F172" s="446">
        <v>21</v>
      </c>
      <c r="G172" s="446" t="s">
        <v>175</v>
      </c>
      <c r="H172" s="446" t="s">
        <v>234</v>
      </c>
      <c r="I172" s="447"/>
      <c r="J172" s="448"/>
      <c r="K172" s="448" t="s">
        <v>29</v>
      </c>
      <c r="L172" s="444" t="s">
        <v>269</v>
      </c>
      <c r="M172" s="449">
        <v>1567335560</v>
      </c>
      <c r="N172" s="449">
        <v>0</v>
      </c>
      <c r="O172" s="450">
        <v>0</v>
      </c>
      <c r="P172" s="449">
        <v>0</v>
      </c>
      <c r="Q172" s="450">
        <v>0</v>
      </c>
      <c r="R172" s="449">
        <v>0</v>
      </c>
      <c r="S172" s="450">
        <v>0</v>
      </c>
    </row>
    <row r="173" spans="1:19" ht="32.1" hidden="1" customHeight="1" outlineLevel="1">
      <c r="A173" s="411" t="e">
        <v>#REF!</v>
      </c>
      <c r="B173" s="451" t="s">
        <v>696</v>
      </c>
      <c r="C173" s="452" t="s">
        <v>167</v>
      </c>
      <c r="D173" s="453">
        <v>4103</v>
      </c>
      <c r="E173" s="453" t="s">
        <v>172</v>
      </c>
      <c r="F173" s="453">
        <v>21</v>
      </c>
      <c r="G173" s="453" t="s">
        <v>175</v>
      </c>
      <c r="H173" s="453" t="s">
        <v>234</v>
      </c>
      <c r="I173" s="454" t="s">
        <v>54</v>
      </c>
      <c r="J173" s="455">
        <v>11</v>
      </c>
      <c r="K173" s="456" t="s">
        <v>29</v>
      </c>
      <c r="L173" s="457" t="s">
        <v>178</v>
      </c>
      <c r="M173" s="458">
        <v>1567335560</v>
      </c>
      <c r="N173" s="458">
        <v>0</v>
      </c>
      <c r="O173" s="460">
        <v>0</v>
      </c>
      <c r="P173" s="461">
        <v>0</v>
      </c>
      <c r="Q173" s="460">
        <v>0</v>
      </c>
      <c r="R173" s="461">
        <v>0</v>
      </c>
      <c r="S173" s="460">
        <v>0</v>
      </c>
    </row>
    <row r="174" spans="1:19" ht="32.1" hidden="1" customHeight="1" outlineLevel="1">
      <c r="A174" s="411" t="e">
        <v>#REF!</v>
      </c>
      <c r="B174" s="444" t="s">
        <v>697</v>
      </c>
      <c r="C174" s="445" t="s">
        <v>167</v>
      </c>
      <c r="D174" s="446">
        <v>4103</v>
      </c>
      <c r="E174" s="446" t="s">
        <v>172</v>
      </c>
      <c r="F174" s="446">
        <v>21</v>
      </c>
      <c r="G174" s="446" t="s">
        <v>175</v>
      </c>
      <c r="H174" s="446" t="s">
        <v>197</v>
      </c>
      <c r="I174" s="447"/>
      <c r="J174" s="448"/>
      <c r="K174" s="448" t="s">
        <v>29</v>
      </c>
      <c r="L174" s="444" t="s">
        <v>198</v>
      </c>
      <c r="M174" s="449">
        <v>2072835407</v>
      </c>
      <c r="N174" s="449">
        <v>0</v>
      </c>
      <c r="O174" s="450">
        <v>0</v>
      </c>
      <c r="P174" s="449">
        <v>0</v>
      </c>
      <c r="Q174" s="450">
        <v>0</v>
      </c>
      <c r="R174" s="449">
        <v>0</v>
      </c>
      <c r="S174" s="450">
        <v>0</v>
      </c>
    </row>
    <row r="175" spans="1:19" ht="32.1" hidden="1" customHeight="1" outlineLevel="1">
      <c r="A175" s="411" t="e">
        <v>#REF!</v>
      </c>
      <c r="B175" s="451" t="s">
        <v>698</v>
      </c>
      <c r="C175" s="452" t="s">
        <v>167</v>
      </c>
      <c r="D175" s="453">
        <v>4103</v>
      </c>
      <c r="E175" s="453" t="s">
        <v>172</v>
      </c>
      <c r="F175" s="453">
        <v>21</v>
      </c>
      <c r="G175" s="453" t="s">
        <v>175</v>
      </c>
      <c r="H175" s="453" t="s">
        <v>197</v>
      </c>
      <c r="I175" s="454" t="s">
        <v>54</v>
      </c>
      <c r="J175" s="455">
        <v>11</v>
      </c>
      <c r="K175" s="456" t="s">
        <v>29</v>
      </c>
      <c r="L175" s="457" t="s">
        <v>178</v>
      </c>
      <c r="M175" s="458">
        <v>2072835407</v>
      </c>
      <c r="N175" s="458">
        <v>0</v>
      </c>
      <c r="O175" s="460">
        <v>0</v>
      </c>
      <c r="P175" s="461">
        <v>0</v>
      </c>
      <c r="Q175" s="460">
        <v>0</v>
      </c>
      <c r="R175" s="461">
        <v>0</v>
      </c>
      <c r="S175" s="460">
        <v>0</v>
      </c>
    </row>
    <row r="176" spans="1:19" ht="32.1" hidden="1" customHeight="1" outlineLevel="1">
      <c r="A176" s="411" t="e">
        <v>#REF!</v>
      </c>
      <c r="B176" s="444" t="s">
        <v>699</v>
      </c>
      <c r="C176" s="445" t="s">
        <v>167</v>
      </c>
      <c r="D176" s="446">
        <v>4103</v>
      </c>
      <c r="E176" s="446" t="s">
        <v>172</v>
      </c>
      <c r="F176" s="446">
        <v>21</v>
      </c>
      <c r="G176" s="446" t="s">
        <v>175</v>
      </c>
      <c r="H176" s="446" t="s">
        <v>203</v>
      </c>
      <c r="I176" s="447"/>
      <c r="J176" s="448"/>
      <c r="K176" s="448" t="s">
        <v>29</v>
      </c>
      <c r="L176" s="444" t="s">
        <v>204</v>
      </c>
      <c r="M176" s="449">
        <v>5803396375</v>
      </c>
      <c r="N176" s="449">
        <v>0</v>
      </c>
      <c r="O176" s="450">
        <v>0</v>
      </c>
      <c r="P176" s="449">
        <v>0</v>
      </c>
      <c r="Q176" s="450">
        <v>0</v>
      </c>
      <c r="R176" s="449">
        <v>0</v>
      </c>
      <c r="S176" s="450">
        <v>0</v>
      </c>
    </row>
    <row r="177" spans="1:19" ht="32.1" hidden="1" customHeight="1" outlineLevel="1">
      <c r="A177" s="411" t="e">
        <v>#REF!</v>
      </c>
      <c r="B177" s="451" t="s">
        <v>700</v>
      </c>
      <c r="C177" s="452" t="s">
        <v>167</v>
      </c>
      <c r="D177" s="453">
        <v>4103</v>
      </c>
      <c r="E177" s="453" t="s">
        <v>172</v>
      </c>
      <c r="F177" s="453">
        <v>21</v>
      </c>
      <c r="G177" s="453" t="s">
        <v>175</v>
      </c>
      <c r="H177" s="453" t="s">
        <v>203</v>
      </c>
      <c r="I177" s="454" t="s">
        <v>54</v>
      </c>
      <c r="J177" s="455">
        <v>11</v>
      </c>
      <c r="K177" s="456" t="s">
        <v>29</v>
      </c>
      <c r="L177" s="457" t="s">
        <v>178</v>
      </c>
      <c r="M177" s="458">
        <v>5803396375</v>
      </c>
      <c r="N177" s="458">
        <v>0</v>
      </c>
      <c r="O177" s="460">
        <v>0</v>
      </c>
      <c r="P177" s="461">
        <v>0</v>
      </c>
      <c r="Q177" s="460">
        <v>0</v>
      </c>
      <c r="R177" s="461">
        <v>0</v>
      </c>
      <c r="S177" s="460">
        <v>0</v>
      </c>
    </row>
    <row r="178" spans="1:19" ht="32.1" hidden="1" customHeight="1" outlineLevel="1">
      <c r="A178" s="411" t="e">
        <v>#REF!</v>
      </c>
      <c r="B178" s="444" t="s">
        <v>701</v>
      </c>
      <c r="C178" s="445" t="s">
        <v>167</v>
      </c>
      <c r="D178" s="446">
        <v>4103</v>
      </c>
      <c r="E178" s="446" t="s">
        <v>172</v>
      </c>
      <c r="F178" s="446">
        <v>21</v>
      </c>
      <c r="G178" s="446" t="s">
        <v>175</v>
      </c>
      <c r="H178" s="446" t="s">
        <v>223</v>
      </c>
      <c r="I178" s="447"/>
      <c r="J178" s="448"/>
      <c r="K178" s="448" t="s">
        <v>29</v>
      </c>
      <c r="L178" s="444" t="s">
        <v>224</v>
      </c>
      <c r="M178" s="449">
        <v>20114646219</v>
      </c>
      <c r="N178" s="449">
        <v>1112154791</v>
      </c>
      <c r="O178" s="450">
        <v>5.5290795517421276E-2</v>
      </c>
      <c r="P178" s="449">
        <v>441996113</v>
      </c>
      <c r="Q178" s="450">
        <v>2.1973844739187953E-2</v>
      </c>
      <c r="R178" s="449">
        <v>424846113</v>
      </c>
      <c r="S178" s="450">
        <v>2.112123217949996E-2</v>
      </c>
    </row>
    <row r="179" spans="1:19" ht="32.1" hidden="1" customHeight="1" outlineLevel="1">
      <c r="A179" s="411" t="e">
        <v>#REF!</v>
      </c>
      <c r="B179" s="451" t="s">
        <v>702</v>
      </c>
      <c r="C179" s="452" t="s">
        <v>167</v>
      </c>
      <c r="D179" s="453">
        <v>4103</v>
      </c>
      <c r="E179" s="453" t="s">
        <v>172</v>
      </c>
      <c r="F179" s="453">
        <v>21</v>
      </c>
      <c r="G179" s="453" t="s">
        <v>175</v>
      </c>
      <c r="H179" s="453" t="s">
        <v>223</v>
      </c>
      <c r="I179" s="454" t="s">
        <v>54</v>
      </c>
      <c r="J179" s="455">
        <v>11</v>
      </c>
      <c r="K179" s="456" t="s">
        <v>29</v>
      </c>
      <c r="L179" s="457" t="s">
        <v>178</v>
      </c>
      <c r="M179" s="458">
        <v>20114646219</v>
      </c>
      <c r="N179" s="458">
        <v>1112154791</v>
      </c>
      <c r="O179" s="460">
        <v>5.5290795517421276E-2</v>
      </c>
      <c r="P179" s="461">
        <v>441996113</v>
      </c>
      <c r="Q179" s="460">
        <v>2.1973844739187953E-2</v>
      </c>
      <c r="R179" s="461">
        <v>424846113</v>
      </c>
      <c r="S179" s="460">
        <v>2.112123217949996E-2</v>
      </c>
    </row>
    <row r="180" spans="1:19" ht="39.950000000000003" customHeight="1" collapsed="1">
      <c r="A180" s="411" t="e">
        <v>#REF!</v>
      </c>
      <c r="B180" s="436" t="s">
        <v>704</v>
      </c>
      <c r="C180" s="437" t="s">
        <v>167</v>
      </c>
      <c r="D180" s="438">
        <v>4103</v>
      </c>
      <c r="E180" s="438" t="s">
        <v>172</v>
      </c>
      <c r="F180" s="438">
        <v>22</v>
      </c>
      <c r="G180" s="438"/>
      <c r="H180" s="438"/>
      <c r="I180" s="439"/>
      <c r="J180" s="440"/>
      <c r="K180" s="440"/>
      <c r="L180" s="436" t="s">
        <v>239</v>
      </c>
      <c r="M180" s="441">
        <v>188272298572</v>
      </c>
      <c r="N180" s="441">
        <v>31595090558</v>
      </c>
      <c r="O180" s="442">
        <v>0.1678159282998144</v>
      </c>
      <c r="P180" s="443">
        <v>928129662</v>
      </c>
      <c r="Q180" s="442">
        <v>4.9297197146879268E-3</v>
      </c>
      <c r="R180" s="443">
        <v>887149662</v>
      </c>
      <c r="S180" s="442">
        <v>4.7120562543125901E-3</v>
      </c>
    </row>
    <row r="181" spans="1:19" ht="32.1" hidden="1" customHeight="1" outlineLevel="1">
      <c r="A181" s="411" t="e">
        <v>#REF!</v>
      </c>
      <c r="B181" s="444" t="s">
        <v>705</v>
      </c>
      <c r="C181" s="445" t="s">
        <v>167</v>
      </c>
      <c r="D181" s="446">
        <v>4103</v>
      </c>
      <c r="E181" s="446" t="s">
        <v>172</v>
      </c>
      <c r="F181" s="446">
        <v>22</v>
      </c>
      <c r="G181" s="446" t="s">
        <v>175</v>
      </c>
      <c r="H181" s="446" t="s">
        <v>219</v>
      </c>
      <c r="I181" s="447"/>
      <c r="J181" s="448"/>
      <c r="K181" s="448" t="s">
        <v>29</v>
      </c>
      <c r="L181" s="444" t="s">
        <v>846</v>
      </c>
      <c r="M181" s="449">
        <v>25841711090</v>
      </c>
      <c r="N181" s="449">
        <v>1122276608</v>
      </c>
      <c r="O181" s="450">
        <v>4.342888147349843E-2</v>
      </c>
      <c r="P181" s="449">
        <v>0</v>
      </c>
      <c r="Q181" s="450">
        <v>0</v>
      </c>
      <c r="R181" s="449">
        <v>0</v>
      </c>
      <c r="S181" s="450">
        <v>0</v>
      </c>
    </row>
    <row r="182" spans="1:19" ht="32.1" hidden="1" customHeight="1" outlineLevel="1">
      <c r="A182" s="411" t="e">
        <v>#REF!</v>
      </c>
      <c r="B182" s="451" t="s">
        <v>706</v>
      </c>
      <c r="C182" s="452" t="s">
        <v>167</v>
      </c>
      <c r="D182" s="453">
        <v>4103</v>
      </c>
      <c r="E182" s="453" t="s">
        <v>172</v>
      </c>
      <c r="F182" s="453">
        <v>22</v>
      </c>
      <c r="G182" s="453" t="s">
        <v>175</v>
      </c>
      <c r="H182" s="453" t="s">
        <v>219</v>
      </c>
      <c r="I182" s="454" t="s">
        <v>54</v>
      </c>
      <c r="J182" s="455">
        <v>11</v>
      </c>
      <c r="K182" s="456" t="s">
        <v>29</v>
      </c>
      <c r="L182" s="457" t="s">
        <v>178</v>
      </c>
      <c r="M182" s="458">
        <v>25841711090</v>
      </c>
      <c r="N182" s="458">
        <v>1122276608</v>
      </c>
      <c r="O182" s="460">
        <v>4.342888147349843E-2</v>
      </c>
      <c r="P182" s="461">
        <v>0</v>
      </c>
      <c r="Q182" s="460">
        <v>0</v>
      </c>
      <c r="R182" s="461">
        <v>0</v>
      </c>
      <c r="S182" s="460">
        <v>0</v>
      </c>
    </row>
    <row r="183" spans="1:19" ht="32.1" hidden="1" customHeight="1" outlineLevel="1">
      <c r="A183" s="411" t="e">
        <v>#REF!</v>
      </c>
      <c r="B183" s="444" t="s">
        <v>707</v>
      </c>
      <c r="C183" s="445" t="s">
        <v>167</v>
      </c>
      <c r="D183" s="446">
        <v>4103</v>
      </c>
      <c r="E183" s="446" t="s">
        <v>172</v>
      </c>
      <c r="F183" s="446">
        <v>22</v>
      </c>
      <c r="G183" s="446" t="s">
        <v>175</v>
      </c>
      <c r="H183" s="446" t="s">
        <v>234</v>
      </c>
      <c r="I183" s="447"/>
      <c r="J183" s="448"/>
      <c r="K183" s="448" t="s">
        <v>29</v>
      </c>
      <c r="L183" s="444" t="s">
        <v>269</v>
      </c>
      <c r="M183" s="449">
        <v>39078556825</v>
      </c>
      <c r="N183" s="449">
        <v>3574292860</v>
      </c>
      <c r="O183" s="450">
        <v>9.1464300383615818E-2</v>
      </c>
      <c r="P183" s="449">
        <v>0</v>
      </c>
      <c r="Q183" s="450">
        <v>0</v>
      </c>
      <c r="R183" s="449">
        <v>0</v>
      </c>
      <c r="S183" s="450">
        <v>0</v>
      </c>
    </row>
    <row r="184" spans="1:19" ht="32.1" hidden="1" customHeight="1" outlineLevel="1">
      <c r="A184" s="411" t="e">
        <v>#REF!</v>
      </c>
      <c r="B184" s="451" t="s">
        <v>708</v>
      </c>
      <c r="C184" s="452" t="s">
        <v>167</v>
      </c>
      <c r="D184" s="453">
        <v>4103</v>
      </c>
      <c r="E184" s="453" t="s">
        <v>172</v>
      </c>
      <c r="F184" s="453">
        <v>22</v>
      </c>
      <c r="G184" s="453" t="s">
        <v>175</v>
      </c>
      <c r="H184" s="453" t="s">
        <v>234</v>
      </c>
      <c r="I184" s="454" t="s">
        <v>54</v>
      </c>
      <c r="J184" s="455">
        <v>11</v>
      </c>
      <c r="K184" s="456" t="s">
        <v>29</v>
      </c>
      <c r="L184" s="457" t="s">
        <v>178</v>
      </c>
      <c r="M184" s="458">
        <v>39078556825</v>
      </c>
      <c r="N184" s="458">
        <v>3574292860</v>
      </c>
      <c r="O184" s="460">
        <v>9.1464300383615818E-2</v>
      </c>
      <c r="P184" s="461">
        <v>0</v>
      </c>
      <c r="Q184" s="460">
        <v>0</v>
      </c>
      <c r="R184" s="461">
        <v>0</v>
      </c>
      <c r="S184" s="460">
        <v>0</v>
      </c>
    </row>
    <row r="185" spans="1:19" ht="32.1" hidden="1" customHeight="1" outlineLevel="1">
      <c r="A185" s="411" t="e">
        <v>#REF!</v>
      </c>
      <c r="B185" s="444" t="s">
        <v>710</v>
      </c>
      <c r="C185" s="445" t="s">
        <v>167</v>
      </c>
      <c r="D185" s="446">
        <v>4103</v>
      </c>
      <c r="E185" s="446" t="s">
        <v>172</v>
      </c>
      <c r="F185" s="446">
        <v>22</v>
      </c>
      <c r="G185" s="446" t="s">
        <v>175</v>
      </c>
      <c r="H185" s="446">
        <v>4103051</v>
      </c>
      <c r="I185" s="447"/>
      <c r="J185" s="448"/>
      <c r="K185" s="448" t="s">
        <v>29</v>
      </c>
      <c r="L185" s="444" t="s">
        <v>198</v>
      </c>
      <c r="M185" s="449">
        <v>25320139354</v>
      </c>
      <c r="N185" s="449">
        <v>1169144192</v>
      </c>
      <c r="O185" s="450">
        <v>4.6174476990597686E-2</v>
      </c>
      <c r="P185" s="449">
        <v>0</v>
      </c>
      <c r="Q185" s="450">
        <v>0</v>
      </c>
      <c r="R185" s="449">
        <v>0</v>
      </c>
      <c r="S185" s="450">
        <v>0</v>
      </c>
    </row>
    <row r="186" spans="1:19" ht="32.1" hidden="1" customHeight="1" outlineLevel="1">
      <c r="A186" s="411" t="e">
        <v>#REF!</v>
      </c>
      <c r="B186" s="451" t="s">
        <v>711</v>
      </c>
      <c r="C186" s="452" t="s">
        <v>167</v>
      </c>
      <c r="D186" s="453">
        <v>4103</v>
      </c>
      <c r="E186" s="453" t="s">
        <v>172</v>
      </c>
      <c r="F186" s="453">
        <v>22</v>
      </c>
      <c r="G186" s="453" t="s">
        <v>175</v>
      </c>
      <c r="H186" s="453">
        <v>4103051</v>
      </c>
      <c r="I186" s="454" t="s">
        <v>54</v>
      </c>
      <c r="J186" s="455">
        <v>11</v>
      </c>
      <c r="K186" s="456" t="s">
        <v>29</v>
      </c>
      <c r="L186" s="457" t="s">
        <v>178</v>
      </c>
      <c r="M186" s="458">
        <v>25320139354</v>
      </c>
      <c r="N186" s="458">
        <v>1169144192</v>
      </c>
      <c r="O186" s="460">
        <v>4.6174476990597686E-2</v>
      </c>
      <c r="P186" s="461">
        <v>0</v>
      </c>
      <c r="Q186" s="460">
        <v>0</v>
      </c>
      <c r="R186" s="461">
        <v>0</v>
      </c>
      <c r="S186" s="460">
        <v>0</v>
      </c>
    </row>
    <row r="187" spans="1:19" ht="32.1" hidden="1" customHeight="1" outlineLevel="1">
      <c r="A187" s="411" t="e">
        <v>#REF!</v>
      </c>
      <c r="B187" s="444" t="s">
        <v>712</v>
      </c>
      <c r="C187" s="445" t="s">
        <v>167</v>
      </c>
      <c r="D187" s="446">
        <v>4103</v>
      </c>
      <c r="E187" s="446" t="s">
        <v>172</v>
      </c>
      <c r="F187" s="446">
        <v>22</v>
      </c>
      <c r="G187" s="446" t="s">
        <v>175</v>
      </c>
      <c r="H187" s="446">
        <v>4103055</v>
      </c>
      <c r="I187" s="447"/>
      <c r="J187" s="448"/>
      <c r="K187" s="448" t="s">
        <v>29</v>
      </c>
      <c r="L187" s="444" t="s">
        <v>204</v>
      </c>
      <c r="M187" s="449">
        <v>31205415244</v>
      </c>
      <c r="N187" s="449">
        <v>1962919342</v>
      </c>
      <c r="O187" s="450">
        <v>6.2903163654501243E-2</v>
      </c>
      <c r="P187" s="449">
        <v>0</v>
      </c>
      <c r="Q187" s="450">
        <v>0</v>
      </c>
      <c r="R187" s="449">
        <v>0</v>
      </c>
      <c r="S187" s="450">
        <v>0</v>
      </c>
    </row>
    <row r="188" spans="1:19" ht="32.1" hidden="1" customHeight="1" outlineLevel="1">
      <c r="A188" s="411" t="e">
        <v>#REF!</v>
      </c>
      <c r="B188" s="451" t="s">
        <v>713</v>
      </c>
      <c r="C188" s="452" t="s">
        <v>167</v>
      </c>
      <c r="D188" s="453">
        <v>4103</v>
      </c>
      <c r="E188" s="453" t="s">
        <v>172</v>
      </c>
      <c r="F188" s="453">
        <v>22</v>
      </c>
      <c r="G188" s="453" t="s">
        <v>175</v>
      </c>
      <c r="H188" s="453" t="s">
        <v>203</v>
      </c>
      <c r="I188" s="454" t="s">
        <v>54</v>
      </c>
      <c r="J188" s="455">
        <v>11</v>
      </c>
      <c r="K188" s="456" t="s">
        <v>29</v>
      </c>
      <c r="L188" s="457" t="s">
        <v>178</v>
      </c>
      <c r="M188" s="458">
        <v>31205415244</v>
      </c>
      <c r="N188" s="458">
        <v>1962919342</v>
      </c>
      <c r="O188" s="460">
        <v>6.2903163654501243E-2</v>
      </c>
      <c r="P188" s="461">
        <v>0</v>
      </c>
      <c r="Q188" s="460">
        <v>0</v>
      </c>
      <c r="R188" s="461">
        <v>0</v>
      </c>
      <c r="S188" s="460">
        <v>0</v>
      </c>
    </row>
    <row r="189" spans="1:19" ht="32.1" hidden="1" customHeight="1" outlineLevel="1">
      <c r="A189" s="411" t="e">
        <v>#REF!</v>
      </c>
      <c r="B189" s="444" t="s">
        <v>715</v>
      </c>
      <c r="C189" s="445" t="s">
        <v>167</v>
      </c>
      <c r="D189" s="446">
        <v>4103</v>
      </c>
      <c r="E189" s="446" t="s">
        <v>172</v>
      </c>
      <c r="F189" s="446">
        <v>22</v>
      </c>
      <c r="G189" s="446" t="s">
        <v>175</v>
      </c>
      <c r="H189" s="446">
        <v>4103057</v>
      </c>
      <c r="I189" s="447"/>
      <c r="J189" s="448"/>
      <c r="K189" s="448" t="s">
        <v>29</v>
      </c>
      <c r="L189" s="444" t="s">
        <v>222</v>
      </c>
      <c r="M189" s="449">
        <v>27375068389</v>
      </c>
      <c r="N189" s="449">
        <v>22767050045</v>
      </c>
      <c r="O189" s="450">
        <v>0.83167098330057065</v>
      </c>
      <c r="P189" s="449">
        <v>928129662</v>
      </c>
      <c r="Q189" s="450">
        <v>3.3904195189990688E-2</v>
      </c>
      <c r="R189" s="449">
        <v>887149662</v>
      </c>
      <c r="S189" s="450">
        <v>3.2407212628425046E-2</v>
      </c>
    </row>
    <row r="190" spans="1:19" ht="32.1" hidden="1" customHeight="1" outlineLevel="1">
      <c r="A190" s="411" t="e">
        <v>#REF!</v>
      </c>
      <c r="B190" s="451" t="s">
        <v>716</v>
      </c>
      <c r="C190" s="452" t="s">
        <v>167</v>
      </c>
      <c r="D190" s="453">
        <v>4103</v>
      </c>
      <c r="E190" s="453" t="s">
        <v>172</v>
      </c>
      <c r="F190" s="453">
        <v>22</v>
      </c>
      <c r="G190" s="453" t="s">
        <v>175</v>
      </c>
      <c r="H190" s="453" t="s">
        <v>221</v>
      </c>
      <c r="I190" s="454" t="s">
        <v>54</v>
      </c>
      <c r="J190" s="455">
        <v>11</v>
      </c>
      <c r="K190" s="456" t="s">
        <v>29</v>
      </c>
      <c r="L190" s="457" t="s">
        <v>178</v>
      </c>
      <c r="M190" s="458">
        <v>6916696989</v>
      </c>
      <c r="N190" s="458">
        <v>2374938045</v>
      </c>
      <c r="O190" s="460">
        <v>0.34336303133952423</v>
      </c>
      <c r="P190" s="461">
        <v>928129662</v>
      </c>
      <c r="Q190" s="460">
        <v>0.13418683274344029</v>
      </c>
      <c r="R190" s="461">
        <v>887149662</v>
      </c>
      <c r="S190" s="460">
        <v>0.12826203944034015</v>
      </c>
    </row>
    <row r="191" spans="1:19" ht="32.1" hidden="1" customHeight="1" outlineLevel="1">
      <c r="A191" s="411" t="e">
        <v>#REF!</v>
      </c>
      <c r="B191" s="451" t="s">
        <v>717</v>
      </c>
      <c r="C191" s="452" t="s">
        <v>167</v>
      </c>
      <c r="D191" s="453">
        <v>4103</v>
      </c>
      <c r="E191" s="453" t="s">
        <v>172</v>
      </c>
      <c r="F191" s="453">
        <v>22</v>
      </c>
      <c r="G191" s="453" t="s">
        <v>175</v>
      </c>
      <c r="H191" s="453" t="s">
        <v>221</v>
      </c>
      <c r="I191" s="454" t="s">
        <v>65</v>
      </c>
      <c r="J191" s="455">
        <v>11</v>
      </c>
      <c r="K191" s="456" t="s">
        <v>29</v>
      </c>
      <c r="L191" s="457" t="s">
        <v>127</v>
      </c>
      <c r="M191" s="458">
        <v>20458371400</v>
      </c>
      <c r="N191" s="458">
        <v>20392112000</v>
      </c>
      <c r="O191" s="460">
        <v>0.99676125735013299</v>
      </c>
      <c r="P191" s="461">
        <v>0</v>
      </c>
      <c r="Q191" s="460">
        <v>0</v>
      </c>
      <c r="R191" s="461">
        <v>0</v>
      </c>
      <c r="S191" s="460">
        <v>0</v>
      </c>
    </row>
    <row r="192" spans="1:19" ht="32.1" hidden="1" customHeight="1" outlineLevel="1">
      <c r="A192" s="411" t="e">
        <v>#REF!</v>
      </c>
      <c r="B192" s="444" t="s">
        <v>718</v>
      </c>
      <c r="C192" s="445" t="s">
        <v>167</v>
      </c>
      <c r="D192" s="446">
        <v>4103</v>
      </c>
      <c r="E192" s="446" t="s">
        <v>172</v>
      </c>
      <c r="F192" s="446">
        <v>22</v>
      </c>
      <c r="G192" s="446" t="s">
        <v>175</v>
      </c>
      <c r="H192" s="446">
        <v>4103062</v>
      </c>
      <c r="I192" s="447"/>
      <c r="J192" s="448"/>
      <c r="K192" s="448" t="s">
        <v>29</v>
      </c>
      <c r="L192" s="444" t="s">
        <v>851</v>
      </c>
      <c r="M192" s="449">
        <v>39451407670</v>
      </c>
      <c r="N192" s="449">
        <v>999407511</v>
      </c>
      <c r="O192" s="450">
        <v>2.5332619797999719E-2</v>
      </c>
      <c r="P192" s="449">
        <v>0</v>
      </c>
      <c r="Q192" s="450">
        <v>0</v>
      </c>
      <c r="R192" s="449">
        <v>0</v>
      </c>
      <c r="S192" s="450">
        <v>0</v>
      </c>
    </row>
    <row r="193" spans="1:19" ht="32.1" hidden="1" customHeight="1" outlineLevel="1">
      <c r="A193" s="411" t="e">
        <v>#REF!</v>
      </c>
      <c r="B193" s="451" t="s">
        <v>719</v>
      </c>
      <c r="C193" s="452" t="s">
        <v>167</v>
      </c>
      <c r="D193" s="453">
        <v>4103</v>
      </c>
      <c r="E193" s="453" t="s">
        <v>172</v>
      </c>
      <c r="F193" s="453">
        <v>22</v>
      </c>
      <c r="G193" s="453" t="s">
        <v>175</v>
      </c>
      <c r="H193" s="453" t="s">
        <v>246</v>
      </c>
      <c r="I193" s="454" t="s">
        <v>54</v>
      </c>
      <c r="J193" s="455">
        <v>11</v>
      </c>
      <c r="K193" s="456" t="s">
        <v>29</v>
      </c>
      <c r="L193" s="457" t="s">
        <v>178</v>
      </c>
      <c r="M193" s="458">
        <v>26545007670</v>
      </c>
      <c r="N193" s="458">
        <v>999407511</v>
      </c>
      <c r="O193" s="460">
        <v>3.7649546891240358E-2</v>
      </c>
      <c r="P193" s="461">
        <v>0</v>
      </c>
      <c r="Q193" s="460">
        <v>0</v>
      </c>
      <c r="R193" s="461">
        <v>0</v>
      </c>
      <c r="S193" s="460">
        <v>0</v>
      </c>
    </row>
    <row r="194" spans="1:19" ht="32.1" hidden="1" customHeight="1" outlineLevel="1">
      <c r="A194" s="411" t="e">
        <v>#REF!</v>
      </c>
      <c r="B194" s="451" t="s">
        <v>720</v>
      </c>
      <c r="C194" s="452" t="s">
        <v>167</v>
      </c>
      <c r="D194" s="453">
        <v>4103</v>
      </c>
      <c r="E194" s="453" t="s">
        <v>172</v>
      </c>
      <c r="F194" s="453">
        <v>22</v>
      </c>
      <c r="G194" s="453" t="s">
        <v>175</v>
      </c>
      <c r="H194" s="453" t="s">
        <v>246</v>
      </c>
      <c r="I194" s="454" t="s">
        <v>65</v>
      </c>
      <c r="J194" s="455">
        <v>11</v>
      </c>
      <c r="K194" s="456" t="s">
        <v>29</v>
      </c>
      <c r="L194" s="457" t="s">
        <v>127</v>
      </c>
      <c r="M194" s="458">
        <v>12906400000</v>
      </c>
      <c r="N194" s="458">
        <v>0</v>
      </c>
      <c r="O194" s="460">
        <v>0</v>
      </c>
      <c r="P194" s="461">
        <v>0</v>
      </c>
      <c r="Q194" s="460">
        <v>0</v>
      </c>
      <c r="R194" s="461">
        <v>0</v>
      </c>
      <c r="S194" s="460">
        <v>0</v>
      </c>
    </row>
    <row r="195" spans="1:19" ht="32.1" customHeight="1" collapsed="1">
      <c r="A195" s="411" t="e">
        <v>#REF!</v>
      </c>
      <c r="B195" s="436" t="s">
        <v>685</v>
      </c>
      <c r="C195" s="437" t="s">
        <v>167</v>
      </c>
      <c r="D195" s="438" t="s">
        <v>190</v>
      </c>
      <c r="E195" s="438" t="s">
        <v>172</v>
      </c>
      <c r="F195" s="438">
        <v>23</v>
      </c>
      <c r="G195" s="438"/>
      <c r="H195" s="438"/>
      <c r="I195" s="439"/>
      <c r="J195" s="440"/>
      <c r="K195" s="440"/>
      <c r="L195" s="436" t="s">
        <v>248</v>
      </c>
      <c r="M195" s="441">
        <v>1716644723711</v>
      </c>
      <c r="N195" s="441">
        <v>674471756628.92993</v>
      </c>
      <c r="O195" s="442">
        <v>0.39290119109262961</v>
      </c>
      <c r="P195" s="443">
        <v>657120518447.70996</v>
      </c>
      <c r="Q195" s="442">
        <v>0.382793544506497</v>
      </c>
      <c r="R195" s="443">
        <v>657120518447.70996</v>
      </c>
      <c r="S195" s="442">
        <v>0.382793544506497</v>
      </c>
    </row>
    <row r="196" spans="1:19" ht="32.1" hidden="1" customHeight="1" outlineLevel="1">
      <c r="A196" s="411" t="e">
        <v>#REF!</v>
      </c>
      <c r="B196" s="444" t="s">
        <v>721</v>
      </c>
      <c r="C196" s="445" t="s">
        <v>167</v>
      </c>
      <c r="D196" s="446" t="s">
        <v>190</v>
      </c>
      <c r="E196" s="446" t="s">
        <v>172</v>
      </c>
      <c r="F196" s="446">
        <v>23</v>
      </c>
      <c r="G196" s="446" t="s">
        <v>175</v>
      </c>
      <c r="H196" s="446">
        <v>4103065</v>
      </c>
      <c r="I196" s="447"/>
      <c r="J196" s="448"/>
      <c r="K196" s="448" t="s">
        <v>29</v>
      </c>
      <c r="L196" s="444" t="s">
        <v>852</v>
      </c>
      <c r="M196" s="449">
        <v>852944176607</v>
      </c>
      <c r="N196" s="449">
        <v>360398830408.92999</v>
      </c>
      <c r="O196" s="450">
        <v>0.42253507356435854</v>
      </c>
      <c r="P196" s="449">
        <v>343047592227.71002</v>
      </c>
      <c r="Q196" s="450">
        <v>0.40219231414692169</v>
      </c>
      <c r="R196" s="449">
        <v>343047592227.71002</v>
      </c>
      <c r="S196" s="450">
        <v>0.40219231414692169</v>
      </c>
    </row>
    <row r="197" spans="1:19" ht="32.1" hidden="1" customHeight="1" outlineLevel="1">
      <c r="A197" s="411" t="e">
        <v>#REF!</v>
      </c>
      <c r="B197" s="451" t="s">
        <v>722</v>
      </c>
      <c r="C197" s="452" t="s">
        <v>167</v>
      </c>
      <c r="D197" s="453" t="s">
        <v>190</v>
      </c>
      <c r="E197" s="453" t="s">
        <v>172</v>
      </c>
      <c r="F197" s="453">
        <v>23</v>
      </c>
      <c r="G197" s="453" t="s">
        <v>175</v>
      </c>
      <c r="H197" s="453">
        <v>4103065</v>
      </c>
      <c r="I197" s="454" t="s">
        <v>54</v>
      </c>
      <c r="J197" s="455">
        <v>10</v>
      </c>
      <c r="K197" s="456" t="s">
        <v>29</v>
      </c>
      <c r="L197" s="457" t="s">
        <v>178</v>
      </c>
      <c r="M197" s="458">
        <v>59489270990</v>
      </c>
      <c r="N197" s="458">
        <v>26637751628.93</v>
      </c>
      <c r="O197" s="460">
        <v>0.44777404707829987</v>
      </c>
      <c r="P197" s="461">
        <v>9287313447.7099991</v>
      </c>
      <c r="Q197" s="460">
        <v>0.1561174526625343</v>
      </c>
      <c r="R197" s="461">
        <v>9287313447.7099991</v>
      </c>
      <c r="S197" s="460">
        <v>0.1561174526625343</v>
      </c>
    </row>
    <row r="198" spans="1:19" ht="32.1" hidden="1" customHeight="1" outlineLevel="1">
      <c r="A198" s="411" t="e">
        <v>#REF!</v>
      </c>
      <c r="B198" s="451" t="s">
        <v>723</v>
      </c>
      <c r="C198" s="452" t="s">
        <v>167</v>
      </c>
      <c r="D198" s="453" t="s">
        <v>190</v>
      </c>
      <c r="E198" s="453" t="s">
        <v>172</v>
      </c>
      <c r="F198" s="453">
        <v>23</v>
      </c>
      <c r="G198" s="453" t="s">
        <v>175</v>
      </c>
      <c r="H198" s="453">
        <v>4103065</v>
      </c>
      <c r="I198" s="454" t="s">
        <v>65</v>
      </c>
      <c r="J198" s="455">
        <v>10</v>
      </c>
      <c r="K198" s="456" t="s">
        <v>29</v>
      </c>
      <c r="L198" s="457" t="s">
        <v>127</v>
      </c>
      <c r="M198" s="458">
        <v>793454905617</v>
      </c>
      <c r="N198" s="458">
        <v>333761078780</v>
      </c>
      <c r="O198" s="460">
        <v>0.42064278186101001</v>
      </c>
      <c r="P198" s="461">
        <v>333760278780</v>
      </c>
      <c r="Q198" s="460">
        <v>0.4206417736121551</v>
      </c>
      <c r="R198" s="461">
        <v>333760278780</v>
      </c>
      <c r="S198" s="460">
        <v>0.4206417736121551</v>
      </c>
    </row>
    <row r="199" spans="1:19" ht="32.1" hidden="1" customHeight="1" outlineLevel="1">
      <c r="A199" s="411" t="e">
        <v>#REF!</v>
      </c>
      <c r="B199" s="444" t="s">
        <v>721</v>
      </c>
      <c r="C199" s="445" t="s">
        <v>167</v>
      </c>
      <c r="D199" s="446" t="s">
        <v>190</v>
      </c>
      <c r="E199" s="446" t="s">
        <v>172</v>
      </c>
      <c r="F199" s="446">
        <v>23</v>
      </c>
      <c r="G199" s="446" t="s">
        <v>175</v>
      </c>
      <c r="H199" s="446">
        <v>4103065</v>
      </c>
      <c r="I199" s="447"/>
      <c r="J199" s="448"/>
      <c r="K199" s="448" t="s">
        <v>29</v>
      </c>
      <c r="L199" s="444" t="s">
        <v>852</v>
      </c>
      <c r="M199" s="449">
        <v>863700547104</v>
      </c>
      <c r="N199" s="449">
        <v>314072926220</v>
      </c>
      <c r="O199" s="450">
        <v>0.36363636363678464</v>
      </c>
      <c r="P199" s="449">
        <v>314072926220</v>
      </c>
      <c r="Q199" s="450">
        <v>0.36363636363678464</v>
      </c>
      <c r="R199" s="449">
        <v>314072926220</v>
      </c>
      <c r="S199" s="450">
        <v>0.36363636363678464</v>
      </c>
    </row>
    <row r="200" spans="1:19" ht="32.1" hidden="1" customHeight="1" outlineLevel="1">
      <c r="A200" s="411" t="e">
        <v>#REF!</v>
      </c>
      <c r="B200" s="451" t="s">
        <v>723</v>
      </c>
      <c r="C200" s="452" t="s">
        <v>167</v>
      </c>
      <c r="D200" s="453" t="s">
        <v>190</v>
      </c>
      <c r="E200" s="453" t="s">
        <v>172</v>
      </c>
      <c r="F200" s="453">
        <v>23</v>
      </c>
      <c r="G200" s="453" t="s">
        <v>175</v>
      </c>
      <c r="H200" s="453">
        <v>4103065</v>
      </c>
      <c r="I200" s="454" t="s">
        <v>65</v>
      </c>
      <c r="J200" s="455">
        <v>16</v>
      </c>
      <c r="K200" s="456" t="s">
        <v>156</v>
      </c>
      <c r="L200" s="457" t="s">
        <v>127</v>
      </c>
      <c r="M200" s="458">
        <v>863700547104</v>
      </c>
      <c r="N200" s="458">
        <v>314072926220</v>
      </c>
      <c r="O200" s="460">
        <v>0.36363636363678464</v>
      </c>
      <c r="P200" s="461">
        <v>314072926220</v>
      </c>
      <c r="Q200" s="460">
        <v>0.36363636363678464</v>
      </c>
      <c r="R200" s="461">
        <v>314072926220</v>
      </c>
      <c r="S200" s="460">
        <v>0.36363636363678464</v>
      </c>
    </row>
    <row r="201" spans="1:19" ht="32.1" customHeight="1" collapsed="1">
      <c r="A201" s="411" t="e">
        <v>#REF!</v>
      </c>
      <c r="B201" s="436" t="s">
        <v>827</v>
      </c>
      <c r="C201" s="437" t="s">
        <v>167</v>
      </c>
      <c r="D201" s="438" t="s">
        <v>190</v>
      </c>
      <c r="E201" s="438" t="s">
        <v>172</v>
      </c>
      <c r="F201" s="438">
        <v>25</v>
      </c>
      <c r="G201" s="438"/>
      <c r="H201" s="438"/>
      <c r="I201" s="439"/>
      <c r="J201" s="440"/>
      <c r="K201" s="440"/>
      <c r="L201" s="436" t="s">
        <v>853</v>
      </c>
      <c r="M201" s="441">
        <v>5500000000</v>
      </c>
      <c r="N201" s="441">
        <v>0</v>
      </c>
      <c r="O201" s="442">
        <v>0</v>
      </c>
      <c r="P201" s="443">
        <v>0</v>
      </c>
      <c r="Q201" s="442">
        <v>0</v>
      </c>
      <c r="R201" s="443">
        <v>0</v>
      </c>
      <c r="S201" s="442">
        <v>0</v>
      </c>
    </row>
    <row r="202" spans="1:19" ht="32.1" hidden="1" customHeight="1" outlineLevel="1">
      <c r="A202" s="411" t="e">
        <v>#REF!</v>
      </c>
      <c r="B202" s="444" t="s">
        <v>828</v>
      </c>
      <c r="C202" s="445" t="s">
        <v>167</v>
      </c>
      <c r="D202" s="446" t="s">
        <v>190</v>
      </c>
      <c r="E202" s="446" t="s">
        <v>172</v>
      </c>
      <c r="F202" s="446">
        <v>25</v>
      </c>
      <c r="G202" s="446" t="s">
        <v>175</v>
      </c>
      <c r="H202" s="446">
        <v>4103050</v>
      </c>
      <c r="I202" s="447"/>
      <c r="J202" s="448"/>
      <c r="K202" s="448" t="s">
        <v>29</v>
      </c>
      <c r="L202" s="444" t="s">
        <v>269</v>
      </c>
      <c r="M202" s="449">
        <v>1283500000</v>
      </c>
      <c r="N202" s="449">
        <v>0</v>
      </c>
      <c r="O202" s="450">
        <v>0</v>
      </c>
      <c r="P202" s="449">
        <v>0</v>
      </c>
      <c r="Q202" s="450">
        <v>0</v>
      </c>
      <c r="R202" s="449">
        <v>0</v>
      </c>
      <c r="S202" s="450">
        <v>0</v>
      </c>
    </row>
    <row r="203" spans="1:19" ht="32.1" hidden="1" customHeight="1" outlineLevel="1">
      <c r="A203" s="411" t="e">
        <v>#REF!</v>
      </c>
      <c r="B203" s="451" t="s">
        <v>829</v>
      </c>
      <c r="C203" s="452" t="s">
        <v>167</v>
      </c>
      <c r="D203" s="453" t="s">
        <v>190</v>
      </c>
      <c r="E203" s="453" t="s">
        <v>172</v>
      </c>
      <c r="F203" s="453">
        <v>25</v>
      </c>
      <c r="G203" s="453" t="s">
        <v>175</v>
      </c>
      <c r="H203" s="453">
        <v>4103050</v>
      </c>
      <c r="I203" s="454" t="s">
        <v>54</v>
      </c>
      <c r="J203" s="455">
        <v>11</v>
      </c>
      <c r="K203" s="456" t="s">
        <v>29</v>
      </c>
      <c r="L203" s="457" t="s">
        <v>178</v>
      </c>
      <c r="M203" s="458">
        <v>1283500000</v>
      </c>
      <c r="N203" s="458">
        <v>0</v>
      </c>
      <c r="O203" s="460">
        <v>0</v>
      </c>
      <c r="P203" s="461">
        <v>0</v>
      </c>
      <c r="Q203" s="460">
        <v>0</v>
      </c>
      <c r="R203" s="461">
        <v>0</v>
      </c>
      <c r="S203" s="460">
        <v>0</v>
      </c>
    </row>
    <row r="204" spans="1:19" ht="32.1" hidden="1" customHeight="1" outlineLevel="1">
      <c r="A204" s="411" t="e">
        <v>#REF!</v>
      </c>
      <c r="B204" s="444" t="s">
        <v>830</v>
      </c>
      <c r="C204" s="445" t="s">
        <v>167</v>
      </c>
      <c r="D204" s="446" t="s">
        <v>190</v>
      </c>
      <c r="E204" s="446" t="s">
        <v>172</v>
      </c>
      <c r="F204" s="446">
        <v>25</v>
      </c>
      <c r="G204" s="446" t="s">
        <v>175</v>
      </c>
      <c r="H204" s="446">
        <v>4103057</v>
      </c>
      <c r="I204" s="447"/>
      <c r="J204" s="448"/>
      <c r="K204" s="448" t="s">
        <v>29</v>
      </c>
      <c r="L204" s="444" t="s">
        <v>222</v>
      </c>
      <c r="M204" s="449">
        <v>4216500000</v>
      </c>
      <c r="N204" s="449">
        <v>0</v>
      </c>
      <c r="O204" s="450">
        <v>0</v>
      </c>
      <c r="P204" s="449">
        <v>0</v>
      </c>
      <c r="Q204" s="450">
        <v>0</v>
      </c>
      <c r="R204" s="449">
        <v>0</v>
      </c>
      <c r="S204" s="450">
        <v>0</v>
      </c>
    </row>
    <row r="205" spans="1:19" ht="32.1" hidden="1" customHeight="1" outlineLevel="1">
      <c r="A205" s="411" t="e">
        <v>#REF!</v>
      </c>
      <c r="B205" s="451" t="s">
        <v>831</v>
      </c>
      <c r="C205" s="452" t="s">
        <v>167</v>
      </c>
      <c r="D205" s="453" t="s">
        <v>190</v>
      </c>
      <c r="E205" s="453" t="s">
        <v>172</v>
      </c>
      <c r="F205" s="453">
        <v>25</v>
      </c>
      <c r="G205" s="453" t="s">
        <v>175</v>
      </c>
      <c r="H205" s="453">
        <v>4103057</v>
      </c>
      <c r="I205" s="454" t="s">
        <v>54</v>
      </c>
      <c r="J205" s="455">
        <v>11</v>
      </c>
      <c r="K205" s="456" t="s">
        <v>29</v>
      </c>
      <c r="L205" s="457" t="s">
        <v>178</v>
      </c>
      <c r="M205" s="458">
        <v>3901500000</v>
      </c>
      <c r="N205" s="458">
        <v>0</v>
      </c>
      <c r="O205" s="460">
        <v>0</v>
      </c>
      <c r="P205" s="461">
        <v>0</v>
      </c>
      <c r="Q205" s="460">
        <v>0</v>
      </c>
      <c r="R205" s="461">
        <v>0</v>
      </c>
      <c r="S205" s="460">
        <v>0</v>
      </c>
    </row>
    <row r="206" spans="1:19" ht="32.1" hidden="1" customHeight="1" outlineLevel="1">
      <c r="A206" s="411" t="e">
        <v>#REF!</v>
      </c>
      <c r="B206" s="451" t="s">
        <v>832</v>
      </c>
      <c r="C206" s="452" t="s">
        <v>167</v>
      </c>
      <c r="D206" s="453" t="s">
        <v>190</v>
      </c>
      <c r="E206" s="453" t="s">
        <v>172</v>
      </c>
      <c r="F206" s="453">
        <v>25</v>
      </c>
      <c r="G206" s="453" t="s">
        <v>175</v>
      </c>
      <c r="H206" s="453">
        <v>4103057</v>
      </c>
      <c r="I206" s="454" t="s">
        <v>65</v>
      </c>
      <c r="J206" s="455">
        <v>11</v>
      </c>
      <c r="K206" s="456" t="s">
        <v>29</v>
      </c>
      <c r="L206" s="457" t="s">
        <v>127</v>
      </c>
      <c r="M206" s="458">
        <v>315000000</v>
      </c>
      <c r="N206" s="458">
        <v>0</v>
      </c>
      <c r="O206" s="460">
        <v>0</v>
      </c>
      <c r="P206" s="461">
        <v>0</v>
      </c>
      <c r="Q206" s="460">
        <v>0</v>
      </c>
      <c r="R206" s="461">
        <v>0</v>
      </c>
      <c r="S206" s="460">
        <v>0</v>
      </c>
    </row>
    <row r="207" spans="1:19" ht="32.1" hidden="1" customHeight="1" outlineLevel="1" collapsed="1">
      <c r="A207" s="411" t="e">
        <v>#REF!</v>
      </c>
      <c r="B207" s="420" t="s">
        <v>544</v>
      </c>
      <c r="C207" s="421" t="s">
        <v>167</v>
      </c>
      <c r="D207" s="422">
        <v>4199</v>
      </c>
      <c r="E207" s="422"/>
      <c r="F207" s="422"/>
      <c r="G207" s="422"/>
      <c r="H207" s="422"/>
      <c r="I207" s="423"/>
      <c r="J207" s="424"/>
      <c r="K207" s="424"/>
      <c r="L207" s="420" t="s">
        <v>250</v>
      </c>
      <c r="M207" s="425">
        <v>6000000000</v>
      </c>
      <c r="N207" s="425">
        <v>3775864354.5599999</v>
      </c>
      <c r="O207" s="426">
        <v>0.62931072576000002</v>
      </c>
      <c r="P207" s="427">
        <v>910189904.15999997</v>
      </c>
      <c r="Q207" s="426">
        <v>0.15169831736</v>
      </c>
      <c r="R207" s="427">
        <v>910189904.15999997</v>
      </c>
      <c r="S207" s="426">
        <v>0.15169831736</v>
      </c>
    </row>
    <row r="208" spans="1:19" ht="32.1" hidden="1" customHeight="1" outlineLevel="1">
      <c r="A208" s="411" t="e">
        <v>#REF!</v>
      </c>
      <c r="B208" s="428" t="s">
        <v>300</v>
      </c>
      <c r="C208" s="429" t="s">
        <v>167</v>
      </c>
      <c r="D208" s="430">
        <v>4199</v>
      </c>
      <c r="E208" s="430">
        <v>1500</v>
      </c>
      <c r="F208" s="430"/>
      <c r="G208" s="430"/>
      <c r="H208" s="430"/>
      <c r="I208" s="431"/>
      <c r="J208" s="432"/>
      <c r="K208" s="432"/>
      <c r="L208" s="428" t="s">
        <v>170</v>
      </c>
      <c r="M208" s="433">
        <v>6000000000</v>
      </c>
      <c r="N208" s="433">
        <v>3775864354.5599999</v>
      </c>
      <c r="O208" s="434">
        <v>0.62931072576000002</v>
      </c>
      <c r="P208" s="435">
        <v>910189904.15999997</v>
      </c>
      <c r="Q208" s="434">
        <v>0.15169831736</v>
      </c>
      <c r="R208" s="435">
        <v>910189904.15999997</v>
      </c>
      <c r="S208" s="434">
        <v>0.15169831736</v>
      </c>
    </row>
    <row r="209" spans="1:19" ht="32.1" customHeight="1" collapsed="1">
      <c r="A209" s="411" t="e">
        <v>#REF!</v>
      </c>
      <c r="B209" s="436" t="s">
        <v>547</v>
      </c>
      <c r="C209" s="437" t="s">
        <v>167</v>
      </c>
      <c r="D209" s="438" t="s">
        <v>251</v>
      </c>
      <c r="E209" s="438" t="s">
        <v>172</v>
      </c>
      <c r="F209" s="438" t="s">
        <v>252</v>
      </c>
      <c r="G209" s="438"/>
      <c r="H209" s="438"/>
      <c r="I209" s="439"/>
      <c r="J209" s="440"/>
      <c r="K209" s="440"/>
      <c r="L209" s="436" t="s">
        <v>854</v>
      </c>
      <c r="M209" s="441">
        <v>6000000000</v>
      </c>
      <c r="N209" s="441">
        <v>3775864354.5599999</v>
      </c>
      <c r="O209" s="442">
        <v>0.62931072576000002</v>
      </c>
      <c r="P209" s="443">
        <v>910189904.15999997</v>
      </c>
      <c r="Q209" s="442">
        <v>0.15169831736</v>
      </c>
      <c r="R209" s="443">
        <v>910189904.15999997</v>
      </c>
      <c r="S209" s="442">
        <v>0.15169831736</v>
      </c>
    </row>
    <row r="210" spans="1:19" ht="32.1" hidden="1" customHeight="1" outlineLevel="1">
      <c r="A210" s="411" t="e">
        <v>#REF!</v>
      </c>
      <c r="B210" s="444" t="s">
        <v>548</v>
      </c>
      <c r="C210" s="445" t="s">
        <v>167</v>
      </c>
      <c r="D210" s="446" t="s">
        <v>251</v>
      </c>
      <c r="E210" s="446" t="s">
        <v>172</v>
      </c>
      <c r="F210" s="446" t="s">
        <v>252</v>
      </c>
      <c r="G210" s="446" t="s">
        <v>175</v>
      </c>
      <c r="H210" s="446" t="s">
        <v>254</v>
      </c>
      <c r="I210" s="447"/>
      <c r="J210" s="448"/>
      <c r="K210" s="448" t="s">
        <v>29</v>
      </c>
      <c r="L210" s="444" t="s">
        <v>855</v>
      </c>
      <c r="M210" s="449">
        <v>6000000000</v>
      </c>
      <c r="N210" s="449">
        <v>3775864354.5599999</v>
      </c>
      <c r="O210" s="450">
        <v>0.62931072576000002</v>
      </c>
      <c r="P210" s="449">
        <v>910189904.15999997</v>
      </c>
      <c r="Q210" s="450">
        <v>0.15169831736</v>
      </c>
      <c r="R210" s="449">
        <v>910189904.15999997</v>
      </c>
      <c r="S210" s="450">
        <v>0.15169831736</v>
      </c>
    </row>
    <row r="211" spans="1:19" ht="32.1" hidden="1" customHeight="1" outlineLevel="1">
      <c r="A211" s="411" t="e">
        <v>#REF!</v>
      </c>
      <c r="B211" s="492" t="s">
        <v>549</v>
      </c>
      <c r="C211" s="493" t="s">
        <v>167</v>
      </c>
      <c r="D211" s="494" t="s">
        <v>251</v>
      </c>
      <c r="E211" s="494" t="s">
        <v>172</v>
      </c>
      <c r="F211" s="494" t="s">
        <v>252</v>
      </c>
      <c r="G211" s="494" t="s">
        <v>175</v>
      </c>
      <c r="H211" s="494" t="s">
        <v>254</v>
      </c>
      <c r="I211" s="495" t="s">
        <v>54</v>
      </c>
      <c r="J211" s="496">
        <v>11</v>
      </c>
      <c r="K211" s="497" t="s">
        <v>29</v>
      </c>
      <c r="L211" s="498" t="s">
        <v>178</v>
      </c>
      <c r="M211" s="499">
        <v>6000000000</v>
      </c>
      <c r="N211" s="499">
        <v>3775864354.5599999</v>
      </c>
      <c r="O211" s="500">
        <v>0.62931072576000002</v>
      </c>
      <c r="P211" s="501">
        <v>910189904.15999997</v>
      </c>
      <c r="Q211" s="500">
        <v>0.15169831736</v>
      </c>
      <c r="R211" s="501">
        <v>910189904.15999997</v>
      </c>
      <c r="S211" s="500">
        <v>0.15169831736</v>
      </c>
    </row>
    <row r="212" spans="1:19" ht="32.1" customHeight="1" collapsed="1">
      <c r="A212" s="411" t="e">
        <v>#REF!</v>
      </c>
      <c r="B212" s="502"/>
      <c r="C212" s="503"/>
      <c r="D212" s="503"/>
      <c r="E212" s="503"/>
      <c r="F212" s="503"/>
      <c r="G212" s="503"/>
      <c r="H212" s="503"/>
      <c r="I212" s="503"/>
      <c r="J212" s="503"/>
      <c r="K212" s="503"/>
      <c r="L212" s="502" t="s">
        <v>256</v>
      </c>
      <c r="M212" s="504">
        <v>6678643821744</v>
      </c>
      <c r="N212" s="504">
        <v>3193527038576.8394</v>
      </c>
      <c r="O212" s="505">
        <v>0.47816998837091912</v>
      </c>
      <c r="P212" s="506">
        <v>2736182334261.1802</v>
      </c>
      <c r="Q212" s="505">
        <v>0.40969130968668405</v>
      </c>
      <c r="R212" s="506">
        <v>2732276328936.1802</v>
      </c>
      <c r="S212" s="505">
        <v>0.40910645961393677</v>
      </c>
    </row>
    <row r="213" spans="1:19" s="515" customFormat="1" ht="15">
      <c r="A213" s="507"/>
      <c r="B213" s="507"/>
      <c r="C213" s="508"/>
      <c r="D213" s="508"/>
      <c r="E213" s="508"/>
      <c r="F213" s="508"/>
      <c r="G213" s="508"/>
      <c r="H213" s="509"/>
      <c r="I213" s="510"/>
      <c r="J213" s="510"/>
      <c r="K213" s="510"/>
      <c r="L213" s="510"/>
      <c r="M213" s="511"/>
      <c r="N213" s="511"/>
      <c r="O213" s="512"/>
      <c r="P213" s="513"/>
      <c r="Q213" s="512"/>
      <c r="R213" s="511"/>
      <c r="S213" s="514"/>
    </row>
    <row r="214" spans="1:19" s="515" customFormat="1" ht="15">
      <c r="A214" s="507"/>
      <c r="B214" s="507"/>
      <c r="C214" s="508"/>
      <c r="D214" s="508"/>
      <c r="E214" s="508"/>
      <c r="F214" s="508"/>
      <c r="G214" s="508"/>
      <c r="H214" s="509"/>
      <c r="I214" s="510"/>
      <c r="J214" s="510"/>
      <c r="K214" s="510"/>
      <c r="L214" s="510"/>
      <c r="M214" s="516">
        <v>6678643821744</v>
      </c>
      <c r="N214" s="516">
        <v>3193527038576.8398</v>
      </c>
      <c r="O214" s="517">
        <v>0.47816998837091917</v>
      </c>
      <c r="P214" s="516">
        <v>2736182334261.1802</v>
      </c>
      <c r="Q214" s="517">
        <v>0.14320990515848905</v>
      </c>
      <c r="R214" s="516">
        <v>2732276328936.1802</v>
      </c>
      <c r="S214" s="517">
        <v>0.85556699408870174</v>
      </c>
    </row>
    <row r="215" spans="1:19" s="521" customFormat="1" ht="12">
      <c r="A215" s="518"/>
      <c r="B215" s="518"/>
      <c r="C215" s="519"/>
      <c r="D215" s="519"/>
      <c r="E215" s="519"/>
      <c r="F215" s="519"/>
      <c r="G215" s="519"/>
      <c r="H215" s="519"/>
      <c r="I215" s="519"/>
      <c r="J215" s="519"/>
      <c r="K215" s="519"/>
      <c r="L215" s="520"/>
      <c r="M215" s="516">
        <v>0</v>
      </c>
      <c r="N215" s="516">
        <v>0</v>
      </c>
      <c r="O215" s="516">
        <v>0</v>
      </c>
      <c r="P215" s="516">
        <v>0</v>
      </c>
      <c r="Q215" s="516">
        <v>0</v>
      </c>
      <c r="R215" s="516">
        <v>0</v>
      </c>
      <c r="S215" s="516">
        <v>0</v>
      </c>
    </row>
    <row r="216" spans="1:19" s="529" customFormat="1" ht="15">
      <c r="A216" s="522"/>
      <c r="B216" s="523"/>
      <c r="C216" s="524"/>
      <c r="D216" s="524"/>
      <c r="E216" s="524"/>
      <c r="F216" s="524"/>
      <c r="G216" s="524"/>
      <c r="H216" s="524"/>
      <c r="I216" s="524"/>
      <c r="J216" s="524"/>
      <c r="K216" s="524"/>
      <c r="L216" s="525"/>
      <c r="M216" s="526"/>
      <c r="N216" s="526"/>
      <c r="O216" s="527"/>
      <c r="P216" s="526"/>
      <c r="Q216" s="527"/>
      <c r="R216" s="526"/>
      <c r="S216" s="528"/>
    </row>
    <row r="217" spans="1:19" s="515" customFormat="1" ht="18">
      <c r="A217" s="530"/>
      <c r="B217" s="531"/>
      <c r="C217" s="532"/>
      <c r="D217" s="532"/>
      <c r="E217" s="532"/>
      <c r="F217" s="532"/>
      <c r="G217" s="532"/>
      <c r="H217" s="532"/>
      <c r="I217" s="532"/>
      <c r="J217" s="532"/>
      <c r="K217" s="532"/>
      <c r="L217" s="532"/>
      <c r="M217" s="534"/>
      <c r="N217" s="533"/>
      <c r="O217" s="535"/>
      <c r="P217" s="533"/>
      <c r="Q217" s="535"/>
      <c r="R217" s="533"/>
      <c r="S217" s="535"/>
    </row>
    <row r="218" spans="1:19" ht="18">
      <c r="A218" s="409"/>
      <c r="B218" s="410"/>
      <c r="C218" s="536"/>
      <c r="D218" s="536"/>
      <c r="E218" s="536"/>
      <c r="F218" s="536"/>
      <c r="G218" s="536"/>
      <c r="H218" s="536"/>
      <c r="I218" s="536"/>
      <c r="J218" s="536"/>
      <c r="K218" s="536"/>
      <c r="L218" s="536"/>
      <c r="M218" s="537"/>
      <c r="N218" s="537"/>
      <c r="O218" s="538"/>
      <c r="P218" s="537"/>
      <c r="Q218" s="538"/>
      <c r="R218" s="537"/>
      <c r="S218" s="538"/>
    </row>
    <row r="219" spans="1:19" ht="18">
      <c r="A219" s="385"/>
      <c r="B219" s="386"/>
      <c r="C219" s="536"/>
      <c r="D219" s="536"/>
      <c r="E219" s="536"/>
      <c r="F219" s="536"/>
      <c r="G219" s="536"/>
      <c r="H219" s="536"/>
      <c r="I219" s="536"/>
      <c r="J219" s="536"/>
      <c r="K219" s="536"/>
      <c r="L219" s="536"/>
      <c r="M219" s="537"/>
      <c r="N219" s="537"/>
      <c r="O219" s="538"/>
      <c r="P219" s="537"/>
      <c r="Q219" s="538"/>
      <c r="R219" s="537"/>
      <c r="S219" s="538"/>
    </row>
    <row r="220" spans="1:19" ht="30">
      <c r="A220" s="385"/>
      <c r="B220" s="386"/>
      <c r="C220" s="539"/>
      <c r="D220" s="539"/>
      <c r="E220" s="539"/>
      <c r="F220" s="539"/>
      <c r="G220" s="539"/>
      <c r="H220" s="539"/>
      <c r="I220" s="536"/>
      <c r="J220" s="536"/>
      <c r="K220" s="536"/>
      <c r="L220" s="540" t="s">
        <v>736</v>
      </c>
      <c r="M220" s="541"/>
      <c r="N220" s="541"/>
      <c r="O220" s="541"/>
      <c r="P220" s="541"/>
      <c r="Q220" s="542"/>
      <c r="R220" s="543"/>
      <c r="S220" s="541"/>
    </row>
    <row r="221" spans="1:19" ht="30">
      <c r="A221" s="385"/>
      <c r="B221" s="386"/>
      <c r="C221" s="544"/>
      <c r="D221" s="544"/>
      <c r="E221" s="544"/>
      <c r="F221" s="544"/>
      <c r="G221" s="544"/>
      <c r="H221" s="544"/>
      <c r="I221" s="544"/>
      <c r="J221" s="544"/>
      <c r="K221" s="544"/>
      <c r="L221" s="545" t="s">
        <v>739</v>
      </c>
      <c r="M221" s="547"/>
      <c r="N221" s="546"/>
      <c r="O221" s="546"/>
      <c r="P221" s="546"/>
      <c r="Q221" s="548"/>
      <c r="R221" s="546"/>
      <c r="S221" s="546"/>
    </row>
    <row r="222" spans="1:19" ht="30">
      <c r="A222" s="549"/>
      <c r="B222" s="550"/>
      <c r="C222" s="551"/>
      <c r="D222" s="551"/>
      <c r="E222" s="551"/>
      <c r="F222" s="551"/>
      <c r="G222" s="551"/>
      <c r="H222" s="551"/>
      <c r="I222" s="551"/>
      <c r="J222" s="551"/>
      <c r="K222" s="551"/>
      <c r="L222" s="551"/>
      <c r="M222" s="552"/>
      <c r="N222" s="552"/>
      <c r="O222" s="553"/>
      <c r="P222" s="553"/>
      <c r="Q222" s="553"/>
    </row>
  </sheetData>
  <sheetProtection selectLockedCells="1" selectUnlockedCells="1"/>
  <autoFilter ref="A6:S215" xr:uid="{00000000-0001-0000-0200-000000000000}"/>
  <mergeCells count="9">
    <mergeCell ref="M5:M6"/>
    <mergeCell ref="N5:O5"/>
    <mergeCell ref="P5:Q5"/>
    <mergeCell ref="R5:S5"/>
    <mergeCell ref="B5:B6"/>
    <mergeCell ref="C5:I5"/>
    <mergeCell ref="J5:J6"/>
    <mergeCell ref="K5:K6"/>
    <mergeCell ref="L5:L6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DEB86-8714-47DC-BAE7-F6CACB2066EB}">
  <dimension ref="A3:G32"/>
  <sheetViews>
    <sheetView zoomScale="85" zoomScaleNormal="85" workbookViewId="0">
      <selection activeCell="A4" sqref="A4:C17"/>
    </sheetView>
  </sheetViews>
  <sheetFormatPr baseColWidth="10" defaultRowHeight="15"/>
  <cols>
    <col min="1" max="1" width="23" bestFit="1" customWidth="1"/>
    <col min="2" max="2" width="61.85546875" bestFit="1" customWidth="1"/>
    <col min="3" max="3" width="21.85546875" bestFit="1" customWidth="1"/>
    <col min="4" max="4" width="21.28515625" bestFit="1" customWidth="1"/>
    <col min="5" max="5" width="16.28515625" bestFit="1" customWidth="1"/>
    <col min="6" max="6" width="22.28515625" bestFit="1" customWidth="1"/>
    <col min="7" max="7" width="16.28515625" bestFit="1" customWidth="1"/>
  </cols>
  <sheetData>
    <row r="3" spans="1:7">
      <c r="C3" s="565" t="s">
        <v>862</v>
      </c>
    </row>
    <row r="4" spans="1:7">
      <c r="A4" s="573" t="s">
        <v>2</v>
      </c>
      <c r="B4" s="573" t="s">
        <v>5</v>
      </c>
      <c r="C4" s="574" t="s">
        <v>863</v>
      </c>
      <c r="D4" s="574" t="s">
        <v>861</v>
      </c>
      <c r="E4" s="574" t="s">
        <v>864</v>
      </c>
      <c r="F4" s="574" t="s">
        <v>887</v>
      </c>
      <c r="G4" s="574" t="s">
        <v>888</v>
      </c>
    </row>
    <row r="5" spans="1:7">
      <c r="A5" s="569" t="s">
        <v>297</v>
      </c>
      <c r="B5" s="569" t="s">
        <v>884</v>
      </c>
      <c r="C5" s="570">
        <v>2437607024958</v>
      </c>
      <c r="D5" s="570">
        <v>1989018515906.46</v>
      </c>
      <c r="E5" s="572">
        <v>0.81597176884601852</v>
      </c>
      <c r="F5" s="570">
        <v>1919703640289.1001</v>
      </c>
      <c r="G5" s="572">
        <v>0.78753614533998839</v>
      </c>
    </row>
    <row r="6" spans="1:7">
      <c r="A6" s="569" t="s">
        <v>298</v>
      </c>
      <c r="B6" s="569" t="s">
        <v>885</v>
      </c>
      <c r="C6" s="570">
        <v>40000000000</v>
      </c>
      <c r="D6" s="570">
        <v>9780242606</v>
      </c>
      <c r="E6" s="572">
        <v>0.24450606515000001</v>
      </c>
      <c r="F6" s="570">
        <v>1025090050</v>
      </c>
      <c r="G6" s="572">
        <v>2.562725125E-2</v>
      </c>
    </row>
    <row r="7" spans="1:7">
      <c r="A7" s="569" t="s">
        <v>299</v>
      </c>
      <c r="B7" s="569" t="s">
        <v>886</v>
      </c>
      <c r="C7" s="570">
        <v>947599205073</v>
      </c>
      <c r="D7" s="570">
        <v>383504629891.21997</v>
      </c>
      <c r="E7" s="572">
        <v>0.40471185268847498</v>
      </c>
      <c r="F7" s="570">
        <v>94420178466.229996</v>
      </c>
      <c r="G7" s="572">
        <v>9.9641470740740187E-2</v>
      </c>
    </row>
    <row r="8" spans="1:7">
      <c r="A8" s="569" t="s">
        <v>520</v>
      </c>
      <c r="B8" s="569" t="s">
        <v>867</v>
      </c>
      <c r="C8" s="570">
        <v>500000000</v>
      </c>
      <c r="D8" s="570">
        <v>0</v>
      </c>
      <c r="E8" s="572">
        <v>0</v>
      </c>
      <c r="F8" s="570">
        <v>0</v>
      </c>
      <c r="G8" s="572">
        <v>0</v>
      </c>
    </row>
    <row r="9" spans="1:7">
      <c r="A9" s="569" t="s">
        <v>530</v>
      </c>
      <c r="B9" s="569" t="s">
        <v>768</v>
      </c>
      <c r="C9" s="570">
        <v>18000000000</v>
      </c>
      <c r="D9" s="570">
        <v>990856593</v>
      </c>
      <c r="E9" s="572">
        <v>5.5047588500000001E-2</v>
      </c>
      <c r="F9" s="570">
        <v>434707659.32999998</v>
      </c>
      <c r="G9" s="572">
        <v>2.4150425518333331E-2</v>
      </c>
    </row>
    <row r="10" spans="1:7">
      <c r="A10" s="569" t="s">
        <v>658</v>
      </c>
      <c r="B10" s="569" t="s">
        <v>770</v>
      </c>
      <c r="C10" s="570">
        <v>41200000000</v>
      </c>
      <c r="D10" s="570">
        <v>3293121810.6700001</v>
      </c>
      <c r="E10" s="572">
        <v>7.9930141035679608E-2</v>
      </c>
      <c r="F10" s="570">
        <v>1698509061.6700001</v>
      </c>
      <c r="G10" s="572">
        <v>4.1225948098786408E-2</v>
      </c>
    </row>
    <row r="11" spans="1:7">
      <c r="A11" s="569" t="s">
        <v>664</v>
      </c>
      <c r="B11" s="569" t="s">
        <v>772</v>
      </c>
      <c r="C11" s="570">
        <v>12000000000</v>
      </c>
      <c r="D11" s="570">
        <v>7566140972.0500002</v>
      </c>
      <c r="E11" s="572">
        <v>0.6305117476708334</v>
      </c>
      <c r="F11" s="570">
        <v>2534444523.96</v>
      </c>
      <c r="G11" s="572">
        <v>0.21120371033000002</v>
      </c>
    </row>
    <row r="12" spans="1:7">
      <c r="A12" s="569" t="s">
        <v>678</v>
      </c>
      <c r="B12" s="569" t="s">
        <v>286</v>
      </c>
      <c r="C12" s="570">
        <v>1021056959210</v>
      </c>
      <c r="D12" s="570">
        <v>3044806457.8200002</v>
      </c>
      <c r="E12" s="572">
        <v>2.9820143042517348E-3</v>
      </c>
      <c r="F12" s="570">
        <v>2138919625.1199999</v>
      </c>
      <c r="G12" s="572">
        <v>2.0948093109074925E-3</v>
      </c>
    </row>
    <row r="13" spans="1:7">
      <c r="A13" s="569" t="s">
        <v>692</v>
      </c>
      <c r="B13" s="569" t="s">
        <v>858</v>
      </c>
      <c r="C13" s="570">
        <v>34000000000</v>
      </c>
      <c r="D13" s="570">
        <v>1289256069</v>
      </c>
      <c r="E13" s="572">
        <v>3.7919296147058822E-2</v>
      </c>
      <c r="F13" s="570">
        <v>569909524</v>
      </c>
      <c r="G13" s="572">
        <v>1.6762044823529412E-2</v>
      </c>
    </row>
    <row r="14" spans="1:7">
      <c r="A14" s="569" t="s">
        <v>704</v>
      </c>
      <c r="B14" s="569" t="s">
        <v>239</v>
      </c>
      <c r="C14" s="570">
        <v>188272298572</v>
      </c>
      <c r="D14" s="570">
        <v>11517885265</v>
      </c>
      <c r="E14" s="572">
        <v>6.1176738969887672E-2</v>
      </c>
      <c r="F14" s="570">
        <v>1521761586</v>
      </c>
      <c r="G14" s="572">
        <v>8.0827694649834025E-3</v>
      </c>
    </row>
    <row r="15" spans="1:7">
      <c r="A15" s="569" t="s">
        <v>685</v>
      </c>
      <c r="B15" s="569" t="s">
        <v>248</v>
      </c>
      <c r="C15" s="570">
        <v>1716644723711</v>
      </c>
      <c r="D15" s="570">
        <v>817240356367.06006</v>
      </c>
      <c r="E15" s="572">
        <v>0.47606842876630295</v>
      </c>
      <c r="F15" s="570">
        <v>796481200538.68994</v>
      </c>
      <c r="G15" s="572">
        <v>0.46397556205857005</v>
      </c>
    </row>
    <row r="16" spans="1:7">
      <c r="A16" s="569" t="s">
        <v>827</v>
      </c>
      <c r="B16" s="569" t="s">
        <v>853</v>
      </c>
      <c r="C16" s="570">
        <v>5500000000</v>
      </c>
      <c r="D16" s="570">
        <v>0</v>
      </c>
      <c r="E16" s="572">
        <v>0</v>
      </c>
      <c r="F16" s="570">
        <v>0</v>
      </c>
      <c r="G16" s="572">
        <v>0</v>
      </c>
    </row>
    <row r="17" spans="1:7">
      <c r="A17" s="569" t="s">
        <v>547</v>
      </c>
      <c r="B17" s="569" t="s">
        <v>854</v>
      </c>
      <c r="C17" s="570">
        <v>6000000000</v>
      </c>
      <c r="D17" s="570">
        <v>3775864354.5599999</v>
      </c>
      <c r="E17" s="572">
        <v>0.62931072576000002</v>
      </c>
      <c r="F17" s="570">
        <v>910189904.15999997</v>
      </c>
      <c r="G17" s="572">
        <v>0.15169831736</v>
      </c>
    </row>
    <row r="18" spans="1:7">
      <c r="A18" s="569" t="s">
        <v>859</v>
      </c>
      <c r="B18" s="569"/>
      <c r="C18" s="570">
        <v>6468380211524</v>
      </c>
      <c r="D18" s="570">
        <v>3231021676292.8394</v>
      </c>
      <c r="E18" s="572">
        <v>0.49951016647668361</v>
      </c>
      <c r="F18" s="570">
        <v>2821438551228.2603</v>
      </c>
      <c r="G18" s="572">
        <v>0.43618934864119679</v>
      </c>
    </row>
    <row r="25" spans="1:7">
      <c r="C25" s="565" t="s">
        <v>862</v>
      </c>
    </row>
    <row r="26" spans="1:7">
      <c r="A26" s="565" t="s">
        <v>2</v>
      </c>
      <c r="B26" s="565" t="s">
        <v>5</v>
      </c>
      <c r="C26" t="s">
        <v>863</v>
      </c>
      <c r="D26" t="s">
        <v>861</v>
      </c>
      <c r="E26" t="s">
        <v>864</v>
      </c>
      <c r="F26" t="s">
        <v>887</v>
      </c>
      <c r="G26" t="s">
        <v>888</v>
      </c>
    </row>
    <row r="27" spans="1:7">
      <c r="A27" t="s">
        <v>303</v>
      </c>
      <c r="B27" t="s">
        <v>26</v>
      </c>
      <c r="C27" s="567">
        <v>128915000000</v>
      </c>
      <c r="D27" s="567">
        <v>66663780738</v>
      </c>
      <c r="E27" s="571">
        <v>0.51711422827444442</v>
      </c>
      <c r="F27" s="567">
        <v>66435737598</v>
      </c>
      <c r="G27" s="571">
        <v>0.51534528641352828</v>
      </c>
    </row>
    <row r="28" spans="1:7">
      <c r="A28" t="s">
        <v>372</v>
      </c>
      <c r="B28" t="s">
        <v>178</v>
      </c>
      <c r="C28" s="567">
        <v>44658000000</v>
      </c>
      <c r="D28" s="567">
        <v>32006662168.450005</v>
      </c>
      <c r="E28" s="571">
        <v>0.71670612585538995</v>
      </c>
      <c r="F28" s="567">
        <v>16725620838.539999</v>
      </c>
      <c r="G28" s="571">
        <v>0.37452686726991802</v>
      </c>
    </row>
    <row r="29" spans="1:7">
      <c r="A29" t="s">
        <v>401</v>
      </c>
      <c r="B29" t="s">
        <v>127</v>
      </c>
      <c r="C29" s="567">
        <v>2957000000</v>
      </c>
      <c r="D29" s="567">
        <v>1380904448</v>
      </c>
      <c r="E29" s="571">
        <v>0.4669950787960771</v>
      </c>
      <c r="F29" s="567">
        <v>1308008989</v>
      </c>
      <c r="G29" s="571">
        <v>0.44234324957727428</v>
      </c>
    </row>
    <row r="30" spans="1:7">
      <c r="A30" t="s">
        <v>421</v>
      </c>
      <c r="B30" t="s">
        <v>149</v>
      </c>
      <c r="C30" s="567">
        <v>30002470214</v>
      </c>
      <c r="D30" s="567">
        <v>96658583.840000004</v>
      </c>
      <c r="E30" s="571">
        <v>3.2216875194128643E-3</v>
      </c>
      <c r="F30" s="567">
        <v>96658583.840000004</v>
      </c>
      <c r="G30" s="571">
        <v>3.2216875194128643E-3</v>
      </c>
    </row>
    <row r="31" spans="1:7">
      <c r="A31" t="s">
        <v>729</v>
      </c>
      <c r="B31" t="s">
        <v>164</v>
      </c>
      <c r="C31" s="567">
        <v>3731140006</v>
      </c>
      <c r="D31" s="567">
        <v>0</v>
      </c>
      <c r="E31" s="571">
        <v>0</v>
      </c>
      <c r="F31" s="567">
        <v>0</v>
      </c>
      <c r="G31" s="571">
        <v>0</v>
      </c>
    </row>
    <row r="32" spans="1:7">
      <c r="A32" t="s">
        <v>859</v>
      </c>
      <c r="C32" s="567">
        <v>210263610220</v>
      </c>
      <c r="D32" s="567">
        <v>100148005938.29001</v>
      </c>
      <c r="E32" s="571">
        <v>0.47629737658125715</v>
      </c>
      <c r="F32" s="567">
        <v>84566026009.37999</v>
      </c>
      <c r="G32" s="571">
        <v>0.40219049754210001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7019-6A54-4AF5-8FDA-E397B00A85F3}">
  <sheetPr>
    <tabColor rgb="FFFFC000"/>
    <pageSetUpPr fitToPage="1"/>
  </sheetPr>
  <dimension ref="A1:AB227"/>
  <sheetViews>
    <sheetView showGridLines="0" zoomScale="80" zoomScaleNormal="80" workbookViewId="0"/>
  </sheetViews>
  <sheetFormatPr baseColWidth="10" defaultRowHeight="12.75" outlineLevelCol="1"/>
  <cols>
    <col min="1" max="1" width="6.5703125" style="554" bestFit="1" customWidth="1"/>
    <col min="2" max="2" width="28.7109375" style="391" bestFit="1" customWidth="1"/>
    <col min="3" max="3" width="6.140625" style="392" customWidth="1" outlineLevel="1"/>
    <col min="4" max="4" width="5.5703125" style="392" customWidth="1" outlineLevel="1"/>
    <col min="5" max="6" width="7.140625" style="392" customWidth="1" outlineLevel="1"/>
    <col min="7" max="7" width="5.85546875" style="392" customWidth="1" outlineLevel="1"/>
    <col min="8" max="8" width="8.7109375" style="392" customWidth="1" outlineLevel="1"/>
    <col min="9" max="9" width="6.28515625" style="392" customWidth="1" outlineLevel="1"/>
    <col min="10" max="10" width="6.140625" style="392" bestFit="1" customWidth="1"/>
    <col min="11" max="11" width="5" style="392" bestFit="1" customWidth="1"/>
    <col min="12" max="12" width="70.28515625" style="555" customWidth="1"/>
    <col min="13" max="13" width="22.28515625" style="395" customWidth="1"/>
    <col min="14" max="14" width="17" style="395" customWidth="1" outlineLevel="1"/>
    <col min="15" max="15" width="18.42578125" style="395" customWidth="1" outlineLevel="1"/>
    <col min="16" max="16" width="21.140625" style="395" customWidth="1"/>
    <col min="17" max="17" width="21" style="395" customWidth="1"/>
    <col min="18" max="18" width="19.140625" style="395" customWidth="1"/>
    <col min="19" max="19" width="23.7109375" style="395" customWidth="1"/>
    <col min="20" max="20" width="22" style="395" customWidth="1"/>
    <col min="21" max="21" width="24.5703125" style="395" customWidth="1"/>
    <col min="22" max="22" width="12.85546875" style="395" customWidth="1"/>
    <col min="23" max="23" width="23.7109375" style="395" bestFit="1" customWidth="1"/>
    <col min="24" max="24" width="23.42578125" style="395" customWidth="1"/>
    <col min="25" max="25" width="12.5703125" style="395" customWidth="1"/>
    <col min="26" max="26" width="22" style="395" customWidth="1"/>
    <col min="27" max="27" width="22.140625" style="395" customWidth="1"/>
    <col min="28" max="28" width="12.7109375" style="395" customWidth="1"/>
    <col min="29" max="16384" width="11.42578125" style="395"/>
  </cols>
  <sheetData>
    <row r="1" spans="1:28" s="391" customFormat="1" ht="11.25" customHeight="1">
      <c r="A1" s="385"/>
      <c r="B1" s="386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8">
        <v>6</v>
      </c>
      <c r="N1" s="389"/>
      <c r="O1" s="389"/>
      <c r="P1" s="389"/>
      <c r="Q1" s="389"/>
      <c r="R1" s="389"/>
      <c r="S1" s="389"/>
      <c r="T1" s="388">
        <v>13</v>
      </c>
      <c r="U1" s="389"/>
      <c r="V1" s="390"/>
      <c r="W1" s="388">
        <v>14</v>
      </c>
      <c r="X1" s="587"/>
      <c r="Y1" s="390"/>
      <c r="Z1" s="388">
        <v>16</v>
      </c>
      <c r="AA1" s="389"/>
      <c r="AB1" s="390"/>
    </row>
    <row r="2" spans="1:28" ht="25.5" customHeight="1">
      <c r="A2" s="385"/>
      <c r="B2" s="386"/>
      <c r="D2" s="393"/>
      <c r="E2" s="393"/>
      <c r="F2" s="393"/>
      <c r="G2" s="393"/>
      <c r="H2" s="393"/>
      <c r="I2" s="393"/>
      <c r="J2" s="393"/>
      <c r="K2" s="393"/>
      <c r="L2" s="394"/>
      <c r="M2" s="863" t="s">
        <v>0</v>
      </c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  <c r="Y2" s="863"/>
      <c r="Z2" s="863"/>
      <c r="AA2" s="863"/>
      <c r="AB2" s="863"/>
    </row>
    <row r="3" spans="1:28" ht="28.5" customHeight="1">
      <c r="A3" s="385"/>
      <c r="B3" s="386"/>
      <c r="D3" s="396"/>
      <c r="E3" s="396"/>
      <c r="F3" s="396"/>
      <c r="G3" s="396"/>
      <c r="H3" s="396"/>
      <c r="I3" s="396"/>
      <c r="J3" s="396"/>
      <c r="K3" s="396"/>
      <c r="L3" s="397"/>
      <c r="M3" s="864" t="s">
        <v>868</v>
      </c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  <c r="AB3" s="864"/>
    </row>
    <row r="4" spans="1:28" ht="29.25" customHeight="1">
      <c r="A4" s="385"/>
      <c r="B4" s="386"/>
      <c r="C4" s="398"/>
      <c r="D4" s="398"/>
      <c r="E4" s="398"/>
      <c r="F4" s="398"/>
      <c r="G4" s="398"/>
      <c r="H4" s="398"/>
      <c r="I4" s="399"/>
      <c r="J4" s="399"/>
      <c r="K4" s="399"/>
      <c r="L4" s="399"/>
      <c r="M4" s="400"/>
      <c r="N4" s="400"/>
      <c r="O4" s="400"/>
      <c r="P4" s="400"/>
      <c r="Q4" s="400"/>
      <c r="R4" s="400"/>
      <c r="S4" s="400"/>
      <c r="T4" s="400"/>
      <c r="U4" s="400"/>
      <c r="V4" s="401"/>
      <c r="W4" s="400"/>
      <c r="X4" s="400"/>
      <c r="Y4" s="401"/>
      <c r="Z4" s="400"/>
      <c r="AA4" s="400"/>
      <c r="AB4" s="401"/>
    </row>
    <row r="5" spans="1:28" s="404" customFormat="1" ht="24.95" customHeight="1">
      <c r="A5" s="402"/>
      <c r="B5" s="620" t="s">
        <v>2</v>
      </c>
      <c r="C5" s="622" t="s">
        <v>2</v>
      </c>
      <c r="D5" s="622"/>
      <c r="E5" s="622"/>
      <c r="F5" s="622"/>
      <c r="G5" s="622"/>
      <c r="H5" s="622"/>
      <c r="I5" s="622"/>
      <c r="J5" s="623" t="s">
        <v>3</v>
      </c>
      <c r="K5" s="623" t="s">
        <v>4</v>
      </c>
      <c r="L5" s="625" t="s">
        <v>5</v>
      </c>
      <c r="M5" s="620" t="s">
        <v>869</v>
      </c>
      <c r="N5" s="865" t="s">
        <v>870</v>
      </c>
      <c r="O5" s="866"/>
      <c r="P5" s="865" t="s">
        <v>871</v>
      </c>
      <c r="Q5" s="866"/>
      <c r="R5" s="620" t="s">
        <v>872</v>
      </c>
      <c r="S5" s="626" t="s">
        <v>6</v>
      </c>
      <c r="T5" s="850" t="s">
        <v>7</v>
      </c>
      <c r="U5" s="861"/>
      <c r="V5" s="851"/>
      <c r="W5" s="852" t="s">
        <v>8</v>
      </c>
      <c r="X5" s="862"/>
      <c r="Y5" s="853"/>
      <c r="Z5" s="850" t="s">
        <v>9</v>
      </c>
      <c r="AA5" s="861"/>
      <c r="AB5" s="851"/>
    </row>
    <row r="6" spans="1:28" s="404" customFormat="1" ht="45">
      <c r="A6" s="402"/>
      <c r="B6" s="621" t="s">
        <v>2</v>
      </c>
      <c r="C6" s="405" t="s">
        <v>10</v>
      </c>
      <c r="D6" s="405" t="s">
        <v>11</v>
      </c>
      <c r="E6" s="405" t="s">
        <v>12</v>
      </c>
      <c r="F6" s="405" t="s">
        <v>13</v>
      </c>
      <c r="G6" s="405" t="s">
        <v>14</v>
      </c>
      <c r="H6" s="405" t="s">
        <v>15</v>
      </c>
      <c r="I6" s="405" t="s">
        <v>16</v>
      </c>
      <c r="J6" s="623" t="s">
        <v>3</v>
      </c>
      <c r="K6" s="624" t="s">
        <v>17</v>
      </c>
      <c r="L6" s="625" t="s">
        <v>5</v>
      </c>
      <c r="M6" s="620" t="s">
        <v>869</v>
      </c>
      <c r="N6" s="406" t="s">
        <v>873</v>
      </c>
      <c r="O6" s="406" t="s">
        <v>874</v>
      </c>
      <c r="P6" s="406" t="s">
        <v>875</v>
      </c>
      <c r="Q6" s="406" t="s">
        <v>876</v>
      </c>
      <c r="R6" s="620" t="s">
        <v>872</v>
      </c>
      <c r="S6" s="627" t="s">
        <v>6</v>
      </c>
      <c r="T6" s="403" t="s">
        <v>18</v>
      </c>
      <c r="U6" s="403" t="s">
        <v>877</v>
      </c>
      <c r="V6" s="407" t="s">
        <v>19</v>
      </c>
      <c r="W6" s="403" t="s">
        <v>18</v>
      </c>
      <c r="X6" s="406" t="s">
        <v>878</v>
      </c>
      <c r="Y6" s="408" t="s">
        <v>879</v>
      </c>
      <c r="Z6" s="406" t="s">
        <v>18</v>
      </c>
      <c r="AA6" s="406" t="s">
        <v>880</v>
      </c>
      <c r="AB6" s="408" t="s">
        <v>20</v>
      </c>
    </row>
    <row r="7" spans="1:28" ht="32.1" customHeight="1">
      <c r="A7" s="411" t="e">
        <v>#REF!</v>
      </c>
      <c r="B7" s="412" t="s">
        <v>23</v>
      </c>
      <c r="C7" s="413" t="s">
        <v>23</v>
      </c>
      <c r="D7" s="414"/>
      <c r="E7" s="414"/>
      <c r="F7" s="414"/>
      <c r="G7" s="414"/>
      <c r="H7" s="414"/>
      <c r="I7" s="415"/>
      <c r="J7" s="416"/>
      <c r="K7" s="416"/>
      <c r="L7" s="412" t="s">
        <v>24</v>
      </c>
      <c r="M7" s="417">
        <v>212412470214</v>
      </c>
      <c r="N7" s="417">
        <v>0</v>
      </c>
      <c r="O7" s="417">
        <v>0</v>
      </c>
      <c r="P7" s="417">
        <v>6422060761</v>
      </c>
      <c r="Q7" s="417">
        <v>6422060761</v>
      </c>
      <c r="R7" s="417">
        <v>5880000000</v>
      </c>
      <c r="S7" s="417">
        <v>206532470214</v>
      </c>
      <c r="T7" s="417">
        <v>100148005938.29001</v>
      </c>
      <c r="U7" s="417">
        <v>106384464275.71001</v>
      </c>
      <c r="V7" s="418">
        <v>0.48490199063866801</v>
      </c>
      <c r="W7" s="419">
        <v>84566026009.37999</v>
      </c>
      <c r="X7" s="419">
        <v>15581979928.909998</v>
      </c>
      <c r="Y7" s="418">
        <v>0.15558951756374886</v>
      </c>
      <c r="Z7" s="419">
        <v>84409734272.37999</v>
      </c>
      <c r="AA7" s="419">
        <v>156291737</v>
      </c>
      <c r="AB7" s="418">
        <v>0.84284987485813989</v>
      </c>
    </row>
    <row r="8" spans="1:28" ht="32.1" customHeight="1">
      <c r="A8" s="411" t="e">
        <v>#REF!</v>
      </c>
      <c r="B8" s="420" t="s">
        <v>303</v>
      </c>
      <c r="C8" s="421" t="s">
        <v>23</v>
      </c>
      <c r="D8" s="422" t="s">
        <v>25</v>
      </c>
      <c r="E8" s="422"/>
      <c r="F8" s="422"/>
      <c r="G8" s="422"/>
      <c r="H8" s="422"/>
      <c r="I8" s="423"/>
      <c r="J8" s="424"/>
      <c r="K8" s="424"/>
      <c r="L8" s="420" t="s">
        <v>26</v>
      </c>
      <c r="M8" s="425">
        <v>128915000000</v>
      </c>
      <c r="N8" s="425">
        <v>0</v>
      </c>
      <c r="O8" s="425">
        <v>0</v>
      </c>
      <c r="P8" s="425">
        <v>700000000</v>
      </c>
      <c r="Q8" s="425">
        <v>700000000</v>
      </c>
      <c r="R8" s="425">
        <v>0</v>
      </c>
      <c r="S8" s="425">
        <v>128915000000</v>
      </c>
      <c r="T8" s="425">
        <v>66663780738</v>
      </c>
      <c r="U8" s="425">
        <v>62251219262</v>
      </c>
      <c r="V8" s="426">
        <v>0.51711422827444442</v>
      </c>
      <c r="W8" s="427">
        <v>66435737598</v>
      </c>
      <c r="X8" s="427">
        <v>228043140</v>
      </c>
      <c r="Y8" s="426">
        <v>3.4207951825632023E-3</v>
      </c>
      <c r="Z8" s="427">
        <v>66435737598</v>
      </c>
      <c r="AA8" s="427">
        <v>0</v>
      </c>
      <c r="AB8" s="426">
        <v>0.99657920481743678</v>
      </c>
    </row>
    <row r="9" spans="1:28" ht="32.1" customHeight="1">
      <c r="A9" s="411" t="e">
        <v>#REF!</v>
      </c>
      <c r="B9" s="428" t="s">
        <v>305</v>
      </c>
      <c r="C9" s="429" t="s">
        <v>23</v>
      </c>
      <c r="D9" s="430" t="s">
        <v>25</v>
      </c>
      <c r="E9" s="430" t="s">
        <v>25</v>
      </c>
      <c r="F9" s="430"/>
      <c r="G9" s="430"/>
      <c r="H9" s="430"/>
      <c r="I9" s="431"/>
      <c r="J9" s="432"/>
      <c r="K9" s="432"/>
      <c r="L9" s="428" t="s">
        <v>27</v>
      </c>
      <c r="M9" s="433">
        <v>128915000000</v>
      </c>
      <c r="N9" s="433">
        <v>0</v>
      </c>
      <c r="O9" s="433">
        <v>0</v>
      </c>
      <c r="P9" s="433">
        <v>700000000</v>
      </c>
      <c r="Q9" s="433">
        <v>700000000</v>
      </c>
      <c r="R9" s="433">
        <v>0</v>
      </c>
      <c r="S9" s="433">
        <v>128915000000</v>
      </c>
      <c r="T9" s="433">
        <v>66663780738</v>
      </c>
      <c r="U9" s="433">
        <v>62251219262</v>
      </c>
      <c r="V9" s="434">
        <v>0.51711422827444442</v>
      </c>
      <c r="W9" s="435">
        <v>66435737598</v>
      </c>
      <c r="X9" s="435">
        <v>228043140</v>
      </c>
      <c r="Y9" s="434">
        <v>3.4207951825632023E-3</v>
      </c>
      <c r="Z9" s="435">
        <v>66435737598</v>
      </c>
      <c r="AA9" s="435">
        <v>0</v>
      </c>
      <c r="AB9" s="434">
        <v>0.99657920481743678</v>
      </c>
    </row>
    <row r="10" spans="1:28" ht="32.1" customHeight="1">
      <c r="A10" s="411" t="e">
        <v>#REF!</v>
      </c>
      <c r="B10" s="436" t="s">
        <v>307</v>
      </c>
      <c r="C10" s="437" t="s">
        <v>23</v>
      </c>
      <c r="D10" s="438" t="s">
        <v>25</v>
      </c>
      <c r="E10" s="438" t="s">
        <v>25</v>
      </c>
      <c r="F10" s="438" t="s">
        <v>25</v>
      </c>
      <c r="G10" s="438"/>
      <c r="H10" s="438"/>
      <c r="I10" s="439"/>
      <c r="J10" s="440" t="s">
        <v>28</v>
      </c>
      <c r="K10" s="440" t="s">
        <v>29</v>
      </c>
      <c r="L10" s="436" t="s">
        <v>30</v>
      </c>
      <c r="M10" s="441">
        <v>87725000000</v>
      </c>
      <c r="N10" s="441">
        <v>0</v>
      </c>
      <c r="O10" s="441">
        <v>0</v>
      </c>
      <c r="P10" s="441">
        <v>700000000</v>
      </c>
      <c r="Q10" s="441">
        <v>700000000</v>
      </c>
      <c r="R10" s="441">
        <v>0</v>
      </c>
      <c r="S10" s="441">
        <v>87725000000</v>
      </c>
      <c r="T10" s="441">
        <v>44638383523</v>
      </c>
      <c r="U10" s="441">
        <v>43086616477</v>
      </c>
      <c r="V10" s="442">
        <v>0.50884449726987746</v>
      </c>
      <c r="W10" s="443">
        <v>44601839945</v>
      </c>
      <c r="X10" s="443">
        <v>36543578</v>
      </c>
      <c r="Y10" s="442">
        <v>8.1865818418740144E-4</v>
      </c>
      <c r="Z10" s="443">
        <v>44601839945</v>
      </c>
      <c r="AA10" s="443">
        <v>0</v>
      </c>
      <c r="AB10" s="442">
        <v>0.99918134181581264</v>
      </c>
    </row>
    <row r="11" spans="1:28" ht="32.1" customHeight="1">
      <c r="A11" s="411" t="e">
        <v>#REF!</v>
      </c>
      <c r="B11" s="444" t="s">
        <v>309</v>
      </c>
      <c r="C11" s="445" t="s">
        <v>23</v>
      </c>
      <c r="D11" s="446" t="s">
        <v>25</v>
      </c>
      <c r="E11" s="446" t="s">
        <v>25</v>
      </c>
      <c r="F11" s="446" t="s">
        <v>25</v>
      </c>
      <c r="G11" s="446" t="s">
        <v>31</v>
      </c>
      <c r="H11" s="446"/>
      <c r="I11" s="447"/>
      <c r="J11" s="448" t="s">
        <v>28</v>
      </c>
      <c r="K11" s="448" t="s">
        <v>29</v>
      </c>
      <c r="L11" s="444" t="s">
        <v>32</v>
      </c>
      <c r="M11" s="449">
        <v>87725000000</v>
      </c>
      <c r="N11" s="449">
        <v>0</v>
      </c>
      <c r="O11" s="449">
        <v>0</v>
      </c>
      <c r="P11" s="449">
        <v>700000000</v>
      </c>
      <c r="Q11" s="449">
        <v>700000000</v>
      </c>
      <c r="R11" s="449">
        <v>0</v>
      </c>
      <c r="S11" s="449">
        <v>87725000000</v>
      </c>
      <c r="T11" s="449">
        <v>44638383523</v>
      </c>
      <c r="U11" s="449">
        <v>43086616477</v>
      </c>
      <c r="V11" s="450">
        <v>0.50884449726987746</v>
      </c>
      <c r="W11" s="449">
        <v>44601839945</v>
      </c>
      <c r="X11" s="449">
        <v>36543578</v>
      </c>
      <c r="Y11" s="450">
        <v>8.1865818418740144E-4</v>
      </c>
      <c r="Z11" s="449">
        <v>44601839945</v>
      </c>
      <c r="AA11" s="449">
        <v>0</v>
      </c>
      <c r="AB11" s="450">
        <v>0.99918134181581264</v>
      </c>
    </row>
    <row r="12" spans="1:28" ht="31.5" customHeight="1">
      <c r="A12" s="411" t="e">
        <v>#REF!</v>
      </c>
      <c r="B12" s="451" t="s">
        <v>311</v>
      </c>
      <c r="C12" s="452" t="s">
        <v>23</v>
      </c>
      <c r="D12" s="453" t="s">
        <v>25</v>
      </c>
      <c r="E12" s="453" t="s">
        <v>25</v>
      </c>
      <c r="F12" s="453" t="s">
        <v>25</v>
      </c>
      <c r="G12" s="453" t="s">
        <v>31</v>
      </c>
      <c r="H12" s="453" t="s">
        <v>31</v>
      </c>
      <c r="I12" s="454"/>
      <c r="J12" s="455" t="s">
        <v>28</v>
      </c>
      <c r="K12" s="456" t="s">
        <v>29</v>
      </c>
      <c r="L12" s="457" t="s">
        <v>33</v>
      </c>
      <c r="M12" s="458">
        <v>71741000000</v>
      </c>
      <c r="N12" s="458"/>
      <c r="O12" s="458"/>
      <c r="P12" s="459"/>
      <c r="Q12" s="459"/>
      <c r="R12" s="459"/>
      <c r="S12" s="458">
        <v>71741000000</v>
      </c>
      <c r="T12" s="458">
        <v>37191586065</v>
      </c>
      <c r="U12" s="458">
        <v>34549413935</v>
      </c>
      <c r="V12" s="460">
        <v>0.51841465919069984</v>
      </c>
      <c r="W12" s="461">
        <v>37188694187</v>
      </c>
      <c r="X12" s="461">
        <v>2891878</v>
      </c>
      <c r="Y12" s="460">
        <v>7.7756242902516832E-5</v>
      </c>
      <c r="Z12" s="461">
        <v>37188694187</v>
      </c>
      <c r="AA12" s="461">
        <v>0</v>
      </c>
      <c r="AB12" s="460">
        <v>0.99992224375709748</v>
      </c>
    </row>
    <row r="13" spans="1:28" ht="32.1" customHeight="1">
      <c r="A13" s="411" t="e">
        <v>#REF!</v>
      </c>
      <c r="B13" s="451" t="s">
        <v>313</v>
      </c>
      <c r="C13" s="452" t="s">
        <v>23</v>
      </c>
      <c r="D13" s="453" t="s">
        <v>25</v>
      </c>
      <c r="E13" s="453" t="s">
        <v>25</v>
      </c>
      <c r="F13" s="453" t="s">
        <v>25</v>
      </c>
      <c r="G13" s="453" t="s">
        <v>31</v>
      </c>
      <c r="H13" s="453" t="s">
        <v>34</v>
      </c>
      <c r="I13" s="454"/>
      <c r="J13" s="455" t="s">
        <v>28</v>
      </c>
      <c r="K13" s="456" t="s">
        <v>29</v>
      </c>
      <c r="L13" s="457" t="s">
        <v>35</v>
      </c>
      <c r="M13" s="458">
        <v>360000000</v>
      </c>
      <c r="N13" s="458"/>
      <c r="O13" s="458"/>
      <c r="P13" s="459"/>
      <c r="Q13" s="459"/>
      <c r="R13" s="458"/>
      <c r="S13" s="458">
        <v>360000000</v>
      </c>
      <c r="T13" s="458">
        <v>194339829</v>
      </c>
      <c r="U13" s="458">
        <v>165660171</v>
      </c>
      <c r="V13" s="460">
        <v>0.53983285833333339</v>
      </c>
      <c r="W13" s="461">
        <v>194339829</v>
      </c>
      <c r="X13" s="461">
        <v>0</v>
      </c>
      <c r="Y13" s="460">
        <v>0</v>
      </c>
      <c r="Z13" s="461">
        <v>194339829</v>
      </c>
      <c r="AA13" s="461">
        <v>0</v>
      </c>
      <c r="AB13" s="460">
        <v>1</v>
      </c>
    </row>
    <row r="14" spans="1:28" ht="32.1" customHeight="1">
      <c r="A14" s="411" t="e">
        <v>#REF!</v>
      </c>
      <c r="B14" s="451" t="s">
        <v>315</v>
      </c>
      <c r="C14" s="452" t="s">
        <v>23</v>
      </c>
      <c r="D14" s="453" t="s">
        <v>25</v>
      </c>
      <c r="E14" s="453" t="s">
        <v>25</v>
      </c>
      <c r="F14" s="453" t="s">
        <v>25</v>
      </c>
      <c r="G14" s="453" t="s">
        <v>31</v>
      </c>
      <c r="H14" s="453" t="s">
        <v>36</v>
      </c>
      <c r="I14" s="454"/>
      <c r="J14" s="455" t="s">
        <v>28</v>
      </c>
      <c r="K14" s="456" t="s">
        <v>29</v>
      </c>
      <c r="L14" s="457" t="s">
        <v>37</v>
      </c>
      <c r="M14" s="458">
        <v>840000000</v>
      </c>
      <c r="N14" s="458"/>
      <c r="O14" s="458"/>
      <c r="P14" s="459"/>
      <c r="Q14" s="459"/>
      <c r="R14" s="458"/>
      <c r="S14" s="458">
        <v>840000000</v>
      </c>
      <c r="T14" s="458">
        <v>612787579</v>
      </c>
      <c r="U14" s="458">
        <v>227212421</v>
      </c>
      <c r="V14" s="460">
        <v>0.7295090226190476</v>
      </c>
      <c r="W14" s="461">
        <v>612787579</v>
      </c>
      <c r="X14" s="461">
        <v>0</v>
      </c>
      <c r="Y14" s="460">
        <v>0</v>
      </c>
      <c r="Z14" s="461">
        <v>612787579</v>
      </c>
      <c r="AA14" s="461">
        <v>0</v>
      </c>
      <c r="AB14" s="460">
        <v>1</v>
      </c>
    </row>
    <row r="15" spans="1:28" ht="32.1" customHeight="1">
      <c r="A15" s="411" t="e">
        <v>#REF!</v>
      </c>
      <c r="B15" s="451" t="s">
        <v>317</v>
      </c>
      <c r="C15" s="452" t="s">
        <v>23</v>
      </c>
      <c r="D15" s="453" t="s">
        <v>25</v>
      </c>
      <c r="E15" s="453" t="s">
        <v>25</v>
      </c>
      <c r="F15" s="453" t="s">
        <v>25</v>
      </c>
      <c r="G15" s="453" t="s">
        <v>31</v>
      </c>
      <c r="H15" s="453" t="s">
        <v>38</v>
      </c>
      <c r="I15" s="454"/>
      <c r="J15" s="455" t="s">
        <v>28</v>
      </c>
      <c r="K15" s="456" t="s">
        <v>29</v>
      </c>
      <c r="L15" s="457" t="s">
        <v>39</v>
      </c>
      <c r="M15" s="458">
        <v>180000000</v>
      </c>
      <c r="N15" s="458"/>
      <c r="O15" s="458"/>
      <c r="P15" s="459"/>
      <c r="Q15" s="459"/>
      <c r="R15" s="458"/>
      <c r="S15" s="458">
        <v>180000000</v>
      </c>
      <c r="T15" s="458">
        <v>54735638</v>
      </c>
      <c r="U15" s="458">
        <v>125264362</v>
      </c>
      <c r="V15" s="460">
        <v>0.30408687777777776</v>
      </c>
      <c r="W15" s="461">
        <v>54735638</v>
      </c>
      <c r="X15" s="461">
        <v>0</v>
      </c>
      <c r="Y15" s="460">
        <v>0</v>
      </c>
      <c r="Z15" s="461">
        <v>54735638</v>
      </c>
      <c r="AA15" s="461">
        <v>0</v>
      </c>
      <c r="AB15" s="460">
        <v>1</v>
      </c>
    </row>
    <row r="16" spans="1:28" ht="32.1" customHeight="1">
      <c r="A16" s="411" t="e">
        <v>#REF!</v>
      </c>
      <c r="B16" s="451" t="s">
        <v>319</v>
      </c>
      <c r="C16" s="452" t="s">
        <v>23</v>
      </c>
      <c r="D16" s="453" t="s">
        <v>25</v>
      </c>
      <c r="E16" s="453" t="s">
        <v>25</v>
      </c>
      <c r="F16" s="453" t="s">
        <v>25</v>
      </c>
      <c r="G16" s="453" t="s">
        <v>31</v>
      </c>
      <c r="H16" s="453" t="s">
        <v>40</v>
      </c>
      <c r="I16" s="454"/>
      <c r="J16" s="455" t="s">
        <v>28</v>
      </c>
      <c r="K16" s="456" t="s">
        <v>29</v>
      </c>
      <c r="L16" s="457" t="s">
        <v>41</v>
      </c>
      <c r="M16" s="458">
        <v>204000000</v>
      </c>
      <c r="N16" s="458"/>
      <c r="O16" s="458"/>
      <c r="P16" s="459"/>
      <c r="Q16" s="459"/>
      <c r="R16" s="458"/>
      <c r="S16" s="458">
        <v>204000000</v>
      </c>
      <c r="T16" s="458">
        <v>113084511</v>
      </c>
      <c r="U16" s="458">
        <v>90915489</v>
      </c>
      <c r="V16" s="460">
        <v>0.55433583823529409</v>
      </c>
      <c r="W16" s="461">
        <v>79432811</v>
      </c>
      <c r="X16" s="461">
        <v>33651700</v>
      </c>
      <c r="Y16" s="460">
        <v>0.2975800991879427</v>
      </c>
      <c r="Z16" s="461">
        <v>79432811</v>
      </c>
      <c r="AA16" s="461">
        <v>0</v>
      </c>
      <c r="AB16" s="460">
        <v>0.7024199008120573</v>
      </c>
    </row>
    <row r="17" spans="1:28" ht="32.1" customHeight="1">
      <c r="A17" s="411" t="e">
        <v>#REF!</v>
      </c>
      <c r="B17" s="451" t="s">
        <v>321</v>
      </c>
      <c r="C17" s="452" t="s">
        <v>23</v>
      </c>
      <c r="D17" s="453" t="s">
        <v>25</v>
      </c>
      <c r="E17" s="453" t="s">
        <v>25</v>
      </c>
      <c r="F17" s="453" t="s">
        <v>25</v>
      </c>
      <c r="G17" s="453" t="s">
        <v>31</v>
      </c>
      <c r="H17" s="453" t="s">
        <v>42</v>
      </c>
      <c r="I17" s="454"/>
      <c r="J17" s="455" t="s">
        <v>28</v>
      </c>
      <c r="K17" s="456" t="s">
        <v>29</v>
      </c>
      <c r="L17" s="457" t="s">
        <v>43</v>
      </c>
      <c r="M17" s="458">
        <v>3000000000</v>
      </c>
      <c r="N17" s="458"/>
      <c r="O17" s="458"/>
      <c r="P17" s="459">
        <v>700000000</v>
      </c>
      <c r="Q17" s="459"/>
      <c r="R17" s="458"/>
      <c r="S17" s="458">
        <v>3700000000</v>
      </c>
      <c r="T17" s="458">
        <v>2971473775</v>
      </c>
      <c r="U17" s="458">
        <v>728526225</v>
      </c>
      <c r="V17" s="460">
        <v>0.8031010202702703</v>
      </c>
      <c r="W17" s="461">
        <v>2971473775</v>
      </c>
      <c r="X17" s="461">
        <v>0</v>
      </c>
      <c r="Y17" s="460">
        <v>0</v>
      </c>
      <c r="Z17" s="461">
        <v>2971473775</v>
      </c>
      <c r="AA17" s="461">
        <v>0</v>
      </c>
      <c r="AB17" s="460">
        <v>1</v>
      </c>
    </row>
    <row r="18" spans="1:28" ht="32.1" customHeight="1">
      <c r="A18" s="411" t="e">
        <v>#REF!</v>
      </c>
      <c r="B18" s="451" t="s">
        <v>323</v>
      </c>
      <c r="C18" s="452" t="s">
        <v>23</v>
      </c>
      <c r="D18" s="453" t="s">
        <v>25</v>
      </c>
      <c r="E18" s="453" t="s">
        <v>25</v>
      </c>
      <c r="F18" s="453" t="s">
        <v>25</v>
      </c>
      <c r="G18" s="453" t="s">
        <v>31</v>
      </c>
      <c r="H18" s="453" t="s">
        <v>44</v>
      </c>
      <c r="I18" s="454"/>
      <c r="J18" s="455" t="s">
        <v>28</v>
      </c>
      <c r="K18" s="456" t="s">
        <v>29</v>
      </c>
      <c r="L18" s="457" t="s">
        <v>45</v>
      </c>
      <c r="M18" s="458">
        <v>2000000000</v>
      </c>
      <c r="N18" s="458"/>
      <c r="O18" s="458"/>
      <c r="P18" s="459"/>
      <c r="Q18" s="459"/>
      <c r="R18" s="458"/>
      <c r="S18" s="458">
        <v>2000000000</v>
      </c>
      <c r="T18" s="458">
        <v>1304429221</v>
      </c>
      <c r="U18" s="458">
        <v>695570779</v>
      </c>
      <c r="V18" s="460">
        <v>0.65221461049999996</v>
      </c>
      <c r="W18" s="461">
        <v>1304429221</v>
      </c>
      <c r="X18" s="461">
        <v>0</v>
      </c>
      <c r="Y18" s="460">
        <v>0</v>
      </c>
      <c r="Z18" s="461">
        <v>1304429221</v>
      </c>
      <c r="AA18" s="461">
        <v>0</v>
      </c>
      <c r="AB18" s="460">
        <v>1</v>
      </c>
    </row>
    <row r="19" spans="1:28" ht="32.1" customHeight="1">
      <c r="A19" s="411" t="e">
        <v>#REF!</v>
      </c>
      <c r="B19" s="451" t="s">
        <v>325</v>
      </c>
      <c r="C19" s="452" t="s">
        <v>23</v>
      </c>
      <c r="D19" s="453" t="s">
        <v>25</v>
      </c>
      <c r="E19" s="453" t="s">
        <v>25</v>
      </c>
      <c r="F19" s="453" t="s">
        <v>25</v>
      </c>
      <c r="G19" s="453" t="s">
        <v>31</v>
      </c>
      <c r="H19" s="453" t="s">
        <v>46</v>
      </c>
      <c r="I19" s="454"/>
      <c r="J19" s="455" t="s">
        <v>28</v>
      </c>
      <c r="K19" s="456" t="s">
        <v>29</v>
      </c>
      <c r="L19" s="457" t="s">
        <v>47</v>
      </c>
      <c r="M19" s="458">
        <v>200000000</v>
      </c>
      <c r="N19" s="458"/>
      <c r="O19" s="458"/>
      <c r="P19" s="459"/>
      <c r="Q19" s="459"/>
      <c r="R19" s="458"/>
      <c r="S19" s="458">
        <v>200000000</v>
      </c>
      <c r="T19" s="458">
        <v>85205619</v>
      </c>
      <c r="U19" s="458">
        <v>114794381</v>
      </c>
      <c r="V19" s="460">
        <v>0.426028095</v>
      </c>
      <c r="W19" s="461">
        <v>85205619</v>
      </c>
      <c r="X19" s="461">
        <v>0</v>
      </c>
      <c r="Y19" s="460">
        <v>0</v>
      </c>
      <c r="Z19" s="461">
        <v>85205619</v>
      </c>
      <c r="AA19" s="461">
        <v>0</v>
      </c>
      <c r="AB19" s="460">
        <v>1</v>
      </c>
    </row>
    <row r="20" spans="1:28" ht="32.1" customHeight="1">
      <c r="A20" s="411" t="e">
        <v>#REF!</v>
      </c>
      <c r="B20" s="451" t="s">
        <v>327</v>
      </c>
      <c r="C20" s="452" t="s">
        <v>23</v>
      </c>
      <c r="D20" s="453" t="s">
        <v>25</v>
      </c>
      <c r="E20" s="453" t="s">
        <v>25</v>
      </c>
      <c r="F20" s="453" t="s">
        <v>25</v>
      </c>
      <c r="G20" s="453" t="s">
        <v>31</v>
      </c>
      <c r="H20" s="453" t="s">
        <v>48</v>
      </c>
      <c r="I20" s="454"/>
      <c r="J20" s="455" t="s">
        <v>28</v>
      </c>
      <c r="K20" s="456" t="s">
        <v>29</v>
      </c>
      <c r="L20" s="457" t="s">
        <v>49</v>
      </c>
      <c r="M20" s="458">
        <v>5900000000</v>
      </c>
      <c r="N20" s="458"/>
      <c r="O20" s="458"/>
      <c r="P20" s="459"/>
      <c r="Q20" s="459">
        <v>700000000</v>
      </c>
      <c r="R20" s="458"/>
      <c r="S20" s="458">
        <v>5200000000</v>
      </c>
      <c r="T20" s="458">
        <v>81288986</v>
      </c>
      <c r="U20" s="458">
        <v>5118711014</v>
      </c>
      <c r="V20" s="460">
        <v>1.5632497307692308E-2</v>
      </c>
      <c r="W20" s="461">
        <v>81288986</v>
      </c>
      <c r="X20" s="461">
        <v>0</v>
      </c>
      <c r="Y20" s="460">
        <v>0</v>
      </c>
      <c r="Z20" s="461">
        <v>81288986</v>
      </c>
      <c r="AA20" s="461">
        <v>0</v>
      </c>
      <c r="AB20" s="460">
        <v>1</v>
      </c>
    </row>
    <row r="21" spans="1:28" ht="32.1" customHeight="1">
      <c r="A21" s="411" t="e">
        <v>#REF!</v>
      </c>
      <c r="B21" s="451" t="s">
        <v>329</v>
      </c>
      <c r="C21" s="452" t="s">
        <v>23</v>
      </c>
      <c r="D21" s="453" t="s">
        <v>25</v>
      </c>
      <c r="E21" s="453" t="s">
        <v>25</v>
      </c>
      <c r="F21" s="453" t="s">
        <v>25</v>
      </c>
      <c r="G21" s="453" t="s">
        <v>31</v>
      </c>
      <c r="H21" s="453" t="s">
        <v>50</v>
      </c>
      <c r="I21" s="454"/>
      <c r="J21" s="455" t="s">
        <v>28</v>
      </c>
      <c r="K21" s="456" t="s">
        <v>29</v>
      </c>
      <c r="L21" s="457" t="s">
        <v>51</v>
      </c>
      <c r="M21" s="458">
        <v>3300000000</v>
      </c>
      <c r="N21" s="458"/>
      <c r="O21" s="458"/>
      <c r="P21" s="459"/>
      <c r="Q21" s="459"/>
      <c r="R21" s="458"/>
      <c r="S21" s="458">
        <v>3300000000</v>
      </c>
      <c r="T21" s="458">
        <v>2029452300</v>
      </c>
      <c r="U21" s="458">
        <v>1270547700</v>
      </c>
      <c r="V21" s="460">
        <v>0.61498554545454542</v>
      </c>
      <c r="W21" s="461">
        <v>2029452300</v>
      </c>
      <c r="X21" s="461">
        <v>0</v>
      </c>
      <c r="Y21" s="460">
        <v>0</v>
      </c>
      <c r="Z21" s="461">
        <v>2029452300</v>
      </c>
      <c r="AA21" s="461">
        <v>0</v>
      </c>
      <c r="AB21" s="460">
        <v>1</v>
      </c>
    </row>
    <row r="22" spans="1:28" ht="32.1" customHeight="1">
      <c r="A22" s="411" t="e">
        <v>#REF!</v>
      </c>
      <c r="B22" s="436" t="s">
        <v>331</v>
      </c>
      <c r="C22" s="437" t="s">
        <v>23</v>
      </c>
      <c r="D22" s="438" t="s">
        <v>25</v>
      </c>
      <c r="E22" s="438" t="s">
        <v>25</v>
      </c>
      <c r="F22" s="438" t="s">
        <v>54</v>
      </c>
      <c r="G22" s="438"/>
      <c r="H22" s="438"/>
      <c r="I22" s="439"/>
      <c r="J22" s="440" t="s">
        <v>28</v>
      </c>
      <c r="K22" s="440" t="s">
        <v>29</v>
      </c>
      <c r="L22" s="436" t="s">
        <v>55</v>
      </c>
      <c r="M22" s="441">
        <v>32057000000</v>
      </c>
      <c r="N22" s="441">
        <v>0</v>
      </c>
      <c r="O22" s="441">
        <v>0</v>
      </c>
      <c r="P22" s="441">
        <v>0</v>
      </c>
      <c r="Q22" s="441">
        <v>0</v>
      </c>
      <c r="R22" s="441">
        <v>0</v>
      </c>
      <c r="S22" s="441">
        <v>32057000000</v>
      </c>
      <c r="T22" s="441">
        <v>16313812600</v>
      </c>
      <c r="U22" s="441">
        <v>15743187400</v>
      </c>
      <c r="V22" s="442">
        <v>0.50890016533050508</v>
      </c>
      <c r="W22" s="443">
        <v>16125222177</v>
      </c>
      <c r="X22" s="443">
        <v>188590423</v>
      </c>
      <c r="Y22" s="442">
        <v>1.1560168528600114E-2</v>
      </c>
      <c r="Z22" s="443">
        <v>16125222177</v>
      </c>
      <c r="AA22" s="443">
        <v>0</v>
      </c>
      <c r="AB22" s="442">
        <v>0.98843983147139991</v>
      </c>
    </row>
    <row r="23" spans="1:28" ht="32.1" customHeight="1">
      <c r="A23" s="411" t="e">
        <v>#REF!</v>
      </c>
      <c r="B23" s="451" t="s">
        <v>333</v>
      </c>
      <c r="C23" s="452" t="s">
        <v>23</v>
      </c>
      <c r="D23" s="453" t="s">
        <v>25</v>
      </c>
      <c r="E23" s="453" t="s">
        <v>25</v>
      </c>
      <c r="F23" s="453" t="s">
        <v>54</v>
      </c>
      <c r="G23" s="453" t="s">
        <v>31</v>
      </c>
      <c r="H23" s="453"/>
      <c r="I23" s="454"/>
      <c r="J23" s="455" t="s">
        <v>28</v>
      </c>
      <c r="K23" s="456" t="s">
        <v>29</v>
      </c>
      <c r="L23" s="457" t="s">
        <v>834</v>
      </c>
      <c r="M23" s="458">
        <v>10048180000</v>
      </c>
      <c r="N23" s="458"/>
      <c r="O23" s="458"/>
      <c r="P23" s="458"/>
      <c r="Q23" s="458"/>
      <c r="R23" s="459"/>
      <c r="S23" s="458">
        <v>10048180000</v>
      </c>
      <c r="T23" s="458">
        <v>4631457800</v>
      </c>
      <c r="U23" s="458">
        <v>5416722200</v>
      </c>
      <c r="V23" s="460">
        <v>0.46092504314214117</v>
      </c>
      <c r="W23" s="461">
        <v>4631457800</v>
      </c>
      <c r="X23" s="461">
        <v>0</v>
      </c>
      <c r="Y23" s="460">
        <v>0</v>
      </c>
      <c r="Z23" s="461">
        <v>4631457800</v>
      </c>
      <c r="AA23" s="461">
        <v>0</v>
      </c>
      <c r="AB23" s="460">
        <v>1</v>
      </c>
    </row>
    <row r="24" spans="1:28" ht="32.1" customHeight="1">
      <c r="A24" s="411" t="e">
        <v>#REF!</v>
      </c>
      <c r="B24" s="451" t="s">
        <v>335</v>
      </c>
      <c r="C24" s="452" t="s">
        <v>23</v>
      </c>
      <c r="D24" s="453" t="s">
        <v>25</v>
      </c>
      <c r="E24" s="453" t="s">
        <v>25</v>
      </c>
      <c r="F24" s="453" t="s">
        <v>54</v>
      </c>
      <c r="G24" s="453" t="s">
        <v>34</v>
      </c>
      <c r="H24" s="453"/>
      <c r="I24" s="454"/>
      <c r="J24" s="455" t="s">
        <v>28</v>
      </c>
      <c r="K24" s="456" t="s">
        <v>29</v>
      </c>
      <c r="L24" s="457" t="s">
        <v>835</v>
      </c>
      <c r="M24" s="458">
        <v>7117460000</v>
      </c>
      <c r="N24" s="458"/>
      <c r="O24" s="458"/>
      <c r="P24" s="458"/>
      <c r="Q24" s="458"/>
      <c r="R24" s="459"/>
      <c r="S24" s="458">
        <v>7117460000</v>
      </c>
      <c r="T24" s="458">
        <v>3635526600</v>
      </c>
      <c r="U24" s="458">
        <v>3481933400</v>
      </c>
      <c r="V24" s="460">
        <v>0.51078988852764895</v>
      </c>
      <c r="W24" s="461">
        <v>3635526600</v>
      </c>
      <c r="X24" s="461">
        <v>0</v>
      </c>
      <c r="Y24" s="460">
        <v>0</v>
      </c>
      <c r="Z24" s="461">
        <v>3635526600</v>
      </c>
      <c r="AA24" s="461">
        <v>0</v>
      </c>
      <c r="AB24" s="460">
        <v>1</v>
      </c>
    </row>
    <row r="25" spans="1:28" ht="32.1" customHeight="1">
      <c r="A25" s="411" t="e">
        <v>#REF!</v>
      </c>
      <c r="B25" s="451" t="s">
        <v>337</v>
      </c>
      <c r="C25" s="452" t="s">
        <v>23</v>
      </c>
      <c r="D25" s="453" t="s">
        <v>25</v>
      </c>
      <c r="E25" s="453" t="s">
        <v>25</v>
      </c>
      <c r="F25" s="453" t="s">
        <v>54</v>
      </c>
      <c r="G25" s="453" t="s">
        <v>36</v>
      </c>
      <c r="H25" s="453"/>
      <c r="I25" s="454"/>
      <c r="J25" s="455" t="s">
        <v>28</v>
      </c>
      <c r="K25" s="456" t="s">
        <v>29</v>
      </c>
      <c r="L25" s="457" t="s">
        <v>836</v>
      </c>
      <c r="M25" s="458">
        <v>5734390000</v>
      </c>
      <c r="N25" s="458"/>
      <c r="O25" s="458"/>
      <c r="P25" s="458"/>
      <c r="Q25" s="458"/>
      <c r="R25" s="459"/>
      <c r="S25" s="458">
        <v>5734390000</v>
      </c>
      <c r="T25" s="458">
        <v>4106630000</v>
      </c>
      <c r="U25" s="458">
        <v>1627760000</v>
      </c>
      <c r="V25" s="460">
        <v>0.71614068802435826</v>
      </c>
      <c r="W25" s="461">
        <v>3918039577</v>
      </c>
      <c r="X25" s="461">
        <v>188590423</v>
      </c>
      <c r="Y25" s="460">
        <v>4.5923402644017113E-2</v>
      </c>
      <c r="Z25" s="461">
        <v>3918039577</v>
      </c>
      <c r="AA25" s="461">
        <v>0</v>
      </c>
      <c r="AB25" s="460">
        <v>0.95407659735598294</v>
      </c>
    </row>
    <row r="26" spans="1:28" ht="32.1" customHeight="1">
      <c r="A26" s="411" t="e">
        <v>#REF!</v>
      </c>
      <c r="B26" s="451" t="s">
        <v>339</v>
      </c>
      <c r="C26" s="452" t="s">
        <v>23</v>
      </c>
      <c r="D26" s="453" t="s">
        <v>25</v>
      </c>
      <c r="E26" s="453" t="s">
        <v>25</v>
      </c>
      <c r="F26" s="453" t="s">
        <v>54</v>
      </c>
      <c r="G26" s="453" t="s">
        <v>38</v>
      </c>
      <c r="H26" s="453"/>
      <c r="I26" s="454"/>
      <c r="J26" s="455" t="s">
        <v>28</v>
      </c>
      <c r="K26" s="456" t="s">
        <v>29</v>
      </c>
      <c r="L26" s="457" t="s">
        <v>837</v>
      </c>
      <c r="M26" s="458">
        <v>3803090000</v>
      </c>
      <c r="N26" s="458"/>
      <c r="O26" s="458"/>
      <c r="P26" s="458"/>
      <c r="Q26" s="458"/>
      <c r="R26" s="459"/>
      <c r="S26" s="458">
        <v>3803090000</v>
      </c>
      <c r="T26" s="458">
        <v>1409900100</v>
      </c>
      <c r="U26" s="458">
        <v>2393189900</v>
      </c>
      <c r="V26" s="460">
        <v>0.3707248842388689</v>
      </c>
      <c r="W26" s="461">
        <v>1409900100</v>
      </c>
      <c r="X26" s="461">
        <v>0</v>
      </c>
      <c r="Y26" s="460">
        <v>0</v>
      </c>
      <c r="Z26" s="461">
        <v>1409900100</v>
      </c>
      <c r="AA26" s="461">
        <v>0</v>
      </c>
      <c r="AB26" s="460">
        <v>1</v>
      </c>
    </row>
    <row r="27" spans="1:28" ht="32.1" customHeight="1">
      <c r="A27" s="411" t="e">
        <v>#REF!</v>
      </c>
      <c r="B27" s="451" t="s">
        <v>341</v>
      </c>
      <c r="C27" s="452" t="s">
        <v>23</v>
      </c>
      <c r="D27" s="453" t="s">
        <v>25</v>
      </c>
      <c r="E27" s="453" t="s">
        <v>25</v>
      </c>
      <c r="F27" s="453" t="s">
        <v>54</v>
      </c>
      <c r="G27" s="453" t="s">
        <v>40</v>
      </c>
      <c r="H27" s="453"/>
      <c r="I27" s="454"/>
      <c r="J27" s="455" t="s">
        <v>28</v>
      </c>
      <c r="K27" s="456" t="s">
        <v>29</v>
      </c>
      <c r="L27" s="457" t="s">
        <v>60</v>
      </c>
      <c r="M27" s="458">
        <v>600000000</v>
      </c>
      <c r="N27" s="458"/>
      <c r="O27" s="458"/>
      <c r="P27" s="458"/>
      <c r="Q27" s="458"/>
      <c r="R27" s="459"/>
      <c r="S27" s="458">
        <v>600000000</v>
      </c>
      <c r="T27" s="458">
        <v>352042000</v>
      </c>
      <c r="U27" s="458">
        <v>247958000</v>
      </c>
      <c r="V27" s="460">
        <v>0.58673666666666668</v>
      </c>
      <c r="W27" s="461">
        <v>352042000</v>
      </c>
      <c r="X27" s="461">
        <v>0</v>
      </c>
      <c r="Y27" s="460">
        <v>0</v>
      </c>
      <c r="Z27" s="461">
        <v>352042000</v>
      </c>
      <c r="AA27" s="461">
        <v>0</v>
      </c>
      <c r="AB27" s="460">
        <v>1</v>
      </c>
    </row>
    <row r="28" spans="1:28" ht="32.1" customHeight="1">
      <c r="A28" s="411" t="e">
        <v>#REF!</v>
      </c>
      <c r="B28" s="451" t="s">
        <v>343</v>
      </c>
      <c r="C28" s="452" t="s">
        <v>23</v>
      </c>
      <c r="D28" s="453" t="s">
        <v>25</v>
      </c>
      <c r="E28" s="453" t="s">
        <v>25</v>
      </c>
      <c r="F28" s="453" t="s">
        <v>54</v>
      </c>
      <c r="G28" s="453" t="s">
        <v>42</v>
      </c>
      <c r="H28" s="453"/>
      <c r="I28" s="454"/>
      <c r="J28" s="455" t="s">
        <v>28</v>
      </c>
      <c r="K28" s="456" t="s">
        <v>29</v>
      </c>
      <c r="L28" s="457" t="s">
        <v>61</v>
      </c>
      <c r="M28" s="458">
        <v>2852320000</v>
      </c>
      <c r="N28" s="458"/>
      <c r="O28" s="458"/>
      <c r="P28" s="458"/>
      <c r="Q28" s="458"/>
      <c r="R28" s="459"/>
      <c r="S28" s="458">
        <v>2852320000</v>
      </c>
      <c r="T28" s="458">
        <v>1306477800</v>
      </c>
      <c r="U28" s="458">
        <v>1545842200</v>
      </c>
      <c r="V28" s="460">
        <v>0.45804040219891179</v>
      </c>
      <c r="W28" s="461">
        <v>1306477800</v>
      </c>
      <c r="X28" s="461">
        <v>0</v>
      </c>
      <c r="Y28" s="460">
        <v>0</v>
      </c>
      <c r="Z28" s="461">
        <v>1306477800</v>
      </c>
      <c r="AA28" s="461">
        <v>0</v>
      </c>
      <c r="AB28" s="460">
        <v>1</v>
      </c>
    </row>
    <row r="29" spans="1:28" ht="32.1" customHeight="1">
      <c r="A29" s="411" t="e">
        <v>#REF!</v>
      </c>
      <c r="B29" s="451" t="s">
        <v>345</v>
      </c>
      <c r="C29" s="452" t="s">
        <v>23</v>
      </c>
      <c r="D29" s="453" t="s">
        <v>25</v>
      </c>
      <c r="E29" s="453" t="s">
        <v>25</v>
      </c>
      <c r="F29" s="453" t="s">
        <v>54</v>
      </c>
      <c r="G29" s="453" t="s">
        <v>44</v>
      </c>
      <c r="H29" s="453"/>
      <c r="I29" s="454"/>
      <c r="J29" s="455" t="s">
        <v>28</v>
      </c>
      <c r="K29" s="456" t="s">
        <v>29</v>
      </c>
      <c r="L29" s="457" t="s">
        <v>62</v>
      </c>
      <c r="M29" s="458">
        <v>475390000</v>
      </c>
      <c r="N29" s="458"/>
      <c r="O29" s="458"/>
      <c r="P29" s="458"/>
      <c r="Q29" s="458"/>
      <c r="R29" s="459"/>
      <c r="S29" s="458">
        <v>475390000</v>
      </c>
      <c r="T29" s="458">
        <v>218022100</v>
      </c>
      <c r="U29" s="458">
        <v>257367900</v>
      </c>
      <c r="V29" s="460">
        <v>0.45861734575821955</v>
      </c>
      <c r="W29" s="461">
        <v>218022100</v>
      </c>
      <c r="X29" s="461">
        <v>0</v>
      </c>
      <c r="Y29" s="460">
        <v>0</v>
      </c>
      <c r="Z29" s="461">
        <v>218022100</v>
      </c>
      <c r="AA29" s="461">
        <v>0</v>
      </c>
      <c r="AB29" s="460">
        <v>1</v>
      </c>
    </row>
    <row r="30" spans="1:28" ht="32.1" customHeight="1">
      <c r="A30" s="411" t="e">
        <v>#REF!</v>
      </c>
      <c r="B30" s="451" t="s">
        <v>347</v>
      </c>
      <c r="C30" s="452" t="s">
        <v>23</v>
      </c>
      <c r="D30" s="453" t="s">
        <v>25</v>
      </c>
      <c r="E30" s="453" t="s">
        <v>25</v>
      </c>
      <c r="F30" s="453" t="s">
        <v>54</v>
      </c>
      <c r="G30" s="453" t="s">
        <v>46</v>
      </c>
      <c r="H30" s="453"/>
      <c r="I30" s="454"/>
      <c r="J30" s="455" t="s">
        <v>28</v>
      </c>
      <c r="K30" s="456" t="s">
        <v>29</v>
      </c>
      <c r="L30" s="457" t="s">
        <v>63</v>
      </c>
      <c r="M30" s="458">
        <v>475390000</v>
      </c>
      <c r="N30" s="458"/>
      <c r="O30" s="458"/>
      <c r="P30" s="458"/>
      <c r="Q30" s="458"/>
      <c r="R30" s="459"/>
      <c r="S30" s="458">
        <v>475390000</v>
      </c>
      <c r="T30" s="458">
        <v>218022100</v>
      </c>
      <c r="U30" s="458">
        <v>257367900</v>
      </c>
      <c r="V30" s="460">
        <v>0.45861734575821955</v>
      </c>
      <c r="W30" s="461">
        <v>218022100</v>
      </c>
      <c r="X30" s="461">
        <v>0</v>
      </c>
      <c r="Y30" s="460">
        <v>0</v>
      </c>
      <c r="Z30" s="461">
        <v>218022100</v>
      </c>
      <c r="AA30" s="461">
        <v>0</v>
      </c>
      <c r="AB30" s="460">
        <v>1</v>
      </c>
    </row>
    <row r="31" spans="1:28" ht="32.1" customHeight="1">
      <c r="A31" s="411" t="e">
        <v>#REF!</v>
      </c>
      <c r="B31" s="451" t="s">
        <v>349</v>
      </c>
      <c r="C31" s="452" t="s">
        <v>23</v>
      </c>
      <c r="D31" s="453" t="s">
        <v>25</v>
      </c>
      <c r="E31" s="453" t="s">
        <v>25</v>
      </c>
      <c r="F31" s="453" t="s">
        <v>54</v>
      </c>
      <c r="G31" s="453" t="s">
        <v>48</v>
      </c>
      <c r="H31" s="453"/>
      <c r="I31" s="454"/>
      <c r="J31" s="455" t="s">
        <v>28</v>
      </c>
      <c r="K31" s="456" t="s">
        <v>29</v>
      </c>
      <c r="L31" s="457" t="s">
        <v>64</v>
      </c>
      <c r="M31" s="458">
        <v>950780000</v>
      </c>
      <c r="N31" s="458"/>
      <c r="O31" s="458"/>
      <c r="P31" s="458"/>
      <c r="Q31" s="458"/>
      <c r="R31" s="459"/>
      <c r="S31" s="458">
        <v>950780000</v>
      </c>
      <c r="T31" s="458">
        <v>435734100</v>
      </c>
      <c r="U31" s="458">
        <v>515045900</v>
      </c>
      <c r="V31" s="460">
        <v>0.45829119249458339</v>
      </c>
      <c r="W31" s="461">
        <v>435734100</v>
      </c>
      <c r="X31" s="461">
        <v>0</v>
      </c>
      <c r="Y31" s="460">
        <v>0</v>
      </c>
      <c r="Z31" s="461">
        <v>435734100</v>
      </c>
      <c r="AA31" s="461">
        <v>0</v>
      </c>
      <c r="AB31" s="460">
        <v>1</v>
      </c>
    </row>
    <row r="32" spans="1:28" ht="32.1" customHeight="1">
      <c r="A32" s="411" t="e">
        <v>#REF!</v>
      </c>
      <c r="B32" s="436" t="s">
        <v>351</v>
      </c>
      <c r="C32" s="437" t="s">
        <v>23</v>
      </c>
      <c r="D32" s="438" t="s">
        <v>25</v>
      </c>
      <c r="E32" s="438" t="s">
        <v>25</v>
      </c>
      <c r="F32" s="438" t="s">
        <v>65</v>
      </c>
      <c r="G32" s="438"/>
      <c r="H32" s="438"/>
      <c r="I32" s="439"/>
      <c r="J32" s="440" t="s">
        <v>28</v>
      </c>
      <c r="K32" s="440" t="s">
        <v>29</v>
      </c>
      <c r="L32" s="436" t="s">
        <v>66</v>
      </c>
      <c r="M32" s="441">
        <v>9133000000</v>
      </c>
      <c r="N32" s="441">
        <v>0</v>
      </c>
      <c r="O32" s="441">
        <v>0</v>
      </c>
      <c r="P32" s="441">
        <v>0</v>
      </c>
      <c r="Q32" s="441">
        <v>0</v>
      </c>
      <c r="R32" s="441">
        <v>0</v>
      </c>
      <c r="S32" s="441">
        <v>9133000000</v>
      </c>
      <c r="T32" s="441">
        <v>5711584615</v>
      </c>
      <c r="U32" s="441">
        <v>3421415385</v>
      </c>
      <c r="V32" s="442">
        <v>0.62537880378845945</v>
      </c>
      <c r="W32" s="441">
        <v>5708675476</v>
      </c>
      <c r="X32" s="443">
        <v>2909139</v>
      </c>
      <c r="Y32" s="442">
        <v>5.0934008617501672E-4</v>
      </c>
      <c r="Z32" s="441">
        <v>5708675476</v>
      </c>
      <c r="AA32" s="443">
        <v>0</v>
      </c>
      <c r="AB32" s="442">
        <v>0.99949065991382502</v>
      </c>
    </row>
    <row r="33" spans="1:28" ht="32.1" customHeight="1">
      <c r="A33" s="411" t="e">
        <v>#REF!</v>
      </c>
      <c r="B33" s="444" t="s">
        <v>353</v>
      </c>
      <c r="C33" s="445" t="s">
        <v>23</v>
      </c>
      <c r="D33" s="446" t="s">
        <v>25</v>
      </c>
      <c r="E33" s="446" t="s">
        <v>25</v>
      </c>
      <c r="F33" s="446" t="s">
        <v>65</v>
      </c>
      <c r="G33" s="446" t="s">
        <v>31</v>
      </c>
      <c r="H33" s="446"/>
      <c r="I33" s="447"/>
      <c r="J33" s="448" t="s">
        <v>28</v>
      </c>
      <c r="K33" s="448" t="s">
        <v>29</v>
      </c>
      <c r="L33" s="444" t="s">
        <v>67</v>
      </c>
      <c r="M33" s="449">
        <v>4840000000</v>
      </c>
      <c r="N33" s="449">
        <v>0</v>
      </c>
      <c r="O33" s="449">
        <v>0</v>
      </c>
      <c r="P33" s="449">
        <v>0</v>
      </c>
      <c r="Q33" s="449">
        <v>0</v>
      </c>
      <c r="R33" s="449">
        <v>0</v>
      </c>
      <c r="S33" s="449">
        <v>4840000000</v>
      </c>
      <c r="T33" s="449">
        <v>3298463338</v>
      </c>
      <c r="U33" s="449">
        <v>1541536662</v>
      </c>
      <c r="V33" s="450">
        <v>0.68150068966942146</v>
      </c>
      <c r="W33" s="449">
        <v>3298463338</v>
      </c>
      <c r="X33" s="449">
        <v>0</v>
      </c>
      <c r="Y33" s="450">
        <v>0</v>
      </c>
      <c r="Z33" s="449">
        <v>3298463338</v>
      </c>
      <c r="AA33" s="449">
        <v>0</v>
      </c>
      <c r="AB33" s="450">
        <v>1</v>
      </c>
    </row>
    <row r="34" spans="1:28" ht="32.1" customHeight="1">
      <c r="A34" s="411" t="e">
        <v>#REF!</v>
      </c>
      <c r="B34" s="451" t="s">
        <v>355</v>
      </c>
      <c r="C34" s="452" t="s">
        <v>23</v>
      </c>
      <c r="D34" s="453" t="s">
        <v>25</v>
      </c>
      <c r="E34" s="453" t="s">
        <v>25</v>
      </c>
      <c r="F34" s="453" t="s">
        <v>65</v>
      </c>
      <c r="G34" s="453" t="s">
        <v>31</v>
      </c>
      <c r="H34" s="453" t="s">
        <v>31</v>
      </c>
      <c r="I34" s="454"/>
      <c r="J34" s="455" t="s">
        <v>28</v>
      </c>
      <c r="K34" s="456" t="s">
        <v>29</v>
      </c>
      <c r="L34" s="457" t="s">
        <v>838</v>
      </c>
      <c r="M34" s="458">
        <v>3560000000</v>
      </c>
      <c r="N34" s="458"/>
      <c r="O34" s="458"/>
      <c r="P34" s="459"/>
      <c r="Q34" s="459"/>
      <c r="R34" s="459"/>
      <c r="S34" s="458">
        <v>3560000000</v>
      </c>
      <c r="T34" s="458">
        <v>2657079246</v>
      </c>
      <c r="U34" s="458">
        <v>902920754</v>
      </c>
      <c r="V34" s="460">
        <v>0.74637057471910118</v>
      </c>
      <c r="W34" s="461">
        <v>2657079246</v>
      </c>
      <c r="X34" s="461">
        <v>0</v>
      </c>
      <c r="Y34" s="460">
        <v>0</v>
      </c>
      <c r="Z34" s="461">
        <v>2657079246</v>
      </c>
      <c r="AA34" s="461">
        <v>0</v>
      </c>
      <c r="AB34" s="460">
        <v>1</v>
      </c>
    </row>
    <row r="35" spans="1:28" ht="32.1" customHeight="1">
      <c r="A35" s="411" t="e">
        <v>#REF!</v>
      </c>
      <c r="B35" s="451" t="s">
        <v>357</v>
      </c>
      <c r="C35" s="452" t="s">
        <v>23</v>
      </c>
      <c r="D35" s="453" t="s">
        <v>25</v>
      </c>
      <c r="E35" s="453" t="s">
        <v>25</v>
      </c>
      <c r="F35" s="453" t="s">
        <v>65</v>
      </c>
      <c r="G35" s="453" t="s">
        <v>31</v>
      </c>
      <c r="H35" s="453" t="s">
        <v>34</v>
      </c>
      <c r="I35" s="454"/>
      <c r="J35" s="455" t="s">
        <v>28</v>
      </c>
      <c r="K35" s="456" t="s">
        <v>29</v>
      </c>
      <c r="L35" s="457" t="s">
        <v>69</v>
      </c>
      <c r="M35" s="458">
        <v>900000000</v>
      </c>
      <c r="N35" s="458"/>
      <c r="O35" s="458"/>
      <c r="P35" s="459"/>
      <c r="Q35" s="459"/>
      <c r="R35" s="459"/>
      <c r="S35" s="458">
        <v>900000000</v>
      </c>
      <c r="T35" s="458">
        <v>389234870</v>
      </c>
      <c r="U35" s="458">
        <v>510765130</v>
      </c>
      <c r="V35" s="460">
        <v>0.43248318888888887</v>
      </c>
      <c r="W35" s="461">
        <v>389234870</v>
      </c>
      <c r="X35" s="461">
        <v>0</v>
      </c>
      <c r="Y35" s="460">
        <v>0</v>
      </c>
      <c r="Z35" s="461">
        <v>389234870</v>
      </c>
      <c r="AA35" s="461">
        <v>0</v>
      </c>
      <c r="AB35" s="460">
        <v>1</v>
      </c>
    </row>
    <row r="36" spans="1:28" ht="32.1" customHeight="1">
      <c r="A36" s="411" t="e">
        <v>#REF!</v>
      </c>
      <c r="B36" s="462" t="s">
        <v>359</v>
      </c>
      <c r="C36" s="463" t="s">
        <v>23</v>
      </c>
      <c r="D36" s="464" t="s">
        <v>25</v>
      </c>
      <c r="E36" s="464" t="s">
        <v>25</v>
      </c>
      <c r="F36" s="464" t="s">
        <v>65</v>
      </c>
      <c r="G36" s="464" t="s">
        <v>31</v>
      </c>
      <c r="H36" s="464" t="s">
        <v>36</v>
      </c>
      <c r="I36" s="465"/>
      <c r="J36" s="466" t="s">
        <v>28</v>
      </c>
      <c r="K36" s="467" t="s">
        <v>29</v>
      </c>
      <c r="L36" s="468" t="s">
        <v>70</v>
      </c>
      <c r="M36" s="469">
        <v>380000000</v>
      </c>
      <c r="N36" s="469"/>
      <c r="O36" s="469"/>
      <c r="P36" s="588"/>
      <c r="Q36" s="588"/>
      <c r="R36" s="588"/>
      <c r="S36" s="469">
        <v>380000000</v>
      </c>
      <c r="T36" s="469">
        <v>252149222</v>
      </c>
      <c r="U36" s="469">
        <v>127850778</v>
      </c>
      <c r="V36" s="470">
        <v>0.66355058421052626</v>
      </c>
      <c r="W36" s="471">
        <v>252149222</v>
      </c>
      <c r="X36" s="471">
        <v>0</v>
      </c>
      <c r="Y36" s="470">
        <v>0</v>
      </c>
      <c r="Z36" s="471">
        <v>252149222</v>
      </c>
      <c r="AA36" s="471">
        <v>0</v>
      </c>
      <c r="AB36" s="470">
        <v>1</v>
      </c>
    </row>
    <row r="37" spans="1:28" ht="32.1" customHeight="1">
      <c r="A37" s="411" t="e">
        <v>#REF!</v>
      </c>
      <c r="B37" s="451" t="s">
        <v>361</v>
      </c>
      <c r="C37" s="452" t="s">
        <v>23</v>
      </c>
      <c r="D37" s="453" t="s">
        <v>25</v>
      </c>
      <c r="E37" s="453" t="s">
        <v>25</v>
      </c>
      <c r="F37" s="453" t="s">
        <v>65</v>
      </c>
      <c r="G37" s="453" t="s">
        <v>34</v>
      </c>
      <c r="H37" s="453"/>
      <c r="I37" s="454"/>
      <c r="J37" s="455" t="s">
        <v>28</v>
      </c>
      <c r="K37" s="456" t="s">
        <v>29</v>
      </c>
      <c r="L37" s="457" t="s">
        <v>71</v>
      </c>
      <c r="M37" s="458">
        <v>2600000000</v>
      </c>
      <c r="N37" s="458"/>
      <c r="O37" s="458"/>
      <c r="P37" s="459"/>
      <c r="Q37" s="459"/>
      <c r="R37" s="459"/>
      <c r="S37" s="458">
        <v>2600000000</v>
      </c>
      <c r="T37" s="458">
        <v>1371701449</v>
      </c>
      <c r="U37" s="458">
        <v>1228298551</v>
      </c>
      <c r="V37" s="460">
        <v>0.52757748038461538</v>
      </c>
      <c r="W37" s="461">
        <v>1371701449</v>
      </c>
      <c r="X37" s="461">
        <v>0</v>
      </c>
      <c r="Y37" s="460">
        <v>0</v>
      </c>
      <c r="Z37" s="461">
        <v>1371701449</v>
      </c>
      <c r="AA37" s="461">
        <v>0</v>
      </c>
      <c r="AB37" s="460">
        <v>1</v>
      </c>
    </row>
    <row r="38" spans="1:28" ht="32.1" customHeight="1">
      <c r="A38" s="411" t="e">
        <v>#REF!</v>
      </c>
      <c r="B38" s="451" t="s">
        <v>363</v>
      </c>
      <c r="C38" s="452" t="s">
        <v>23</v>
      </c>
      <c r="D38" s="453" t="s">
        <v>25</v>
      </c>
      <c r="E38" s="453" t="s">
        <v>25</v>
      </c>
      <c r="F38" s="453" t="s">
        <v>65</v>
      </c>
      <c r="G38" s="453" t="s">
        <v>40</v>
      </c>
      <c r="H38" s="453"/>
      <c r="I38" s="454"/>
      <c r="J38" s="455" t="s">
        <v>28</v>
      </c>
      <c r="K38" s="456" t="s">
        <v>29</v>
      </c>
      <c r="L38" s="457" t="s">
        <v>72</v>
      </c>
      <c r="M38" s="458">
        <v>6000000</v>
      </c>
      <c r="N38" s="458"/>
      <c r="O38" s="458"/>
      <c r="P38" s="459"/>
      <c r="Q38" s="459"/>
      <c r="R38" s="459"/>
      <c r="S38" s="458">
        <v>6000000</v>
      </c>
      <c r="T38" s="458">
        <v>5310747</v>
      </c>
      <c r="U38" s="458">
        <v>689253</v>
      </c>
      <c r="V38" s="460">
        <v>0.88512449999999998</v>
      </c>
      <c r="W38" s="461">
        <v>5310747</v>
      </c>
      <c r="X38" s="461">
        <v>0</v>
      </c>
      <c r="Y38" s="460">
        <v>0</v>
      </c>
      <c r="Z38" s="461">
        <v>5310747</v>
      </c>
      <c r="AA38" s="461">
        <v>0</v>
      </c>
      <c r="AB38" s="460">
        <v>1</v>
      </c>
    </row>
    <row r="39" spans="1:28" ht="32.1" customHeight="1">
      <c r="A39" s="411" t="e">
        <v>#REF!</v>
      </c>
      <c r="B39" s="451" t="s">
        <v>364</v>
      </c>
      <c r="C39" s="452" t="s">
        <v>23</v>
      </c>
      <c r="D39" s="453" t="s">
        <v>25</v>
      </c>
      <c r="E39" s="453" t="s">
        <v>25</v>
      </c>
      <c r="F39" s="453" t="s">
        <v>65</v>
      </c>
      <c r="G39" s="453" t="s">
        <v>44</v>
      </c>
      <c r="H39" s="453"/>
      <c r="I39" s="454"/>
      <c r="J39" s="455" t="s">
        <v>28</v>
      </c>
      <c r="K39" s="456" t="s">
        <v>29</v>
      </c>
      <c r="L39" s="457" t="s">
        <v>73</v>
      </c>
      <c r="M39" s="458">
        <v>13000000</v>
      </c>
      <c r="N39" s="458"/>
      <c r="O39" s="458"/>
      <c r="P39" s="459"/>
      <c r="Q39" s="459"/>
      <c r="R39" s="459"/>
      <c r="S39" s="458">
        <v>13000000</v>
      </c>
      <c r="T39" s="458">
        <v>4642699</v>
      </c>
      <c r="U39" s="458">
        <v>8357301</v>
      </c>
      <c r="V39" s="460">
        <v>0.35713069230769229</v>
      </c>
      <c r="W39" s="461">
        <v>4642699</v>
      </c>
      <c r="X39" s="461">
        <v>0</v>
      </c>
      <c r="Y39" s="460">
        <v>0</v>
      </c>
      <c r="Z39" s="461">
        <v>4642699</v>
      </c>
      <c r="AA39" s="461">
        <v>0</v>
      </c>
      <c r="AB39" s="460">
        <v>1</v>
      </c>
    </row>
    <row r="40" spans="1:28" ht="32.1" customHeight="1">
      <c r="A40" s="411" t="e">
        <v>#REF!</v>
      </c>
      <c r="B40" s="451" t="s">
        <v>366</v>
      </c>
      <c r="C40" s="452" t="s">
        <v>23</v>
      </c>
      <c r="D40" s="453" t="s">
        <v>25</v>
      </c>
      <c r="E40" s="453" t="s">
        <v>25</v>
      </c>
      <c r="F40" s="453" t="s">
        <v>65</v>
      </c>
      <c r="G40" s="453" t="s">
        <v>74</v>
      </c>
      <c r="H40" s="453"/>
      <c r="I40" s="454"/>
      <c r="J40" s="455" t="s">
        <v>28</v>
      </c>
      <c r="K40" s="456" t="s">
        <v>29</v>
      </c>
      <c r="L40" s="457" t="s">
        <v>75</v>
      </c>
      <c r="M40" s="458">
        <v>40000000</v>
      </c>
      <c r="N40" s="458"/>
      <c r="O40" s="458"/>
      <c r="P40" s="459"/>
      <c r="Q40" s="459"/>
      <c r="R40" s="459"/>
      <c r="S40" s="458">
        <v>40000000</v>
      </c>
      <c r="T40" s="458">
        <v>0</v>
      </c>
      <c r="U40" s="458">
        <v>40000000</v>
      </c>
      <c r="V40" s="460">
        <v>0</v>
      </c>
      <c r="W40" s="461">
        <v>0</v>
      </c>
      <c r="X40" s="461">
        <v>0</v>
      </c>
      <c r="Y40" s="460">
        <v>0</v>
      </c>
      <c r="Z40" s="461">
        <v>0</v>
      </c>
      <c r="AA40" s="461">
        <v>0</v>
      </c>
      <c r="AB40" s="460">
        <v>0</v>
      </c>
    </row>
    <row r="41" spans="1:28" ht="32.1" customHeight="1">
      <c r="A41" s="411" t="e">
        <v>#REF!</v>
      </c>
      <c r="B41" s="451" t="s">
        <v>368</v>
      </c>
      <c r="C41" s="452" t="s">
        <v>23</v>
      </c>
      <c r="D41" s="453" t="s">
        <v>25</v>
      </c>
      <c r="E41" s="453" t="s">
        <v>25</v>
      </c>
      <c r="F41" s="453" t="s">
        <v>65</v>
      </c>
      <c r="G41" s="453" t="s">
        <v>76</v>
      </c>
      <c r="H41" s="453"/>
      <c r="I41" s="454"/>
      <c r="J41" s="455" t="s">
        <v>28</v>
      </c>
      <c r="K41" s="456" t="s">
        <v>29</v>
      </c>
      <c r="L41" s="457" t="s">
        <v>77</v>
      </c>
      <c r="M41" s="458">
        <v>984000000</v>
      </c>
      <c r="N41" s="458"/>
      <c r="O41" s="458"/>
      <c r="P41" s="459"/>
      <c r="Q41" s="459"/>
      <c r="R41" s="459"/>
      <c r="S41" s="458">
        <v>984000000</v>
      </c>
      <c r="T41" s="458">
        <v>671831250</v>
      </c>
      <c r="U41" s="458">
        <v>312168750</v>
      </c>
      <c r="V41" s="460">
        <v>0.68275533536585364</v>
      </c>
      <c r="W41" s="461">
        <v>668922111</v>
      </c>
      <c r="X41" s="461">
        <v>2909139</v>
      </c>
      <c r="Y41" s="460">
        <v>4.3301632664452571E-3</v>
      </c>
      <c r="Z41" s="461">
        <v>668922111</v>
      </c>
      <c r="AA41" s="461">
        <v>0</v>
      </c>
      <c r="AB41" s="460">
        <v>0.99566983673355469</v>
      </c>
    </row>
    <row r="42" spans="1:28" ht="32.1" customHeight="1">
      <c r="A42" s="411" t="e">
        <v>#REF!</v>
      </c>
      <c r="B42" s="451" t="s">
        <v>370</v>
      </c>
      <c r="C42" s="452" t="s">
        <v>23</v>
      </c>
      <c r="D42" s="453" t="s">
        <v>25</v>
      </c>
      <c r="E42" s="453" t="s">
        <v>25</v>
      </c>
      <c r="F42" s="453" t="s">
        <v>65</v>
      </c>
      <c r="G42" s="453" t="s">
        <v>78</v>
      </c>
      <c r="H42" s="453"/>
      <c r="I42" s="454"/>
      <c r="J42" s="455" t="s">
        <v>28</v>
      </c>
      <c r="K42" s="456" t="s">
        <v>29</v>
      </c>
      <c r="L42" s="457" t="s">
        <v>79</v>
      </c>
      <c r="M42" s="458">
        <v>650000000</v>
      </c>
      <c r="N42" s="458"/>
      <c r="O42" s="458"/>
      <c r="P42" s="459"/>
      <c r="Q42" s="459"/>
      <c r="R42" s="459"/>
      <c r="S42" s="458">
        <v>650000000</v>
      </c>
      <c r="T42" s="458">
        <v>359635132</v>
      </c>
      <c r="U42" s="458">
        <v>290364868</v>
      </c>
      <c r="V42" s="460">
        <v>0.55328481846153843</v>
      </c>
      <c r="W42" s="461">
        <v>359635132</v>
      </c>
      <c r="X42" s="461">
        <v>0</v>
      </c>
      <c r="Y42" s="460">
        <v>0</v>
      </c>
      <c r="Z42" s="461">
        <v>359635132</v>
      </c>
      <c r="AA42" s="461">
        <v>0</v>
      </c>
      <c r="AB42" s="460">
        <v>1</v>
      </c>
    </row>
    <row r="43" spans="1:28" ht="32.1" customHeight="1">
      <c r="A43" s="411" t="e">
        <v>#REF!</v>
      </c>
      <c r="B43" s="420" t="s">
        <v>372</v>
      </c>
      <c r="C43" s="421" t="s">
        <v>23</v>
      </c>
      <c r="D43" s="422" t="s">
        <v>54</v>
      </c>
      <c r="E43" s="422"/>
      <c r="F43" s="422"/>
      <c r="G43" s="422"/>
      <c r="H43" s="422"/>
      <c r="I43" s="423"/>
      <c r="J43" s="424"/>
      <c r="K43" s="424"/>
      <c r="L43" s="420" t="s">
        <v>178</v>
      </c>
      <c r="M43" s="425">
        <v>44658000000</v>
      </c>
      <c r="N43" s="425">
        <v>0</v>
      </c>
      <c r="O43" s="425">
        <v>0</v>
      </c>
      <c r="P43" s="425">
        <v>5648495909</v>
      </c>
      <c r="Q43" s="425">
        <v>5648495909</v>
      </c>
      <c r="R43" s="425">
        <v>0</v>
      </c>
      <c r="S43" s="425">
        <v>44658000000</v>
      </c>
      <c r="T43" s="425">
        <v>32006662168.450005</v>
      </c>
      <c r="U43" s="425">
        <v>12651337831.549999</v>
      </c>
      <c r="V43" s="426">
        <v>0.71670612585538995</v>
      </c>
      <c r="W43" s="427">
        <v>16725620838.539999</v>
      </c>
      <c r="X43" s="427">
        <v>15281041329.909998</v>
      </c>
      <c r="Y43" s="426">
        <v>0.47743314343390081</v>
      </c>
      <c r="Z43" s="427">
        <v>16569816598.539999</v>
      </c>
      <c r="AA43" s="427">
        <v>155804240</v>
      </c>
      <c r="AB43" s="426">
        <v>0.51769898752121046</v>
      </c>
    </row>
    <row r="44" spans="1:28" ht="32.1" customHeight="1">
      <c r="A44" s="411" t="e">
        <v>#REF!</v>
      </c>
      <c r="B44" s="428" t="s">
        <v>373</v>
      </c>
      <c r="C44" s="429" t="s">
        <v>23</v>
      </c>
      <c r="D44" s="430" t="s">
        <v>54</v>
      </c>
      <c r="E44" s="430" t="s">
        <v>25</v>
      </c>
      <c r="F44" s="430"/>
      <c r="G44" s="430"/>
      <c r="H44" s="430"/>
      <c r="I44" s="431"/>
      <c r="J44" s="432"/>
      <c r="K44" s="432"/>
      <c r="L44" s="428" t="s">
        <v>291</v>
      </c>
      <c r="M44" s="433">
        <v>100000000</v>
      </c>
      <c r="N44" s="433">
        <v>0</v>
      </c>
      <c r="O44" s="433">
        <v>0</v>
      </c>
      <c r="P44" s="433">
        <v>295000000</v>
      </c>
      <c r="Q44" s="433">
        <v>109341552</v>
      </c>
      <c r="R44" s="433">
        <v>0</v>
      </c>
      <c r="S44" s="433">
        <v>285658448</v>
      </c>
      <c r="T44" s="433">
        <v>115000000</v>
      </c>
      <c r="U44" s="433">
        <v>170658448</v>
      </c>
      <c r="V44" s="434">
        <v>0.40257867675595577</v>
      </c>
      <c r="W44" s="435">
        <v>0</v>
      </c>
      <c r="X44" s="435">
        <v>115000000</v>
      </c>
      <c r="Y44" s="434">
        <v>1</v>
      </c>
      <c r="Z44" s="435">
        <v>0</v>
      </c>
      <c r="AA44" s="435">
        <v>0</v>
      </c>
      <c r="AB44" s="434">
        <v>0</v>
      </c>
    </row>
    <row r="45" spans="1:28" ht="32.1" customHeight="1">
      <c r="A45" s="411" t="e">
        <v>#REF!</v>
      </c>
      <c r="B45" s="436" t="s">
        <v>374</v>
      </c>
      <c r="C45" s="437" t="s">
        <v>23</v>
      </c>
      <c r="D45" s="438" t="s">
        <v>54</v>
      </c>
      <c r="E45" s="438" t="s">
        <v>25</v>
      </c>
      <c r="F45" s="438" t="s">
        <v>25</v>
      </c>
      <c r="G45" s="438"/>
      <c r="H45" s="438"/>
      <c r="I45" s="439"/>
      <c r="J45" s="440" t="s">
        <v>28</v>
      </c>
      <c r="K45" s="440" t="s">
        <v>29</v>
      </c>
      <c r="L45" s="436" t="s">
        <v>82</v>
      </c>
      <c r="M45" s="441">
        <v>100000000</v>
      </c>
      <c r="N45" s="441">
        <v>0</v>
      </c>
      <c r="O45" s="441">
        <v>0</v>
      </c>
      <c r="P45" s="441">
        <v>295000000</v>
      </c>
      <c r="Q45" s="441">
        <v>109341552</v>
      </c>
      <c r="R45" s="441">
        <v>0</v>
      </c>
      <c r="S45" s="441">
        <v>285658448</v>
      </c>
      <c r="T45" s="441">
        <v>115000000</v>
      </c>
      <c r="U45" s="441">
        <v>170658448</v>
      </c>
      <c r="V45" s="442">
        <v>0.40257867675595577</v>
      </c>
      <c r="W45" s="443">
        <v>0</v>
      </c>
      <c r="X45" s="443">
        <v>115000000</v>
      </c>
      <c r="Y45" s="442">
        <v>1</v>
      </c>
      <c r="Z45" s="443">
        <v>0</v>
      </c>
      <c r="AA45" s="443">
        <v>0</v>
      </c>
      <c r="AB45" s="442">
        <v>0</v>
      </c>
    </row>
    <row r="46" spans="1:28" ht="32.1" customHeight="1">
      <c r="A46" s="411" t="e">
        <v>#REF!</v>
      </c>
      <c r="B46" s="444" t="s">
        <v>375</v>
      </c>
      <c r="C46" s="445" t="s">
        <v>23</v>
      </c>
      <c r="D46" s="446" t="s">
        <v>54</v>
      </c>
      <c r="E46" s="446" t="s">
        <v>25</v>
      </c>
      <c r="F46" s="446" t="s">
        <v>25</v>
      </c>
      <c r="G46" s="446" t="s">
        <v>38</v>
      </c>
      <c r="H46" s="446"/>
      <c r="I46" s="447"/>
      <c r="J46" s="448" t="s">
        <v>28</v>
      </c>
      <c r="K46" s="448" t="s">
        <v>29</v>
      </c>
      <c r="L46" s="444" t="s">
        <v>83</v>
      </c>
      <c r="M46" s="449">
        <v>100000000</v>
      </c>
      <c r="N46" s="449">
        <v>0</v>
      </c>
      <c r="O46" s="449">
        <v>0</v>
      </c>
      <c r="P46" s="449">
        <v>295000000</v>
      </c>
      <c r="Q46" s="449">
        <v>109341552</v>
      </c>
      <c r="R46" s="449">
        <v>0</v>
      </c>
      <c r="S46" s="449">
        <v>285658448</v>
      </c>
      <c r="T46" s="449">
        <v>115000000</v>
      </c>
      <c r="U46" s="449">
        <v>170658448</v>
      </c>
      <c r="V46" s="450">
        <v>0.40257867675595577</v>
      </c>
      <c r="W46" s="449">
        <v>0</v>
      </c>
      <c r="X46" s="449">
        <v>115000000</v>
      </c>
      <c r="Y46" s="450">
        <v>1</v>
      </c>
      <c r="Z46" s="449">
        <v>0</v>
      </c>
      <c r="AA46" s="449">
        <v>0</v>
      </c>
      <c r="AB46" s="450">
        <v>0</v>
      </c>
    </row>
    <row r="47" spans="1:28" ht="32.1" customHeight="1">
      <c r="A47" s="411" t="e">
        <v>#REF!</v>
      </c>
      <c r="B47" s="451" t="s">
        <v>724</v>
      </c>
      <c r="C47" s="452" t="s">
        <v>23</v>
      </c>
      <c r="D47" s="453" t="s">
        <v>54</v>
      </c>
      <c r="E47" s="453" t="s">
        <v>25</v>
      </c>
      <c r="F47" s="453" t="s">
        <v>25</v>
      </c>
      <c r="G47" s="453" t="s">
        <v>38</v>
      </c>
      <c r="H47" s="472" t="s">
        <v>42</v>
      </c>
      <c r="I47" s="454"/>
      <c r="J47" s="455">
        <v>10</v>
      </c>
      <c r="K47" s="456" t="s">
        <v>29</v>
      </c>
      <c r="L47" s="457" t="s">
        <v>84</v>
      </c>
      <c r="M47" s="458">
        <v>0</v>
      </c>
      <c r="N47" s="458"/>
      <c r="O47" s="458"/>
      <c r="P47" s="459">
        <v>295000000</v>
      </c>
      <c r="Q47" s="491">
        <v>90000000</v>
      </c>
      <c r="R47" s="459"/>
      <c r="S47" s="458">
        <v>205000000</v>
      </c>
      <c r="T47" s="458">
        <v>115000000</v>
      </c>
      <c r="U47" s="458">
        <v>90000000</v>
      </c>
      <c r="V47" s="460">
        <v>0.56097560975609762</v>
      </c>
      <c r="W47" s="461">
        <v>0</v>
      </c>
      <c r="X47" s="461">
        <v>115000000</v>
      </c>
      <c r="Y47" s="460">
        <v>1</v>
      </c>
      <c r="Z47" s="461">
        <v>0</v>
      </c>
      <c r="AA47" s="461">
        <v>0</v>
      </c>
      <c r="AB47" s="460">
        <v>0</v>
      </c>
    </row>
    <row r="48" spans="1:28" ht="32.1" customHeight="1">
      <c r="A48" s="411" t="e">
        <v>#REF!</v>
      </c>
      <c r="B48" s="451" t="s">
        <v>725</v>
      </c>
      <c r="C48" s="452" t="s">
        <v>23</v>
      </c>
      <c r="D48" s="453" t="s">
        <v>54</v>
      </c>
      <c r="E48" s="453" t="s">
        <v>25</v>
      </c>
      <c r="F48" s="453" t="s">
        <v>25</v>
      </c>
      <c r="G48" s="453" t="s">
        <v>38</v>
      </c>
      <c r="H48" s="472" t="s">
        <v>44</v>
      </c>
      <c r="I48" s="454"/>
      <c r="J48" s="455">
        <v>10</v>
      </c>
      <c r="K48" s="456" t="s">
        <v>29</v>
      </c>
      <c r="L48" s="457" t="s">
        <v>85</v>
      </c>
      <c r="M48" s="458">
        <v>100000000</v>
      </c>
      <c r="N48" s="458"/>
      <c r="O48" s="458"/>
      <c r="P48" s="459"/>
      <c r="Q48" s="458">
        <v>19341552</v>
      </c>
      <c r="R48" s="459"/>
      <c r="S48" s="458">
        <v>80658448</v>
      </c>
      <c r="T48" s="458">
        <v>0</v>
      </c>
      <c r="U48" s="458">
        <v>80658448</v>
      </c>
      <c r="V48" s="460">
        <v>0</v>
      </c>
      <c r="W48" s="461">
        <v>0</v>
      </c>
      <c r="X48" s="461">
        <v>0</v>
      </c>
      <c r="Y48" s="460">
        <v>0</v>
      </c>
      <c r="Z48" s="461">
        <v>0</v>
      </c>
      <c r="AA48" s="461">
        <v>0</v>
      </c>
      <c r="AB48" s="460">
        <v>0</v>
      </c>
    </row>
    <row r="49" spans="1:28" ht="32.1" customHeight="1">
      <c r="A49" s="411" t="e">
        <v>#REF!</v>
      </c>
      <c r="B49" s="428" t="s">
        <v>377</v>
      </c>
      <c r="C49" s="429" t="s">
        <v>23</v>
      </c>
      <c r="D49" s="430" t="s">
        <v>54</v>
      </c>
      <c r="E49" s="430" t="s">
        <v>54</v>
      </c>
      <c r="F49" s="430"/>
      <c r="G49" s="430"/>
      <c r="H49" s="430"/>
      <c r="I49" s="431"/>
      <c r="J49" s="432"/>
      <c r="K49" s="432"/>
      <c r="L49" s="428" t="s">
        <v>86</v>
      </c>
      <c r="M49" s="433">
        <v>44558000000</v>
      </c>
      <c r="N49" s="433">
        <v>0</v>
      </c>
      <c r="O49" s="433">
        <v>0</v>
      </c>
      <c r="P49" s="433">
        <v>5353495909</v>
      </c>
      <c r="Q49" s="433">
        <v>5539154357</v>
      </c>
      <c r="R49" s="433">
        <v>0</v>
      </c>
      <c r="S49" s="433">
        <v>44372341552</v>
      </c>
      <c r="T49" s="433">
        <v>31891662168.450005</v>
      </c>
      <c r="U49" s="433">
        <v>12480679383.549999</v>
      </c>
      <c r="V49" s="434">
        <v>0.71872840271627603</v>
      </c>
      <c r="W49" s="435">
        <v>16725620838.539999</v>
      </c>
      <c r="X49" s="435">
        <v>15166041329.909998</v>
      </c>
      <c r="Y49" s="434">
        <v>0.47554878920401833</v>
      </c>
      <c r="Z49" s="435">
        <v>16569816598.539999</v>
      </c>
      <c r="AA49" s="435">
        <v>155804240</v>
      </c>
      <c r="AB49" s="434">
        <v>0.51956578841890211</v>
      </c>
    </row>
    <row r="50" spans="1:28" ht="32.1" customHeight="1">
      <c r="A50" s="411" t="e">
        <v>#REF!</v>
      </c>
      <c r="B50" s="436" t="s">
        <v>379</v>
      </c>
      <c r="C50" s="437" t="s">
        <v>23</v>
      </c>
      <c r="D50" s="438" t="s">
        <v>54</v>
      </c>
      <c r="E50" s="438" t="s">
        <v>54</v>
      </c>
      <c r="F50" s="438" t="s">
        <v>25</v>
      </c>
      <c r="G50" s="438"/>
      <c r="H50" s="438"/>
      <c r="I50" s="439"/>
      <c r="J50" s="440" t="s">
        <v>28</v>
      </c>
      <c r="K50" s="440" t="s">
        <v>29</v>
      </c>
      <c r="L50" s="436" t="s">
        <v>87</v>
      </c>
      <c r="M50" s="441">
        <v>1434662489</v>
      </c>
      <c r="N50" s="441">
        <v>0</v>
      </c>
      <c r="O50" s="441">
        <v>0</v>
      </c>
      <c r="P50" s="441">
        <v>529748465</v>
      </c>
      <c r="Q50" s="441">
        <v>110000000</v>
      </c>
      <c r="R50" s="441">
        <v>0</v>
      </c>
      <c r="S50" s="441">
        <v>1854410954</v>
      </c>
      <c r="T50" s="441">
        <v>492841686</v>
      </c>
      <c r="U50" s="441">
        <v>1361569268</v>
      </c>
      <c r="V50" s="442">
        <v>0.26576724265833906</v>
      </c>
      <c r="W50" s="443">
        <v>186657033.16999999</v>
      </c>
      <c r="X50" s="443">
        <v>306184652.82999998</v>
      </c>
      <c r="Y50" s="442">
        <v>0.62126370704364486</v>
      </c>
      <c r="Z50" s="443">
        <v>186657033.16999999</v>
      </c>
      <c r="AA50" s="443">
        <v>0</v>
      </c>
      <c r="AB50" s="442">
        <v>0.37873629295635514</v>
      </c>
    </row>
    <row r="51" spans="1:28" ht="32.1" customHeight="1">
      <c r="A51" s="411" t="e">
        <v>#REF!</v>
      </c>
      <c r="B51" s="444" t="s">
        <v>381</v>
      </c>
      <c r="C51" s="445" t="s">
        <v>23</v>
      </c>
      <c r="D51" s="446" t="s">
        <v>54</v>
      </c>
      <c r="E51" s="446" t="s">
        <v>54</v>
      </c>
      <c r="F51" s="446" t="s">
        <v>25</v>
      </c>
      <c r="G51" s="446" t="s">
        <v>31</v>
      </c>
      <c r="H51" s="446"/>
      <c r="I51" s="447"/>
      <c r="J51" s="448" t="s">
        <v>28</v>
      </c>
      <c r="K51" s="448" t="s">
        <v>29</v>
      </c>
      <c r="L51" s="444" t="s">
        <v>88</v>
      </c>
      <c r="M51" s="449">
        <v>19000000</v>
      </c>
      <c r="N51" s="449">
        <v>0</v>
      </c>
      <c r="O51" s="449">
        <v>0</v>
      </c>
      <c r="P51" s="449">
        <v>0</v>
      </c>
      <c r="Q51" s="449">
        <v>0</v>
      </c>
      <c r="R51" s="449">
        <v>0</v>
      </c>
      <c r="S51" s="449">
        <v>19000000</v>
      </c>
      <c r="T51" s="449">
        <v>14000000</v>
      </c>
      <c r="U51" s="449">
        <v>5000000</v>
      </c>
      <c r="V51" s="450">
        <v>0.73684210526315785</v>
      </c>
      <c r="W51" s="449">
        <v>0</v>
      </c>
      <c r="X51" s="449">
        <v>14000000</v>
      </c>
      <c r="Y51" s="450">
        <v>1</v>
      </c>
      <c r="Z51" s="449">
        <v>0</v>
      </c>
      <c r="AA51" s="449">
        <v>0</v>
      </c>
      <c r="AB51" s="450">
        <v>0</v>
      </c>
    </row>
    <row r="52" spans="1:28" ht="32.1" customHeight="1">
      <c r="A52" s="411" t="e">
        <v>#REF!</v>
      </c>
      <c r="B52" s="451" t="s">
        <v>555</v>
      </c>
      <c r="C52" s="452" t="s">
        <v>23</v>
      </c>
      <c r="D52" s="453" t="s">
        <v>54</v>
      </c>
      <c r="E52" s="453" t="s">
        <v>54</v>
      </c>
      <c r="F52" s="453" t="s">
        <v>25</v>
      </c>
      <c r="G52" s="453" t="s">
        <v>31</v>
      </c>
      <c r="H52" s="453" t="s">
        <v>40</v>
      </c>
      <c r="I52" s="454"/>
      <c r="J52" s="455">
        <v>10</v>
      </c>
      <c r="K52" s="456" t="s">
        <v>29</v>
      </c>
      <c r="L52" s="457" t="s">
        <v>89</v>
      </c>
      <c r="M52" s="458">
        <v>6000000</v>
      </c>
      <c r="N52" s="458"/>
      <c r="O52" s="458"/>
      <c r="P52" s="458"/>
      <c r="Q52" s="458"/>
      <c r="R52" s="459"/>
      <c r="S52" s="458">
        <v>6000000</v>
      </c>
      <c r="T52" s="458">
        <v>6000000</v>
      </c>
      <c r="U52" s="458">
        <v>0</v>
      </c>
      <c r="V52" s="460">
        <v>1</v>
      </c>
      <c r="W52" s="461">
        <v>0</v>
      </c>
      <c r="X52" s="461">
        <v>6000000</v>
      </c>
      <c r="Y52" s="460">
        <v>1</v>
      </c>
      <c r="Z52" s="461">
        <v>0</v>
      </c>
      <c r="AA52" s="461">
        <v>0</v>
      </c>
      <c r="AB52" s="460">
        <v>0</v>
      </c>
    </row>
    <row r="53" spans="1:28" ht="32.1" customHeight="1">
      <c r="A53" s="411" t="e">
        <v>#REF!</v>
      </c>
      <c r="B53" s="451" t="s">
        <v>557</v>
      </c>
      <c r="C53" s="452" t="s">
        <v>23</v>
      </c>
      <c r="D53" s="453" t="s">
        <v>54</v>
      </c>
      <c r="E53" s="453" t="s">
        <v>54</v>
      </c>
      <c r="F53" s="453" t="s">
        <v>25</v>
      </c>
      <c r="G53" s="453" t="s">
        <v>31</v>
      </c>
      <c r="H53" s="453" t="s">
        <v>44</v>
      </c>
      <c r="I53" s="454"/>
      <c r="J53" s="455">
        <v>10</v>
      </c>
      <c r="K53" s="456" t="s">
        <v>29</v>
      </c>
      <c r="L53" s="457" t="s">
        <v>90</v>
      </c>
      <c r="M53" s="458">
        <v>13000000</v>
      </c>
      <c r="N53" s="458"/>
      <c r="O53" s="458"/>
      <c r="P53" s="458"/>
      <c r="Q53" s="458"/>
      <c r="R53" s="459"/>
      <c r="S53" s="458">
        <v>13000000</v>
      </c>
      <c r="T53" s="458">
        <v>8000000</v>
      </c>
      <c r="U53" s="458">
        <v>5000000</v>
      </c>
      <c r="V53" s="460">
        <v>0.61538461538461542</v>
      </c>
      <c r="W53" s="461">
        <v>0</v>
      </c>
      <c r="X53" s="461">
        <v>8000000</v>
      </c>
      <c r="Y53" s="460">
        <v>1</v>
      </c>
      <c r="Z53" s="461">
        <v>0</v>
      </c>
      <c r="AA53" s="461">
        <v>0</v>
      </c>
      <c r="AB53" s="460">
        <v>0</v>
      </c>
    </row>
    <row r="54" spans="1:28" ht="32.1" customHeight="1">
      <c r="A54" s="411" t="e">
        <v>#REF!</v>
      </c>
      <c r="B54" s="444" t="s">
        <v>383</v>
      </c>
      <c r="C54" s="445" t="s">
        <v>23</v>
      </c>
      <c r="D54" s="446" t="s">
        <v>54</v>
      </c>
      <c r="E54" s="446" t="s">
        <v>54</v>
      </c>
      <c r="F54" s="446" t="s">
        <v>25</v>
      </c>
      <c r="G54" s="446" t="s">
        <v>34</v>
      </c>
      <c r="H54" s="446"/>
      <c r="I54" s="447"/>
      <c r="J54" s="448" t="s">
        <v>28</v>
      </c>
      <c r="K54" s="448" t="s">
        <v>29</v>
      </c>
      <c r="L54" s="444" t="s">
        <v>91</v>
      </c>
      <c r="M54" s="449">
        <v>130000000</v>
      </c>
      <c r="N54" s="449">
        <v>0</v>
      </c>
      <c r="O54" s="449">
        <v>0</v>
      </c>
      <c r="P54" s="449">
        <v>66000000</v>
      </c>
      <c r="Q54" s="449">
        <v>0</v>
      </c>
      <c r="R54" s="449">
        <v>0</v>
      </c>
      <c r="S54" s="449">
        <v>196000000</v>
      </c>
      <c r="T54" s="449">
        <v>171221407</v>
      </c>
      <c r="U54" s="449">
        <v>24778593</v>
      </c>
      <c r="V54" s="450">
        <v>0.87357860714285718</v>
      </c>
      <c r="W54" s="449">
        <v>57098031.490000002</v>
      </c>
      <c r="X54" s="449">
        <v>114123375.50999999</v>
      </c>
      <c r="Y54" s="450">
        <v>0.66652515891310249</v>
      </c>
      <c r="Z54" s="449">
        <v>57098031.490000002</v>
      </c>
      <c r="AA54" s="449">
        <v>0</v>
      </c>
      <c r="AB54" s="450">
        <v>0.33347484108689751</v>
      </c>
    </row>
    <row r="55" spans="1:28" ht="32.1" customHeight="1">
      <c r="A55" s="411" t="e">
        <v>#REF!</v>
      </c>
      <c r="B55" s="451" t="s">
        <v>826</v>
      </c>
      <c r="C55" s="452" t="s">
        <v>23</v>
      </c>
      <c r="D55" s="453" t="s">
        <v>54</v>
      </c>
      <c r="E55" s="453" t="s">
        <v>54</v>
      </c>
      <c r="F55" s="453" t="s">
        <v>25</v>
      </c>
      <c r="G55" s="453" t="s">
        <v>34</v>
      </c>
      <c r="H55" s="472" t="s">
        <v>36</v>
      </c>
      <c r="I55" s="454"/>
      <c r="J55" s="455">
        <v>10</v>
      </c>
      <c r="K55" s="456" t="s">
        <v>29</v>
      </c>
      <c r="L55" s="457" t="s">
        <v>822</v>
      </c>
      <c r="M55" s="458">
        <v>0</v>
      </c>
      <c r="N55" s="458"/>
      <c r="O55" s="458"/>
      <c r="P55" s="458">
        <v>66000000</v>
      </c>
      <c r="Q55" s="458"/>
      <c r="R55" s="459"/>
      <c r="S55" s="458">
        <v>66000000</v>
      </c>
      <c r="T55" s="458">
        <v>66000000</v>
      </c>
      <c r="U55" s="458">
        <v>0</v>
      </c>
      <c r="V55" s="460">
        <v>1</v>
      </c>
      <c r="W55" s="461">
        <v>57098031.490000002</v>
      </c>
      <c r="X55" s="461">
        <v>8901968.5099999979</v>
      </c>
      <c r="Y55" s="460">
        <v>0.13487831075757573</v>
      </c>
      <c r="Z55" s="461">
        <v>57098031.490000002</v>
      </c>
      <c r="AA55" s="461">
        <v>0</v>
      </c>
      <c r="AB55" s="460">
        <v>0.86512168924242427</v>
      </c>
    </row>
    <row r="56" spans="1:28" ht="32.1" customHeight="1">
      <c r="A56" s="411" t="e">
        <v>#REF!</v>
      </c>
      <c r="B56" s="451" t="s">
        <v>559</v>
      </c>
      <c r="C56" s="452" t="s">
        <v>23</v>
      </c>
      <c r="D56" s="453" t="s">
        <v>54</v>
      </c>
      <c r="E56" s="453" t="s">
        <v>54</v>
      </c>
      <c r="F56" s="453" t="s">
        <v>25</v>
      </c>
      <c r="G56" s="453" t="s">
        <v>34</v>
      </c>
      <c r="H56" s="453" t="s">
        <v>46</v>
      </c>
      <c r="I56" s="454"/>
      <c r="J56" s="455">
        <v>10</v>
      </c>
      <c r="K56" s="456" t="s">
        <v>29</v>
      </c>
      <c r="L56" s="457" t="s">
        <v>92</v>
      </c>
      <c r="M56" s="458">
        <v>130000000</v>
      </c>
      <c r="N56" s="458"/>
      <c r="O56" s="458"/>
      <c r="P56" s="458"/>
      <c r="Q56" s="458"/>
      <c r="R56" s="459"/>
      <c r="S56" s="458">
        <v>130000000</v>
      </c>
      <c r="T56" s="458">
        <v>105221407</v>
      </c>
      <c r="U56" s="458">
        <v>24778593</v>
      </c>
      <c r="V56" s="460">
        <v>0.8093954384615385</v>
      </c>
      <c r="W56" s="461">
        <v>0</v>
      </c>
      <c r="X56" s="461">
        <v>105221407</v>
      </c>
      <c r="Y56" s="460">
        <v>1</v>
      </c>
      <c r="Z56" s="461">
        <v>0</v>
      </c>
      <c r="AA56" s="461">
        <v>0</v>
      </c>
      <c r="AB56" s="460">
        <v>0</v>
      </c>
    </row>
    <row r="57" spans="1:28" ht="32.1" customHeight="1">
      <c r="A57" s="411" t="e">
        <v>#REF!</v>
      </c>
      <c r="B57" s="444" t="s">
        <v>385</v>
      </c>
      <c r="C57" s="445" t="s">
        <v>23</v>
      </c>
      <c r="D57" s="446" t="s">
        <v>54</v>
      </c>
      <c r="E57" s="446" t="s">
        <v>54</v>
      </c>
      <c r="F57" s="446" t="s">
        <v>25</v>
      </c>
      <c r="G57" s="446" t="s">
        <v>36</v>
      </c>
      <c r="H57" s="446"/>
      <c r="I57" s="447"/>
      <c r="J57" s="448" t="s">
        <v>28</v>
      </c>
      <c r="K57" s="448" t="s">
        <v>29</v>
      </c>
      <c r="L57" s="444" t="s">
        <v>93</v>
      </c>
      <c r="M57" s="449">
        <v>360662489</v>
      </c>
      <c r="N57" s="449">
        <v>0</v>
      </c>
      <c r="O57" s="449">
        <v>0</v>
      </c>
      <c r="P57" s="449">
        <v>463748465</v>
      </c>
      <c r="Q57" s="449">
        <v>0</v>
      </c>
      <c r="R57" s="449">
        <v>0</v>
      </c>
      <c r="S57" s="449">
        <v>824410954</v>
      </c>
      <c r="T57" s="449">
        <v>271135779</v>
      </c>
      <c r="U57" s="449">
        <v>553275175</v>
      </c>
      <c r="V57" s="450">
        <v>0.3288842508514267</v>
      </c>
      <c r="W57" s="449">
        <v>120574501.67999999</v>
      </c>
      <c r="X57" s="449">
        <v>150561277.31999999</v>
      </c>
      <c r="Y57" s="450">
        <v>0.55529844816238727</v>
      </c>
      <c r="Z57" s="449">
        <v>120574501.67999999</v>
      </c>
      <c r="AA57" s="449">
        <v>0</v>
      </c>
      <c r="AB57" s="450">
        <v>0.44470155183761267</v>
      </c>
    </row>
    <row r="58" spans="1:28" ht="32.1" customHeight="1">
      <c r="A58" s="411" t="e">
        <v>#REF!</v>
      </c>
      <c r="B58" s="451" t="s">
        <v>561</v>
      </c>
      <c r="C58" s="452" t="s">
        <v>23</v>
      </c>
      <c r="D58" s="453" t="s">
        <v>54</v>
      </c>
      <c r="E58" s="453" t="s">
        <v>54</v>
      </c>
      <c r="F58" s="453" t="s">
        <v>25</v>
      </c>
      <c r="G58" s="453" t="s">
        <v>36</v>
      </c>
      <c r="H58" s="453" t="s">
        <v>34</v>
      </c>
      <c r="I58" s="454"/>
      <c r="J58" s="455">
        <v>10</v>
      </c>
      <c r="K58" s="456" t="s">
        <v>29</v>
      </c>
      <c r="L58" s="457" t="s">
        <v>94</v>
      </c>
      <c r="M58" s="458">
        <v>154100000</v>
      </c>
      <c r="N58" s="458"/>
      <c r="O58" s="458"/>
      <c r="P58" s="458">
        <v>253475175</v>
      </c>
      <c r="Q58" s="458"/>
      <c r="R58" s="459"/>
      <c r="S58" s="458">
        <v>407575175</v>
      </c>
      <c r="T58" s="458">
        <v>2800000</v>
      </c>
      <c r="U58" s="458">
        <v>404775175</v>
      </c>
      <c r="V58" s="460">
        <v>6.869898295449422E-3</v>
      </c>
      <c r="W58" s="461">
        <v>300000</v>
      </c>
      <c r="X58" s="461">
        <v>2500000</v>
      </c>
      <c r="Y58" s="460">
        <v>0.8928571428571429</v>
      </c>
      <c r="Z58" s="461">
        <v>300000</v>
      </c>
      <c r="AA58" s="461">
        <v>0</v>
      </c>
      <c r="AB58" s="460">
        <v>0.10714285714285714</v>
      </c>
    </row>
    <row r="59" spans="1:28" ht="32.1" customHeight="1">
      <c r="A59" s="411" t="e">
        <v>#REF!</v>
      </c>
      <c r="B59" s="451" t="s">
        <v>563</v>
      </c>
      <c r="C59" s="452" t="s">
        <v>23</v>
      </c>
      <c r="D59" s="453" t="s">
        <v>54</v>
      </c>
      <c r="E59" s="453" t="s">
        <v>54</v>
      </c>
      <c r="F59" s="453" t="s">
        <v>25</v>
      </c>
      <c r="G59" s="453" t="s">
        <v>36</v>
      </c>
      <c r="H59" s="453" t="s">
        <v>36</v>
      </c>
      <c r="I59" s="454"/>
      <c r="J59" s="455">
        <v>10</v>
      </c>
      <c r="K59" s="456" t="s">
        <v>29</v>
      </c>
      <c r="L59" s="457" t="s">
        <v>95</v>
      </c>
      <c r="M59" s="458">
        <v>89562489</v>
      </c>
      <c r="N59" s="458"/>
      <c r="O59" s="458"/>
      <c r="P59" s="458">
        <v>21273290</v>
      </c>
      <c r="Q59" s="458"/>
      <c r="R59" s="459"/>
      <c r="S59" s="458">
        <v>110835779</v>
      </c>
      <c r="T59" s="458">
        <v>103335779</v>
      </c>
      <c r="U59" s="458">
        <v>7500000</v>
      </c>
      <c r="V59" s="460">
        <v>0.93233232023388402</v>
      </c>
      <c r="W59" s="461">
        <v>38302613.469999999</v>
      </c>
      <c r="X59" s="461">
        <v>65033165.530000001</v>
      </c>
      <c r="Y59" s="460">
        <v>0.62933831978950872</v>
      </c>
      <c r="Z59" s="461">
        <v>38302613.469999999</v>
      </c>
      <c r="AA59" s="461">
        <v>0</v>
      </c>
      <c r="AB59" s="460">
        <v>0.37066168021049128</v>
      </c>
    </row>
    <row r="60" spans="1:28" ht="32.1" customHeight="1">
      <c r="A60" s="411" t="e">
        <v>#REF!</v>
      </c>
      <c r="B60" s="451" t="s">
        <v>565</v>
      </c>
      <c r="C60" s="452" t="s">
        <v>23</v>
      </c>
      <c r="D60" s="453" t="s">
        <v>54</v>
      </c>
      <c r="E60" s="453" t="s">
        <v>54</v>
      </c>
      <c r="F60" s="453" t="s">
        <v>25</v>
      </c>
      <c r="G60" s="453" t="s">
        <v>36</v>
      </c>
      <c r="H60" s="453" t="s">
        <v>40</v>
      </c>
      <c r="I60" s="454"/>
      <c r="J60" s="455">
        <v>10</v>
      </c>
      <c r="K60" s="456" t="s">
        <v>29</v>
      </c>
      <c r="L60" s="457" t="s">
        <v>96</v>
      </c>
      <c r="M60" s="458">
        <v>14000000</v>
      </c>
      <c r="N60" s="458"/>
      <c r="O60" s="458"/>
      <c r="P60" s="458">
        <v>99000000</v>
      </c>
      <c r="Q60" s="458"/>
      <c r="R60" s="459"/>
      <c r="S60" s="458">
        <v>113000000</v>
      </c>
      <c r="T60" s="458">
        <v>113000000</v>
      </c>
      <c r="U60" s="458">
        <v>0</v>
      </c>
      <c r="V60" s="460">
        <v>1</v>
      </c>
      <c r="W60" s="461">
        <v>81971888.209999993</v>
      </c>
      <c r="X60" s="461">
        <v>31028111.790000007</v>
      </c>
      <c r="Y60" s="460">
        <v>0.27458506008849565</v>
      </c>
      <c r="Z60" s="461">
        <v>81971888.209999993</v>
      </c>
      <c r="AA60" s="461">
        <v>0</v>
      </c>
      <c r="AB60" s="460">
        <v>0.72541493991150441</v>
      </c>
    </row>
    <row r="61" spans="1:28" ht="32.1" customHeight="1">
      <c r="A61" s="411" t="e">
        <v>#REF!</v>
      </c>
      <c r="B61" s="451" t="s">
        <v>567</v>
      </c>
      <c r="C61" s="452" t="s">
        <v>23</v>
      </c>
      <c r="D61" s="453" t="s">
        <v>54</v>
      </c>
      <c r="E61" s="453" t="s">
        <v>54</v>
      </c>
      <c r="F61" s="453" t="s">
        <v>25</v>
      </c>
      <c r="G61" s="453" t="s">
        <v>36</v>
      </c>
      <c r="H61" s="453" t="s">
        <v>42</v>
      </c>
      <c r="I61" s="454"/>
      <c r="J61" s="455">
        <v>10</v>
      </c>
      <c r="K61" s="456" t="s">
        <v>29</v>
      </c>
      <c r="L61" s="457" t="s">
        <v>97</v>
      </c>
      <c r="M61" s="458">
        <v>20000000</v>
      </c>
      <c r="N61" s="458"/>
      <c r="O61" s="458"/>
      <c r="P61" s="458"/>
      <c r="Q61" s="458"/>
      <c r="R61" s="459"/>
      <c r="S61" s="458">
        <v>20000000</v>
      </c>
      <c r="T61" s="458">
        <v>20000000</v>
      </c>
      <c r="U61" s="458">
        <v>0</v>
      </c>
      <c r="V61" s="460">
        <v>1</v>
      </c>
      <c r="W61" s="461">
        <v>0</v>
      </c>
      <c r="X61" s="461">
        <v>20000000</v>
      </c>
      <c r="Y61" s="460">
        <v>1</v>
      </c>
      <c r="Z61" s="461">
        <v>0</v>
      </c>
      <c r="AA61" s="461">
        <v>0</v>
      </c>
      <c r="AB61" s="460">
        <v>0</v>
      </c>
    </row>
    <row r="62" spans="1:28" ht="32.1" customHeight="1">
      <c r="A62" s="411" t="e">
        <v>#REF!</v>
      </c>
      <c r="B62" s="451" t="s">
        <v>571</v>
      </c>
      <c r="C62" s="452" t="s">
        <v>23</v>
      </c>
      <c r="D62" s="453" t="s">
        <v>54</v>
      </c>
      <c r="E62" s="453" t="s">
        <v>54</v>
      </c>
      <c r="F62" s="453" t="s">
        <v>25</v>
      </c>
      <c r="G62" s="453" t="s">
        <v>36</v>
      </c>
      <c r="H62" s="453" t="s">
        <v>46</v>
      </c>
      <c r="I62" s="454"/>
      <c r="J62" s="455">
        <v>10</v>
      </c>
      <c r="K62" s="456" t="s">
        <v>29</v>
      </c>
      <c r="L62" s="457" t="s">
        <v>99</v>
      </c>
      <c r="M62" s="458">
        <v>83000000</v>
      </c>
      <c r="N62" s="458"/>
      <c r="O62" s="458"/>
      <c r="P62" s="491">
        <v>90000000</v>
      </c>
      <c r="Q62" s="458"/>
      <c r="R62" s="459"/>
      <c r="S62" s="458">
        <v>173000000</v>
      </c>
      <c r="T62" s="458">
        <v>32000000</v>
      </c>
      <c r="U62" s="458">
        <v>141000000</v>
      </c>
      <c r="V62" s="460">
        <v>0.18497109826589594</v>
      </c>
      <c r="W62" s="461">
        <v>0</v>
      </c>
      <c r="X62" s="461">
        <v>32000000</v>
      </c>
      <c r="Y62" s="460">
        <v>1</v>
      </c>
      <c r="Z62" s="461">
        <v>0</v>
      </c>
      <c r="AA62" s="461">
        <v>0</v>
      </c>
      <c r="AB62" s="460">
        <v>0</v>
      </c>
    </row>
    <row r="63" spans="1:28" ht="32.1" customHeight="1">
      <c r="A63" s="411" t="e">
        <v>#REF!</v>
      </c>
      <c r="B63" s="444" t="s">
        <v>387</v>
      </c>
      <c r="C63" s="445" t="s">
        <v>23</v>
      </c>
      <c r="D63" s="446" t="s">
        <v>54</v>
      </c>
      <c r="E63" s="446" t="s">
        <v>54</v>
      </c>
      <c r="F63" s="446" t="s">
        <v>25</v>
      </c>
      <c r="G63" s="446" t="s">
        <v>38</v>
      </c>
      <c r="H63" s="446"/>
      <c r="I63" s="447"/>
      <c r="J63" s="448" t="s">
        <v>28</v>
      </c>
      <c r="K63" s="448" t="s">
        <v>29</v>
      </c>
      <c r="L63" s="444" t="s">
        <v>100</v>
      </c>
      <c r="M63" s="449">
        <v>925000000</v>
      </c>
      <c r="N63" s="449">
        <v>0</v>
      </c>
      <c r="O63" s="449">
        <v>0</v>
      </c>
      <c r="P63" s="449">
        <v>0</v>
      </c>
      <c r="Q63" s="449">
        <v>110000000</v>
      </c>
      <c r="R63" s="449">
        <v>0</v>
      </c>
      <c r="S63" s="449">
        <v>815000000</v>
      </c>
      <c r="T63" s="449">
        <v>36484500</v>
      </c>
      <c r="U63" s="449">
        <v>778515500</v>
      </c>
      <c r="V63" s="450">
        <v>4.4766257668711659E-2</v>
      </c>
      <c r="W63" s="449">
        <v>8984500</v>
      </c>
      <c r="X63" s="449">
        <v>27500000</v>
      </c>
      <c r="Y63" s="450">
        <v>0.75374474091737587</v>
      </c>
      <c r="Z63" s="449">
        <v>8984500</v>
      </c>
      <c r="AA63" s="449">
        <v>0</v>
      </c>
      <c r="AB63" s="450">
        <v>0.24625525908262413</v>
      </c>
    </row>
    <row r="64" spans="1:28" ht="32.1" customHeight="1">
      <c r="A64" s="411" t="e">
        <v>#REF!</v>
      </c>
      <c r="B64" s="451" t="s">
        <v>573</v>
      </c>
      <c r="C64" s="452" t="s">
        <v>23</v>
      </c>
      <c r="D64" s="453" t="s">
        <v>54</v>
      </c>
      <c r="E64" s="453" t="s">
        <v>54</v>
      </c>
      <c r="F64" s="453" t="s">
        <v>25</v>
      </c>
      <c r="G64" s="453" t="s">
        <v>38</v>
      </c>
      <c r="H64" s="453" t="s">
        <v>34</v>
      </c>
      <c r="I64" s="454"/>
      <c r="J64" s="455">
        <v>10</v>
      </c>
      <c r="K64" s="456" t="s">
        <v>29</v>
      </c>
      <c r="L64" s="457" t="s">
        <v>101</v>
      </c>
      <c r="M64" s="458">
        <v>30000000</v>
      </c>
      <c r="N64" s="458"/>
      <c r="O64" s="458"/>
      <c r="P64" s="458"/>
      <c r="Q64" s="458"/>
      <c r="R64" s="459"/>
      <c r="S64" s="458">
        <v>30000000</v>
      </c>
      <c r="T64" s="458">
        <v>27500000</v>
      </c>
      <c r="U64" s="458">
        <v>2500000</v>
      </c>
      <c r="V64" s="460">
        <v>0.91666666666666663</v>
      </c>
      <c r="W64" s="461">
        <v>0</v>
      </c>
      <c r="X64" s="461">
        <v>27500000</v>
      </c>
      <c r="Y64" s="460">
        <v>1</v>
      </c>
      <c r="Z64" s="461">
        <v>0</v>
      </c>
      <c r="AA64" s="461">
        <v>0</v>
      </c>
      <c r="AB64" s="460">
        <v>0</v>
      </c>
    </row>
    <row r="65" spans="1:28" ht="32.1" customHeight="1">
      <c r="A65" s="411" t="e">
        <v>#REF!</v>
      </c>
      <c r="B65" s="451" t="s">
        <v>575</v>
      </c>
      <c r="C65" s="452" t="s">
        <v>23</v>
      </c>
      <c r="D65" s="453" t="s">
        <v>54</v>
      </c>
      <c r="E65" s="453" t="s">
        <v>54</v>
      </c>
      <c r="F65" s="453" t="s">
        <v>25</v>
      </c>
      <c r="G65" s="453" t="s">
        <v>38</v>
      </c>
      <c r="H65" s="453" t="s">
        <v>40</v>
      </c>
      <c r="I65" s="454"/>
      <c r="J65" s="455">
        <v>10</v>
      </c>
      <c r="K65" s="456" t="s">
        <v>29</v>
      </c>
      <c r="L65" s="457" t="s">
        <v>102</v>
      </c>
      <c r="M65" s="458">
        <v>565000000</v>
      </c>
      <c r="N65" s="458"/>
      <c r="O65" s="458"/>
      <c r="P65" s="458"/>
      <c r="Q65" s="458"/>
      <c r="R65" s="459"/>
      <c r="S65" s="458">
        <v>565000000</v>
      </c>
      <c r="T65" s="458">
        <v>8984500</v>
      </c>
      <c r="U65" s="458">
        <v>556015500</v>
      </c>
      <c r="V65" s="460">
        <v>1.5901769911504424E-2</v>
      </c>
      <c r="W65" s="461">
        <v>8984500</v>
      </c>
      <c r="X65" s="461">
        <v>0</v>
      </c>
      <c r="Y65" s="460">
        <v>0</v>
      </c>
      <c r="Z65" s="461">
        <v>8984500</v>
      </c>
      <c r="AA65" s="461">
        <v>0</v>
      </c>
      <c r="AB65" s="460">
        <v>1</v>
      </c>
    </row>
    <row r="66" spans="1:28" ht="32.1" customHeight="1">
      <c r="A66" s="411" t="e">
        <v>#REF!</v>
      </c>
      <c r="B66" s="451" t="s">
        <v>577</v>
      </c>
      <c r="C66" s="452" t="s">
        <v>23</v>
      </c>
      <c r="D66" s="453" t="s">
        <v>54</v>
      </c>
      <c r="E66" s="453" t="s">
        <v>54</v>
      </c>
      <c r="F66" s="453" t="s">
        <v>25</v>
      </c>
      <c r="G66" s="453" t="s">
        <v>38</v>
      </c>
      <c r="H66" s="453" t="s">
        <v>42</v>
      </c>
      <c r="I66" s="454"/>
      <c r="J66" s="455">
        <v>10</v>
      </c>
      <c r="K66" s="456" t="s">
        <v>29</v>
      </c>
      <c r="L66" s="457" t="s">
        <v>84</v>
      </c>
      <c r="M66" s="458">
        <v>148000000</v>
      </c>
      <c r="N66" s="458"/>
      <c r="O66" s="458"/>
      <c r="P66" s="458"/>
      <c r="Q66" s="458">
        <v>110000000</v>
      </c>
      <c r="R66" s="459"/>
      <c r="S66" s="458">
        <v>38000000</v>
      </c>
      <c r="T66" s="458">
        <v>0</v>
      </c>
      <c r="U66" s="458">
        <v>38000000</v>
      </c>
      <c r="V66" s="460">
        <v>0</v>
      </c>
      <c r="W66" s="461">
        <v>0</v>
      </c>
      <c r="X66" s="461">
        <v>0</v>
      </c>
      <c r="Y66" s="460">
        <v>0</v>
      </c>
      <c r="Z66" s="461">
        <v>0</v>
      </c>
      <c r="AA66" s="461">
        <v>0</v>
      </c>
      <c r="AB66" s="460">
        <v>0</v>
      </c>
    </row>
    <row r="67" spans="1:28" ht="32.1" customHeight="1">
      <c r="A67" s="411" t="e">
        <v>#REF!</v>
      </c>
      <c r="B67" s="451" t="s">
        <v>579</v>
      </c>
      <c r="C67" s="452" t="s">
        <v>23</v>
      </c>
      <c r="D67" s="453" t="s">
        <v>54</v>
      </c>
      <c r="E67" s="453" t="s">
        <v>54</v>
      </c>
      <c r="F67" s="453" t="s">
        <v>25</v>
      </c>
      <c r="G67" s="453" t="s">
        <v>38</v>
      </c>
      <c r="H67" s="453" t="s">
        <v>44</v>
      </c>
      <c r="I67" s="454"/>
      <c r="J67" s="455">
        <v>10</v>
      </c>
      <c r="K67" s="456" t="s">
        <v>29</v>
      </c>
      <c r="L67" s="457" t="s">
        <v>85</v>
      </c>
      <c r="M67" s="458">
        <v>182000000</v>
      </c>
      <c r="N67" s="458"/>
      <c r="O67" s="458"/>
      <c r="P67" s="458"/>
      <c r="Q67" s="458"/>
      <c r="R67" s="459"/>
      <c r="S67" s="458">
        <v>182000000</v>
      </c>
      <c r="T67" s="458">
        <v>0</v>
      </c>
      <c r="U67" s="458">
        <v>182000000</v>
      </c>
      <c r="V67" s="460">
        <v>0</v>
      </c>
      <c r="W67" s="461">
        <v>0</v>
      </c>
      <c r="X67" s="461">
        <v>0</v>
      </c>
      <c r="Y67" s="460">
        <v>0</v>
      </c>
      <c r="Z67" s="461">
        <v>0</v>
      </c>
      <c r="AA67" s="461">
        <v>0</v>
      </c>
      <c r="AB67" s="460">
        <v>0</v>
      </c>
    </row>
    <row r="68" spans="1:28" ht="32.1" customHeight="1">
      <c r="A68" s="411" t="e">
        <v>#REF!</v>
      </c>
      <c r="B68" s="436" t="s">
        <v>389</v>
      </c>
      <c r="C68" s="437" t="s">
        <v>23</v>
      </c>
      <c r="D68" s="438" t="s">
        <v>54</v>
      </c>
      <c r="E68" s="438" t="s">
        <v>54</v>
      </c>
      <c r="F68" s="438" t="s">
        <v>54</v>
      </c>
      <c r="G68" s="438"/>
      <c r="H68" s="438"/>
      <c r="I68" s="439"/>
      <c r="J68" s="440" t="s">
        <v>28</v>
      </c>
      <c r="K68" s="440" t="s">
        <v>29</v>
      </c>
      <c r="L68" s="436" t="s">
        <v>103</v>
      </c>
      <c r="M68" s="441">
        <v>43123337511</v>
      </c>
      <c r="N68" s="441">
        <v>0</v>
      </c>
      <c r="O68" s="441">
        <v>0</v>
      </c>
      <c r="P68" s="441">
        <v>4823747444</v>
      </c>
      <c r="Q68" s="441">
        <v>5429154357</v>
      </c>
      <c r="R68" s="441">
        <v>0</v>
      </c>
      <c r="S68" s="441">
        <v>42517930598</v>
      </c>
      <c r="T68" s="441">
        <v>31398820482.450005</v>
      </c>
      <c r="U68" s="441">
        <v>11119110115.549999</v>
      </c>
      <c r="V68" s="442">
        <v>0.73848421220968297</v>
      </c>
      <c r="W68" s="443">
        <v>16538963805.369999</v>
      </c>
      <c r="X68" s="443">
        <v>14859856677.079998</v>
      </c>
      <c r="Y68" s="442">
        <v>0.47326162093845969</v>
      </c>
      <c r="Z68" s="443">
        <v>16383159565.369999</v>
      </c>
      <c r="AA68" s="443">
        <v>155804240</v>
      </c>
      <c r="AB68" s="442">
        <v>0.52177627419243888</v>
      </c>
    </row>
    <row r="69" spans="1:28" ht="39.950000000000003" customHeight="1">
      <c r="A69" s="411" t="e">
        <v>#REF!</v>
      </c>
      <c r="B69" s="444" t="s">
        <v>391</v>
      </c>
      <c r="C69" s="445" t="s">
        <v>23</v>
      </c>
      <c r="D69" s="446" t="s">
        <v>54</v>
      </c>
      <c r="E69" s="446" t="s">
        <v>54</v>
      </c>
      <c r="F69" s="446" t="s">
        <v>54</v>
      </c>
      <c r="G69" s="446" t="s">
        <v>42</v>
      </c>
      <c r="H69" s="446"/>
      <c r="I69" s="447"/>
      <c r="J69" s="448" t="s">
        <v>28</v>
      </c>
      <c r="K69" s="448" t="s">
        <v>29</v>
      </c>
      <c r="L69" s="444" t="s">
        <v>104</v>
      </c>
      <c r="M69" s="449">
        <v>5553279341</v>
      </c>
      <c r="N69" s="449">
        <v>0</v>
      </c>
      <c r="O69" s="449">
        <v>0</v>
      </c>
      <c r="P69" s="449">
        <v>68000000</v>
      </c>
      <c r="Q69" s="449">
        <v>0</v>
      </c>
      <c r="R69" s="449">
        <v>0</v>
      </c>
      <c r="S69" s="449">
        <v>5621279341</v>
      </c>
      <c r="T69" s="449">
        <v>3039874717.3099999</v>
      </c>
      <c r="U69" s="449">
        <v>2581404623.6900001</v>
      </c>
      <c r="V69" s="450">
        <v>0.54077987107632697</v>
      </c>
      <c r="W69" s="449">
        <v>2709644383.3099999</v>
      </c>
      <c r="X69" s="449">
        <v>330230334</v>
      </c>
      <c r="Y69" s="450">
        <v>0.10863287625623679</v>
      </c>
      <c r="Z69" s="449">
        <v>2703945648.3099999</v>
      </c>
      <c r="AA69" s="449">
        <v>5698735</v>
      </c>
      <c r="AB69" s="450">
        <v>0.88949246260475323</v>
      </c>
    </row>
    <row r="70" spans="1:28" ht="32.1" customHeight="1">
      <c r="A70" s="411" t="e">
        <v>#REF!</v>
      </c>
      <c r="B70" s="451" t="s">
        <v>583</v>
      </c>
      <c r="C70" s="452" t="s">
        <v>23</v>
      </c>
      <c r="D70" s="453" t="s">
        <v>54</v>
      </c>
      <c r="E70" s="453" t="s">
        <v>54</v>
      </c>
      <c r="F70" s="453" t="s">
        <v>54</v>
      </c>
      <c r="G70" s="453" t="s">
        <v>42</v>
      </c>
      <c r="H70" s="453" t="s">
        <v>36</v>
      </c>
      <c r="I70" s="454"/>
      <c r="J70" s="455">
        <v>10</v>
      </c>
      <c r="K70" s="456" t="s">
        <v>29</v>
      </c>
      <c r="L70" s="457" t="s">
        <v>105</v>
      </c>
      <c r="M70" s="458">
        <v>182500000</v>
      </c>
      <c r="N70" s="458"/>
      <c r="O70" s="458"/>
      <c r="P70" s="458"/>
      <c r="Q70" s="458"/>
      <c r="R70" s="459"/>
      <c r="S70" s="458">
        <v>182500000</v>
      </c>
      <c r="T70" s="458">
        <v>144539456</v>
      </c>
      <c r="U70" s="458">
        <v>37960544</v>
      </c>
      <c r="V70" s="460">
        <v>0.79199701917808218</v>
      </c>
      <c r="W70" s="461">
        <v>70651279</v>
      </c>
      <c r="X70" s="461">
        <v>73888177</v>
      </c>
      <c r="Y70" s="460">
        <v>0.51119728166127876</v>
      </c>
      <c r="Z70" s="461">
        <v>70651279</v>
      </c>
      <c r="AA70" s="461">
        <v>0</v>
      </c>
      <c r="AB70" s="460">
        <v>0.4888027183387213</v>
      </c>
    </row>
    <row r="71" spans="1:28" ht="32.1" customHeight="1">
      <c r="A71" s="411" t="e">
        <v>#REF!</v>
      </c>
      <c r="B71" s="451" t="s">
        <v>585</v>
      </c>
      <c r="C71" s="452" t="s">
        <v>23</v>
      </c>
      <c r="D71" s="453" t="s">
        <v>54</v>
      </c>
      <c r="E71" s="453" t="s">
        <v>54</v>
      </c>
      <c r="F71" s="453" t="s">
        <v>54</v>
      </c>
      <c r="G71" s="453" t="s">
        <v>42</v>
      </c>
      <c r="H71" s="453" t="s">
        <v>38</v>
      </c>
      <c r="I71" s="454"/>
      <c r="J71" s="455">
        <v>10</v>
      </c>
      <c r="K71" s="456" t="s">
        <v>29</v>
      </c>
      <c r="L71" s="457" t="s">
        <v>106</v>
      </c>
      <c r="M71" s="458">
        <v>2460219321</v>
      </c>
      <c r="N71" s="458"/>
      <c r="O71" s="458"/>
      <c r="P71" s="458">
        <v>35000000</v>
      </c>
      <c r="Q71" s="458"/>
      <c r="R71" s="459"/>
      <c r="S71" s="458">
        <v>2495219321</v>
      </c>
      <c r="T71" s="458">
        <v>1841447367</v>
      </c>
      <c r="U71" s="458">
        <v>653771954</v>
      </c>
      <c r="V71" s="460">
        <v>0.7379901844708423</v>
      </c>
      <c r="W71" s="461">
        <v>1620090100</v>
      </c>
      <c r="X71" s="461">
        <v>221357267</v>
      </c>
      <c r="Y71" s="460">
        <v>0.12020830514456947</v>
      </c>
      <c r="Z71" s="461">
        <v>1620090100</v>
      </c>
      <c r="AA71" s="461">
        <v>0</v>
      </c>
      <c r="AB71" s="460">
        <v>0.87979169485543052</v>
      </c>
    </row>
    <row r="72" spans="1:28" ht="32.1" customHeight="1">
      <c r="A72" s="411" t="e">
        <v>#REF!</v>
      </c>
      <c r="B72" s="451" t="s">
        <v>587</v>
      </c>
      <c r="C72" s="452" t="s">
        <v>23</v>
      </c>
      <c r="D72" s="453" t="s">
        <v>54</v>
      </c>
      <c r="E72" s="453" t="s">
        <v>54</v>
      </c>
      <c r="F72" s="453" t="s">
        <v>54</v>
      </c>
      <c r="G72" s="453" t="s">
        <v>42</v>
      </c>
      <c r="H72" s="453" t="s">
        <v>40</v>
      </c>
      <c r="I72" s="454"/>
      <c r="J72" s="455">
        <v>10</v>
      </c>
      <c r="K72" s="456" t="s">
        <v>29</v>
      </c>
      <c r="L72" s="457" t="s">
        <v>107</v>
      </c>
      <c r="M72" s="458">
        <v>114000000</v>
      </c>
      <c r="N72" s="458"/>
      <c r="O72" s="458"/>
      <c r="P72" s="459">
        <v>33000000</v>
      </c>
      <c r="Q72" s="458"/>
      <c r="R72" s="459"/>
      <c r="S72" s="458">
        <v>147000000</v>
      </c>
      <c r="T72" s="458">
        <v>40118500</v>
      </c>
      <c r="U72" s="458">
        <v>106881500</v>
      </c>
      <c r="V72" s="460">
        <v>0.27291496598639453</v>
      </c>
      <c r="W72" s="461">
        <v>5140000</v>
      </c>
      <c r="X72" s="461">
        <v>34978500</v>
      </c>
      <c r="Y72" s="460">
        <v>0.87187955681294171</v>
      </c>
      <c r="Z72" s="461">
        <v>5140000</v>
      </c>
      <c r="AA72" s="461">
        <v>0</v>
      </c>
      <c r="AB72" s="460">
        <v>0.12812044318705834</v>
      </c>
    </row>
    <row r="73" spans="1:28" ht="32.1" customHeight="1">
      <c r="A73" s="411" t="e">
        <v>#REF!</v>
      </c>
      <c r="B73" s="451" t="s">
        <v>591</v>
      </c>
      <c r="C73" s="452" t="s">
        <v>23</v>
      </c>
      <c r="D73" s="453" t="s">
        <v>54</v>
      </c>
      <c r="E73" s="453" t="s">
        <v>54</v>
      </c>
      <c r="F73" s="453" t="s">
        <v>54</v>
      </c>
      <c r="G73" s="453" t="s">
        <v>42</v>
      </c>
      <c r="H73" s="453" t="s">
        <v>46</v>
      </c>
      <c r="I73" s="454"/>
      <c r="J73" s="455">
        <v>10</v>
      </c>
      <c r="K73" s="456" t="s">
        <v>29</v>
      </c>
      <c r="L73" s="457" t="s">
        <v>108</v>
      </c>
      <c r="M73" s="458">
        <v>1530960020</v>
      </c>
      <c r="N73" s="458"/>
      <c r="O73" s="458"/>
      <c r="P73" s="458"/>
      <c r="Q73" s="458"/>
      <c r="R73" s="459"/>
      <c r="S73" s="458">
        <v>1530960020</v>
      </c>
      <c r="T73" s="458">
        <v>646713828.58000004</v>
      </c>
      <c r="U73" s="458">
        <v>884246191.41999996</v>
      </c>
      <c r="V73" s="460">
        <v>0.42242372114981819</v>
      </c>
      <c r="W73" s="461">
        <v>646713828.58000004</v>
      </c>
      <c r="X73" s="461">
        <v>0</v>
      </c>
      <c r="Y73" s="460">
        <v>0</v>
      </c>
      <c r="Z73" s="461">
        <v>646713828.58000004</v>
      </c>
      <c r="AA73" s="461">
        <v>0</v>
      </c>
      <c r="AB73" s="460">
        <v>1</v>
      </c>
    </row>
    <row r="74" spans="1:28" ht="32.1" customHeight="1">
      <c r="A74" s="411" t="e">
        <v>#REF!</v>
      </c>
      <c r="B74" s="451" t="s">
        <v>593</v>
      </c>
      <c r="C74" s="452" t="s">
        <v>23</v>
      </c>
      <c r="D74" s="453" t="s">
        <v>54</v>
      </c>
      <c r="E74" s="453" t="s">
        <v>54</v>
      </c>
      <c r="F74" s="453" t="s">
        <v>54</v>
      </c>
      <c r="G74" s="453" t="s">
        <v>42</v>
      </c>
      <c r="H74" s="453" t="s">
        <v>48</v>
      </c>
      <c r="I74" s="454"/>
      <c r="J74" s="455">
        <v>10</v>
      </c>
      <c r="K74" s="456" t="s">
        <v>29</v>
      </c>
      <c r="L74" s="457" t="s">
        <v>109</v>
      </c>
      <c r="M74" s="458">
        <v>1265600000</v>
      </c>
      <c r="N74" s="458"/>
      <c r="O74" s="458"/>
      <c r="P74" s="458"/>
      <c r="Q74" s="458"/>
      <c r="R74" s="459"/>
      <c r="S74" s="458">
        <v>1265600000</v>
      </c>
      <c r="T74" s="458">
        <v>367055565.73000002</v>
      </c>
      <c r="U74" s="458">
        <v>898544434.26999998</v>
      </c>
      <c r="V74" s="460">
        <v>0.29002494131637169</v>
      </c>
      <c r="W74" s="461">
        <v>367049175.73000002</v>
      </c>
      <c r="X74" s="461">
        <v>6390</v>
      </c>
      <c r="Y74" s="460">
        <v>1.7408808356553779E-5</v>
      </c>
      <c r="Z74" s="461">
        <v>361350440.73000002</v>
      </c>
      <c r="AA74" s="461">
        <v>5698735</v>
      </c>
      <c r="AB74" s="460">
        <v>0.9844570535563093</v>
      </c>
    </row>
    <row r="75" spans="1:28" ht="32.1" customHeight="1">
      <c r="A75" s="411" t="e">
        <v>#REF!</v>
      </c>
      <c r="B75" s="444" t="s">
        <v>393</v>
      </c>
      <c r="C75" s="445" t="s">
        <v>23</v>
      </c>
      <c r="D75" s="446" t="s">
        <v>54</v>
      </c>
      <c r="E75" s="446" t="s">
        <v>54</v>
      </c>
      <c r="F75" s="446" t="s">
        <v>54</v>
      </c>
      <c r="G75" s="446" t="s">
        <v>44</v>
      </c>
      <c r="H75" s="446"/>
      <c r="I75" s="447"/>
      <c r="J75" s="448" t="s">
        <v>28</v>
      </c>
      <c r="K75" s="448" t="s">
        <v>29</v>
      </c>
      <c r="L75" s="444" t="s">
        <v>110</v>
      </c>
      <c r="M75" s="449">
        <v>16189463994</v>
      </c>
      <c r="N75" s="449">
        <v>0</v>
      </c>
      <c r="O75" s="449">
        <v>0</v>
      </c>
      <c r="P75" s="449">
        <v>0</v>
      </c>
      <c r="Q75" s="449">
        <v>249607469.44</v>
      </c>
      <c r="R75" s="449">
        <v>0</v>
      </c>
      <c r="S75" s="449">
        <v>15939856524.559999</v>
      </c>
      <c r="T75" s="449">
        <v>14595882303</v>
      </c>
      <c r="U75" s="449">
        <v>1343974221.5599995</v>
      </c>
      <c r="V75" s="450">
        <v>0.91568467260108555</v>
      </c>
      <c r="W75" s="449">
        <v>8007053492.9200001</v>
      </c>
      <c r="X75" s="449">
        <v>6588828810.0799999</v>
      </c>
      <c r="Y75" s="450">
        <v>0.45141695947532745</v>
      </c>
      <c r="Z75" s="449">
        <v>8007053492.9200001</v>
      </c>
      <c r="AA75" s="449">
        <v>0</v>
      </c>
      <c r="AB75" s="450">
        <v>0.54858304052467255</v>
      </c>
    </row>
    <row r="76" spans="1:28" ht="32.1" customHeight="1">
      <c r="A76" s="411" t="e">
        <v>#REF!</v>
      </c>
      <c r="B76" s="451" t="s">
        <v>595</v>
      </c>
      <c r="C76" s="452" t="s">
        <v>23</v>
      </c>
      <c r="D76" s="453" t="s">
        <v>54</v>
      </c>
      <c r="E76" s="453" t="s">
        <v>54</v>
      </c>
      <c r="F76" s="453" t="s">
        <v>54</v>
      </c>
      <c r="G76" s="453" t="s">
        <v>44</v>
      </c>
      <c r="H76" s="453" t="s">
        <v>31</v>
      </c>
      <c r="I76" s="454"/>
      <c r="J76" s="455">
        <v>10</v>
      </c>
      <c r="K76" s="456" t="s">
        <v>29</v>
      </c>
      <c r="L76" s="457" t="s">
        <v>111</v>
      </c>
      <c r="M76" s="458">
        <v>718200000</v>
      </c>
      <c r="N76" s="458"/>
      <c r="O76" s="458"/>
      <c r="P76" s="458"/>
      <c r="Q76" s="458"/>
      <c r="R76" s="459"/>
      <c r="S76" s="458">
        <v>718200000</v>
      </c>
      <c r="T76" s="458">
        <v>139249053</v>
      </c>
      <c r="U76" s="458">
        <v>578950947</v>
      </c>
      <c r="V76" s="460">
        <v>0.19388617794486215</v>
      </c>
      <c r="W76" s="461">
        <v>113259936.42</v>
      </c>
      <c r="X76" s="461">
        <v>25989116.579999998</v>
      </c>
      <c r="Y76" s="460">
        <v>0.1866376540456616</v>
      </c>
      <c r="Z76" s="461">
        <v>113259936.42</v>
      </c>
      <c r="AA76" s="461">
        <v>0</v>
      </c>
      <c r="AB76" s="460">
        <v>0.81336234595433843</v>
      </c>
    </row>
    <row r="77" spans="1:28" ht="32.1" customHeight="1">
      <c r="A77" s="411" t="e">
        <v>#REF!</v>
      </c>
      <c r="B77" s="451" t="s">
        <v>597</v>
      </c>
      <c r="C77" s="452" t="s">
        <v>23</v>
      </c>
      <c r="D77" s="453" t="s">
        <v>54</v>
      </c>
      <c r="E77" s="453" t="s">
        <v>54</v>
      </c>
      <c r="F77" s="453" t="s">
        <v>54</v>
      </c>
      <c r="G77" s="453" t="s">
        <v>44</v>
      </c>
      <c r="H77" s="453" t="s">
        <v>34</v>
      </c>
      <c r="I77" s="454"/>
      <c r="J77" s="455">
        <v>10</v>
      </c>
      <c r="K77" s="456" t="s">
        <v>29</v>
      </c>
      <c r="L77" s="457" t="s">
        <v>112</v>
      </c>
      <c r="M77" s="458">
        <v>15471263994</v>
      </c>
      <c r="N77" s="458"/>
      <c r="O77" s="458"/>
      <c r="P77" s="458"/>
      <c r="Q77" s="458">
        <v>249607469.44</v>
      </c>
      <c r="R77" s="459"/>
      <c r="S77" s="458">
        <v>15221656524.559999</v>
      </c>
      <c r="T77" s="458">
        <v>14456633250</v>
      </c>
      <c r="U77" s="458">
        <v>765023274.55999947</v>
      </c>
      <c r="V77" s="460">
        <v>0.94974112881041284</v>
      </c>
      <c r="W77" s="461">
        <v>7893793556.5</v>
      </c>
      <c r="X77" s="461">
        <v>6562839693.5</v>
      </c>
      <c r="Y77" s="460">
        <v>0.45396736432391682</v>
      </c>
      <c r="Z77" s="461">
        <v>7893793556.5</v>
      </c>
      <c r="AA77" s="461">
        <v>0</v>
      </c>
      <c r="AB77" s="460">
        <v>0.54603263567608318</v>
      </c>
    </row>
    <row r="78" spans="1:28" ht="32.1" customHeight="1">
      <c r="A78" s="411" t="e">
        <v>#REF!</v>
      </c>
      <c r="B78" s="444" t="s">
        <v>395</v>
      </c>
      <c r="C78" s="445" t="s">
        <v>23</v>
      </c>
      <c r="D78" s="446" t="s">
        <v>54</v>
      </c>
      <c r="E78" s="446" t="s">
        <v>54</v>
      </c>
      <c r="F78" s="446" t="s">
        <v>54</v>
      </c>
      <c r="G78" s="446" t="s">
        <v>46</v>
      </c>
      <c r="H78" s="446"/>
      <c r="I78" s="447"/>
      <c r="J78" s="448" t="s">
        <v>28</v>
      </c>
      <c r="K78" s="448" t="s">
        <v>29</v>
      </c>
      <c r="L78" s="444" t="s">
        <v>113</v>
      </c>
      <c r="M78" s="449">
        <v>18297410176</v>
      </c>
      <c r="N78" s="449">
        <v>0</v>
      </c>
      <c r="O78" s="449">
        <v>0</v>
      </c>
      <c r="P78" s="449">
        <v>1530699347</v>
      </c>
      <c r="Q78" s="449">
        <v>3936522410.5599999</v>
      </c>
      <c r="R78" s="449">
        <v>0</v>
      </c>
      <c r="S78" s="449">
        <v>15891587112.439999</v>
      </c>
      <c r="T78" s="449">
        <v>11982341538.030001</v>
      </c>
      <c r="U78" s="449">
        <v>3909245574.4099998</v>
      </c>
      <c r="V78" s="450">
        <v>0.75400533963345773</v>
      </c>
      <c r="W78" s="449">
        <v>5284325546.0299997</v>
      </c>
      <c r="X78" s="449">
        <v>6698015991.999999</v>
      </c>
      <c r="Y78" s="450">
        <v>0.55899057548489894</v>
      </c>
      <c r="Z78" s="449">
        <v>5134543347.0299997</v>
      </c>
      <c r="AA78" s="449">
        <v>149782199</v>
      </c>
      <c r="AB78" s="450">
        <v>0.428509180007413</v>
      </c>
    </row>
    <row r="79" spans="1:28" ht="32.1" customHeight="1">
      <c r="A79" s="411" t="e">
        <v>#REF!</v>
      </c>
      <c r="B79" s="451" t="s">
        <v>599</v>
      </c>
      <c r="C79" s="452" t="s">
        <v>23</v>
      </c>
      <c r="D79" s="453" t="s">
        <v>54</v>
      </c>
      <c r="E79" s="453" t="s">
        <v>54</v>
      </c>
      <c r="F79" s="453" t="s">
        <v>54</v>
      </c>
      <c r="G79" s="453" t="s">
        <v>46</v>
      </c>
      <c r="H79" s="453" t="s">
        <v>34</v>
      </c>
      <c r="I79" s="454"/>
      <c r="J79" s="455">
        <v>10</v>
      </c>
      <c r="K79" s="456" t="s">
        <v>29</v>
      </c>
      <c r="L79" s="457" t="s">
        <v>114</v>
      </c>
      <c r="M79" s="458">
        <v>57307000</v>
      </c>
      <c r="N79" s="458"/>
      <c r="O79" s="458"/>
      <c r="P79" s="458"/>
      <c r="Q79" s="458"/>
      <c r="R79" s="459"/>
      <c r="S79" s="458">
        <v>57307000</v>
      </c>
      <c r="T79" s="458">
        <v>41015500</v>
      </c>
      <c r="U79" s="458">
        <v>16291500</v>
      </c>
      <c r="V79" s="460">
        <v>0.71571535763519289</v>
      </c>
      <c r="W79" s="461">
        <v>5061329.8600000003</v>
      </c>
      <c r="X79" s="461">
        <v>35954170.140000001</v>
      </c>
      <c r="Y79" s="460">
        <v>0.87659958162158214</v>
      </c>
      <c r="Z79" s="461">
        <v>5061329.8600000003</v>
      </c>
      <c r="AA79" s="461">
        <v>0</v>
      </c>
      <c r="AB79" s="460">
        <v>0.12340041837841792</v>
      </c>
    </row>
    <row r="80" spans="1:28" ht="32.1" customHeight="1">
      <c r="A80" s="411" t="e">
        <v>#REF!</v>
      </c>
      <c r="B80" s="451" t="s">
        <v>601</v>
      </c>
      <c r="C80" s="452" t="s">
        <v>23</v>
      </c>
      <c r="D80" s="453" t="s">
        <v>54</v>
      </c>
      <c r="E80" s="453" t="s">
        <v>54</v>
      </c>
      <c r="F80" s="453" t="s">
        <v>54</v>
      </c>
      <c r="G80" s="453" t="s">
        <v>46</v>
      </c>
      <c r="H80" s="453" t="s">
        <v>36</v>
      </c>
      <c r="I80" s="454"/>
      <c r="J80" s="455">
        <v>10</v>
      </c>
      <c r="K80" s="456" t="s">
        <v>29</v>
      </c>
      <c r="L80" s="457" t="s">
        <v>115</v>
      </c>
      <c r="M80" s="458">
        <v>6648501421</v>
      </c>
      <c r="N80" s="458"/>
      <c r="O80" s="458"/>
      <c r="P80" s="458">
        <v>1315333318</v>
      </c>
      <c r="Q80" s="458">
        <v>3175048097</v>
      </c>
      <c r="R80" s="459"/>
      <c r="S80" s="458">
        <v>4788786642</v>
      </c>
      <c r="T80" s="458">
        <v>4166285030</v>
      </c>
      <c r="U80" s="458">
        <v>622501612</v>
      </c>
      <c r="V80" s="460">
        <v>0.87000848888518933</v>
      </c>
      <c r="W80" s="461">
        <v>2176533859</v>
      </c>
      <c r="X80" s="461">
        <v>1989751171</v>
      </c>
      <c r="Y80" s="460">
        <v>0.47758402429802072</v>
      </c>
      <c r="Z80" s="461">
        <v>2026751660</v>
      </c>
      <c r="AA80" s="461">
        <v>149782199</v>
      </c>
      <c r="AB80" s="460">
        <v>0.48646495508733834</v>
      </c>
    </row>
    <row r="81" spans="1:28" ht="32.1" customHeight="1">
      <c r="A81" s="411" t="e">
        <v>#REF!</v>
      </c>
      <c r="B81" s="451" t="s">
        <v>603</v>
      </c>
      <c r="C81" s="452" t="s">
        <v>23</v>
      </c>
      <c r="D81" s="453" t="s">
        <v>54</v>
      </c>
      <c r="E81" s="453" t="s">
        <v>54</v>
      </c>
      <c r="F81" s="453" t="s">
        <v>54</v>
      </c>
      <c r="G81" s="453" t="s">
        <v>46</v>
      </c>
      <c r="H81" s="453" t="s">
        <v>38</v>
      </c>
      <c r="I81" s="454"/>
      <c r="J81" s="455">
        <v>10</v>
      </c>
      <c r="K81" s="456" t="s">
        <v>29</v>
      </c>
      <c r="L81" s="457" t="s">
        <v>116</v>
      </c>
      <c r="M81" s="458">
        <v>2672983340</v>
      </c>
      <c r="N81" s="458"/>
      <c r="O81" s="458"/>
      <c r="P81" s="458"/>
      <c r="Q81" s="458">
        <v>200000000</v>
      </c>
      <c r="R81" s="459"/>
      <c r="S81" s="458">
        <v>2472983340</v>
      </c>
      <c r="T81" s="458">
        <v>1093670561.97</v>
      </c>
      <c r="U81" s="458">
        <v>1379312778.03</v>
      </c>
      <c r="V81" s="460">
        <v>0.44224744432366458</v>
      </c>
      <c r="W81" s="461">
        <v>677536273.78999996</v>
      </c>
      <c r="X81" s="461">
        <v>416134288.18000007</v>
      </c>
      <c r="Y81" s="460">
        <v>0.38049326977442671</v>
      </c>
      <c r="Z81" s="461">
        <v>677536273.78999996</v>
      </c>
      <c r="AA81" s="461">
        <v>0</v>
      </c>
      <c r="AB81" s="460">
        <v>0.61950673022557334</v>
      </c>
    </row>
    <row r="82" spans="1:28" ht="32.1" customHeight="1">
      <c r="A82" s="411" t="e">
        <v>#REF!</v>
      </c>
      <c r="B82" s="451" t="s">
        <v>605</v>
      </c>
      <c r="C82" s="452" t="s">
        <v>23</v>
      </c>
      <c r="D82" s="453" t="s">
        <v>54</v>
      </c>
      <c r="E82" s="453" t="s">
        <v>54</v>
      </c>
      <c r="F82" s="453" t="s">
        <v>54</v>
      </c>
      <c r="G82" s="453" t="s">
        <v>46</v>
      </c>
      <c r="H82" s="453" t="s">
        <v>40</v>
      </c>
      <c r="I82" s="454"/>
      <c r="J82" s="455">
        <v>10</v>
      </c>
      <c r="K82" s="456" t="s">
        <v>29</v>
      </c>
      <c r="L82" s="457" t="s">
        <v>117</v>
      </c>
      <c r="M82" s="458">
        <v>7515815535</v>
      </c>
      <c r="N82" s="458"/>
      <c r="O82" s="458"/>
      <c r="P82" s="458">
        <v>151113121</v>
      </c>
      <c r="Q82" s="458">
        <v>286725848.56</v>
      </c>
      <c r="R82" s="459"/>
      <c r="S82" s="458">
        <v>7380202807.4399996</v>
      </c>
      <c r="T82" s="458">
        <v>6232897362.4799995</v>
      </c>
      <c r="U82" s="458">
        <v>1147305444.96</v>
      </c>
      <c r="V82" s="460">
        <v>0.84454282966270267</v>
      </c>
      <c r="W82" s="461">
        <v>2239372097.5</v>
      </c>
      <c r="X82" s="461">
        <v>3993525264.9799995</v>
      </c>
      <c r="Y82" s="460">
        <v>0.64071731535637233</v>
      </c>
      <c r="Z82" s="461">
        <v>2239372097.5</v>
      </c>
      <c r="AA82" s="461">
        <v>0</v>
      </c>
      <c r="AB82" s="460">
        <v>0.35928268464362761</v>
      </c>
    </row>
    <row r="83" spans="1:28" ht="32.1" customHeight="1">
      <c r="A83" s="411" t="e">
        <v>#REF!</v>
      </c>
      <c r="B83" s="451" t="s">
        <v>607</v>
      </c>
      <c r="C83" s="452" t="s">
        <v>23</v>
      </c>
      <c r="D83" s="453" t="s">
        <v>54</v>
      </c>
      <c r="E83" s="453" t="s">
        <v>54</v>
      </c>
      <c r="F83" s="453" t="s">
        <v>54</v>
      </c>
      <c r="G83" s="453" t="s">
        <v>46</v>
      </c>
      <c r="H83" s="453" t="s">
        <v>44</v>
      </c>
      <c r="I83" s="454"/>
      <c r="J83" s="455">
        <v>10</v>
      </c>
      <c r="K83" s="456" t="s">
        <v>29</v>
      </c>
      <c r="L83" s="457" t="s">
        <v>118</v>
      </c>
      <c r="M83" s="458">
        <v>1074802880</v>
      </c>
      <c r="N83" s="458"/>
      <c r="O83" s="458"/>
      <c r="P83" s="458">
        <v>64252908</v>
      </c>
      <c r="Q83" s="458">
        <v>274748465</v>
      </c>
      <c r="R83" s="459"/>
      <c r="S83" s="458">
        <v>864307323</v>
      </c>
      <c r="T83" s="458">
        <v>295884033.57999998</v>
      </c>
      <c r="U83" s="458">
        <v>568423289.42000008</v>
      </c>
      <c r="V83" s="460">
        <v>0.34233660378230996</v>
      </c>
      <c r="W83" s="461">
        <v>144134235.88</v>
      </c>
      <c r="X83" s="461">
        <v>151749797.69999999</v>
      </c>
      <c r="Y83" s="460">
        <v>0.51286916655802062</v>
      </c>
      <c r="Z83" s="461">
        <v>144134235.88</v>
      </c>
      <c r="AA83" s="461">
        <v>0</v>
      </c>
      <c r="AB83" s="460">
        <v>0.48713083344197933</v>
      </c>
    </row>
    <row r="84" spans="1:28" ht="32.1" customHeight="1">
      <c r="A84" s="411" t="e">
        <v>#REF!</v>
      </c>
      <c r="B84" s="451" t="s">
        <v>609</v>
      </c>
      <c r="C84" s="452" t="s">
        <v>23</v>
      </c>
      <c r="D84" s="453" t="s">
        <v>54</v>
      </c>
      <c r="E84" s="453" t="s">
        <v>54</v>
      </c>
      <c r="F84" s="453" t="s">
        <v>54</v>
      </c>
      <c r="G84" s="453" t="s">
        <v>46</v>
      </c>
      <c r="H84" s="453" t="s">
        <v>48</v>
      </c>
      <c r="I84" s="454"/>
      <c r="J84" s="455">
        <v>10</v>
      </c>
      <c r="K84" s="456" t="s">
        <v>29</v>
      </c>
      <c r="L84" s="457" t="s">
        <v>119</v>
      </c>
      <c r="M84" s="458">
        <v>328000000</v>
      </c>
      <c r="N84" s="458"/>
      <c r="O84" s="458"/>
      <c r="P84" s="458"/>
      <c r="Q84" s="458"/>
      <c r="R84" s="459"/>
      <c r="S84" s="458">
        <v>328000000</v>
      </c>
      <c r="T84" s="458">
        <v>152589050</v>
      </c>
      <c r="U84" s="458">
        <v>175410950</v>
      </c>
      <c r="V84" s="460">
        <v>0.46521051829268295</v>
      </c>
      <c r="W84" s="461">
        <v>41687750</v>
      </c>
      <c r="X84" s="461">
        <v>110901300</v>
      </c>
      <c r="Y84" s="460">
        <v>0.72679723741644631</v>
      </c>
      <c r="Z84" s="461">
        <v>41687750</v>
      </c>
      <c r="AA84" s="461">
        <v>0</v>
      </c>
      <c r="AB84" s="460">
        <v>0.27320276258355369</v>
      </c>
    </row>
    <row r="85" spans="1:28" ht="32.1" customHeight="1">
      <c r="A85" s="411" t="e">
        <v>#REF!</v>
      </c>
      <c r="B85" s="444" t="s">
        <v>397</v>
      </c>
      <c r="C85" s="445" t="s">
        <v>23</v>
      </c>
      <c r="D85" s="446" t="s">
        <v>54</v>
      </c>
      <c r="E85" s="446" t="s">
        <v>54</v>
      </c>
      <c r="F85" s="446" t="s">
        <v>54</v>
      </c>
      <c r="G85" s="446" t="s">
        <v>48</v>
      </c>
      <c r="H85" s="446"/>
      <c r="I85" s="447"/>
      <c r="J85" s="448" t="s">
        <v>28</v>
      </c>
      <c r="K85" s="448" t="s">
        <v>29</v>
      </c>
      <c r="L85" s="444" t="s">
        <v>120</v>
      </c>
      <c r="M85" s="449">
        <v>2083184000</v>
      </c>
      <c r="N85" s="449">
        <v>0</v>
      </c>
      <c r="O85" s="449">
        <v>0</v>
      </c>
      <c r="P85" s="449">
        <v>3225048097</v>
      </c>
      <c r="Q85" s="449">
        <v>1243024477</v>
      </c>
      <c r="R85" s="449">
        <v>0</v>
      </c>
      <c r="S85" s="449">
        <v>4065207620</v>
      </c>
      <c r="T85" s="449">
        <v>1184593801.1099999</v>
      </c>
      <c r="U85" s="449">
        <v>2880613818.8899999</v>
      </c>
      <c r="V85" s="450">
        <v>0.29139810603572563</v>
      </c>
      <c r="W85" s="449">
        <v>75195576.109999999</v>
      </c>
      <c r="X85" s="449">
        <v>1109398225</v>
      </c>
      <c r="Y85" s="450">
        <v>0.9365220584139986</v>
      </c>
      <c r="Z85" s="449">
        <v>74872270.109999999</v>
      </c>
      <c r="AA85" s="449">
        <v>323306</v>
      </c>
      <c r="AB85" s="450">
        <v>6.3205015963989045E-2</v>
      </c>
    </row>
    <row r="86" spans="1:28" ht="32.1" customHeight="1">
      <c r="A86" s="411" t="e">
        <v>#REF!</v>
      </c>
      <c r="B86" s="451" t="s">
        <v>611</v>
      </c>
      <c r="C86" s="452" t="s">
        <v>23</v>
      </c>
      <c r="D86" s="453" t="s">
        <v>54</v>
      </c>
      <c r="E86" s="453" t="s">
        <v>54</v>
      </c>
      <c r="F86" s="453" t="s">
        <v>54</v>
      </c>
      <c r="G86" s="453" t="s">
        <v>48</v>
      </c>
      <c r="H86" s="453" t="s">
        <v>34</v>
      </c>
      <c r="I86" s="454"/>
      <c r="J86" s="455">
        <v>10</v>
      </c>
      <c r="K86" s="456" t="s">
        <v>29</v>
      </c>
      <c r="L86" s="457" t="s">
        <v>121</v>
      </c>
      <c r="M86" s="458">
        <v>150000000</v>
      </c>
      <c r="N86" s="458"/>
      <c r="O86" s="458"/>
      <c r="P86" s="458"/>
      <c r="Q86" s="458"/>
      <c r="R86" s="459"/>
      <c r="S86" s="458">
        <v>150000000</v>
      </c>
      <c r="T86" s="458">
        <v>0</v>
      </c>
      <c r="U86" s="458">
        <v>150000000</v>
      </c>
      <c r="V86" s="460">
        <v>0</v>
      </c>
      <c r="W86" s="461">
        <v>0</v>
      </c>
      <c r="X86" s="461">
        <v>0</v>
      </c>
      <c r="Y86" s="460">
        <v>0</v>
      </c>
      <c r="Z86" s="461">
        <v>0</v>
      </c>
      <c r="AA86" s="461">
        <v>0</v>
      </c>
      <c r="AB86" s="460">
        <v>0</v>
      </c>
    </row>
    <row r="87" spans="1:28" ht="32.1" customHeight="1">
      <c r="A87" s="411" t="e">
        <v>#REF!</v>
      </c>
      <c r="B87" s="451" t="s">
        <v>613</v>
      </c>
      <c r="C87" s="452" t="s">
        <v>23</v>
      </c>
      <c r="D87" s="453" t="s">
        <v>54</v>
      </c>
      <c r="E87" s="453" t="s">
        <v>54</v>
      </c>
      <c r="F87" s="453" t="s">
        <v>54</v>
      </c>
      <c r="G87" s="453" t="s">
        <v>48</v>
      </c>
      <c r="H87" s="453" t="s">
        <v>36</v>
      </c>
      <c r="I87" s="454"/>
      <c r="J87" s="455">
        <v>10</v>
      </c>
      <c r="K87" s="456" t="s">
        <v>29</v>
      </c>
      <c r="L87" s="457" t="s">
        <v>122</v>
      </c>
      <c r="M87" s="458">
        <v>285000000</v>
      </c>
      <c r="N87" s="458"/>
      <c r="O87" s="458"/>
      <c r="P87" s="458"/>
      <c r="Q87" s="458"/>
      <c r="R87" s="459"/>
      <c r="S87" s="458">
        <v>285000000</v>
      </c>
      <c r="T87" s="458">
        <v>43909567</v>
      </c>
      <c r="U87" s="458">
        <v>241090433</v>
      </c>
      <c r="V87" s="460">
        <v>0.15406865614035087</v>
      </c>
      <c r="W87" s="461">
        <v>24499879</v>
      </c>
      <c r="X87" s="461">
        <v>19409688</v>
      </c>
      <c r="Y87" s="460">
        <v>0.44203779098983143</v>
      </c>
      <c r="Z87" s="461">
        <v>24499879</v>
      </c>
      <c r="AA87" s="461">
        <v>0</v>
      </c>
      <c r="AB87" s="460">
        <v>0.55796220901016857</v>
      </c>
    </row>
    <row r="88" spans="1:28" ht="39.950000000000003" customHeight="1">
      <c r="A88" s="411" t="e">
        <v>#REF!</v>
      </c>
      <c r="B88" s="451" t="s">
        <v>615</v>
      </c>
      <c r="C88" s="452" t="s">
        <v>23</v>
      </c>
      <c r="D88" s="453" t="s">
        <v>54</v>
      </c>
      <c r="E88" s="453" t="s">
        <v>54</v>
      </c>
      <c r="F88" s="453" t="s">
        <v>54</v>
      </c>
      <c r="G88" s="453" t="s">
        <v>48</v>
      </c>
      <c r="H88" s="453" t="s">
        <v>38</v>
      </c>
      <c r="I88" s="454"/>
      <c r="J88" s="455">
        <v>10</v>
      </c>
      <c r="K88" s="456" t="s">
        <v>29</v>
      </c>
      <c r="L88" s="457" t="s">
        <v>123</v>
      </c>
      <c r="M88" s="458">
        <v>105720000</v>
      </c>
      <c r="N88" s="458"/>
      <c r="O88" s="458"/>
      <c r="P88" s="491">
        <v>5000000</v>
      </c>
      <c r="Q88" s="458"/>
      <c r="R88" s="459"/>
      <c r="S88" s="458">
        <v>110720000</v>
      </c>
      <c r="T88" s="458">
        <v>25141099.109999999</v>
      </c>
      <c r="U88" s="458">
        <v>85578900.890000001</v>
      </c>
      <c r="V88" s="460">
        <v>0.22706917548771677</v>
      </c>
      <c r="W88" s="461">
        <v>25141099.109999999</v>
      </c>
      <c r="X88" s="461">
        <v>0</v>
      </c>
      <c r="Y88" s="460">
        <v>0</v>
      </c>
      <c r="Z88" s="461">
        <v>24817793.109999999</v>
      </c>
      <c r="AA88" s="461">
        <v>323306</v>
      </c>
      <c r="AB88" s="460">
        <v>0.98714033946624857</v>
      </c>
    </row>
    <row r="89" spans="1:28" ht="32.1" customHeight="1">
      <c r="A89" s="411" t="e">
        <v>#REF!</v>
      </c>
      <c r="B89" s="451" t="s">
        <v>617</v>
      </c>
      <c r="C89" s="452" t="s">
        <v>23</v>
      </c>
      <c r="D89" s="453" t="s">
        <v>54</v>
      </c>
      <c r="E89" s="453" t="s">
        <v>54</v>
      </c>
      <c r="F89" s="453" t="s">
        <v>54</v>
      </c>
      <c r="G89" s="453" t="s">
        <v>48</v>
      </c>
      <c r="H89" s="453" t="s">
        <v>42</v>
      </c>
      <c r="I89" s="454"/>
      <c r="J89" s="455">
        <v>10</v>
      </c>
      <c r="K89" s="456" t="s">
        <v>29</v>
      </c>
      <c r="L89" s="457" t="s">
        <v>124</v>
      </c>
      <c r="M89" s="458">
        <v>1481000000</v>
      </c>
      <c r="N89" s="458"/>
      <c r="O89" s="458"/>
      <c r="P89" s="458"/>
      <c r="Q89" s="458"/>
      <c r="R89" s="459"/>
      <c r="S89" s="458">
        <v>1481000000</v>
      </c>
      <c r="T89" s="458">
        <v>1115543135</v>
      </c>
      <c r="U89" s="458">
        <v>365456865</v>
      </c>
      <c r="V89" s="460">
        <v>0.75323641796083729</v>
      </c>
      <c r="W89" s="461">
        <v>25554598</v>
      </c>
      <c r="X89" s="461">
        <v>1089988537</v>
      </c>
      <c r="Y89" s="460">
        <v>0.97709223677845503</v>
      </c>
      <c r="Z89" s="461">
        <v>25554598</v>
      </c>
      <c r="AA89" s="461">
        <v>0</v>
      </c>
      <c r="AB89" s="460">
        <v>2.2907763221544992E-2</v>
      </c>
    </row>
    <row r="90" spans="1:28" ht="32.1" customHeight="1">
      <c r="A90" s="411" t="e">
        <v>#REF!</v>
      </c>
      <c r="B90" s="462" t="s">
        <v>619</v>
      </c>
      <c r="C90" s="463" t="s">
        <v>23</v>
      </c>
      <c r="D90" s="464" t="s">
        <v>54</v>
      </c>
      <c r="E90" s="464" t="s">
        <v>54</v>
      </c>
      <c r="F90" s="464" t="s">
        <v>54</v>
      </c>
      <c r="G90" s="464" t="s">
        <v>48</v>
      </c>
      <c r="H90" s="464" t="s">
        <v>44</v>
      </c>
      <c r="I90" s="465"/>
      <c r="J90" s="466">
        <v>10</v>
      </c>
      <c r="K90" s="467" t="s">
        <v>29</v>
      </c>
      <c r="L90" s="468" t="s">
        <v>125</v>
      </c>
      <c r="M90" s="469">
        <v>61464000</v>
      </c>
      <c r="N90" s="469"/>
      <c r="O90" s="469"/>
      <c r="P90" s="469">
        <v>3220048097</v>
      </c>
      <c r="Q90" s="469">
        <v>1243024477</v>
      </c>
      <c r="R90" s="588"/>
      <c r="S90" s="469">
        <v>2038487620</v>
      </c>
      <c r="T90" s="469">
        <v>0</v>
      </c>
      <c r="U90" s="469">
        <v>2038487620</v>
      </c>
      <c r="V90" s="470">
        <v>0</v>
      </c>
      <c r="W90" s="471">
        <v>0</v>
      </c>
      <c r="X90" s="471">
        <v>0</v>
      </c>
      <c r="Y90" s="470">
        <v>0</v>
      </c>
      <c r="Z90" s="471">
        <v>0</v>
      </c>
      <c r="AA90" s="471">
        <v>0</v>
      </c>
      <c r="AB90" s="470">
        <v>0</v>
      </c>
    </row>
    <row r="91" spans="1:28" s="482" customFormat="1" ht="32.1" customHeight="1">
      <c r="A91" s="411" t="e">
        <v>#REF!</v>
      </c>
      <c r="B91" s="473" t="s">
        <v>399</v>
      </c>
      <c r="C91" s="474" t="s">
        <v>23</v>
      </c>
      <c r="D91" s="475" t="s">
        <v>54</v>
      </c>
      <c r="E91" s="475" t="s">
        <v>54</v>
      </c>
      <c r="F91" s="475" t="s">
        <v>54</v>
      </c>
      <c r="G91" s="475" t="s">
        <v>50</v>
      </c>
      <c r="H91" s="475"/>
      <c r="I91" s="476"/>
      <c r="J91" s="477" t="s">
        <v>28</v>
      </c>
      <c r="K91" s="478" t="s">
        <v>29</v>
      </c>
      <c r="L91" s="479" t="s">
        <v>126</v>
      </c>
      <c r="M91" s="480">
        <v>1000000000</v>
      </c>
      <c r="N91" s="480"/>
      <c r="O91" s="480"/>
      <c r="P91" s="480"/>
      <c r="Q91" s="480"/>
      <c r="R91" s="589"/>
      <c r="S91" s="480">
        <v>1000000000</v>
      </c>
      <c r="T91" s="480">
        <v>596128123</v>
      </c>
      <c r="U91" s="480">
        <v>403871877</v>
      </c>
      <c r="V91" s="460">
        <v>0.59612812299999995</v>
      </c>
      <c r="W91" s="481">
        <v>462744807</v>
      </c>
      <c r="X91" s="481">
        <v>133383316</v>
      </c>
      <c r="Y91" s="460">
        <v>0.22374941032600806</v>
      </c>
      <c r="Z91" s="481">
        <v>462744807</v>
      </c>
      <c r="AA91" s="481">
        <v>0</v>
      </c>
      <c r="AB91" s="460">
        <v>0.77625058967399196</v>
      </c>
    </row>
    <row r="92" spans="1:28" ht="24" customHeight="1">
      <c r="A92" s="411" t="e">
        <v>#REF!</v>
      </c>
      <c r="B92" s="420" t="s">
        <v>401</v>
      </c>
      <c r="C92" s="421" t="s">
        <v>23</v>
      </c>
      <c r="D92" s="422" t="s">
        <v>65</v>
      </c>
      <c r="E92" s="422"/>
      <c r="F92" s="422"/>
      <c r="G92" s="422"/>
      <c r="H92" s="422"/>
      <c r="I92" s="423"/>
      <c r="J92" s="424"/>
      <c r="K92" s="424"/>
      <c r="L92" s="420" t="s">
        <v>127</v>
      </c>
      <c r="M92" s="425">
        <v>8837000000</v>
      </c>
      <c r="N92" s="425">
        <v>0</v>
      </c>
      <c r="O92" s="425">
        <v>0</v>
      </c>
      <c r="P92" s="425">
        <v>55158452</v>
      </c>
      <c r="Q92" s="425">
        <v>55158452</v>
      </c>
      <c r="R92" s="425">
        <v>5880000000</v>
      </c>
      <c r="S92" s="425">
        <v>2957000000</v>
      </c>
      <c r="T92" s="425">
        <v>1380904448</v>
      </c>
      <c r="U92" s="425">
        <v>1576095552</v>
      </c>
      <c r="V92" s="426">
        <v>0.4669950787960771</v>
      </c>
      <c r="W92" s="427">
        <v>1308008989</v>
      </c>
      <c r="X92" s="427">
        <v>72895459</v>
      </c>
      <c r="Y92" s="426">
        <v>5.2788199144101822E-2</v>
      </c>
      <c r="Z92" s="427">
        <v>1308008989</v>
      </c>
      <c r="AA92" s="427">
        <v>0</v>
      </c>
      <c r="AB92" s="426">
        <v>0.94721180085589818</v>
      </c>
    </row>
    <row r="93" spans="1:28" ht="19.5" customHeight="1">
      <c r="A93" s="411" t="e">
        <v>#REF!</v>
      </c>
      <c r="B93" s="428" t="s">
        <v>621</v>
      </c>
      <c r="C93" s="429" t="s">
        <v>23</v>
      </c>
      <c r="D93" s="430" t="s">
        <v>65</v>
      </c>
      <c r="E93" s="430" t="s">
        <v>65</v>
      </c>
      <c r="F93" s="430"/>
      <c r="G93" s="430"/>
      <c r="H93" s="430"/>
      <c r="I93" s="431"/>
      <c r="J93" s="432"/>
      <c r="K93" s="432"/>
      <c r="L93" s="428" t="s">
        <v>128</v>
      </c>
      <c r="M93" s="433">
        <v>5880000000</v>
      </c>
      <c r="N93" s="433">
        <v>0</v>
      </c>
      <c r="O93" s="433">
        <v>0</v>
      </c>
      <c r="P93" s="433">
        <v>0</v>
      </c>
      <c r="Q93" s="433">
        <v>0</v>
      </c>
      <c r="R93" s="433">
        <v>5880000000</v>
      </c>
      <c r="S93" s="433">
        <v>0</v>
      </c>
      <c r="T93" s="433">
        <v>0</v>
      </c>
      <c r="U93" s="433">
        <v>0</v>
      </c>
      <c r="V93" s="434">
        <v>0</v>
      </c>
      <c r="W93" s="435">
        <v>0</v>
      </c>
      <c r="X93" s="435">
        <v>0</v>
      </c>
      <c r="Y93" s="434">
        <v>0</v>
      </c>
      <c r="Z93" s="435">
        <v>0</v>
      </c>
      <c r="AA93" s="435">
        <v>0</v>
      </c>
      <c r="AB93" s="434">
        <v>0</v>
      </c>
    </row>
    <row r="94" spans="1:28" ht="32.1" customHeight="1">
      <c r="A94" s="411" t="e">
        <v>#REF!</v>
      </c>
      <c r="B94" s="436" t="s">
        <v>623</v>
      </c>
      <c r="C94" s="437" t="s">
        <v>23</v>
      </c>
      <c r="D94" s="438" t="s">
        <v>65</v>
      </c>
      <c r="E94" s="438" t="s">
        <v>65</v>
      </c>
      <c r="F94" s="438" t="s">
        <v>25</v>
      </c>
      <c r="G94" s="438"/>
      <c r="H94" s="438"/>
      <c r="I94" s="439"/>
      <c r="J94" s="440"/>
      <c r="K94" s="440"/>
      <c r="L94" s="436" t="s">
        <v>129</v>
      </c>
      <c r="M94" s="441">
        <v>5880000000</v>
      </c>
      <c r="N94" s="441">
        <v>0</v>
      </c>
      <c r="O94" s="441">
        <v>0</v>
      </c>
      <c r="P94" s="441">
        <v>0</v>
      </c>
      <c r="Q94" s="441">
        <v>0</v>
      </c>
      <c r="R94" s="441">
        <v>5880000000</v>
      </c>
      <c r="S94" s="441">
        <v>0</v>
      </c>
      <c r="T94" s="441">
        <v>0</v>
      </c>
      <c r="U94" s="441">
        <v>0</v>
      </c>
      <c r="V94" s="442">
        <v>0</v>
      </c>
      <c r="W94" s="443">
        <v>0</v>
      </c>
      <c r="X94" s="443">
        <v>0</v>
      </c>
      <c r="Y94" s="442">
        <v>0</v>
      </c>
      <c r="Z94" s="443">
        <v>0</v>
      </c>
      <c r="AA94" s="443">
        <v>0</v>
      </c>
      <c r="AB94" s="442">
        <v>0</v>
      </c>
    </row>
    <row r="95" spans="1:28" ht="32.1" customHeight="1">
      <c r="A95" s="411" t="e">
        <v>#REF!</v>
      </c>
      <c r="B95" s="451" t="s">
        <v>627</v>
      </c>
      <c r="C95" s="452" t="s">
        <v>23</v>
      </c>
      <c r="D95" s="453" t="s">
        <v>65</v>
      </c>
      <c r="E95" s="453" t="s">
        <v>65</v>
      </c>
      <c r="F95" s="453" t="s">
        <v>25</v>
      </c>
      <c r="G95" s="453" t="s">
        <v>134</v>
      </c>
      <c r="H95" s="453"/>
      <c r="I95" s="454"/>
      <c r="J95" s="455" t="s">
        <v>28</v>
      </c>
      <c r="K95" s="456" t="s">
        <v>29</v>
      </c>
      <c r="L95" s="457" t="s">
        <v>135</v>
      </c>
      <c r="M95" s="458">
        <v>5880000000</v>
      </c>
      <c r="N95" s="458"/>
      <c r="O95" s="458"/>
      <c r="P95" s="458"/>
      <c r="Q95" s="458"/>
      <c r="R95" s="458">
        <v>5880000000</v>
      </c>
      <c r="S95" s="458">
        <v>0</v>
      </c>
      <c r="T95" s="459">
        <v>0</v>
      </c>
      <c r="U95" s="458">
        <v>0</v>
      </c>
      <c r="V95" s="460">
        <v>0</v>
      </c>
      <c r="W95" s="461">
        <v>0</v>
      </c>
      <c r="X95" s="461">
        <v>0</v>
      </c>
      <c r="Y95" s="460">
        <v>0</v>
      </c>
      <c r="Z95" s="461">
        <v>0</v>
      </c>
      <c r="AA95" s="461">
        <v>0</v>
      </c>
      <c r="AB95" s="460">
        <v>0</v>
      </c>
    </row>
    <row r="96" spans="1:28" ht="24" customHeight="1">
      <c r="A96" s="411" t="e">
        <v>#REF!</v>
      </c>
      <c r="B96" s="428" t="s">
        <v>403</v>
      </c>
      <c r="C96" s="429" t="s">
        <v>23</v>
      </c>
      <c r="D96" s="430" t="s">
        <v>65</v>
      </c>
      <c r="E96" s="430" t="s">
        <v>136</v>
      </c>
      <c r="F96" s="430"/>
      <c r="G96" s="430"/>
      <c r="H96" s="430"/>
      <c r="I96" s="431"/>
      <c r="J96" s="432"/>
      <c r="K96" s="432"/>
      <c r="L96" s="428" t="s">
        <v>839</v>
      </c>
      <c r="M96" s="433">
        <v>598000000</v>
      </c>
      <c r="N96" s="433">
        <v>0</v>
      </c>
      <c r="O96" s="433">
        <v>0</v>
      </c>
      <c r="P96" s="433">
        <v>0</v>
      </c>
      <c r="Q96" s="433">
        <v>0</v>
      </c>
      <c r="R96" s="433">
        <v>0</v>
      </c>
      <c r="S96" s="433">
        <v>598000000</v>
      </c>
      <c r="T96" s="433">
        <v>268312232</v>
      </c>
      <c r="U96" s="433">
        <v>329687768</v>
      </c>
      <c r="V96" s="434">
        <v>0.44868266220735786</v>
      </c>
      <c r="W96" s="435">
        <v>195416773</v>
      </c>
      <c r="X96" s="435">
        <v>72895459</v>
      </c>
      <c r="Y96" s="434">
        <v>0.27168146027721912</v>
      </c>
      <c r="Z96" s="435">
        <v>195416773</v>
      </c>
      <c r="AA96" s="435">
        <v>0</v>
      </c>
      <c r="AB96" s="434">
        <v>0.72831853972278093</v>
      </c>
    </row>
    <row r="97" spans="1:28" ht="32.1" customHeight="1">
      <c r="A97" s="411" t="e">
        <v>#REF!</v>
      </c>
      <c r="B97" s="436" t="s">
        <v>405</v>
      </c>
      <c r="C97" s="437" t="s">
        <v>23</v>
      </c>
      <c r="D97" s="438" t="s">
        <v>65</v>
      </c>
      <c r="E97" s="438" t="s">
        <v>136</v>
      </c>
      <c r="F97" s="438" t="s">
        <v>54</v>
      </c>
      <c r="G97" s="438"/>
      <c r="H97" s="438"/>
      <c r="I97" s="439"/>
      <c r="J97" s="440" t="s">
        <v>28</v>
      </c>
      <c r="K97" s="440" t="s">
        <v>29</v>
      </c>
      <c r="L97" s="436" t="s">
        <v>138</v>
      </c>
      <c r="M97" s="441">
        <v>598000000</v>
      </c>
      <c r="N97" s="441">
        <v>0</v>
      </c>
      <c r="O97" s="441">
        <v>0</v>
      </c>
      <c r="P97" s="441">
        <v>0</v>
      </c>
      <c r="Q97" s="441">
        <v>0</v>
      </c>
      <c r="R97" s="441">
        <v>0</v>
      </c>
      <c r="S97" s="441">
        <v>598000000</v>
      </c>
      <c r="T97" s="441">
        <v>268312232</v>
      </c>
      <c r="U97" s="441">
        <v>329687768</v>
      </c>
      <c r="V97" s="442">
        <v>0.44868266220735786</v>
      </c>
      <c r="W97" s="443">
        <v>195416773</v>
      </c>
      <c r="X97" s="443">
        <v>72895459</v>
      </c>
      <c r="Y97" s="442">
        <v>0.27168146027721912</v>
      </c>
      <c r="Z97" s="443">
        <v>195416773</v>
      </c>
      <c r="AA97" s="443">
        <v>0</v>
      </c>
      <c r="AB97" s="442">
        <v>0.72831853972278093</v>
      </c>
    </row>
    <row r="98" spans="1:28" ht="32.1" customHeight="1">
      <c r="A98" s="411" t="e">
        <v>#REF!</v>
      </c>
      <c r="B98" s="444" t="s">
        <v>407</v>
      </c>
      <c r="C98" s="445" t="s">
        <v>23</v>
      </c>
      <c r="D98" s="446" t="s">
        <v>65</v>
      </c>
      <c r="E98" s="446" t="s">
        <v>136</v>
      </c>
      <c r="F98" s="446" t="s">
        <v>54</v>
      </c>
      <c r="G98" s="446" t="s">
        <v>52</v>
      </c>
      <c r="H98" s="446"/>
      <c r="I98" s="447"/>
      <c r="J98" s="448" t="s">
        <v>28</v>
      </c>
      <c r="K98" s="448" t="s">
        <v>29</v>
      </c>
      <c r="L98" s="444" t="s">
        <v>761</v>
      </c>
      <c r="M98" s="449">
        <v>598000000</v>
      </c>
      <c r="N98" s="449">
        <v>0</v>
      </c>
      <c r="O98" s="449">
        <v>0</v>
      </c>
      <c r="P98" s="449">
        <v>0</v>
      </c>
      <c r="Q98" s="449">
        <v>0</v>
      </c>
      <c r="R98" s="449">
        <v>0</v>
      </c>
      <c r="S98" s="449">
        <v>598000000</v>
      </c>
      <c r="T98" s="449">
        <v>268312232</v>
      </c>
      <c r="U98" s="449">
        <v>329687768</v>
      </c>
      <c r="V98" s="450">
        <v>0.44868266220735786</v>
      </c>
      <c r="W98" s="449">
        <v>195416773</v>
      </c>
      <c r="X98" s="449">
        <v>72895459</v>
      </c>
      <c r="Y98" s="450">
        <v>0.27168146027721912</v>
      </c>
      <c r="Z98" s="449">
        <v>195416773</v>
      </c>
      <c r="AA98" s="449">
        <v>0</v>
      </c>
      <c r="AB98" s="450">
        <v>0.72831853972278093</v>
      </c>
    </row>
    <row r="99" spans="1:28" ht="32.1" customHeight="1">
      <c r="A99" s="411" t="e">
        <v>#REF!</v>
      </c>
      <c r="B99" s="451" t="s">
        <v>409</v>
      </c>
      <c r="C99" s="452" t="s">
        <v>23</v>
      </c>
      <c r="D99" s="453" t="s">
        <v>65</v>
      </c>
      <c r="E99" s="453" t="s">
        <v>136</v>
      </c>
      <c r="F99" s="453" t="s">
        <v>54</v>
      </c>
      <c r="G99" s="453" t="s">
        <v>52</v>
      </c>
      <c r="H99" s="453" t="s">
        <v>31</v>
      </c>
      <c r="I99" s="454"/>
      <c r="J99" s="455" t="s">
        <v>28</v>
      </c>
      <c r="K99" s="456" t="s">
        <v>29</v>
      </c>
      <c r="L99" s="457" t="s">
        <v>140</v>
      </c>
      <c r="M99" s="458">
        <v>398000000</v>
      </c>
      <c r="N99" s="458"/>
      <c r="O99" s="458"/>
      <c r="P99" s="458"/>
      <c r="Q99" s="458"/>
      <c r="R99" s="459"/>
      <c r="S99" s="458">
        <v>398000000</v>
      </c>
      <c r="T99" s="458">
        <v>218307282</v>
      </c>
      <c r="U99" s="458">
        <v>179692718</v>
      </c>
      <c r="V99" s="460">
        <v>0.54851075879396982</v>
      </c>
      <c r="W99" s="461">
        <v>176684695</v>
      </c>
      <c r="X99" s="461">
        <v>41622587</v>
      </c>
      <c r="Y99" s="460">
        <v>0.19066055249590805</v>
      </c>
      <c r="Z99" s="461">
        <v>176684695</v>
      </c>
      <c r="AA99" s="461">
        <v>0</v>
      </c>
      <c r="AB99" s="460">
        <v>0.80933944750409192</v>
      </c>
    </row>
    <row r="100" spans="1:28" ht="32.1" customHeight="1">
      <c r="A100" s="411" t="e">
        <v>#REF!</v>
      </c>
      <c r="B100" s="451" t="s">
        <v>411</v>
      </c>
      <c r="C100" s="452" t="s">
        <v>23</v>
      </c>
      <c r="D100" s="453" t="s">
        <v>65</v>
      </c>
      <c r="E100" s="453" t="s">
        <v>136</v>
      </c>
      <c r="F100" s="453" t="s">
        <v>54</v>
      </c>
      <c r="G100" s="453" t="s">
        <v>52</v>
      </c>
      <c r="H100" s="453" t="s">
        <v>34</v>
      </c>
      <c r="I100" s="454"/>
      <c r="J100" s="455" t="s">
        <v>28</v>
      </c>
      <c r="K100" s="456" t="s">
        <v>29</v>
      </c>
      <c r="L100" s="457" t="s">
        <v>141</v>
      </c>
      <c r="M100" s="458">
        <v>200000000</v>
      </c>
      <c r="N100" s="458"/>
      <c r="O100" s="458"/>
      <c r="P100" s="458"/>
      <c r="Q100" s="458"/>
      <c r="R100" s="459"/>
      <c r="S100" s="458">
        <v>200000000</v>
      </c>
      <c r="T100" s="458">
        <v>50004950</v>
      </c>
      <c r="U100" s="458">
        <v>149995050</v>
      </c>
      <c r="V100" s="460">
        <v>0.25002475000000002</v>
      </c>
      <c r="W100" s="461">
        <v>18732078</v>
      </c>
      <c r="X100" s="461">
        <v>31272872</v>
      </c>
      <c r="Y100" s="460">
        <v>0.62539552584294156</v>
      </c>
      <c r="Z100" s="461">
        <v>18732078</v>
      </c>
      <c r="AA100" s="461">
        <v>0</v>
      </c>
      <c r="AB100" s="460">
        <v>0.37460447415705844</v>
      </c>
    </row>
    <row r="101" spans="1:28" ht="24" customHeight="1">
      <c r="A101" s="411" t="e">
        <v>#REF!</v>
      </c>
      <c r="B101" s="428" t="s">
        <v>415</v>
      </c>
      <c r="C101" s="429" t="s">
        <v>23</v>
      </c>
      <c r="D101" s="430" t="s">
        <v>65</v>
      </c>
      <c r="E101" s="430" t="s">
        <v>28</v>
      </c>
      <c r="F101" s="430"/>
      <c r="G101" s="430"/>
      <c r="H101" s="430"/>
      <c r="I101" s="431"/>
      <c r="J101" s="432"/>
      <c r="K101" s="432"/>
      <c r="L101" s="428" t="s">
        <v>143</v>
      </c>
      <c r="M101" s="433">
        <v>2359000000</v>
      </c>
      <c r="N101" s="433">
        <v>0</v>
      </c>
      <c r="O101" s="433">
        <v>0</v>
      </c>
      <c r="P101" s="433">
        <v>55158452</v>
      </c>
      <c r="Q101" s="433">
        <v>55158452</v>
      </c>
      <c r="R101" s="433">
        <v>0</v>
      </c>
      <c r="S101" s="433">
        <v>2359000000</v>
      </c>
      <c r="T101" s="433">
        <v>1112592216</v>
      </c>
      <c r="U101" s="433">
        <v>1246407784</v>
      </c>
      <c r="V101" s="434">
        <v>0.47163722594319629</v>
      </c>
      <c r="W101" s="435">
        <v>1112592216</v>
      </c>
      <c r="X101" s="435">
        <v>0</v>
      </c>
      <c r="Y101" s="434">
        <v>0</v>
      </c>
      <c r="Z101" s="435">
        <v>1112592216</v>
      </c>
      <c r="AA101" s="435">
        <v>0</v>
      </c>
      <c r="AB101" s="434">
        <v>1</v>
      </c>
    </row>
    <row r="102" spans="1:28" ht="32.1" customHeight="1">
      <c r="A102" s="411" t="e">
        <v>#REF!</v>
      </c>
      <c r="B102" s="436" t="s">
        <v>417</v>
      </c>
      <c r="C102" s="437" t="s">
        <v>23</v>
      </c>
      <c r="D102" s="438" t="s">
        <v>65</v>
      </c>
      <c r="E102" s="438" t="s">
        <v>28</v>
      </c>
      <c r="F102" s="438" t="s">
        <v>25</v>
      </c>
      <c r="G102" s="438"/>
      <c r="H102" s="438"/>
      <c r="I102" s="439"/>
      <c r="J102" s="440">
        <v>10</v>
      </c>
      <c r="K102" s="440" t="s">
        <v>29</v>
      </c>
      <c r="L102" s="436" t="s">
        <v>145</v>
      </c>
      <c r="M102" s="441">
        <v>2359000000</v>
      </c>
      <c r="N102" s="441">
        <v>0</v>
      </c>
      <c r="O102" s="441">
        <v>0</v>
      </c>
      <c r="P102" s="441">
        <v>55158452</v>
      </c>
      <c r="Q102" s="441">
        <v>55158452</v>
      </c>
      <c r="R102" s="441">
        <v>0</v>
      </c>
      <c r="S102" s="441">
        <v>2359000000</v>
      </c>
      <c r="T102" s="441">
        <v>1112592216</v>
      </c>
      <c r="U102" s="441">
        <v>1246407784</v>
      </c>
      <c r="V102" s="442">
        <v>0.47163722594319629</v>
      </c>
      <c r="W102" s="443">
        <v>1112592216</v>
      </c>
      <c r="X102" s="443">
        <v>0</v>
      </c>
      <c r="Y102" s="442">
        <v>0</v>
      </c>
      <c r="Z102" s="443">
        <v>1112592216</v>
      </c>
      <c r="AA102" s="443">
        <v>0</v>
      </c>
      <c r="AB102" s="442">
        <v>1</v>
      </c>
    </row>
    <row r="103" spans="1:28" ht="32.1" customHeight="1">
      <c r="A103" s="411" t="e">
        <v>#REF!</v>
      </c>
      <c r="B103" s="451" t="s">
        <v>418</v>
      </c>
      <c r="C103" s="452" t="s">
        <v>23</v>
      </c>
      <c r="D103" s="453" t="s">
        <v>65</v>
      </c>
      <c r="E103" s="453" t="s">
        <v>28</v>
      </c>
      <c r="F103" s="453" t="s">
        <v>25</v>
      </c>
      <c r="G103" s="453" t="s">
        <v>31</v>
      </c>
      <c r="H103" s="453"/>
      <c r="I103" s="454"/>
      <c r="J103" s="455">
        <v>10</v>
      </c>
      <c r="K103" s="456" t="s">
        <v>29</v>
      </c>
      <c r="L103" s="457" t="s">
        <v>146</v>
      </c>
      <c r="M103" s="458">
        <v>2359000000</v>
      </c>
      <c r="N103" s="458"/>
      <c r="O103" s="458"/>
      <c r="P103" s="459"/>
      <c r="Q103" s="458">
        <v>55158452</v>
      </c>
      <c r="R103" s="459"/>
      <c r="S103" s="458">
        <v>2303841548</v>
      </c>
      <c r="T103" s="458">
        <v>1057433764</v>
      </c>
      <c r="U103" s="458">
        <v>1246407784</v>
      </c>
      <c r="V103" s="460">
        <v>0.45898719246467901</v>
      </c>
      <c r="W103" s="461">
        <v>1057433764</v>
      </c>
      <c r="X103" s="461">
        <v>0</v>
      </c>
      <c r="Y103" s="460">
        <v>0</v>
      </c>
      <c r="Z103" s="461">
        <v>1057433764</v>
      </c>
      <c r="AA103" s="461">
        <v>0</v>
      </c>
      <c r="AB103" s="460">
        <v>1</v>
      </c>
    </row>
    <row r="104" spans="1:28" ht="32.1" customHeight="1">
      <c r="A104" s="411" t="e">
        <v>#REF!</v>
      </c>
      <c r="B104" s="451" t="s">
        <v>419</v>
      </c>
      <c r="C104" s="452" t="s">
        <v>23</v>
      </c>
      <c r="D104" s="453" t="s">
        <v>65</v>
      </c>
      <c r="E104" s="453" t="s">
        <v>28</v>
      </c>
      <c r="F104" s="453" t="s">
        <v>25</v>
      </c>
      <c r="G104" s="472" t="s">
        <v>34</v>
      </c>
      <c r="H104" s="453"/>
      <c r="I104" s="454"/>
      <c r="J104" s="455">
        <v>10</v>
      </c>
      <c r="K104" s="456" t="s">
        <v>29</v>
      </c>
      <c r="L104" s="457" t="s">
        <v>147</v>
      </c>
      <c r="M104" s="458">
        <v>0</v>
      </c>
      <c r="N104" s="458"/>
      <c r="O104" s="458"/>
      <c r="P104" s="458">
        <v>55158452</v>
      </c>
      <c r="Q104" s="458"/>
      <c r="R104" s="459"/>
      <c r="S104" s="458">
        <v>55158452</v>
      </c>
      <c r="T104" s="458">
        <v>55158452</v>
      </c>
      <c r="U104" s="458">
        <v>0</v>
      </c>
      <c r="V104" s="460">
        <v>1</v>
      </c>
      <c r="W104" s="461">
        <v>55158452</v>
      </c>
      <c r="X104" s="461">
        <v>0</v>
      </c>
      <c r="Y104" s="460">
        <v>0</v>
      </c>
      <c r="Z104" s="461">
        <v>55158452</v>
      </c>
      <c r="AA104" s="461">
        <v>0</v>
      </c>
      <c r="AB104" s="460">
        <v>1</v>
      </c>
    </row>
    <row r="105" spans="1:28" ht="24" customHeight="1">
      <c r="A105" s="411" t="e">
        <v>#REF!</v>
      </c>
      <c r="B105" s="420" t="s">
        <v>421</v>
      </c>
      <c r="C105" s="421" t="s">
        <v>23</v>
      </c>
      <c r="D105" s="422" t="s">
        <v>148</v>
      </c>
      <c r="E105" s="422"/>
      <c r="F105" s="422"/>
      <c r="G105" s="422"/>
      <c r="H105" s="422"/>
      <c r="I105" s="423"/>
      <c r="J105" s="424"/>
      <c r="K105" s="424"/>
      <c r="L105" s="420" t="s">
        <v>149</v>
      </c>
      <c r="M105" s="425">
        <v>30002470214</v>
      </c>
      <c r="N105" s="425">
        <v>0</v>
      </c>
      <c r="O105" s="425">
        <v>0</v>
      </c>
      <c r="P105" s="425">
        <v>18406400</v>
      </c>
      <c r="Q105" s="425">
        <v>18406400</v>
      </c>
      <c r="R105" s="425">
        <v>0</v>
      </c>
      <c r="S105" s="425">
        <v>30002470214</v>
      </c>
      <c r="T105" s="425">
        <v>96658583.840000004</v>
      </c>
      <c r="U105" s="425">
        <v>29905811630.16</v>
      </c>
      <c r="V105" s="426">
        <v>3.2216875194128643E-3</v>
      </c>
      <c r="W105" s="425">
        <v>96658583.840000004</v>
      </c>
      <c r="X105" s="425">
        <v>0</v>
      </c>
      <c r="Y105" s="426">
        <v>0</v>
      </c>
      <c r="Z105" s="425">
        <v>96171086.840000004</v>
      </c>
      <c r="AA105" s="425">
        <v>487497</v>
      </c>
      <c r="AB105" s="426">
        <v>0.99495650587218454</v>
      </c>
    </row>
    <row r="106" spans="1:28" ht="24" customHeight="1">
      <c r="A106" s="411" t="e">
        <v>#REF!</v>
      </c>
      <c r="B106" s="428" t="s">
        <v>423</v>
      </c>
      <c r="C106" s="429" t="s">
        <v>23</v>
      </c>
      <c r="D106" s="430" t="s">
        <v>148</v>
      </c>
      <c r="E106" s="430" t="s">
        <v>25</v>
      </c>
      <c r="F106" s="430"/>
      <c r="G106" s="430"/>
      <c r="H106" s="430"/>
      <c r="I106" s="431"/>
      <c r="J106" s="432"/>
      <c r="K106" s="432"/>
      <c r="L106" s="428" t="s">
        <v>150</v>
      </c>
      <c r="M106" s="433">
        <v>145622400</v>
      </c>
      <c r="N106" s="433">
        <v>0</v>
      </c>
      <c r="O106" s="433">
        <v>0</v>
      </c>
      <c r="P106" s="433">
        <v>2000000</v>
      </c>
      <c r="Q106" s="433">
        <v>18406400</v>
      </c>
      <c r="R106" s="433">
        <v>0</v>
      </c>
      <c r="S106" s="433">
        <v>129216000</v>
      </c>
      <c r="T106" s="433">
        <v>95953583.840000004</v>
      </c>
      <c r="U106" s="433">
        <v>33262416.16</v>
      </c>
      <c r="V106" s="434">
        <v>0.74258283680039627</v>
      </c>
      <c r="W106" s="435">
        <v>95953583.840000004</v>
      </c>
      <c r="X106" s="435">
        <v>0</v>
      </c>
      <c r="Y106" s="434">
        <v>0</v>
      </c>
      <c r="Z106" s="435">
        <v>95466086.840000004</v>
      </c>
      <c r="AA106" s="435">
        <v>487497</v>
      </c>
      <c r="AB106" s="434">
        <v>0.9949194497955085</v>
      </c>
    </row>
    <row r="107" spans="1:28" ht="32.1" customHeight="1">
      <c r="A107" s="411" t="e">
        <v>#REF!</v>
      </c>
      <c r="B107" s="436" t="s">
        <v>425</v>
      </c>
      <c r="C107" s="437" t="s">
        <v>23</v>
      </c>
      <c r="D107" s="438" t="s">
        <v>148</v>
      </c>
      <c r="E107" s="438" t="s">
        <v>25</v>
      </c>
      <c r="F107" s="438" t="s">
        <v>54</v>
      </c>
      <c r="G107" s="438"/>
      <c r="H107" s="438"/>
      <c r="I107" s="439"/>
      <c r="J107" s="440" t="s">
        <v>28</v>
      </c>
      <c r="K107" s="440" t="s">
        <v>29</v>
      </c>
      <c r="L107" s="436" t="s">
        <v>151</v>
      </c>
      <c r="M107" s="441">
        <v>145622400</v>
      </c>
      <c r="N107" s="441">
        <v>0</v>
      </c>
      <c r="O107" s="441">
        <v>0</v>
      </c>
      <c r="P107" s="441">
        <v>2000000</v>
      </c>
      <c r="Q107" s="441">
        <v>18406400</v>
      </c>
      <c r="R107" s="441">
        <v>0</v>
      </c>
      <c r="S107" s="441">
        <v>129216000</v>
      </c>
      <c r="T107" s="441">
        <v>95953583.840000004</v>
      </c>
      <c r="U107" s="441">
        <v>33262416.16</v>
      </c>
      <c r="V107" s="442">
        <v>0.74258283680039627</v>
      </c>
      <c r="W107" s="443">
        <v>95953583.840000004</v>
      </c>
      <c r="X107" s="443">
        <v>0</v>
      </c>
      <c r="Y107" s="442">
        <v>0</v>
      </c>
      <c r="Z107" s="443">
        <v>95466086.840000004</v>
      </c>
      <c r="AA107" s="443">
        <v>487497</v>
      </c>
      <c r="AB107" s="442">
        <v>0.9949194497955085</v>
      </c>
    </row>
    <row r="108" spans="1:28" ht="32.1" customHeight="1">
      <c r="A108" s="411" t="e">
        <v>#REF!</v>
      </c>
      <c r="B108" s="451" t="s">
        <v>427</v>
      </c>
      <c r="C108" s="452" t="s">
        <v>23</v>
      </c>
      <c r="D108" s="453" t="s">
        <v>148</v>
      </c>
      <c r="E108" s="453" t="s">
        <v>25</v>
      </c>
      <c r="F108" s="453" t="s">
        <v>54</v>
      </c>
      <c r="G108" s="453" t="s">
        <v>31</v>
      </c>
      <c r="H108" s="453"/>
      <c r="I108" s="454"/>
      <c r="J108" s="455" t="s">
        <v>28</v>
      </c>
      <c r="K108" s="456" t="s">
        <v>29</v>
      </c>
      <c r="L108" s="457" t="s">
        <v>152</v>
      </c>
      <c r="M108" s="458">
        <v>69216000</v>
      </c>
      <c r="N108" s="458">
        <v>0</v>
      </c>
      <c r="O108" s="458"/>
      <c r="P108" s="458">
        <v>2000000</v>
      </c>
      <c r="Q108" s="590">
        <v>12000000</v>
      </c>
      <c r="R108" s="459"/>
      <c r="S108" s="458">
        <v>59216000</v>
      </c>
      <c r="T108" s="458">
        <v>58918760</v>
      </c>
      <c r="U108" s="458">
        <v>297240</v>
      </c>
      <c r="V108" s="460">
        <v>0.99498041069981091</v>
      </c>
      <c r="W108" s="461">
        <v>58918760</v>
      </c>
      <c r="X108" s="461">
        <v>0</v>
      </c>
      <c r="Y108" s="460">
        <v>0</v>
      </c>
      <c r="Z108" s="461">
        <v>58918760</v>
      </c>
      <c r="AA108" s="461">
        <v>0</v>
      </c>
      <c r="AB108" s="460">
        <v>1</v>
      </c>
    </row>
    <row r="109" spans="1:28" ht="32.1" customHeight="1">
      <c r="A109" s="411" t="e">
        <v>#REF!</v>
      </c>
      <c r="B109" s="451" t="s">
        <v>429</v>
      </c>
      <c r="C109" s="452" t="s">
        <v>23</v>
      </c>
      <c r="D109" s="453" t="s">
        <v>148</v>
      </c>
      <c r="E109" s="453" t="s">
        <v>25</v>
      </c>
      <c r="F109" s="453" t="s">
        <v>54</v>
      </c>
      <c r="G109" s="453" t="s">
        <v>38</v>
      </c>
      <c r="H109" s="453"/>
      <c r="I109" s="454"/>
      <c r="J109" s="455" t="s">
        <v>28</v>
      </c>
      <c r="K109" s="456" t="s">
        <v>29</v>
      </c>
      <c r="L109" s="457" t="s">
        <v>153</v>
      </c>
      <c r="M109" s="458">
        <v>56000000</v>
      </c>
      <c r="N109" s="458"/>
      <c r="O109" s="458"/>
      <c r="P109" s="458"/>
      <c r="Q109" s="458">
        <v>2000000</v>
      </c>
      <c r="R109" s="459"/>
      <c r="S109" s="458">
        <v>54000000</v>
      </c>
      <c r="T109" s="458">
        <v>29566723.84</v>
      </c>
      <c r="U109" s="458">
        <v>24433276.16</v>
      </c>
      <c r="V109" s="460">
        <v>0.54753192296296294</v>
      </c>
      <c r="W109" s="461">
        <v>29566723.84</v>
      </c>
      <c r="X109" s="461">
        <v>0</v>
      </c>
      <c r="Y109" s="460">
        <v>0</v>
      </c>
      <c r="Z109" s="461">
        <v>29079226.84</v>
      </c>
      <c r="AA109" s="461">
        <v>487497</v>
      </c>
      <c r="AB109" s="460">
        <v>0.98351197100368359</v>
      </c>
    </row>
    <row r="110" spans="1:28" ht="32.1" customHeight="1">
      <c r="A110" s="411" t="e">
        <v>#REF!</v>
      </c>
      <c r="B110" s="451" t="s">
        <v>431</v>
      </c>
      <c r="C110" s="452" t="s">
        <v>23</v>
      </c>
      <c r="D110" s="453" t="s">
        <v>148</v>
      </c>
      <c r="E110" s="453" t="s">
        <v>25</v>
      </c>
      <c r="F110" s="453" t="s">
        <v>54</v>
      </c>
      <c r="G110" s="453" t="s">
        <v>42</v>
      </c>
      <c r="H110" s="453"/>
      <c r="I110" s="454"/>
      <c r="J110" s="455" t="s">
        <v>28</v>
      </c>
      <c r="K110" s="456" t="s">
        <v>29</v>
      </c>
      <c r="L110" s="457" t="s">
        <v>154</v>
      </c>
      <c r="M110" s="458">
        <v>20406400</v>
      </c>
      <c r="N110" s="458">
        <v>0</v>
      </c>
      <c r="O110" s="458"/>
      <c r="P110" s="458"/>
      <c r="Q110" s="590">
        <v>4406400</v>
      </c>
      <c r="R110" s="459"/>
      <c r="S110" s="458">
        <v>16000000</v>
      </c>
      <c r="T110" s="458">
        <v>7468100</v>
      </c>
      <c r="U110" s="458">
        <v>8531900</v>
      </c>
      <c r="V110" s="460">
        <v>0.46675624999999998</v>
      </c>
      <c r="W110" s="461">
        <v>7468100</v>
      </c>
      <c r="X110" s="461">
        <v>0</v>
      </c>
      <c r="Y110" s="460">
        <v>0</v>
      </c>
      <c r="Z110" s="461">
        <v>7468100</v>
      </c>
      <c r="AA110" s="461">
        <v>0</v>
      </c>
      <c r="AB110" s="460">
        <v>1</v>
      </c>
    </row>
    <row r="111" spans="1:28" ht="24" customHeight="1">
      <c r="A111" s="411" t="e">
        <v>#REF!</v>
      </c>
      <c r="B111" s="428" t="s">
        <v>432</v>
      </c>
      <c r="C111" s="429" t="s">
        <v>23</v>
      </c>
      <c r="D111" s="430" t="s">
        <v>148</v>
      </c>
      <c r="E111" s="430" t="s">
        <v>136</v>
      </c>
      <c r="F111" s="430"/>
      <c r="G111" s="430"/>
      <c r="H111" s="430"/>
      <c r="I111" s="431"/>
      <c r="J111" s="432"/>
      <c r="K111" s="432"/>
      <c r="L111" s="428" t="s">
        <v>155</v>
      </c>
      <c r="M111" s="433">
        <v>29856847814</v>
      </c>
      <c r="N111" s="433">
        <v>0</v>
      </c>
      <c r="O111" s="433">
        <v>0</v>
      </c>
      <c r="P111" s="433">
        <v>0</v>
      </c>
      <c r="Q111" s="433">
        <v>0</v>
      </c>
      <c r="R111" s="433">
        <v>0</v>
      </c>
      <c r="S111" s="433">
        <v>29856847814</v>
      </c>
      <c r="T111" s="433">
        <v>0</v>
      </c>
      <c r="U111" s="433">
        <v>29856847814</v>
      </c>
      <c r="V111" s="434">
        <v>0</v>
      </c>
      <c r="W111" s="435">
        <v>0</v>
      </c>
      <c r="X111" s="435">
        <v>0</v>
      </c>
      <c r="Y111" s="434">
        <v>0</v>
      </c>
      <c r="Z111" s="435">
        <v>0</v>
      </c>
      <c r="AA111" s="435">
        <v>0</v>
      </c>
      <c r="AB111" s="434">
        <v>0</v>
      </c>
    </row>
    <row r="112" spans="1:28" ht="32.1" customHeight="1">
      <c r="A112" s="411" t="e">
        <v>#REF!</v>
      </c>
      <c r="B112" s="451" t="s">
        <v>434</v>
      </c>
      <c r="C112" s="452" t="s">
        <v>23</v>
      </c>
      <c r="D112" s="453" t="s">
        <v>148</v>
      </c>
      <c r="E112" s="453" t="s">
        <v>136</v>
      </c>
      <c r="F112" s="453" t="s">
        <v>25</v>
      </c>
      <c r="G112" s="453"/>
      <c r="H112" s="453"/>
      <c r="I112" s="454"/>
      <c r="J112" s="455" t="s">
        <v>144</v>
      </c>
      <c r="K112" s="456" t="s">
        <v>156</v>
      </c>
      <c r="L112" s="457" t="s">
        <v>157</v>
      </c>
      <c r="M112" s="458">
        <v>29856847814</v>
      </c>
      <c r="N112" s="458"/>
      <c r="O112" s="458"/>
      <c r="P112" s="458"/>
      <c r="Q112" s="458"/>
      <c r="R112" s="459"/>
      <c r="S112" s="458">
        <v>29856847814</v>
      </c>
      <c r="T112" s="459">
        <v>0</v>
      </c>
      <c r="U112" s="458">
        <v>29856847814</v>
      </c>
      <c r="V112" s="460">
        <v>0</v>
      </c>
      <c r="W112" s="461">
        <v>0</v>
      </c>
      <c r="X112" s="461">
        <v>0</v>
      </c>
      <c r="Y112" s="460">
        <v>0</v>
      </c>
      <c r="Z112" s="461">
        <v>0</v>
      </c>
      <c r="AA112" s="461">
        <v>0</v>
      </c>
      <c r="AB112" s="460">
        <v>0</v>
      </c>
    </row>
    <row r="113" spans="1:28" ht="24" customHeight="1">
      <c r="A113" s="411" t="e">
        <v>#REF!</v>
      </c>
      <c r="B113" s="428" t="s">
        <v>726</v>
      </c>
      <c r="C113" s="429" t="s">
        <v>23</v>
      </c>
      <c r="D113" s="430" t="s">
        <v>148</v>
      </c>
      <c r="E113" s="591" t="s">
        <v>158</v>
      </c>
      <c r="F113" s="430"/>
      <c r="G113" s="430"/>
      <c r="H113" s="430"/>
      <c r="I113" s="431"/>
      <c r="J113" s="432"/>
      <c r="K113" s="432"/>
      <c r="L113" s="428" t="s">
        <v>159</v>
      </c>
      <c r="M113" s="433">
        <v>0</v>
      </c>
      <c r="N113" s="433">
        <v>0</v>
      </c>
      <c r="O113" s="433">
        <v>0</v>
      </c>
      <c r="P113" s="433">
        <v>16406400</v>
      </c>
      <c r="Q113" s="433">
        <v>0</v>
      </c>
      <c r="R113" s="433">
        <v>0</v>
      </c>
      <c r="S113" s="433">
        <v>16406400</v>
      </c>
      <c r="T113" s="433">
        <v>705000</v>
      </c>
      <c r="U113" s="433">
        <v>15701400</v>
      </c>
      <c r="V113" s="434">
        <v>4.2971035693387949E-2</v>
      </c>
      <c r="W113" s="433">
        <v>705000</v>
      </c>
      <c r="X113" s="433">
        <v>0</v>
      </c>
      <c r="Y113" s="434">
        <v>0</v>
      </c>
      <c r="Z113" s="433">
        <v>705000</v>
      </c>
      <c r="AA113" s="433">
        <v>0</v>
      </c>
      <c r="AB113" s="434">
        <v>1</v>
      </c>
    </row>
    <row r="114" spans="1:28" ht="32.1" customHeight="1">
      <c r="A114" s="411" t="e">
        <v>#REF!</v>
      </c>
      <c r="B114" s="451" t="s">
        <v>882</v>
      </c>
      <c r="C114" s="452" t="s">
        <v>23</v>
      </c>
      <c r="D114" s="453" t="s">
        <v>148</v>
      </c>
      <c r="E114" s="453" t="s">
        <v>158</v>
      </c>
      <c r="F114" s="453" t="s">
        <v>25</v>
      </c>
      <c r="G114" s="453" t="s">
        <v>36</v>
      </c>
      <c r="H114" s="453"/>
      <c r="I114" s="454"/>
      <c r="J114" s="455" t="s">
        <v>28</v>
      </c>
      <c r="K114" s="456" t="s">
        <v>29</v>
      </c>
      <c r="L114" s="457" t="s">
        <v>160</v>
      </c>
      <c r="M114" s="458"/>
      <c r="N114" s="458"/>
      <c r="O114" s="458"/>
      <c r="P114" s="590">
        <v>3306400</v>
      </c>
      <c r="Q114" s="458"/>
      <c r="R114" s="459"/>
      <c r="S114" s="458">
        <v>3306400</v>
      </c>
      <c r="T114" s="459">
        <v>228000</v>
      </c>
      <c r="U114" s="458">
        <v>3078400</v>
      </c>
      <c r="V114" s="460">
        <v>6.8957173965642396E-2</v>
      </c>
      <c r="W114" s="461">
        <v>228000</v>
      </c>
      <c r="X114" s="461">
        <v>0</v>
      </c>
      <c r="Y114" s="460">
        <v>0</v>
      </c>
      <c r="Z114" s="461">
        <v>228000</v>
      </c>
      <c r="AA114" s="461">
        <v>0</v>
      </c>
      <c r="AB114" s="460">
        <v>1</v>
      </c>
    </row>
    <row r="115" spans="1:28" ht="32.1" customHeight="1">
      <c r="A115" s="411"/>
      <c r="B115" s="451" t="s">
        <v>883</v>
      </c>
      <c r="C115" s="452" t="s">
        <v>23</v>
      </c>
      <c r="D115" s="453" t="s">
        <v>148</v>
      </c>
      <c r="E115" s="453" t="s">
        <v>158</v>
      </c>
      <c r="F115" s="453" t="s">
        <v>54</v>
      </c>
      <c r="G115" s="453" t="s">
        <v>31</v>
      </c>
      <c r="H115" s="453"/>
      <c r="I115" s="454"/>
      <c r="J115" s="455" t="s">
        <v>28</v>
      </c>
      <c r="K115" s="456" t="s">
        <v>29</v>
      </c>
      <c r="L115" s="457" t="s">
        <v>161</v>
      </c>
      <c r="M115" s="458"/>
      <c r="N115" s="458"/>
      <c r="O115" s="458"/>
      <c r="P115" s="590">
        <v>13100000</v>
      </c>
      <c r="Q115" s="458"/>
      <c r="R115" s="459"/>
      <c r="S115" s="458">
        <v>13100000</v>
      </c>
      <c r="T115" s="459">
        <v>477000</v>
      </c>
      <c r="U115" s="458">
        <v>12623000</v>
      </c>
      <c r="V115" s="460">
        <v>3.6412213740458013E-2</v>
      </c>
      <c r="W115" s="461">
        <v>477000</v>
      </c>
      <c r="X115" s="461">
        <v>0</v>
      </c>
      <c r="Y115" s="460">
        <v>0</v>
      </c>
      <c r="Z115" s="461">
        <v>477000</v>
      </c>
      <c r="AA115" s="461">
        <v>0</v>
      </c>
      <c r="AB115" s="460">
        <v>1</v>
      </c>
    </row>
    <row r="116" spans="1:28" ht="32.1" customHeight="1">
      <c r="A116" s="411" t="e">
        <v>#REF!</v>
      </c>
      <c r="B116" s="483" t="s">
        <v>162</v>
      </c>
      <c r="C116" s="484" t="s">
        <v>162</v>
      </c>
      <c r="D116" s="485"/>
      <c r="E116" s="485"/>
      <c r="F116" s="485"/>
      <c r="G116" s="485"/>
      <c r="H116" s="485"/>
      <c r="I116" s="486"/>
      <c r="J116" s="487"/>
      <c r="K116" s="487"/>
      <c r="L116" s="483" t="s">
        <v>840</v>
      </c>
      <c r="M116" s="488">
        <v>3731140006</v>
      </c>
      <c r="N116" s="488">
        <v>0</v>
      </c>
      <c r="O116" s="488">
        <v>0</v>
      </c>
      <c r="P116" s="488">
        <v>0</v>
      </c>
      <c r="Q116" s="488">
        <v>0</v>
      </c>
      <c r="R116" s="488">
        <v>0</v>
      </c>
      <c r="S116" s="488">
        <v>3731140006</v>
      </c>
      <c r="T116" s="488">
        <v>0</v>
      </c>
      <c r="U116" s="488">
        <v>3731140006</v>
      </c>
      <c r="V116" s="489">
        <v>0</v>
      </c>
      <c r="W116" s="490">
        <v>0</v>
      </c>
      <c r="X116" s="490">
        <v>0</v>
      </c>
      <c r="Y116" s="489">
        <v>0</v>
      </c>
      <c r="Z116" s="490">
        <v>0</v>
      </c>
      <c r="AA116" s="490">
        <v>0</v>
      </c>
      <c r="AB116" s="489">
        <v>0</v>
      </c>
    </row>
    <row r="117" spans="1:28" ht="32.1" customHeight="1">
      <c r="A117" s="411" t="e">
        <v>#REF!</v>
      </c>
      <c r="B117" s="420" t="s">
        <v>729</v>
      </c>
      <c r="C117" s="421" t="s">
        <v>162</v>
      </c>
      <c r="D117" s="422">
        <v>10</v>
      </c>
      <c r="E117" s="422"/>
      <c r="F117" s="422"/>
      <c r="G117" s="422"/>
      <c r="H117" s="422"/>
      <c r="I117" s="423"/>
      <c r="J117" s="424"/>
      <c r="K117" s="424"/>
      <c r="L117" s="420" t="s">
        <v>164</v>
      </c>
      <c r="M117" s="425">
        <v>3731140006</v>
      </c>
      <c r="N117" s="425">
        <v>0</v>
      </c>
      <c r="O117" s="425">
        <v>0</v>
      </c>
      <c r="P117" s="425">
        <v>0</v>
      </c>
      <c r="Q117" s="425">
        <v>0</v>
      </c>
      <c r="R117" s="425">
        <v>0</v>
      </c>
      <c r="S117" s="425">
        <v>3731140006</v>
      </c>
      <c r="T117" s="425">
        <v>0</v>
      </c>
      <c r="U117" s="425">
        <v>3731140006</v>
      </c>
      <c r="V117" s="426">
        <v>0</v>
      </c>
      <c r="W117" s="427">
        <v>0</v>
      </c>
      <c r="X117" s="427">
        <v>0</v>
      </c>
      <c r="Y117" s="426">
        <v>0</v>
      </c>
      <c r="Z117" s="427">
        <v>0</v>
      </c>
      <c r="AA117" s="427">
        <v>0</v>
      </c>
      <c r="AB117" s="426">
        <v>0</v>
      </c>
    </row>
    <row r="118" spans="1:28" ht="32.1" customHeight="1">
      <c r="A118" s="411" t="e">
        <v>#REF!</v>
      </c>
      <c r="B118" s="428" t="s">
        <v>730</v>
      </c>
      <c r="C118" s="429" t="s">
        <v>162</v>
      </c>
      <c r="D118" s="430">
        <v>10</v>
      </c>
      <c r="E118" s="430" t="s">
        <v>136</v>
      </c>
      <c r="F118" s="430"/>
      <c r="G118" s="430"/>
      <c r="H118" s="430"/>
      <c r="I118" s="431"/>
      <c r="J118" s="432"/>
      <c r="K118" s="432"/>
      <c r="L118" s="428" t="s">
        <v>165</v>
      </c>
      <c r="M118" s="433">
        <v>3731140006</v>
      </c>
      <c r="N118" s="433">
        <v>0</v>
      </c>
      <c r="O118" s="433">
        <v>0</v>
      </c>
      <c r="P118" s="433">
        <v>0</v>
      </c>
      <c r="Q118" s="433">
        <v>0</v>
      </c>
      <c r="R118" s="433">
        <v>0</v>
      </c>
      <c r="S118" s="433">
        <v>3731140006</v>
      </c>
      <c r="T118" s="433">
        <v>0</v>
      </c>
      <c r="U118" s="433">
        <v>3731140006</v>
      </c>
      <c r="V118" s="434">
        <v>0</v>
      </c>
      <c r="W118" s="435">
        <v>0</v>
      </c>
      <c r="X118" s="435">
        <v>0</v>
      </c>
      <c r="Y118" s="434">
        <v>0</v>
      </c>
      <c r="Z118" s="435">
        <v>0</v>
      </c>
      <c r="AA118" s="435">
        <v>0</v>
      </c>
      <c r="AB118" s="434">
        <v>0</v>
      </c>
    </row>
    <row r="119" spans="1:28" ht="32.1" customHeight="1">
      <c r="A119" s="411" t="e">
        <v>#REF!</v>
      </c>
      <c r="B119" s="451" t="s">
        <v>731</v>
      </c>
      <c r="C119" s="452" t="s">
        <v>162</v>
      </c>
      <c r="D119" s="453">
        <v>10</v>
      </c>
      <c r="E119" s="453" t="s">
        <v>136</v>
      </c>
      <c r="F119" s="453" t="s">
        <v>25</v>
      </c>
      <c r="G119" s="453"/>
      <c r="H119" s="453"/>
      <c r="I119" s="454"/>
      <c r="J119" s="455" t="s">
        <v>144</v>
      </c>
      <c r="K119" s="456" t="s">
        <v>29</v>
      </c>
      <c r="L119" s="457" t="s">
        <v>166</v>
      </c>
      <c r="M119" s="458">
        <v>3731140006</v>
      </c>
      <c r="N119" s="458"/>
      <c r="O119" s="458"/>
      <c r="P119" s="458"/>
      <c r="Q119" s="458"/>
      <c r="R119" s="459"/>
      <c r="S119" s="458">
        <v>3731140006</v>
      </c>
      <c r="T119" s="459">
        <v>0</v>
      </c>
      <c r="U119" s="458">
        <v>3731140006</v>
      </c>
      <c r="V119" s="460">
        <v>0</v>
      </c>
      <c r="W119" s="461">
        <v>0</v>
      </c>
      <c r="X119" s="461">
        <v>0</v>
      </c>
      <c r="Y119" s="460">
        <v>0</v>
      </c>
      <c r="Z119" s="461">
        <v>0</v>
      </c>
      <c r="AA119" s="461">
        <v>0</v>
      </c>
      <c r="AB119" s="460">
        <v>0</v>
      </c>
    </row>
    <row r="120" spans="1:28" ht="32.1" customHeight="1">
      <c r="A120" s="411" t="e">
        <v>#REF!</v>
      </c>
      <c r="B120" s="483" t="s">
        <v>167</v>
      </c>
      <c r="C120" s="484" t="s">
        <v>167</v>
      </c>
      <c r="D120" s="485"/>
      <c r="E120" s="485"/>
      <c r="F120" s="485"/>
      <c r="G120" s="485"/>
      <c r="H120" s="485"/>
      <c r="I120" s="486"/>
      <c r="J120" s="487"/>
      <c r="K120" s="487"/>
      <c r="L120" s="483" t="s">
        <v>168</v>
      </c>
      <c r="M120" s="488">
        <v>6468380211524</v>
      </c>
      <c r="N120" s="488">
        <v>0</v>
      </c>
      <c r="O120" s="488">
        <v>0</v>
      </c>
      <c r="P120" s="488">
        <v>138059390490.39999</v>
      </c>
      <c r="Q120" s="488">
        <v>138059390490.39999</v>
      </c>
      <c r="R120" s="488">
        <v>0</v>
      </c>
      <c r="S120" s="488">
        <v>6468380211524</v>
      </c>
      <c r="T120" s="488">
        <v>3231021676292.8394</v>
      </c>
      <c r="U120" s="488">
        <v>3237358535231.1597</v>
      </c>
      <c r="V120" s="489">
        <v>0.49951016647668361</v>
      </c>
      <c r="W120" s="490">
        <v>2821438551228.2603</v>
      </c>
      <c r="X120" s="490">
        <v>409583125064.58002</v>
      </c>
      <c r="Y120" s="489">
        <v>0.12676582397135797</v>
      </c>
      <c r="Z120" s="490">
        <v>2819062972775.3301</v>
      </c>
      <c r="AA120" s="490">
        <v>2375578452.9299908</v>
      </c>
      <c r="AB120" s="489">
        <v>0.87249893538622858</v>
      </c>
    </row>
    <row r="121" spans="1:28" ht="32.1" customHeight="1">
      <c r="A121" s="411" t="e">
        <v>#REF!</v>
      </c>
      <c r="B121" s="420" t="s">
        <v>482</v>
      </c>
      <c r="C121" s="421" t="s">
        <v>167</v>
      </c>
      <c r="D121" s="422">
        <v>4103</v>
      </c>
      <c r="E121" s="422"/>
      <c r="F121" s="422"/>
      <c r="G121" s="422"/>
      <c r="H121" s="422"/>
      <c r="I121" s="423"/>
      <c r="J121" s="424"/>
      <c r="K121" s="424"/>
      <c r="L121" s="420" t="s">
        <v>189</v>
      </c>
      <c r="M121" s="425">
        <v>6462380211524</v>
      </c>
      <c r="N121" s="425">
        <v>0</v>
      </c>
      <c r="O121" s="425">
        <v>0</v>
      </c>
      <c r="P121" s="425">
        <v>138059390490.39999</v>
      </c>
      <c r="Q121" s="425">
        <v>138059390490.39999</v>
      </c>
      <c r="R121" s="425">
        <v>0</v>
      </c>
      <c r="S121" s="425">
        <v>6462380211524</v>
      </c>
      <c r="T121" s="425">
        <v>3227245811938.2793</v>
      </c>
      <c r="U121" s="425">
        <v>3235134399585.7197</v>
      </c>
      <c r="V121" s="426">
        <v>0.4993896530853002</v>
      </c>
      <c r="W121" s="427">
        <v>2820528361324.1001</v>
      </c>
      <c r="X121" s="427">
        <v>406717450614.17999</v>
      </c>
      <c r="Y121" s="426">
        <v>0.12602617659604493</v>
      </c>
      <c r="Z121" s="427">
        <v>2818152782871.1699</v>
      </c>
      <c r="AA121" s="427">
        <v>2375578452.9299908</v>
      </c>
      <c r="AB121" s="426">
        <v>0.87323772253300758</v>
      </c>
    </row>
    <row r="122" spans="1:28" ht="32.1" customHeight="1">
      <c r="A122" s="411" t="e">
        <v>#REF!</v>
      </c>
      <c r="B122" s="428" t="s">
        <v>296</v>
      </c>
      <c r="C122" s="429" t="s">
        <v>167</v>
      </c>
      <c r="D122" s="430">
        <v>4103</v>
      </c>
      <c r="E122" s="430">
        <v>1500</v>
      </c>
      <c r="F122" s="430"/>
      <c r="G122" s="430"/>
      <c r="H122" s="430"/>
      <c r="I122" s="431"/>
      <c r="J122" s="432"/>
      <c r="K122" s="432"/>
      <c r="L122" s="428" t="s">
        <v>170</v>
      </c>
      <c r="M122" s="433">
        <v>6462380211524</v>
      </c>
      <c r="N122" s="433">
        <v>0</v>
      </c>
      <c r="O122" s="433">
        <v>0</v>
      </c>
      <c r="P122" s="433">
        <v>138059390490.39999</v>
      </c>
      <c r="Q122" s="433">
        <v>138059390490.39999</v>
      </c>
      <c r="R122" s="433">
        <v>0</v>
      </c>
      <c r="S122" s="433">
        <v>6462380211524</v>
      </c>
      <c r="T122" s="433">
        <v>3227245811938.2793</v>
      </c>
      <c r="U122" s="433">
        <v>3235134399585.7197</v>
      </c>
      <c r="V122" s="434">
        <v>0.4993896530853002</v>
      </c>
      <c r="W122" s="435">
        <v>2820528361324.1001</v>
      </c>
      <c r="X122" s="435">
        <v>406717450614.17999</v>
      </c>
      <c r="Y122" s="434">
        <v>0.12602617659604493</v>
      </c>
      <c r="Z122" s="435">
        <v>2818152782871.1699</v>
      </c>
      <c r="AA122" s="435">
        <v>2375578452.9299908</v>
      </c>
      <c r="AB122" s="434">
        <v>0.87323772253300758</v>
      </c>
    </row>
    <row r="123" spans="1:28" ht="32.1" customHeight="1">
      <c r="A123" s="411" t="e">
        <v>#REF!</v>
      </c>
      <c r="B123" s="436" t="s">
        <v>297</v>
      </c>
      <c r="C123" s="437" t="s">
        <v>167</v>
      </c>
      <c r="D123" s="438" t="s">
        <v>190</v>
      </c>
      <c r="E123" s="438" t="s">
        <v>172</v>
      </c>
      <c r="F123" s="438" t="s">
        <v>191</v>
      </c>
      <c r="G123" s="438"/>
      <c r="H123" s="438"/>
      <c r="I123" s="439"/>
      <c r="J123" s="440"/>
      <c r="K123" s="440"/>
      <c r="L123" s="436" t="s">
        <v>841</v>
      </c>
      <c r="M123" s="441">
        <v>2437607024958</v>
      </c>
      <c r="N123" s="441">
        <v>0</v>
      </c>
      <c r="O123" s="441">
        <v>0</v>
      </c>
      <c r="P123" s="441">
        <v>49397758254.400002</v>
      </c>
      <c r="Q123" s="441">
        <v>49397758254.400002</v>
      </c>
      <c r="R123" s="441">
        <v>0</v>
      </c>
      <c r="S123" s="441">
        <v>2437607024958</v>
      </c>
      <c r="T123" s="441">
        <v>1989018515906.46</v>
      </c>
      <c r="U123" s="441">
        <v>448588509051.5401</v>
      </c>
      <c r="V123" s="442">
        <v>0.81597176884601852</v>
      </c>
      <c r="W123" s="443">
        <v>1919703640289.1001</v>
      </c>
      <c r="X123" s="443">
        <v>69314875617.360016</v>
      </c>
      <c r="Y123" s="442">
        <v>3.4848783489464394E-2</v>
      </c>
      <c r="Z123" s="443">
        <v>1919264855206.1001</v>
      </c>
      <c r="AA123" s="443">
        <v>438785083</v>
      </c>
      <c r="AB123" s="442">
        <v>0.96493061269036462</v>
      </c>
    </row>
    <row r="124" spans="1:28" ht="32.1" customHeight="1">
      <c r="A124" s="411" t="e">
        <v>#REF!</v>
      </c>
      <c r="B124" s="444" t="s">
        <v>486</v>
      </c>
      <c r="C124" s="445" t="s">
        <v>167</v>
      </c>
      <c r="D124" s="446" t="s">
        <v>190</v>
      </c>
      <c r="E124" s="446" t="s">
        <v>172</v>
      </c>
      <c r="F124" s="446" t="s">
        <v>191</v>
      </c>
      <c r="G124" s="446" t="s">
        <v>175</v>
      </c>
      <c r="H124" s="446" t="s">
        <v>193</v>
      </c>
      <c r="I124" s="447"/>
      <c r="J124" s="448"/>
      <c r="K124" s="448"/>
      <c r="L124" s="444" t="s">
        <v>194</v>
      </c>
      <c r="M124" s="449">
        <v>2430621085885</v>
      </c>
      <c r="N124" s="449">
        <v>0</v>
      </c>
      <c r="O124" s="449">
        <v>0</v>
      </c>
      <c r="P124" s="449">
        <v>49397758254.400002</v>
      </c>
      <c r="Q124" s="449">
        <v>43011819181.400002</v>
      </c>
      <c r="R124" s="449">
        <v>0</v>
      </c>
      <c r="S124" s="449">
        <v>2437007024958</v>
      </c>
      <c r="T124" s="449">
        <v>1989018515906.46</v>
      </c>
      <c r="U124" s="449">
        <v>447988509051.5401</v>
      </c>
      <c r="V124" s="450">
        <v>0.81617266406556177</v>
      </c>
      <c r="W124" s="449">
        <v>1919703640289.1001</v>
      </c>
      <c r="X124" s="449">
        <v>69314875617.360016</v>
      </c>
      <c r="Y124" s="450">
        <v>3.4848783489464394E-2</v>
      </c>
      <c r="Z124" s="449">
        <v>1919264855206.1001</v>
      </c>
      <c r="AA124" s="449">
        <v>438785083</v>
      </c>
      <c r="AB124" s="450">
        <v>0.96493061269036462</v>
      </c>
    </row>
    <row r="125" spans="1:28" ht="32.1" customHeight="1">
      <c r="A125" s="411" t="e">
        <v>#REF!</v>
      </c>
      <c r="B125" s="451" t="s">
        <v>488</v>
      </c>
      <c r="C125" s="452" t="s">
        <v>167</v>
      </c>
      <c r="D125" s="453" t="s">
        <v>190</v>
      </c>
      <c r="E125" s="453" t="s">
        <v>172</v>
      </c>
      <c r="F125" s="453" t="s">
        <v>191</v>
      </c>
      <c r="G125" s="453" t="s">
        <v>175</v>
      </c>
      <c r="H125" s="453" t="s">
        <v>193</v>
      </c>
      <c r="I125" s="454" t="s">
        <v>54</v>
      </c>
      <c r="J125" s="455">
        <v>10</v>
      </c>
      <c r="K125" s="456" t="s">
        <v>29</v>
      </c>
      <c r="L125" s="457" t="s">
        <v>178</v>
      </c>
      <c r="M125" s="458">
        <v>83108753174</v>
      </c>
      <c r="N125" s="458"/>
      <c r="O125" s="458"/>
      <c r="P125" s="458">
        <v>40310669902.400002</v>
      </c>
      <c r="Q125" s="491">
        <v>9087088352</v>
      </c>
      <c r="R125" s="459"/>
      <c r="S125" s="491">
        <v>114332334724.39999</v>
      </c>
      <c r="T125" s="458">
        <v>95153107256.460007</v>
      </c>
      <c r="U125" s="458">
        <v>19179227467.939987</v>
      </c>
      <c r="V125" s="460">
        <v>0.83225018964082353</v>
      </c>
      <c r="W125" s="461">
        <v>27235891639.099998</v>
      </c>
      <c r="X125" s="461">
        <v>67917215617.360008</v>
      </c>
      <c r="Y125" s="460">
        <v>0.71376771159250885</v>
      </c>
      <c r="Z125" s="461">
        <v>26797106556.099998</v>
      </c>
      <c r="AA125" s="461">
        <v>438785083</v>
      </c>
      <c r="AB125" s="460">
        <v>0.28162092998051541</v>
      </c>
    </row>
    <row r="126" spans="1:28" ht="32.1" customHeight="1">
      <c r="A126" s="411" t="e">
        <v>#REF!</v>
      </c>
      <c r="B126" s="451" t="s">
        <v>491</v>
      </c>
      <c r="C126" s="452" t="s">
        <v>167</v>
      </c>
      <c r="D126" s="453" t="s">
        <v>190</v>
      </c>
      <c r="E126" s="453" t="s">
        <v>172</v>
      </c>
      <c r="F126" s="453" t="s">
        <v>191</v>
      </c>
      <c r="G126" s="453" t="s">
        <v>175</v>
      </c>
      <c r="H126" s="453" t="s">
        <v>193</v>
      </c>
      <c r="I126" s="454" t="s">
        <v>65</v>
      </c>
      <c r="J126" s="455">
        <v>10</v>
      </c>
      <c r="K126" s="456" t="s">
        <v>29</v>
      </c>
      <c r="L126" s="457" t="s">
        <v>127</v>
      </c>
      <c r="M126" s="458">
        <v>2347512332711</v>
      </c>
      <c r="N126" s="458"/>
      <c r="O126" s="458"/>
      <c r="P126" s="491">
        <v>9087088352</v>
      </c>
      <c r="Q126" s="458">
        <v>33924730829.400002</v>
      </c>
      <c r="R126" s="459"/>
      <c r="S126" s="491">
        <v>2322674690233.6001</v>
      </c>
      <c r="T126" s="458">
        <v>1893865408650</v>
      </c>
      <c r="U126" s="458">
        <v>428809281583.6001</v>
      </c>
      <c r="V126" s="460">
        <v>0.81538125705392128</v>
      </c>
      <c r="W126" s="461">
        <v>1892467748650</v>
      </c>
      <c r="X126" s="461">
        <v>1397660000</v>
      </c>
      <c r="Y126" s="460">
        <v>7.3799330914243316E-4</v>
      </c>
      <c r="Z126" s="461">
        <v>1892467748650</v>
      </c>
      <c r="AA126" s="461">
        <v>0</v>
      </c>
      <c r="AB126" s="460">
        <v>0.99926200669085752</v>
      </c>
    </row>
    <row r="127" spans="1:28" ht="32.1" customHeight="1">
      <c r="A127" s="411" t="e">
        <v>#REF!</v>
      </c>
      <c r="B127" s="444" t="s">
        <v>494</v>
      </c>
      <c r="C127" s="445" t="s">
        <v>167</v>
      </c>
      <c r="D127" s="446" t="s">
        <v>190</v>
      </c>
      <c r="E127" s="446" t="s">
        <v>172</v>
      </c>
      <c r="F127" s="446" t="s">
        <v>191</v>
      </c>
      <c r="G127" s="446" t="s">
        <v>175</v>
      </c>
      <c r="H127" s="446">
        <v>4103009</v>
      </c>
      <c r="I127" s="447"/>
      <c r="J127" s="448"/>
      <c r="K127" s="448" t="s">
        <v>29</v>
      </c>
      <c r="L127" s="444" t="s">
        <v>195</v>
      </c>
      <c r="M127" s="449">
        <v>6385939073</v>
      </c>
      <c r="N127" s="449">
        <v>0</v>
      </c>
      <c r="O127" s="449">
        <v>0</v>
      </c>
      <c r="P127" s="449">
        <v>0</v>
      </c>
      <c r="Q127" s="449">
        <v>6385939073</v>
      </c>
      <c r="R127" s="449">
        <v>0</v>
      </c>
      <c r="S127" s="449">
        <v>0</v>
      </c>
      <c r="T127" s="449">
        <v>0</v>
      </c>
      <c r="U127" s="449">
        <v>0</v>
      </c>
      <c r="V127" s="450">
        <v>0</v>
      </c>
      <c r="W127" s="449">
        <v>0</v>
      </c>
      <c r="X127" s="449">
        <v>0</v>
      </c>
      <c r="Y127" s="450">
        <v>0</v>
      </c>
      <c r="Z127" s="449">
        <v>0</v>
      </c>
      <c r="AA127" s="449">
        <v>0</v>
      </c>
      <c r="AB127" s="450">
        <v>0</v>
      </c>
    </row>
    <row r="128" spans="1:28" ht="32.1" customHeight="1">
      <c r="A128" s="411" t="e">
        <v>#REF!</v>
      </c>
      <c r="B128" s="451" t="s">
        <v>496</v>
      </c>
      <c r="C128" s="452" t="s">
        <v>167</v>
      </c>
      <c r="D128" s="453" t="s">
        <v>190</v>
      </c>
      <c r="E128" s="453" t="s">
        <v>172</v>
      </c>
      <c r="F128" s="453" t="s">
        <v>191</v>
      </c>
      <c r="G128" s="453" t="s">
        <v>175</v>
      </c>
      <c r="H128" s="453">
        <v>4103009</v>
      </c>
      <c r="I128" s="454" t="s">
        <v>54</v>
      </c>
      <c r="J128" s="455">
        <v>10</v>
      </c>
      <c r="K128" s="456" t="s">
        <v>29</v>
      </c>
      <c r="L128" s="457" t="s">
        <v>178</v>
      </c>
      <c r="M128" s="458">
        <v>6385939073</v>
      </c>
      <c r="N128" s="458"/>
      <c r="O128" s="458"/>
      <c r="P128" s="458"/>
      <c r="Q128" s="491">
        <v>6385939073</v>
      </c>
      <c r="R128" s="459"/>
      <c r="S128" s="491">
        <v>0</v>
      </c>
      <c r="T128" s="458">
        <v>0</v>
      </c>
      <c r="U128" s="458">
        <v>0</v>
      </c>
      <c r="V128" s="460">
        <v>0</v>
      </c>
      <c r="W128" s="461">
        <v>0</v>
      </c>
      <c r="X128" s="461">
        <v>0</v>
      </c>
      <c r="Y128" s="460">
        <v>0</v>
      </c>
      <c r="Z128" s="461">
        <v>0</v>
      </c>
      <c r="AA128" s="461">
        <v>0</v>
      </c>
      <c r="AB128" s="460">
        <v>0</v>
      </c>
    </row>
    <row r="129" spans="1:28" ht="32.1" customHeight="1">
      <c r="A129" s="411" t="e">
        <v>#REF!</v>
      </c>
      <c r="B129" s="444" t="s">
        <v>497</v>
      </c>
      <c r="C129" s="445" t="s">
        <v>167</v>
      </c>
      <c r="D129" s="446" t="s">
        <v>190</v>
      </c>
      <c r="E129" s="446" t="s">
        <v>172</v>
      </c>
      <c r="F129" s="446" t="s">
        <v>191</v>
      </c>
      <c r="G129" s="446" t="s">
        <v>175</v>
      </c>
      <c r="H129" s="446">
        <v>4103047</v>
      </c>
      <c r="I129" s="447"/>
      <c r="J129" s="448"/>
      <c r="K129" s="448" t="s">
        <v>29</v>
      </c>
      <c r="L129" s="444" t="s">
        <v>292</v>
      </c>
      <c r="M129" s="449">
        <v>600000000</v>
      </c>
      <c r="N129" s="449">
        <v>0</v>
      </c>
      <c r="O129" s="449">
        <v>0</v>
      </c>
      <c r="P129" s="449">
        <v>0</v>
      </c>
      <c r="Q129" s="449">
        <v>0</v>
      </c>
      <c r="R129" s="449">
        <v>0</v>
      </c>
      <c r="S129" s="449">
        <v>600000000</v>
      </c>
      <c r="T129" s="449">
        <v>0</v>
      </c>
      <c r="U129" s="449">
        <v>600000000</v>
      </c>
      <c r="V129" s="450">
        <v>0</v>
      </c>
      <c r="W129" s="449">
        <v>0</v>
      </c>
      <c r="X129" s="449">
        <v>0</v>
      </c>
      <c r="Y129" s="450">
        <v>0</v>
      </c>
      <c r="Z129" s="449">
        <v>0</v>
      </c>
      <c r="AA129" s="449">
        <v>0</v>
      </c>
      <c r="AB129" s="450">
        <v>0</v>
      </c>
    </row>
    <row r="130" spans="1:28" ht="32.1" customHeight="1">
      <c r="A130" s="411" t="e">
        <v>#REF!</v>
      </c>
      <c r="B130" s="451" t="s">
        <v>498</v>
      </c>
      <c r="C130" s="452" t="s">
        <v>167</v>
      </c>
      <c r="D130" s="453" t="s">
        <v>190</v>
      </c>
      <c r="E130" s="453" t="s">
        <v>172</v>
      </c>
      <c r="F130" s="453" t="s">
        <v>191</v>
      </c>
      <c r="G130" s="453" t="s">
        <v>175</v>
      </c>
      <c r="H130" s="453">
        <v>4103047</v>
      </c>
      <c r="I130" s="454" t="s">
        <v>54</v>
      </c>
      <c r="J130" s="455">
        <v>10</v>
      </c>
      <c r="K130" s="456" t="s">
        <v>29</v>
      </c>
      <c r="L130" s="457" t="s">
        <v>178</v>
      </c>
      <c r="M130" s="458">
        <v>600000000</v>
      </c>
      <c r="N130" s="458"/>
      <c r="O130" s="458"/>
      <c r="P130" s="458"/>
      <c r="Q130" s="458"/>
      <c r="R130" s="459"/>
      <c r="S130" s="458">
        <v>600000000</v>
      </c>
      <c r="T130" s="458">
        <v>0</v>
      </c>
      <c r="U130" s="458">
        <v>600000000</v>
      </c>
      <c r="V130" s="460">
        <v>0</v>
      </c>
      <c r="W130" s="461">
        <v>0</v>
      </c>
      <c r="X130" s="461">
        <v>0</v>
      </c>
      <c r="Y130" s="460">
        <v>0</v>
      </c>
      <c r="Z130" s="461">
        <v>0</v>
      </c>
      <c r="AA130" s="461">
        <v>0</v>
      </c>
      <c r="AB130" s="460">
        <v>0</v>
      </c>
    </row>
    <row r="131" spans="1:28" ht="32.1" customHeight="1">
      <c r="A131" s="411" t="e">
        <v>#REF!</v>
      </c>
      <c r="B131" s="436" t="s">
        <v>298</v>
      </c>
      <c r="C131" s="437" t="s">
        <v>167</v>
      </c>
      <c r="D131" s="438" t="s">
        <v>190</v>
      </c>
      <c r="E131" s="438" t="s">
        <v>172</v>
      </c>
      <c r="F131" s="438" t="s">
        <v>22</v>
      </c>
      <c r="G131" s="438"/>
      <c r="H131" s="438"/>
      <c r="I131" s="439"/>
      <c r="J131" s="440"/>
      <c r="K131" s="440"/>
      <c r="L131" s="436" t="s">
        <v>842</v>
      </c>
      <c r="M131" s="441">
        <v>40000000000</v>
      </c>
      <c r="N131" s="441">
        <v>0</v>
      </c>
      <c r="O131" s="441">
        <v>0</v>
      </c>
      <c r="P131" s="441">
        <v>300000000</v>
      </c>
      <c r="Q131" s="441">
        <v>300000000</v>
      </c>
      <c r="R131" s="441">
        <v>0</v>
      </c>
      <c r="S131" s="441">
        <v>40000000000</v>
      </c>
      <c r="T131" s="441">
        <v>9780242606</v>
      </c>
      <c r="U131" s="441">
        <v>30219757394</v>
      </c>
      <c r="V131" s="442">
        <v>0.24450606515000001</v>
      </c>
      <c r="W131" s="443">
        <v>1025090050</v>
      </c>
      <c r="X131" s="443">
        <v>8755152556</v>
      </c>
      <c r="Y131" s="442">
        <v>0.89518766647249359</v>
      </c>
      <c r="Z131" s="443">
        <v>991890050</v>
      </c>
      <c r="AA131" s="443">
        <v>33200000</v>
      </c>
      <c r="AB131" s="442">
        <v>0.10141773470849216</v>
      </c>
    </row>
    <row r="132" spans="1:28" ht="32.1" customHeight="1">
      <c r="A132" s="411" t="e">
        <v>#REF!</v>
      </c>
      <c r="B132" s="444" t="s">
        <v>500</v>
      </c>
      <c r="C132" s="445" t="s">
        <v>167</v>
      </c>
      <c r="D132" s="446" t="s">
        <v>190</v>
      </c>
      <c r="E132" s="446" t="s">
        <v>172</v>
      </c>
      <c r="F132" s="446" t="s">
        <v>22</v>
      </c>
      <c r="G132" s="446" t="s">
        <v>175</v>
      </c>
      <c r="H132" s="446" t="s">
        <v>197</v>
      </c>
      <c r="I132" s="447"/>
      <c r="J132" s="448"/>
      <c r="K132" s="448" t="s">
        <v>29</v>
      </c>
      <c r="L132" s="444" t="s">
        <v>198</v>
      </c>
      <c r="M132" s="449">
        <v>2721167612</v>
      </c>
      <c r="N132" s="449">
        <v>0</v>
      </c>
      <c r="O132" s="449">
        <v>0</v>
      </c>
      <c r="P132" s="449">
        <v>0</v>
      </c>
      <c r="Q132" s="449">
        <v>0</v>
      </c>
      <c r="R132" s="449">
        <v>0</v>
      </c>
      <c r="S132" s="449">
        <v>2721167612</v>
      </c>
      <c r="T132" s="449">
        <v>221895258</v>
      </c>
      <c r="U132" s="449">
        <v>2499272354</v>
      </c>
      <c r="V132" s="450">
        <v>8.1544134591882686E-2</v>
      </c>
      <c r="W132" s="449">
        <v>0</v>
      </c>
      <c r="X132" s="449">
        <v>221895258</v>
      </c>
      <c r="Y132" s="450">
        <v>1</v>
      </c>
      <c r="Z132" s="449">
        <v>0</v>
      </c>
      <c r="AA132" s="449">
        <v>0</v>
      </c>
      <c r="AB132" s="450">
        <v>0</v>
      </c>
    </row>
    <row r="133" spans="1:28" ht="32.1" customHeight="1">
      <c r="A133" s="411" t="e">
        <v>#REF!</v>
      </c>
      <c r="B133" s="451" t="s">
        <v>501</v>
      </c>
      <c r="C133" s="452" t="s">
        <v>167</v>
      </c>
      <c r="D133" s="453" t="s">
        <v>190</v>
      </c>
      <c r="E133" s="453" t="s">
        <v>172</v>
      </c>
      <c r="F133" s="453" t="s">
        <v>22</v>
      </c>
      <c r="G133" s="453" t="s">
        <v>175</v>
      </c>
      <c r="H133" s="453" t="s">
        <v>197</v>
      </c>
      <c r="I133" s="454" t="s">
        <v>54</v>
      </c>
      <c r="J133" s="455">
        <v>11</v>
      </c>
      <c r="K133" s="456" t="s">
        <v>29</v>
      </c>
      <c r="L133" s="457" t="s">
        <v>178</v>
      </c>
      <c r="M133" s="458">
        <v>2721167612</v>
      </c>
      <c r="N133" s="458"/>
      <c r="O133" s="458"/>
      <c r="P133" s="458"/>
      <c r="Q133" s="458">
        <v>0</v>
      </c>
      <c r="R133" s="459">
        <v>0</v>
      </c>
      <c r="S133" s="491">
        <v>2721167612</v>
      </c>
      <c r="T133" s="458">
        <v>221895258</v>
      </c>
      <c r="U133" s="458">
        <v>2499272354</v>
      </c>
      <c r="V133" s="460">
        <v>8.1544134591882686E-2</v>
      </c>
      <c r="W133" s="461">
        <v>0</v>
      </c>
      <c r="X133" s="461">
        <v>221895258</v>
      </c>
      <c r="Y133" s="460">
        <v>1</v>
      </c>
      <c r="Z133" s="461">
        <v>0</v>
      </c>
      <c r="AA133" s="461">
        <v>0</v>
      </c>
      <c r="AB133" s="460">
        <v>0</v>
      </c>
    </row>
    <row r="134" spans="1:28" ht="32.1" customHeight="1">
      <c r="A134" s="411" t="e">
        <v>#REF!</v>
      </c>
      <c r="B134" s="444" t="s">
        <v>502</v>
      </c>
      <c r="C134" s="445" t="s">
        <v>167</v>
      </c>
      <c r="D134" s="446" t="s">
        <v>190</v>
      </c>
      <c r="E134" s="446" t="s">
        <v>172</v>
      </c>
      <c r="F134" s="446" t="s">
        <v>22</v>
      </c>
      <c r="G134" s="446" t="s">
        <v>175</v>
      </c>
      <c r="H134" s="446" t="s">
        <v>199</v>
      </c>
      <c r="I134" s="447"/>
      <c r="J134" s="448"/>
      <c r="K134" s="448" t="s">
        <v>29</v>
      </c>
      <c r="L134" s="444" t="s">
        <v>200</v>
      </c>
      <c r="M134" s="449">
        <v>2097587400</v>
      </c>
      <c r="N134" s="449">
        <v>0</v>
      </c>
      <c r="O134" s="449">
        <v>0</v>
      </c>
      <c r="P134" s="449">
        <v>0</v>
      </c>
      <c r="Q134" s="449">
        <v>0</v>
      </c>
      <c r="R134" s="449">
        <v>0</v>
      </c>
      <c r="S134" s="449">
        <v>2097587400</v>
      </c>
      <c r="T134" s="449">
        <v>295860342</v>
      </c>
      <c r="U134" s="449">
        <v>1801727058</v>
      </c>
      <c r="V134" s="450">
        <v>0.14104792105444569</v>
      </c>
      <c r="W134" s="449">
        <v>0</v>
      </c>
      <c r="X134" s="449">
        <v>295860342</v>
      </c>
      <c r="Y134" s="450">
        <v>1</v>
      </c>
      <c r="Z134" s="449">
        <v>0</v>
      </c>
      <c r="AA134" s="449">
        <v>0</v>
      </c>
      <c r="AB134" s="450">
        <v>0</v>
      </c>
    </row>
    <row r="135" spans="1:28" ht="32.1" customHeight="1">
      <c r="A135" s="411" t="e">
        <v>#REF!</v>
      </c>
      <c r="B135" s="451" t="s">
        <v>503</v>
      </c>
      <c r="C135" s="452" t="s">
        <v>167</v>
      </c>
      <c r="D135" s="453" t="s">
        <v>190</v>
      </c>
      <c r="E135" s="453" t="s">
        <v>172</v>
      </c>
      <c r="F135" s="453" t="s">
        <v>22</v>
      </c>
      <c r="G135" s="453" t="s">
        <v>175</v>
      </c>
      <c r="H135" s="453" t="s">
        <v>199</v>
      </c>
      <c r="I135" s="454" t="s">
        <v>54</v>
      </c>
      <c r="J135" s="455">
        <v>11</v>
      </c>
      <c r="K135" s="456" t="s">
        <v>29</v>
      </c>
      <c r="L135" s="457" t="s">
        <v>178</v>
      </c>
      <c r="M135" s="458">
        <v>2097587400</v>
      </c>
      <c r="N135" s="458"/>
      <c r="O135" s="458"/>
      <c r="P135" s="458"/>
      <c r="Q135" s="459"/>
      <c r="R135" s="459">
        <v>0</v>
      </c>
      <c r="S135" s="458">
        <v>2097587400</v>
      </c>
      <c r="T135" s="458">
        <v>295860342</v>
      </c>
      <c r="U135" s="458">
        <v>1801727058</v>
      </c>
      <c r="V135" s="460">
        <v>0.14104792105444569</v>
      </c>
      <c r="W135" s="461">
        <v>0</v>
      </c>
      <c r="X135" s="461">
        <v>295860342</v>
      </c>
      <c r="Y135" s="460">
        <v>1</v>
      </c>
      <c r="Z135" s="461">
        <v>0</v>
      </c>
      <c r="AA135" s="461">
        <v>0</v>
      </c>
      <c r="AB135" s="460">
        <v>0</v>
      </c>
    </row>
    <row r="136" spans="1:28" ht="39.950000000000003" customHeight="1">
      <c r="A136" s="411" t="e">
        <v>#REF!</v>
      </c>
      <c r="B136" s="444" t="s">
        <v>504</v>
      </c>
      <c r="C136" s="445" t="s">
        <v>167</v>
      </c>
      <c r="D136" s="446" t="s">
        <v>190</v>
      </c>
      <c r="E136" s="446" t="s">
        <v>172</v>
      </c>
      <c r="F136" s="446" t="s">
        <v>22</v>
      </c>
      <c r="G136" s="446" t="s">
        <v>175</v>
      </c>
      <c r="H136" s="446" t="s">
        <v>201</v>
      </c>
      <c r="I136" s="447"/>
      <c r="J136" s="448"/>
      <c r="K136" s="448" t="s">
        <v>29</v>
      </c>
      <c r="L136" s="444" t="s">
        <v>202</v>
      </c>
      <c r="M136" s="449">
        <v>2265502874</v>
      </c>
      <c r="N136" s="449">
        <v>0</v>
      </c>
      <c r="O136" s="449">
        <v>0</v>
      </c>
      <c r="P136" s="449">
        <v>300000000</v>
      </c>
      <c r="Q136" s="449">
        <v>0</v>
      </c>
      <c r="R136" s="449">
        <v>0</v>
      </c>
      <c r="S136" s="449">
        <v>2565502874</v>
      </c>
      <c r="T136" s="449">
        <v>1832784909</v>
      </c>
      <c r="U136" s="449">
        <v>732717965</v>
      </c>
      <c r="V136" s="450">
        <v>0.71439596796959193</v>
      </c>
      <c r="W136" s="449">
        <v>721820153</v>
      </c>
      <c r="X136" s="449">
        <v>1110964756</v>
      </c>
      <c r="Y136" s="450">
        <v>0.60616210366232337</v>
      </c>
      <c r="Z136" s="449">
        <v>688620153</v>
      </c>
      <c r="AA136" s="449">
        <v>33200000</v>
      </c>
      <c r="AB136" s="450">
        <v>0.37572338664427535</v>
      </c>
    </row>
    <row r="137" spans="1:28" ht="32.1" customHeight="1">
      <c r="A137" s="411" t="e">
        <v>#REF!</v>
      </c>
      <c r="B137" s="451" t="s">
        <v>505</v>
      </c>
      <c r="C137" s="452" t="s">
        <v>167</v>
      </c>
      <c r="D137" s="453" t="s">
        <v>190</v>
      </c>
      <c r="E137" s="453" t="s">
        <v>172</v>
      </c>
      <c r="F137" s="453" t="s">
        <v>22</v>
      </c>
      <c r="G137" s="453" t="s">
        <v>175</v>
      </c>
      <c r="H137" s="453" t="s">
        <v>201</v>
      </c>
      <c r="I137" s="454" t="s">
        <v>54</v>
      </c>
      <c r="J137" s="455">
        <v>11</v>
      </c>
      <c r="K137" s="456" t="s">
        <v>29</v>
      </c>
      <c r="L137" s="457" t="s">
        <v>178</v>
      </c>
      <c r="M137" s="458">
        <v>2265502874</v>
      </c>
      <c r="N137" s="458"/>
      <c r="O137" s="458"/>
      <c r="P137" s="458">
        <v>300000000</v>
      </c>
      <c r="Q137" s="458"/>
      <c r="R137" s="459">
        <v>0</v>
      </c>
      <c r="S137" s="458">
        <v>2565502874</v>
      </c>
      <c r="T137" s="458">
        <v>1832784909</v>
      </c>
      <c r="U137" s="458">
        <v>732717965</v>
      </c>
      <c r="V137" s="460">
        <v>0.71439596796959193</v>
      </c>
      <c r="W137" s="461">
        <v>721820153</v>
      </c>
      <c r="X137" s="461">
        <v>1110964756</v>
      </c>
      <c r="Y137" s="460">
        <v>0.60616210366232337</v>
      </c>
      <c r="Z137" s="461">
        <v>688620153</v>
      </c>
      <c r="AA137" s="461">
        <v>33200000</v>
      </c>
      <c r="AB137" s="460">
        <v>0.37572338664427535</v>
      </c>
    </row>
    <row r="138" spans="1:28" ht="39.950000000000003" customHeight="1">
      <c r="A138" s="411" t="e">
        <v>#REF!</v>
      </c>
      <c r="B138" s="444" t="s">
        <v>506</v>
      </c>
      <c r="C138" s="445" t="s">
        <v>167</v>
      </c>
      <c r="D138" s="446" t="s">
        <v>190</v>
      </c>
      <c r="E138" s="446" t="s">
        <v>172</v>
      </c>
      <c r="F138" s="446" t="s">
        <v>22</v>
      </c>
      <c r="G138" s="446" t="s">
        <v>175</v>
      </c>
      <c r="H138" s="446" t="s">
        <v>203</v>
      </c>
      <c r="I138" s="447"/>
      <c r="J138" s="448"/>
      <c r="K138" s="448" t="s">
        <v>29</v>
      </c>
      <c r="L138" s="444" t="s">
        <v>204</v>
      </c>
      <c r="M138" s="449">
        <v>32915742114</v>
      </c>
      <c r="N138" s="449">
        <v>0</v>
      </c>
      <c r="O138" s="449">
        <v>0</v>
      </c>
      <c r="P138" s="449">
        <v>0</v>
      </c>
      <c r="Q138" s="449">
        <v>300000000</v>
      </c>
      <c r="R138" s="449">
        <v>0</v>
      </c>
      <c r="S138" s="449">
        <v>32615742114</v>
      </c>
      <c r="T138" s="449">
        <v>7429702097</v>
      </c>
      <c r="U138" s="449">
        <v>25186040017</v>
      </c>
      <c r="V138" s="450">
        <v>0.22779497308481816</v>
      </c>
      <c r="W138" s="449">
        <v>303269897</v>
      </c>
      <c r="X138" s="449">
        <v>7126432200</v>
      </c>
      <c r="Y138" s="450">
        <v>0.95918141898011555</v>
      </c>
      <c r="Z138" s="449">
        <v>303269897</v>
      </c>
      <c r="AA138" s="449">
        <v>0</v>
      </c>
      <c r="AB138" s="450">
        <v>4.0818581019884462E-2</v>
      </c>
    </row>
    <row r="139" spans="1:28" ht="32.1" customHeight="1">
      <c r="A139" s="411" t="e">
        <v>#REF!</v>
      </c>
      <c r="B139" s="451" t="s">
        <v>507</v>
      </c>
      <c r="C139" s="452" t="s">
        <v>167</v>
      </c>
      <c r="D139" s="453" t="s">
        <v>190</v>
      </c>
      <c r="E139" s="453" t="s">
        <v>172</v>
      </c>
      <c r="F139" s="453" t="s">
        <v>22</v>
      </c>
      <c r="G139" s="453" t="s">
        <v>175</v>
      </c>
      <c r="H139" s="453" t="s">
        <v>203</v>
      </c>
      <c r="I139" s="454" t="s">
        <v>54</v>
      </c>
      <c r="J139" s="455">
        <v>11</v>
      </c>
      <c r="K139" s="456" t="s">
        <v>29</v>
      </c>
      <c r="L139" s="457" t="s">
        <v>178</v>
      </c>
      <c r="M139" s="458">
        <v>32915742114</v>
      </c>
      <c r="N139" s="458"/>
      <c r="O139" s="458"/>
      <c r="P139" s="458"/>
      <c r="Q139" s="458">
        <v>300000000</v>
      </c>
      <c r="R139" s="459">
        <v>0</v>
      </c>
      <c r="S139" s="458">
        <v>32615742114</v>
      </c>
      <c r="T139" s="458">
        <v>7429702097</v>
      </c>
      <c r="U139" s="458">
        <v>25186040017</v>
      </c>
      <c r="V139" s="460">
        <v>0.22779497308481816</v>
      </c>
      <c r="W139" s="461">
        <v>303269897</v>
      </c>
      <c r="X139" s="461">
        <v>7126432200</v>
      </c>
      <c r="Y139" s="460">
        <v>0.95918141898011555</v>
      </c>
      <c r="Z139" s="461">
        <v>303269897</v>
      </c>
      <c r="AA139" s="461">
        <v>0</v>
      </c>
      <c r="AB139" s="460">
        <v>4.0818581019884462E-2</v>
      </c>
    </row>
    <row r="140" spans="1:28" ht="39.950000000000003" customHeight="1">
      <c r="A140" s="411" t="e">
        <v>#REF!</v>
      </c>
      <c r="B140" s="436" t="s">
        <v>299</v>
      </c>
      <c r="C140" s="437" t="s">
        <v>167</v>
      </c>
      <c r="D140" s="438" t="s">
        <v>190</v>
      </c>
      <c r="E140" s="438" t="s">
        <v>172</v>
      </c>
      <c r="F140" s="438" t="s">
        <v>205</v>
      </c>
      <c r="G140" s="438"/>
      <c r="H140" s="438"/>
      <c r="I140" s="439"/>
      <c r="J140" s="440"/>
      <c r="K140" s="440"/>
      <c r="L140" s="436" t="s">
        <v>843</v>
      </c>
      <c r="M140" s="441">
        <v>947599205073</v>
      </c>
      <c r="N140" s="441">
        <v>0</v>
      </c>
      <c r="O140" s="441">
        <v>0</v>
      </c>
      <c r="P140" s="441">
        <v>2004524145</v>
      </c>
      <c r="Q140" s="441">
        <v>2004524145</v>
      </c>
      <c r="R140" s="441">
        <v>0</v>
      </c>
      <c r="S140" s="441">
        <v>947599205073</v>
      </c>
      <c r="T140" s="441">
        <v>383504629891.21997</v>
      </c>
      <c r="U140" s="441">
        <v>564094575181.78003</v>
      </c>
      <c r="V140" s="442">
        <v>0.40471185268847498</v>
      </c>
      <c r="W140" s="443">
        <v>94420178466.229996</v>
      </c>
      <c r="X140" s="443">
        <v>289084451424.98999</v>
      </c>
      <c r="Y140" s="442">
        <v>0.75379650959360778</v>
      </c>
      <c r="Z140" s="443">
        <v>92803966106.630005</v>
      </c>
      <c r="AA140" s="443">
        <v>1616212359.5999908</v>
      </c>
      <c r="AB140" s="442">
        <v>0.24198916746573201</v>
      </c>
    </row>
    <row r="141" spans="1:28" ht="32.1" customHeight="1">
      <c r="A141" s="411" t="e">
        <v>#REF!</v>
      </c>
      <c r="B141" s="444" t="s">
        <v>510</v>
      </c>
      <c r="C141" s="445" t="s">
        <v>167</v>
      </c>
      <c r="D141" s="446" t="s">
        <v>190</v>
      </c>
      <c r="E141" s="446" t="s">
        <v>172</v>
      </c>
      <c r="F141" s="446" t="s">
        <v>205</v>
      </c>
      <c r="G141" s="446" t="s">
        <v>175</v>
      </c>
      <c r="H141" s="446" t="s">
        <v>207</v>
      </c>
      <c r="I141" s="447"/>
      <c r="J141" s="448"/>
      <c r="K141" s="448"/>
      <c r="L141" s="444" t="s">
        <v>208</v>
      </c>
      <c r="M141" s="449">
        <v>918263049313</v>
      </c>
      <c r="N141" s="449">
        <v>0</v>
      </c>
      <c r="O141" s="449">
        <v>0</v>
      </c>
      <c r="P141" s="449">
        <v>0</v>
      </c>
      <c r="Q141" s="449">
        <v>2004524145</v>
      </c>
      <c r="R141" s="449">
        <v>0</v>
      </c>
      <c r="S141" s="449">
        <v>916258525168</v>
      </c>
      <c r="T141" s="449">
        <v>370038610034.84998</v>
      </c>
      <c r="U141" s="449">
        <v>546219915133.15002</v>
      </c>
      <c r="V141" s="450">
        <v>0.40385829967257525</v>
      </c>
      <c r="W141" s="449">
        <v>88836734792.899994</v>
      </c>
      <c r="X141" s="449">
        <v>281201875241.95001</v>
      </c>
      <c r="Y141" s="450">
        <v>0.75992576886900154</v>
      </c>
      <c r="Z141" s="449">
        <v>87436629514.300003</v>
      </c>
      <c r="AA141" s="449">
        <v>1400105278.5999908</v>
      </c>
      <c r="AB141" s="450">
        <v>0.23629055764225598</v>
      </c>
    </row>
    <row r="142" spans="1:28" ht="32.1" customHeight="1">
      <c r="A142" s="411" t="e">
        <v>#REF!</v>
      </c>
      <c r="B142" s="451" t="s">
        <v>511</v>
      </c>
      <c r="C142" s="452" t="s">
        <v>167</v>
      </c>
      <c r="D142" s="453" t="s">
        <v>190</v>
      </c>
      <c r="E142" s="453" t="s">
        <v>172</v>
      </c>
      <c r="F142" s="453" t="s">
        <v>205</v>
      </c>
      <c r="G142" s="453" t="s">
        <v>175</v>
      </c>
      <c r="H142" s="453" t="s">
        <v>207</v>
      </c>
      <c r="I142" s="454" t="s">
        <v>54</v>
      </c>
      <c r="J142" s="455">
        <v>11</v>
      </c>
      <c r="K142" s="456" t="s">
        <v>29</v>
      </c>
      <c r="L142" s="457" t="s">
        <v>178</v>
      </c>
      <c r="M142" s="458">
        <v>101740918684</v>
      </c>
      <c r="N142" s="458"/>
      <c r="O142" s="458"/>
      <c r="P142" s="458"/>
      <c r="Q142" s="592"/>
      <c r="R142" s="459">
        <v>0</v>
      </c>
      <c r="S142" s="491">
        <v>101740918684</v>
      </c>
      <c r="T142" s="458">
        <v>57569416957.669998</v>
      </c>
      <c r="U142" s="458">
        <v>44171501726.330002</v>
      </c>
      <c r="V142" s="460">
        <v>0.56584329788171539</v>
      </c>
      <c r="W142" s="461">
        <v>11536669940.559999</v>
      </c>
      <c r="X142" s="461">
        <v>46032747017.110001</v>
      </c>
      <c r="Y142" s="460">
        <v>0.79960419003300398</v>
      </c>
      <c r="Z142" s="461">
        <v>10278567838.559999</v>
      </c>
      <c r="AA142" s="461">
        <v>1258102102</v>
      </c>
      <c r="AB142" s="460">
        <v>0.17854215626532555</v>
      </c>
    </row>
    <row r="143" spans="1:28" ht="32.1" customHeight="1">
      <c r="A143" s="411" t="e">
        <v>#REF!</v>
      </c>
      <c r="B143" s="451" t="s">
        <v>514</v>
      </c>
      <c r="C143" s="452" t="s">
        <v>167</v>
      </c>
      <c r="D143" s="453" t="s">
        <v>190</v>
      </c>
      <c r="E143" s="453" t="s">
        <v>172</v>
      </c>
      <c r="F143" s="453" t="s">
        <v>205</v>
      </c>
      <c r="G143" s="453" t="s">
        <v>175</v>
      </c>
      <c r="H143" s="453" t="s">
        <v>207</v>
      </c>
      <c r="I143" s="454" t="s">
        <v>65</v>
      </c>
      <c r="J143" s="455">
        <v>11</v>
      </c>
      <c r="K143" s="456" t="s">
        <v>29</v>
      </c>
      <c r="L143" s="457" t="s">
        <v>127</v>
      </c>
      <c r="M143" s="458">
        <v>816522130629</v>
      </c>
      <c r="N143" s="458"/>
      <c r="O143" s="458"/>
      <c r="P143" s="458"/>
      <c r="Q143" s="491">
        <v>2004524145</v>
      </c>
      <c r="R143" s="459">
        <v>0</v>
      </c>
      <c r="S143" s="491">
        <v>814517606484</v>
      </c>
      <c r="T143" s="458">
        <v>312469193077.17999</v>
      </c>
      <c r="U143" s="458">
        <v>502048413406.82001</v>
      </c>
      <c r="V143" s="460">
        <v>0.38362484811839115</v>
      </c>
      <c r="W143" s="461">
        <v>77300064852.339996</v>
      </c>
      <c r="X143" s="461">
        <v>235169128224.84</v>
      </c>
      <c r="Y143" s="460">
        <v>0.75261540476648892</v>
      </c>
      <c r="Z143" s="461">
        <v>77158061675.740005</v>
      </c>
      <c r="AA143" s="461">
        <v>142003176.59999084</v>
      </c>
      <c r="AB143" s="460">
        <v>0.24693014026724208</v>
      </c>
    </row>
    <row r="144" spans="1:28" ht="32.1" customHeight="1">
      <c r="A144" s="411" t="e">
        <v>#REF!</v>
      </c>
      <c r="B144" s="444" t="s">
        <v>516</v>
      </c>
      <c r="C144" s="445" t="s">
        <v>167</v>
      </c>
      <c r="D144" s="446" t="s">
        <v>190</v>
      </c>
      <c r="E144" s="446" t="s">
        <v>172</v>
      </c>
      <c r="F144" s="446" t="s">
        <v>205</v>
      </c>
      <c r="G144" s="446" t="s">
        <v>175</v>
      </c>
      <c r="H144" s="446" t="s">
        <v>209</v>
      </c>
      <c r="I144" s="447"/>
      <c r="J144" s="448"/>
      <c r="K144" s="448" t="s">
        <v>29</v>
      </c>
      <c r="L144" s="444" t="s">
        <v>210</v>
      </c>
      <c r="M144" s="449">
        <v>29336155760</v>
      </c>
      <c r="N144" s="449">
        <v>0</v>
      </c>
      <c r="O144" s="449">
        <v>0</v>
      </c>
      <c r="P144" s="449">
        <v>2004524145</v>
      </c>
      <c r="Q144" s="449">
        <v>0</v>
      </c>
      <c r="R144" s="449">
        <v>0</v>
      </c>
      <c r="S144" s="449">
        <v>31340679905</v>
      </c>
      <c r="T144" s="449">
        <v>13466019856.370001</v>
      </c>
      <c r="U144" s="449">
        <v>17874660048.629997</v>
      </c>
      <c r="V144" s="450">
        <v>0.42966584953447906</v>
      </c>
      <c r="W144" s="449">
        <v>5583443673.3299999</v>
      </c>
      <c r="X144" s="449">
        <v>7882576183.0400009</v>
      </c>
      <c r="Y144" s="450">
        <v>0.58536793106770946</v>
      </c>
      <c r="Z144" s="449">
        <v>5367336592.3299999</v>
      </c>
      <c r="AA144" s="449">
        <v>216107081</v>
      </c>
      <c r="AB144" s="450">
        <v>0.39858374260387125</v>
      </c>
    </row>
    <row r="145" spans="1:28" ht="32.1" customHeight="1">
      <c r="A145" s="411" t="e">
        <v>#REF!</v>
      </c>
      <c r="B145" s="451" t="s">
        <v>517</v>
      </c>
      <c r="C145" s="452" t="s">
        <v>167</v>
      </c>
      <c r="D145" s="453" t="s">
        <v>190</v>
      </c>
      <c r="E145" s="453" t="s">
        <v>172</v>
      </c>
      <c r="F145" s="453" t="s">
        <v>205</v>
      </c>
      <c r="G145" s="453" t="s">
        <v>175</v>
      </c>
      <c r="H145" s="453" t="s">
        <v>209</v>
      </c>
      <c r="I145" s="454" t="s">
        <v>54</v>
      </c>
      <c r="J145" s="455">
        <v>11</v>
      </c>
      <c r="K145" s="456" t="s">
        <v>29</v>
      </c>
      <c r="L145" s="457" t="s">
        <v>178</v>
      </c>
      <c r="M145" s="458">
        <v>29336155760</v>
      </c>
      <c r="N145" s="458"/>
      <c r="O145" s="458"/>
      <c r="P145" s="491">
        <v>2004524145</v>
      </c>
      <c r="Q145" s="459"/>
      <c r="R145" s="459">
        <v>0</v>
      </c>
      <c r="S145" s="491">
        <v>31340679905</v>
      </c>
      <c r="T145" s="458">
        <v>13466019856.370001</v>
      </c>
      <c r="U145" s="458">
        <v>17874660048.629997</v>
      </c>
      <c r="V145" s="460">
        <v>0.42966584953447906</v>
      </c>
      <c r="W145" s="461">
        <v>5583443673.3299999</v>
      </c>
      <c r="X145" s="461">
        <v>7882576183.0400009</v>
      </c>
      <c r="Y145" s="460">
        <v>0.58536793106770946</v>
      </c>
      <c r="Z145" s="461">
        <v>5367336592.3299999</v>
      </c>
      <c r="AA145" s="461">
        <v>216107081</v>
      </c>
      <c r="AB145" s="460">
        <v>0.39858374260387125</v>
      </c>
    </row>
    <row r="146" spans="1:28" ht="32.1" customHeight="1">
      <c r="A146" s="411" t="e">
        <v>#REF!</v>
      </c>
      <c r="B146" s="436" t="s">
        <v>520</v>
      </c>
      <c r="C146" s="437" t="s">
        <v>167</v>
      </c>
      <c r="D146" s="438" t="s">
        <v>190</v>
      </c>
      <c r="E146" s="438" t="s">
        <v>172</v>
      </c>
      <c r="F146" s="438" t="s">
        <v>211</v>
      </c>
      <c r="G146" s="438"/>
      <c r="H146" s="438"/>
      <c r="I146" s="439"/>
      <c r="J146" s="440"/>
      <c r="K146" s="440"/>
      <c r="L146" s="436" t="s">
        <v>844</v>
      </c>
      <c r="M146" s="441">
        <v>500000000</v>
      </c>
      <c r="N146" s="441">
        <v>0</v>
      </c>
      <c r="O146" s="441">
        <v>0</v>
      </c>
      <c r="P146" s="441">
        <v>0</v>
      </c>
      <c r="Q146" s="441">
        <v>0</v>
      </c>
      <c r="R146" s="441">
        <v>0</v>
      </c>
      <c r="S146" s="441">
        <v>500000000</v>
      </c>
      <c r="T146" s="441">
        <v>0</v>
      </c>
      <c r="U146" s="441">
        <v>500000000</v>
      </c>
      <c r="V146" s="442">
        <v>0</v>
      </c>
      <c r="W146" s="443">
        <v>0</v>
      </c>
      <c r="X146" s="443">
        <v>0</v>
      </c>
      <c r="Y146" s="442">
        <v>0</v>
      </c>
      <c r="Z146" s="443">
        <v>0</v>
      </c>
      <c r="AA146" s="443">
        <v>0</v>
      </c>
      <c r="AB146" s="442">
        <v>0</v>
      </c>
    </row>
    <row r="147" spans="1:28" ht="32.1" customHeight="1">
      <c r="A147" s="411" t="e">
        <v>#REF!</v>
      </c>
      <c r="B147" s="444" t="s">
        <v>522</v>
      </c>
      <c r="C147" s="445" t="s">
        <v>167</v>
      </c>
      <c r="D147" s="446" t="s">
        <v>190</v>
      </c>
      <c r="E147" s="446" t="s">
        <v>172</v>
      </c>
      <c r="F147" s="446" t="s">
        <v>211</v>
      </c>
      <c r="G147" s="446" t="s">
        <v>175</v>
      </c>
      <c r="H147" s="446" t="s">
        <v>213</v>
      </c>
      <c r="I147" s="447"/>
      <c r="J147" s="448"/>
      <c r="K147" s="448" t="s">
        <v>29</v>
      </c>
      <c r="L147" s="444" t="s">
        <v>214</v>
      </c>
      <c r="M147" s="449">
        <v>410000000</v>
      </c>
      <c r="N147" s="449">
        <v>0</v>
      </c>
      <c r="O147" s="449">
        <v>0</v>
      </c>
      <c r="P147" s="449">
        <v>0</v>
      </c>
      <c r="Q147" s="449">
        <v>0</v>
      </c>
      <c r="R147" s="449">
        <v>0</v>
      </c>
      <c r="S147" s="449">
        <v>410000000</v>
      </c>
      <c r="T147" s="449">
        <v>0</v>
      </c>
      <c r="U147" s="449">
        <v>410000000</v>
      </c>
      <c r="V147" s="450">
        <v>0</v>
      </c>
      <c r="W147" s="449">
        <v>0</v>
      </c>
      <c r="X147" s="449">
        <v>0</v>
      </c>
      <c r="Y147" s="450">
        <v>0</v>
      </c>
      <c r="Z147" s="449">
        <v>0</v>
      </c>
      <c r="AA147" s="449">
        <v>0</v>
      </c>
      <c r="AB147" s="450">
        <v>0</v>
      </c>
    </row>
    <row r="148" spans="1:28" ht="32.1" customHeight="1">
      <c r="A148" s="411" t="e">
        <v>#REF!</v>
      </c>
      <c r="B148" s="451" t="s">
        <v>524</v>
      </c>
      <c r="C148" s="452" t="s">
        <v>167</v>
      </c>
      <c r="D148" s="453" t="s">
        <v>190</v>
      </c>
      <c r="E148" s="453" t="s">
        <v>172</v>
      </c>
      <c r="F148" s="453" t="s">
        <v>211</v>
      </c>
      <c r="G148" s="453" t="s">
        <v>175</v>
      </c>
      <c r="H148" s="453" t="s">
        <v>213</v>
      </c>
      <c r="I148" s="454" t="s">
        <v>54</v>
      </c>
      <c r="J148" s="455">
        <v>11</v>
      </c>
      <c r="K148" s="456" t="s">
        <v>29</v>
      </c>
      <c r="L148" s="457" t="s">
        <v>178</v>
      </c>
      <c r="M148" s="458">
        <v>410000000</v>
      </c>
      <c r="N148" s="458"/>
      <c r="O148" s="458"/>
      <c r="P148" s="459"/>
      <c r="Q148" s="459"/>
      <c r="R148" s="459">
        <v>0</v>
      </c>
      <c r="S148" s="458">
        <v>410000000</v>
      </c>
      <c r="T148" s="458">
        <v>0</v>
      </c>
      <c r="U148" s="458">
        <v>410000000</v>
      </c>
      <c r="V148" s="460">
        <v>0</v>
      </c>
      <c r="W148" s="461">
        <v>0</v>
      </c>
      <c r="X148" s="461">
        <v>0</v>
      </c>
      <c r="Y148" s="460">
        <v>0</v>
      </c>
      <c r="Z148" s="461">
        <v>0</v>
      </c>
      <c r="AA148" s="461">
        <v>0</v>
      </c>
      <c r="AB148" s="460">
        <v>0</v>
      </c>
    </row>
    <row r="149" spans="1:28" ht="32.1" customHeight="1">
      <c r="A149" s="411" t="e">
        <v>#REF!</v>
      </c>
      <c r="B149" s="444" t="s">
        <v>526</v>
      </c>
      <c r="C149" s="445" t="s">
        <v>167</v>
      </c>
      <c r="D149" s="446" t="s">
        <v>190</v>
      </c>
      <c r="E149" s="446" t="s">
        <v>172</v>
      </c>
      <c r="F149" s="446" t="s">
        <v>211</v>
      </c>
      <c r="G149" s="446" t="s">
        <v>175</v>
      </c>
      <c r="H149" s="446" t="s">
        <v>215</v>
      </c>
      <c r="I149" s="447"/>
      <c r="J149" s="448"/>
      <c r="K149" s="448" t="s">
        <v>29</v>
      </c>
      <c r="L149" s="444" t="s">
        <v>216</v>
      </c>
      <c r="M149" s="449">
        <v>90000000</v>
      </c>
      <c r="N149" s="449">
        <v>0</v>
      </c>
      <c r="O149" s="449">
        <v>0</v>
      </c>
      <c r="P149" s="449">
        <v>0</v>
      </c>
      <c r="Q149" s="449">
        <v>0</v>
      </c>
      <c r="R149" s="449">
        <v>0</v>
      </c>
      <c r="S149" s="449">
        <v>90000000</v>
      </c>
      <c r="T149" s="449">
        <v>0</v>
      </c>
      <c r="U149" s="449">
        <v>90000000</v>
      </c>
      <c r="V149" s="450">
        <v>0</v>
      </c>
      <c r="W149" s="449">
        <v>0</v>
      </c>
      <c r="X149" s="449">
        <v>0</v>
      </c>
      <c r="Y149" s="450">
        <v>0</v>
      </c>
      <c r="Z149" s="449">
        <v>0</v>
      </c>
      <c r="AA149" s="449">
        <v>0</v>
      </c>
      <c r="AB149" s="450">
        <v>0</v>
      </c>
    </row>
    <row r="150" spans="1:28" ht="32.1" customHeight="1">
      <c r="A150" s="411" t="e">
        <v>#REF!</v>
      </c>
      <c r="B150" s="451" t="s">
        <v>528</v>
      </c>
      <c r="C150" s="452" t="s">
        <v>167</v>
      </c>
      <c r="D150" s="453" t="s">
        <v>190</v>
      </c>
      <c r="E150" s="453" t="s">
        <v>172</v>
      </c>
      <c r="F150" s="453" t="s">
        <v>211</v>
      </c>
      <c r="G150" s="453" t="s">
        <v>175</v>
      </c>
      <c r="H150" s="453" t="s">
        <v>215</v>
      </c>
      <c r="I150" s="454" t="s">
        <v>54</v>
      </c>
      <c r="J150" s="455">
        <v>11</v>
      </c>
      <c r="K150" s="456" t="s">
        <v>29</v>
      </c>
      <c r="L150" s="457" t="s">
        <v>178</v>
      </c>
      <c r="M150" s="458">
        <v>90000000</v>
      </c>
      <c r="N150" s="458"/>
      <c r="O150" s="458"/>
      <c r="P150" s="459"/>
      <c r="Q150" s="459"/>
      <c r="R150" s="459">
        <v>0</v>
      </c>
      <c r="S150" s="458">
        <v>90000000</v>
      </c>
      <c r="T150" s="458">
        <v>0</v>
      </c>
      <c r="U150" s="458">
        <v>90000000</v>
      </c>
      <c r="V150" s="460">
        <v>0</v>
      </c>
      <c r="W150" s="461">
        <v>0</v>
      </c>
      <c r="X150" s="461">
        <v>0</v>
      </c>
      <c r="Y150" s="460">
        <v>0</v>
      </c>
      <c r="Z150" s="461">
        <v>0</v>
      </c>
      <c r="AA150" s="461">
        <v>0</v>
      </c>
      <c r="AB150" s="460">
        <v>0</v>
      </c>
    </row>
    <row r="151" spans="1:28" ht="51">
      <c r="A151" s="411" t="e">
        <v>#REF!</v>
      </c>
      <c r="B151" s="436" t="s">
        <v>530</v>
      </c>
      <c r="C151" s="437" t="s">
        <v>167</v>
      </c>
      <c r="D151" s="438" t="s">
        <v>190</v>
      </c>
      <c r="E151" s="438" t="s">
        <v>172</v>
      </c>
      <c r="F151" s="438" t="s">
        <v>217</v>
      </c>
      <c r="G151" s="438"/>
      <c r="H151" s="438"/>
      <c r="I151" s="439"/>
      <c r="J151" s="440"/>
      <c r="K151" s="440"/>
      <c r="L151" s="436" t="s">
        <v>845</v>
      </c>
      <c r="M151" s="441">
        <v>18000000000</v>
      </c>
      <c r="N151" s="441">
        <v>0</v>
      </c>
      <c r="O151" s="441">
        <v>0</v>
      </c>
      <c r="P151" s="441">
        <v>0</v>
      </c>
      <c r="Q151" s="441">
        <v>0</v>
      </c>
      <c r="R151" s="441">
        <v>0</v>
      </c>
      <c r="S151" s="441">
        <v>18000000000</v>
      </c>
      <c r="T151" s="441">
        <v>990856593</v>
      </c>
      <c r="U151" s="441">
        <v>17009143407</v>
      </c>
      <c r="V151" s="442">
        <v>5.5047588500000001E-2</v>
      </c>
      <c r="W151" s="443">
        <v>434707659.32999998</v>
      </c>
      <c r="X151" s="443">
        <v>556148933.67000008</v>
      </c>
      <c r="Y151" s="442">
        <v>0.56128095387260557</v>
      </c>
      <c r="Z151" s="443">
        <v>403642326</v>
      </c>
      <c r="AA151" s="443">
        <v>31065333.329999983</v>
      </c>
      <c r="AB151" s="442">
        <v>0.40736704872488039</v>
      </c>
    </row>
    <row r="152" spans="1:28" ht="32.1" customHeight="1">
      <c r="A152" s="411" t="e">
        <v>#REF!</v>
      </c>
      <c r="B152" s="444" t="s">
        <v>531</v>
      </c>
      <c r="C152" s="445" t="s">
        <v>167</v>
      </c>
      <c r="D152" s="446" t="s">
        <v>190</v>
      </c>
      <c r="E152" s="446" t="s">
        <v>172</v>
      </c>
      <c r="F152" s="446" t="s">
        <v>217</v>
      </c>
      <c r="G152" s="446" t="s">
        <v>175</v>
      </c>
      <c r="H152" s="446" t="s">
        <v>219</v>
      </c>
      <c r="I152" s="447"/>
      <c r="J152" s="448"/>
      <c r="K152" s="448" t="s">
        <v>29</v>
      </c>
      <c r="L152" s="444" t="s">
        <v>846</v>
      </c>
      <c r="M152" s="449">
        <v>3388943635</v>
      </c>
      <c r="N152" s="449">
        <v>0</v>
      </c>
      <c r="O152" s="449">
        <v>0</v>
      </c>
      <c r="P152" s="449">
        <v>0</v>
      </c>
      <c r="Q152" s="449">
        <v>0</v>
      </c>
      <c r="R152" s="449">
        <v>0</v>
      </c>
      <c r="S152" s="449">
        <v>3388943635</v>
      </c>
      <c r="T152" s="449">
        <v>990856593</v>
      </c>
      <c r="U152" s="449">
        <v>2398087042</v>
      </c>
      <c r="V152" s="450">
        <v>0.29237918942254698</v>
      </c>
      <c r="W152" s="449">
        <v>434707659.32999998</v>
      </c>
      <c r="X152" s="449">
        <v>556148933.67000008</v>
      </c>
      <c r="Y152" s="450">
        <v>0.56128095387260557</v>
      </c>
      <c r="Z152" s="449">
        <v>403642326</v>
      </c>
      <c r="AA152" s="449">
        <v>31065333.329999983</v>
      </c>
      <c r="AB152" s="450">
        <v>0.40736704872488039</v>
      </c>
    </row>
    <row r="153" spans="1:28" ht="32.1" customHeight="1">
      <c r="A153" s="411" t="e">
        <v>#REF!</v>
      </c>
      <c r="B153" s="451" t="s">
        <v>532</v>
      </c>
      <c r="C153" s="452" t="s">
        <v>167</v>
      </c>
      <c r="D153" s="453" t="s">
        <v>190</v>
      </c>
      <c r="E153" s="453" t="s">
        <v>172</v>
      </c>
      <c r="F153" s="453" t="s">
        <v>217</v>
      </c>
      <c r="G153" s="453" t="s">
        <v>175</v>
      </c>
      <c r="H153" s="453" t="s">
        <v>219</v>
      </c>
      <c r="I153" s="454" t="s">
        <v>54</v>
      </c>
      <c r="J153" s="455">
        <v>11</v>
      </c>
      <c r="K153" s="456" t="s">
        <v>29</v>
      </c>
      <c r="L153" s="457" t="s">
        <v>178</v>
      </c>
      <c r="M153" s="458">
        <v>3388943635</v>
      </c>
      <c r="N153" s="458"/>
      <c r="O153" s="458"/>
      <c r="P153" s="458"/>
      <c r="Q153" s="459"/>
      <c r="R153" s="459">
        <v>0</v>
      </c>
      <c r="S153" s="458">
        <v>3388943635</v>
      </c>
      <c r="T153" s="458">
        <v>990856593</v>
      </c>
      <c r="U153" s="458">
        <v>2398087042</v>
      </c>
      <c r="V153" s="460">
        <v>0.29237918942254698</v>
      </c>
      <c r="W153" s="461">
        <v>434707659.32999998</v>
      </c>
      <c r="X153" s="461">
        <v>556148933.67000008</v>
      </c>
      <c r="Y153" s="460">
        <v>0.56128095387260557</v>
      </c>
      <c r="Z153" s="461">
        <v>403642326</v>
      </c>
      <c r="AA153" s="461">
        <v>31065333.329999983</v>
      </c>
      <c r="AB153" s="460">
        <v>0.40736704872488039</v>
      </c>
    </row>
    <row r="154" spans="1:28" ht="32.1" customHeight="1">
      <c r="A154" s="411" t="e">
        <v>#REF!</v>
      </c>
      <c r="B154" s="444" t="s">
        <v>533</v>
      </c>
      <c r="C154" s="445" t="s">
        <v>167</v>
      </c>
      <c r="D154" s="446" t="s">
        <v>190</v>
      </c>
      <c r="E154" s="446" t="s">
        <v>172</v>
      </c>
      <c r="F154" s="446" t="s">
        <v>217</v>
      </c>
      <c r="G154" s="446" t="s">
        <v>175</v>
      </c>
      <c r="H154" s="446" t="s">
        <v>221</v>
      </c>
      <c r="I154" s="447"/>
      <c r="J154" s="448"/>
      <c r="K154" s="448" t="s">
        <v>29</v>
      </c>
      <c r="L154" s="444" t="s">
        <v>222</v>
      </c>
      <c r="M154" s="449">
        <v>14611056365</v>
      </c>
      <c r="N154" s="449">
        <v>0</v>
      </c>
      <c r="O154" s="449">
        <v>0</v>
      </c>
      <c r="P154" s="449">
        <v>0</v>
      </c>
      <c r="Q154" s="449">
        <v>0</v>
      </c>
      <c r="R154" s="449">
        <v>0</v>
      </c>
      <c r="S154" s="449">
        <v>14611056365</v>
      </c>
      <c r="T154" s="449">
        <v>0</v>
      </c>
      <c r="U154" s="449">
        <v>14611056365</v>
      </c>
      <c r="V154" s="450">
        <v>0</v>
      </c>
      <c r="W154" s="449">
        <v>0</v>
      </c>
      <c r="X154" s="449">
        <v>0</v>
      </c>
      <c r="Y154" s="450">
        <v>0</v>
      </c>
      <c r="Z154" s="449">
        <v>0</v>
      </c>
      <c r="AA154" s="449">
        <v>0</v>
      </c>
      <c r="AB154" s="450">
        <v>0</v>
      </c>
    </row>
    <row r="155" spans="1:28" ht="32.1" customHeight="1">
      <c r="A155" s="411" t="e">
        <v>#REF!</v>
      </c>
      <c r="B155" s="451" t="s">
        <v>534</v>
      </c>
      <c r="C155" s="452" t="s">
        <v>167</v>
      </c>
      <c r="D155" s="453" t="s">
        <v>190</v>
      </c>
      <c r="E155" s="453" t="s">
        <v>172</v>
      </c>
      <c r="F155" s="453" t="s">
        <v>217</v>
      </c>
      <c r="G155" s="453" t="s">
        <v>175</v>
      </c>
      <c r="H155" s="453" t="s">
        <v>221</v>
      </c>
      <c r="I155" s="454" t="s">
        <v>54</v>
      </c>
      <c r="J155" s="455">
        <v>11</v>
      </c>
      <c r="K155" s="456" t="s">
        <v>29</v>
      </c>
      <c r="L155" s="457" t="s">
        <v>178</v>
      </c>
      <c r="M155" s="458">
        <v>14611056365</v>
      </c>
      <c r="N155" s="458"/>
      <c r="O155" s="458"/>
      <c r="P155" s="458"/>
      <c r="Q155" s="459"/>
      <c r="R155" s="459">
        <v>0</v>
      </c>
      <c r="S155" s="458">
        <v>14611056365</v>
      </c>
      <c r="T155" s="458">
        <v>0</v>
      </c>
      <c r="U155" s="458">
        <v>14611056365</v>
      </c>
      <c r="V155" s="460">
        <v>0</v>
      </c>
      <c r="W155" s="461">
        <v>0</v>
      </c>
      <c r="X155" s="461">
        <v>0</v>
      </c>
      <c r="Y155" s="460">
        <v>0</v>
      </c>
      <c r="Z155" s="461">
        <v>0</v>
      </c>
      <c r="AA155" s="461">
        <v>0</v>
      </c>
      <c r="AB155" s="460">
        <v>0</v>
      </c>
    </row>
    <row r="156" spans="1:28" ht="39.950000000000003" customHeight="1">
      <c r="A156" s="411" t="e">
        <v>#REF!</v>
      </c>
      <c r="B156" s="436" t="s">
        <v>658</v>
      </c>
      <c r="C156" s="437" t="s">
        <v>167</v>
      </c>
      <c r="D156" s="438" t="s">
        <v>190</v>
      </c>
      <c r="E156" s="438" t="s">
        <v>172</v>
      </c>
      <c r="F156" s="438">
        <v>18</v>
      </c>
      <c r="G156" s="438"/>
      <c r="H156" s="438"/>
      <c r="I156" s="439"/>
      <c r="J156" s="440"/>
      <c r="K156" s="440"/>
      <c r="L156" s="436" t="s">
        <v>847</v>
      </c>
      <c r="M156" s="441">
        <v>41200000000</v>
      </c>
      <c r="N156" s="441">
        <v>0</v>
      </c>
      <c r="O156" s="441">
        <v>0</v>
      </c>
      <c r="P156" s="441">
        <v>0</v>
      </c>
      <c r="Q156" s="441">
        <v>0</v>
      </c>
      <c r="R156" s="441">
        <v>0</v>
      </c>
      <c r="S156" s="441">
        <v>41200000000</v>
      </c>
      <c r="T156" s="441">
        <v>3293121810.6700001</v>
      </c>
      <c r="U156" s="441">
        <v>37906878189.330002</v>
      </c>
      <c r="V156" s="442">
        <v>7.9930141035679608E-2</v>
      </c>
      <c r="W156" s="443">
        <v>1698509061.6700001</v>
      </c>
      <c r="X156" s="443">
        <v>1594612749</v>
      </c>
      <c r="Y156" s="442">
        <v>0.48422525514644388</v>
      </c>
      <c r="Z156" s="443">
        <v>1648709061.6700001</v>
      </c>
      <c r="AA156" s="443">
        <v>49800000</v>
      </c>
      <c r="AB156" s="442">
        <v>0.5006523160874401</v>
      </c>
    </row>
    <row r="157" spans="1:28" ht="32.1" customHeight="1">
      <c r="A157" s="411" t="e">
        <v>#REF!</v>
      </c>
      <c r="B157" s="444" t="s">
        <v>660</v>
      </c>
      <c r="C157" s="445" t="s">
        <v>167</v>
      </c>
      <c r="D157" s="446" t="s">
        <v>190</v>
      </c>
      <c r="E157" s="446" t="s">
        <v>172</v>
      </c>
      <c r="F157" s="446">
        <v>18</v>
      </c>
      <c r="G157" s="446" t="s">
        <v>175</v>
      </c>
      <c r="H157" s="446">
        <v>4103050</v>
      </c>
      <c r="I157" s="447"/>
      <c r="J157" s="448"/>
      <c r="K157" s="448" t="s">
        <v>29</v>
      </c>
      <c r="L157" s="444" t="s">
        <v>269</v>
      </c>
      <c r="M157" s="449">
        <v>41200000000</v>
      </c>
      <c r="N157" s="449">
        <v>0</v>
      </c>
      <c r="O157" s="449">
        <v>0</v>
      </c>
      <c r="P157" s="449">
        <v>0</v>
      </c>
      <c r="Q157" s="449">
        <v>0</v>
      </c>
      <c r="R157" s="449">
        <v>0</v>
      </c>
      <c r="S157" s="449">
        <v>41200000000</v>
      </c>
      <c r="T157" s="449">
        <v>3293121810.6700001</v>
      </c>
      <c r="U157" s="449">
        <v>37906878189.330002</v>
      </c>
      <c r="V157" s="450">
        <v>7.9930141035679608E-2</v>
      </c>
      <c r="W157" s="449">
        <v>1698509061.6700001</v>
      </c>
      <c r="X157" s="449">
        <v>1594612749</v>
      </c>
      <c r="Y157" s="450">
        <v>0.48422525514644388</v>
      </c>
      <c r="Z157" s="449">
        <v>1648709061.6700001</v>
      </c>
      <c r="AA157" s="449">
        <v>49800000</v>
      </c>
      <c r="AB157" s="450">
        <v>0.5006523160874401</v>
      </c>
    </row>
    <row r="158" spans="1:28" ht="32.1" customHeight="1">
      <c r="A158" s="411" t="e">
        <v>#REF!</v>
      </c>
      <c r="B158" s="451" t="s">
        <v>662</v>
      </c>
      <c r="C158" s="452" t="s">
        <v>167</v>
      </c>
      <c r="D158" s="453" t="s">
        <v>190</v>
      </c>
      <c r="E158" s="453" t="s">
        <v>172</v>
      </c>
      <c r="F158" s="453">
        <v>18</v>
      </c>
      <c r="G158" s="453" t="s">
        <v>175</v>
      </c>
      <c r="H158" s="453">
        <v>4103050</v>
      </c>
      <c r="I158" s="454" t="s">
        <v>54</v>
      </c>
      <c r="J158" s="455">
        <v>11</v>
      </c>
      <c r="K158" s="456" t="s">
        <v>29</v>
      </c>
      <c r="L158" s="457" t="s">
        <v>178</v>
      </c>
      <c r="M158" s="458">
        <v>41200000000</v>
      </c>
      <c r="N158" s="458"/>
      <c r="O158" s="458"/>
      <c r="P158" s="458"/>
      <c r="Q158" s="458">
        <v>0</v>
      </c>
      <c r="R158" s="459">
        <v>0</v>
      </c>
      <c r="S158" s="458">
        <v>41200000000</v>
      </c>
      <c r="T158" s="458">
        <v>3293121810.6700001</v>
      </c>
      <c r="U158" s="458">
        <v>37906878189.330002</v>
      </c>
      <c r="V158" s="460">
        <v>7.9930141035679608E-2</v>
      </c>
      <c r="W158" s="461">
        <v>1698509061.6700001</v>
      </c>
      <c r="X158" s="461">
        <v>1594612749</v>
      </c>
      <c r="Y158" s="460">
        <v>0.48422525514644388</v>
      </c>
      <c r="Z158" s="461">
        <v>1648709061.6700001</v>
      </c>
      <c r="AA158" s="461">
        <v>49800000</v>
      </c>
      <c r="AB158" s="460">
        <v>0.5006523160874401</v>
      </c>
    </row>
    <row r="159" spans="1:28" ht="32.1" customHeight="1">
      <c r="A159" s="411" t="e">
        <v>#REF!</v>
      </c>
      <c r="B159" s="436" t="s">
        <v>664</v>
      </c>
      <c r="C159" s="437" t="s">
        <v>167</v>
      </c>
      <c r="D159" s="438" t="s">
        <v>190</v>
      </c>
      <c r="E159" s="438" t="s">
        <v>172</v>
      </c>
      <c r="F159" s="438">
        <v>19</v>
      </c>
      <c r="G159" s="438"/>
      <c r="H159" s="438"/>
      <c r="I159" s="439"/>
      <c r="J159" s="440"/>
      <c r="K159" s="440"/>
      <c r="L159" s="436" t="s">
        <v>848</v>
      </c>
      <c r="M159" s="441">
        <v>12000000000</v>
      </c>
      <c r="N159" s="441">
        <v>0</v>
      </c>
      <c r="O159" s="441">
        <v>0</v>
      </c>
      <c r="P159" s="441">
        <v>0</v>
      </c>
      <c r="Q159" s="441">
        <v>0</v>
      </c>
      <c r="R159" s="441">
        <v>0</v>
      </c>
      <c r="S159" s="441">
        <v>12000000000</v>
      </c>
      <c r="T159" s="441">
        <v>7566140972.0500002</v>
      </c>
      <c r="U159" s="441">
        <v>4433859027.9499998</v>
      </c>
      <c r="V159" s="442">
        <v>0.6305117476708334</v>
      </c>
      <c r="W159" s="443">
        <v>2534444523.96</v>
      </c>
      <c r="X159" s="443">
        <v>5031696448.0900002</v>
      </c>
      <c r="Y159" s="442">
        <v>0.66502811230685965</v>
      </c>
      <c r="Z159" s="443">
        <v>2443522179.96</v>
      </c>
      <c r="AA159" s="443">
        <v>90922344</v>
      </c>
      <c r="AB159" s="442">
        <v>0.32295488400052141</v>
      </c>
    </row>
    <row r="160" spans="1:28" ht="32.1" customHeight="1">
      <c r="A160" s="411" t="e">
        <v>#REF!</v>
      </c>
      <c r="B160" s="444" t="s">
        <v>666</v>
      </c>
      <c r="C160" s="445" t="s">
        <v>167</v>
      </c>
      <c r="D160" s="446" t="s">
        <v>190</v>
      </c>
      <c r="E160" s="446" t="s">
        <v>172</v>
      </c>
      <c r="F160" s="446">
        <v>19</v>
      </c>
      <c r="G160" s="446" t="s">
        <v>175</v>
      </c>
      <c r="H160" s="446">
        <v>4103049</v>
      </c>
      <c r="I160" s="447"/>
      <c r="J160" s="448"/>
      <c r="K160" s="448" t="s">
        <v>29</v>
      </c>
      <c r="L160" s="444" t="s">
        <v>228</v>
      </c>
      <c r="M160" s="449">
        <v>250000000</v>
      </c>
      <c r="N160" s="449">
        <v>0</v>
      </c>
      <c r="O160" s="449">
        <v>0</v>
      </c>
      <c r="P160" s="449">
        <v>0</v>
      </c>
      <c r="Q160" s="449">
        <v>0</v>
      </c>
      <c r="R160" s="449">
        <v>0</v>
      </c>
      <c r="S160" s="449">
        <v>250000000</v>
      </c>
      <c r="T160" s="449">
        <v>0</v>
      </c>
      <c r="U160" s="449">
        <v>250000000</v>
      </c>
      <c r="V160" s="450">
        <v>0</v>
      </c>
      <c r="W160" s="449">
        <v>0</v>
      </c>
      <c r="X160" s="449">
        <v>0</v>
      </c>
      <c r="Y160" s="450">
        <v>0</v>
      </c>
      <c r="Z160" s="449">
        <v>0</v>
      </c>
      <c r="AA160" s="449">
        <v>0</v>
      </c>
      <c r="AB160" s="450">
        <v>0</v>
      </c>
    </row>
    <row r="161" spans="1:28" ht="32.1" customHeight="1">
      <c r="A161" s="411" t="e">
        <v>#REF!</v>
      </c>
      <c r="B161" s="451" t="s">
        <v>668</v>
      </c>
      <c r="C161" s="452" t="s">
        <v>167</v>
      </c>
      <c r="D161" s="453" t="s">
        <v>190</v>
      </c>
      <c r="E161" s="453" t="s">
        <v>172</v>
      </c>
      <c r="F161" s="453">
        <v>19</v>
      </c>
      <c r="G161" s="453" t="s">
        <v>175</v>
      </c>
      <c r="H161" s="453">
        <v>4103049</v>
      </c>
      <c r="I161" s="454" t="s">
        <v>54</v>
      </c>
      <c r="J161" s="455">
        <v>11</v>
      </c>
      <c r="K161" s="456" t="s">
        <v>29</v>
      </c>
      <c r="L161" s="457" t="s">
        <v>178</v>
      </c>
      <c r="M161" s="458">
        <v>250000000</v>
      </c>
      <c r="N161" s="458"/>
      <c r="O161" s="458"/>
      <c r="P161" s="458"/>
      <c r="Q161" s="458">
        <v>0</v>
      </c>
      <c r="R161" s="459">
        <v>0</v>
      </c>
      <c r="S161" s="458">
        <v>250000000</v>
      </c>
      <c r="T161" s="458">
        <v>0</v>
      </c>
      <c r="U161" s="458">
        <v>250000000</v>
      </c>
      <c r="V161" s="460">
        <v>0</v>
      </c>
      <c r="W161" s="461">
        <v>0</v>
      </c>
      <c r="X161" s="461">
        <v>0</v>
      </c>
      <c r="Y161" s="460">
        <v>0</v>
      </c>
      <c r="Z161" s="461">
        <v>0</v>
      </c>
      <c r="AA161" s="461">
        <v>0</v>
      </c>
      <c r="AB161" s="460">
        <v>0</v>
      </c>
    </row>
    <row r="162" spans="1:28" ht="32.1" customHeight="1">
      <c r="A162" s="411" t="e">
        <v>#REF!</v>
      </c>
      <c r="B162" s="444" t="s">
        <v>670</v>
      </c>
      <c r="C162" s="445" t="s">
        <v>167</v>
      </c>
      <c r="D162" s="446" t="s">
        <v>190</v>
      </c>
      <c r="E162" s="446" t="s">
        <v>172</v>
      </c>
      <c r="F162" s="446">
        <v>19</v>
      </c>
      <c r="G162" s="446" t="s">
        <v>175</v>
      </c>
      <c r="H162" s="446">
        <v>4103052</v>
      </c>
      <c r="I162" s="447"/>
      <c r="J162" s="448"/>
      <c r="K162" s="448" t="s">
        <v>29</v>
      </c>
      <c r="L162" s="444" t="s">
        <v>229</v>
      </c>
      <c r="M162" s="449">
        <v>11700000000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11700000000</v>
      </c>
      <c r="T162" s="449">
        <v>7566140972.0500002</v>
      </c>
      <c r="U162" s="449">
        <v>4133859027.9499998</v>
      </c>
      <c r="V162" s="450">
        <v>0.64667871555982903</v>
      </c>
      <c r="W162" s="449">
        <v>2534444523.96</v>
      </c>
      <c r="X162" s="449">
        <v>5031696448.0900002</v>
      </c>
      <c r="Y162" s="450">
        <v>0.66502811230685965</v>
      </c>
      <c r="Z162" s="449">
        <v>2443522179.96</v>
      </c>
      <c r="AA162" s="449">
        <v>90922344</v>
      </c>
      <c r="AB162" s="450">
        <v>0.32295488400052141</v>
      </c>
    </row>
    <row r="163" spans="1:28" ht="32.1" customHeight="1">
      <c r="A163" s="411" t="e">
        <v>#REF!</v>
      </c>
      <c r="B163" s="451" t="s">
        <v>672</v>
      </c>
      <c r="C163" s="452" t="s">
        <v>167</v>
      </c>
      <c r="D163" s="453" t="s">
        <v>190</v>
      </c>
      <c r="E163" s="453" t="s">
        <v>172</v>
      </c>
      <c r="F163" s="453">
        <v>19</v>
      </c>
      <c r="G163" s="453" t="s">
        <v>175</v>
      </c>
      <c r="H163" s="453">
        <v>4103052</v>
      </c>
      <c r="I163" s="454" t="s">
        <v>54</v>
      </c>
      <c r="J163" s="455">
        <v>11</v>
      </c>
      <c r="K163" s="456" t="s">
        <v>29</v>
      </c>
      <c r="L163" s="457" t="s">
        <v>178</v>
      </c>
      <c r="M163" s="458">
        <v>11700000000</v>
      </c>
      <c r="N163" s="458"/>
      <c r="O163" s="458"/>
      <c r="P163" s="458"/>
      <c r="Q163" s="458">
        <v>0</v>
      </c>
      <c r="R163" s="459">
        <v>0</v>
      </c>
      <c r="S163" s="458">
        <v>11700000000</v>
      </c>
      <c r="T163" s="458">
        <v>7566140972.0500002</v>
      </c>
      <c r="U163" s="458">
        <v>4133859027.9499998</v>
      </c>
      <c r="V163" s="460">
        <v>0.64667871555982903</v>
      </c>
      <c r="W163" s="461">
        <v>2534444523.96</v>
      </c>
      <c r="X163" s="461">
        <v>5031696448.0900002</v>
      </c>
      <c r="Y163" s="460">
        <v>0.66502811230685965</v>
      </c>
      <c r="Z163" s="461">
        <v>2443522179.96</v>
      </c>
      <c r="AA163" s="461">
        <v>90922344</v>
      </c>
      <c r="AB163" s="460">
        <v>0.32295488400052141</v>
      </c>
    </row>
    <row r="164" spans="1:28" ht="32.1" customHeight="1">
      <c r="A164" s="411" t="e">
        <v>#REF!</v>
      </c>
      <c r="B164" s="444" t="s">
        <v>674</v>
      </c>
      <c r="C164" s="445" t="s">
        <v>167</v>
      </c>
      <c r="D164" s="446" t="s">
        <v>190</v>
      </c>
      <c r="E164" s="446" t="s">
        <v>172</v>
      </c>
      <c r="F164" s="446">
        <v>19</v>
      </c>
      <c r="G164" s="446" t="s">
        <v>175</v>
      </c>
      <c r="H164" s="446">
        <v>4103060</v>
      </c>
      <c r="I164" s="447"/>
      <c r="J164" s="448"/>
      <c r="K164" s="448" t="s">
        <v>29</v>
      </c>
      <c r="L164" s="444" t="s">
        <v>216</v>
      </c>
      <c r="M164" s="449">
        <v>50000000</v>
      </c>
      <c r="N164" s="449">
        <v>0</v>
      </c>
      <c r="O164" s="449">
        <v>0</v>
      </c>
      <c r="P164" s="449">
        <v>0</v>
      </c>
      <c r="Q164" s="449">
        <v>0</v>
      </c>
      <c r="R164" s="449">
        <v>0</v>
      </c>
      <c r="S164" s="449">
        <v>50000000</v>
      </c>
      <c r="T164" s="449">
        <v>0</v>
      </c>
      <c r="U164" s="449">
        <v>50000000</v>
      </c>
      <c r="V164" s="450">
        <v>0</v>
      </c>
      <c r="W164" s="449">
        <v>0</v>
      </c>
      <c r="X164" s="449">
        <v>0</v>
      </c>
      <c r="Y164" s="450">
        <v>0</v>
      </c>
      <c r="Z164" s="449">
        <v>0</v>
      </c>
      <c r="AA164" s="449">
        <v>0</v>
      </c>
      <c r="AB164" s="450">
        <v>0</v>
      </c>
    </row>
    <row r="165" spans="1:28" ht="32.1" customHeight="1">
      <c r="A165" s="411" t="e">
        <v>#REF!</v>
      </c>
      <c r="B165" s="451" t="s">
        <v>676</v>
      </c>
      <c r="C165" s="452" t="s">
        <v>167</v>
      </c>
      <c r="D165" s="453" t="s">
        <v>190</v>
      </c>
      <c r="E165" s="453" t="s">
        <v>172</v>
      </c>
      <c r="F165" s="453">
        <v>19</v>
      </c>
      <c r="G165" s="453" t="s">
        <v>175</v>
      </c>
      <c r="H165" s="453">
        <v>4103060</v>
      </c>
      <c r="I165" s="454" t="s">
        <v>54</v>
      </c>
      <c r="J165" s="455">
        <v>11</v>
      </c>
      <c r="K165" s="456" t="s">
        <v>29</v>
      </c>
      <c r="L165" s="457" t="s">
        <v>178</v>
      </c>
      <c r="M165" s="458">
        <v>50000000</v>
      </c>
      <c r="N165" s="458"/>
      <c r="O165" s="458"/>
      <c r="P165" s="458"/>
      <c r="Q165" s="458">
        <v>0</v>
      </c>
      <c r="R165" s="459">
        <v>0</v>
      </c>
      <c r="S165" s="458">
        <v>50000000</v>
      </c>
      <c r="T165" s="458">
        <v>0</v>
      </c>
      <c r="U165" s="458">
        <v>50000000</v>
      </c>
      <c r="V165" s="460">
        <v>0</v>
      </c>
      <c r="W165" s="461">
        <v>0</v>
      </c>
      <c r="X165" s="461">
        <v>0</v>
      </c>
      <c r="Y165" s="460">
        <v>0</v>
      </c>
      <c r="Z165" s="461">
        <v>0</v>
      </c>
      <c r="AA165" s="461">
        <v>0</v>
      </c>
      <c r="AB165" s="460">
        <v>0</v>
      </c>
    </row>
    <row r="166" spans="1:28" ht="39.950000000000003" customHeight="1">
      <c r="A166" s="411" t="e">
        <v>#REF!</v>
      </c>
      <c r="B166" s="436" t="s">
        <v>678</v>
      </c>
      <c r="C166" s="437" t="s">
        <v>167</v>
      </c>
      <c r="D166" s="438" t="s">
        <v>190</v>
      </c>
      <c r="E166" s="438" t="s">
        <v>172</v>
      </c>
      <c r="F166" s="438">
        <v>20</v>
      </c>
      <c r="G166" s="438"/>
      <c r="H166" s="438"/>
      <c r="I166" s="439"/>
      <c r="J166" s="440"/>
      <c r="K166" s="440"/>
      <c r="L166" s="436" t="s">
        <v>849</v>
      </c>
      <c r="M166" s="441">
        <v>1021056959210</v>
      </c>
      <c r="N166" s="441">
        <v>0</v>
      </c>
      <c r="O166" s="441">
        <v>0</v>
      </c>
      <c r="P166" s="441">
        <v>3558390078</v>
      </c>
      <c r="Q166" s="441">
        <v>3558390078</v>
      </c>
      <c r="R166" s="441">
        <v>0</v>
      </c>
      <c r="S166" s="441">
        <v>1021056959210</v>
      </c>
      <c r="T166" s="441">
        <v>3044806457.8200002</v>
      </c>
      <c r="U166" s="441">
        <v>1018012152752.1799</v>
      </c>
      <c r="V166" s="442">
        <v>2.9820143042517348E-3</v>
      </c>
      <c r="W166" s="443">
        <v>2138919625.1199999</v>
      </c>
      <c r="X166" s="443">
        <v>905886832.70000029</v>
      </c>
      <c r="Y166" s="442">
        <v>0.29751869133534059</v>
      </c>
      <c r="Z166" s="443">
        <v>2116219625.1199999</v>
      </c>
      <c r="AA166" s="443">
        <v>22700000</v>
      </c>
      <c r="AB166" s="442">
        <v>0.69502599079323957</v>
      </c>
    </row>
    <row r="167" spans="1:28" ht="32.1" customHeight="1">
      <c r="A167" s="411" t="e">
        <v>#REF!</v>
      </c>
      <c r="B167" s="444" t="s">
        <v>680</v>
      </c>
      <c r="C167" s="445" t="s">
        <v>167</v>
      </c>
      <c r="D167" s="446" t="s">
        <v>190</v>
      </c>
      <c r="E167" s="446" t="s">
        <v>172</v>
      </c>
      <c r="F167" s="446">
        <v>20</v>
      </c>
      <c r="G167" s="446" t="s">
        <v>175</v>
      </c>
      <c r="H167" s="446">
        <v>4103061</v>
      </c>
      <c r="I167" s="447"/>
      <c r="J167" s="448"/>
      <c r="K167" s="448" t="s">
        <v>29</v>
      </c>
      <c r="L167" s="444" t="s">
        <v>231</v>
      </c>
      <c r="M167" s="449">
        <v>777446076033</v>
      </c>
      <c r="N167" s="449">
        <v>0</v>
      </c>
      <c r="O167" s="449">
        <v>0</v>
      </c>
      <c r="P167" s="449">
        <v>0</v>
      </c>
      <c r="Q167" s="449">
        <v>0</v>
      </c>
      <c r="R167" s="449">
        <v>0</v>
      </c>
      <c r="S167" s="449">
        <v>777446076033</v>
      </c>
      <c r="T167" s="449">
        <v>0</v>
      </c>
      <c r="U167" s="449">
        <v>777446076033</v>
      </c>
      <c r="V167" s="450">
        <v>0</v>
      </c>
      <c r="W167" s="449">
        <v>0</v>
      </c>
      <c r="X167" s="449">
        <v>0</v>
      </c>
      <c r="Y167" s="450">
        <v>0</v>
      </c>
      <c r="Z167" s="449">
        <v>0</v>
      </c>
      <c r="AA167" s="449">
        <v>0</v>
      </c>
      <c r="AB167" s="450">
        <v>0</v>
      </c>
    </row>
    <row r="168" spans="1:28" ht="32.1" customHeight="1">
      <c r="A168" s="411" t="e">
        <v>#REF!</v>
      </c>
      <c r="B168" s="451" t="s">
        <v>684</v>
      </c>
      <c r="C168" s="452" t="s">
        <v>167</v>
      </c>
      <c r="D168" s="453" t="s">
        <v>190</v>
      </c>
      <c r="E168" s="453" t="s">
        <v>172</v>
      </c>
      <c r="F168" s="453">
        <v>20</v>
      </c>
      <c r="G168" s="453" t="s">
        <v>175</v>
      </c>
      <c r="H168" s="453">
        <v>4103061</v>
      </c>
      <c r="I168" s="454" t="s">
        <v>65</v>
      </c>
      <c r="J168" s="455">
        <v>10</v>
      </c>
      <c r="K168" s="456" t="s">
        <v>29</v>
      </c>
      <c r="L168" s="457" t="s">
        <v>127</v>
      </c>
      <c r="M168" s="458">
        <v>777446076033</v>
      </c>
      <c r="N168" s="458"/>
      <c r="O168" s="458"/>
      <c r="P168" s="458"/>
      <c r="Q168" s="458"/>
      <c r="R168" s="459">
        <v>0</v>
      </c>
      <c r="S168" s="458">
        <v>777446076033</v>
      </c>
      <c r="T168" s="458">
        <v>0</v>
      </c>
      <c r="U168" s="458">
        <v>777446076033</v>
      </c>
      <c r="V168" s="460">
        <v>0</v>
      </c>
      <c r="W168" s="461">
        <v>0</v>
      </c>
      <c r="X168" s="461">
        <v>0</v>
      </c>
      <c r="Y168" s="460">
        <v>0</v>
      </c>
      <c r="Z168" s="461">
        <v>0</v>
      </c>
      <c r="AA168" s="461">
        <v>0</v>
      </c>
      <c r="AB168" s="460">
        <v>0</v>
      </c>
    </row>
    <row r="169" spans="1:28" ht="32.1" customHeight="1">
      <c r="A169" s="411" t="e">
        <v>#REF!</v>
      </c>
      <c r="B169" s="444" t="s">
        <v>680</v>
      </c>
      <c r="C169" s="445" t="s">
        <v>167</v>
      </c>
      <c r="D169" s="446" t="s">
        <v>190</v>
      </c>
      <c r="E169" s="446" t="s">
        <v>172</v>
      </c>
      <c r="F169" s="446">
        <v>20</v>
      </c>
      <c r="G169" s="446" t="s">
        <v>175</v>
      </c>
      <c r="H169" s="446">
        <v>4103061</v>
      </c>
      <c r="I169" s="447"/>
      <c r="J169" s="448"/>
      <c r="K169" s="448" t="s">
        <v>29</v>
      </c>
      <c r="L169" s="444" t="s">
        <v>231</v>
      </c>
      <c r="M169" s="449">
        <v>243610883177</v>
      </c>
      <c r="N169" s="449">
        <v>0</v>
      </c>
      <c r="O169" s="449">
        <v>0</v>
      </c>
      <c r="P169" s="449">
        <v>3558390078</v>
      </c>
      <c r="Q169" s="449">
        <v>3558390078</v>
      </c>
      <c r="R169" s="449">
        <v>0</v>
      </c>
      <c r="S169" s="449">
        <v>243610883177</v>
      </c>
      <c r="T169" s="449">
        <v>3044806457.8200002</v>
      </c>
      <c r="U169" s="449">
        <v>240566076719.17999</v>
      </c>
      <c r="V169" s="450">
        <v>1.2498647097008962E-2</v>
      </c>
      <c r="W169" s="449">
        <v>2138919625.1199999</v>
      </c>
      <c r="X169" s="449">
        <v>905886832.70000029</v>
      </c>
      <c r="Y169" s="450">
        <v>0.29751869133534059</v>
      </c>
      <c r="Z169" s="449">
        <v>2116219625.1199999</v>
      </c>
      <c r="AA169" s="449">
        <v>22700000</v>
      </c>
      <c r="AB169" s="450">
        <v>0.69502599079323957</v>
      </c>
    </row>
    <row r="170" spans="1:28" ht="32.1" customHeight="1">
      <c r="A170" s="411" t="e">
        <v>#REF!</v>
      </c>
      <c r="B170" s="451" t="s">
        <v>682</v>
      </c>
      <c r="C170" s="452" t="s">
        <v>167</v>
      </c>
      <c r="D170" s="453" t="s">
        <v>190</v>
      </c>
      <c r="E170" s="453" t="s">
        <v>172</v>
      </c>
      <c r="F170" s="453">
        <v>20</v>
      </c>
      <c r="G170" s="453" t="s">
        <v>175</v>
      </c>
      <c r="H170" s="453">
        <v>4103061</v>
      </c>
      <c r="I170" s="454" t="s">
        <v>54</v>
      </c>
      <c r="J170" s="455">
        <v>11</v>
      </c>
      <c r="K170" s="456" t="s">
        <v>29</v>
      </c>
      <c r="L170" s="457" t="s">
        <v>178</v>
      </c>
      <c r="M170" s="458">
        <v>36797363155</v>
      </c>
      <c r="N170" s="458"/>
      <c r="O170" s="458"/>
      <c r="P170" s="458">
        <v>2372260052</v>
      </c>
      <c r="Q170" s="458">
        <v>1186130026</v>
      </c>
      <c r="R170" s="459">
        <v>0</v>
      </c>
      <c r="S170" s="458">
        <v>37983493181</v>
      </c>
      <c r="T170" s="458">
        <v>3044806457.8200002</v>
      </c>
      <c r="U170" s="458">
        <v>34938686723.18</v>
      </c>
      <c r="V170" s="460">
        <v>8.0161307000143553E-2</v>
      </c>
      <c r="W170" s="461">
        <v>2138919625.1199999</v>
      </c>
      <c r="X170" s="461">
        <v>905886832.70000029</v>
      </c>
      <c r="Y170" s="460">
        <v>0.29751869133534059</v>
      </c>
      <c r="Z170" s="461">
        <v>2116219625.1199999</v>
      </c>
      <c r="AA170" s="461">
        <v>22700000</v>
      </c>
      <c r="AB170" s="460">
        <v>0.69502599079323957</v>
      </c>
    </row>
    <row r="171" spans="1:28" ht="32.1" customHeight="1">
      <c r="A171" s="411" t="e">
        <v>#REF!</v>
      </c>
      <c r="B171" s="451" t="s">
        <v>684</v>
      </c>
      <c r="C171" s="452" t="s">
        <v>167</v>
      </c>
      <c r="D171" s="453" t="s">
        <v>190</v>
      </c>
      <c r="E171" s="453" t="s">
        <v>172</v>
      </c>
      <c r="F171" s="453">
        <v>20</v>
      </c>
      <c r="G171" s="453" t="s">
        <v>175</v>
      </c>
      <c r="H171" s="453">
        <v>4103061</v>
      </c>
      <c r="I171" s="454" t="s">
        <v>65</v>
      </c>
      <c r="J171" s="455">
        <v>11</v>
      </c>
      <c r="K171" s="456" t="s">
        <v>29</v>
      </c>
      <c r="L171" s="457" t="s">
        <v>127</v>
      </c>
      <c r="M171" s="458">
        <v>206813520022</v>
      </c>
      <c r="N171" s="458"/>
      <c r="O171" s="458"/>
      <c r="P171" s="458">
        <v>1186130026</v>
      </c>
      <c r="Q171" s="458">
        <v>2372260052</v>
      </c>
      <c r="R171" s="459">
        <v>0</v>
      </c>
      <c r="S171" s="458">
        <v>205627389996</v>
      </c>
      <c r="T171" s="458">
        <v>0</v>
      </c>
      <c r="U171" s="458">
        <v>205627389996</v>
      </c>
      <c r="V171" s="460">
        <v>0</v>
      </c>
      <c r="W171" s="461">
        <v>0</v>
      </c>
      <c r="X171" s="461">
        <v>0</v>
      </c>
      <c r="Y171" s="460">
        <v>0</v>
      </c>
      <c r="Z171" s="461">
        <v>0</v>
      </c>
      <c r="AA171" s="461">
        <v>0</v>
      </c>
      <c r="AB171" s="460">
        <v>0</v>
      </c>
    </row>
    <row r="172" spans="1:28" ht="32.1" customHeight="1">
      <c r="A172" s="411" t="e">
        <v>#REF!</v>
      </c>
      <c r="B172" s="436" t="s">
        <v>692</v>
      </c>
      <c r="C172" s="437" t="s">
        <v>167</v>
      </c>
      <c r="D172" s="438">
        <v>4103</v>
      </c>
      <c r="E172" s="438" t="s">
        <v>172</v>
      </c>
      <c r="F172" s="438">
        <v>21</v>
      </c>
      <c r="G172" s="438"/>
      <c r="H172" s="438"/>
      <c r="I172" s="439"/>
      <c r="J172" s="440"/>
      <c r="K172" s="440"/>
      <c r="L172" s="436" t="s">
        <v>850</v>
      </c>
      <c r="M172" s="441">
        <v>34000000000</v>
      </c>
      <c r="N172" s="441">
        <v>0</v>
      </c>
      <c r="O172" s="441">
        <v>0</v>
      </c>
      <c r="P172" s="441">
        <v>0</v>
      </c>
      <c r="Q172" s="441">
        <v>0</v>
      </c>
      <c r="R172" s="441">
        <v>0</v>
      </c>
      <c r="S172" s="441">
        <v>34000000000</v>
      </c>
      <c r="T172" s="441">
        <v>1289256069</v>
      </c>
      <c r="U172" s="441">
        <v>32710743931</v>
      </c>
      <c r="V172" s="442">
        <v>3.7919296147058822E-2</v>
      </c>
      <c r="W172" s="443">
        <v>569909524</v>
      </c>
      <c r="X172" s="443">
        <v>719346545</v>
      </c>
      <c r="Y172" s="442">
        <v>0.55795474793301125</v>
      </c>
      <c r="Z172" s="443">
        <v>569909524</v>
      </c>
      <c r="AA172" s="443">
        <v>0</v>
      </c>
      <c r="AB172" s="442">
        <v>0.44204525206698869</v>
      </c>
    </row>
    <row r="173" spans="1:28" ht="32.1" customHeight="1">
      <c r="A173" s="411" t="e">
        <v>#REF!</v>
      </c>
      <c r="B173" s="444" t="s">
        <v>693</v>
      </c>
      <c r="C173" s="445" t="s">
        <v>167</v>
      </c>
      <c r="D173" s="446">
        <v>4103</v>
      </c>
      <c r="E173" s="446" t="s">
        <v>172</v>
      </c>
      <c r="F173" s="446">
        <v>21</v>
      </c>
      <c r="G173" s="446" t="s">
        <v>175</v>
      </c>
      <c r="H173" s="446" t="s">
        <v>219</v>
      </c>
      <c r="I173" s="447"/>
      <c r="J173" s="448"/>
      <c r="K173" s="448" t="s">
        <v>29</v>
      </c>
      <c r="L173" s="444" t="s">
        <v>846</v>
      </c>
      <c r="M173" s="449">
        <v>4441786439</v>
      </c>
      <c r="N173" s="449">
        <v>0</v>
      </c>
      <c r="O173" s="449">
        <v>0</v>
      </c>
      <c r="P173" s="449">
        <v>0</v>
      </c>
      <c r="Q173" s="449">
        <v>0</v>
      </c>
      <c r="R173" s="449">
        <v>0</v>
      </c>
      <c r="S173" s="449">
        <v>4441786439</v>
      </c>
      <c r="T173" s="449">
        <v>0</v>
      </c>
      <c r="U173" s="449">
        <v>4441786439</v>
      </c>
      <c r="V173" s="450">
        <v>0</v>
      </c>
      <c r="W173" s="449">
        <v>0</v>
      </c>
      <c r="X173" s="449">
        <v>0</v>
      </c>
      <c r="Y173" s="450">
        <v>0</v>
      </c>
      <c r="Z173" s="449">
        <v>0</v>
      </c>
      <c r="AA173" s="449">
        <v>0</v>
      </c>
      <c r="AB173" s="450">
        <v>0</v>
      </c>
    </row>
    <row r="174" spans="1:28" ht="32.1" customHeight="1">
      <c r="A174" s="411" t="e">
        <v>#REF!</v>
      </c>
      <c r="B174" s="451" t="s">
        <v>694</v>
      </c>
      <c r="C174" s="452" t="s">
        <v>167</v>
      </c>
      <c r="D174" s="453">
        <v>4103</v>
      </c>
      <c r="E174" s="453" t="s">
        <v>172</v>
      </c>
      <c r="F174" s="453">
        <v>21</v>
      </c>
      <c r="G174" s="453" t="s">
        <v>175</v>
      </c>
      <c r="H174" s="453" t="s">
        <v>219</v>
      </c>
      <c r="I174" s="454" t="s">
        <v>54</v>
      </c>
      <c r="J174" s="455">
        <v>11</v>
      </c>
      <c r="K174" s="456" t="s">
        <v>29</v>
      </c>
      <c r="L174" s="457" t="s">
        <v>178</v>
      </c>
      <c r="M174" s="458">
        <v>4441786439</v>
      </c>
      <c r="N174" s="458"/>
      <c r="O174" s="458"/>
      <c r="P174" s="458"/>
      <c r="Q174" s="458"/>
      <c r="R174" s="459">
        <v>0</v>
      </c>
      <c r="S174" s="458">
        <v>4441786439</v>
      </c>
      <c r="T174" s="458">
        <v>0</v>
      </c>
      <c r="U174" s="458">
        <v>4441786439</v>
      </c>
      <c r="V174" s="460">
        <v>0</v>
      </c>
      <c r="W174" s="461">
        <v>0</v>
      </c>
      <c r="X174" s="461">
        <v>0</v>
      </c>
      <c r="Y174" s="460">
        <v>0</v>
      </c>
      <c r="Z174" s="461">
        <v>0</v>
      </c>
      <c r="AA174" s="461">
        <v>0</v>
      </c>
      <c r="AB174" s="460">
        <v>0</v>
      </c>
    </row>
    <row r="175" spans="1:28" ht="32.1" customHeight="1">
      <c r="A175" s="411" t="e">
        <v>#REF!</v>
      </c>
      <c r="B175" s="444" t="s">
        <v>695</v>
      </c>
      <c r="C175" s="445" t="s">
        <v>167</v>
      </c>
      <c r="D175" s="446">
        <v>4103</v>
      </c>
      <c r="E175" s="446" t="s">
        <v>172</v>
      </c>
      <c r="F175" s="446">
        <v>21</v>
      </c>
      <c r="G175" s="446" t="s">
        <v>175</v>
      </c>
      <c r="H175" s="446" t="s">
        <v>234</v>
      </c>
      <c r="I175" s="447"/>
      <c r="J175" s="448"/>
      <c r="K175" s="448" t="s">
        <v>29</v>
      </c>
      <c r="L175" s="444" t="s">
        <v>269</v>
      </c>
      <c r="M175" s="449">
        <v>1567335560</v>
      </c>
      <c r="N175" s="449">
        <v>0</v>
      </c>
      <c r="O175" s="449">
        <v>0</v>
      </c>
      <c r="P175" s="449">
        <v>0</v>
      </c>
      <c r="Q175" s="449">
        <v>0</v>
      </c>
      <c r="R175" s="449">
        <v>0</v>
      </c>
      <c r="S175" s="449">
        <v>1567335560</v>
      </c>
      <c r="T175" s="449">
        <v>0</v>
      </c>
      <c r="U175" s="449">
        <v>1567335560</v>
      </c>
      <c r="V175" s="450">
        <v>0</v>
      </c>
      <c r="W175" s="449">
        <v>0</v>
      </c>
      <c r="X175" s="449">
        <v>0</v>
      </c>
      <c r="Y175" s="450">
        <v>0</v>
      </c>
      <c r="Z175" s="449">
        <v>0</v>
      </c>
      <c r="AA175" s="449">
        <v>0</v>
      </c>
      <c r="AB175" s="450">
        <v>0</v>
      </c>
    </row>
    <row r="176" spans="1:28" ht="32.1" customHeight="1">
      <c r="A176" s="411" t="e">
        <v>#REF!</v>
      </c>
      <c r="B176" s="451" t="s">
        <v>696</v>
      </c>
      <c r="C176" s="452" t="s">
        <v>167</v>
      </c>
      <c r="D176" s="453">
        <v>4103</v>
      </c>
      <c r="E176" s="453" t="s">
        <v>172</v>
      </c>
      <c r="F176" s="453">
        <v>21</v>
      </c>
      <c r="G176" s="453" t="s">
        <v>175</v>
      </c>
      <c r="H176" s="453" t="s">
        <v>234</v>
      </c>
      <c r="I176" s="454" t="s">
        <v>54</v>
      </c>
      <c r="J176" s="455">
        <v>11</v>
      </c>
      <c r="K176" s="456" t="s">
        <v>29</v>
      </c>
      <c r="L176" s="457" t="s">
        <v>178</v>
      </c>
      <c r="M176" s="458">
        <v>1567335560</v>
      </c>
      <c r="N176" s="458"/>
      <c r="O176" s="458"/>
      <c r="P176" s="458"/>
      <c r="Q176" s="458"/>
      <c r="R176" s="459">
        <v>0</v>
      </c>
      <c r="S176" s="458">
        <v>1567335560</v>
      </c>
      <c r="T176" s="458">
        <v>0</v>
      </c>
      <c r="U176" s="458">
        <v>1567335560</v>
      </c>
      <c r="V176" s="460">
        <v>0</v>
      </c>
      <c r="W176" s="461">
        <v>0</v>
      </c>
      <c r="X176" s="461">
        <v>0</v>
      </c>
      <c r="Y176" s="460">
        <v>0</v>
      </c>
      <c r="Z176" s="461">
        <v>0</v>
      </c>
      <c r="AA176" s="461">
        <v>0</v>
      </c>
      <c r="AB176" s="460">
        <v>0</v>
      </c>
    </row>
    <row r="177" spans="1:28" ht="32.1" customHeight="1">
      <c r="A177" s="411" t="e">
        <v>#REF!</v>
      </c>
      <c r="B177" s="444" t="s">
        <v>697</v>
      </c>
      <c r="C177" s="445" t="s">
        <v>167</v>
      </c>
      <c r="D177" s="446">
        <v>4103</v>
      </c>
      <c r="E177" s="446" t="s">
        <v>172</v>
      </c>
      <c r="F177" s="446">
        <v>21</v>
      </c>
      <c r="G177" s="446" t="s">
        <v>175</v>
      </c>
      <c r="H177" s="446" t="s">
        <v>197</v>
      </c>
      <c r="I177" s="447"/>
      <c r="J177" s="448"/>
      <c r="K177" s="448" t="s">
        <v>29</v>
      </c>
      <c r="L177" s="444" t="s">
        <v>198</v>
      </c>
      <c r="M177" s="449">
        <v>2072835407</v>
      </c>
      <c r="N177" s="449">
        <v>0</v>
      </c>
      <c r="O177" s="449">
        <v>0</v>
      </c>
      <c r="P177" s="449">
        <v>0</v>
      </c>
      <c r="Q177" s="449">
        <v>0</v>
      </c>
      <c r="R177" s="449">
        <v>0</v>
      </c>
      <c r="S177" s="449">
        <v>2072835407</v>
      </c>
      <c r="T177" s="449">
        <v>0</v>
      </c>
      <c r="U177" s="449">
        <v>2072835407</v>
      </c>
      <c r="V177" s="450">
        <v>0</v>
      </c>
      <c r="W177" s="449">
        <v>0</v>
      </c>
      <c r="X177" s="449">
        <v>0</v>
      </c>
      <c r="Y177" s="450">
        <v>0</v>
      </c>
      <c r="Z177" s="449">
        <v>0</v>
      </c>
      <c r="AA177" s="449">
        <v>0</v>
      </c>
      <c r="AB177" s="450">
        <v>0</v>
      </c>
    </row>
    <row r="178" spans="1:28" ht="32.1" customHeight="1">
      <c r="A178" s="411" t="e">
        <v>#REF!</v>
      </c>
      <c r="B178" s="451" t="s">
        <v>698</v>
      </c>
      <c r="C178" s="452" t="s">
        <v>167</v>
      </c>
      <c r="D178" s="453">
        <v>4103</v>
      </c>
      <c r="E178" s="453" t="s">
        <v>172</v>
      </c>
      <c r="F178" s="453">
        <v>21</v>
      </c>
      <c r="G178" s="453" t="s">
        <v>175</v>
      </c>
      <c r="H178" s="453" t="s">
        <v>197</v>
      </c>
      <c r="I178" s="454" t="s">
        <v>54</v>
      </c>
      <c r="J178" s="455">
        <v>11</v>
      </c>
      <c r="K178" s="456" t="s">
        <v>29</v>
      </c>
      <c r="L178" s="457" t="s">
        <v>178</v>
      </c>
      <c r="M178" s="458">
        <v>2072835407</v>
      </c>
      <c r="N178" s="458"/>
      <c r="O178" s="458"/>
      <c r="P178" s="458"/>
      <c r="Q178" s="592"/>
      <c r="R178" s="459">
        <v>0</v>
      </c>
      <c r="S178" s="458">
        <v>2072835407</v>
      </c>
      <c r="T178" s="458">
        <v>0</v>
      </c>
      <c r="U178" s="458">
        <v>2072835407</v>
      </c>
      <c r="V178" s="460">
        <v>0</v>
      </c>
      <c r="W178" s="461">
        <v>0</v>
      </c>
      <c r="X178" s="461">
        <v>0</v>
      </c>
      <c r="Y178" s="460">
        <v>0</v>
      </c>
      <c r="Z178" s="461">
        <v>0</v>
      </c>
      <c r="AA178" s="461">
        <v>0</v>
      </c>
      <c r="AB178" s="460">
        <v>0</v>
      </c>
    </row>
    <row r="179" spans="1:28" ht="32.1" customHeight="1">
      <c r="A179" s="411" t="e">
        <v>#REF!</v>
      </c>
      <c r="B179" s="444" t="s">
        <v>699</v>
      </c>
      <c r="C179" s="445" t="s">
        <v>167</v>
      </c>
      <c r="D179" s="446">
        <v>4103</v>
      </c>
      <c r="E179" s="446" t="s">
        <v>172</v>
      </c>
      <c r="F179" s="446">
        <v>21</v>
      </c>
      <c r="G179" s="446" t="s">
        <v>175</v>
      </c>
      <c r="H179" s="446" t="s">
        <v>203</v>
      </c>
      <c r="I179" s="447"/>
      <c r="J179" s="448"/>
      <c r="K179" s="448" t="s">
        <v>29</v>
      </c>
      <c r="L179" s="444" t="s">
        <v>204</v>
      </c>
      <c r="M179" s="449">
        <v>5803396375</v>
      </c>
      <c r="N179" s="449">
        <v>0</v>
      </c>
      <c r="O179" s="449">
        <v>0</v>
      </c>
      <c r="P179" s="449">
        <v>0</v>
      </c>
      <c r="Q179" s="449">
        <v>0</v>
      </c>
      <c r="R179" s="449">
        <v>0</v>
      </c>
      <c r="S179" s="449">
        <v>5803396375</v>
      </c>
      <c r="T179" s="449">
        <v>0</v>
      </c>
      <c r="U179" s="449">
        <v>5803396375</v>
      </c>
      <c r="V179" s="450">
        <v>0</v>
      </c>
      <c r="W179" s="449">
        <v>0</v>
      </c>
      <c r="X179" s="449">
        <v>0</v>
      </c>
      <c r="Y179" s="450">
        <v>0</v>
      </c>
      <c r="Z179" s="449">
        <v>0</v>
      </c>
      <c r="AA179" s="449">
        <v>0</v>
      </c>
      <c r="AB179" s="450">
        <v>0</v>
      </c>
    </row>
    <row r="180" spans="1:28" ht="32.1" customHeight="1">
      <c r="A180" s="411" t="e">
        <v>#REF!</v>
      </c>
      <c r="B180" s="451" t="s">
        <v>700</v>
      </c>
      <c r="C180" s="452" t="s">
        <v>167</v>
      </c>
      <c r="D180" s="453">
        <v>4103</v>
      </c>
      <c r="E180" s="453" t="s">
        <v>172</v>
      </c>
      <c r="F180" s="453">
        <v>21</v>
      </c>
      <c r="G180" s="453" t="s">
        <v>175</v>
      </c>
      <c r="H180" s="453" t="s">
        <v>203</v>
      </c>
      <c r="I180" s="454" t="s">
        <v>54</v>
      </c>
      <c r="J180" s="455">
        <v>11</v>
      </c>
      <c r="K180" s="456" t="s">
        <v>29</v>
      </c>
      <c r="L180" s="457" t="s">
        <v>178</v>
      </c>
      <c r="M180" s="458">
        <v>5803396375</v>
      </c>
      <c r="N180" s="458"/>
      <c r="O180" s="458"/>
      <c r="P180" s="458"/>
      <c r="Q180" s="458"/>
      <c r="R180" s="459">
        <v>0</v>
      </c>
      <c r="S180" s="458">
        <v>5803396375</v>
      </c>
      <c r="T180" s="458">
        <v>0</v>
      </c>
      <c r="U180" s="458">
        <v>5803396375</v>
      </c>
      <c r="V180" s="460">
        <v>0</v>
      </c>
      <c r="W180" s="461">
        <v>0</v>
      </c>
      <c r="X180" s="461">
        <v>0</v>
      </c>
      <c r="Y180" s="460">
        <v>0</v>
      </c>
      <c r="Z180" s="461">
        <v>0</v>
      </c>
      <c r="AA180" s="461">
        <v>0</v>
      </c>
      <c r="AB180" s="460">
        <v>0</v>
      </c>
    </row>
    <row r="181" spans="1:28" ht="32.1" customHeight="1">
      <c r="A181" s="411" t="e">
        <v>#REF!</v>
      </c>
      <c r="B181" s="444" t="s">
        <v>701</v>
      </c>
      <c r="C181" s="445" t="s">
        <v>167</v>
      </c>
      <c r="D181" s="446">
        <v>4103</v>
      </c>
      <c r="E181" s="446" t="s">
        <v>172</v>
      </c>
      <c r="F181" s="446">
        <v>21</v>
      </c>
      <c r="G181" s="446" t="s">
        <v>175</v>
      </c>
      <c r="H181" s="446" t="s">
        <v>223</v>
      </c>
      <c r="I181" s="447"/>
      <c r="J181" s="448"/>
      <c r="K181" s="448" t="s">
        <v>29</v>
      </c>
      <c r="L181" s="444" t="s">
        <v>224</v>
      </c>
      <c r="M181" s="449">
        <v>20114646219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49">
        <v>20114646219</v>
      </c>
      <c r="T181" s="449">
        <v>1289256069</v>
      </c>
      <c r="U181" s="449">
        <v>18825390150</v>
      </c>
      <c r="V181" s="450">
        <v>6.4095388751216897E-2</v>
      </c>
      <c r="W181" s="449">
        <v>569909524</v>
      </c>
      <c r="X181" s="449">
        <v>719346545</v>
      </c>
      <c r="Y181" s="450">
        <v>0.55795474793301125</v>
      </c>
      <c r="Z181" s="449">
        <v>569909524</v>
      </c>
      <c r="AA181" s="449">
        <v>0</v>
      </c>
      <c r="AB181" s="450">
        <v>0.44204525206698869</v>
      </c>
    </row>
    <row r="182" spans="1:28" ht="32.1" customHeight="1">
      <c r="A182" s="411" t="e">
        <v>#REF!</v>
      </c>
      <c r="B182" s="451" t="s">
        <v>702</v>
      </c>
      <c r="C182" s="452" t="s">
        <v>167</v>
      </c>
      <c r="D182" s="453">
        <v>4103</v>
      </c>
      <c r="E182" s="453" t="s">
        <v>172</v>
      </c>
      <c r="F182" s="453">
        <v>21</v>
      </c>
      <c r="G182" s="453" t="s">
        <v>175</v>
      </c>
      <c r="H182" s="453" t="s">
        <v>223</v>
      </c>
      <c r="I182" s="454" t="s">
        <v>54</v>
      </c>
      <c r="J182" s="455">
        <v>11</v>
      </c>
      <c r="K182" s="456" t="s">
        <v>29</v>
      </c>
      <c r="L182" s="457" t="s">
        <v>178</v>
      </c>
      <c r="M182" s="458">
        <v>20114646219</v>
      </c>
      <c r="N182" s="458"/>
      <c r="O182" s="458"/>
      <c r="P182" s="458"/>
      <c r="Q182" s="459"/>
      <c r="R182" s="459">
        <v>0</v>
      </c>
      <c r="S182" s="458">
        <v>20114646219</v>
      </c>
      <c r="T182" s="458">
        <v>1289256069</v>
      </c>
      <c r="U182" s="458">
        <v>18825390150</v>
      </c>
      <c r="V182" s="460">
        <v>6.4095388751216897E-2</v>
      </c>
      <c r="W182" s="461">
        <v>569909524</v>
      </c>
      <c r="X182" s="461">
        <v>719346545</v>
      </c>
      <c r="Y182" s="460">
        <v>0.55795474793301125</v>
      </c>
      <c r="Z182" s="461">
        <v>569909524</v>
      </c>
      <c r="AA182" s="461">
        <v>0</v>
      </c>
      <c r="AB182" s="460">
        <v>0.44204525206698869</v>
      </c>
    </row>
    <row r="183" spans="1:28" ht="39.950000000000003" customHeight="1">
      <c r="A183" s="411" t="e">
        <v>#REF!</v>
      </c>
      <c r="B183" s="436" t="s">
        <v>704</v>
      </c>
      <c r="C183" s="437" t="s">
        <v>167</v>
      </c>
      <c r="D183" s="438">
        <v>4103</v>
      </c>
      <c r="E183" s="438" t="s">
        <v>172</v>
      </c>
      <c r="F183" s="438">
        <v>22</v>
      </c>
      <c r="G183" s="438"/>
      <c r="H183" s="438"/>
      <c r="I183" s="439"/>
      <c r="J183" s="440"/>
      <c r="K183" s="440"/>
      <c r="L183" s="436" t="s">
        <v>239</v>
      </c>
      <c r="M183" s="441">
        <v>188272298572</v>
      </c>
      <c r="N183" s="441">
        <v>0</v>
      </c>
      <c r="O183" s="441">
        <v>0</v>
      </c>
      <c r="P183" s="441">
        <v>75956656176</v>
      </c>
      <c r="Q183" s="441">
        <v>75956656176</v>
      </c>
      <c r="R183" s="441">
        <v>0</v>
      </c>
      <c r="S183" s="441">
        <v>188272298572</v>
      </c>
      <c r="T183" s="441">
        <v>11517885265</v>
      </c>
      <c r="U183" s="441">
        <v>176754413307</v>
      </c>
      <c r="V183" s="442">
        <v>6.1176738969887672E-2</v>
      </c>
      <c r="W183" s="443">
        <v>1521761586</v>
      </c>
      <c r="X183" s="443">
        <v>9996123679</v>
      </c>
      <c r="Y183" s="442">
        <v>0.86787838644093318</v>
      </c>
      <c r="Z183" s="443">
        <v>1441468253</v>
      </c>
      <c r="AA183" s="443">
        <v>80293333</v>
      </c>
      <c r="AB183" s="442">
        <v>0.12515042647457733</v>
      </c>
    </row>
    <row r="184" spans="1:28" ht="32.1" customHeight="1">
      <c r="A184" s="411" t="e">
        <v>#REF!</v>
      </c>
      <c r="B184" s="444" t="s">
        <v>705</v>
      </c>
      <c r="C184" s="445" t="s">
        <v>167</v>
      </c>
      <c r="D184" s="446">
        <v>4103</v>
      </c>
      <c r="E184" s="446" t="s">
        <v>172</v>
      </c>
      <c r="F184" s="446">
        <v>22</v>
      </c>
      <c r="G184" s="446" t="s">
        <v>175</v>
      </c>
      <c r="H184" s="446" t="s">
        <v>219</v>
      </c>
      <c r="I184" s="447"/>
      <c r="J184" s="448"/>
      <c r="K184" s="448" t="s">
        <v>29</v>
      </c>
      <c r="L184" s="444" t="s">
        <v>846</v>
      </c>
      <c r="M184" s="449">
        <v>10954065210</v>
      </c>
      <c r="N184" s="449">
        <v>0</v>
      </c>
      <c r="O184" s="449">
        <v>0</v>
      </c>
      <c r="P184" s="449">
        <v>14887645880</v>
      </c>
      <c r="Q184" s="449">
        <v>0</v>
      </c>
      <c r="R184" s="449">
        <v>0</v>
      </c>
      <c r="S184" s="449">
        <v>25841711090</v>
      </c>
      <c r="T184" s="449">
        <v>1122276608</v>
      </c>
      <c r="U184" s="449">
        <v>24719434482</v>
      </c>
      <c r="V184" s="450">
        <v>4.342888147349843E-2</v>
      </c>
      <c r="W184" s="449">
        <v>0</v>
      </c>
      <c r="X184" s="449">
        <v>1122276608</v>
      </c>
      <c r="Y184" s="450">
        <v>1</v>
      </c>
      <c r="Z184" s="449">
        <v>0</v>
      </c>
      <c r="AA184" s="449">
        <v>0</v>
      </c>
      <c r="AB184" s="450">
        <v>0</v>
      </c>
    </row>
    <row r="185" spans="1:28" ht="32.1" customHeight="1">
      <c r="A185" s="411" t="e">
        <v>#REF!</v>
      </c>
      <c r="B185" s="451" t="s">
        <v>706</v>
      </c>
      <c r="C185" s="452" t="s">
        <v>167</v>
      </c>
      <c r="D185" s="453">
        <v>4103</v>
      </c>
      <c r="E185" s="453" t="s">
        <v>172</v>
      </c>
      <c r="F185" s="453">
        <v>22</v>
      </c>
      <c r="G185" s="453" t="s">
        <v>175</v>
      </c>
      <c r="H185" s="453" t="s">
        <v>219</v>
      </c>
      <c r="I185" s="454" t="s">
        <v>54</v>
      </c>
      <c r="J185" s="455">
        <v>11</v>
      </c>
      <c r="K185" s="456" t="s">
        <v>29</v>
      </c>
      <c r="L185" s="457" t="s">
        <v>178</v>
      </c>
      <c r="M185" s="458">
        <v>10954065210</v>
      </c>
      <c r="N185" s="458"/>
      <c r="O185" s="458"/>
      <c r="P185" s="458">
        <v>14887645880</v>
      </c>
      <c r="Q185" s="458">
        <v>0</v>
      </c>
      <c r="R185" s="459">
        <v>0</v>
      </c>
      <c r="S185" s="458">
        <v>25841711090</v>
      </c>
      <c r="T185" s="458">
        <v>1122276608</v>
      </c>
      <c r="U185" s="458">
        <v>24719434482</v>
      </c>
      <c r="V185" s="460">
        <v>4.342888147349843E-2</v>
      </c>
      <c r="W185" s="461">
        <v>0</v>
      </c>
      <c r="X185" s="461">
        <v>1122276608</v>
      </c>
      <c r="Y185" s="460">
        <v>1</v>
      </c>
      <c r="Z185" s="461">
        <v>0</v>
      </c>
      <c r="AA185" s="461">
        <v>0</v>
      </c>
      <c r="AB185" s="460">
        <v>0</v>
      </c>
    </row>
    <row r="186" spans="1:28" ht="32.1" customHeight="1">
      <c r="A186" s="411" t="e">
        <v>#REF!</v>
      </c>
      <c r="B186" s="444" t="s">
        <v>707</v>
      </c>
      <c r="C186" s="445" t="s">
        <v>167</v>
      </c>
      <c r="D186" s="446">
        <v>4103</v>
      </c>
      <c r="E186" s="446" t="s">
        <v>172</v>
      </c>
      <c r="F186" s="446">
        <v>22</v>
      </c>
      <c r="G186" s="446" t="s">
        <v>175</v>
      </c>
      <c r="H186" s="446" t="s">
        <v>234</v>
      </c>
      <c r="I186" s="447"/>
      <c r="J186" s="448"/>
      <c r="K186" s="448" t="s">
        <v>29</v>
      </c>
      <c r="L186" s="444" t="s">
        <v>269</v>
      </c>
      <c r="M186" s="449">
        <v>23566120170</v>
      </c>
      <c r="N186" s="449">
        <v>0</v>
      </c>
      <c r="O186" s="449">
        <v>0</v>
      </c>
      <c r="P186" s="449">
        <v>15512436655</v>
      </c>
      <c r="Q186" s="449">
        <v>0</v>
      </c>
      <c r="R186" s="449">
        <v>0</v>
      </c>
      <c r="S186" s="449">
        <v>39078556825</v>
      </c>
      <c r="T186" s="449">
        <v>3574292860</v>
      </c>
      <c r="U186" s="449">
        <v>35504263965</v>
      </c>
      <c r="V186" s="450">
        <v>9.1464300383615818E-2</v>
      </c>
      <c r="W186" s="449">
        <v>300000000</v>
      </c>
      <c r="X186" s="449">
        <v>3274292860</v>
      </c>
      <c r="Y186" s="450">
        <v>0.91606731408125297</v>
      </c>
      <c r="Z186" s="449">
        <v>300000000</v>
      </c>
      <c r="AA186" s="449">
        <v>0</v>
      </c>
      <c r="AB186" s="450">
        <v>8.3932685918747016E-2</v>
      </c>
    </row>
    <row r="187" spans="1:28" ht="32.1" customHeight="1">
      <c r="A187" s="411" t="e">
        <v>#REF!</v>
      </c>
      <c r="B187" s="451" t="s">
        <v>708</v>
      </c>
      <c r="C187" s="452" t="s">
        <v>167</v>
      </c>
      <c r="D187" s="453">
        <v>4103</v>
      </c>
      <c r="E187" s="453" t="s">
        <v>172</v>
      </c>
      <c r="F187" s="453">
        <v>22</v>
      </c>
      <c r="G187" s="453" t="s">
        <v>175</v>
      </c>
      <c r="H187" s="453" t="s">
        <v>234</v>
      </c>
      <c r="I187" s="454" t="s">
        <v>54</v>
      </c>
      <c r="J187" s="455">
        <v>11</v>
      </c>
      <c r="K187" s="456" t="s">
        <v>29</v>
      </c>
      <c r="L187" s="457" t="s">
        <v>178</v>
      </c>
      <c r="M187" s="458">
        <v>23566120170</v>
      </c>
      <c r="N187" s="458"/>
      <c r="O187" s="458"/>
      <c r="P187" s="458">
        <v>15512436655</v>
      </c>
      <c r="Q187" s="458">
        <v>0</v>
      </c>
      <c r="R187" s="459">
        <v>0</v>
      </c>
      <c r="S187" s="458">
        <v>39078556825</v>
      </c>
      <c r="T187" s="458">
        <v>3574292860</v>
      </c>
      <c r="U187" s="458">
        <v>35504263965</v>
      </c>
      <c r="V187" s="460">
        <v>9.1464300383615818E-2</v>
      </c>
      <c r="W187" s="461">
        <v>300000000</v>
      </c>
      <c r="X187" s="461">
        <v>3274292860</v>
      </c>
      <c r="Y187" s="460">
        <v>0.91606731408125297</v>
      </c>
      <c r="Z187" s="461">
        <v>300000000</v>
      </c>
      <c r="AA187" s="461">
        <v>0</v>
      </c>
      <c r="AB187" s="460">
        <v>8.3932685918747016E-2</v>
      </c>
    </row>
    <row r="188" spans="1:28" ht="32.1" customHeight="1">
      <c r="A188" s="411" t="e">
        <v>#REF!</v>
      </c>
      <c r="B188" s="444" t="s">
        <v>710</v>
      </c>
      <c r="C188" s="445" t="s">
        <v>167</v>
      </c>
      <c r="D188" s="446">
        <v>4103</v>
      </c>
      <c r="E188" s="446" t="s">
        <v>172</v>
      </c>
      <c r="F188" s="446">
        <v>22</v>
      </c>
      <c r="G188" s="446" t="s">
        <v>175</v>
      </c>
      <c r="H188" s="446">
        <v>4103051</v>
      </c>
      <c r="I188" s="447"/>
      <c r="J188" s="448"/>
      <c r="K188" s="448" t="s">
        <v>29</v>
      </c>
      <c r="L188" s="444" t="s">
        <v>198</v>
      </c>
      <c r="M188" s="449">
        <v>18826252848</v>
      </c>
      <c r="N188" s="449">
        <v>0</v>
      </c>
      <c r="O188" s="449">
        <v>0</v>
      </c>
      <c r="P188" s="449">
        <v>6493886506</v>
      </c>
      <c r="Q188" s="449">
        <v>0</v>
      </c>
      <c r="R188" s="449">
        <v>0</v>
      </c>
      <c r="S188" s="449">
        <v>25320139354</v>
      </c>
      <c r="T188" s="449">
        <v>1169144192</v>
      </c>
      <c r="U188" s="449">
        <v>24150995162</v>
      </c>
      <c r="V188" s="450">
        <v>4.6174476990597686E-2</v>
      </c>
      <c r="W188" s="449">
        <v>0</v>
      </c>
      <c r="X188" s="449">
        <v>1169144192</v>
      </c>
      <c r="Y188" s="450">
        <v>1</v>
      </c>
      <c r="Z188" s="449">
        <v>0</v>
      </c>
      <c r="AA188" s="449">
        <v>0</v>
      </c>
      <c r="AB188" s="450">
        <v>0</v>
      </c>
    </row>
    <row r="189" spans="1:28" ht="32.1" customHeight="1">
      <c r="A189" s="411" t="e">
        <v>#REF!</v>
      </c>
      <c r="B189" s="451" t="s">
        <v>711</v>
      </c>
      <c r="C189" s="452" t="s">
        <v>167</v>
      </c>
      <c r="D189" s="453">
        <v>4103</v>
      </c>
      <c r="E189" s="453" t="s">
        <v>172</v>
      </c>
      <c r="F189" s="453">
        <v>22</v>
      </c>
      <c r="G189" s="453" t="s">
        <v>175</v>
      </c>
      <c r="H189" s="453">
        <v>4103051</v>
      </c>
      <c r="I189" s="454" t="s">
        <v>54</v>
      </c>
      <c r="J189" s="455">
        <v>11</v>
      </c>
      <c r="K189" s="456" t="s">
        <v>29</v>
      </c>
      <c r="L189" s="457" t="s">
        <v>178</v>
      </c>
      <c r="M189" s="458">
        <v>18826252848</v>
      </c>
      <c r="N189" s="458"/>
      <c r="O189" s="458"/>
      <c r="P189" s="458">
        <v>6493886506</v>
      </c>
      <c r="Q189" s="458">
        <v>0</v>
      </c>
      <c r="R189" s="459">
        <v>0</v>
      </c>
      <c r="S189" s="458">
        <v>25320139354</v>
      </c>
      <c r="T189" s="458">
        <v>1169144192</v>
      </c>
      <c r="U189" s="458">
        <v>24150995162</v>
      </c>
      <c r="V189" s="460">
        <v>4.6174476990597686E-2</v>
      </c>
      <c r="W189" s="461">
        <v>0</v>
      </c>
      <c r="X189" s="461">
        <v>1169144192</v>
      </c>
      <c r="Y189" s="460">
        <v>1</v>
      </c>
      <c r="Z189" s="461">
        <v>0</v>
      </c>
      <c r="AA189" s="461">
        <v>0</v>
      </c>
      <c r="AB189" s="460">
        <v>0</v>
      </c>
    </row>
    <row r="190" spans="1:28" ht="32.1" customHeight="1">
      <c r="A190" s="411" t="e">
        <v>#REF!</v>
      </c>
      <c r="B190" s="444" t="s">
        <v>712</v>
      </c>
      <c r="C190" s="445" t="s">
        <v>167</v>
      </c>
      <c r="D190" s="446">
        <v>4103</v>
      </c>
      <c r="E190" s="446" t="s">
        <v>172</v>
      </c>
      <c r="F190" s="446">
        <v>22</v>
      </c>
      <c r="G190" s="446" t="s">
        <v>175</v>
      </c>
      <c r="H190" s="446">
        <v>4103055</v>
      </c>
      <c r="I190" s="447"/>
      <c r="J190" s="448"/>
      <c r="K190" s="448" t="s">
        <v>29</v>
      </c>
      <c r="L190" s="444" t="s">
        <v>204</v>
      </c>
      <c r="M190" s="449">
        <v>9355356380</v>
      </c>
      <c r="N190" s="449">
        <v>0</v>
      </c>
      <c r="O190" s="449">
        <v>0</v>
      </c>
      <c r="P190" s="449">
        <v>21850058864</v>
      </c>
      <c r="Q190" s="449">
        <v>0</v>
      </c>
      <c r="R190" s="449">
        <v>0</v>
      </c>
      <c r="S190" s="449">
        <v>31205415244</v>
      </c>
      <c r="T190" s="449">
        <v>1962919342</v>
      </c>
      <c r="U190" s="449">
        <v>29242495902</v>
      </c>
      <c r="V190" s="450">
        <v>6.2903163654501243E-2</v>
      </c>
      <c r="W190" s="449">
        <v>0</v>
      </c>
      <c r="X190" s="449">
        <v>1962919342</v>
      </c>
      <c r="Y190" s="450">
        <v>1</v>
      </c>
      <c r="Z190" s="449">
        <v>0</v>
      </c>
      <c r="AA190" s="449">
        <v>0</v>
      </c>
      <c r="AB190" s="450">
        <v>0</v>
      </c>
    </row>
    <row r="191" spans="1:28" ht="32.1" customHeight="1">
      <c r="A191" s="411" t="e">
        <v>#REF!</v>
      </c>
      <c r="B191" s="451" t="s">
        <v>713</v>
      </c>
      <c r="C191" s="452" t="s">
        <v>167</v>
      </c>
      <c r="D191" s="453">
        <v>4103</v>
      </c>
      <c r="E191" s="453" t="s">
        <v>172</v>
      </c>
      <c r="F191" s="453">
        <v>22</v>
      </c>
      <c r="G191" s="453" t="s">
        <v>175</v>
      </c>
      <c r="H191" s="453" t="s">
        <v>203</v>
      </c>
      <c r="I191" s="454" t="s">
        <v>54</v>
      </c>
      <c r="J191" s="455">
        <v>11</v>
      </c>
      <c r="K191" s="456" t="s">
        <v>29</v>
      </c>
      <c r="L191" s="457" t="s">
        <v>178</v>
      </c>
      <c r="M191" s="458">
        <v>9355356380</v>
      </c>
      <c r="N191" s="458"/>
      <c r="O191" s="458"/>
      <c r="P191" s="458">
        <v>21850058864</v>
      </c>
      <c r="Q191" s="458"/>
      <c r="R191" s="459">
        <v>0</v>
      </c>
      <c r="S191" s="458">
        <v>31205415244</v>
      </c>
      <c r="T191" s="458">
        <v>1962919342</v>
      </c>
      <c r="U191" s="458">
        <v>29242495902</v>
      </c>
      <c r="V191" s="460">
        <v>6.2903163654501243E-2</v>
      </c>
      <c r="W191" s="461">
        <v>0</v>
      </c>
      <c r="X191" s="461">
        <v>1962919342</v>
      </c>
      <c r="Y191" s="460">
        <v>1</v>
      </c>
      <c r="Z191" s="461">
        <v>0</v>
      </c>
      <c r="AA191" s="461">
        <v>0</v>
      </c>
      <c r="AB191" s="460">
        <v>0</v>
      </c>
    </row>
    <row r="192" spans="1:28" ht="32.1" customHeight="1">
      <c r="A192" s="411" t="e">
        <v>#REF!</v>
      </c>
      <c r="B192" s="444" t="s">
        <v>715</v>
      </c>
      <c r="C192" s="445" t="s">
        <v>167</v>
      </c>
      <c r="D192" s="446">
        <v>4103</v>
      </c>
      <c r="E192" s="446" t="s">
        <v>172</v>
      </c>
      <c r="F192" s="446">
        <v>22</v>
      </c>
      <c r="G192" s="446" t="s">
        <v>175</v>
      </c>
      <c r="H192" s="446">
        <v>4103057</v>
      </c>
      <c r="I192" s="447"/>
      <c r="J192" s="448"/>
      <c r="K192" s="448" t="s">
        <v>29</v>
      </c>
      <c r="L192" s="444" t="s">
        <v>222</v>
      </c>
      <c r="M192" s="449">
        <v>42878440876</v>
      </c>
      <c r="N192" s="449">
        <v>0</v>
      </c>
      <c r="O192" s="449">
        <v>0</v>
      </c>
      <c r="P192" s="449">
        <v>2559683689</v>
      </c>
      <c r="Q192" s="449">
        <v>18063056176</v>
      </c>
      <c r="R192" s="449">
        <v>0</v>
      </c>
      <c r="S192" s="449">
        <v>27375068389</v>
      </c>
      <c r="T192" s="449">
        <v>2689844752</v>
      </c>
      <c r="U192" s="449">
        <v>24685223637</v>
      </c>
      <c r="V192" s="450">
        <v>9.8258923549606483E-2</v>
      </c>
      <c r="W192" s="449">
        <v>1221761586</v>
      </c>
      <c r="X192" s="449">
        <v>1468083166</v>
      </c>
      <c r="Y192" s="450">
        <v>0.54578732282167042</v>
      </c>
      <c r="Z192" s="449">
        <v>1141468253</v>
      </c>
      <c r="AA192" s="449">
        <v>80293333</v>
      </c>
      <c r="AB192" s="450">
        <v>0.42436213173688769</v>
      </c>
    </row>
    <row r="193" spans="1:28" ht="32.1" customHeight="1">
      <c r="A193" s="411" t="e">
        <v>#REF!</v>
      </c>
      <c r="B193" s="451" t="s">
        <v>716</v>
      </c>
      <c r="C193" s="452" t="s">
        <v>167</v>
      </c>
      <c r="D193" s="453">
        <v>4103</v>
      </c>
      <c r="E193" s="453" t="s">
        <v>172</v>
      </c>
      <c r="F193" s="453">
        <v>22</v>
      </c>
      <c r="G193" s="453" t="s">
        <v>175</v>
      </c>
      <c r="H193" s="453" t="s">
        <v>221</v>
      </c>
      <c r="I193" s="454" t="s">
        <v>54</v>
      </c>
      <c r="J193" s="455">
        <v>11</v>
      </c>
      <c r="K193" s="456" t="s">
        <v>29</v>
      </c>
      <c r="L193" s="457" t="s">
        <v>178</v>
      </c>
      <c r="M193" s="458">
        <v>4467871684</v>
      </c>
      <c r="N193" s="458"/>
      <c r="O193" s="458"/>
      <c r="P193" s="458">
        <v>2559683689</v>
      </c>
      <c r="Q193" s="458">
        <v>110858384</v>
      </c>
      <c r="R193" s="459">
        <v>0</v>
      </c>
      <c r="S193" s="458">
        <v>6916696989</v>
      </c>
      <c r="T193" s="458">
        <v>2689844752</v>
      </c>
      <c r="U193" s="458">
        <v>4226852237</v>
      </c>
      <c r="V193" s="460">
        <v>0.38889151227497848</v>
      </c>
      <c r="W193" s="461">
        <v>1221761586</v>
      </c>
      <c r="X193" s="461">
        <v>1468083166</v>
      </c>
      <c r="Y193" s="460">
        <v>0.54578732282167042</v>
      </c>
      <c r="Z193" s="461">
        <v>1141468253</v>
      </c>
      <c r="AA193" s="461">
        <v>80293333</v>
      </c>
      <c r="AB193" s="460">
        <v>0.42436213173688769</v>
      </c>
    </row>
    <row r="194" spans="1:28" ht="32.1" customHeight="1">
      <c r="A194" s="411" t="e">
        <v>#REF!</v>
      </c>
      <c r="B194" s="451" t="s">
        <v>717</v>
      </c>
      <c r="C194" s="452" t="s">
        <v>167</v>
      </c>
      <c r="D194" s="453">
        <v>4103</v>
      </c>
      <c r="E194" s="453" t="s">
        <v>172</v>
      </c>
      <c r="F194" s="453">
        <v>22</v>
      </c>
      <c r="G194" s="453" t="s">
        <v>175</v>
      </c>
      <c r="H194" s="453" t="s">
        <v>221</v>
      </c>
      <c r="I194" s="454" t="s">
        <v>65</v>
      </c>
      <c r="J194" s="455">
        <v>11</v>
      </c>
      <c r="K194" s="456" t="s">
        <v>29</v>
      </c>
      <c r="L194" s="457" t="s">
        <v>127</v>
      </c>
      <c r="M194" s="458">
        <v>38410569192</v>
      </c>
      <c r="N194" s="458"/>
      <c r="O194" s="458"/>
      <c r="P194" s="458"/>
      <c r="Q194" s="458">
        <v>17952197792</v>
      </c>
      <c r="R194" s="459">
        <v>0</v>
      </c>
      <c r="S194" s="458">
        <v>20458371400</v>
      </c>
      <c r="T194" s="458">
        <v>0</v>
      </c>
      <c r="U194" s="458">
        <v>20458371400</v>
      </c>
      <c r="V194" s="460">
        <v>0</v>
      </c>
      <c r="W194" s="461">
        <v>0</v>
      </c>
      <c r="X194" s="461">
        <v>0</v>
      </c>
      <c r="Y194" s="460">
        <v>0</v>
      </c>
      <c r="Z194" s="461">
        <v>0</v>
      </c>
      <c r="AA194" s="461">
        <v>0</v>
      </c>
      <c r="AB194" s="460">
        <v>0</v>
      </c>
    </row>
    <row r="195" spans="1:28" ht="32.1" customHeight="1">
      <c r="A195" s="411" t="e">
        <v>#REF!</v>
      </c>
      <c r="B195" s="444" t="s">
        <v>718</v>
      </c>
      <c r="C195" s="445" t="s">
        <v>167</v>
      </c>
      <c r="D195" s="446">
        <v>4103</v>
      </c>
      <c r="E195" s="446" t="s">
        <v>172</v>
      </c>
      <c r="F195" s="446">
        <v>22</v>
      </c>
      <c r="G195" s="446" t="s">
        <v>175</v>
      </c>
      <c r="H195" s="446">
        <v>4103062</v>
      </c>
      <c r="I195" s="447"/>
      <c r="J195" s="448"/>
      <c r="K195" s="448" t="s">
        <v>29</v>
      </c>
      <c r="L195" s="444" t="s">
        <v>851</v>
      </c>
      <c r="M195" s="449">
        <v>82692063088</v>
      </c>
      <c r="N195" s="449">
        <v>0</v>
      </c>
      <c r="O195" s="449">
        <v>0</v>
      </c>
      <c r="P195" s="449">
        <v>14652944582</v>
      </c>
      <c r="Q195" s="449">
        <v>57893600000</v>
      </c>
      <c r="R195" s="449">
        <v>0</v>
      </c>
      <c r="S195" s="449">
        <v>39451407670</v>
      </c>
      <c r="T195" s="449">
        <v>999407511</v>
      </c>
      <c r="U195" s="449">
        <v>38452000159</v>
      </c>
      <c r="V195" s="450">
        <v>2.5332619797999719E-2</v>
      </c>
      <c r="W195" s="449">
        <v>0</v>
      </c>
      <c r="X195" s="449">
        <v>999407511</v>
      </c>
      <c r="Y195" s="450">
        <v>1</v>
      </c>
      <c r="Z195" s="449">
        <v>0</v>
      </c>
      <c r="AA195" s="449">
        <v>0</v>
      </c>
      <c r="AB195" s="450">
        <v>0</v>
      </c>
    </row>
    <row r="196" spans="1:28" ht="32.1" customHeight="1">
      <c r="A196" s="411" t="e">
        <v>#REF!</v>
      </c>
      <c r="B196" s="451" t="s">
        <v>719</v>
      </c>
      <c r="C196" s="452" t="s">
        <v>167</v>
      </c>
      <c r="D196" s="453">
        <v>4103</v>
      </c>
      <c r="E196" s="453" t="s">
        <v>172</v>
      </c>
      <c r="F196" s="453">
        <v>22</v>
      </c>
      <c r="G196" s="453" t="s">
        <v>175</v>
      </c>
      <c r="H196" s="453" t="s">
        <v>246</v>
      </c>
      <c r="I196" s="454" t="s">
        <v>54</v>
      </c>
      <c r="J196" s="455">
        <v>11</v>
      </c>
      <c r="K196" s="456" t="s">
        <v>29</v>
      </c>
      <c r="L196" s="457" t="s">
        <v>178</v>
      </c>
      <c r="M196" s="458">
        <v>11892063088</v>
      </c>
      <c r="N196" s="458"/>
      <c r="O196" s="458"/>
      <c r="P196" s="458">
        <v>14652944582</v>
      </c>
      <c r="Q196" s="458">
        <v>0</v>
      </c>
      <c r="R196" s="459">
        <v>0</v>
      </c>
      <c r="S196" s="458">
        <v>26545007670</v>
      </c>
      <c r="T196" s="458">
        <v>999407511</v>
      </c>
      <c r="U196" s="458">
        <v>25545600159</v>
      </c>
      <c r="V196" s="460">
        <v>3.7649546891240358E-2</v>
      </c>
      <c r="W196" s="461">
        <v>0</v>
      </c>
      <c r="X196" s="461">
        <v>999407511</v>
      </c>
      <c r="Y196" s="460">
        <v>1</v>
      </c>
      <c r="Z196" s="461">
        <v>0</v>
      </c>
      <c r="AA196" s="461">
        <v>0</v>
      </c>
      <c r="AB196" s="460">
        <v>0</v>
      </c>
    </row>
    <row r="197" spans="1:28" ht="32.1" customHeight="1">
      <c r="A197" s="411" t="e">
        <v>#REF!</v>
      </c>
      <c r="B197" s="451" t="s">
        <v>720</v>
      </c>
      <c r="C197" s="452" t="s">
        <v>167</v>
      </c>
      <c r="D197" s="453">
        <v>4103</v>
      </c>
      <c r="E197" s="453" t="s">
        <v>172</v>
      </c>
      <c r="F197" s="453">
        <v>22</v>
      </c>
      <c r="G197" s="453" t="s">
        <v>175</v>
      </c>
      <c r="H197" s="453" t="s">
        <v>246</v>
      </c>
      <c r="I197" s="454" t="s">
        <v>65</v>
      </c>
      <c r="J197" s="455">
        <v>11</v>
      </c>
      <c r="K197" s="456" t="s">
        <v>29</v>
      </c>
      <c r="L197" s="457" t="s">
        <v>127</v>
      </c>
      <c r="M197" s="458">
        <v>70800000000</v>
      </c>
      <c r="N197" s="458"/>
      <c r="O197" s="458"/>
      <c r="P197" s="458"/>
      <c r="Q197" s="458">
        <v>57893600000</v>
      </c>
      <c r="R197" s="459">
        <v>0</v>
      </c>
      <c r="S197" s="458">
        <v>12906400000</v>
      </c>
      <c r="T197" s="458">
        <v>0</v>
      </c>
      <c r="U197" s="458">
        <v>12906400000</v>
      </c>
      <c r="V197" s="460">
        <v>0</v>
      </c>
      <c r="W197" s="461">
        <v>0</v>
      </c>
      <c r="X197" s="461">
        <v>0</v>
      </c>
      <c r="Y197" s="460">
        <v>0</v>
      </c>
      <c r="Z197" s="461">
        <v>0</v>
      </c>
      <c r="AA197" s="461">
        <v>0</v>
      </c>
      <c r="AB197" s="460">
        <v>0</v>
      </c>
    </row>
    <row r="198" spans="1:28" ht="32.1" customHeight="1">
      <c r="A198" s="411" t="e">
        <v>#REF!</v>
      </c>
      <c r="B198" s="436" t="s">
        <v>685</v>
      </c>
      <c r="C198" s="437" t="s">
        <v>167</v>
      </c>
      <c r="D198" s="438" t="s">
        <v>190</v>
      </c>
      <c r="E198" s="438" t="s">
        <v>172</v>
      </c>
      <c r="F198" s="438">
        <v>23</v>
      </c>
      <c r="G198" s="438"/>
      <c r="H198" s="438"/>
      <c r="I198" s="439"/>
      <c r="J198" s="440"/>
      <c r="K198" s="440"/>
      <c r="L198" s="436" t="s">
        <v>248</v>
      </c>
      <c r="M198" s="441">
        <v>1716644723711</v>
      </c>
      <c r="N198" s="441">
        <v>0</v>
      </c>
      <c r="O198" s="441">
        <v>0</v>
      </c>
      <c r="P198" s="441">
        <v>3255561837</v>
      </c>
      <c r="Q198" s="441">
        <v>3255561837</v>
      </c>
      <c r="R198" s="441">
        <v>0</v>
      </c>
      <c r="S198" s="441">
        <v>1716644723711</v>
      </c>
      <c r="T198" s="441">
        <v>817240356367.06006</v>
      </c>
      <c r="U198" s="441">
        <v>899404367343.93994</v>
      </c>
      <c r="V198" s="442">
        <v>0.47606842876630295</v>
      </c>
      <c r="W198" s="443">
        <v>796481200538.68994</v>
      </c>
      <c r="X198" s="443">
        <v>20759155828.370003</v>
      </c>
      <c r="Y198" s="442">
        <v>2.5401530488107851E-2</v>
      </c>
      <c r="Z198" s="443">
        <v>796468600538.68994</v>
      </c>
      <c r="AA198" s="443">
        <v>12600000</v>
      </c>
      <c r="AB198" s="442">
        <v>0.97458305177107463</v>
      </c>
    </row>
    <row r="199" spans="1:28" ht="32.1" customHeight="1">
      <c r="A199" s="411" t="e">
        <v>#REF!</v>
      </c>
      <c r="B199" s="444" t="s">
        <v>721</v>
      </c>
      <c r="C199" s="445" t="s">
        <v>167</v>
      </c>
      <c r="D199" s="446" t="s">
        <v>190</v>
      </c>
      <c r="E199" s="446" t="s">
        <v>172</v>
      </c>
      <c r="F199" s="446">
        <v>23</v>
      </c>
      <c r="G199" s="446" t="s">
        <v>175</v>
      </c>
      <c r="H199" s="446">
        <v>4103065</v>
      </c>
      <c r="I199" s="447"/>
      <c r="J199" s="448"/>
      <c r="K199" s="448" t="s">
        <v>29</v>
      </c>
      <c r="L199" s="444" t="s">
        <v>852</v>
      </c>
      <c r="M199" s="449">
        <v>852944176607</v>
      </c>
      <c r="N199" s="449">
        <v>0</v>
      </c>
      <c r="O199" s="449">
        <v>0</v>
      </c>
      <c r="P199" s="449">
        <v>3255561837</v>
      </c>
      <c r="Q199" s="449">
        <v>3255561837</v>
      </c>
      <c r="R199" s="449">
        <v>0</v>
      </c>
      <c r="S199" s="449">
        <v>852944176607</v>
      </c>
      <c r="T199" s="449">
        <v>424649198592.06</v>
      </c>
      <c r="U199" s="449">
        <v>428294978014.94</v>
      </c>
      <c r="V199" s="450">
        <v>0.49786282647629831</v>
      </c>
      <c r="W199" s="449">
        <v>403890042763.69</v>
      </c>
      <c r="X199" s="449">
        <v>20759155828.370003</v>
      </c>
      <c r="Y199" s="450">
        <v>4.8885423302805577E-2</v>
      </c>
      <c r="Z199" s="449">
        <v>403877442763.69</v>
      </c>
      <c r="AA199" s="449">
        <v>12600000</v>
      </c>
      <c r="AB199" s="450">
        <v>0.95108490514702604</v>
      </c>
    </row>
    <row r="200" spans="1:28" ht="32.1" customHeight="1">
      <c r="A200" s="411" t="e">
        <v>#REF!</v>
      </c>
      <c r="B200" s="451" t="s">
        <v>722</v>
      </c>
      <c r="C200" s="452" t="s">
        <v>167</v>
      </c>
      <c r="D200" s="453" t="s">
        <v>190</v>
      </c>
      <c r="E200" s="453" t="s">
        <v>172</v>
      </c>
      <c r="F200" s="453">
        <v>23</v>
      </c>
      <c r="G200" s="453" t="s">
        <v>175</v>
      </c>
      <c r="H200" s="453">
        <v>4103065</v>
      </c>
      <c r="I200" s="454" t="s">
        <v>54</v>
      </c>
      <c r="J200" s="455">
        <v>10</v>
      </c>
      <c r="K200" s="456" t="s">
        <v>29</v>
      </c>
      <c r="L200" s="457" t="s">
        <v>178</v>
      </c>
      <c r="M200" s="458">
        <v>58404083711</v>
      </c>
      <c r="N200" s="458"/>
      <c r="O200" s="458"/>
      <c r="P200" s="458">
        <v>2170374558</v>
      </c>
      <c r="Q200" s="458">
        <v>1085187279</v>
      </c>
      <c r="R200" s="459">
        <v>0</v>
      </c>
      <c r="S200" s="458">
        <v>59489270990</v>
      </c>
      <c r="T200" s="458">
        <v>26681531367.060001</v>
      </c>
      <c r="U200" s="458">
        <v>32807739622.939999</v>
      </c>
      <c r="V200" s="460">
        <v>0.44850997369836826</v>
      </c>
      <c r="W200" s="461">
        <v>13856375538.690001</v>
      </c>
      <c r="X200" s="461">
        <v>12825155828.370001</v>
      </c>
      <c r="Y200" s="460">
        <v>0.48067540246971913</v>
      </c>
      <c r="Z200" s="461">
        <v>13843775538.690001</v>
      </c>
      <c r="AA200" s="461">
        <v>12600000</v>
      </c>
      <c r="AB200" s="460">
        <v>0.51885236076745567</v>
      </c>
    </row>
    <row r="201" spans="1:28" ht="32.1" customHeight="1">
      <c r="A201" s="411" t="e">
        <v>#REF!</v>
      </c>
      <c r="B201" s="451" t="s">
        <v>723</v>
      </c>
      <c r="C201" s="452" t="s">
        <v>167</v>
      </c>
      <c r="D201" s="453" t="s">
        <v>190</v>
      </c>
      <c r="E201" s="453" t="s">
        <v>172</v>
      </c>
      <c r="F201" s="453">
        <v>23</v>
      </c>
      <c r="G201" s="453" t="s">
        <v>175</v>
      </c>
      <c r="H201" s="453">
        <v>4103065</v>
      </c>
      <c r="I201" s="454" t="s">
        <v>65</v>
      </c>
      <c r="J201" s="455">
        <v>10</v>
      </c>
      <c r="K201" s="456" t="s">
        <v>29</v>
      </c>
      <c r="L201" s="457" t="s">
        <v>127</v>
      </c>
      <c r="M201" s="458">
        <v>794540092896</v>
      </c>
      <c r="N201" s="458"/>
      <c r="O201" s="458"/>
      <c r="P201" s="458">
        <v>1085187279</v>
      </c>
      <c r="Q201" s="458">
        <v>2170374558</v>
      </c>
      <c r="R201" s="459">
        <v>0</v>
      </c>
      <c r="S201" s="458">
        <v>793454905617</v>
      </c>
      <c r="T201" s="458">
        <v>397967667225</v>
      </c>
      <c r="U201" s="458">
        <v>395487238392</v>
      </c>
      <c r="V201" s="460">
        <v>0.50156305595657713</v>
      </c>
      <c r="W201" s="461">
        <v>390033667225</v>
      </c>
      <c r="X201" s="461">
        <v>7934000000</v>
      </c>
      <c r="Y201" s="460">
        <v>1.9936292953955815E-2</v>
      </c>
      <c r="Z201" s="461">
        <v>390033667225</v>
      </c>
      <c r="AA201" s="461">
        <v>0</v>
      </c>
      <c r="AB201" s="460">
        <v>0.98006370704604417</v>
      </c>
    </row>
    <row r="202" spans="1:28" ht="32.1" customHeight="1">
      <c r="A202" s="411" t="e">
        <v>#REF!</v>
      </c>
      <c r="B202" s="444" t="s">
        <v>721</v>
      </c>
      <c r="C202" s="445" t="s">
        <v>167</v>
      </c>
      <c r="D202" s="446" t="s">
        <v>190</v>
      </c>
      <c r="E202" s="446" t="s">
        <v>172</v>
      </c>
      <c r="F202" s="446">
        <v>23</v>
      </c>
      <c r="G202" s="446" t="s">
        <v>175</v>
      </c>
      <c r="H202" s="446">
        <v>4103065</v>
      </c>
      <c r="I202" s="447"/>
      <c r="J202" s="448"/>
      <c r="K202" s="448" t="s">
        <v>29</v>
      </c>
      <c r="L202" s="444" t="s">
        <v>852</v>
      </c>
      <c r="M202" s="449">
        <v>863700547104</v>
      </c>
      <c r="N202" s="449">
        <v>0</v>
      </c>
      <c r="O202" s="449">
        <v>0</v>
      </c>
      <c r="P202" s="449">
        <v>0</v>
      </c>
      <c r="Q202" s="449">
        <v>0</v>
      </c>
      <c r="R202" s="449">
        <v>0</v>
      </c>
      <c r="S202" s="449">
        <v>863700547104</v>
      </c>
      <c r="T202" s="449">
        <v>392591157775</v>
      </c>
      <c r="U202" s="449">
        <v>471109389329</v>
      </c>
      <c r="V202" s="450">
        <v>0.45454545454598083</v>
      </c>
      <c r="W202" s="449">
        <v>392591157775</v>
      </c>
      <c r="X202" s="449">
        <v>0</v>
      </c>
      <c r="Y202" s="450">
        <v>0</v>
      </c>
      <c r="Z202" s="449">
        <v>392591157775</v>
      </c>
      <c r="AA202" s="449">
        <v>0</v>
      </c>
      <c r="AB202" s="450">
        <v>1</v>
      </c>
    </row>
    <row r="203" spans="1:28" ht="32.1" customHeight="1">
      <c r="A203" s="411" t="e">
        <v>#REF!</v>
      </c>
      <c r="B203" s="451" t="s">
        <v>723</v>
      </c>
      <c r="C203" s="452" t="s">
        <v>167</v>
      </c>
      <c r="D203" s="453" t="s">
        <v>190</v>
      </c>
      <c r="E203" s="453" t="s">
        <v>172</v>
      </c>
      <c r="F203" s="453">
        <v>23</v>
      </c>
      <c r="G203" s="453" t="s">
        <v>175</v>
      </c>
      <c r="H203" s="453">
        <v>4103065</v>
      </c>
      <c r="I203" s="454" t="s">
        <v>65</v>
      </c>
      <c r="J203" s="455">
        <v>16</v>
      </c>
      <c r="K203" s="456" t="s">
        <v>156</v>
      </c>
      <c r="L203" s="457" t="s">
        <v>127</v>
      </c>
      <c r="M203" s="458">
        <v>863700547104</v>
      </c>
      <c r="N203" s="458"/>
      <c r="O203" s="458"/>
      <c r="P203" s="458"/>
      <c r="Q203" s="458"/>
      <c r="R203" s="459">
        <v>0</v>
      </c>
      <c r="S203" s="458">
        <v>863700547104</v>
      </c>
      <c r="T203" s="458">
        <v>392591157775</v>
      </c>
      <c r="U203" s="458">
        <v>471109389329</v>
      </c>
      <c r="V203" s="460">
        <v>0.45454545454598083</v>
      </c>
      <c r="W203" s="461">
        <v>392591157775</v>
      </c>
      <c r="X203" s="461">
        <v>0</v>
      </c>
      <c r="Y203" s="460">
        <v>0</v>
      </c>
      <c r="Z203" s="461">
        <v>392591157775</v>
      </c>
      <c r="AA203" s="461">
        <v>0</v>
      </c>
      <c r="AB203" s="460">
        <v>1</v>
      </c>
    </row>
    <row r="204" spans="1:28" ht="32.1" customHeight="1">
      <c r="A204" s="411" t="e">
        <v>#REF!</v>
      </c>
      <c r="B204" s="436" t="s">
        <v>827</v>
      </c>
      <c r="C204" s="437" t="s">
        <v>167</v>
      </c>
      <c r="D204" s="438" t="s">
        <v>190</v>
      </c>
      <c r="E204" s="438" t="s">
        <v>172</v>
      </c>
      <c r="F204" s="438">
        <v>25</v>
      </c>
      <c r="G204" s="438"/>
      <c r="H204" s="438"/>
      <c r="I204" s="439"/>
      <c r="J204" s="440"/>
      <c r="K204" s="440"/>
      <c r="L204" s="436" t="s">
        <v>853</v>
      </c>
      <c r="M204" s="441">
        <v>5500000000</v>
      </c>
      <c r="N204" s="441">
        <v>0</v>
      </c>
      <c r="O204" s="441">
        <v>0</v>
      </c>
      <c r="P204" s="441">
        <v>3586500000</v>
      </c>
      <c r="Q204" s="441">
        <v>3586500000</v>
      </c>
      <c r="R204" s="441">
        <v>0</v>
      </c>
      <c r="S204" s="441">
        <v>5500000000</v>
      </c>
      <c r="T204" s="441">
        <v>0</v>
      </c>
      <c r="U204" s="441">
        <v>5500000000</v>
      </c>
      <c r="V204" s="442">
        <v>0</v>
      </c>
      <c r="W204" s="443">
        <v>0</v>
      </c>
      <c r="X204" s="443">
        <v>0</v>
      </c>
      <c r="Y204" s="442">
        <v>0</v>
      </c>
      <c r="Z204" s="443">
        <v>0</v>
      </c>
      <c r="AA204" s="443">
        <v>0</v>
      </c>
      <c r="AB204" s="442">
        <v>0</v>
      </c>
    </row>
    <row r="205" spans="1:28" ht="32.1" customHeight="1">
      <c r="A205" s="411" t="e">
        <v>#REF!</v>
      </c>
      <c r="B205" s="444" t="s">
        <v>828</v>
      </c>
      <c r="C205" s="445" t="s">
        <v>167</v>
      </c>
      <c r="D205" s="446" t="s">
        <v>190</v>
      </c>
      <c r="E205" s="446" t="s">
        <v>172</v>
      </c>
      <c r="F205" s="446">
        <v>25</v>
      </c>
      <c r="G205" s="446" t="s">
        <v>175</v>
      </c>
      <c r="H205" s="446">
        <v>4103050</v>
      </c>
      <c r="I205" s="447"/>
      <c r="J205" s="448"/>
      <c r="K205" s="448" t="s">
        <v>29</v>
      </c>
      <c r="L205" s="444" t="s">
        <v>269</v>
      </c>
      <c r="M205" s="449">
        <v>1283500000</v>
      </c>
      <c r="N205" s="449">
        <v>0</v>
      </c>
      <c r="O205" s="449">
        <v>0</v>
      </c>
      <c r="P205" s="449">
        <v>0</v>
      </c>
      <c r="Q205" s="449">
        <v>0</v>
      </c>
      <c r="R205" s="449">
        <v>0</v>
      </c>
      <c r="S205" s="449">
        <v>1283500000</v>
      </c>
      <c r="T205" s="449">
        <v>0</v>
      </c>
      <c r="U205" s="449">
        <v>1283500000</v>
      </c>
      <c r="V205" s="450">
        <v>0</v>
      </c>
      <c r="W205" s="449">
        <v>0</v>
      </c>
      <c r="X205" s="449">
        <v>0</v>
      </c>
      <c r="Y205" s="450">
        <v>0</v>
      </c>
      <c r="Z205" s="449">
        <v>0</v>
      </c>
      <c r="AA205" s="449">
        <v>0</v>
      </c>
      <c r="AB205" s="450">
        <v>0</v>
      </c>
    </row>
    <row r="206" spans="1:28" ht="32.1" customHeight="1">
      <c r="A206" s="411" t="e">
        <v>#REF!</v>
      </c>
      <c r="B206" s="451" t="s">
        <v>829</v>
      </c>
      <c r="C206" s="452" t="s">
        <v>167</v>
      </c>
      <c r="D206" s="453" t="s">
        <v>190</v>
      </c>
      <c r="E206" s="453" t="s">
        <v>172</v>
      </c>
      <c r="F206" s="453">
        <v>25</v>
      </c>
      <c r="G206" s="453" t="s">
        <v>175</v>
      </c>
      <c r="H206" s="453">
        <v>4103050</v>
      </c>
      <c r="I206" s="454" t="s">
        <v>54</v>
      </c>
      <c r="J206" s="455">
        <v>11</v>
      </c>
      <c r="K206" s="456" t="s">
        <v>29</v>
      </c>
      <c r="L206" s="457" t="s">
        <v>178</v>
      </c>
      <c r="M206" s="458">
        <v>1283500000</v>
      </c>
      <c r="N206" s="458"/>
      <c r="O206" s="458"/>
      <c r="P206" s="458"/>
      <c r="Q206" s="458"/>
      <c r="R206" s="459">
        <v>0</v>
      </c>
      <c r="S206" s="458">
        <v>1283500000</v>
      </c>
      <c r="T206" s="458">
        <v>0</v>
      </c>
      <c r="U206" s="458">
        <v>1283500000</v>
      </c>
      <c r="V206" s="460">
        <v>0</v>
      </c>
      <c r="W206" s="461">
        <v>0</v>
      </c>
      <c r="X206" s="461">
        <v>0</v>
      </c>
      <c r="Y206" s="460">
        <v>0</v>
      </c>
      <c r="Z206" s="461">
        <v>0</v>
      </c>
      <c r="AA206" s="461">
        <v>0</v>
      </c>
      <c r="AB206" s="460">
        <v>0</v>
      </c>
    </row>
    <row r="207" spans="1:28" ht="32.1" customHeight="1">
      <c r="A207" s="411" t="e">
        <v>#REF!</v>
      </c>
      <c r="B207" s="444" t="s">
        <v>830</v>
      </c>
      <c r="C207" s="445" t="s">
        <v>167</v>
      </c>
      <c r="D207" s="446" t="s">
        <v>190</v>
      </c>
      <c r="E207" s="446" t="s">
        <v>172</v>
      </c>
      <c r="F207" s="446">
        <v>25</v>
      </c>
      <c r="G207" s="446" t="s">
        <v>175</v>
      </c>
      <c r="H207" s="446">
        <v>4103057</v>
      </c>
      <c r="I207" s="447"/>
      <c r="J207" s="448"/>
      <c r="K207" s="448" t="s">
        <v>29</v>
      </c>
      <c r="L207" s="444" t="s">
        <v>222</v>
      </c>
      <c r="M207" s="449">
        <v>4216500000</v>
      </c>
      <c r="N207" s="449">
        <v>0</v>
      </c>
      <c r="O207" s="449">
        <v>0</v>
      </c>
      <c r="P207" s="449">
        <v>3586500000</v>
      </c>
      <c r="Q207" s="449">
        <v>3586500000</v>
      </c>
      <c r="R207" s="449">
        <v>0</v>
      </c>
      <c r="S207" s="449">
        <v>4216500000</v>
      </c>
      <c r="T207" s="449">
        <v>0</v>
      </c>
      <c r="U207" s="449">
        <v>4216500000</v>
      </c>
      <c r="V207" s="450">
        <v>0</v>
      </c>
      <c r="W207" s="449">
        <v>0</v>
      </c>
      <c r="X207" s="449">
        <v>0</v>
      </c>
      <c r="Y207" s="450">
        <v>0</v>
      </c>
      <c r="Z207" s="449">
        <v>0</v>
      </c>
      <c r="AA207" s="449">
        <v>0</v>
      </c>
      <c r="AB207" s="450">
        <v>0</v>
      </c>
    </row>
    <row r="208" spans="1:28" ht="32.1" customHeight="1">
      <c r="A208" s="411" t="e">
        <v>#REF!</v>
      </c>
      <c r="B208" s="451" t="s">
        <v>831</v>
      </c>
      <c r="C208" s="452" t="s">
        <v>167</v>
      </c>
      <c r="D208" s="453" t="s">
        <v>190</v>
      </c>
      <c r="E208" s="453" t="s">
        <v>172</v>
      </c>
      <c r="F208" s="453">
        <v>25</v>
      </c>
      <c r="G208" s="453" t="s">
        <v>175</v>
      </c>
      <c r="H208" s="453">
        <v>4103057</v>
      </c>
      <c r="I208" s="454" t="s">
        <v>54</v>
      </c>
      <c r="J208" s="455">
        <v>11</v>
      </c>
      <c r="K208" s="456" t="s">
        <v>29</v>
      </c>
      <c r="L208" s="457" t="s">
        <v>178</v>
      </c>
      <c r="M208" s="458">
        <v>315000000</v>
      </c>
      <c r="N208" s="458"/>
      <c r="O208" s="458"/>
      <c r="P208" s="458">
        <v>3586500000</v>
      </c>
      <c r="Q208" s="458"/>
      <c r="R208" s="459">
        <v>0</v>
      </c>
      <c r="S208" s="458">
        <v>3901500000</v>
      </c>
      <c r="T208" s="458">
        <v>0</v>
      </c>
      <c r="U208" s="458">
        <v>3901500000</v>
      </c>
      <c r="V208" s="460">
        <v>0</v>
      </c>
      <c r="W208" s="461">
        <v>0</v>
      </c>
      <c r="X208" s="461">
        <v>0</v>
      </c>
      <c r="Y208" s="460">
        <v>0</v>
      </c>
      <c r="Z208" s="461">
        <v>0</v>
      </c>
      <c r="AA208" s="461">
        <v>0</v>
      </c>
      <c r="AB208" s="460">
        <v>0</v>
      </c>
    </row>
    <row r="209" spans="1:28" ht="32.1" customHeight="1">
      <c r="A209" s="411" t="e">
        <v>#REF!</v>
      </c>
      <c r="B209" s="451" t="s">
        <v>832</v>
      </c>
      <c r="C209" s="452" t="s">
        <v>167</v>
      </c>
      <c r="D209" s="453" t="s">
        <v>190</v>
      </c>
      <c r="E209" s="453" t="s">
        <v>172</v>
      </c>
      <c r="F209" s="453">
        <v>25</v>
      </c>
      <c r="G209" s="453" t="s">
        <v>175</v>
      </c>
      <c r="H209" s="453">
        <v>4103057</v>
      </c>
      <c r="I209" s="454" t="s">
        <v>65</v>
      </c>
      <c r="J209" s="455">
        <v>11</v>
      </c>
      <c r="K209" s="456" t="s">
        <v>29</v>
      </c>
      <c r="L209" s="457" t="s">
        <v>127</v>
      </c>
      <c r="M209" s="458">
        <v>3901500000</v>
      </c>
      <c r="N209" s="458"/>
      <c r="O209" s="458"/>
      <c r="P209" s="458"/>
      <c r="Q209" s="458">
        <v>3586500000</v>
      </c>
      <c r="R209" s="459">
        <v>0</v>
      </c>
      <c r="S209" s="458">
        <v>315000000</v>
      </c>
      <c r="T209" s="458">
        <v>0</v>
      </c>
      <c r="U209" s="458">
        <v>315000000</v>
      </c>
      <c r="V209" s="460">
        <v>0</v>
      </c>
      <c r="W209" s="461">
        <v>0</v>
      </c>
      <c r="X209" s="461">
        <v>0</v>
      </c>
      <c r="Y209" s="460">
        <v>0</v>
      </c>
      <c r="Z209" s="461">
        <v>0</v>
      </c>
      <c r="AA209" s="461">
        <v>0</v>
      </c>
      <c r="AB209" s="460">
        <v>0</v>
      </c>
    </row>
    <row r="210" spans="1:28" ht="32.1" customHeight="1">
      <c r="A210" s="411" t="e">
        <v>#REF!</v>
      </c>
      <c r="B210" s="420" t="s">
        <v>544</v>
      </c>
      <c r="C210" s="421" t="s">
        <v>167</v>
      </c>
      <c r="D210" s="422">
        <v>4199</v>
      </c>
      <c r="E210" s="422"/>
      <c r="F210" s="422"/>
      <c r="G210" s="422"/>
      <c r="H210" s="422"/>
      <c r="I210" s="423"/>
      <c r="J210" s="424"/>
      <c r="K210" s="424"/>
      <c r="L210" s="420" t="s">
        <v>250</v>
      </c>
      <c r="M210" s="425">
        <v>6000000000</v>
      </c>
      <c r="N210" s="425">
        <v>0</v>
      </c>
      <c r="O210" s="425">
        <v>0</v>
      </c>
      <c r="P210" s="425">
        <v>0</v>
      </c>
      <c r="Q210" s="425">
        <v>0</v>
      </c>
      <c r="R210" s="425">
        <v>0</v>
      </c>
      <c r="S210" s="425">
        <v>6000000000</v>
      </c>
      <c r="T210" s="425">
        <v>3775864354.5599999</v>
      </c>
      <c r="U210" s="425">
        <v>2224135645.4400001</v>
      </c>
      <c r="V210" s="426">
        <v>0.62931072576000002</v>
      </c>
      <c r="W210" s="427">
        <v>910189904.15999997</v>
      </c>
      <c r="X210" s="427">
        <v>2865674450.4000001</v>
      </c>
      <c r="Y210" s="426">
        <v>0.7589452854521137</v>
      </c>
      <c r="Z210" s="427">
        <v>910189904.15999997</v>
      </c>
      <c r="AA210" s="427">
        <v>0</v>
      </c>
      <c r="AB210" s="426">
        <v>0.24105471454788635</v>
      </c>
    </row>
    <row r="211" spans="1:28" ht="32.1" customHeight="1">
      <c r="A211" s="411" t="e">
        <v>#REF!</v>
      </c>
      <c r="B211" s="428" t="s">
        <v>300</v>
      </c>
      <c r="C211" s="429" t="s">
        <v>167</v>
      </c>
      <c r="D211" s="430">
        <v>4199</v>
      </c>
      <c r="E211" s="430">
        <v>1500</v>
      </c>
      <c r="F211" s="430"/>
      <c r="G211" s="430"/>
      <c r="H211" s="430"/>
      <c r="I211" s="431"/>
      <c r="J211" s="432"/>
      <c r="K211" s="432"/>
      <c r="L211" s="428" t="s">
        <v>170</v>
      </c>
      <c r="M211" s="433">
        <v>6000000000</v>
      </c>
      <c r="N211" s="433">
        <v>0</v>
      </c>
      <c r="O211" s="433">
        <v>0</v>
      </c>
      <c r="P211" s="433">
        <v>0</v>
      </c>
      <c r="Q211" s="433">
        <v>0</v>
      </c>
      <c r="R211" s="433">
        <v>0</v>
      </c>
      <c r="S211" s="433">
        <v>6000000000</v>
      </c>
      <c r="T211" s="433">
        <v>3775864354.5599999</v>
      </c>
      <c r="U211" s="433">
        <v>2224135645.4400001</v>
      </c>
      <c r="V211" s="434">
        <v>0.62931072576000002</v>
      </c>
      <c r="W211" s="435">
        <v>910189904.15999997</v>
      </c>
      <c r="X211" s="435">
        <v>2865674450.4000001</v>
      </c>
      <c r="Y211" s="434">
        <v>0.7589452854521137</v>
      </c>
      <c r="Z211" s="435">
        <v>910189904.15999997</v>
      </c>
      <c r="AA211" s="435">
        <v>0</v>
      </c>
      <c r="AB211" s="434">
        <v>0.24105471454788635</v>
      </c>
    </row>
    <row r="212" spans="1:28" ht="32.1" customHeight="1">
      <c r="A212" s="411" t="e">
        <v>#REF!</v>
      </c>
      <c r="B212" s="436" t="s">
        <v>547</v>
      </c>
      <c r="C212" s="437" t="s">
        <v>167</v>
      </c>
      <c r="D212" s="438" t="s">
        <v>251</v>
      </c>
      <c r="E212" s="438" t="s">
        <v>172</v>
      </c>
      <c r="F212" s="438" t="s">
        <v>252</v>
      </c>
      <c r="G212" s="438"/>
      <c r="H212" s="438"/>
      <c r="I212" s="439"/>
      <c r="J212" s="440"/>
      <c r="K212" s="440"/>
      <c r="L212" s="436" t="s">
        <v>854</v>
      </c>
      <c r="M212" s="441">
        <v>6000000000</v>
      </c>
      <c r="N212" s="441">
        <v>0</v>
      </c>
      <c r="O212" s="441">
        <v>0</v>
      </c>
      <c r="P212" s="441">
        <v>0</v>
      </c>
      <c r="Q212" s="441">
        <v>0</v>
      </c>
      <c r="R212" s="441">
        <v>0</v>
      </c>
      <c r="S212" s="441">
        <v>6000000000</v>
      </c>
      <c r="T212" s="441">
        <v>3775864354.5599999</v>
      </c>
      <c r="U212" s="441">
        <v>2224135645.4400001</v>
      </c>
      <c r="V212" s="442">
        <v>0.62931072576000002</v>
      </c>
      <c r="W212" s="443">
        <v>910189904.15999997</v>
      </c>
      <c r="X212" s="443">
        <v>2865674450.4000001</v>
      </c>
      <c r="Y212" s="442">
        <v>0.7589452854521137</v>
      </c>
      <c r="Z212" s="443">
        <v>910189904.15999997</v>
      </c>
      <c r="AA212" s="443">
        <v>0</v>
      </c>
      <c r="AB212" s="442">
        <v>0.24105471454788635</v>
      </c>
    </row>
    <row r="213" spans="1:28" ht="32.1" customHeight="1">
      <c r="A213" s="411" t="e">
        <v>#REF!</v>
      </c>
      <c r="B213" s="444" t="s">
        <v>548</v>
      </c>
      <c r="C213" s="445" t="s">
        <v>167</v>
      </c>
      <c r="D213" s="446" t="s">
        <v>251</v>
      </c>
      <c r="E213" s="446" t="s">
        <v>172</v>
      </c>
      <c r="F213" s="446" t="s">
        <v>252</v>
      </c>
      <c r="G213" s="446" t="s">
        <v>175</v>
      </c>
      <c r="H213" s="446" t="s">
        <v>254</v>
      </c>
      <c r="I213" s="447"/>
      <c r="J213" s="448"/>
      <c r="K213" s="448" t="s">
        <v>29</v>
      </c>
      <c r="L213" s="444" t="s">
        <v>855</v>
      </c>
      <c r="M213" s="449">
        <v>6000000000</v>
      </c>
      <c r="N213" s="449">
        <v>0</v>
      </c>
      <c r="O213" s="449">
        <v>0</v>
      </c>
      <c r="P213" s="449">
        <v>0</v>
      </c>
      <c r="Q213" s="449">
        <v>0</v>
      </c>
      <c r="R213" s="449">
        <v>0</v>
      </c>
      <c r="S213" s="449">
        <v>6000000000</v>
      </c>
      <c r="T213" s="449">
        <v>3775864354.5599999</v>
      </c>
      <c r="U213" s="449">
        <v>2224135645.4400001</v>
      </c>
      <c r="V213" s="450">
        <v>0.62931072576000002</v>
      </c>
      <c r="W213" s="449">
        <v>910189904.15999997</v>
      </c>
      <c r="X213" s="449">
        <v>2865674450.4000001</v>
      </c>
      <c r="Y213" s="450">
        <v>0.7589452854521137</v>
      </c>
      <c r="Z213" s="449">
        <v>910189904.15999997</v>
      </c>
      <c r="AA213" s="449">
        <v>0</v>
      </c>
      <c r="AB213" s="450">
        <v>0.24105471454788635</v>
      </c>
    </row>
    <row r="214" spans="1:28" ht="32.1" customHeight="1">
      <c r="A214" s="411" t="e">
        <v>#REF!</v>
      </c>
      <c r="B214" s="492" t="s">
        <v>549</v>
      </c>
      <c r="C214" s="493" t="s">
        <v>167</v>
      </c>
      <c r="D214" s="494" t="s">
        <v>251</v>
      </c>
      <c r="E214" s="494" t="s">
        <v>172</v>
      </c>
      <c r="F214" s="494" t="s">
        <v>252</v>
      </c>
      <c r="G214" s="494" t="s">
        <v>175</v>
      </c>
      <c r="H214" s="494" t="s">
        <v>254</v>
      </c>
      <c r="I214" s="495" t="s">
        <v>54</v>
      </c>
      <c r="J214" s="496">
        <v>11</v>
      </c>
      <c r="K214" s="497" t="s">
        <v>29</v>
      </c>
      <c r="L214" s="498" t="s">
        <v>178</v>
      </c>
      <c r="M214" s="499">
        <v>6000000000</v>
      </c>
      <c r="N214" s="499">
        <v>0</v>
      </c>
      <c r="O214" s="499">
        <v>0</v>
      </c>
      <c r="P214" s="499">
        <v>0</v>
      </c>
      <c r="Q214" s="499">
        <v>0</v>
      </c>
      <c r="R214" s="593">
        <v>0</v>
      </c>
      <c r="S214" s="499">
        <v>6000000000</v>
      </c>
      <c r="T214" s="499">
        <v>3775864354.5599999</v>
      </c>
      <c r="U214" s="499">
        <v>2224135645.4400001</v>
      </c>
      <c r="V214" s="500">
        <v>0.62931072576000002</v>
      </c>
      <c r="W214" s="501">
        <v>910189904.15999997</v>
      </c>
      <c r="X214" s="501">
        <v>2865674450.4000001</v>
      </c>
      <c r="Y214" s="500">
        <v>0.7589452854521137</v>
      </c>
      <c r="Z214" s="501">
        <v>910189904.15999997</v>
      </c>
      <c r="AA214" s="501">
        <v>0</v>
      </c>
      <c r="AB214" s="500">
        <v>0.24105471454788635</v>
      </c>
    </row>
    <row r="215" spans="1:28" ht="32.1" customHeight="1">
      <c r="A215" s="411" t="e">
        <v>#REF!</v>
      </c>
      <c r="B215" s="502"/>
      <c r="C215" s="503"/>
      <c r="D215" s="503"/>
      <c r="E215" s="503"/>
      <c r="F215" s="503"/>
      <c r="G215" s="503"/>
      <c r="H215" s="503"/>
      <c r="I215" s="503"/>
      <c r="J215" s="503"/>
      <c r="K215" s="503"/>
      <c r="L215" s="502" t="s">
        <v>256</v>
      </c>
      <c r="M215" s="504">
        <v>6684523821744</v>
      </c>
      <c r="N215" s="504">
        <v>0</v>
      </c>
      <c r="O215" s="504">
        <v>0</v>
      </c>
      <c r="P215" s="504">
        <v>144481451251.39999</v>
      </c>
      <c r="Q215" s="504">
        <v>144481451251.39999</v>
      </c>
      <c r="R215" s="504">
        <v>5880000000</v>
      </c>
      <c r="S215" s="504">
        <v>6678643821744</v>
      </c>
      <c r="T215" s="504">
        <v>3331169682231.1294</v>
      </c>
      <c r="U215" s="504">
        <v>3347474139512.8696</v>
      </c>
      <c r="V215" s="505">
        <v>0.4987793586754351</v>
      </c>
      <c r="W215" s="506">
        <v>2906004577237.6401</v>
      </c>
      <c r="X215" s="506">
        <v>425165104993.48999</v>
      </c>
      <c r="Y215" s="505">
        <v>0.12763237707804956</v>
      </c>
      <c r="Z215" s="506">
        <v>2903472707047.71</v>
      </c>
      <c r="AA215" s="506">
        <v>2531870189.9299908</v>
      </c>
      <c r="AB215" s="594">
        <v>0.87160756851720644</v>
      </c>
    </row>
    <row r="216" spans="1:28" s="515" customFormat="1" ht="15">
      <c r="A216" s="507"/>
      <c r="B216" s="507"/>
      <c r="C216" s="508"/>
      <c r="D216" s="508"/>
      <c r="E216" s="508"/>
      <c r="F216" s="508"/>
      <c r="G216" s="508"/>
      <c r="H216" s="509"/>
      <c r="I216" s="510"/>
      <c r="J216" s="510"/>
      <c r="K216" s="510"/>
      <c r="L216" s="510"/>
      <c r="M216" s="525"/>
      <c r="N216" s="525"/>
      <c r="O216" s="525"/>
      <c r="P216" s="525"/>
      <c r="Q216" s="525"/>
      <c r="R216" s="525"/>
      <c r="S216" s="525">
        <v>-6565554417992</v>
      </c>
      <c r="T216" s="525"/>
      <c r="U216" s="525"/>
      <c r="V216" s="595"/>
      <c r="W216" s="596"/>
      <c r="X216" s="525"/>
      <c r="Y216" s="595"/>
      <c r="Z216" s="525"/>
      <c r="AA216" s="525"/>
      <c r="AB216" s="597"/>
    </row>
    <row r="217" spans="1:28" s="391" customFormat="1" ht="15">
      <c r="A217" s="411"/>
      <c r="B217" s="411"/>
      <c r="C217" s="598"/>
      <c r="D217" s="598"/>
      <c r="E217" s="598"/>
      <c r="F217" s="598"/>
      <c r="G217" s="598"/>
      <c r="H217" s="599"/>
      <c r="I217" s="600"/>
      <c r="J217" s="600"/>
      <c r="K217" s="600"/>
      <c r="L217" s="600"/>
      <c r="M217" s="516">
        <v>6684523821744</v>
      </c>
      <c r="N217" s="516"/>
      <c r="O217" s="516"/>
      <c r="P217" s="516">
        <v>144481451251.39999</v>
      </c>
      <c r="Q217" s="516">
        <v>144481451251.39999</v>
      </c>
      <c r="R217" s="516">
        <v>5880000000</v>
      </c>
      <c r="S217" s="516">
        <v>6678643821744</v>
      </c>
      <c r="T217" s="516">
        <v>3331169682231.1299</v>
      </c>
      <c r="U217" s="516">
        <v>3347474139512.8701</v>
      </c>
      <c r="V217" s="601">
        <v>0.49877935867543521</v>
      </c>
      <c r="W217" s="516">
        <v>2906004577237.6401</v>
      </c>
      <c r="X217" s="516">
        <v>425165104993.48975</v>
      </c>
      <c r="Y217" s="601">
        <v>0.12763237707804945</v>
      </c>
      <c r="Z217" s="516">
        <v>2903472707047.71</v>
      </c>
      <c r="AA217" s="516">
        <v>2531870189.9301758</v>
      </c>
      <c r="AB217" s="517">
        <v>0.87160756851720633</v>
      </c>
    </row>
    <row r="218" spans="1:28" s="605" customFormat="1" ht="12">
      <c r="A218" s="602"/>
      <c r="B218" s="602"/>
      <c r="C218" s="603"/>
      <c r="D218" s="603"/>
      <c r="E218" s="603"/>
      <c r="F218" s="603"/>
      <c r="G218" s="603"/>
      <c r="H218" s="603"/>
      <c r="I218" s="603"/>
      <c r="J218" s="603"/>
      <c r="K218" s="603"/>
      <c r="L218" s="604"/>
      <c r="M218" s="516">
        <v>0</v>
      </c>
      <c r="N218" s="516">
        <v>0</v>
      </c>
      <c r="O218" s="516">
        <v>0</v>
      </c>
      <c r="P218" s="516">
        <v>0</v>
      </c>
      <c r="Q218" s="516">
        <v>0</v>
      </c>
      <c r="R218" s="516">
        <v>0</v>
      </c>
      <c r="S218" s="516">
        <v>0</v>
      </c>
      <c r="T218" s="516">
        <v>0</v>
      </c>
      <c r="U218" s="516">
        <v>0</v>
      </c>
      <c r="V218" s="516">
        <v>0</v>
      </c>
      <c r="W218" s="516">
        <v>0</v>
      </c>
      <c r="X218" s="516">
        <v>0</v>
      </c>
      <c r="Y218" s="516">
        <v>0</v>
      </c>
      <c r="Z218" s="516">
        <v>0</v>
      </c>
      <c r="AA218" s="516">
        <v>-1.850128173828125E-4</v>
      </c>
      <c r="AB218" s="516">
        <v>0</v>
      </c>
    </row>
    <row r="219" spans="1:28" s="529" customFormat="1" ht="15">
      <c r="A219" s="522"/>
      <c r="B219" s="523"/>
      <c r="C219" s="524"/>
      <c r="D219" s="524"/>
      <c r="E219" s="524"/>
      <c r="F219" s="524"/>
      <c r="G219" s="524"/>
      <c r="H219" s="524"/>
      <c r="I219" s="524"/>
      <c r="J219" s="524"/>
      <c r="K219" s="524"/>
      <c r="L219" s="525"/>
      <c r="M219" s="534"/>
      <c r="N219" s="534"/>
      <c r="O219" s="534"/>
      <c r="P219" s="534"/>
      <c r="Q219" s="534"/>
      <c r="R219" s="534"/>
      <c r="S219" s="526"/>
      <c r="T219" s="534"/>
      <c r="U219" s="534"/>
      <c r="V219" s="606"/>
      <c r="W219" s="534"/>
      <c r="X219" s="534"/>
      <c r="Y219" s="606"/>
      <c r="Z219" s="534"/>
      <c r="AA219" s="534"/>
      <c r="AB219" s="607"/>
    </row>
    <row r="220" spans="1:28" s="515" customFormat="1" ht="18">
      <c r="A220" s="530"/>
      <c r="B220" s="531"/>
      <c r="C220" s="532"/>
      <c r="D220" s="532"/>
      <c r="E220" s="532"/>
      <c r="F220" s="532"/>
      <c r="G220" s="532"/>
      <c r="H220" s="532"/>
      <c r="I220" s="532"/>
      <c r="J220" s="532"/>
      <c r="K220" s="532"/>
      <c r="L220" s="532"/>
      <c r="M220" s="525"/>
      <c r="N220" s="608"/>
      <c r="O220" s="533"/>
      <c r="P220" s="533"/>
      <c r="Q220" s="609"/>
      <c r="R220" s="610"/>
      <c r="S220" s="526"/>
      <c r="T220" s="533"/>
      <c r="U220" s="533"/>
      <c r="V220" s="535"/>
      <c r="W220" s="533"/>
      <c r="X220" s="533"/>
      <c r="Y220" s="535"/>
      <c r="Z220" s="533"/>
      <c r="AA220" s="533"/>
      <c r="AB220" s="535"/>
    </row>
    <row r="221" spans="1:28" ht="18">
      <c r="A221" s="409"/>
      <c r="B221" s="410"/>
      <c r="C221" s="536"/>
      <c r="D221" s="536"/>
      <c r="E221" s="536"/>
      <c r="F221" s="536"/>
      <c r="G221" s="536"/>
      <c r="H221" s="536"/>
      <c r="I221" s="536"/>
      <c r="J221" s="536"/>
      <c r="K221" s="536"/>
      <c r="L221" s="536"/>
      <c r="M221" s="537"/>
      <c r="N221" s="611"/>
      <c r="O221" s="537"/>
      <c r="P221" s="612"/>
      <c r="Q221" s="610"/>
      <c r="R221" s="610"/>
      <c r="S221" s="613"/>
      <c r="T221" s="537"/>
      <c r="U221" s="537"/>
      <c r="V221" s="538"/>
      <c r="W221" s="537"/>
      <c r="X221" s="537"/>
      <c r="Y221" s="538"/>
      <c r="Z221" s="537"/>
      <c r="AA221" s="537"/>
      <c r="AB221" s="538"/>
    </row>
    <row r="222" spans="1:28" ht="18">
      <c r="A222" s="385"/>
      <c r="B222" s="386"/>
      <c r="C222" s="536"/>
      <c r="D222" s="536"/>
      <c r="E222" s="536"/>
      <c r="F222" s="536"/>
      <c r="G222" s="536"/>
      <c r="H222" s="536"/>
      <c r="I222" s="536"/>
      <c r="J222" s="536"/>
      <c r="K222" s="536"/>
      <c r="L222" s="536"/>
      <c r="M222" s="537"/>
      <c r="N222" s="611"/>
      <c r="O222" s="537"/>
      <c r="P222" s="612"/>
      <c r="Q222" s="537"/>
      <c r="R222" s="537"/>
      <c r="S222" s="537"/>
      <c r="T222" s="537"/>
      <c r="U222" s="537"/>
      <c r="V222" s="538"/>
      <c r="W222" s="537"/>
      <c r="X222" s="614"/>
      <c r="Y222" s="538"/>
      <c r="Z222" s="537"/>
      <c r="AA222" s="537"/>
      <c r="AB222" s="538"/>
    </row>
    <row r="223" spans="1:28" ht="30">
      <c r="A223" s="385"/>
      <c r="B223" s="386"/>
      <c r="C223" s="539"/>
      <c r="D223" s="539"/>
      <c r="E223" s="539"/>
      <c r="F223" s="539"/>
      <c r="G223" s="539"/>
      <c r="H223" s="539"/>
      <c r="I223" s="536"/>
      <c r="J223" s="536"/>
      <c r="K223" s="536"/>
      <c r="L223" s="540" t="s">
        <v>736</v>
      </c>
      <c r="M223" s="615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2"/>
      <c r="Z223" s="543"/>
      <c r="AA223" s="541"/>
      <c r="AB223" s="541"/>
    </row>
    <row r="224" spans="1:28" ht="30">
      <c r="A224" s="385"/>
      <c r="B224" s="386"/>
      <c r="C224" s="544"/>
      <c r="D224" s="544"/>
      <c r="E224" s="544"/>
      <c r="F224" s="544"/>
      <c r="G224" s="544"/>
      <c r="H224" s="544"/>
      <c r="I224" s="544"/>
      <c r="J224" s="544"/>
      <c r="K224" s="544"/>
      <c r="L224" s="545" t="s">
        <v>881</v>
      </c>
      <c r="M224" s="615"/>
      <c r="O224" s="546"/>
      <c r="P224" s="546"/>
      <c r="Q224" s="546"/>
      <c r="R224" s="546"/>
      <c r="S224" s="547"/>
      <c r="T224" s="546"/>
      <c r="U224" s="546"/>
      <c r="V224" s="546"/>
      <c r="W224" s="546"/>
      <c r="X224" s="546"/>
      <c r="Y224" s="548"/>
      <c r="Z224" s="546"/>
      <c r="AA224" s="546"/>
      <c r="AB224" s="546"/>
    </row>
    <row r="225" spans="1:25" ht="30">
      <c r="A225" s="549"/>
      <c r="B225" s="550"/>
      <c r="C225" s="551"/>
      <c r="D225" s="551"/>
      <c r="E225" s="551"/>
      <c r="F225" s="551"/>
      <c r="G225" s="551"/>
      <c r="H225" s="551"/>
      <c r="I225" s="551"/>
      <c r="J225" s="551"/>
      <c r="K225" s="551"/>
      <c r="L225" s="551"/>
      <c r="M225" s="615"/>
      <c r="O225" s="616"/>
      <c r="P225" s="617"/>
      <c r="Q225" s="618"/>
      <c r="R225" s="618"/>
      <c r="S225" s="552"/>
      <c r="T225" s="552"/>
      <c r="U225" s="619"/>
      <c r="V225" s="553"/>
      <c r="W225" s="553"/>
      <c r="X225" s="553"/>
      <c r="Y225" s="553"/>
    </row>
    <row r="226" spans="1:25" ht="15">
      <c r="M226" s="615"/>
      <c r="N226" s="615"/>
    </row>
    <row r="227" spans="1:25" ht="15">
      <c r="M227" s="615"/>
      <c r="N227" s="615"/>
    </row>
  </sheetData>
  <sheetProtection selectLockedCells="1" selectUnlockedCells="1"/>
  <autoFilter ref="A6:AB218" xr:uid="{00000000-0001-0000-0200-000000000000}"/>
  <mergeCells count="7">
    <mergeCell ref="T5:V5"/>
    <mergeCell ref="W5:Y5"/>
    <mergeCell ref="Z5:AB5"/>
    <mergeCell ref="M2:AB2"/>
    <mergeCell ref="M3:AB3"/>
    <mergeCell ref="N5:O5"/>
    <mergeCell ref="P5:Q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4812-7DEF-440D-B9C0-26C7BB851F87}">
  <sheetPr>
    <tabColor rgb="FF00B0F0"/>
    <pageSetUpPr fitToPage="1"/>
  </sheetPr>
  <dimension ref="A1:AZ213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6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70.7109375" style="9" customWidth="1"/>
    <col min="14" max="14" width="20" style="13" bestFit="1" customWidth="1"/>
    <col min="15" max="15" width="18.2851562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bestFit="1" customWidth="1"/>
    <col min="27" max="27" width="19.5703125" style="13" bestFit="1" customWidth="1"/>
    <col min="28" max="28" width="22.140625" style="13" bestFit="1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902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560"/>
      <c r="V5" s="663" t="s">
        <v>7</v>
      </c>
      <c r="W5" s="66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tr">
        <f>+CONCATENATE(B8,"=",K8)</f>
        <v>A=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f t="shared" ref="N8:V8" si="0">+N9+N43+N88+N102</f>
        <v>162991000000</v>
      </c>
      <c r="O8" s="186">
        <f t="shared" si="0"/>
        <v>991465489896</v>
      </c>
      <c r="P8" s="186">
        <f t="shared" si="0"/>
        <v>0</v>
      </c>
      <c r="Q8" s="186">
        <f t="shared" si="0"/>
        <v>2836139303.1499996</v>
      </c>
      <c r="R8" s="186">
        <f t="shared" si="0"/>
        <v>2836139303.1500001</v>
      </c>
      <c r="S8" s="186">
        <f t="shared" si="0"/>
        <v>11791000000</v>
      </c>
      <c r="T8" s="186">
        <f t="shared" si="0"/>
        <v>1142665489896</v>
      </c>
      <c r="U8" s="186">
        <f t="shared" si="0"/>
        <v>564525447197.68005</v>
      </c>
      <c r="V8" s="186">
        <f t="shared" si="0"/>
        <v>578140042698.31995</v>
      </c>
      <c r="W8" s="187">
        <f t="shared" ref="W8:W13" si="1">+IF(T8&gt;0,U8/T8,0)</f>
        <v>0.49404261543687689</v>
      </c>
      <c r="X8" s="186">
        <f t="shared" ref="X8:Y8" si="2">+X9+X43+X88+X102</f>
        <v>540160547504.02002</v>
      </c>
      <c r="Y8" s="186">
        <f t="shared" si="2"/>
        <v>24364899693.660004</v>
      </c>
      <c r="Z8" s="187">
        <f t="shared" ref="Z8:Z23" si="3">+IF(U8&gt;0,Y8/U8,0)</f>
        <v>4.3159967038878477E-2</v>
      </c>
      <c r="AA8" s="186">
        <f t="shared" ref="AA8:AB8" si="4">+AA9+AA43+AA88+AA102</f>
        <v>539340163753.02002</v>
      </c>
      <c r="AB8" s="186">
        <f t="shared" si="4"/>
        <v>820383751</v>
      </c>
      <c r="AC8" s="187">
        <f>+IF(U8&gt;0,(AA8/U8),0)</f>
        <v>0.95538680573270796</v>
      </c>
    </row>
    <row r="9" spans="1:29" ht="35.1" customHeight="1">
      <c r="A9" s="32" t="str">
        <f t="shared" ref="A9:A74" si="5">+CONCATENATE(B9,"=",K9)</f>
        <v>A-01=</v>
      </c>
      <c r="B9" s="188" t="str">
        <f>CONCATENATE(C9,"-",D9)</f>
        <v>A-01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f>+N10</f>
        <v>99738000000</v>
      </c>
      <c r="O9" s="194">
        <f t="shared" ref="O9:AB9" si="6">+O10</f>
        <v>0</v>
      </c>
      <c r="P9" s="194">
        <f t="shared" si="6"/>
        <v>0</v>
      </c>
      <c r="Q9" s="194">
        <f>+Q10</f>
        <v>0</v>
      </c>
      <c r="R9" s="194">
        <f t="shared" si="6"/>
        <v>0</v>
      </c>
      <c r="S9" s="194">
        <f t="shared" si="6"/>
        <v>0</v>
      </c>
      <c r="T9" s="194">
        <f t="shared" si="6"/>
        <v>99738000000</v>
      </c>
      <c r="U9" s="194">
        <f t="shared" si="6"/>
        <v>36683323701</v>
      </c>
      <c r="V9" s="194">
        <f t="shared" si="6"/>
        <v>63054676299</v>
      </c>
      <c r="W9" s="195">
        <f t="shared" si="1"/>
        <v>0.3677968647957649</v>
      </c>
      <c r="X9" s="194">
        <f t="shared" si="6"/>
        <v>36680161435</v>
      </c>
      <c r="Y9" s="194">
        <f t="shared" si="6"/>
        <v>3162266</v>
      </c>
      <c r="Z9" s="195">
        <f t="shared" si="3"/>
        <v>8.6204456983645563E-5</v>
      </c>
      <c r="AA9" s="194">
        <f t="shared" si="6"/>
        <v>36243995008</v>
      </c>
      <c r="AB9" s="194">
        <f t="shared" si="6"/>
        <v>436166427</v>
      </c>
      <c r="AC9" s="195">
        <f t="shared" ref="AC9:AC74" si="7">+IF(U9&gt;0,(AA9/U9),0)</f>
        <v>0.98802374897703116</v>
      </c>
    </row>
    <row r="10" spans="1:29" ht="24.95" customHeight="1">
      <c r="A10" s="32" t="str">
        <f t="shared" si="5"/>
        <v>A-01-01=</v>
      </c>
      <c r="B10" s="196" t="str">
        <f>CONCATENATE(C10,"-",D10,"-",E10)</f>
        <v>A-01-01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f>+N11+N23+N33</f>
        <v>99738000000</v>
      </c>
      <c r="O10" s="201">
        <f t="shared" ref="O10:V10" si="8">+O11+O23+O33</f>
        <v>0</v>
      </c>
      <c r="P10" s="201">
        <f t="shared" si="8"/>
        <v>0</v>
      </c>
      <c r="Q10" s="201">
        <f t="shared" si="8"/>
        <v>0</v>
      </c>
      <c r="R10" s="201">
        <f t="shared" si="8"/>
        <v>0</v>
      </c>
      <c r="S10" s="201">
        <f t="shared" si="8"/>
        <v>0</v>
      </c>
      <c r="T10" s="201">
        <f t="shared" si="8"/>
        <v>99738000000</v>
      </c>
      <c r="U10" s="201">
        <f t="shared" si="8"/>
        <v>36683323701</v>
      </c>
      <c r="V10" s="201">
        <f t="shared" si="8"/>
        <v>63054676299</v>
      </c>
      <c r="W10" s="202">
        <f t="shared" si="1"/>
        <v>0.3677968647957649</v>
      </c>
      <c r="X10" s="201">
        <f t="shared" ref="X10:AB10" si="9">+X11+X23+X33</f>
        <v>36680161435</v>
      </c>
      <c r="Y10" s="201">
        <f t="shared" si="9"/>
        <v>3162266</v>
      </c>
      <c r="Z10" s="202">
        <f t="shared" si="3"/>
        <v>8.6204456983645563E-5</v>
      </c>
      <c r="AA10" s="201">
        <f t="shared" si="9"/>
        <v>36243995008</v>
      </c>
      <c r="AB10" s="201">
        <f t="shared" si="9"/>
        <v>436166427</v>
      </c>
      <c r="AC10" s="202">
        <f t="shared" si="7"/>
        <v>0.98802374897703116</v>
      </c>
    </row>
    <row r="11" spans="1:29" ht="24.95" customHeight="1">
      <c r="A11" s="32" t="str">
        <f t="shared" si="5"/>
        <v>A-01-01-01=10</v>
      </c>
      <c r="B11" s="203" t="str">
        <f>CONCATENATE(C11,"-",D11,"-",E11,"-",F11)</f>
        <v>A-01-01-01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f>SUM(N12)</f>
        <v>68019000000</v>
      </c>
      <c r="O11" s="208">
        <f t="shared" ref="O11:AB11" si="10">SUM(O12)</f>
        <v>0</v>
      </c>
      <c r="P11" s="208">
        <f t="shared" si="10"/>
        <v>0</v>
      </c>
      <c r="Q11" s="208">
        <f t="shared" si="10"/>
        <v>0</v>
      </c>
      <c r="R11" s="208">
        <f t="shared" si="10"/>
        <v>0</v>
      </c>
      <c r="S11" s="208">
        <f t="shared" si="10"/>
        <v>0</v>
      </c>
      <c r="T11" s="208">
        <f t="shared" si="10"/>
        <v>68019000000</v>
      </c>
      <c r="U11" s="208">
        <f t="shared" si="10"/>
        <v>24771914070</v>
      </c>
      <c r="V11" s="208">
        <f t="shared" si="10"/>
        <v>43247085930</v>
      </c>
      <c r="W11" s="209">
        <f t="shared" si="1"/>
        <v>0.36419109469412958</v>
      </c>
      <c r="X11" s="208">
        <f t="shared" si="10"/>
        <v>24769071871</v>
      </c>
      <c r="Y11" s="208">
        <f t="shared" si="10"/>
        <v>2842199</v>
      </c>
      <c r="Z11" s="209">
        <f t="shared" si="3"/>
        <v>1.1473473515080703E-4</v>
      </c>
      <c r="AA11" s="208">
        <f t="shared" si="10"/>
        <v>24769071871</v>
      </c>
      <c r="AB11" s="208">
        <f t="shared" si="10"/>
        <v>0</v>
      </c>
      <c r="AC11" s="209">
        <f t="shared" si="7"/>
        <v>0.99988526526484922</v>
      </c>
    </row>
    <row r="12" spans="1:29" ht="24.95" customHeight="1">
      <c r="A12" s="32" t="str">
        <f t="shared" si="5"/>
        <v>A-01-01-01-001=10</v>
      </c>
      <c r="B12" s="210" t="str">
        <f>CONCATENATE(C12,"-",D12,"-",E12,"-",F12,"-",G12)</f>
        <v>A-01-01-01-001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f>SUM(N13:N22)</f>
        <v>68019000000</v>
      </c>
      <c r="O12" s="215">
        <f t="shared" ref="O12:V12" si="11">SUM(O13:O22)</f>
        <v>0</v>
      </c>
      <c r="P12" s="215">
        <f t="shared" si="11"/>
        <v>0</v>
      </c>
      <c r="Q12" s="215">
        <f t="shared" si="11"/>
        <v>0</v>
      </c>
      <c r="R12" s="215">
        <f t="shared" si="11"/>
        <v>0</v>
      </c>
      <c r="S12" s="215">
        <f t="shared" si="11"/>
        <v>0</v>
      </c>
      <c r="T12" s="215">
        <f t="shared" si="11"/>
        <v>68019000000</v>
      </c>
      <c r="U12" s="215">
        <f t="shared" si="11"/>
        <v>24771914070</v>
      </c>
      <c r="V12" s="215">
        <f t="shared" si="11"/>
        <v>43247085930</v>
      </c>
      <c r="W12" s="216">
        <f t="shared" si="1"/>
        <v>0.36419109469412958</v>
      </c>
      <c r="X12" s="215">
        <f t="shared" ref="X12:AB12" si="12">SUM(X13:X22)</f>
        <v>24769071871</v>
      </c>
      <c r="Y12" s="215">
        <f t="shared" si="12"/>
        <v>2842199</v>
      </c>
      <c r="Z12" s="216">
        <f t="shared" si="3"/>
        <v>1.1473473515080703E-4</v>
      </c>
      <c r="AA12" s="215">
        <f t="shared" si="12"/>
        <v>24769071871</v>
      </c>
      <c r="AB12" s="215">
        <f t="shared" si="12"/>
        <v>0</v>
      </c>
      <c r="AC12" s="216">
        <f t="shared" si="7"/>
        <v>0.99988526526484922</v>
      </c>
    </row>
    <row r="13" spans="1:29" ht="24.95" customHeight="1">
      <c r="A13" s="32" t="str">
        <f t="shared" si="5"/>
        <v>A-01-01-01-001-001=10</v>
      </c>
      <c r="B13" s="217" t="str">
        <f>CONCATENATE(C13,"-",D13,"-",E13,"-",F13,"-",G13,"-",H13)</f>
        <v>A-01-01-01-001-001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f t="shared" ref="T13:T22" si="13">+N13-S13+O13-P13+Q13-R13</f>
        <v>54858000000</v>
      </c>
      <c r="U13" s="222">
        <v>22795209402</v>
      </c>
      <c r="V13" s="222">
        <f t="shared" ref="V13:V109" si="14">+T13-U13</f>
        <v>32062790598</v>
      </c>
      <c r="W13" s="224">
        <f t="shared" si="1"/>
        <v>0.41553117871595757</v>
      </c>
      <c r="X13" s="222">
        <v>22795209402</v>
      </c>
      <c r="Y13" s="222">
        <f>+U13-X13</f>
        <v>0</v>
      </c>
      <c r="Z13" s="224">
        <f t="shared" si="3"/>
        <v>0</v>
      </c>
      <c r="AA13" s="222">
        <v>22795209402</v>
      </c>
      <c r="AB13" s="222">
        <f t="shared" ref="AB13:AB109" si="15">+X13-AA13</f>
        <v>0</v>
      </c>
      <c r="AC13" s="224">
        <f t="shared" si="7"/>
        <v>1</v>
      </c>
    </row>
    <row r="14" spans="1:29" ht="24.95" customHeight="1">
      <c r="A14" s="32" t="str">
        <f t="shared" si="5"/>
        <v>A-01-01-01-001-002=10</v>
      </c>
      <c r="B14" s="217" t="str">
        <f t="shared" ref="B14:B22" si="16">CONCATENATE(C14,"-",D14,"-",E14,"-",F14,"-",G14,"-",H14)</f>
        <v>A-01-01-01-001-002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f t="shared" si="13"/>
        <v>263000000</v>
      </c>
      <c r="U14" s="222">
        <v>114908802</v>
      </c>
      <c r="V14" s="222">
        <f t="shared" si="14"/>
        <v>148091198</v>
      </c>
      <c r="W14" s="224">
        <f>+IF(T14&gt;0,U14/T14,0)</f>
        <v>0.43691559695817489</v>
      </c>
      <c r="X14" s="222">
        <v>114908802</v>
      </c>
      <c r="Y14" s="222">
        <f t="shared" ref="Y14:Y115" si="17">+U14-X14</f>
        <v>0</v>
      </c>
      <c r="Z14" s="224">
        <f t="shared" si="3"/>
        <v>0</v>
      </c>
      <c r="AA14" s="222">
        <v>114908802</v>
      </c>
      <c r="AB14" s="222">
        <f t="shared" si="15"/>
        <v>0</v>
      </c>
      <c r="AC14" s="224">
        <f t="shared" si="7"/>
        <v>1</v>
      </c>
    </row>
    <row r="15" spans="1:29" ht="24.95" customHeight="1">
      <c r="A15" s="32" t="str">
        <f t="shared" si="5"/>
        <v>A-01-01-01-001-003=10</v>
      </c>
      <c r="B15" s="217" t="str">
        <f t="shared" si="16"/>
        <v>A-01-01-01-001-003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f t="shared" si="13"/>
        <v>550000000</v>
      </c>
      <c r="U15" s="222">
        <v>232772993</v>
      </c>
      <c r="V15" s="222">
        <f t="shared" si="14"/>
        <v>317227007</v>
      </c>
      <c r="W15" s="224">
        <f t="shared" ref="W15:W80" si="18">+IF(T15&gt;0,U15/T15,0)</f>
        <v>0.42322362363636362</v>
      </c>
      <c r="X15" s="222">
        <v>232772993</v>
      </c>
      <c r="Y15" s="222">
        <f t="shared" si="17"/>
        <v>0</v>
      </c>
      <c r="Z15" s="224">
        <f t="shared" si="3"/>
        <v>0</v>
      </c>
      <c r="AA15" s="222">
        <v>232772993</v>
      </c>
      <c r="AB15" s="222">
        <f t="shared" si="15"/>
        <v>0</v>
      </c>
      <c r="AC15" s="224">
        <f t="shared" si="7"/>
        <v>1</v>
      </c>
    </row>
    <row r="16" spans="1:29" ht="24.95" customHeight="1">
      <c r="A16" s="32" t="str">
        <f t="shared" si="5"/>
        <v>A-01-01-01-001-004=10</v>
      </c>
      <c r="B16" s="217" t="str">
        <f t="shared" si="16"/>
        <v>A-01-01-01-001-004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f t="shared" si="13"/>
        <v>100000000</v>
      </c>
      <c r="U16" s="222">
        <v>39020652</v>
      </c>
      <c r="V16" s="222">
        <f t="shared" si="14"/>
        <v>60979348</v>
      </c>
      <c r="W16" s="224">
        <f t="shared" si="18"/>
        <v>0.39020652</v>
      </c>
      <c r="X16" s="222">
        <v>39020652</v>
      </c>
      <c r="Y16" s="222">
        <f t="shared" si="17"/>
        <v>0</v>
      </c>
      <c r="Z16" s="224">
        <f t="shared" si="3"/>
        <v>0</v>
      </c>
      <c r="AA16" s="222">
        <v>39020652</v>
      </c>
      <c r="AB16" s="222">
        <f t="shared" si="15"/>
        <v>0</v>
      </c>
      <c r="AC16" s="224">
        <f t="shared" si="7"/>
        <v>1</v>
      </c>
    </row>
    <row r="17" spans="1:29" ht="24.95" customHeight="1">
      <c r="A17" s="32" t="str">
        <f t="shared" si="5"/>
        <v>A-01-01-01-001-005=10</v>
      </c>
      <c r="B17" s="217" t="str">
        <f t="shared" si="16"/>
        <v>A-01-01-01-001-005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f t="shared" si="13"/>
        <v>98000000</v>
      </c>
      <c r="U17" s="222">
        <v>35467482</v>
      </c>
      <c r="V17" s="222">
        <f t="shared" si="14"/>
        <v>62532518</v>
      </c>
      <c r="W17" s="224">
        <f t="shared" si="18"/>
        <v>0.36191308163265307</v>
      </c>
      <c r="X17" s="222">
        <v>32625283</v>
      </c>
      <c r="Y17" s="222">
        <f t="shared" si="17"/>
        <v>2842199</v>
      </c>
      <c r="Z17" s="224">
        <f t="shared" si="3"/>
        <v>8.0135347640410443E-2</v>
      </c>
      <c r="AA17" s="222">
        <v>32625283</v>
      </c>
      <c r="AB17" s="222">
        <f t="shared" si="15"/>
        <v>0</v>
      </c>
      <c r="AC17" s="224">
        <f t="shared" si="7"/>
        <v>0.91986465235958959</v>
      </c>
    </row>
    <row r="18" spans="1:29" ht="24.95" customHeight="1">
      <c r="A18" s="32" t="str">
        <f t="shared" si="5"/>
        <v>A-01-01-01-001-006=10</v>
      </c>
      <c r="B18" s="217" t="str">
        <f t="shared" si="16"/>
        <v>A-01-01-01-001-006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/>
      <c r="R18" s="222"/>
      <c r="S18" s="222"/>
      <c r="T18" s="222">
        <f t="shared" si="13"/>
        <v>2500000000</v>
      </c>
      <c r="U18" s="222">
        <v>22619152</v>
      </c>
      <c r="V18" s="222">
        <f t="shared" si="14"/>
        <v>2477380848</v>
      </c>
      <c r="W18" s="224">
        <f t="shared" si="18"/>
        <v>9.0476607999999993E-3</v>
      </c>
      <c r="X18" s="222">
        <v>22619152</v>
      </c>
      <c r="Y18" s="222">
        <f t="shared" si="17"/>
        <v>0</v>
      </c>
      <c r="Z18" s="224">
        <f t="shared" si="3"/>
        <v>0</v>
      </c>
      <c r="AA18" s="222">
        <v>22619152</v>
      </c>
      <c r="AB18" s="222">
        <f t="shared" si="15"/>
        <v>0</v>
      </c>
      <c r="AC18" s="224">
        <f t="shared" si="7"/>
        <v>1</v>
      </c>
    </row>
    <row r="19" spans="1:29" ht="24.95" customHeight="1">
      <c r="A19" s="32" t="str">
        <f t="shared" si="5"/>
        <v>A-01-01-01-001-007=10</v>
      </c>
      <c r="B19" s="217" t="str">
        <f t="shared" si="16"/>
        <v>A-01-01-01-001-007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f t="shared" si="13"/>
        <v>1800000000</v>
      </c>
      <c r="U19" s="222">
        <v>843381393</v>
      </c>
      <c r="V19" s="222">
        <f t="shared" si="14"/>
        <v>956618607</v>
      </c>
      <c r="W19" s="224">
        <f t="shared" si="18"/>
        <v>0.46854521833333335</v>
      </c>
      <c r="X19" s="222">
        <v>843381393</v>
      </c>
      <c r="Y19" s="222">
        <f t="shared" si="17"/>
        <v>0</v>
      </c>
      <c r="Z19" s="224">
        <f t="shared" si="3"/>
        <v>0</v>
      </c>
      <c r="AA19" s="222">
        <v>843381393</v>
      </c>
      <c r="AB19" s="222">
        <f t="shared" si="15"/>
        <v>0</v>
      </c>
      <c r="AC19" s="224">
        <f t="shared" si="7"/>
        <v>1</v>
      </c>
    </row>
    <row r="20" spans="1:29" ht="24.95" customHeight="1">
      <c r="A20" s="32" t="str">
        <f t="shared" si="5"/>
        <v>A-01-01-01-001-008=10</v>
      </c>
      <c r="B20" s="217" t="str">
        <f t="shared" si="16"/>
        <v>A-01-01-01-001-008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f t="shared" si="13"/>
        <v>250000000</v>
      </c>
      <c r="U20" s="222">
        <v>33056505</v>
      </c>
      <c r="V20" s="222">
        <f t="shared" si="14"/>
        <v>216943495</v>
      </c>
      <c r="W20" s="224">
        <f t="shared" si="18"/>
        <v>0.13222602</v>
      </c>
      <c r="X20" s="222">
        <v>33056505</v>
      </c>
      <c r="Y20" s="222">
        <f t="shared" si="17"/>
        <v>0</v>
      </c>
      <c r="Z20" s="224">
        <f t="shared" si="3"/>
        <v>0</v>
      </c>
      <c r="AA20" s="222">
        <v>33056505</v>
      </c>
      <c r="AB20" s="222">
        <f t="shared" si="15"/>
        <v>0</v>
      </c>
      <c r="AC20" s="224">
        <f t="shared" si="7"/>
        <v>1</v>
      </c>
    </row>
    <row r="21" spans="1:29" ht="24.95" customHeight="1">
      <c r="A21" s="32" t="str">
        <f t="shared" si="5"/>
        <v>A-01-01-01-001-009=10</v>
      </c>
      <c r="B21" s="217" t="str">
        <f t="shared" si="16"/>
        <v>A-01-01-01-001-009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f t="shared" si="13"/>
        <v>5000000000</v>
      </c>
      <c r="U21" s="222">
        <v>10761725</v>
      </c>
      <c r="V21" s="222">
        <f t="shared" si="14"/>
        <v>4989238275</v>
      </c>
      <c r="W21" s="224">
        <f t="shared" si="18"/>
        <v>2.152345E-3</v>
      </c>
      <c r="X21" s="222">
        <v>10761725</v>
      </c>
      <c r="Y21" s="222">
        <f t="shared" si="17"/>
        <v>0</v>
      </c>
      <c r="Z21" s="224">
        <f t="shared" si="3"/>
        <v>0</v>
      </c>
      <c r="AA21" s="222">
        <v>10761725</v>
      </c>
      <c r="AB21" s="222">
        <f t="shared" si="15"/>
        <v>0</v>
      </c>
      <c r="AC21" s="224">
        <f t="shared" si="7"/>
        <v>1</v>
      </c>
    </row>
    <row r="22" spans="1:29" ht="24.95" customHeight="1">
      <c r="A22" s="32" t="str">
        <f t="shared" si="5"/>
        <v>A-01-01-01-001-010=10</v>
      </c>
      <c r="B22" s="217" t="str">
        <f t="shared" si="16"/>
        <v>A-01-01-01-001-010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/>
      <c r="S22" s="222"/>
      <c r="T22" s="222">
        <f t="shared" si="13"/>
        <v>2600000000</v>
      </c>
      <c r="U22" s="222">
        <v>644715964</v>
      </c>
      <c r="V22" s="222">
        <f t="shared" si="14"/>
        <v>1955284036</v>
      </c>
      <c r="W22" s="224">
        <f t="shared" si="18"/>
        <v>0.24796767846153847</v>
      </c>
      <c r="X22" s="222">
        <v>644715964</v>
      </c>
      <c r="Y22" s="222">
        <f t="shared" si="17"/>
        <v>0</v>
      </c>
      <c r="Z22" s="224">
        <f t="shared" si="3"/>
        <v>0</v>
      </c>
      <c r="AA22" s="222">
        <v>644715964</v>
      </c>
      <c r="AB22" s="222">
        <f t="shared" si="15"/>
        <v>0</v>
      </c>
      <c r="AC22" s="224">
        <f t="shared" si="7"/>
        <v>1</v>
      </c>
    </row>
    <row r="23" spans="1:29" ht="24.95" customHeight="1">
      <c r="A23" s="32" t="str">
        <f t="shared" si="5"/>
        <v>A-01-01-02=10</v>
      </c>
      <c r="B23" s="226" t="str">
        <f>CONCATENATE(C23,"-",D23,"-",E23,"-",F23)</f>
        <v>A-01-01-02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f>SUM(N24:N32)</f>
        <v>24735000000</v>
      </c>
      <c r="O23" s="232">
        <f t="shared" ref="O23:S23" si="19">SUM(O24:O32)</f>
        <v>0</v>
      </c>
      <c r="P23" s="232">
        <f t="shared" si="19"/>
        <v>0</v>
      </c>
      <c r="Q23" s="232">
        <f t="shared" si="19"/>
        <v>0</v>
      </c>
      <c r="R23" s="232">
        <f t="shared" si="19"/>
        <v>0</v>
      </c>
      <c r="S23" s="232">
        <f t="shared" si="19"/>
        <v>0</v>
      </c>
      <c r="T23" s="232">
        <f>SUM(T24:T32)</f>
        <v>24735000000</v>
      </c>
      <c r="U23" s="232">
        <f t="shared" ref="U23:V23" si="20">SUM(U24:U32)</f>
        <v>9605100361</v>
      </c>
      <c r="V23" s="232">
        <f t="shared" si="20"/>
        <v>15129899639</v>
      </c>
      <c r="W23" s="233">
        <f t="shared" si="18"/>
        <v>0.38832020865170813</v>
      </c>
      <c r="X23" s="232">
        <f t="shared" ref="X23:AB23" si="21">SUM(X24:X32)</f>
        <v>9605100361</v>
      </c>
      <c r="Y23" s="232">
        <f t="shared" si="21"/>
        <v>0</v>
      </c>
      <c r="Z23" s="233">
        <f t="shared" si="3"/>
        <v>0</v>
      </c>
      <c r="AA23" s="232">
        <f t="shared" si="21"/>
        <v>9168933934</v>
      </c>
      <c r="AB23" s="232">
        <f t="shared" si="21"/>
        <v>436166427</v>
      </c>
      <c r="AC23" s="233">
        <f t="shared" si="7"/>
        <v>0.95459012289231404</v>
      </c>
    </row>
    <row r="24" spans="1:29" ht="24.95" customHeight="1">
      <c r="A24" s="32" t="str">
        <f t="shared" si="5"/>
        <v>A-01-01-02-001=10</v>
      </c>
      <c r="B24" s="217" t="str">
        <f t="shared" ref="B24:B32" si="22">CONCATENATE(C24,"-",D24,"-",E24,"-",F24,"-",G24)</f>
        <v>A-01-01-02-001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7000000000</v>
      </c>
      <c r="O24" s="222"/>
      <c r="P24" s="222"/>
      <c r="Q24" s="222"/>
      <c r="R24" s="222"/>
      <c r="S24" s="222"/>
      <c r="T24" s="222">
        <f t="shared" ref="T24:T32" si="23">+N24-S24+O24-P24+Q24-R24</f>
        <v>7000000000</v>
      </c>
      <c r="U24" s="222">
        <v>2856928158</v>
      </c>
      <c r="V24" s="222">
        <f t="shared" si="14"/>
        <v>4143071842</v>
      </c>
      <c r="W24" s="224">
        <f t="shared" si="18"/>
        <v>0.40813259400000002</v>
      </c>
      <c r="X24" s="222">
        <v>2856928158</v>
      </c>
      <c r="Y24" s="222">
        <f t="shared" si="17"/>
        <v>0</v>
      </c>
      <c r="Z24" s="224">
        <f>+IF(U24&gt;0,Y24/U24,0)</f>
        <v>0</v>
      </c>
      <c r="AA24" s="222">
        <v>2856928158</v>
      </c>
      <c r="AB24" s="222">
        <f t="shared" si="15"/>
        <v>0</v>
      </c>
      <c r="AC24" s="224">
        <f t="shared" si="7"/>
        <v>1</v>
      </c>
    </row>
    <row r="25" spans="1:29" ht="24.95" customHeight="1">
      <c r="A25" s="32" t="str">
        <f t="shared" si="5"/>
        <v>A-01-01-02-002=10</v>
      </c>
      <c r="B25" s="217" t="str">
        <f t="shared" si="22"/>
        <v>A-01-01-02-002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6000000000</v>
      </c>
      <c r="O25" s="222"/>
      <c r="P25" s="222"/>
      <c r="Q25" s="222"/>
      <c r="R25" s="222"/>
      <c r="S25" s="222"/>
      <c r="T25" s="222">
        <f t="shared" si="23"/>
        <v>6000000000</v>
      </c>
      <c r="U25" s="222">
        <v>2170162158</v>
      </c>
      <c r="V25" s="222">
        <f t="shared" si="14"/>
        <v>3829837842</v>
      </c>
      <c r="W25" s="224">
        <f t="shared" si="18"/>
        <v>0.36169369299999998</v>
      </c>
      <c r="X25" s="222">
        <v>2170162158</v>
      </c>
      <c r="Y25" s="222">
        <f t="shared" si="17"/>
        <v>0</v>
      </c>
      <c r="Z25" s="224">
        <f t="shared" ref="Z25:Z90" si="24">+IF(U25&gt;0,Y25/U25,0)</f>
        <v>0</v>
      </c>
      <c r="AA25" s="222">
        <v>2170162158</v>
      </c>
      <c r="AB25" s="222">
        <f t="shared" si="15"/>
        <v>0</v>
      </c>
      <c r="AC25" s="224">
        <f t="shared" si="7"/>
        <v>1</v>
      </c>
    </row>
    <row r="26" spans="1:29" ht="24.95" customHeight="1">
      <c r="A26" s="32" t="str">
        <f t="shared" si="5"/>
        <v>A-01-01-02-003=10</v>
      </c>
      <c r="B26" s="217" t="str">
        <f t="shared" si="22"/>
        <v>A-01-01-02-003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5555000000</v>
      </c>
      <c r="O26" s="222"/>
      <c r="P26" s="222"/>
      <c r="Q26" s="222"/>
      <c r="R26" s="222"/>
      <c r="S26" s="222"/>
      <c r="T26" s="222">
        <f t="shared" si="23"/>
        <v>5555000000</v>
      </c>
      <c r="U26" s="222">
        <v>2079680745</v>
      </c>
      <c r="V26" s="222">
        <f t="shared" si="14"/>
        <v>3475319255</v>
      </c>
      <c r="W26" s="224">
        <f t="shared" si="18"/>
        <v>0.37437997209720975</v>
      </c>
      <c r="X26" s="222">
        <v>2079680745</v>
      </c>
      <c r="Y26" s="222">
        <f t="shared" si="17"/>
        <v>0</v>
      </c>
      <c r="Z26" s="224">
        <f t="shared" si="24"/>
        <v>0</v>
      </c>
      <c r="AA26" s="222">
        <v>1643514318</v>
      </c>
      <c r="AB26" s="222">
        <f t="shared" si="15"/>
        <v>436166427</v>
      </c>
      <c r="AC26" s="224">
        <f t="shared" si="7"/>
        <v>0.79027241173981255</v>
      </c>
    </row>
    <row r="27" spans="1:29" ht="24.95" customHeight="1">
      <c r="A27" s="32" t="str">
        <f t="shared" si="5"/>
        <v>A-01-01-02-004=10</v>
      </c>
      <c r="B27" s="217" t="str">
        <f t="shared" si="22"/>
        <v>A-01-01-02-004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2500000000</v>
      </c>
      <c r="O27" s="222"/>
      <c r="P27" s="222"/>
      <c r="Q27" s="222"/>
      <c r="R27" s="222"/>
      <c r="S27" s="222"/>
      <c r="T27" s="222">
        <f t="shared" si="23"/>
        <v>2500000000</v>
      </c>
      <c r="U27" s="222">
        <v>1001497500</v>
      </c>
      <c r="V27" s="222">
        <f t="shared" si="14"/>
        <v>1498502500</v>
      </c>
      <c r="W27" s="224">
        <f t="shared" si="18"/>
        <v>0.40059899999999998</v>
      </c>
      <c r="X27" s="222">
        <v>1001497500</v>
      </c>
      <c r="Y27" s="222">
        <f t="shared" si="17"/>
        <v>0</v>
      </c>
      <c r="Z27" s="224">
        <f t="shared" si="24"/>
        <v>0</v>
      </c>
      <c r="AA27" s="222">
        <v>1001497500</v>
      </c>
      <c r="AB27" s="222">
        <f t="shared" si="15"/>
        <v>0</v>
      </c>
      <c r="AC27" s="224">
        <f t="shared" si="7"/>
        <v>1</v>
      </c>
    </row>
    <row r="28" spans="1:29" ht="24.95" customHeight="1">
      <c r="A28" s="32" t="str">
        <f t="shared" si="5"/>
        <v>A-01-01-02-005=10</v>
      </c>
      <c r="B28" s="217" t="str">
        <f t="shared" si="22"/>
        <v>A-01-01-02-005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500000000</v>
      </c>
      <c r="O28" s="222"/>
      <c r="P28" s="222"/>
      <c r="Q28" s="222"/>
      <c r="R28" s="222"/>
      <c r="S28" s="222"/>
      <c r="T28" s="222">
        <f t="shared" si="23"/>
        <v>500000000</v>
      </c>
      <c r="U28" s="222">
        <v>244073100</v>
      </c>
      <c r="V28" s="222">
        <f t="shared" si="14"/>
        <v>255926900</v>
      </c>
      <c r="W28" s="224">
        <f t="shared" si="18"/>
        <v>0.48814619999999997</v>
      </c>
      <c r="X28" s="222">
        <v>244073100</v>
      </c>
      <c r="Y28" s="222">
        <f t="shared" si="17"/>
        <v>0</v>
      </c>
      <c r="Z28" s="224">
        <f t="shared" si="24"/>
        <v>0</v>
      </c>
      <c r="AA28" s="222">
        <v>244073100</v>
      </c>
      <c r="AB28" s="222">
        <f t="shared" si="15"/>
        <v>0</v>
      </c>
      <c r="AC28" s="224">
        <f t="shared" si="7"/>
        <v>1</v>
      </c>
    </row>
    <row r="29" spans="1:29" ht="24.95" customHeight="1">
      <c r="A29" s="32" t="str">
        <f t="shared" si="5"/>
        <v>A-01-01-02-006=10</v>
      </c>
      <c r="B29" s="217" t="str">
        <f t="shared" si="22"/>
        <v>A-01-01-02-006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/>
      <c r="P29" s="222"/>
      <c r="Q29" s="222"/>
      <c r="R29" s="222"/>
      <c r="S29" s="222"/>
      <c r="T29" s="222">
        <f t="shared" si="23"/>
        <v>1890000000</v>
      </c>
      <c r="U29" s="222">
        <v>751238800</v>
      </c>
      <c r="V29" s="222">
        <f t="shared" si="14"/>
        <v>1138761200</v>
      </c>
      <c r="W29" s="224">
        <f t="shared" si="18"/>
        <v>0.39748084656084653</v>
      </c>
      <c r="X29" s="222">
        <v>751238800</v>
      </c>
      <c r="Y29" s="222">
        <f t="shared" si="17"/>
        <v>0</v>
      </c>
      <c r="Z29" s="224">
        <f t="shared" si="24"/>
        <v>0</v>
      </c>
      <c r="AA29" s="222">
        <v>751238800</v>
      </c>
      <c r="AB29" s="222">
        <f t="shared" si="15"/>
        <v>0</v>
      </c>
      <c r="AC29" s="224">
        <f t="shared" si="7"/>
        <v>1</v>
      </c>
    </row>
    <row r="30" spans="1:29" ht="24.95" customHeight="1">
      <c r="A30" s="32" t="str">
        <f t="shared" si="5"/>
        <v>A-01-01-02-007=10</v>
      </c>
      <c r="B30" s="217" t="str">
        <f t="shared" si="22"/>
        <v>A-01-01-02-007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/>
      <c r="P30" s="222"/>
      <c r="Q30" s="222"/>
      <c r="R30" s="222"/>
      <c r="S30" s="222"/>
      <c r="T30" s="222">
        <f t="shared" si="23"/>
        <v>320000000</v>
      </c>
      <c r="U30" s="222">
        <v>125446200</v>
      </c>
      <c r="V30" s="222">
        <f t="shared" si="14"/>
        <v>194553800</v>
      </c>
      <c r="W30" s="224">
        <f t="shared" si="18"/>
        <v>0.392019375</v>
      </c>
      <c r="X30" s="222">
        <v>125446200</v>
      </c>
      <c r="Y30" s="222">
        <f t="shared" si="17"/>
        <v>0</v>
      </c>
      <c r="Z30" s="224">
        <f t="shared" si="24"/>
        <v>0</v>
      </c>
      <c r="AA30" s="222">
        <v>125446200</v>
      </c>
      <c r="AB30" s="222">
        <f t="shared" si="15"/>
        <v>0</v>
      </c>
      <c r="AC30" s="224">
        <f t="shared" si="7"/>
        <v>1</v>
      </c>
    </row>
    <row r="31" spans="1:29" ht="24.95" customHeight="1">
      <c r="A31" s="32" t="str">
        <f t="shared" si="5"/>
        <v>A-01-01-02-008=10</v>
      </c>
      <c r="B31" s="217" t="str">
        <f t="shared" si="22"/>
        <v>A-01-01-02-008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/>
      <c r="P31" s="222"/>
      <c r="Q31" s="222"/>
      <c r="R31" s="222"/>
      <c r="S31" s="222"/>
      <c r="T31" s="222">
        <f t="shared" si="23"/>
        <v>320000000</v>
      </c>
      <c r="U31" s="222">
        <v>125446200</v>
      </c>
      <c r="V31" s="222">
        <f t="shared" si="14"/>
        <v>194553800</v>
      </c>
      <c r="W31" s="224">
        <f t="shared" si="18"/>
        <v>0.392019375</v>
      </c>
      <c r="X31" s="222">
        <v>125446200</v>
      </c>
      <c r="Y31" s="222">
        <f t="shared" si="17"/>
        <v>0</v>
      </c>
      <c r="Z31" s="224">
        <f t="shared" si="24"/>
        <v>0</v>
      </c>
      <c r="AA31" s="222">
        <v>125446200</v>
      </c>
      <c r="AB31" s="222">
        <f t="shared" si="15"/>
        <v>0</v>
      </c>
      <c r="AC31" s="224">
        <f t="shared" si="7"/>
        <v>1</v>
      </c>
    </row>
    <row r="32" spans="1:29" ht="24.95" customHeight="1">
      <c r="A32" s="32" t="str">
        <f t="shared" si="5"/>
        <v>A-01-01-02-009=10</v>
      </c>
      <c r="B32" s="217" t="str">
        <f t="shared" si="22"/>
        <v>A-01-01-02-009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/>
      <c r="P32" s="222"/>
      <c r="Q32" s="222"/>
      <c r="R32" s="222"/>
      <c r="S32" s="222"/>
      <c r="T32" s="222">
        <f t="shared" si="23"/>
        <v>650000000</v>
      </c>
      <c r="U32" s="222">
        <v>250627500</v>
      </c>
      <c r="V32" s="222">
        <f t="shared" si="14"/>
        <v>399372500</v>
      </c>
      <c r="W32" s="224">
        <f t="shared" si="18"/>
        <v>0.38558076923076923</v>
      </c>
      <c r="X32" s="222">
        <v>250627500</v>
      </c>
      <c r="Y32" s="222">
        <f t="shared" si="17"/>
        <v>0</v>
      </c>
      <c r="Z32" s="224">
        <f t="shared" si="24"/>
        <v>0</v>
      </c>
      <c r="AA32" s="222">
        <v>250627500</v>
      </c>
      <c r="AB32" s="222">
        <f t="shared" si="15"/>
        <v>0</v>
      </c>
      <c r="AC32" s="224">
        <f t="shared" si="7"/>
        <v>1</v>
      </c>
    </row>
    <row r="33" spans="1:29" ht="24.95" customHeight="1">
      <c r="A33" s="32" t="str">
        <f t="shared" si="5"/>
        <v>A-01-01-03=10</v>
      </c>
      <c r="B33" s="226" t="str">
        <f>CONCATENATE(C33,"-",D33,"-",E33,"-",F33)</f>
        <v>A-01-01-03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f>+N34+N38+N39+N40+N41+N42</f>
        <v>6984000000</v>
      </c>
      <c r="O33" s="232">
        <f t="shared" ref="O33:AB33" si="25">+O34+O38+O39+O40+O41+O42</f>
        <v>0</v>
      </c>
      <c r="P33" s="232">
        <f t="shared" si="25"/>
        <v>0</v>
      </c>
      <c r="Q33" s="232">
        <f t="shared" si="25"/>
        <v>0</v>
      </c>
      <c r="R33" s="232">
        <f t="shared" si="25"/>
        <v>0</v>
      </c>
      <c r="S33" s="232">
        <f t="shared" si="25"/>
        <v>0</v>
      </c>
      <c r="T33" s="232">
        <f t="shared" si="25"/>
        <v>6984000000</v>
      </c>
      <c r="U33" s="232">
        <f t="shared" si="25"/>
        <v>2306309270</v>
      </c>
      <c r="V33" s="232">
        <f t="shared" si="25"/>
        <v>4677690730</v>
      </c>
      <c r="W33" s="233">
        <f t="shared" si="18"/>
        <v>0.33022755870561282</v>
      </c>
      <c r="X33" s="232">
        <f t="shared" si="25"/>
        <v>2305989203</v>
      </c>
      <c r="Y33" s="232">
        <f t="shared" si="25"/>
        <v>320067</v>
      </c>
      <c r="Z33" s="233">
        <f t="shared" si="24"/>
        <v>1.3877887244497785E-4</v>
      </c>
      <c r="AA33" s="232">
        <f t="shared" si="25"/>
        <v>2305989203</v>
      </c>
      <c r="AB33" s="232">
        <f t="shared" si="25"/>
        <v>0</v>
      </c>
      <c r="AC33" s="233">
        <f t="shared" si="7"/>
        <v>0.99986122112755504</v>
      </c>
    </row>
    <row r="34" spans="1:29" ht="24.95" customHeight="1">
      <c r="A34" s="32" t="str">
        <f t="shared" si="5"/>
        <v>A-01-01-03-001=10</v>
      </c>
      <c r="B34" s="210" t="str">
        <f>CONCATENATE(C34,"-",D34,"-",E34,"-",F34,"-",G34)</f>
        <v>A-01-01-03-001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f>SUM(N35:N37)</f>
        <v>3400000000</v>
      </c>
      <c r="O34" s="215">
        <f t="shared" ref="O34:S34" si="26">SUM(O35:O37)</f>
        <v>0</v>
      </c>
      <c r="P34" s="215">
        <f t="shared" si="26"/>
        <v>0</v>
      </c>
      <c r="Q34" s="215">
        <f>SUM(Q35:Q37)</f>
        <v>0</v>
      </c>
      <c r="R34" s="215">
        <f t="shared" si="26"/>
        <v>0</v>
      </c>
      <c r="S34" s="215">
        <f t="shared" si="26"/>
        <v>0</v>
      </c>
      <c r="T34" s="215">
        <f>SUM(T35:T37)</f>
        <v>3400000000</v>
      </c>
      <c r="U34" s="215">
        <f t="shared" ref="U34:AB34" si="27">SUM(U35:U37)</f>
        <v>1048834706</v>
      </c>
      <c r="V34" s="215">
        <f t="shared" si="27"/>
        <v>2351165294</v>
      </c>
      <c r="W34" s="216">
        <f t="shared" si="18"/>
        <v>0.30848079588235294</v>
      </c>
      <c r="X34" s="215">
        <f t="shared" si="27"/>
        <v>1048834706</v>
      </c>
      <c r="Y34" s="215">
        <f t="shared" si="27"/>
        <v>0</v>
      </c>
      <c r="Z34" s="216">
        <f t="shared" si="24"/>
        <v>0</v>
      </c>
      <c r="AA34" s="215">
        <f t="shared" si="27"/>
        <v>1048834706</v>
      </c>
      <c r="AB34" s="215">
        <f t="shared" si="27"/>
        <v>0</v>
      </c>
      <c r="AC34" s="216">
        <f t="shared" si="7"/>
        <v>1</v>
      </c>
    </row>
    <row r="35" spans="1:29" ht="24.95" customHeight="1">
      <c r="A35" s="32" t="str">
        <f t="shared" si="5"/>
        <v>A-01-01-03-001-001=10</v>
      </c>
      <c r="B35" s="217" t="str">
        <f>CONCATENATE(C35,"-",D35,"-",E35,"-",F35,"-",G35,"-",H35)</f>
        <v>A-01-01-03-001-001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2580000000</v>
      </c>
      <c r="O35" s="222"/>
      <c r="P35" s="222"/>
      <c r="Q35" s="223"/>
      <c r="R35" s="222"/>
      <c r="S35" s="222"/>
      <c r="T35" s="222">
        <f t="shared" ref="T35:T42" si="28">+N35-S35+O35-P35+Q35-R35</f>
        <v>2580000000</v>
      </c>
      <c r="U35" s="222">
        <v>862815463</v>
      </c>
      <c r="V35" s="222">
        <f t="shared" si="14"/>
        <v>1717184537</v>
      </c>
      <c r="W35" s="224">
        <f t="shared" si="18"/>
        <v>0.33442459806201552</v>
      </c>
      <c r="X35" s="222">
        <v>862815463</v>
      </c>
      <c r="Y35" s="222">
        <f t="shared" si="17"/>
        <v>0</v>
      </c>
      <c r="Z35" s="224">
        <f t="shared" si="24"/>
        <v>0</v>
      </c>
      <c r="AA35" s="222">
        <v>862815463</v>
      </c>
      <c r="AB35" s="222">
        <f t="shared" si="15"/>
        <v>0</v>
      </c>
      <c r="AC35" s="224">
        <f t="shared" si="7"/>
        <v>1</v>
      </c>
    </row>
    <row r="36" spans="1:29" ht="24.95" customHeight="1">
      <c r="A36" s="32" t="str">
        <f t="shared" si="5"/>
        <v>A-01-01-03-001-002=10</v>
      </c>
      <c r="B36" s="217" t="str">
        <f>CONCATENATE(C36,"-",D36,"-",E36,"-",F36,"-",G36,"-",H36)</f>
        <v>A-01-01-03-001-002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500000000</v>
      </c>
      <c r="O36" s="222"/>
      <c r="P36" s="222"/>
      <c r="Q36" s="223"/>
      <c r="R36" s="222"/>
      <c r="S36" s="222"/>
      <c r="T36" s="222">
        <f t="shared" si="28"/>
        <v>500000000</v>
      </c>
      <c r="U36" s="222">
        <v>106116763</v>
      </c>
      <c r="V36" s="222">
        <f t="shared" si="14"/>
        <v>393883237</v>
      </c>
      <c r="W36" s="224">
        <f t="shared" si="18"/>
        <v>0.21223352600000001</v>
      </c>
      <c r="X36" s="222">
        <v>106116763</v>
      </c>
      <c r="Y36" s="222">
        <f t="shared" si="17"/>
        <v>0</v>
      </c>
      <c r="Z36" s="224">
        <f t="shared" si="24"/>
        <v>0</v>
      </c>
      <c r="AA36" s="222">
        <v>106116763</v>
      </c>
      <c r="AB36" s="222">
        <f t="shared" si="15"/>
        <v>0</v>
      </c>
      <c r="AC36" s="224">
        <f t="shared" si="7"/>
        <v>1</v>
      </c>
    </row>
    <row r="37" spans="1:29" ht="24.95" customHeight="1">
      <c r="A37" s="32" t="str">
        <f t="shared" si="5"/>
        <v>A-01-01-03-001-003=10</v>
      </c>
      <c r="B37" s="234" t="str">
        <f>CONCATENATE(C37,"-",D37,"-",E37,"-",F37,"-",G37,"-",H37)</f>
        <v>A-01-01-03-001-003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320000000</v>
      </c>
      <c r="O37" s="239"/>
      <c r="P37" s="239"/>
      <c r="Q37" s="639"/>
      <c r="R37" s="239"/>
      <c r="S37" s="239"/>
      <c r="T37" s="239">
        <f t="shared" si="28"/>
        <v>320000000</v>
      </c>
      <c r="U37" s="239">
        <v>79902480</v>
      </c>
      <c r="V37" s="239">
        <f t="shared" si="14"/>
        <v>240097520</v>
      </c>
      <c r="W37" s="240">
        <f t="shared" si="18"/>
        <v>0.24969525000000001</v>
      </c>
      <c r="X37" s="239">
        <v>79902480</v>
      </c>
      <c r="Y37" s="239">
        <f t="shared" si="17"/>
        <v>0</v>
      </c>
      <c r="Z37" s="240">
        <f t="shared" si="24"/>
        <v>0</v>
      </c>
      <c r="AA37" s="239">
        <v>79902480</v>
      </c>
      <c r="AB37" s="239">
        <f t="shared" si="15"/>
        <v>0</v>
      </c>
      <c r="AC37" s="240">
        <f t="shared" si="7"/>
        <v>1</v>
      </c>
    </row>
    <row r="38" spans="1:29" ht="24.95" customHeight="1">
      <c r="A38" s="32" t="str">
        <f t="shared" si="5"/>
        <v>A-01-01-03-002=10</v>
      </c>
      <c r="B38" s="217" t="str">
        <f t="shared" ref="B38:B42" si="29">CONCATENATE(C38,"-",D38,"-",E38,"-",F38,"-",G38)</f>
        <v>A-01-01-03-002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/>
      <c r="P38" s="222"/>
      <c r="Q38" s="223"/>
      <c r="R38" s="223"/>
      <c r="S38" s="223"/>
      <c r="T38" s="222">
        <f t="shared" si="28"/>
        <v>2160000000</v>
      </c>
      <c r="U38" s="222">
        <v>908377025</v>
      </c>
      <c r="V38" s="222">
        <f t="shared" si="14"/>
        <v>1251622975</v>
      </c>
      <c r="W38" s="224">
        <f t="shared" si="18"/>
        <v>0.4205449189814815</v>
      </c>
      <c r="X38" s="222">
        <v>908377025</v>
      </c>
      <c r="Y38" s="222">
        <f t="shared" si="17"/>
        <v>0</v>
      </c>
      <c r="Z38" s="224">
        <f t="shared" si="24"/>
        <v>0</v>
      </c>
      <c r="AA38" s="222">
        <v>908377025</v>
      </c>
      <c r="AB38" s="222">
        <f t="shared" si="15"/>
        <v>0</v>
      </c>
      <c r="AC38" s="224">
        <f t="shared" si="7"/>
        <v>1</v>
      </c>
    </row>
    <row r="39" spans="1:29" ht="24.95" customHeight="1">
      <c r="A39" s="32" t="str">
        <f t="shared" si="5"/>
        <v>A-01-01-03-005=10</v>
      </c>
      <c r="B39" s="217" t="str">
        <f t="shared" si="29"/>
        <v>A-01-01-03-005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24000000</v>
      </c>
      <c r="O39" s="222"/>
      <c r="P39" s="222"/>
      <c r="Q39" s="223"/>
      <c r="R39" s="223"/>
      <c r="S39" s="223"/>
      <c r="T39" s="222">
        <f t="shared" si="28"/>
        <v>24000000</v>
      </c>
      <c r="U39" s="222">
        <v>1742255</v>
      </c>
      <c r="V39" s="222">
        <f t="shared" si="14"/>
        <v>22257745</v>
      </c>
      <c r="W39" s="224">
        <f t="shared" si="18"/>
        <v>7.2593958333333333E-2</v>
      </c>
      <c r="X39" s="222">
        <v>1742255</v>
      </c>
      <c r="Y39" s="222">
        <f t="shared" si="17"/>
        <v>0</v>
      </c>
      <c r="Z39" s="224">
        <f t="shared" si="24"/>
        <v>0</v>
      </c>
      <c r="AA39" s="222">
        <v>1742255</v>
      </c>
      <c r="AB39" s="222">
        <f t="shared" si="15"/>
        <v>0</v>
      </c>
      <c r="AC39" s="224">
        <f t="shared" si="7"/>
        <v>1</v>
      </c>
    </row>
    <row r="40" spans="1:29" ht="24.95" customHeight="1">
      <c r="A40" s="32" t="str">
        <f t="shared" si="5"/>
        <v>A-01-01-03-013=10</v>
      </c>
      <c r="B40" s="217" t="str">
        <f t="shared" si="29"/>
        <v>A-01-01-03-013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/>
      <c r="P40" s="222"/>
      <c r="Q40" s="223"/>
      <c r="R40" s="223"/>
      <c r="S40" s="223"/>
      <c r="T40" s="222">
        <f t="shared" si="28"/>
        <v>30000000</v>
      </c>
      <c r="U40" s="222">
        <v>0</v>
      </c>
      <c r="V40" s="222">
        <f t="shared" si="14"/>
        <v>30000000</v>
      </c>
      <c r="W40" s="224">
        <f t="shared" si="18"/>
        <v>0</v>
      </c>
      <c r="X40" s="222">
        <v>0</v>
      </c>
      <c r="Y40" s="222">
        <f t="shared" si="17"/>
        <v>0</v>
      </c>
      <c r="Z40" s="224">
        <f t="shared" si="24"/>
        <v>0</v>
      </c>
      <c r="AA40" s="222">
        <v>0</v>
      </c>
      <c r="AB40" s="222">
        <f t="shared" si="15"/>
        <v>0</v>
      </c>
      <c r="AC40" s="224">
        <f t="shared" si="7"/>
        <v>0</v>
      </c>
    </row>
    <row r="41" spans="1:29" ht="24.95" customHeight="1">
      <c r="A41" s="32" t="str">
        <f t="shared" si="5"/>
        <v>A-01-01-03-016=10</v>
      </c>
      <c r="B41" s="217" t="str">
        <f t="shared" si="29"/>
        <v>A-01-01-03-016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770000000</v>
      </c>
      <c r="O41" s="222"/>
      <c r="P41" s="222"/>
      <c r="Q41" s="223"/>
      <c r="R41" s="223"/>
      <c r="S41" s="223"/>
      <c r="T41" s="222">
        <f t="shared" si="28"/>
        <v>770000000</v>
      </c>
      <c r="U41" s="222">
        <v>341607614</v>
      </c>
      <c r="V41" s="222">
        <f t="shared" si="14"/>
        <v>428392386</v>
      </c>
      <c r="W41" s="224">
        <f t="shared" si="18"/>
        <v>0.44364625194805196</v>
      </c>
      <c r="X41" s="222">
        <v>341287547</v>
      </c>
      <c r="Y41" s="222">
        <f t="shared" si="17"/>
        <v>320067</v>
      </c>
      <c r="Z41" s="224">
        <f t="shared" si="24"/>
        <v>9.369434019699573E-4</v>
      </c>
      <c r="AA41" s="222">
        <v>341287547</v>
      </c>
      <c r="AB41" s="222">
        <f t="shared" si="15"/>
        <v>0</v>
      </c>
      <c r="AC41" s="224">
        <f t="shared" si="7"/>
        <v>0.99906305659803007</v>
      </c>
    </row>
    <row r="42" spans="1:29" ht="24.95" customHeight="1">
      <c r="A42" s="32" t="str">
        <f t="shared" si="5"/>
        <v>A-01-01-03-030=10</v>
      </c>
      <c r="B42" s="217" t="str">
        <f t="shared" si="29"/>
        <v>A-01-01-03-030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600000000</v>
      </c>
      <c r="O42" s="222"/>
      <c r="P42" s="222"/>
      <c r="Q42" s="223"/>
      <c r="R42" s="223"/>
      <c r="S42" s="223"/>
      <c r="T42" s="222">
        <f t="shared" si="28"/>
        <v>600000000</v>
      </c>
      <c r="U42" s="222">
        <v>5747670</v>
      </c>
      <c r="V42" s="222">
        <f t="shared" si="14"/>
        <v>594252330</v>
      </c>
      <c r="W42" s="224">
        <f t="shared" si="18"/>
        <v>9.5794499999999998E-3</v>
      </c>
      <c r="X42" s="222">
        <v>5747670</v>
      </c>
      <c r="Y42" s="222">
        <f t="shared" si="17"/>
        <v>0</v>
      </c>
      <c r="Z42" s="224">
        <f t="shared" si="24"/>
        <v>0</v>
      </c>
      <c r="AA42" s="222">
        <v>5747670</v>
      </c>
      <c r="AB42" s="222">
        <f t="shared" si="15"/>
        <v>0</v>
      </c>
      <c r="AC42" s="224">
        <f t="shared" si="7"/>
        <v>1</v>
      </c>
    </row>
    <row r="43" spans="1:29" ht="35.1" customHeight="1">
      <c r="A43" s="32" t="str">
        <f t="shared" si="5"/>
        <v>A-02=</v>
      </c>
      <c r="B43" s="188" t="str">
        <f>CONCATENATE(C43,"-",D43)</f>
        <v>A-02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f>+N44</f>
        <v>42289000000</v>
      </c>
      <c r="O43" s="194">
        <f t="shared" ref="O43:V43" si="30">+O44</f>
        <v>0</v>
      </c>
      <c r="P43" s="194">
        <f t="shared" si="30"/>
        <v>0</v>
      </c>
      <c r="Q43" s="194">
        <f t="shared" si="30"/>
        <v>2800139303.1499996</v>
      </c>
      <c r="R43" s="194">
        <f t="shared" si="30"/>
        <v>2800139303.1500001</v>
      </c>
      <c r="S43" s="194">
        <f t="shared" si="30"/>
        <v>0</v>
      </c>
      <c r="T43" s="194">
        <f t="shared" si="30"/>
        <v>42289000000</v>
      </c>
      <c r="U43" s="194">
        <f t="shared" si="30"/>
        <v>31774735608.900002</v>
      </c>
      <c r="V43" s="194">
        <f t="shared" si="30"/>
        <v>10514264391.1</v>
      </c>
      <c r="W43" s="195">
        <f t="shared" si="18"/>
        <v>0.75137117474757031</v>
      </c>
      <c r="X43" s="194">
        <f t="shared" ref="X43:Y43" si="31">+X44</f>
        <v>13532528038.24</v>
      </c>
      <c r="Y43" s="194">
        <f t="shared" si="31"/>
        <v>18242207570.660004</v>
      </c>
      <c r="Z43" s="195">
        <f t="shared" si="24"/>
        <v>0.57411044407086809</v>
      </c>
      <c r="AA43" s="194">
        <f t="shared" ref="AA43:AB43" si="32">+AA44</f>
        <v>13148350836.24</v>
      </c>
      <c r="AB43" s="194">
        <f t="shared" si="32"/>
        <v>384177201.99999994</v>
      </c>
      <c r="AC43" s="195">
        <f t="shared" si="7"/>
        <v>0.41379890608931419</v>
      </c>
    </row>
    <row r="44" spans="1:29" ht="24.95" customHeight="1">
      <c r="A44" s="32" t="str">
        <f t="shared" si="5"/>
        <v>A-02-02=</v>
      </c>
      <c r="B44" s="196" t="str">
        <f>CONCATENATE(C44,"-",D44,"-",E44)</f>
        <v>A-02-02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f t="shared" ref="N44:V44" si="33">+N45+N63</f>
        <v>42289000000</v>
      </c>
      <c r="O44" s="201">
        <f t="shared" si="33"/>
        <v>0</v>
      </c>
      <c r="P44" s="201">
        <f t="shared" si="33"/>
        <v>0</v>
      </c>
      <c r="Q44" s="201">
        <f t="shared" si="33"/>
        <v>2800139303.1499996</v>
      </c>
      <c r="R44" s="201">
        <f t="shared" si="33"/>
        <v>2800139303.1500001</v>
      </c>
      <c r="S44" s="201">
        <f t="shared" si="33"/>
        <v>0</v>
      </c>
      <c r="T44" s="201">
        <f t="shared" si="33"/>
        <v>42289000000</v>
      </c>
      <c r="U44" s="201">
        <f t="shared" si="33"/>
        <v>31774735608.900002</v>
      </c>
      <c r="V44" s="201">
        <f t="shared" si="33"/>
        <v>10514264391.1</v>
      </c>
      <c r="W44" s="202">
        <f t="shared" si="18"/>
        <v>0.75137117474757031</v>
      </c>
      <c r="X44" s="201">
        <f t="shared" ref="X44:Y44" si="34">+X45+X63</f>
        <v>13532528038.24</v>
      </c>
      <c r="Y44" s="201">
        <f t="shared" si="34"/>
        <v>18242207570.660004</v>
      </c>
      <c r="Z44" s="202">
        <f t="shared" si="24"/>
        <v>0.57411044407086809</v>
      </c>
      <c r="AA44" s="201">
        <f t="shared" ref="AA44:AB44" si="35">+AA45+AA63</f>
        <v>13148350836.24</v>
      </c>
      <c r="AB44" s="201">
        <f t="shared" si="35"/>
        <v>384177201.99999994</v>
      </c>
      <c r="AC44" s="202">
        <f t="shared" si="7"/>
        <v>0.41379890608931419</v>
      </c>
    </row>
    <row r="45" spans="1:29" ht="24.95" customHeight="1">
      <c r="A45" s="32" t="str">
        <f t="shared" si="5"/>
        <v>A-02-02-01=10</v>
      </c>
      <c r="B45" s="203" t="str">
        <f>CONCATENATE(C45,"-",D45,"-",E45,"-",F45)</f>
        <v>A-02-02-01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f>+N46+N49+N51+N58</f>
        <v>862264202</v>
      </c>
      <c r="O45" s="208">
        <f t="shared" ref="O45:V45" si="36">+O46+O49+O51+O58</f>
        <v>0</v>
      </c>
      <c r="P45" s="208">
        <f t="shared" si="36"/>
        <v>0</v>
      </c>
      <c r="Q45" s="208">
        <f t="shared" si="36"/>
        <v>187587945</v>
      </c>
      <c r="R45" s="208">
        <f t="shared" si="36"/>
        <v>155435566</v>
      </c>
      <c r="S45" s="208">
        <f t="shared" si="36"/>
        <v>0</v>
      </c>
      <c r="T45" s="208">
        <f t="shared" si="36"/>
        <v>894416581</v>
      </c>
      <c r="U45" s="208">
        <f t="shared" si="36"/>
        <v>213767243.57999998</v>
      </c>
      <c r="V45" s="208">
        <f t="shared" si="36"/>
        <v>680649337.42000008</v>
      </c>
      <c r="W45" s="209">
        <f t="shared" si="18"/>
        <v>0.23900187912549442</v>
      </c>
      <c r="X45" s="208">
        <f t="shared" ref="X45:Y45" si="37">+X46+X49+X51+X58</f>
        <v>60081182</v>
      </c>
      <c r="Y45" s="208">
        <f t="shared" si="37"/>
        <v>153686061.57999998</v>
      </c>
      <c r="Z45" s="209">
        <f t="shared" si="24"/>
        <v>0.71894112028667623</v>
      </c>
      <c r="AA45" s="208">
        <f t="shared" ref="AA45:AB45" si="38">+AA46+AA49+AA51+AA58</f>
        <v>60081182</v>
      </c>
      <c r="AB45" s="208">
        <f t="shared" si="38"/>
        <v>0</v>
      </c>
      <c r="AC45" s="209">
        <f t="shared" si="7"/>
        <v>0.28105887971332377</v>
      </c>
    </row>
    <row r="46" spans="1:29" ht="24.95" customHeight="1">
      <c r="A46" s="32" t="str">
        <f t="shared" si="5"/>
        <v>A-02-02-01-001=10</v>
      </c>
      <c r="B46" s="210" t="str">
        <f>CONCATENATE(C46,"-",D46,"-",E46,"-",F46,"-",G46)</f>
        <v>A-02-02-01-001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f>SUM(N47:N48)</f>
        <v>69000000</v>
      </c>
      <c r="O46" s="215">
        <f t="shared" ref="O46:V46" si="39">SUM(O47:O48)</f>
        <v>0</v>
      </c>
      <c r="P46" s="215">
        <f t="shared" si="39"/>
        <v>0</v>
      </c>
      <c r="Q46" s="215">
        <f t="shared" si="39"/>
        <v>0</v>
      </c>
      <c r="R46" s="215">
        <f t="shared" si="39"/>
        <v>10000000</v>
      </c>
      <c r="S46" s="215">
        <f t="shared" si="39"/>
        <v>0</v>
      </c>
      <c r="T46" s="215">
        <f t="shared" si="39"/>
        <v>59000000</v>
      </c>
      <c r="U46" s="215">
        <f t="shared" si="39"/>
        <v>7432471</v>
      </c>
      <c r="V46" s="215">
        <f t="shared" si="39"/>
        <v>51567529</v>
      </c>
      <c r="W46" s="216">
        <f t="shared" si="18"/>
        <v>0.12597408474576272</v>
      </c>
      <c r="X46" s="215">
        <f t="shared" ref="X46:Y46" si="40">SUM(X47:X48)</f>
        <v>0</v>
      </c>
      <c r="Y46" s="215">
        <f t="shared" si="40"/>
        <v>7432471</v>
      </c>
      <c r="Z46" s="216">
        <f t="shared" si="24"/>
        <v>1</v>
      </c>
      <c r="AA46" s="215">
        <f t="shared" ref="AA46:AB46" si="41">SUM(AA47:AA48)</f>
        <v>0</v>
      </c>
      <c r="AB46" s="215">
        <f t="shared" si="41"/>
        <v>0</v>
      </c>
      <c r="AC46" s="216">
        <f t="shared" si="7"/>
        <v>0</v>
      </c>
    </row>
    <row r="47" spans="1:29" ht="24.95" customHeight="1">
      <c r="A47" s="32" t="str">
        <f t="shared" si="5"/>
        <v>A-02-02-01-001-005=10</v>
      </c>
      <c r="B47" s="217" t="str">
        <f>CONCATENATE(C47,"-",D47,"-",E47,"-",F47,"-",G47,"-",H47)</f>
        <v>A-02-02-01-001-005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51000000</v>
      </c>
      <c r="O47" s="222"/>
      <c r="P47" s="222"/>
      <c r="Q47" s="222"/>
      <c r="R47" s="223">
        <v>10000000</v>
      </c>
      <c r="S47" s="223"/>
      <c r="T47" s="222">
        <f>+N47-S47+O47-P47+Q47-R47</f>
        <v>41000000</v>
      </c>
      <c r="U47" s="222">
        <v>0</v>
      </c>
      <c r="V47" s="222">
        <f t="shared" si="14"/>
        <v>41000000</v>
      </c>
      <c r="W47" s="224">
        <f t="shared" si="18"/>
        <v>0</v>
      </c>
      <c r="X47" s="222">
        <v>0</v>
      </c>
      <c r="Y47" s="222">
        <f t="shared" ref="Y47:Y48" si="42">+U47-X47</f>
        <v>0</v>
      </c>
      <c r="Z47" s="224">
        <f t="shared" si="24"/>
        <v>0</v>
      </c>
      <c r="AA47" s="222">
        <v>0</v>
      </c>
      <c r="AB47" s="222">
        <f t="shared" si="15"/>
        <v>0</v>
      </c>
      <c r="AC47" s="224">
        <f t="shared" si="7"/>
        <v>0</v>
      </c>
    </row>
    <row r="48" spans="1:29" ht="24.95" customHeight="1">
      <c r="A48" s="32" t="str">
        <f t="shared" si="5"/>
        <v>A-02-02-01-001-007=10</v>
      </c>
      <c r="B48" s="217" t="str">
        <f>CONCATENATE(C48,"-",D48,"-",E48,"-",F48,"-",G48,"-",H48)</f>
        <v>A-02-02-01-001-007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18000000</v>
      </c>
      <c r="O48" s="222"/>
      <c r="P48" s="222"/>
      <c r="Q48" s="222"/>
      <c r="R48" s="223"/>
      <c r="S48" s="223"/>
      <c r="T48" s="222">
        <f>+N48-S48+O48-P48+Q48-R48</f>
        <v>18000000</v>
      </c>
      <c r="U48" s="222">
        <v>7432471</v>
      </c>
      <c r="V48" s="222">
        <f t="shared" si="14"/>
        <v>10567529</v>
      </c>
      <c r="W48" s="224">
        <f t="shared" si="18"/>
        <v>0.41291505555555558</v>
      </c>
      <c r="X48" s="222">
        <v>0</v>
      </c>
      <c r="Y48" s="222">
        <f t="shared" si="42"/>
        <v>7432471</v>
      </c>
      <c r="Z48" s="224">
        <f t="shared" si="24"/>
        <v>1</v>
      </c>
      <c r="AA48" s="222">
        <v>0</v>
      </c>
      <c r="AB48" s="222">
        <f t="shared" si="15"/>
        <v>0</v>
      </c>
      <c r="AC48" s="224">
        <f t="shared" si="7"/>
        <v>0</v>
      </c>
    </row>
    <row r="49" spans="1:52" ht="33">
      <c r="A49" s="32" t="str">
        <f t="shared" si="5"/>
        <v>A-02-02-01-002=10</v>
      </c>
      <c r="B49" s="210" t="str">
        <f>CONCATENATE(C49,"-",D49,"-",E49,"-",F49,"-",G49)</f>
        <v>A-02-02-01-002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f>SUM(N50:N50)</f>
        <v>140000000</v>
      </c>
      <c r="O49" s="215">
        <f t="shared" ref="O49:AB49" si="43">SUM(O50:O50)</f>
        <v>0</v>
      </c>
      <c r="P49" s="215">
        <f t="shared" si="43"/>
        <v>0</v>
      </c>
      <c r="Q49" s="215">
        <f t="shared" si="43"/>
        <v>0</v>
      </c>
      <c r="R49" s="215">
        <f t="shared" si="43"/>
        <v>0</v>
      </c>
      <c r="S49" s="215">
        <f t="shared" si="43"/>
        <v>0</v>
      </c>
      <c r="T49" s="215">
        <f t="shared" si="43"/>
        <v>140000000</v>
      </c>
      <c r="U49" s="215">
        <f t="shared" si="43"/>
        <v>0</v>
      </c>
      <c r="V49" s="215">
        <f t="shared" si="43"/>
        <v>140000000</v>
      </c>
      <c r="W49" s="216">
        <f t="shared" si="18"/>
        <v>0</v>
      </c>
      <c r="X49" s="215">
        <f t="shared" si="43"/>
        <v>0</v>
      </c>
      <c r="Y49" s="215">
        <f t="shared" si="43"/>
        <v>0</v>
      </c>
      <c r="Z49" s="216">
        <f t="shared" si="24"/>
        <v>0</v>
      </c>
      <c r="AA49" s="215">
        <f t="shared" si="43"/>
        <v>0</v>
      </c>
      <c r="AB49" s="215">
        <f t="shared" si="43"/>
        <v>0</v>
      </c>
      <c r="AC49" s="216">
        <f t="shared" si="7"/>
        <v>0</v>
      </c>
    </row>
    <row r="50" spans="1:52" ht="24.95" customHeight="1">
      <c r="A50" s="32" t="str">
        <f t="shared" si="5"/>
        <v>A-02-02-01-002-008=10</v>
      </c>
      <c r="B50" s="217" t="str">
        <f>CONCATENATE(C50,"-",D50,"-",E50,"-",F50,"-",G50,"-",H50)</f>
        <v>A-02-02-01-002-008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140000000</v>
      </c>
      <c r="O50" s="222"/>
      <c r="P50" s="222"/>
      <c r="Q50" s="222"/>
      <c r="R50" s="223"/>
      <c r="S50" s="223"/>
      <c r="T50" s="222">
        <f>+N50-S50+O50-P50+Q50-R50</f>
        <v>140000000</v>
      </c>
      <c r="U50" s="222">
        <v>0</v>
      </c>
      <c r="V50" s="222">
        <f t="shared" si="14"/>
        <v>140000000</v>
      </c>
      <c r="W50" s="224">
        <f t="shared" si="18"/>
        <v>0</v>
      </c>
      <c r="X50" s="222">
        <v>0</v>
      </c>
      <c r="Y50" s="222">
        <f t="shared" si="17"/>
        <v>0</v>
      </c>
      <c r="Z50" s="224">
        <f t="shared" si="24"/>
        <v>0</v>
      </c>
      <c r="AA50" s="222">
        <v>0</v>
      </c>
      <c r="AB50" s="222">
        <f t="shared" si="15"/>
        <v>0</v>
      </c>
      <c r="AC50" s="224">
        <f t="shared" si="7"/>
        <v>0</v>
      </c>
    </row>
    <row r="51" spans="1:52" ht="33">
      <c r="A51" s="32" t="str">
        <f t="shared" si="5"/>
        <v>A-02-02-01-003=10</v>
      </c>
      <c r="B51" s="210" t="str">
        <f>CONCATENATE(C51,"-",D51,"-",E51,"-",F51,"-",G51)</f>
        <v>A-02-02-01-003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f>SUM(N52:N57)</f>
        <v>355264202</v>
      </c>
      <c r="O51" s="215">
        <f t="shared" ref="O51:AB51" si="44">SUM(O52:O57)</f>
        <v>0</v>
      </c>
      <c r="P51" s="215">
        <f t="shared" si="44"/>
        <v>0</v>
      </c>
      <c r="Q51" s="215">
        <f t="shared" si="44"/>
        <v>70000000</v>
      </c>
      <c r="R51" s="215">
        <f t="shared" si="44"/>
        <v>11200000</v>
      </c>
      <c r="S51" s="215">
        <f t="shared" si="44"/>
        <v>0</v>
      </c>
      <c r="T51" s="215">
        <f t="shared" si="44"/>
        <v>414064202</v>
      </c>
      <c r="U51" s="215">
        <f t="shared" si="44"/>
        <v>159570338.57999998</v>
      </c>
      <c r="V51" s="215">
        <f t="shared" si="44"/>
        <v>254493863.42000002</v>
      </c>
      <c r="W51" s="216">
        <f t="shared" si="18"/>
        <v>0.38537583739248238</v>
      </c>
      <c r="X51" s="215">
        <f t="shared" si="44"/>
        <v>18316748</v>
      </c>
      <c r="Y51" s="215">
        <f t="shared" si="44"/>
        <v>141253590.57999998</v>
      </c>
      <c r="Z51" s="216">
        <f t="shared" si="24"/>
        <v>0.88521207535812196</v>
      </c>
      <c r="AA51" s="215">
        <f t="shared" si="44"/>
        <v>18316748</v>
      </c>
      <c r="AB51" s="215">
        <f t="shared" si="44"/>
        <v>0</v>
      </c>
      <c r="AC51" s="216">
        <f t="shared" si="7"/>
        <v>0.11478792464187802</v>
      </c>
    </row>
    <row r="52" spans="1:52" ht="33">
      <c r="A52" s="32" t="str">
        <f t="shared" si="5"/>
        <v>A-02-02-01-003-002=10</v>
      </c>
      <c r="B52" s="217" t="str">
        <f>CONCATENATE(C52,"-",D52,"-",E52,"-",F52,"-",G52,"-",H52)</f>
        <v>A-02-02-01-003-002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106000000</v>
      </c>
      <c r="O52" s="222"/>
      <c r="P52" s="222"/>
      <c r="Q52" s="222"/>
      <c r="R52" s="223"/>
      <c r="S52" s="223"/>
      <c r="T52" s="222">
        <f t="shared" ref="T52:T57" si="45">+N52-S52+O52-P52+Q52-R52</f>
        <v>106000000</v>
      </c>
      <c r="U52" s="222">
        <v>500000</v>
      </c>
      <c r="V52" s="222">
        <f t="shared" si="14"/>
        <v>105500000</v>
      </c>
      <c r="W52" s="224">
        <f t="shared" si="18"/>
        <v>4.7169811320754715E-3</v>
      </c>
      <c r="X52" s="222">
        <v>500000</v>
      </c>
      <c r="Y52" s="222">
        <f t="shared" si="17"/>
        <v>0</v>
      </c>
      <c r="Z52" s="224">
        <f t="shared" si="24"/>
        <v>0</v>
      </c>
      <c r="AA52" s="222">
        <v>500000</v>
      </c>
      <c r="AB52" s="222">
        <f t="shared" ref="AB52:AB57" si="46">+X52-AA52</f>
        <v>0</v>
      </c>
      <c r="AC52" s="224">
        <f t="shared" si="7"/>
        <v>1</v>
      </c>
    </row>
    <row r="53" spans="1:52" ht="33">
      <c r="A53" s="32" t="str">
        <f t="shared" si="5"/>
        <v>A-02-02-01-003-003=10</v>
      </c>
      <c r="B53" s="217" t="str">
        <f t="shared" ref="B53:B57" si="47">CONCATENATE(C53,"-",D53,"-",E53,"-",F53,"-",G53,"-",H53)</f>
        <v>A-02-02-01-003-003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107264202</v>
      </c>
      <c r="O53" s="222"/>
      <c r="P53" s="222"/>
      <c r="Q53" s="222"/>
      <c r="R53" s="223">
        <v>9200000</v>
      </c>
      <c r="S53" s="223"/>
      <c r="T53" s="222">
        <f t="shared" si="45"/>
        <v>98064202</v>
      </c>
      <c r="U53" s="222">
        <v>98064202</v>
      </c>
      <c r="V53" s="222">
        <f t="shared" si="14"/>
        <v>0</v>
      </c>
      <c r="W53" s="224">
        <f t="shared" si="18"/>
        <v>1</v>
      </c>
      <c r="X53" s="222">
        <v>17316748</v>
      </c>
      <c r="Y53" s="222">
        <f t="shared" si="17"/>
        <v>80747454</v>
      </c>
      <c r="Z53" s="224">
        <f t="shared" si="24"/>
        <v>0.82341417513395965</v>
      </c>
      <c r="AA53" s="222">
        <v>17316748</v>
      </c>
      <c r="AB53" s="222">
        <f t="shared" si="46"/>
        <v>0</v>
      </c>
      <c r="AC53" s="224">
        <f t="shared" si="7"/>
        <v>0.1765858248660403</v>
      </c>
    </row>
    <row r="54" spans="1:52" ht="33">
      <c r="A54" s="32" t="str">
        <f t="shared" si="5"/>
        <v>A-02-02-01-003-005=10</v>
      </c>
      <c r="B54" s="217" t="str">
        <f t="shared" si="47"/>
        <v>A-02-02-01-003-005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6000000</v>
      </c>
      <c r="O54" s="222"/>
      <c r="P54" s="222"/>
      <c r="Q54" s="222">
        <v>70000000</v>
      </c>
      <c r="R54" s="223"/>
      <c r="S54" s="223"/>
      <c r="T54" s="222">
        <f t="shared" si="45"/>
        <v>76000000</v>
      </c>
      <c r="U54" s="222">
        <v>0</v>
      </c>
      <c r="V54" s="222">
        <f t="shared" si="14"/>
        <v>76000000</v>
      </c>
      <c r="W54" s="224">
        <f t="shared" si="18"/>
        <v>0</v>
      </c>
      <c r="X54" s="222">
        <v>0</v>
      </c>
      <c r="Y54" s="222">
        <f t="shared" si="17"/>
        <v>0</v>
      </c>
      <c r="Z54" s="224">
        <f t="shared" si="24"/>
        <v>0</v>
      </c>
      <c r="AA54" s="222">
        <v>0</v>
      </c>
      <c r="AB54" s="222">
        <f t="shared" si="46"/>
        <v>0</v>
      </c>
      <c r="AC54" s="224">
        <f t="shared" si="7"/>
        <v>0</v>
      </c>
    </row>
    <row r="55" spans="1:52" ht="24.95" customHeight="1">
      <c r="A55" s="32" t="str">
        <f t="shared" si="5"/>
        <v>A-02-02-01-003-006=10</v>
      </c>
      <c r="B55" s="217" t="str">
        <f t="shared" si="47"/>
        <v>A-02-02-01-003-006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18000000</v>
      </c>
      <c r="O55" s="222"/>
      <c r="P55" s="222"/>
      <c r="Q55" s="222"/>
      <c r="R55" s="223">
        <v>2000000</v>
      </c>
      <c r="S55" s="223"/>
      <c r="T55" s="222">
        <f t="shared" si="45"/>
        <v>16000000</v>
      </c>
      <c r="U55" s="222">
        <v>0</v>
      </c>
      <c r="V55" s="222">
        <f t="shared" si="14"/>
        <v>16000000</v>
      </c>
      <c r="W55" s="224">
        <f t="shared" si="18"/>
        <v>0</v>
      </c>
      <c r="X55" s="222">
        <v>0</v>
      </c>
      <c r="Y55" s="222">
        <f t="shared" si="17"/>
        <v>0</v>
      </c>
      <c r="Z55" s="224">
        <f t="shared" si="24"/>
        <v>0</v>
      </c>
      <c r="AA55" s="222">
        <v>0</v>
      </c>
      <c r="AB55" s="222">
        <f t="shared" si="46"/>
        <v>0</v>
      </c>
      <c r="AC55" s="224">
        <f t="shared" si="7"/>
        <v>0</v>
      </c>
    </row>
    <row r="56" spans="1:52" ht="16.5">
      <c r="A56" s="32" t="str">
        <f t="shared" si="5"/>
        <v>A-02-02-01-003-007=10</v>
      </c>
      <c r="B56" s="217" t="str">
        <f t="shared" si="47"/>
        <v>A-02-02-01-003-007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8000000</v>
      </c>
      <c r="O56" s="222"/>
      <c r="P56" s="222"/>
      <c r="Q56" s="222"/>
      <c r="R56" s="223"/>
      <c r="S56" s="223"/>
      <c r="T56" s="222">
        <f t="shared" si="45"/>
        <v>8000000</v>
      </c>
      <c r="U56" s="222">
        <v>1200000</v>
      </c>
      <c r="V56" s="222">
        <f t="shared" si="14"/>
        <v>6800000</v>
      </c>
      <c r="W56" s="224">
        <f t="shared" si="18"/>
        <v>0.15</v>
      </c>
      <c r="X56" s="222">
        <v>0</v>
      </c>
      <c r="Y56" s="222">
        <f t="shared" si="17"/>
        <v>1200000</v>
      </c>
      <c r="Z56" s="224">
        <f t="shared" si="24"/>
        <v>1</v>
      </c>
      <c r="AA56" s="222">
        <v>0</v>
      </c>
      <c r="AB56" s="222">
        <f t="shared" si="46"/>
        <v>0</v>
      </c>
      <c r="AC56" s="224">
        <f t="shared" si="7"/>
        <v>0</v>
      </c>
    </row>
    <row r="57" spans="1:52" ht="24.95" customHeight="1">
      <c r="A57" s="32" t="str">
        <f t="shared" si="5"/>
        <v>A-02-02-01-003-008=10</v>
      </c>
      <c r="B57" s="217" t="str">
        <f t="shared" si="47"/>
        <v>A-02-02-01-003-008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110000000</v>
      </c>
      <c r="O57" s="222"/>
      <c r="P57" s="222"/>
      <c r="Q57" s="222"/>
      <c r="R57" s="223"/>
      <c r="S57" s="223"/>
      <c r="T57" s="222">
        <f t="shared" si="45"/>
        <v>110000000</v>
      </c>
      <c r="U57" s="222">
        <v>59806136.579999998</v>
      </c>
      <c r="V57" s="222">
        <f t="shared" si="14"/>
        <v>50193863.420000002</v>
      </c>
      <c r="W57" s="224">
        <f t="shared" si="18"/>
        <v>0.54369215072727273</v>
      </c>
      <c r="X57" s="222">
        <v>500000</v>
      </c>
      <c r="Y57" s="222">
        <f t="shared" si="17"/>
        <v>59306136.579999998</v>
      </c>
      <c r="Z57" s="224">
        <f t="shared" si="24"/>
        <v>0.99163965391191633</v>
      </c>
      <c r="AA57" s="222">
        <v>500000</v>
      </c>
      <c r="AB57" s="222">
        <f t="shared" si="46"/>
        <v>0</v>
      </c>
      <c r="AC57" s="224">
        <f t="shared" si="7"/>
        <v>8.3603460880836596E-3</v>
      </c>
    </row>
    <row r="58" spans="1:52" ht="24.95" customHeight="1">
      <c r="A58" s="32" t="str">
        <f t="shared" si="5"/>
        <v>A-02-02-01-004=10</v>
      </c>
      <c r="B58" s="210" t="str">
        <f>CONCATENATE(C58,"-",D58,"-",E58,"-",F58,"-",G58)</f>
        <v>A-02-02-01-004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f>SUM(N59:N62)</f>
        <v>298000000</v>
      </c>
      <c r="O58" s="215">
        <f t="shared" ref="O58:AB58" si="48">SUM(O59:O62)</f>
        <v>0</v>
      </c>
      <c r="P58" s="215">
        <f t="shared" si="48"/>
        <v>0</v>
      </c>
      <c r="Q58" s="215">
        <f t="shared" si="48"/>
        <v>117587945</v>
      </c>
      <c r="R58" s="215">
        <f t="shared" si="48"/>
        <v>134235566</v>
      </c>
      <c r="S58" s="215">
        <f t="shared" si="48"/>
        <v>0</v>
      </c>
      <c r="T58" s="215">
        <f t="shared" si="48"/>
        <v>281352379</v>
      </c>
      <c r="U58" s="215">
        <f t="shared" si="48"/>
        <v>46764434</v>
      </c>
      <c r="V58" s="215">
        <f t="shared" si="48"/>
        <v>234587945</v>
      </c>
      <c r="W58" s="216">
        <f t="shared" si="18"/>
        <v>0.1662130392009232</v>
      </c>
      <c r="X58" s="215">
        <f t="shared" si="48"/>
        <v>41764434</v>
      </c>
      <c r="Y58" s="215">
        <f t="shared" si="48"/>
        <v>5000000</v>
      </c>
      <c r="Z58" s="216">
        <f t="shared" si="24"/>
        <v>0.10691886060248265</v>
      </c>
      <c r="AA58" s="215">
        <f t="shared" si="48"/>
        <v>41764434</v>
      </c>
      <c r="AB58" s="215">
        <f t="shared" si="48"/>
        <v>0</v>
      </c>
      <c r="AC58" s="216">
        <f t="shared" si="7"/>
        <v>0.89308113939751732</v>
      </c>
    </row>
    <row r="59" spans="1:52" ht="24.95" customHeight="1">
      <c r="A59" s="32" t="str">
        <f t="shared" si="5"/>
        <v>A-02-02-01-004-002=10</v>
      </c>
      <c r="B59" s="217" t="str">
        <f>CONCATENATE(C59,"-",D59,"-",E59,"-",F59,"-",G59,"-",H59)</f>
        <v>A-02-02-01-004-002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37000000</v>
      </c>
      <c r="O59" s="222"/>
      <c r="P59" s="222"/>
      <c r="Q59" s="222"/>
      <c r="R59" s="223"/>
      <c r="S59" s="223"/>
      <c r="T59" s="222">
        <f>+N59-S59+O59-P59+Q59-R59</f>
        <v>37000000</v>
      </c>
      <c r="U59" s="222">
        <v>5000000</v>
      </c>
      <c r="V59" s="222">
        <f t="shared" si="14"/>
        <v>32000000</v>
      </c>
      <c r="W59" s="224">
        <f t="shared" si="18"/>
        <v>0.13513513513513514</v>
      </c>
      <c r="X59" s="222">
        <v>0</v>
      </c>
      <c r="Y59" s="222">
        <f t="shared" si="17"/>
        <v>5000000</v>
      </c>
      <c r="Z59" s="224">
        <f t="shared" si="24"/>
        <v>1</v>
      </c>
      <c r="AA59" s="222">
        <v>0</v>
      </c>
      <c r="AB59" s="222">
        <f t="shared" ref="AB59:AB62" si="49">+X59-AA59</f>
        <v>0</v>
      </c>
      <c r="AC59" s="224">
        <f t="shared" si="7"/>
        <v>0</v>
      </c>
    </row>
    <row r="60" spans="1:52" s="64" customFormat="1" ht="24.95" customHeight="1">
      <c r="A60" s="32" t="str">
        <f t="shared" si="5"/>
        <v>A-02-02-01-004-005=10</v>
      </c>
      <c r="B60" s="217" t="str">
        <f>CONCATENATE(C60,"-",D60,"-",E60,"-",F60,"-",G60,"-",H60)</f>
        <v>A-02-02-01-004-005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v>0</v>
      </c>
      <c r="O60" s="222"/>
      <c r="P60" s="222"/>
      <c r="Q60" s="222">
        <v>82000000</v>
      </c>
      <c r="R60" s="223"/>
      <c r="S60" s="223"/>
      <c r="T60" s="222">
        <f t="shared" ref="T60:T61" si="50">+N60+O60-P60+Q60-R60-S60</f>
        <v>82000000</v>
      </c>
      <c r="U60" s="222">
        <v>0</v>
      </c>
      <c r="V60" s="222">
        <f t="shared" si="14"/>
        <v>82000000</v>
      </c>
      <c r="W60" s="224">
        <f t="shared" si="18"/>
        <v>0</v>
      </c>
      <c r="X60" s="222">
        <v>0</v>
      </c>
      <c r="Y60" s="222">
        <f t="shared" si="17"/>
        <v>0</v>
      </c>
      <c r="Z60" s="224">
        <f t="shared" si="24"/>
        <v>0</v>
      </c>
      <c r="AA60" s="222">
        <v>0</v>
      </c>
      <c r="AB60" s="222">
        <f t="shared" si="49"/>
        <v>0</v>
      </c>
      <c r="AC60" s="224">
        <f t="shared" si="7"/>
        <v>0</v>
      </c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spans="1:52" s="64" customFormat="1" ht="24.95" customHeight="1">
      <c r="A61" s="32" t="str">
        <f t="shared" si="5"/>
        <v>A-02-02-01-004-006=10</v>
      </c>
      <c r="B61" s="217" t="str">
        <f>CONCATENATE(C61,"-",D61,"-",E61,"-",F61,"-",G61,"-",H61)</f>
        <v>A-02-02-01-004-006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v>0</v>
      </c>
      <c r="O61" s="222"/>
      <c r="P61" s="222"/>
      <c r="Q61" s="222">
        <v>30000000</v>
      </c>
      <c r="R61" s="223"/>
      <c r="S61" s="223"/>
      <c r="T61" s="222">
        <f t="shared" si="50"/>
        <v>30000000</v>
      </c>
      <c r="U61" s="222">
        <v>0</v>
      </c>
      <c r="V61" s="222">
        <f t="shared" si="14"/>
        <v>30000000</v>
      </c>
      <c r="W61" s="224">
        <f t="shared" si="18"/>
        <v>0</v>
      </c>
      <c r="X61" s="222">
        <v>0</v>
      </c>
      <c r="Y61" s="222">
        <f t="shared" si="17"/>
        <v>0</v>
      </c>
      <c r="Z61" s="224">
        <f t="shared" si="24"/>
        <v>0</v>
      </c>
      <c r="AA61" s="222">
        <v>0</v>
      </c>
      <c r="AB61" s="222">
        <f t="shared" si="49"/>
        <v>0</v>
      </c>
      <c r="AC61" s="224">
        <f t="shared" si="7"/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ht="24.95" customHeight="1">
      <c r="A62" s="32" t="str">
        <f t="shared" si="5"/>
        <v>A-02-02-01-004-007=10</v>
      </c>
      <c r="B62" s="217" t="str">
        <f>CONCATENATE(C62,"-",D62,"-",E62,"-",F62,"-",G62,"-",H62)</f>
        <v>A-02-02-01-004-007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261000000</v>
      </c>
      <c r="O62" s="222"/>
      <c r="P62" s="222"/>
      <c r="Q62" s="222">
        <v>5587945</v>
      </c>
      <c r="R62" s="222">
        <f>82000000+30000000+22235566</f>
        <v>134235566</v>
      </c>
      <c r="S62" s="223"/>
      <c r="T62" s="222">
        <f>+N62-S62+O62-P62+Q62-R62</f>
        <v>132352379</v>
      </c>
      <c r="U62" s="222">
        <v>41764434</v>
      </c>
      <c r="V62" s="222">
        <f t="shared" si="14"/>
        <v>90587945</v>
      </c>
      <c r="W62" s="224">
        <f t="shared" si="18"/>
        <v>0.31555484167005415</v>
      </c>
      <c r="X62" s="222">
        <v>41764434</v>
      </c>
      <c r="Y62" s="222">
        <f t="shared" si="17"/>
        <v>0</v>
      </c>
      <c r="Z62" s="224">
        <f t="shared" si="24"/>
        <v>0</v>
      </c>
      <c r="AA62" s="222">
        <v>41764434</v>
      </c>
      <c r="AB62" s="222">
        <f t="shared" si="49"/>
        <v>0</v>
      </c>
      <c r="AC62" s="224">
        <f t="shared" si="7"/>
        <v>1</v>
      </c>
    </row>
    <row r="63" spans="1:52" ht="24.95" customHeight="1">
      <c r="A63" s="32" t="str">
        <f t="shared" si="5"/>
        <v>A-02-02-02=10</v>
      </c>
      <c r="B63" s="203" t="str">
        <f>CONCATENATE(C63,"-",D63,"-",E63,"-",F63)</f>
        <v>A-02-02-02</v>
      </c>
      <c r="C63" s="204" t="s">
        <v>23</v>
      </c>
      <c r="D63" s="205" t="s">
        <v>54</v>
      </c>
      <c r="E63" s="205" t="s">
        <v>54</v>
      </c>
      <c r="F63" s="205" t="s">
        <v>54</v>
      </c>
      <c r="G63" s="205"/>
      <c r="H63" s="205"/>
      <c r="I63" s="205"/>
      <c r="J63" s="205"/>
      <c r="K63" s="206" t="s">
        <v>28</v>
      </c>
      <c r="L63" s="207" t="s">
        <v>29</v>
      </c>
      <c r="M63" s="203" t="s">
        <v>103</v>
      </c>
      <c r="N63" s="208">
        <f>+N64+N71+N74+N81+N87</f>
        <v>41426735798</v>
      </c>
      <c r="O63" s="208">
        <f t="shared" ref="O63:V63" si="51">+O64+O71+O74+O81+O87</f>
        <v>0</v>
      </c>
      <c r="P63" s="208">
        <f t="shared" si="51"/>
        <v>0</v>
      </c>
      <c r="Q63" s="208">
        <f t="shared" si="51"/>
        <v>2612551358.1499996</v>
      </c>
      <c r="R63" s="208">
        <f t="shared" si="51"/>
        <v>2644703737.1500001</v>
      </c>
      <c r="S63" s="208">
        <f t="shared" si="51"/>
        <v>0</v>
      </c>
      <c r="T63" s="208">
        <f t="shared" si="51"/>
        <v>41394583419</v>
      </c>
      <c r="U63" s="208">
        <f t="shared" si="51"/>
        <v>31560968365.32</v>
      </c>
      <c r="V63" s="208">
        <f t="shared" si="51"/>
        <v>9833615053.6800003</v>
      </c>
      <c r="W63" s="209">
        <f t="shared" si="18"/>
        <v>0.76244198536452967</v>
      </c>
      <c r="X63" s="208">
        <f t="shared" ref="X63:AB63" si="52">+X64+X71+X74+X81+X87</f>
        <v>13472446856.24</v>
      </c>
      <c r="Y63" s="208">
        <f t="shared" si="52"/>
        <v>18088521509.080002</v>
      </c>
      <c r="Z63" s="209">
        <f t="shared" si="24"/>
        <v>0.57312948385183682</v>
      </c>
      <c r="AA63" s="208">
        <f t="shared" si="52"/>
        <v>13088269654.24</v>
      </c>
      <c r="AB63" s="208">
        <f t="shared" si="52"/>
        <v>384177201.99999994</v>
      </c>
      <c r="AC63" s="209">
        <f t="shared" si="7"/>
        <v>0.41469797449629986</v>
      </c>
    </row>
    <row r="64" spans="1:52" ht="49.5">
      <c r="A64" s="32" t="str">
        <f t="shared" si="5"/>
        <v>A-02-02-02-006=10</v>
      </c>
      <c r="B64" s="210" t="str">
        <f>CONCATENATE(C64,"-",D64,"-",E64,"-",F64,"-",G64)</f>
        <v>A-02-02-02-006</v>
      </c>
      <c r="C64" s="211" t="s">
        <v>23</v>
      </c>
      <c r="D64" s="212" t="s">
        <v>54</v>
      </c>
      <c r="E64" s="212" t="s">
        <v>54</v>
      </c>
      <c r="F64" s="212" t="s">
        <v>54</v>
      </c>
      <c r="G64" s="212" t="s">
        <v>42</v>
      </c>
      <c r="H64" s="212"/>
      <c r="I64" s="212"/>
      <c r="J64" s="212"/>
      <c r="K64" s="213" t="s">
        <v>28</v>
      </c>
      <c r="L64" s="214" t="s">
        <v>29</v>
      </c>
      <c r="M64" s="210" t="s">
        <v>104</v>
      </c>
      <c r="N64" s="215">
        <f>SUM(N65:N70)</f>
        <v>7757163474</v>
      </c>
      <c r="O64" s="215">
        <f t="shared" ref="O64:V64" si="53">SUM(O65:O70)</f>
        <v>0</v>
      </c>
      <c r="P64" s="215">
        <f t="shared" si="53"/>
        <v>0</v>
      </c>
      <c r="Q64" s="215">
        <f t="shared" si="53"/>
        <v>10000000</v>
      </c>
      <c r="R64" s="215">
        <f t="shared" si="53"/>
        <v>202793073</v>
      </c>
      <c r="S64" s="215">
        <f t="shared" si="53"/>
        <v>0</v>
      </c>
      <c r="T64" s="215">
        <f t="shared" si="53"/>
        <v>7564370401</v>
      </c>
      <c r="U64" s="215">
        <f t="shared" si="53"/>
        <v>5617105941.6599998</v>
      </c>
      <c r="V64" s="215">
        <f t="shared" si="53"/>
        <v>1947264459.3400002</v>
      </c>
      <c r="W64" s="216">
        <f t="shared" si="18"/>
        <v>0.74257415275664262</v>
      </c>
      <c r="X64" s="215">
        <f t="shared" ref="X64:AB64" si="54">SUM(X65:X70)</f>
        <v>2364974750.6599998</v>
      </c>
      <c r="Y64" s="215">
        <f t="shared" si="54"/>
        <v>3252131191</v>
      </c>
      <c r="Z64" s="216">
        <f t="shared" si="24"/>
        <v>0.57896917465631981</v>
      </c>
      <c r="AA64" s="215">
        <f t="shared" si="54"/>
        <v>2364521057.1100001</v>
      </c>
      <c r="AB64" s="215">
        <f t="shared" si="54"/>
        <v>453693.54999998212</v>
      </c>
      <c r="AC64" s="216">
        <f t="shared" si="7"/>
        <v>0.42095005536093255</v>
      </c>
    </row>
    <row r="65" spans="1:52" ht="24.95" customHeight="1">
      <c r="A65" s="32" t="str">
        <f t="shared" si="5"/>
        <v>A-02-02-02-006-003=10</v>
      </c>
      <c r="B65" s="217" t="str">
        <f>CONCATENATE(C65,"-",D65,"-",E65,"-",F65,"-",G65,"-",H65)</f>
        <v>A-02-02-02-006-003</v>
      </c>
      <c r="C65" s="248" t="s">
        <v>23</v>
      </c>
      <c r="D65" s="249" t="s">
        <v>54</v>
      </c>
      <c r="E65" s="249" t="s">
        <v>54</v>
      </c>
      <c r="F65" s="249" t="s">
        <v>54</v>
      </c>
      <c r="G65" s="249" t="s">
        <v>42</v>
      </c>
      <c r="H65" s="225" t="s">
        <v>36</v>
      </c>
      <c r="I65" s="219"/>
      <c r="J65" s="219"/>
      <c r="K65" s="220">
        <v>10</v>
      </c>
      <c r="L65" s="221" t="s">
        <v>29</v>
      </c>
      <c r="M65" s="217" t="s">
        <v>105</v>
      </c>
      <c r="N65" s="222">
        <v>12000000</v>
      </c>
      <c r="O65" s="222"/>
      <c r="P65" s="222"/>
      <c r="Q65" s="223"/>
      <c r="R65" s="223"/>
      <c r="S65" s="223"/>
      <c r="T65" s="222">
        <f t="shared" ref="T65:T70" si="55">+N65-S65+O65-P65+Q65-R65</f>
        <v>12000000</v>
      </c>
      <c r="U65" s="222">
        <v>2261895</v>
      </c>
      <c r="V65" s="222">
        <f t="shared" si="14"/>
        <v>9738105</v>
      </c>
      <c r="W65" s="224">
        <f t="shared" si="18"/>
        <v>0.18849125</v>
      </c>
      <c r="X65" s="222">
        <v>2261895</v>
      </c>
      <c r="Y65" s="222">
        <f t="shared" si="17"/>
        <v>0</v>
      </c>
      <c r="Z65" s="224">
        <f t="shared" si="24"/>
        <v>0</v>
      </c>
      <c r="AA65" s="222">
        <v>2261895</v>
      </c>
      <c r="AB65" s="222">
        <f t="shared" ref="AB65:AB70" si="56">+X65-AA65</f>
        <v>0</v>
      </c>
      <c r="AC65" s="224">
        <f t="shared" si="7"/>
        <v>1</v>
      </c>
    </row>
    <row r="66" spans="1:52" ht="24.95" customHeight="1">
      <c r="A66" s="32" t="str">
        <f t="shared" si="5"/>
        <v>A-02-02-02-006-004=10</v>
      </c>
      <c r="B66" s="217" t="str">
        <f t="shared" ref="B66:B86" si="57">CONCATENATE(C66,"-",D66,"-",E66,"-",F66,"-",G66,"-",H66)</f>
        <v>A-02-02-02-006-004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38</v>
      </c>
      <c r="I66" s="219"/>
      <c r="J66" s="219"/>
      <c r="K66" s="220">
        <v>10</v>
      </c>
      <c r="L66" s="221" t="s">
        <v>29</v>
      </c>
      <c r="M66" s="217" t="s">
        <v>106</v>
      </c>
      <c r="N66" s="222">
        <v>4851925294</v>
      </c>
      <c r="O66" s="222"/>
      <c r="P66" s="222"/>
      <c r="Q66" s="223">
        <f>2400000</f>
        <v>2400000</v>
      </c>
      <c r="R66" s="223">
        <f>27793073+52000000+70000000</f>
        <v>149793073</v>
      </c>
      <c r="S66" s="223"/>
      <c r="T66" s="222">
        <f t="shared" si="55"/>
        <v>4704532221</v>
      </c>
      <c r="U66" s="222">
        <v>3426927035</v>
      </c>
      <c r="V66" s="222">
        <f t="shared" si="14"/>
        <v>1277605186</v>
      </c>
      <c r="W66" s="224">
        <f t="shared" si="18"/>
        <v>0.72843098399941852</v>
      </c>
      <c r="X66" s="222">
        <v>1594614778</v>
      </c>
      <c r="Y66" s="222">
        <f t="shared" si="17"/>
        <v>1832312257</v>
      </c>
      <c r="Z66" s="224">
        <f t="shared" si="24"/>
        <v>0.53468084913573311</v>
      </c>
      <c r="AA66" s="222">
        <v>1594614778</v>
      </c>
      <c r="AB66" s="222">
        <f t="shared" si="56"/>
        <v>0</v>
      </c>
      <c r="AC66" s="224">
        <f t="shared" si="7"/>
        <v>0.46531915086426695</v>
      </c>
    </row>
    <row r="67" spans="1:52" ht="24.95" customHeight="1">
      <c r="A67" s="32" t="str">
        <f t="shared" si="5"/>
        <v>A-02-02-02-006-005=10</v>
      </c>
      <c r="B67" s="217" t="str">
        <f t="shared" si="57"/>
        <v>A-02-02-02-006-005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40</v>
      </c>
      <c r="I67" s="219"/>
      <c r="J67" s="219"/>
      <c r="K67" s="220">
        <v>10</v>
      </c>
      <c r="L67" s="221" t="s">
        <v>29</v>
      </c>
      <c r="M67" s="217" t="s">
        <v>107</v>
      </c>
      <c r="N67" s="222">
        <v>100000000</v>
      </c>
      <c r="O67" s="222"/>
      <c r="P67" s="222"/>
      <c r="Q67" s="223">
        <v>7600000</v>
      </c>
      <c r="R67" s="223">
        <v>13000000</v>
      </c>
      <c r="S67" s="223"/>
      <c r="T67" s="222">
        <f t="shared" si="55"/>
        <v>94600000</v>
      </c>
      <c r="U67" s="222">
        <v>91279990</v>
      </c>
      <c r="V67" s="222">
        <f t="shared" si="14"/>
        <v>3320010</v>
      </c>
      <c r="W67" s="224">
        <f t="shared" si="18"/>
        <v>0.96490475687103594</v>
      </c>
      <c r="X67" s="222">
        <v>4279990</v>
      </c>
      <c r="Y67" s="222">
        <f t="shared" si="17"/>
        <v>87000000</v>
      </c>
      <c r="Z67" s="224">
        <f t="shared" si="24"/>
        <v>0.95311141028827895</v>
      </c>
      <c r="AA67" s="222">
        <v>4279990</v>
      </c>
      <c r="AB67" s="222">
        <f t="shared" si="56"/>
        <v>0</v>
      </c>
      <c r="AC67" s="224">
        <f t="shared" si="7"/>
        <v>4.6888589711721045E-2</v>
      </c>
    </row>
    <row r="68" spans="1:52" ht="24.95" customHeight="1">
      <c r="A68" s="32" t="str">
        <f t="shared" si="5"/>
        <v>A-02-02-02-006-006=10</v>
      </c>
      <c r="B68" s="217" t="str">
        <f t="shared" si="57"/>
        <v>A-02-02-02-006-006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42</v>
      </c>
      <c r="I68" s="219"/>
      <c r="J68" s="219"/>
      <c r="K68" s="220">
        <v>10</v>
      </c>
      <c r="L68" s="221" t="s">
        <v>29</v>
      </c>
      <c r="M68" s="217" t="s">
        <v>259</v>
      </c>
      <c r="N68" s="222">
        <v>10000000</v>
      </c>
      <c r="O68" s="222"/>
      <c r="P68" s="222"/>
      <c r="Q68" s="223"/>
      <c r="R68" s="223">
        <v>10000000</v>
      </c>
      <c r="S68" s="223"/>
      <c r="T68" s="222">
        <f t="shared" si="55"/>
        <v>0</v>
      </c>
      <c r="U68" s="222">
        <v>0</v>
      </c>
      <c r="V68" s="222">
        <f t="shared" si="14"/>
        <v>0</v>
      </c>
      <c r="W68" s="224">
        <f t="shared" si="18"/>
        <v>0</v>
      </c>
      <c r="X68" s="222">
        <v>0</v>
      </c>
      <c r="Y68" s="222">
        <f t="shared" si="17"/>
        <v>0</v>
      </c>
      <c r="Z68" s="224">
        <f t="shared" si="24"/>
        <v>0</v>
      </c>
      <c r="AA68" s="222">
        <v>0</v>
      </c>
      <c r="AB68" s="222">
        <f t="shared" si="56"/>
        <v>0</v>
      </c>
      <c r="AC68" s="224">
        <f t="shared" si="7"/>
        <v>0</v>
      </c>
    </row>
    <row r="69" spans="1:52" ht="24.95" customHeight="1">
      <c r="A69" s="32" t="str">
        <f t="shared" si="5"/>
        <v>A-02-02-02-006-008=10</v>
      </c>
      <c r="B69" s="217" t="str">
        <f t="shared" si="57"/>
        <v>A-02-02-02-006-008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46</v>
      </c>
      <c r="I69" s="219"/>
      <c r="J69" s="219"/>
      <c r="K69" s="220">
        <v>10</v>
      </c>
      <c r="L69" s="221" t="s">
        <v>29</v>
      </c>
      <c r="M69" s="217" t="s">
        <v>108</v>
      </c>
      <c r="N69" s="222">
        <v>2053178180</v>
      </c>
      <c r="O69" s="222"/>
      <c r="P69" s="222"/>
      <c r="Q69" s="223"/>
      <c r="R69" s="223">
        <v>30000000</v>
      </c>
      <c r="S69" s="223"/>
      <c r="T69" s="222">
        <f t="shared" si="55"/>
        <v>2023178180</v>
      </c>
      <c r="U69" s="222">
        <v>1848038030</v>
      </c>
      <c r="V69" s="222">
        <f t="shared" si="14"/>
        <v>175140150</v>
      </c>
      <c r="W69" s="224">
        <f t="shared" si="18"/>
        <v>0.91343315594674912</v>
      </c>
      <c r="X69" s="222">
        <v>515219096</v>
      </c>
      <c r="Y69" s="222">
        <f t="shared" si="17"/>
        <v>1332818934</v>
      </c>
      <c r="Z69" s="224">
        <f t="shared" si="24"/>
        <v>0.72120752515033471</v>
      </c>
      <c r="AA69" s="222">
        <v>515219096</v>
      </c>
      <c r="AB69" s="222">
        <f t="shared" si="56"/>
        <v>0</v>
      </c>
      <c r="AC69" s="224">
        <f t="shared" si="7"/>
        <v>0.27879247484966529</v>
      </c>
    </row>
    <row r="70" spans="1:52" ht="33">
      <c r="A70" s="32" t="str">
        <f t="shared" si="5"/>
        <v>A-02-02-02-006-009=10</v>
      </c>
      <c r="B70" s="217" t="str">
        <f t="shared" si="57"/>
        <v>A-02-02-02-006-009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48</v>
      </c>
      <c r="I70" s="219"/>
      <c r="J70" s="219"/>
      <c r="K70" s="220">
        <v>10</v>
      </c>
      <c r="L70" s="221" t="s">
        <v>29</v>
      </c>
      <c r="M70" s="217" t="s">
        <v>109</v>
      </c>
      <c r="N70" s="222">
        <v>730060000</v>
      </c>
      <c r="O70" s="222"/>
      <c r="P70" s="222"/>
      <c r="Q70" s="223"/>
      <c r="R70" s="223"/>
      <c r="S70" s="223"/>
      <c r="T70" s="222">
        <f t="shared" si="55"/>
        <v>730060000</v>
      </c>
      <c r="U70" s="222">
        <v>248598991.66</v>
      </c>
      <c r="V70" s="222">
        <f t="shared" si="14"/>
        <v>481461008.34000003</v>
      </c>
      <c r="W70" s="224">
        <f t="shared" si="18"/>
        <v>0.34051857608963648</v>
      </c>
      <c r="X70" s="222">
        <v>248598991.66</v>
      </c>
      <c r="Y70" s="222">
        <f t="shared" si="17"/>
        <v>0</v>
      </c>
      <c r="Z70" s="224">
        <f t="shared" si="24"/>
        <v>0</v>
      </c>
      <c r="AA70" s="222">
        <v>248145298.11000001</v>
      </c>
      <c r="AB70" s="222">
        <f t="shared" si="56"/>
        <v>453693.54999998212</v>
      </c>
      <c r="AC70" s="224">
        <f t="shared" si="7"/>
        <v>0.99817499843032154</v>
      </c>
    </row>
    <row r="71" spans="1:52" ht="33">
      <c r="A71" s="32" t="str">
        <f t="shared" si="5"/>
        <v>A-02-02-02-007=10</v>
      </c>
      <c r="B71" s="210" t="str">
        <f>CONCATENATE(C71,"-",D71,"-",E71,"-",F71,"-",G71)</f>
        <v>A-02-02-02-007</v>
      </c>
      <c r="C71" s="211" t="s">
        <v>23</v>
      </c>
      <c r="D71" s="212" t="s">
        <v>54</v>
      </c>
      <c r="E71" s="212" t="s">
        <v>54</v>
      </c>
      <c r="F71" s="212" t="s">
        <v>54</v>
      </c>
      <c r="G71" s="212" t="s">
        <v>44</v>
      </c>
      <c r="H71" s="212"/>
      <c r="I71" s="212"/>
      <c r="J71" s="212"/>
      <c r="K71" s="213" t="s">
        <v>28</v>
      </c>
      <c r="L71" s="214" t="s">
        <v>29</v>
      </c>
      <c r="M71" s="210" t="s">
        <v>110</v>
      </c>
      <c r="N71" s="215">
        <f>SUM(N72:N73)</f>
        <v>12770333207</v>
      </c>
      <c r="O71" s="215">
        <f t="shared" ref="O71:AB71" si="58">SUM(O72:O73)</f>
        <v>0</v>
      </c>
      <c r="P71" s="215">
        <f t="shared" si="58"/>
        <v>0</v>
      </c>
      <c r="Q71" s="215">
        <f t="shared" si="58"/>
        <v>0</v>
      </c>
      <c r="R71" s="215">
        <f t="shared" si="58"/>
        <v>1058222129</v>
      </c>
      <c r="S71" s="215">
        <f t="shared" si="58"/>
        <v>0</v>
      </c>
      <c r="T71" s="215">
        <f t="shared" si="58"/>
        <v>11712111078</v>
      </c>
      <c r="U71" s="215">
        <f t="shared" si="58"/>
        <v>11557739891</v>
      </c>
      <c r="V71" s="215">
        <f t="shared" si="58"/>
        <v>154371187</v>
      </c>
      <c r="W71" s="216">
        <f t="shared" si="18"/>
        <v>0.98681952502226777</v>
      </c>
      <c r="X71" s="215">
        <f t="shared" si="58"/>
        <v>5833861920</v>
      </c>
      <c r="Y71" s="215">
        <f t="shared" si="58"/>
        <v>5723877971</v>
      </c>
      <c r="Z71" s="216">
        <f t="shared" si="24"/>
        <v>0.49524197853398466</v>
      </c>
      <c r="AA71" s="215">
        <f t="shared" si="58"/>
        <v>5815969070</v>
      </c>
      <c r="AB71" s="215">
        <f t="shared" si="58"/>
        <v>17892850</v>
      </c>
      <c r="AC71" s="216">
        <f t="shared" si="7"/>
        <v>0.50320989439543362</v>
      </c>
    </row>
    <row r="72" spans="1:52" ht="24.95" customHeight="1">
      <c r="A72" s="32" t="str">
        <f t="shared" si="5"/>
        <v>A-02-02-02-007-001=10</v>
      </c>
      <c r="B72" s="217" t="str">
        <f t="shared" si="57"/>
        <v>A-02-02-02-007-001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44</v>
      </c>
      <c r="H72" s="225" t="s">
        <v>31</v>
      </c>
      <c r="I72" s="219"/>
      <c r="J72" s="219"/>
      <c r="K72" s="220">
        <v>10</v>
      </c>
      <c r="L72" s="221" t="s">
        <v>29</v>
      </c>
      <c r="M72" s="217" t="s">
        <v>111</v>
      </c>
      <c r="N72" s="222">
        <v>25000000</v>
      </c>
      <c r="O72" s="222"/>
      <c r="P72" s="222"/>
      <c r="Q72" s="223"/>
      <c r="R72" s="223">
        <v>1459150</v>
      </c>
      <c r="S72" s="223"/>
      <c r="T72" s="222">
        <f>+N72-S72+O72-P72+Q72-R72</f>
        <v>23540850</v>
      </c>
      <c r="U72" s="222">
        <v>8409000</v>
      </c>
      <c r="V72" s="222">
        <f t="shared" si="14"/>
        <v>15131850</v>
      </c>
      <c r="W72" s="224">
        <f t="shared" si="18"/>
        <v>0.35720885184689594</v>
      </c>
      <c r="X72" s="222">
        <v>8409000</v>
      </c>
      <c r="Y72" s="222">
        <f t="shared" si="17"/>
        <v>0</v>
      </c>
      <c r="Z72" s="224">
        <f t="shared" si="24"/>
        <v>0</v>
      </c>
      <c r="AA72" s="222">
        <v>8409000</v>
      </c>
      <c r="AB72" s="222">
        <f t="shared" ref="AB72:AB73" si="59">+X72-AA72</f>
        <v>0</v>
      </c>
      <c r="AC72" s="224">
        <f t="shared" si="7"/>
        <v>1</v>
      </c>
    </row>
    <row r="73" spans="1:52" ht="24.95" customHeight="1">
      <c r="A73" s="32" t="str">
        <f t="shared" si="5"/>
        <v>A-02-02-02-007-002=10</v>
      </c>
      <c r="B73" s="217" t="str">
        <f t="shared" si="57"/>
        <v>A-02-02-02-007-002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34</v>
      </c>
      <c r="I73" s="219"/>
      <c r="J73" s="219"/>
      <c r="K73" s="220">
        <v>10</v>
      </c>
      <c r="L73" s="221" t="s">
        <v>29</v>
      </c>
      <c r="M73" s="217" t="s">
        <v>112</v>
      </c>
      <c r="N73" s="222">
        <v>12745333207</v>
      </c>
      <c r="O73" s="222"/>
      <c r="P73" s="222"/>
      <c r="Q73" s="223"/>
      <c r="R73" s="223">
        <v>1056762979</v>
      </c>
      <c r="S73" s="223"/>
      <c r="T73" s="222">
        <f>+N73-S73+O73-P73+Q73-R73</f>
        <v>11688570228</v>
      </c>
      <c r="U73" s="222">
        <v>11549330891</v>
      </c>
      <c r="V73" s="222">
        <f t="shared" si="14"/>
        <v>139239337</v>
      </c>
      <c r="W73" s="224">
        <f t="shared" si="18"/>
        <v>0.98808756466497061</v>
      </c>
      <c r="X73" s="222">
        <v>5825452920</v>
      </c>
      <c r="Y73" s="222">
        <f t="shared" si="17"/>
        <v>5723877971</v>
      </c>
      <c r="Z73" s="224">
        <f t="shared" si="24"/>
        <v>0.49560256131031999</v>
      </c>
      <c r="AA73" s="222">
        <v>5807560070</v>
      </c>
      <c r="AB73" s="222">
        <f t="shared" si="59"/>
        <v>17892850</v>
      </c>
      <c r="AC73" s="224">
        <f t="shared" si="7"/>
        <v>0.50284818443686929</v>
      </c>
    </row>
    <row r="74" spans="1:52" ht="24.95" customHeight="1">
      <c r="A74" s="32" t="str">
        <f t="shared" si="5"/>
        <v>A-02-02-02-008=10</v>
      </c>
      <c r="B74" s="210" t="str">
        <f>CONCATENATE(C74,"-",D74,"-",E74,"-",F74,"-",G74)</f>
        <v>A-02-02-02-008</v>
      </c>
      <c r="C74" s="211" t="s">
        <v>23</v>
      </c>
      <c r="D74" s="212" t="s">
        <v>54</v>
      </c>
      <c r="E74" s="212" t="s">
        <v>54</v>
      </c>
      <c r="F74" s="212" t="s">
        <v>54</v>
      </c>
      <c r="G74" s="212" t="s">
        <v>46</v>
      </c>
      <c r="H74" s="212"/>
      <c r="I74" s="212"/>
      <c r="J74" s="212"/>
      <c r="K74" s="213" t="s">
        <v>28</v>
      </c>
      <c r="L74" s="214" t="s">
        <v>29</v>
      </c>
      <c r="M74" s="210" t="s">
        <v>113</v>
      </c>
      <c r="N74" s="215">
        <f>SUM(N75:N80)</f>
        <v>17318293047</v>
      </c>
      <c r="O74" s="215">
        <f t="shared" ref="O74:V74" si="60">SUM(O75:O80)</f>
        <v>0</v>
      </c>
      <c r="P74" s="215">
        <f t="shared" si="60"/>
        <v>0</v>
      </c>
      <c r="Q74" s="215">
        <f t="shared" si="60"/>
        <v>2602551358.1499996</v>
      </c>
      <c r="R74" s="215">
        <f t="shared" si="60"/>
        <v>1379754035.1500001</v>
      </c>
      <c r="S74" s="215">
        <f t="shared" si="60"/>
        <v>0</v>
      </c>
      <c r="T74" s="215">
        <f t="shared" si="60"/>
        <v>18541090370</v>
      </c>
      <c r="U74" s="215">
        <f t="shared" si="60"/>
        <v>13885857273.08</v>
      </c>
      <c r="V74" s="215">
        <f t="shared" si="60"/>
        <v>4655233096.9200001</v>
      </c>
      <c r="W74" s="216">
        <f t="shared" si="18"/>
        <v>0.74892344495271446</v>
      </c>
      <c r="X74" s="215">
        <f t="shared" ref="X74:AB74" si="61">SUM(X75:X80)</f>
        <v>4982200577</v>
      </c>
      <c r="Y74" s="215">
        <f t="shared" si="61"/>
        <v>8903656696.0799999</v>
      </c>
      <c r="Z74" s="216">
        <f t="shared" si="24"/>
        <v>0.64120324161340703</v>
      </c>
      <c r="AA74" s="215">
        <f t="shared" si="61"/>
        <v>4616408915</v>
      </c>
      <c r="AB74" s="215">
        <f t="shared" si="61"/>
        <v>365791662</v>
      </c>
      <c r="AC74" s="216">
        <f t="shared" si="7"/>
        <v>0.33245400872365743</v>
      </c>
    </row>
    <row r="75" spans="1:52" ht="24.95" customHeight="1">
      <c r="A75" s="32" t="str">
        <f t="shared" ref="A75:A140" si="62">+CONCATENATE(B75,"=",K75)</f>
        <v>A-02-02-02-008-002=10</v>
      </c>
      <c r="B75" s="217" t="str">
        <f t="shared" si="57"/>
        <v>A-02-02-02-008-002</v>
      </c>
      <c r="C75" s="218" t="s">
        <v>23</v>
      </c>
      <c r="D75" s="249" t="s">
        <v>54</v>
      </c>
      <c r="E75" s="249" t="s">
        <v>54</v>
      </c>
      <c r="F75" s="249" t="s">
        <v>54</v>
      </c>
      <c r="G75" s="249" t="s">
        <v>46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114</v>
      </c>
      <c r="N75" s="222">
        <v>172000000</v>
      </c>
      <c r="O75" s="222"/>
      <c r="P75" s="222"/>
      <c r="Q75" s="223"/>
      <c r="R75" s="223"/>
      <c r="S75" s="223"/>
      <c r="T75" s="222">
        <f t="shared" ref="T75:T80" si="63">+N75-S75+O75-P75+Q75-R75</f>
        <v>172000000</v>
      </c>
      <c r="U75" s="222">
        <v>39956280</v>
      </c>
      <c r="V75" s="222">
        <f t="shared" si="14"/>
        <v>132043720</v>
      </c>
      <c r="W75" s="224">
        <f t="shared" si="18"/>
        <v>0.2323039534883721</v>
      </c>
      <c r="X75" s="222">
        <v>1469000</v>
      </c>
      <c r="Y75" s="222">
        <f t="shared" si="17"/>
        <v>38487280</v>
      </c>
      <c r="Z75" s="224">
        <f t="shared" si="24"/>
        <v>0.96323481565350932</v>
      </c>
      <c r="AA75" s="222">
        <v>1469000</v>
      </c>
      <c r="AB75" s="222">
        <f t="shared" ref="AB75:AB80" si="64">+X75-AA75</f>
        <v>0</v>
      </c>
      <c r="AC75" s="224">
        <f t="shared" ref="AC75:AC140" si="65">+IF(U75&gt;0,(AA75/U75),0)</f>
        <v>3.6765184346490717E-2</v>
      </c>
    </row>
    <row r="76" spans="1:52" ht="24.95" customHeight="1">
      <c r="A76" s="32" t="str">
        <f t="shared" si="62"/>
        <v>A-02-02-02-008-003=10</v>
      </c>
      <c r="B76" s="217" t="str">
        <f t="shared" si="57"/>
        <v>A-02-02-02-008-003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36</v>
      </c>
      <c r="I76" s="219"/>
      <c r="J76" s="219"/>
      <c r="K76" s="220">
        <v>10</v>
      </c>
      <c r="L76" s="221" t="s">
        <v>29</v>
      </c>
      <c r="M76" s="217" t="s">
        <v>115</v>
      </c>
      <c r="N76" s="222">
        <v>9548931993</v>
      </c>
      <c r="O76" s="222"/>
      <c r="P76" s="222"/>
      <c r="Q76" s="223"/>
      <c r="R76" s="223">
        <f>3000000+120491795.37+520000000+43341522</f>
        <v>686833317.37</v>
      </c>
      <c r="S76" s="223"/>
      <c r="T76" s="222">
        <f t="shared" si="63"/>
        <v>8862098675.6299992</v>
      </c>
      <c r="U76" s="222">
        <v>7219249177</v>
      </c>
      <c r="V76" s="222">
        <f t="shared" si="14"/>
        <v>1642849498.6299992</v>
      </c>
      <c r="W76" s="224">
        <f t="shared" si="18"/>
        <v>0.81462071696993255</v>
      </c>
      <c r="X76" s="222">
        <v>2161678439</v>
      </c>
      <c r="Y76" s="222">
        <f t="shared" si="17"/>
        <v>5057570738</v>
      </c>
      <c r="Z76" s="224">
        <f t="shared" si="24"/>
        <v>0.70056741553028123</v>
      </c>
      <c r="AA76" s="222">
        <v>2128292939</v>
      </c>
      <c r="AB76" s="222">
        <f t="shared" si="64"/>
        <v>33385500</v>
      </c>
      <c r="AC76" s="224">
        <f t="shared" si="65"/>
        <v>0.29480807308613</v>
      </c>
    </row>
    <row r="77" spans="1:52" ht="33">
      <c r="A77" s="32" t="str">
        <f t="shared" si="62"/>
        <v>A-02-02-02-008-004=10</v>
      </c>
      <c r="B77" s="217" t="str">
        <f t="shared" si="57"/>
        <v>A-02-02-02-008-004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38</v>
      </c>
      <c r="I77" s="219"/>
      <c r="J77" s="219"/>
      <c r="K77" s="220">
        <v>10</v>
      </c>
      <c r="L77" s="221" t="s">
        <v>29</v>
      </c>
      <c r="M77" s="217" t="s">
        <v>116</v>
      </c>
      <c r="N77" s="222">
        <v>2298000000</v>
      </c>
      <c r="O77" s="222"/>
      <c r="P77" s="222"/>
      <c r="Q77" s="223">
        <f>120491795.37+311197103+27793073+52000000</f>
        <v>511481971.37</v>
      </c>
      <c r="R77" s="223">
        <f>244065701+109801250.78</f>
        <v>353866951.77999997</v>
      </c>
      <c r="S77" s="223"/>
      <c r="T77" s="222">
        <f t="shared" si="63"/>
        <v>2455615019.5900002</v>
      </c>
      <c r="U77" s="222">
        <v>1220382044.8499999</v>
      </c>
      <c r="V77" s="222">
        <f t="shared" si="14"/>
        <v>1235232974.7400002</v>
      </c>
      <c r="W77" s="224">
        <f t="shared" si="18"/>
        <v>0.49697612822622333</v>
      </c>
      <c r="X77" s="222">
        <v>754087543</v>
      </c>
      <c r="Y77" s="222">
        <f t="shared" si="17"/>
        <v>466294501.8499999</v>
      </c>
      <c r="Z77" s="224">
        <f t="shared" si="24"/>
        <v>0.38208895633769613</v>
      </c>
      <c r="AA77" s="222">
        <v>752404903</v>
      </c>
      <c r="AB77" s="222">
        <f t="shared" si="64"/>
        <v>1682640</v>
      </c>
      <c r="AC77" s="224">
        <f t="shared" si="65"/>
        <v>0.61653226231501945</v>
      </c>
    </row>
    <row r="78" spans="1:52" ht="24.95" customHeight="1">
      <c r="A78" s="32" t="str">
        <f t="shared" si="62"/>
        <v>A-02-02-02-008-005=10</v>
      </c>
      <c r="B78" s="217" t="str">
        <f t="shared" si="57"/>
        <v>A-02-02-02-008-005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40</v>
      </c>
      <c r="I78" s="219"/>
      <c r="J78" s="219"/>
      <c r="K78" s="220">
        <v>10</v>
      </c>
      <c r="L78" s="221" t="s">
        <v>29</v>
      </c>
      <c r="M78" s="217" t="s">
        <v>117</v>
      </c>
      <c r="N78" s="222">
        <v>3859335661</v>
      </c>
      <c r="O78" s="222"/>
      <c r="P78" s="222"/>
      <c r="Q78" s="223">
        <f>3000000+1658656629+9968718+43341522</f>
        <v>1714966869</v>
      </c>
      <c r="R78" s="222">
        <v>5587945</v>
      </c>
      <c r="S78" s="223"/>
      <c r="T78" s="222">
        <f t="shared" si="63"/>
        <v>5568714585</v>
      </c>
      <c r="U78" s="222">
        <v>4669790099.2299995</v>
      </c>
      <c r="V78" s="222">
        <f t="shared" si="14"/>
        <v>898924485.77000046</v>
      </c>
      <c r="W78" s="224">
        <f t="shared" si="18"/>
        <v>0.83857594566053695</v>
      </c>
      <c r="X78" s="222">
        <v>1503440202</v>
      </c>
      <c r="Y78" s="222">
        <f t="shared" si="17"/>
        <v>3166349897.2299995</v>
      </c>
      <c r="Z78" s="224">
        <f t="shared" si="24"/>
        <v>0.67804972599348701</v>
      </c>
      <c r="AA78" s="222">
        <v>1172716680</v>
      </c>
      <c r="AB78" s="222">
        <f t="shared" si="64"/>
        <v>330723522</v>
      </c>
      <c r="AC78" s="224">
        <f t="shared" si="65"/>
        <v>0.25112834947193213</v>
      </c>
    </row>
    <row r="79" spans="1:52" ht="33">
      <c r="A79" s="32" t="str">
        <f t="shared" si="62"/>
        <v>A-02-02-02-008-007=10</v>
      </c>
      <c r="B79" s="217" t="str">
        <f t="shared" si="57"/>
        <v>A-02-02-02-008-007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44</v>
      </c>
      <c r="I79" s="219"/>
      <c r="J79" s="219"/>
      <c r="K79" s="220">
        <v>10</v>
      </c>
      <c r="L79" s="221" t="s">
        <v>29</v>
      </c>
      <c r="M79" s="217" t="s">
        <v>118</v>
      </c>
      <c r="N79" s="222">
        <v>1363025393</v>
      </c>
      <c r="O79" s="222"/>
      <c r="P79" s="222"/>
      <c r="Q79" s="223">
        <f>244065701+132036816.78</f>
        <v>376102517.77999997</v>
      </c>
      <c r="R79" s="223">
        <f>12300000+311197103+9968718</f>
        <v>333465821</v>
      </c>
      <c r="S79" s="223"/>
      <c r="T79" s="222">
        <f t="shared" si="63"/>
        <v>1405662089.78</v>
      </c>
      <c r="U79" s="222">
        <v>691181172</v>
      </c>
      <c r="V79" s="222">
        <f t="shared" si="14"/>
        <v>714480917.77999997</v>
      </c>
      <c r="W79" s="224">
        <f t="shared" si="18"/>
        <v>0.49171218106065356</v>
      </c>
      <c r="X79" s="222">
        <v>561025393</v>
      </c>
      <c r="Y79" s="222">
        <f t="shared" si="17"/>
        <v>130155779</v>
      </c>
      <c r="Z79" s="224">
        <f t="shared" si="24"/>
        <v>0.1883092078787123</v>
      </c>
      <c r="AA79" s="222">
        <v>561025393</v>
      </c>
      <c r="AB79" s="222">
        <f t="shared" si="64"/>
        <v>0</v>
      </c>
      <c r="AC79" s="224">
        <f t="shared" si="65"/>
        <v>0.8116907921212877</v>
      </c>
    </row>
    <row r="80" spans="1:52" s="250" customFormat="1" ht="33">
      <c r="A80" s="32" t="str">
        <f t="shared" si="62"/>
        <v>A-02-02-02-008-009=10</v>
      </c>
      <c r="B80" s="217" t="str">
        <f t="shared" si="57"/>
        <v>A-02-02-02-008-009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48</v>
      </c>
      <c r="I80" s="219"/>
      <c r="J80" s="219"/>
      <c r="K80" s="220">
        <v>10</v>
      </c>
      <c r="L80" s="221" t="s">
        <v>29</v>
      </c>
      <c r="M80" s="217" t="s">
        <v>119</v>
      </c>
      <c r="N80" s="222">
        <v>77000000</v>
      </c>
      <c r="O80" s="222"/>
      <c r="P80" s="222"/>
      <c r="Q80" s="223"/>
      <c r="R80" s="223"/>
      <c r="S80" s="223"/>
      <c r="T80" s="222">
        <f t="shared" si="63"/>
        <v>77000000</v>
      </c>
      <c r="U80" s="222">
        <v>45298500</v>
      </c>
      <c r="V80" s="222">
        <f t="shared" si="14"/>
        <v>31701500</v>
      </c>
      <c r="W80" s="224">
        <f t="shared" si="18"/>
        <v>0.58829220779220781</v>
      </c>
      <c r="X80" s="222">
        <v>500000</v>
      </c>
      <c r="Y80" s="222">
        <f t="shared" si="17"/>
        <v>44798500</v>
      </c>
      <c r="Z80" s="224">
        <f t="shared" si="24"/>
        <v>0.98896210691303243</v>
      </c>
      <c r="AA80" s="222">
        <v>500000</v>
      </c>
      <c r="AB80" s="222">
        <f t="shared" si="64"/>
        <v>0</v>
      </c>
      <c r="AC80" s="224">
        <f t="shared" si="65"/>
        <v>1.103789308696756E-2</v>
      </c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</row>
    <row r="81" spans="1:52" ht="24.95" customHeight="1">
      <c r="A81" s="32" t="str">
        <f t="shared" si="62"/>
        <v>A-02-02-02-009=10</v>
      </c>
      <c r="B81" s="210" t="str">
        <f>CONCATENATE(C81,"-",D81,"-",E81,"-",F81,"-",G81)</f>
        <v>A-02-02-02-009</v>
      </c>
      <c r="C81" s="211" t="s">
        <v>23</v>
      </c>
      <c r="D81" s="212" t="s">
        <v>54</v>
      </c>
      <c r="E81" s="212" t="s">
        <v>54</v>
      </c>
      <c r="F81" s="212" t="s">
        <v>54</v>
      </c>
      <c r="G81" s="212" t="s">
        <v>48</v>
      </c>
      <c r="H81" s="212"/>
      <c r="I81" s="212"/>
      <c r="J81" s="212"/>
      <c r="K81" s="213" t="s">
        <v>28</v>
      </c>
      <c r="L81" s="214" t="s">
        <v>29</v>
      </c>
      <c r="M81" s="210" t="s">
        <v>120</v>
      </c>
      <c r="N81" s="215">
        <f>SUM(N82:N86)</f>
        <v>2410636000</v>
      </c>
      <c r="O81" s="215">
        <f t="shared" ref="O81:AB81" si="66">SUM(O82:O86)</f>
        <v>0</v>
      </c>
      <c r="P81" s="215">
        <f t="shared" si="66"/>
        <v>0</v>
      </c>
      <c r="Q81" s="215">
        <f t="shared" si="66"/>
        <v>0</v>
      </c>
      <c r="R81" s="215">
        <f t="shared" si="66"/>
        <v>3934500</v>
      </c>
      <c r="S81" s="215">
        <f t="shared" si="66"/>
        <v>0</v>
      </c>
      <c r="T81" s="215">
        <f t="shared" si="66"/>
        <v>2406701500</v>
      </c>
      <c r="U81" s="215">
        <f t="shared" si="66"/>
        <v>226653352.58000001</v>
      </c>
      <c r="V81" s="215">
        <f t="shared" si="66"/>
        <v>2180048147.4200001</v>
      </c>
      <c r="W81" s="216">
        <f t="shared" ref="W81:W146" si="67">+IF(T81&gt;0,U81/T81,0)</f>
        <v>9.4175930243114908E-2</v>
      </c>
      <c r="X81" s="215">
        <f t="shared" si="66"/>
        <v>35646376.579999998</v>
      </c>
      <c r="Y81" s="215">
        <f t="shared" si="66"/>
        <v>191006976</v>
      </c>
      <c r="Z81" s="216">
        <f t="shared" si="24"/>
        <v>0.84272733593288374</v>
      </c>
      <c r="AA81" s="215">
        <f t="shared" si="66"/>
        <v>35607380.130000003</v>
      </c>
      <c r="AB81" s="215">
        <f t="shared" si="66"/>
        <v>38996.449999999255</v>
      </c>
      <c r="AC81" s="216">
        <f t="shared" si="65"/>
        <v>0.15710061079918045</v>
      </c>
    </row>
    <row r="82" spans="1:52" ht="24.95" customHeight="1">
      <c r="A82" s="32" t="str">
        <f t="shared" si="62"/>
        <v>A-02-02-02-009-002=10</v>
      </c>
      <c r="B82" s="217" t="str">
        <f t="shared" si="57"/>
        <v>A-02-02-02-009-002</v>
      </c>
      <c r="C82" s="218" t="s">
        <v>23</v>
      </c>
      <c r="D82" s="219" t="s">
        <v>54</v>
      </c>
      <c r="E82" s="219" t="s">
        <v>54</v>
      </c>
      <c r="F82" s="219" t="s">
        <v>54</v>
      </c>
      <c r="G82" s="219" t="s">
        <v>48</v>
      </c>
      <c r="H82" s="225" t="s">
        <v>34</v>
      </c>
      <c r="I82" s="219"/>
      <c r="J82" s="219"/>
      <c r="K82" s="220">
        <v>10</v>
      </c>
      <c r="L82" s="221" t="s">
        <v>29</v>
      </c>
      <c r="M82" s="217" t="s">
        <v>121</v>
      </c>
      <c r="N82" s="222">
        <v>730000000</v>
      </c>
      <c r="O82" s="222"/>
      <c r="P82" s="222"/>
      <c r="Q82" s="223"/>
      <c r="R82" s="223"/>
      <c r="S82" s="223"/>
      <c r="T82" s="222">
        <f>+N82-S82+O82-P82+Q82-R82</f>
        <v>730000000</v>
      </c>
      <c r="U82" s="222">
        <v>0</v>
      </c>
      <c r="V82" s="222">
        <f t="shared" si="14"/>
        <v>730000000</v>
      </c>
      <c r="W82" s="224">
        <f t="shared" si="67"/>
        <v>0</v>
      </c>
      <c r="X82" s="222">
        <v>0</v>
      </c>
      <c r="Y82" s="222">
        <f t="shared" si="17"/>
        <v>0</v>
      </c>
      <c r="Z82" s="224">
        <f t="shared" si="24"/>
        <v>0</v>
      </c>
      <c r="AA82" s="222">
        <v>0</v>
      </c>
      <c r="AB82" s="222">
        <f t="shared" ref="AB82:AB87" si="68">+X82-AA82</f>
        <v>0</v>
      </c>
      <c r="AC82" s="224">
        <f t="shared" si="65"/>
        <v>0</v>
      </c>
    </row>
    <row r="83" spans="1:52" ht="34.5" customHeight="1">
      <c r="A83" s="32" t="str">
        <f t="shared" si="62"/>
        <v>A-02-02-02-009-003=10</v>
      </c>
      <c r="B83" s="217" t="str">
        <f t="shared" si="57"/>
        <v>A-02-02-02-009-003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36</v>
      </c>
      <c r="I83" s="219"/>
      <c r="J83" s="219"/>
      <c r="K83" s="220">
        <v>10</v>
      </c>
      <c r="L83" s="221" t="s">
        <v>29</v>
      </c>
      <c r="M83" s="217" t="s">
        <v>122</v>
      </c>
      <c r="N83" s="222">
        <v>365636000</v>
      </c>
      <c r="O83" s="222"/>
      <c r="P83" s="222"/>
      <c r="Q83" s="223"/>
      <c r="R83" s="223"/>
      <c r="S83" s="223"/>
      <c r="T83" s="222">
        <f>+N83-S83+O83-P83+Q83-R83</f>
        <v>365636000</v>
      </c>
      <c r="U83" s="222">
        <v>130658154</v>
      </c>
      <c r="V83" s="222">
        <f t="shared" si="14"/>
        <v>234977846</v>
      </c>
      <c r="W83" s="224">
        <f t="shared" si="67"/>
        <v>0.35734488398297759</v>
      </c>
      <c r="X83" s="222">
        <v>22543156</v>
      </c>
      <c r="Y83" s="222">
        <f t="shared" si="17"/>
        <v>108114998</v>
      </c>
      <c r="Z83" s="224">
        <f t="shared" si="24"/>
        <v>0.8274646066100092</v>
      </c>
      <c r="AA83" s="222">
        <v>22543156</v>
      </c>
      <c r="AB83" s="222">
        <f t="shared" si="68"/>
        <v>0</v>
      </c>
      <c r="AC83" s="224">
        <f t="shared" si="65"/>
        <v>0.1725353933899908</v>
      </c>
    </row>
    <row r="84" spans="1:52" ht="49.5">
      <c r="A84" s="32" t="str">
        <f t="shared" si="62"/>
        <v>A-02-02-02-009-004=10</v>
      </c>
      <c r="B84" s="217" t="str">
        <f t="shared" si="57"/>
        <v>A-02-02-02-009-004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38</v>
      </c>
      <c r="I84" s="219"/>
      <c r="J84" s="219"/>
      <c r="K84" s="220">
        <v>10</v>
      </c>
      <c r="L84" s="221" t="s">
        <v>29</v>
      </c>
      <c r="M84" s="217" t="s">
        <v>123</v>
      </c>
      <c r="N84" s="222">
        <v>55000000</v>
      </c>
      <c r="O84" s="222"/>
      <c r="P84" s="222"/>
      <c r="Q84" s="223"/>
      <c r="R84" s="223"/>
      <c r="S84" s="223"/>
      <c r="T84" s="222">
        <f>+N84-S84+O84-P84+Q84-R84</f>
        <v>55000000</v>
      </c>
      <c r="U84" s="222">
        <v>13118698.58</v>
      </c>
      <c r="V84" s="222">
        <f t="shared" si="14"/>
        <v>41881301.420000002</v>
      </c>
      <c r="W84" s="224">
        <f t="shared" si="67"/>
        <v>0.23852179236363635</v>
      </c>
      <c r="X84" s="222">
        <v>13037720.58</v>
      </c>
      <c r="Y84" s="222">
        <f t="shared" si="17"/>
        <v>80978</v>
      </c>
      <c r="Z84" s="224">
        <f t="shared" si="24"/>
        <v>6.1727159524386293E-3</v>
      </c>
      <c r="AA84" s="222">
        <v>12998724.130000001</v>
      </c>
      <c r="AB84" s="222">
        <f t="shared" si="68"/>
        <v>38996.449999999255</v>
      </c>
      <c r="AC84" s="224">
        <f t="shared" si="65"/>
        <v>0.99085469878979415</v>
      </c>
    </row>
    <row r="85" spans="1:52" ht="24.95" customHeight="1">
      <c r="A85" s="32" t="str">
        <f t="shared" si="62"/>
        <v>A-02-02-02-009-006=10</v>
      </c>
      <c r="B85" s="217" t="str">
        <f t="shared" si="57"/>
        <v>A-02-02-02-009-006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42</v>
      </c>
      <c r="I85" s="219"/>
      <c r="J85" s="219"/>
      <c r="K85" s="220">
        <v>10</v>
      </c>
      <c r="L85" s="221" t="s">
        <v>29</v>
      </c>
      <c r="M85" s="217" t="s">
        <v>124</v>
      </c>
      <c r="N85" s="222">
        <v>1160000000</v>
      </c>
      <c r="O85" s="222"/>
      <c r="P85" s="222"/>
      <c r="Q85" s="223"/>
      <c r="R85" s="223"/>
      <c r="S85" s="223"/>
      <c r="T85" s="222">
        <f>+N85-S85+O85-P85+Q85-R85</f>
        <v>1160000000</v>
      </c>
      <c r="U85" s="222">
        <v>82811000</v>
      </c>
      <c r="V85" s="222">
        <f t="shared" si="14"/>
        <v>1077189000</v>
      </c>
      <c r="W85" s="224">
        <f t="shared" si="67"/>
        <v>7.138879310344827E-2</v>
      </c>
      <c r="X85" s="222">
        <v>0</v>
      </c>
      <c r="Y85" s="222">
        <f t="shared" si="17"/>
        <v>82811000</v>
      </c>
      <c r="Z85" s="224">
        <f t="shared" si="24"/>
        <v>1</v>
      </c>
      <c r="AA85" s="222">
        <v>0</v>
      </c>
      <c r="AB85" s="222">
        <f t="shared" si="68"/>
        <v>0</v>
      </c>
      <c r="AC85" s="224">
        <f t="shared" si="65"/>
        <v>0</v>
      </c>
    </row>
    <row r="86" spans="1:52" ht="24.95" customHeight="1">
      <c r="A86" s="32" t="str">
        <f t="shared" si="62"/>
        <v>A-02-02-02-009-007=10</v>
      </c>
      <c r="B86" s="217" t="str">
        <f t="shared" si="57"/>
        <v>A-02-02-02-009-007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44</v>
      </c>
      <c r="I86" s="219"/>
      <c r="J86" s="219"/>
      <c r="K86" s="220">
        <v>10</v>
      </c>
      <c r="L86" s="221" t="s">
        <v>29</v>
      </c>
      <c r="M86" s="217" t="s">
        <v>125</v>
      </c>
      <c r="N86" s="222">
        <v>100000000</v>
      </c>
      <c r="O86" s="222"/>
      <c r="P86" s="222"/>
      <c r="Q86" s="223"/>
      <c r="R86" s="223">
        <v>3934500</v>
      </c>
      <c r="S86" s="223"/>
      <c r="T86" s="222">
        <f>+N86-S86+O86-P86+Q86-R86</f>
        <v>96065500</v>
      </c>
      <c r="U86" s="222">
        <v>65500</v>
      </c>
      <c r="V86" s="222">
        <f>+T86-U86</f>
        <v>96000000</v>
      </c>
      <c r="W86" s="224">
        <f t="shared" si="67"/>
        <v>6.818264621534266E-4</v>
      </c>
      <c r="X86" s="222">
        <v>65500</v>
      </c>
      <c r="Y86" s="222">
        <f t="shared" si="17"/>
        <v>0</v>
      </c>
      <c r="Z86" s="224">
        <f t="shared" si="24"/>
        <v>0</v>
      </c>
      <c r="AA86" s="222">
        <v>65500</v>
      </c>
      <c r="AB86" s="222">
        <f t="shared" si="68"/>
        <v>0</v>
      </c>
      <c r="AC86" s="224">
        <f t="shared" si="65"/>
        <v>1</v>
      </c>
    </row>
    <row r="87" spans="1:52" ht="24.95" customHeight="1">
      <c r="A87" s="32" t="str">
        <f t="shared" si="62"/>
        <v>A-02-02-02-010=10</v>
      </c>
      <c r="B87" s="210" t="str">
        <f>CONCATENATE(C87,"-",D87,"-",E87,"-",F87,"-",G87)</f>
        <v>A-02-02-02-010</v>
      </c>
      <c r="C87" s="211" t="s">
        <v>23</v>
      </c>
      <c r="D87" s="212" t="s">
        <v>54</v>
      </c>
      <c r="E87" s="212" t="s">
        <v>54</v>
      </c>
      <c r="F87" s="212" t="s">
        <v>54</v>
      </c>
      <c r="G87" s="212" t="s">
        <v>50</v>
      </c>
      <c r="H87" s="212"/>
      <c r="I87" s="212"/>
      <c r="J87" s="212"/>
      <c r="K87" s="213" t="s">
        <v>28</v>
      </c>
      <c r="L87" s="214" t="s">
        <v>29</v>
      </c>
      <c r="M87" s="210" t="s">
        <v>126</v>
      </c>
      <c r="N87" s="215">
        <v>1170310070</v>
      </c>
      <c r="O87" s="215"/>
      <c r="P87" s="215"/>
      <c r="Q87" s="215"/>
      <c r="R87" s="215"/>
      <c r="S87" s="215"/>
      <c r="T87" s="215">
        <f t="shared" ref="T87" si="69">+N87+O87-P87+Q87-R87-S87</f>
        <v>1170310070</v>
      </c>
      <c r="U87" s="215">
        <v>273611907</v>
      </c>
      <c r="V87" s="215">
        <f t="shared" ref="V87" si="70">+T87-U87</f>
        <v>896698163</v>
      </c>
      <c r="W87" s="216">
        <f t="shared" si="67"/>
        <v>0.23379437126436073</v>
      </c>
      <c r="X87" s="215">
        <v>255763232</v>
      </c>
      <c r="Y87" s="215">
        <f t="shared" si="17"/>
        <v>17848675</v>
      </c>
      <c r="Z87" s="216">
        <f t="shared" si="24"/>
        <v>6.5233546287150432E-2</v>
      </c>
      <c r="AA87" s="215">
        <v>255763232</v>
      </c>
      <c r="AB87" s="215">
        <f t="shared" si="68"/>
        <v>0</v>
      </c>
      <c r="AC87" s="216">
        <f t="shared" si="65"/>
        <v>0.93476645371284961</v>
      </c>
    </row>
    <row r="88" spans="1:52" ht="35.1" customHeight="1">
      <c r="A88" s="32" t="str">
        <f t="shared" si="62"/>
        <v>A-03=</v>
      </c>
      <c r="B88" s="188" t="str">
        <f>CONCATENATE(C88,"-",D88)</f>
        <v>A-03</v>
      </c>
      <c r="C88" s="189" t="s">
        <v>23</v>
      </c>
      <c r="D88" s="191" t="s">
        <v>65</v>
      </c>
      <c r="E88" s="191"/>
      <c r="F88" s="191"/>
      <c r="G88" s="191"/>
      <c r="H88" s="191"/>
      <c r="I88" s="191"/>
      <c r="J88" s="191"/>
      <c r="K88" s="192"/>
      <c r="L88" s="193"/>
      <c r="M88" s="188" t="s">
        <v>127</v>
      </c>
      <c r="N88" s="194">
        <f>+N89+N93+N99</f>
        <v>15140000000</v>
      </c>
      <c r="O88" s="194">
        <f t="shared" ref="O88:V88" si="71">+O89+O93+O99</f>
        <v>991465489896</v>
      </c>
      <c r="P88" s="194">
        <f t="shared" si="71"/>
        <v>0</v>
      </c>
      <c r="Q88" s="194">
        <f t="shared" si="71"/>
        <v>36000000</v>
      </c>
      <c r="R88" s="194">
        <f t="shared" si="71"/>
        <v>36000000</v>
      </c>
      <c r="S88" s="194">
        <f t="shared" si="71"/>
        <v>11791000000</v>
      </c>
      <c r="T88" s="194">
        <f t="shared" si="71"/>
        <v>994814489896</v>
      </c>
      <c r="U88" s="194">
        <f t="shared" si="71"/>
        <v>495989415900</v>
      </c>
      <c r="V88" s="194">
        <f t="shared" si="71"/>
        <v>498825073996</v>
      </c>
      <c r="W88" s="195">
        <f t="shared" si="67"/>
        <v>0.49857478046168363</v>
      </c>
      <c r="X88" s="194">
        <f t="shared" ref="X88:Y88" si="72">+X89+X93+X99</f>
        <v>489869886043</v>
      </c>
      <c r="Y88" s="194">
        <f t="shared" si="72"/>
        <v>6119529857</v>
      </c>
      <c r="Z88" s="195">
        <f t="shared" si="24"/>
        <v>1.2338025088490603E-2</v>
      </c>
      <c r="AA88" s="194">
        <f t="shared" ref="AA88:AB88" si="73">+AA89+AA93+AA99</f>
        <v>489869886043</v>
      </c>
      <c r="AB88" s="194">
        <f t="shared" si="73"/>
        <v>0</v>
      </c>
      <c r="AC88" s="195">
        <f t="shared" si="65"/>
        <v>0.98766197491150942</v>
      </c>
    </row>
    <row r="89" spans="1:52" ht="24.95" customHeight="1">
      <c r="A89" s="32" t="str">
        <f t="shared" si="62"/>
        <v>A-03-03=</v>
      </c>
      <c r="B89" s="196" t="str">
        <f>CONCATENATE(C89,"-",D89,"-",E89)</f>
        <v>A-03-03</v>
      </c>
      <c r="C89" s="197" t="s">
        <v>23</v>
      </c>
      <c r="D89" s="198" t="s">
        <v>65</v>
      </c>
      <c r="E89" s="198" t="s">
        <v>65</v>
      </c>
      <c r="F89" s="198"/>
      <c r="G89" s="198"/>
      <c r="H89" s="198"/>
      <c r="I89" s="198"/>
      <c r="J89" s="198"/>
      <c r="K89" s="199"/>
      <c r="L89" s="200"/>
      <c r="M89" s="196" t="s">
        <v>128</v>
      </c>
      <c r="N89" s="201">
        <f>+N90</f>
        <v>11791000000</v>
      </c>
      <c r="O89" s="201">
        <f t="shared" ref="O89:V89" si="74">+O90</f>
        <v>991465489896</v>
      </c>
      <c r="P89" s="201">
        <f t="shared" si="74"/>
        <v>0</v>
      </c>
      <c r="Q89" s="201">
        <f t="shared" si="74"/>
        <v>0</v>
      </c>
      <c r="R89" s="201">
        <f t="shared" si="74"/>
        <v>0</v>
      </c>
      <c r="S89" s="201">
        <f t="shared" si="74"/>
        <v>11791000000</v>
      </c>
      <c r="T89" s="201">
        <f t="shared" si="74"/>
        <v>991465489896</v>
      </c>
      <c r="U89" s="201">
        <f t="shared" si="74"/>
        <v>495650022656</v>
      </c>
      <c r="V89" s="201">
        <f t="shared" si="74"/>
        <v>495815467240</v>
      </c>
      <c r="W89" s="202">
        <f t="shared" si="67"/>
        <v>0.49991656563658238</v>
      </c>
      <c r="X89" s="201">
        <f t="shared" ref="X89:Y89" si="75">+X90</f>
        <v>489582362000</v>
      </c>
      <c r="Y89" s="201">
        <f t="shared" si="75"/>
        <v>6067660656</v>
      </c>
      <c r="Z89" s="202">
        <f t="shared" si="24"/>
        <v>1.2241824631593304E-2</v>
      </c>
      <c r="AA89" s="201">
        <f t="shared" ref="AA89:AB89" si="76">+AA90</f>
        <v>489582362000</v>
      </c>
      <c r="AB89" s="201">
        <f t="shared" si="76"/>
        <v>0</v>
      </c>
      <c r="AC89" s="202">
        <f t="shared" si="65"/>
        <v>0.98775817536840671</v>
      </c>
    </row>
    <row r="90" spans="1:52" s="64" customFormat="1" ht="24.95" customHeight="1">
      <c r="A90" s="32" t="str">
        <f t="shared" si="62"/>
        <v>A-03-03-01=</v>
      </c>
      <c r="B90" s="203" t="str">
        <f>CONCATENATE(C90,"-",D90,"-",E90,"-",F90)</f>
        <v>A-03-03-01</v>
      </c>
      <c r="C90" s="204" t="s">
        <v>23</v>
      </c>
      <c r="D90" s="205" t="s">
        <v>65</v>
      </c>
      <c r="E90" s="205" t="s">
        <v>65</v>
      </c>
      <c r="F90" s="256" t="s">
        <v>25</v>
      </c>
      <c r="G90" s="205"/>
      <c r="H90" s="205"/>
      <c r="I90" s="205"/>
      <c r="J90" s="205"/>
      <c r="K90" s="206"/>
      <c r="L90" s="207"/>
      <c r="M90" s="203" t="s">
        <v>129</v>
      </c>
      <c r="N90" s="208">
        <f>SUM(N91:N92)</f>
        <v>11791000000</v>
      </c>
      <c r="O90" s="208">
        <f t="shared" ref="O90:V90" si="77">SUM(O91:O92)</f>
        <v>991465489896</v>
      </c>
      <c r="P90" s="208">
        <f t="shared" si="77"/>
        <v>0</v>
      </c>
      <c r="Q90" s="208">
        <f t="shared" si="77"/>
        <v>0</v>
      </c>
      <c r="R90" s="208">
        <f t="shared" si="77"/>
        <v>0</v>
      </c>
      <c r="S90" s="208">
        <f t="shared" si="77"/>
        <v>11791000000</v>
      </c>
      <c r="T90" s="208">
        <f t="shared" si="77"/>
        <v>991465489896</v>
      </c>
      <c r="U90" s="208">
        <f t="shared" si="77"/>
        <v>495650022656</v>
      </c>
      <c r="V90" s="208">
        <f t="shared" si="77"/>
        <v>495815467240</v>
      </c>
      <c r="W90" s="209">
        <f t="shared" si="67"/>
        <v>0.49991656563658238</v>
      </c>
      <c r="X90" s="208">
        <f t="shared" ref="X90:Y90" si="78">SUM(X91:X92)</f>
        <v>489582362000</v>
      </c>
      <c r="Y90" s="208">
        <f t="shared" si="78"/>
        <v>6067660656</v>
      </c>
      <c r="Z90" s="209">
        <f t="shared" si="24"/>
        <v>1.2241824631593304E-2</v>
      </c>
      <c r="AA90" s="208">
        <f t="shared" ref="AA90:AB90" si="79">SUM(AA91:AA92)</f>
        <v>489582362000</v>
      </c>
      <c r="AB90" s="208">
        <f t="shared" si="79"/>
        <v>0</v>
      </c>
      <c r="AC90" s="209">
        <f t="shared" si="65"/>
        <v>0.98775817536840671</v>
      </c>
      <c r="AD90" s="13"/>
      <c r="AE90" s="257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  <c r="AW90" s="257"/>
      <c r="AX90" s="257"/>
      <c r="AY90" s="257"/>
      <c r="AZ90" s="257"/>
    </row>
    <row r="91" spans="1:52" s="64" customFormat="1" ht="24.95" customHeight="1">
      <c r="A91" s="32" t="str">
        <f t="shared" si="62"/>
        <v>A-03-03-01-082=54</v>
      </c>
      <c r="B91" s="217" t="str">
        <f>CONCATENATE(C91,"-",D91,"-",E91,"-",F91,"-",G91)</f>
        <v>A-03-03-01-082</v>
      </c>
      <c r="C91" s="218" t="s">
        <v>23</v>
      </c>
      <c r="D91" s="219" t="s">
        <v>65</v>
      </c>
      <c r="E91" s="219" t="s">
        <v>65</v>
      </c>
      <c r="F91" s="219" t="s">
        <v>25</v>
      </c>
      <c r="G91" s="225" t="s">
        <v>130</v>
      </c>
      <c r="H91" s="219"/>
      <c r="I91" s="219"/>
      <c r="J91" s="219"/>
      <c r="K91" s="220">
        <v>54</v>
      </c>
      <c r="L91" s="221" t="s">
        <v>29</v>
      </c>
      <c r="M91" s="217" t="s">
        <v>748</v>
      </c>
      <c r="N91" s="222">
        <v>0</v>
      </c>
      <c r="O91" s="222">
        <f>496494923000+494970566896</f>
        <v>991465489896</v>
      </c>
      <c r="P91" s="222"/>
      <c r="Q91" s="222"/>
      <c r="R91" s="222"/>
      <c r="S91" s="222"/>
      <c r="T91" s="222">
        <f>+N91+O91-P91+Q91-R91-S91</f>
        <v>991465489896</v>
      </c>
      <c r="U91" s="222">
        <v>495650022656</v>
      </c>
      <c r="V91" s="222">
        <f t="shared" ref="V91:V92" si="80">+T91-U91</f>
        <v>495815467240</v>
      </c>
      <c r="W91" s="224">
        <f t="shared" si="67"/>
        <v>0.49991656563658238</v>
      </c>
      <c r="X91" s="222">
        <v>489582362000</v>
      </c>
      <c r="Y91" s="222">
        <f t="shared" ref="Y91:Y92" si="81">+U91-X91</f>
        <v>6067660656</v>
      </c>
      <c r="Z91" s="224">
        <f t="shared" ref="Z91:Z154" si="82">+IF(U91&gt;0,Y91/U91,0)</f>
        <v>1.2241824631593304E-2</v>
      </c>
      <c r="AA91" s="222">
        <v>489582362000</v>
      </c>
      <c r="AB91" s="222">
        <f t="shared" ref="AB91:AB92" si="83">+X91-AA91</f>
        <v>0</v>
      </c>
      <c r="AC91" s="224">
        <f t="shared" si="65"/>
        <v>0.98775817536840671</v>
      </c>
      <c r="AD91" s="13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  <c r="AW91" s="257"/>
      <c r="AX91" s="257"/>
      <c r="AY91" s="257"/>
      <c r="AZ91" s="257"/>
    </row>
    <row r="92" spans="1:52" ht="24.95" customHeight="1">
      <c r="A92" s="32" t="str">
        <f t="shared" si="62"/>
        <v>A-03-03-01-999=10</v>
      </c>
      <c r="B92" s="217" t="str">
        <f>CONCATENATE(C92,"-",D92,"-",E92,"-",F92,"-",G92)</f>
        <v>A-03-03-01-999</v>
      </c>
      <c r="C92" s="218" t="s">
        <v>23</v>
      </c>
      <c r="D92" s="219" t="s">
        <v>65</v>
      </c>
      <c r="E92" s="219" t="s">
        <v>65</v>
      </c>
      <c r="F92" s="219" t="s">
        <v>25</v>
      </c>
      <c r="G92" s="219" t="s">
        <v>134</v>
      </c>
      <c r="H92" s="219"/>
      <c r="I92" s="219"/>
      <c r="J92" s="219"/>
      <c r="K92" s="220" t="s">
        <v>28</v>
      </c>
      <c r="L92" s="221" t="s">
        <v>29</v>
      </c>
      <c r="M92" s="217" t="s">
        <v>135</v>
      </c>
      <c r="N92" s="222">
        <v>11791000000</v>
      </c>
      <c r="O92" s="222"/>
      <c r="P92" s="222"/>
      <c r="Q92" s="222"/>
      <c r="R92" s="222"/>
      <c r="S92" s="222">
        <v>11791000000</v>
      </c>
      <c r="T92" s="222">
        <f>+N92-S92+O92-P92+Q92-R92</f>
        <v>0</v>
      </c>
      <c r="U92" s="222">
        <v>0</v>
      </c>
      <c r="V92" s="222">
        <f t="shared" si="80"/>
        <v>0</v>
      </c>
      <c r="W92" s="224">
        <f t="shared" si="67"/>
        <v>0</v>
      </c>
      <c r="X92" s="222">
        <v>0</v>
      </c>
      <c r="Y92" s="222">
        <f t="shared" si="81"/>
        <v>0</v>
      </c>
      <c r="Z92" s="224">
        <f t="shared" si="82"/>
        <v>0</v>
      </c>
      <c r="AA92" s="222">
        <v>0</v>
      </c>
      <c r="AB92" s="222">
        <f t="shared" si="83"/>
        <v>0</v>
      </c>
      <c r="AC92" s="224">
        <f t="shared" si="65"/>
        <v>0</v>
      </c>
    </row>
    <row r="93" spans="1:52" ht="24.95" customHeight="1">
      <c r="A93" s="32" t="str">
        <f t="shared" si="62"/>
        <v>A-03-04=</v>
      </c>
      <c r="B93" s="196" t="str">
        <f>CONCATENATE(C93,"-",D93,"-",E93)</f>
        <v>A-03-04</v>
      </c>
      <c r="C93" s="197" t="s">
        <v>23</v>
      </c>
      <c r="D93" s="198" t="s">
        <v>65</v>
      </c>
      <c r="E93" s="198" t="s">
        <v>136</v>
      </c>
      <c r="F93" s="198"/>
      <c r="G93" s="198"/>
      <c r="H93" s="198"/>
      <c r="I93" s="198"/>
      <c r="J93" s="198"/>
      <c r="K93" s="199"/>
      <c r="L93" s="200"/>
      <c r="M93" s="196" t="s">
        <v>137</v>
      </c>
      <c r="N93" s="201">
        <f>+N94</f>
        <v>752000000</v>
      </c>
      <c r="O93" s="201">
        <f t="shared" ref="O93:AB94" si="84">+O94</f>
        <v>0</v>
      </c>
      <c r="P93" s="201">
        <f t="shared" si="84"/>
        <v>0</v>
      </c>
      <c r="Q93" s="201">
        <f t="shared" si="84"/>
        <v>36000000</v>
      </c>
      <c r="R93" s="201">
        <f t="shared" si="84"/>
        <v>36000000</v>
      </c>
      <c r="S93" s="201">
        <f t="shared" si="84"/>
        <v>0</v>
      </c>
      <c r="T93" s="201">
        <f t="shared" si="84"/>
        <v>752000000</v>
      </c>
      <c r="U93" s="201">
        <f t="shared" si="84"/>
        <v>339393244</v>
      </c>
      <c r="V93" s="201">
        <f t="shared" si="84"/>
        <v>412606756</v>
      </c>
      <c r="W93" s="202">
        <f t="shared" si="67"/>
        <v>0.45132080319148937</v>
      </c>
      <c r="X93" s="201">
        <f t="shared" si="84"/>
        <v>287524043</v>
      </c>
      <c r="Y93" s="201">
        <f t="shared" si="84"/>
        <v>51869201</v>
      </c>
      <c r="Z93" s="202">
        <f t="shared" si="82"/>
        <v>0.15282920893970417</v>
      </c>
      <c r="AA93" s="201">
        <f t="shared" si="84"/>
        <v>287524043</v>
      </c>
      <c r="AB93" s="201">
        <f t="shared" si="84"/>
        <v>0</v>
      </c>
      <c r="AC93" s="202">
        <f t="shared" si="65"/>
        <v>0.8471707910602958</v>
      </c>
    </row>
    <row r="94" spans="1:52" ht="24.95" customHeight="1">
      <c r="A94" s="32" t="str">
        <f t="shared" si="62"/>
        <v>A-03-04-02=10</v>
      </c>
      <c r="B94" s="203" t="str">
        <f>CONCATENATE(C94,"-",D94,"-",E94,"-",F94)</f>
        <v>A-03-04-02</v>
      </c>
      <c r="C94" s="204" t="s">
        <v>23</v>
      </c>
      <c r="D94" s="205" t="s">
        <v>65</v>
      </c>
      <c r="E94" s="205" t="s">
        <v>136</v>
      </c>
      <c r="F94" s="205" t="s">
        <v>54</v>
      </c>
      <c r="G94" s="205"/>
      <c r="H94" s="205"/>
      <c r="I94" s="205"/>
      <c r="J94" s="205"/>
      <c r="K94" s="206" t="s">
        <v>28</v>
      </c>
      <c r="L94" s="207" t="s">
        <v>29</v>
      </c>
      <c r="M94" s="203" t="s">
        <v>138</v>
      </c>
      <c r="N94" s="208">
        <f>+N95</f>
        <v>752000000</v>
      </c>
      <c r="O94" s="208">
        <f t="shared" si="84"/>
        <v>0</v>
      </c>
      <c r="P94" s="208">
        <f t="shared" si="84"/>
        <v>0</v>
      </c>
      <c r="Q94" s="208">
        <f t="shared" si="84"/>
        <v>36000000</v>
      </c>
      <c r="R94" s="208">
        <f t="shared" si="84"/>
        <v>36000000</v>
      </c>
      <c r="S94" s="208">
        <f t="shared" si="84"/>
        <v>0</v>
      </c>
      <c r="T94" s="208">
        <f t="shared" si="84"/>
        <v>752000000</v>
      </c>
      <c r="U94" s="208">
        <f t="shared" si="84"/>
        <v>339393244</v>
      </c>
      <c r="V94" s="208">
        <f t="shared" si="84"/>
        <v>412606756</v>
      </c>
      <c r="W94" s="209">
        <f t="shared" si="67"/>
        <v>0.45132080319148937</v>
      </c>
      <c r="X94" s="208">
        <f t="shared" si="84"/>
        <v>287524043</v>
      </c>
      <c r="Y94" s="208">
        <f t="shared" si="84"/>
        <v>51869201</v>
      </c>
      <c r="Z94" s="209">
        <f t="shared" si="82"/>
        <v>0.15282920893970417</v>
      </c>
      <c r="AA94" s="208">
        <f t="shared" si="84"/>
        <v>287524043</v>
      </c>
      <c r="AB94" s="208">
        <f t="shared" si="84"/>
        <v>0</v>
      </c>
      <c r="AC94" s="209">
        <f t="shared" si="65"/>
        <v>0.8471707910602958</v>
      </c>
    </row>
    <row r="95" spans="1:52" s="64" customFormat="1" ht="24.95" customHeight="1">
      <c r="A95" s="32" t="str">
        <f t="shared" si="62"/>
        <v>A-03-04-02-012=10</v>
      </c>
      <c r="B95" s="210" t="str">
        <f>CONCATENATE(C95,"-",D95,"-",E95,"-",F95,"-",G95)</f>
        <v>A-03-04-02-012</v>
      </c>
      <c r="C95" s="211" t="s">
        <v>23</v>
      </c>
      <c r="D95" s="212" t="s">
        <v>65</v>
      </c>
      <c r="E95" s="212" t="s">
        <v>136</v>
      </c>
      <c r="F95" s="212" t="s">
        <v>54</v>
      </c>
      <c r="G95" s="212" t="s">
        <v>52</v>
      </c>
      <c r="H95" s="212"/>
      <c r="I95" s="212"/>
      <c r="J95" s="212"/>
      <c r="K95" s="213" t="s">
        <v>28</v>
      </c>
      <c r="L95" s="214" t="s">
        <v>29</v>
      </c>
      <c r="M95" s="210" t="s">
        <v>139</v>
      </c>
      <c r="N95" s="215">
        <f>SUM(N96:N98)</f>
        <v>752000000</v>
      </c>
      <c r="O95" s="215">
        <f t="shared" ref="O95:V95" si="85">SUM(O96:O98)</f>
        <v>0</v>
      </c>
      <c r="P95" s="215">
        <f t="shared" si="85"/>
        <v>0</v>
      </c>
      <c r="Q95" s="215">
        <f t="shared" si="85"/>
        <v>36000000</v>
      </c>
      <c r="R95" s="215">
        <f t="shared" si="85"/>
        <v>36000000</v>
      </c>
      <c r="S95" s="215">
        <f t="shared" si="85"/>
        <v>0</v>
      </c>
      <c r="T95" s="215">
        <f t="shared" si="85"/>
        <v>752000000</v>
      </c>
      <c r="U95" s="215">
        <f t="shared" si="85"/>
        <v>339393244</v>
      </c>
      <c r="V95" s="215">
        <f t="shared" si="85"/>
        <v>412606756</v>
      </c>
      <c r="W95" s="216">
        <f t="shared" si="67"/>
        <v>0.45132080319148937</v>
      </c>
      <c r="X95" s="215">
        <f t="shared" ref="X95:Y95" si="86">SUM(X96:X98)</f>
        <v>287524043</v>
      </c>
      <c r="Y95" s="215">
        <f t="shared" si="86"/>
        <v>51869201</v>
      </c>
      <c r="Z95" s="216">
        <f t="shared" si="82"/>
        <v>0.15282920893970417</v>
      </c>
      <c r="AA95" s="215">
        <f t="shared" ref="AA95:AB95" si="87">SUM(AA96:AA98)</f>
        <v>287524043</v>
      </c>
      <c r="AB95" s="215">
        <f t="shared" si="87"/>
        <v>0</v>
      </c>
      <c r="AC95" s="216">
        <f t="shared" si="65"/>
        <v>0.8471707910602958</v>
      </c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ht="24.95" customHeight="1">
      <c r="A96" s="32" t="str">
        <f t="shared" si="62"/>
        <v>A-03-04-02-012-001=10</v>
      </c>
      <c r="B96" s="217" t="str">
        <f>CONCATENATE(C96,"-",D96,"-",E96,"-",F96,"-",G96,"-",H96)</f>
        <v>A-03-04-02-012-001</v>
      </c>
      <c r="C96" s="218" t="s">
        <v>23</v>
      </c>
      <c r="D96" s="219" t="s">
        <v>65</v>
      </c>
      <c r="E96" s="219" t="s">
        <v>136</v>
      </c>
      <c r="F96" s="219" t="s">
        <v>54</v>
      </c>
      <c r="G96" s="219" t="s">
        <v>52</v>
      </c>
      <c r="H96" s="219" t="s">
        <v>31</v>
      </c>
      <c r="I96" s="219"/>
      <c r="J96" s="219"/>
      <c r="K96" s="220" t="s">
        <v>28</v>
      </c>
      <c r="L96" s="221" t="s">
        <v>29</v>
      </c>
      <c r="M96" s="217" t="s">
        <v>140</v>
      </c>
      <c r="N96" s="222">
        <v>402000000</v>
      </c>
      <c r="O96" s="222"/>
      <c r="P96" s="222"/>
      <c r="Q96" s="222"/>
      <c r="R96" s="222"/>
      <c r="S96" s="222"/>
      <c r="T96" s="222">
        <f>+N96-S96+O96-P96+Q96-R96</f>
        <v>402000000</v>
      </c>
      <c r="U96" s="222">
        <v>221572384</v>
      </c>
      <c r="V96" s="222">
        <f t="shared" si="14"/>
        <v>180427616</v>
      </c>
      <c r="W96" s="224">
        <f t="shared" si="67"/>
        <v>0.55117508457711439</v>
      </c>
      <c r="X96" s="222">
        <v>185117094</v>
      </c>
      <c r="Y96" s="222">
        <f t="shared" si="17"/>
        <v>36455290</v>
      </c>
      <c r="Z96" s="224">
        <f t="shared" si="82"/>
        <v>0.16452993528290963</v>
      </c>
      <c r="AA96" s="222">
        <v>185117094</v>
      </c>
      <c r="AB96" s="222">
        <f t="shared" si="15"/>
        <v>0</v>
      </c>
      <c r="AC96" s="224">
        <f t="shared" si="65"/>
        <v>0.8354700647170904</v>
      </c>
    </row>
    <row r="97" spans="1:52" ht="24.95" customHeight="1">
      <c r="A97" s="32" t="str">
        <f t="shared" si="62"/>
        <v>A-03-04-02-012-002=10</v>
      </c>
      <c r="B97" s="217" t="str">
        <f>CONCATENATE(C97,"-",D97,"-",E97,"-",F97,"-",G97,"-",H97)</f>
        <v>A-03-04-02-012-002</v>
      </c>
      <c r="C97" s="218" t="s">
        <v>23</v>
      </c>
      <c r="D97" s="219" t="s">
        <v>65</v>
      </c>
      <c r="E97" s="219" t="s">
        <v>136</v>
      </c>
      <c r="F97" s="219" t="s">
        <v>54</v>
      </c>
      <c r="G97" s="219" t="s">
        <v>52</v>
      </c>
      <c r="H97" s="219" t="s">
        <v>34</v>
      </c>
      <c r="I97" s="219"/>
      <c r="J97" s="219"/>
      <c r="K97" s="220" t="s">
        <v>28</v>
      </c>
      <c r="L97" s="221" t="s">
        <v>29</v>
      </c>
      <c r="M97" s="217" t="s">
        <v>141</v>
      </c>
      <c r="N97" s="222">
        <v>350000000</v>
      </c>
      <c r="O97" s="222"/>
      <c r="P97" s="222"/>
      <c r="Q97" s="223"/>
      <c r="R97" s="223">
        <v>36000000</v>
      </c>
      <c r="S97" s="223"/>
      <c r="T97" s="222">
        <f>+N97-S97+O97-P97+Q97-R97</f>
        <v>314000000</v>
      </c>
      <c r="U97" s="222">
        <v>81829986</v>
      </c>
      <c r="V97" s="222">
        <f t="shared" si="14"/>
        <v>232170014</v>
      </c>
      <c r="W97" s="224">
        <f t="shared" si="67"/>
        <v>0.26060505095541403</v>
      </c>
      <c r="X97" s="222">
        <v>66416075</v>
      </c>
      <c r="Y97" s="222">
        <f t="shared" si="17"/>
        <v>15413911</v>
      </c>
      <c r="Z97" s="224">
        <f t="shared" si="82"/>
        <v>0.18836506949909534</v>
      </c>
      <c r="AA97" s="222">
        <v>66416075</v>
      </c>
      <c r="AB97" s="222">
        <f t="shared" si="15"/>
        <v>0</v>
      </c>
      <c r="AC97" s="224">
        <f t="shared" si="65"/>
        <v>0.81163493050090463</v>
      </c>
    </row>
    <row r="98" spans="1:52" s="64" customFormat="1" ht="24.95" customHeight="1">
      <c r="A98" s="32" t="str">
        <f t="shared" si="62"/>
        <v>A-03-04-02-025=10</v>
      </c>
      <c r="B98" s="217" t="str">
        <f>CONCATENATE(C98,"-",D98,"-",E98,"-",F98,"-",G98)</f>
        <v>A-03-04-02-025</v>
      </c>
      <c r="C98" s="218" t="s">
        <v>23</v>
      </c>
      <c r="D98" s="219" t="s">
        <v>65</v>
      </c>
      <c r="E98" s="219" t="s">
        <v>136</v>
      </c>
      <c r="F98" s="219" t="s">
        <v>54</v>
      </c>
      <c r="G98" s="225" t="s">
        <v>142</v>
      </c>
      <c r="H98" s="219"/>
      <c r="I98" s="219"/>
      <c r="J98" s="219"/>
      <c r="K98" s="220" t="s">
        <v>28</v>
      </c>
      <c r="L98" s="221" t="s">
        <v>29</v>
      </c>
      <c r="M98" s="217" t="s">
        <v>260</v>
      </c>
      <c r="N98" s="222">
        <v>0</v>
      </c>
      <c r="O98" s="222"/>
      <c r="P98" s="222"/>
      <c r="Q98" s="223">
        <v>36000000</v>
      </c>
      <c r="R98" s="223"/>
      <c r="S98" s="223"/>
      <c r="T98" s="222">
        <f t="shared" ref="T98" si="88">+N98+O98-P98+Q98-R98-S98</f>
        <v>36000000</v>
      </c>
      <c r="U98" s="222">
        <v>35990874</v>
      </c>
      <c r="V98" s="222">
        <f t="shared" si="14"/>
        <v>9126</v>
      </c>
      <c r="W98" s="224">
        <f t="shared" si="67"/>
        <v>0.99974649999999998</v>
      </c>
      <c r="X98" s="222">
        <v>35990874</v>
      </c>
      <c r="Y98" s="222">
        <f t="shared" si="17"/>
        <v>0</v>
      </c>
      <c r="Z98" s="224">
        <f t="shared" si="82"/>
        <v>0</v>
      </c>
      <c r="AA98" s="222">
        <v>35990874</v>
      </c>
      <c r="AB98" s="222">
        <f t="shared" si="15"/>
        <v>0</v>
      </c>
      <c r="AC98" s="224">
        <f t="shared" si="65"/>
        <v>1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24.95" customHeight="1">
      <c r="A99" s="32" t="str">
        <f t="shared" si="62"/>
        <v>A-03-10=</v>
      </c>
      <c r="B99" s="196" t="str">
        <f>CONCATENATE(C99,"-",D99,"-",E99)</f>
        <v>A-03-10</v>
      </c>
      <c r="C99" s="197" t="s">
        <v>23</v>
      </c>
      <c r="D99" s="198" t="s">
        <v>65</v>
      </c>
      <c r="E99" s="198" t="s">
        <v>28</v>
      </c>
      <c r="F99" s="198"/>
      <c r="G99" s="198"/>
      <c r="H99" s="198"/>
      <c r="I99" s="198"/>
      <c r="J99" s="198"/>
      <c r="K99" s="199"/>
      <c r="L99" s="200"/>
      <c r="M99" s="196" t="s">
        <v>143</v>
      </c>
      <c r="N99" s="201">
        <f>+N100</f>
        <v>2597000000</v>
      </c>
      <c r="O99" s="201">
        <f t="shared" ref="O99:V99" si="89">+O100</f>
        <v>0</v>
      </c>
      <c r="P99" s="201">
        <f t="shared" si="89"/>
        <v>0</v>
      </c>
      <c r="Q99" s="201">
        <f t="shared" si="89"/>
        <v>0</v>
      </c>
      <c r="R99" s="201">
        <f t="shared" si="89"/>
        <v>0</v>
      </c>
      <c r="S99" s="201">
        <f t="shared" si="89"/>
        <v>0</v>
      </c>
      <c r="T99" s="201">
        <f t="shared" si="89"/>
        <v>2597000000</v>
      </c>
      <c r="U99" s="201">
        <f t="shared" si="89"/>
        <v>0</v>
      </c>
      <c r="V99" s="201">
        <f t="shared" si="89"/>
        <v>2597000000</v>
      </c>
      <c r="W99" s="202">
        <f t="shared" si="67"/>
        <v>0</v>
      </c>
      <c r="X99" s="201">
        <f t="shared" ref="X99:AB99" si="90">+X100</f>
        <v>0</v>
      </c>
      <c r="Y99" s="201">
        <f t="shared" si="90"/>
        <v>0</v>
      </c>
      <c r="Z99" s="202">
        <f t="shared" si="82"/>
        <v>0</v>
      </c>
      <c r="AA99" s="201">
        <f t="shared" si="90"/>
        <v>0</v>
      </c>
      <c r="AB99" s="201">
        <f t="shared" si="90"/>
        <v>0</v>
      </c>
      <c r="AC99" s="202">
        <f t="shared" si="65"/>
        <v>0</v>
      </c>
    </row>
    <row r="100" spans="1:52" ht="16.5">
      <c r="A100" s="32" t="str">
        <f t="shared" si="62"/>
        <v>A-03-10-01=11</v>
      </c>
      <c r="B100" s="203" t="str">
        <f>CONCATENATE(C100,"-",D100,"-",E100,"-",F100)</f>
        <v>A-03-10-01</v>
      </c>
      <c r="C100" s="204" t="s">
        <v>23</v>
      </c>
      <c r="D100" s="205" t="s">
        <v>65</v>
      </c>
      <c r="E100" s="205" t="s">
        <v>28</v>
      </c>
      <c r="F100" s="205" t="s">
        <v>25</v>
      </c>
      <c r="G100" s="205"/>
      <c r="H100" s="205"/>
      <c r="I100" s="205"/>
      <c r="J100" s="205"/>
      <c r="K100" s="206" t="s">
        <v>144</v>
      </c>
      <c r="L100" s="207" t="s">
        <v>29</v>
      </c>
      <c r="M100" s="203" t="s">
        <v>145</v>
      </c>
      <c r="N100" s="208">
        <f t="shared" ref="N100:V100" si="91">SUM(N101:N101)</f>
        <v>2597000000</v>
      </c>
      <c r="O100" s="208">
        <f t="shared" si="91"/>
        <v>0</v>
      </c>
      <c r="P100" s="208">
        <f t="shared" si="91"/>
        <v>0</v>
      </c>
      <c r="Q100" s="208">
        <f t="shared" si="91"/>
        <v>0</v>
      </c>
      <c r="R100" s="208">
        <f t="shared" si="91"/>
        <v>0</v>
      </c>
      <c r="S100" s="208">
        <f t="shared" si="91"/>
        <v>0</v>
      </c>
      <c r="T100" s="208">
        <f t="shared" si="91"/>
        <v>2597000000</v>
      </c>
      <c r="U100" s="208">
        <f t="shared" si="91"/>
        <v>0</v>
      </c>
      <c r="V100" s="208">
        <f t="shared" si="91"/>
        <v>2597000000</v>
      </c>
      <c r="W100" s="209">
        <f t="shared" si="67"/>
        <v>0</v>
      </c>
      <c r="X100" s="208">
        <f t="shared" ref="X100:Y100" si="92">SUM(X101:X101)</f>
        <v>0</v>
      </c>
      <c r="Y100" s="208">
        <f t="shared" si="92"/>
        <v>0</v>
      </c>
      <c r="Z100" s="209">
        <f t="shared" si="82"/>
        <v>0</v>
      </c>
      <c r="AA100" s="208">
        <f t="shared" ref="AA100:AB100" si="93">SUM(AA101:AA101)</f>
        <v>0</v>
      </c>
      <c r="AB100" s="208">
        <f t="shared" si="93"/>
        <v>0</v>
      </c>
      <c r="AC100" s="209">
        <f t="shared" si="65"/>
        <v>0</v>
      </c>
    </row>
    <row r="101" spans="1:52" ht="24.95" customHeight="1">
      <c r="A101" s="32" t="str">
        <f t="shared" si="62"/>
        <v>A-03-10-01-001=10</v>
      </c>
      <c r="B101" s="217" t="str">
        <f>CONCATENATE(C101,"-",D101,"-",E101,"-",F101,"-",G101)</f>
        <v>A-03-10-01-001</v>
      </c>
      <c r="C101" s="218" t="s">
        <v>23</v>
      </c>
      <c r="D101" s="219" t="s">
        <v>65</v>
      </c>
      <c r="E101" s="219" t="s">
        <v>28</v>
      </c>
      <c r="F101" s="219" t="s">
        <v>25</v>
      </c>
      <c r="G101" s="219" t="s">
        <v>31</v>
      </c>
      <c r="H101" s="219"/>
      <c r="I101" s="219"/>
      <c r="J101" s="219"/>
      <c r="K101" s="220">
        <v>10</v>
      </c>
      <c r="L101" s="221" t="s">
        <v>29</v>
      </c>
      <c r="M101" s="259" t="s">
        <v>146</v>
      </c>
      <c r="N101" s="222">
        <v>2597000000</v>
      </c>
      <c r="O101" s="222"/>
      <c r="P101" s="222"/>
      <c r="Q101" s="222"/>
      <c r="R101" s="222"/>
      <c r="S101" s="222"/>
      <c r="T101" s="222">
        <f>+N101-S101+O101-P101+Q101-R101</f>
        <v>2597000000</v>
      </c>
      <c r="U101" s="222">
        <v>0</v>
      </c>
      <c r="V101" s="222">
        <f t="shared" si="14"/>
        <v>2597000000</v>
      </c>
      <c r="W101" s="224">
        <f t="shared" si="67"/>
        <v>0</v>
      </c>
      <c r="X101" s="222">
        <v>0</v>
      </c>
      <c r="Y101" s="222">
        <f t="shared" si="17"/>
        <v>0</v>
      </c>
      <c r="Z101" s="224">
        <f t="shared" si="82"/>
        <v>0</v>
      </c>
      <c r="AA101" s="222">
        <v>0</v>
      </c>
      <c r="AB101" s="222">
        <f t="shared" si="15"/>
        <v>0</v>
      </c>
      <c r="AC101" s="224">
        <f t="shared" si="65"/>
        <v>0</v>
      </c>
    </row>
    <row r="102" spans="1:52" ht="35.1" customHeight="1">
      <c r="A102" s="32" t="str">
        <f t="shared" si="62"/>
        <v>A-08=</v>
      </c>
      <c r="B102" s="188" t="str">
        <f>CONCATENATE(C102,"-",D102)</f>
        <v>A-08</v>
      </c>
      <c r="C102" s="189" t="s">
        <v>23</v>
      </c>
      <c r="D102" s="191" t="s">
        <v>148</v>
      </c>
      <c r="E102" s="191"/>
      <c r="F102" s="191"/>
      <c r="G102" s="191"/>
      <c r="H102" s="191"/>
      <c r="I102" s="191"/>
      <c r="J102" s="191"/>
      <c r="K102" s="192"/>
      <c r="L102" s="193"/>
      <c r="M102" s="188" t="s">
        <v>149</v>
      </c>
      <c r="N102" s="194">
        <f>+N103+N108</f>
        <v>5824000000</v>
      </c>
      <c r="O102" s="194">
        <f t="shared" ref="O102:V102" si="94">+O103+O108</f>
        <v>0</v>
      </c>
      <c r="P102" s="194">
        <f t="shared" si="94"/>
        <v>0</v>
      </c>
      <c r="Q102" s="194">
        <f t="shared" si="94"/>
        <v>0</v>
      </c>
      <c r="R102" s="194">
        <f t="shared" si="94"/>
        <v>0</v>
      </c>
      <c r="S102" s="194">
        <f t="shared" si="94"/>
        <v>0</v>
      </c>
      <c r="T102" s="194">
        <f t="shared" si="94"/>
        <v>5824000000</v>
      </c>
      <c r="U102" s="194">
        <f t="shared" si="94"/>
        <v>77971987.780000001</v>
      </c>
      <c r="V102" s="194">
        <f t="shared" si="94"/>
        <v>5746028012.2200003</v>
      </c>
      <c r="W102" s="195">
        <f t="shared" si="67"/>
        <v>1.3388047352335165E-2</v>
      </c>
      <c r="X102" s="194">
        <f t="shared" ref="X102:AB102" si="95">+X103+X108</f>
        <v>77971987.780000001</v>
      </c>
      <c r="Y102" s="194">
        <f t="shared" si="95"/>
        <v>0</v>
      </c>
      <c r="Z102" s="195">
        <f t="shared" si="82"/>
        <v>0</v>
      </c>
      <c r="AA102" s="194">
        <f t="shared" si="95"/>
        <v>77931865.780000001</v>
      </c>
      <c r="AB102" s="194">
        <f t="shared" si="95"/>
        <v>40122</v>
      </c>
      <c r="AC102" s="195">
        <f t="shared" si="65"/>
        <v>0.9994854305867743</v>
      </c>
    </row>
    <row r="103" spans="1:52" ht="24.95" customHeight="1">
      <c r="A103" s="32" t="str">
        <f t="shared" si="62"/>
        <v>A-08-01=</v>
      </c>
      <c r="B103" s="196" t="str">
        <f>CONCATENATE(C103,"-",D103,"-",E103)</f>
        <v>A-08-01</v>
      </c>
      <c r="C103" s="197" t="s">
        <v>23</v>
      </c>
      <c r="D103" s="198" t="s">
        <v>148</v>
      </c>
      <c r="E103" s="198" t="s">
        <v>25</v>
      </c>
      <c r="F103" s="198"/>
      <c r="G103" s="198"/>
      <c r="H103" s="198"/>
      <c r="I103" s="198"/>
      <c r="J103" s="198"/>
      <c r="K103" s="199"/>
      <c r="L103" s="200"/>
      <c r="M103" s="196" t="s">
        <v>150</v>
      </c>
      <c r="N103" s="201">
        <f>+N104</f>
        <v>84000000</v>
      </c>
      <c r="O103" s="201">
        <f t="shared" ref="O103:AB103" si="96">+O104</f>
        <v>0</v>
      </c>
      <c r="P103" s="201">
        <f t="shared" si="96"/>
        <v>0</v>
      </c>
      <c r="Q103" s="201">
        <f t="shared" si="96"/>
        <v>0</v>
      </c>
      <c r="R103" s="201">
        <f t="shared" si="96"/>
        <v>0</v>
      </c>
      <c r="S103" s="201">
        <f t="shared" si="96"/>
        <v>0</v>
      </c>
      <c r="T103" s="201">
        <f t="shared" si="96"/>
        <v>84000000</v>
      </c>
      <c r="U103" s="201">
        <f t="shared" si="96"/>
        <v>73853223.710000008</v>
      </c>
      <c r="V103" s="201">
        <f t="shared" si="96"/>
        <v>10146776.289999999</v>
      </c>
      <c r="W103" s="202">
        <f t="shared" si="67"/>
        <v>0.87920504416666678</v>
      </c>
      <c r="X103" s="201">
        <f t="shared" si="96"/>
        <v>73853223.710000008</v>
      </c>
      <c r="Y103" s="201">
        <f t="shared" si="96"/>
        <v>0</v>
      </c>
      <c r="Z103" s="202">
        <f t="shared" si="82"/>
        <v>0</v>
      </c>
      <c r="AA103" s="201">
        <f t="shared" si="96"/>
        <v>73813101.710000008</v>
      </c>
      <c r="AB103" s="201">
        <f t="shared" si="96"/>
        <v>40122</v>
      </c>
      <c r="AC103" s="202">
        <f t="shared" si="65"/>
        <v>0.9994567332611296</v>
      </c>
    </row>
    <row r="104" spans="1:52" ht="16.5">
      <c r="A104" s="32" t="str">
        <f t="shared" si="62"/>
        <v>A-08-01-02=10</v>
      </c>
      <c r="B104" s="203" t="str">
        <f>CONCATENATE(C104,"-",D104,"-",E104,"-",F104)</f>
        <v>A-08-01-02</v>
      </c>
      <c r="C104" s="204" t="s">
        <v>23</v>
      </c>
      <c r="D104" s="205" t="s">
        <v>148</v>
      </c>
      <c r="E104" s="205" t="s">
        <v>25</v>
      </c>
      <c r="F104" s="205" t="s">
        <v>54</v>
      </c>
      <c r="G104" s="205"/>
      <c r="H104" s="205"/>
      <c r="I104" s="205"/>
      <c r="J104" s="205"/>
      <c r="K104" s="206" t="s">
        <v>28</v>
      </c>
      <c r="L104" s="207" t="s">
        <v>29</v>
      </c>
      <c r="M104" s="203" t="s">
        <v>151</v>
      </c>
      <c r="N104" s="208">
        <f>SUM(N105:N107)</f>
        <v>84000000</v>
      </c>
      <c r="O104" s="208">
        <f t="shared" ref="O104:V104" si="97">SUM(O105:O107)</f>
        <v>0</v>
      </c>
      <c r="P104" s="208">
        <f t="shared" si="97"/>
        <v>0</v>
      </c>
      <c r="Q104" s="208">
        <f t="shared" si="97"/>
        <v>0</v>
      </c>
      <c r="R104" s="208">
        <f t="shared" si="97"/>
        <v>0</v>
      </c>
      <c r="S104" s="208">
        <f t="shared" si="97"/>
        <v>0</v>
      </c>
      <c r="T104" s="208">
        <f t="shared" si="97"/>
        <v>84000000</v>
      </c>
      <c r="U104" s="208">
        <f t="shared" si="97"/>
        <v>73853223.710000008</v>
      </c>
      <c r="V104" s="208">
        <f t="shared" si="97"/>
        <v>10146776.289999999</v>
      </c>
      <c r="W104" s="209">
        <f t="shared" si="67"/>
        <v>0.87920504416666678</v>
      </c>
      <c r="X104" s="208">
        <f t="shared" ref="X104:AB104" si="98">SUM(X105:X107)</f>
        <v>73853223.710000008</v>
      </c>
      <c r="Y104" s="208">
        <f t="shared" si="98"/>
        <v>0</v>
      </c>
      <c r="Z104" s="209">
        <f t="shared" si="82"/>
        <v>0</v>
      </c>
      <c r="AA104" s="208">
        <f t="shared" si="98"/>
        <v>73813101.710000008</v>
      </c>
      <c r="AB104" s="208">
        <f t="shared" si="98"/>
        <v>40122</v>
      </c>
      <c r="AC104" s="209">
        <f t="shared" si="65"/>
        <v>0.9994567332611296</v>
      </c>
    </row>
    <row r="105" spans="1:52" ht="24.95" customHeight="1">
      <c r="A105" s="32" t="str">
        <f t="shared" si="62"/>
        <v>A-08-01-02-001=10</v>
      </c>
      <c r="B105" s="217" t="str">
        <f>CONCATENATE(C105,"-",D105,"-",E105,"-",F105,"-",G105)</f>
        <v>A-08-01-02-001</v>
      </c>
      <c r="C105" s="218" t="s">
        <v>23</v>
      </c>
      <c r="D105" s="219" t="s">
        <v>148</v>
      </c>
      <c r="E105" s="219" t="s">
        <v>25</v>
      </c>
      <c r="F105" s="219" t="s">
        <v>54</v>
      </c>
      <c r="G105" s="219" t="s">
        <v>31</v>
      </c>
      <c r="H105" s="219"/>
      <c r="I105" s="219"/>
      <c r="J105" s="219"/>
      <c r="K105" s="220" t="s">
        <v>28</v>
      </c>
      <c r="L105" s="221" t="s">
        <v>29</v>
      </c>
      <c r="M105" s="259" t="s">
        <v>152</v>
      </c>
      <c r="N105" s="222">
        <v>51000000</v>
      </c>
      <c r="O105" s="222"/>
      <c r="P105" s="222"/>
      <c r="Q105" s="222"/>
      <c r="R105" s="222"/>
      <c r="S105" s="222"/>
      <c r="T105" s="222">
        <f>+N105-S105+O105-P105+Q105-R105</f>
        <v>51000000</v>
      </c>
      <c r="U105" s="222">
        <v>49978748</v>
      </c>
      <c r="V105" s="222">
        <f t="shared" si="14"/>
        <v>1021252</v>
      </c>
      <c r="W105" s="224">
        <f t="shared" si="67"/>
        <v>0.97997545098039218</v>
      </c>
      <c r="X105" s="222">
        <v>49978748</v>
      </c>
      <c r="Y105" s="222">
        <f t="shared" si="17"/>
        <v>0</v>
      </c>
      <c r="Z105" s="224">
        <f t="shared" si="82"/>
        <v>0</v>
      </c>
      <c r="AA105" s="222">
        <v>49978748</v>
      </c>
      <c r="AB105" s="222">
        <f t="shared" si="15"/>
        <v>0</v>
      </c>
      <c r="AC105" s="224">
        <f t="shared" si="65"/>
        <v>1</v>
      </c>
    </row>
    <row r="106" spans="1:52" ht="24.95" customHeight="1">
      <c r="A106" s="32" t="str">
        <f t="shared" si="62"/>
        <v>A-08-01-02-004=10</v>
      </c>
      <c r="B106" s="217" t="str">
        <f>CONCATENATE(C106,"-",D106,"-",E106,"-",F106,"-",G106)</f>
        <v>A-08-01-02-004</v>
      </c>
      <c r="C106" s="218" t="s">
        <v>23</v>
      </c>
      <c r="D106" s="219" t="s">
        <v>148</v>
      </c>
      <c r="E106" s="219" t="s">
        <v>25</v>
      </c>
      <c r="F106" s="219" t="s">
        <v>54</v>
      </c>
      <c r="G106" s="219" t="s">
        <v>38</v>
      </c>
      <c r="H106" s="219"/>
      <c r="I106" s="219"/>
      <c r="J106" s="219"/>
      <c r="K106" s="220" t="s">
        <v>28</v>
      </c>
      <c r="L106" s="221" t="s">
        <v>29</v>
      </c>
      <c r="M106" s="259" t="s">
        <v>153</v>
      </c>
      <c r="N106" s="222">
        <v>26000000</v>
      </c>
      <c r="O106" s="223"/>
      <c r="P106" s="222"/>
      <c r="Q106" s="222"/>
      <c r="R106" s="222"/>
      <c r="S106" s="222"/>
      <c r="T106" s="222">
        <f>+N106-S106+O106-P106+Q106-R106</f>
        <v>26000000</v>
      </c>
      <c r="U106" s="222">
        <v>17547375.710000001</v>
      </c>
      <c r="V106" s="222">
        <f t="shared" si="14"/>
        <v>8452624.2899999991</v>
      </c>
      <c r="W106" s="224">
        <f t="shared" si="67"/>
        <v>0.67489906576923075</v>
      </c>
      <c r="X106" s="222">
        <v>17547375.710000001</v>
      </c>
      <c r="Y106" s="222">
        <f t="shared" si="17"/>
        <v>0</v>
      </c>
      <c r="Z106" s="224">
        <f t="shared" si="82"/>
        <v>0</v>
      </c>
      <c r="AA106" s="222">
        <v>17507253.710000001</v>
      </c>
      <c r="AB106" s="222">
        <f t="shared" si="15"/>
        <v>40122</v>
      </c>
      <c r="AC106" s="224">
        <f t="shared" si="65"/>
        <v>0.99771350424912053</v>
      </c>
    </row>
    <row r="107" spans="1:52" ht="24.95" customHeight="1">
      <c r="A107" s="32" t="str">
        <f t="shared" si="62"/>
        <v>A-08-01-02-006=10</v>
      </c>
      <c r="B107" s="217" t="str">
        <f>CONCATENATE(C107,"-",D107,"-",E107,"-",F107,"-",G107)</f>
        <v>A-08-01-02-006</v>
      </c>
      <c r="C107" s="218" t="s">
        <v>23</v>
      </c>
      <c r="D107" s="219" t="s">
        <v>148</v>
      </c>
      <c r="E107" s="219" t="s">
        <v>25</v>
      </c>
      <c r="F107" s="219" t="s">
        <v>54</v>
      </c>
      <c r="G107" s="219" t="s">
        <v>42</v>
      </c>
      <c r="H107" s="219"/>
      <c r="I107" s="219"/>
      <c r="J107" s="219"/>
      <c r="K107" s="220" t="s">
        <v>28</v>
      </c>
      <c r="L107" s="221" t="s">
        <v>29</v>
      </c>
      <c r="M107" s="259" t="s">
        <v>154</v>
      </c>
      <c r="N107" s="222">
        <v>7000000</v>
      </c>
      <c r="O107" s="222"/>
      <c r="P107" s="222"/>
      <c r="Q107" s="222"/>
      <c r="R107" s="222"/>
      <c r="S107" s="222"/>
      <c r="T107" s="222">
        <f>+N107-S107+O107-P107+Q107-R107</f>
        <v>7000000</v>
      </c>
      <c r="U107" s="222">
        <v>6327100</v>
      </c>
      <c r="V107" s="222">
        <f t="shared" si="14"/>
        <v>672900</v>
      </c>
      <c r="W107" s="224">
        <f t="shared" si="67"/>
        <v>0.90387142857142855</v>
      </c>
      <c r="X107" s="222">
        <v>6327100</v>
      </c>
      <c r="Y107" s="222">
        <f t="shared" si="17"/>
        <v>0</v>
      </c>
      <c r="Z107" s="224">
        <f t="shared" si="82"/>
        <v>0</v>
      </c>
      <c r="AA107" s="222">
        <v>6327100</v>
      </c>
      <c r="AB107" s="222">
        <f t="shared" si="15"/>
        <v>0</v>
      </c>
      <c r="AC107" s="224">
        <f t="shared" si="65"/>
        <v>1</v>
      </c>
    </row>
    <row r="108" spans="1:52" ht="24.95" customHeight="1">
      <c r="A108" s="32" t="str">
        <f t="shared" si="62"/>
        <v>A-08-04=</v>
      </c>
      <c r="B108" s="196" t="str">
        <f>CONCATENATE(C108,"-",D108,"-",E108)</f>
        <v>A-08-04</v>
      </c>
      <c r="C108" s="197" t="s">
        <v>23</v>
      </c>
      <c r="D108" s="198" t="s">
        <v>148</v>
      </c>
      <c r="E108" s="198" t="s">
        <v>136</v>
      </c>
      <c r="F108" s="198"/>
      <c r="G108" s="198"/>
      <c r="H108" s="198"/>
      <c r="I108" s="198"/>
      <c r="J108" s="198"/>
      <c r="K108" s="199"/>
      <c r="L108" s="200"/>
      <c r="M108" s="196" t="s">
        <v>155</v>
      </c>
      <c r="N108" s="201">
        <f>+N109</f>
        <v>5740000000</v>
      </c>
      <c r="O108" s="201">
        <f t="shared" ref="O108:AB108" si="99">+O109</f>
        <v>0</v>
      </c>
      <c r="P108" s="201">
        <f t="shared" si="99"/>
        <v>0</v>
      </c>
      <c r="Q108" s="201">
        <f t="shared" si="99"/>
        <v>0</v>
      </c>
      <c r="R108" s="201">
        <f t="shared" si="99"/>
        <v>0</v>
      </c>
      <c r="S108" s="201">
        <f t="shared" si="99"/>
        <v>0</v>
      </c>
      <c r="T108" s="201">
        <f t="shared" si="99"/>
        <v>5740000000</v>
      </c>
      <c r="U108" s="201">
        <f t="shared" si="99"/>
        <v>4118764.07</v>
      </c>
      <c r="V108" s="201">
        <f t="shared" si="99"/>
        <v>5735881235.9300003</v>
      </c>
      <c r="W108" s="202">
        <f t="shared" si="67"/>
        <v>7.1755471602787449E-4</v>
      </c>
      <c r="X108" s="201">
        <f t="shared" si="99"/>
        <v>4118764.07</v>
      </c>
      <c r="Y108" s="201">
        <f t="shared" si="99"/>
        <v>0</v>
      </c>
      <c r="Z108" s="202">
        <f t="shared" si="82"/>
        <v>0</v>
      </c>
      <c r="AA108" s="201">
        <f t="shared" si="99"/>
        <v>4118764.07</v>
      </c>
      <c r="AB108" s="201">
        <f t="shared" si="99"/>
        <v>0</v>
      </c>
      <c r="AC108" s="202">
        <f t="shared" si="65"/>
        <v>1</v>
      </c>
    </row>
    <row r="109" spans="1:52" ht="24.95" customHeight="1" thickBot="1">
      <c r="A109" s="32" t="str">
        <f t="shared" si="62"/>
        <v>A-08-04-01=11</v>
      </c>
      <c r="B109" s="217" t="str">
        <f>CONCATENATE(C109,"-",D109,"-",E109,"-",F109)</f>
        <v>A-08-04-01</v>
      </c>
      <c r="C109" s="218" t="s">
        <v>23</v>
      </c>
      <c r="D109" s="219" t="s">
        <v>148</v>
      </c>
      <c r="E109" s="219" t="s">
        <v>136</v>
      </c>
      <c r="F109" s="219" t="s">
        <v>25</v>
      </c>
      <c r="G109" s="219"/>
      <c r="H109" s="219"/>
      <c r="I109" s="219"/>
      <c r="J109" s="219"/>
      <c r="K109" s="220" t="s">
        <v>144</v>
      </c>
      <c r="L109" s="221" t="s">
        <v>156</v>
      </c>
      <c r="M109" s="259" t="s">
        <v>157</v>
      </c>
      <c r="N109" s="222">
        <v>5740000000</v>
      </c>
      <c r="O109" s="223"/>
      <c r="P109" s="222"/>
      <c r="Q109" s="222"/>
      <c r="R109" s="222"/>
      <c r="S109" s="222"/>
      <c r="T109" s="222">
        <f>+N109-S109+O109-P109+Q109-R109</f>
        <v>5740000000</v>
      </c>
      <c r="U109" s="222">
        <v>4118764.07</v>
      </c>
      <c r="V109" s="222">
        <f t="shared" si="14"/>
        <v>5735881235.9300003</v>
      </c>
      <c r="W109" s="224">
        <f t="shared" si="67"/>
        <v>7.1755471602787449E-4</v>
      </c>
      <c r="X109" s="222">
        <v>4118764.07</v>
      </c>
      <c r="Y109" s="222">
        <f t="shared" si="17"/>
        <v>0</v>
      </c>
      <c r="Z109" s="224">
        <f t="shared" si="82"/>
        <v>0</v>
      </c>
      <c r="AA109" s="222">
        <v>4118764.07</v>
      </c>
      <c r="AB109" s="222">
        <f t="shared" si="15"/>
        <v>0</v>
      </c>
      <c r="AC109" s="224">
        <f t="shared" si="65"/>
        <v>1</v>
      </c>
    </row>
    <row r="110" spans="1:52" ht="35.1" customHeight="1" thickBot="1">
      <c r="A110" s="32" t="str">
        <f t="shared" si="62"/>
        <v>C
=</v>
      </c>
      <c r="B110" s="260" t="s">
        <v>278</v>
      </c>
      <c r="C110" s="261" t="s">
        <v>167</v>
      </c>
      <c r="D110" s="262"/>
      <c r="E110" s="262"/>
      <c r="F110" s="262"/>
      <c r="G110" s="262"/>
      <c r="H110" s="262"/>
      <c r="I110" s="262"/>
      <c r="J110" s="262"/>
      <c r="K110" s="263"/>
      <c r="L110" s="264"/>
      <c r="M110" s="260" t="s">
        <v>168</v>
      </c>
      <c r="N110" s="265">
        <f t="shared" ref="N110:V110" si="100">+N111+N140+N193</f>
        <v>3485582139470</v>
      </c>
      <c r="O110" s="265">
        <f t="shared" si="100"/>
        <v>0</v>
      </c>
      <c r="P110" s="265">
        <f t="shared" si="100"/>
        <v>0</v>
      </c>
      <c r="Q110" s="265">
        <f t="shared" si="100"/>
        <v>339103670278.64001</v>
      </c>
      <c r="R110" s="265">
        <f t="shared" si="100"/>
        <v>339103670278.64001</v>
      </c>
      <c r="S110" s="265">
        <f t="shared" si="100"/>
        <v>580000000000</v>
      </c>
      <c r="T110" s="265">
        <f t="shared" si="100"/>
        <v>2905582139470</v>
      </c>
      <c r="U110" s="265">
        <f t="shared" si="100"/>
        <v>2624818817165.2695</v>
      </c>
      <c r="V110" s="265">
        <f t="shared" si="100"/>
        <v>280763322304.72998</v>
      </c>
      <c r="W110" s="187">
        <f t="shared" si="67"/>
        <v>0.90337105997081057</v>
      </c>
      <c r="X110" s="265">
        <f t="shared" ref="X110:Y110" si="101">+X111+X140+X193</f>
        <v>1594242457197.2498</v>
      </c>
      <c r="Y110" s="265">
        <f t="shared" si="101"/>
        <v>1030576359968.0201</v>
      </c>
      <c r="Z110" s="187">
        <f t="shared" si="82"/>
        <v>0.39262761803918095</v>
      </c>
      <c r="AA110" s="265">
        <f t="shared" ref="AA110:AB110" si="102">+AA111+AA140+AA193</f>
        <v>1587693949270.2498</v>
      </c>
      <c r="AB110" s="265">
        <f t="shared" si="102"/>
        <v>6548507927</v>
      </c>
      <c r="AC110" s="187">
        <f t="shared" si="65"/>
        <v>0.60487754007528582</v>
      </c>
    </row>
    <row r="111" spans="1:52" ht="35.1" customHeight="1">
      <c r="A111" s="32" t="str">
        <f t="shared" si="62"/>
        <v>C-4101=</v>
      </c>
      <c r="B111" s="188" t="str">
        <f>CONCATENATE(C111,"-",D111)</f>
        <v>C-4101</v>
      </c>
      <c r="C111" s="189" t="s">
        <v>167</v>
      </c>
      <c r="D111" s="191">
        <v>4101</v>
      </c>
      <c r="E111" s="191"/>
      <c r="F111" s="191"/>
      <c r="G111" s="191"/>
      <c r="H111" s="191"/>
      <c r="I111" s="191"/>
      <c r="J111" s="191"/>
      <c r="K111" s="192"/>
      <c r="L111" s="193"/>
      <c r="M111" s="188" t="s">
        <v>169</v>
      </c>
      <c r="N111" s="194">
        <f>+N112</f>
        <v>184499832863</v>
      </c>
      <c r="O111" s="194">
        <f t="shared" ref="O111:AB111" si="103">+O112</f>
        <v>0</v>
      </c>
      <c r="P111" s="194">
        <f t="shared" si="103"/>
        <v>0</v>
      </c>
      <c r="Q111" s="194">
        <f t="shared" si="103"/>
        <v>0</v>
      </c>
      <c r="R111" s="194">
        <f t="shared" si="103"/>
        <v>0</v>
      </c>
      <c r="S111" s="194">
        <f t="shared" si="103"/>
        <v>0</v>
      </c>
      <c r="T111" s="194">
        <f t="shared" si="103"/>
        <v>184499832863</v>
      </c>
      <c r="U111" s="194">
        <f t="shared" si="103"/>
        <v>168592239606</v>
      </c>
      <c r="V111" s="194">
        <f t="shared" si="103"/>
        <v>15907593257</v>
      </c>
      <c r="W111" s="195">
        <f t="shared" si="67"/>
        <v>0.91377990424082312</v>
      </c>
      <c r="X111" s="194">
        <f t="shared" si="103"/>
        <v>15235174991</v>
      </c>
      <c r="Y111" s="194">
        <f t="shared" si="103"/>
        <v>153357064615</v>
      </c>
      <c r="Z111" s="195">
        <f t="shared" si="82"/>
        <v>0.90963299955795951</v>
      </c>
      <c r="AA111" s="194">
        <f t="shared" si="103"/>
        <v>8755468848</v>
      </c>
      <c r="AB111" s="194">
        <f t="shared" si="103"/>
        <v>6479706143</v>
      </c>
      <c r="AC111" s="195">
        <f t="shared" si="65"/>
        <v>5.1932810599476749E-2</v>
      </c>
    </row>
    <row r="112" spans="1:52" ht="24.95" customHeight="1">
      <c r="A112" s="32" t="str">
        <f t="shared" si="62"/>
        <v>C-4101-1500=</v>
      </c>
      <c r="B112" s="196" t="str">
        <f>CONCATENATE(C112,"-",D112,"-",E112)</f>
        <v>C-4101-1500</v>
      </c>
      <c r="C112" s="197" t="s">
        <v>167</v>
      </c>
      <c r="D112" s="198">
        <v>4101</v>
      </c>
      <c r="E112" s="198">
        <v>1500</v>
      </c>
      <c r="F112" s="198"/>
      <c r="G112" s="198"/>
      <c r="H112" s="198"/>
      <c r="I112" s="198"/>
      <c r="J112" s="198"/>
      <c r="K112" s="199"/>
      <c r="L112" s="200"/>
      <c r="M112" s="196" t="s">
        <v>170</v>
      </c>
      <c r="N112" s="201">
        <f t="shared" ref="N112:V112" si="104">+N113+N126</f>
        <v>184499832863</v>
      </c>
      <c r="O112" s="201">
        <f t="shared" si="104"/>
        <v>0</v>
      </c>
      <c r="P112" s="201">
        <f t="shared" si="104"/>
        <v>0</v>
      </c>
      <c r="Q112" s="201">
        <f t="shared" si="104"/>
        <v>0</v>
      </c>
      <c r="R112" s="201">
        <f t="shared" si="104"/>
        <v>0</v>
      </c>
      <c r="S112" s="201">
        <f t="shared" si="104"/>
        <v>0</v>
      </c>
      <c r="T112" s="201">
        <f t="shared" si="104"/>
        <v>184499832863</v>
      </c>
      <c r="U112" s="201">
        <f t="shared" si="104"/>
        <v>168592239606</v>
      </c>
      <c r="V112" s="201">
        <f t="shared" si="104"/>
        <v>15907593257</v>
      </c>
      <c r="W112" s="202">
        <f t="shared" si="67"/>
        <v>0.91377990424082312</v>
      </c>
      <c r="X112" s="201">
        <f t="shared" ref="X112:Y112" si="105">+X113+X126</f>
        <v>15235174991</v>
      </c>
      <c r="Y112" s="201">
        <f t="shared" si="105"/>
        <v>153357064615</v>
      </c>
      <c r="Z112" s="202">
        <f t="shared" si="82"/>
        <v>0.90963299955795951</v>
      </c>
      <c r="AA112" s="201">
        <f t="shared" ref="AA112:AB112" si="106">+AA113+AA126</f>
        <v>8755468848</v>
      </c>
      <c r="AB112" s="201">
        <f t="shared" si="106"/>
        <v>6479706143</v>
      </c>
      <c r="AC112" s="202">
        <f t="shared" si="65"/>
        <v>5.1932810599476749E-2</v>
      </c>
    </row>
    <row r="113" spans="1:29" ht="33">
      <c r="A113" s="32" t="str">
        <f t="shared" si="62"/>
        <v>C-4101-1500-5=</v>
      </c>
      <c r="B113" s="203" t="str">
        <f>CONCATENATE(C113,"-",D113,"-",E113,"-",F113)</f>
        <v>C-4101-1500-5</v>
      </c>
      <c r="C113" s="227" t="s">
        <v>167</v>
      </c>
      <c r="D113" s="228" t="s">
        <v>171</v>
      </c>
      <c r="E113" s="228" t="s">
        <v>172</v>
      </c>
      <c r="F113" s="228" t="s">
        <v>261</v>
      </c>
      <c r="G113" s="228"/>
      <c r="H113" s="228"/>
      <c r="I113" s="228"/>
      <c r="J113" s="228"/>
      <c r="K113" s="229"/>
      <c r="L113" s="230"/>
      <c r="M113" s="231" t="s">
        <v>279</v>
      </c>
      <c r="N113" s="232">
        <f t="shared" ref="N113:V113" si="107">+N114+N116+N118+N120+N122+N124</f>
        <v>66398074900</v>
      </c>
      <c r="O113" s="232">
        <f t="shared" si="107"/>
        <v>0</v>
      </c>
      <c r="P113" s="232">
        <f t="shared" si="107"/>
        <v>0</v>
      </c>
      <c r="Q113" s="232">
        <f t="shared" si="107"/>
        <v>0</v>
      </c>
      <c r="R113" s="232">
        <f t="shared" si="107"/>
        <v>0</v>
      </c>
      <c r="S113" s="232">
        <f t="shared" si="107"/>
        <v>0</v>
      </c>
      <c r="T113" s="232">
        <f t="shared" si="107"/>
        <v>66398074900</v>
      </c>
      <c r="U113" s="232">
        <f t="shared" si="107"/>
        <v>61311319404</v>
      </c>
      <c r="V113" s="232">
        <f t="shared" si="107"/>
        <v>5086755496</v>
      </c>
      <c r="W113" s="233">
        <f t="shared" si="67"/>
        <v>0.92339001539335297</v>
      </c>
      <c r="X113" s="232">
        <f t="shared" ref="X113:Y113" si="108">+X114+X116+X118+X120+X122+X124</f>
        <v>145789841</v>
      </c>
      <c r="Y113" s="232">
        <f t="shared" si="108"/>
        <v>61165529563</v>
      </c>
      <c r="Z113" s="233">
        <f t="shared" si="82"/>
        <v>0.99762213825412327</v>
      </c>
      <c r="AA113" s="232">
        <f t="shared" ref="AA113:AB113" si="109">+AA114+AA116+AA118+AA120+AA122+AA124</f>
        <v>145789841</v>
      </c>
      <c r="AB113" s="232">
        <f t="shared" si="109"/>
        <v>0</v>
      </c>
      <c r="AC113" s="233">
        <f t="shared" si="65"/>
        <v>2.3778617458767091E-3</v>
      </c>
    </row>
    <row r="114" spans="1:29" ht="24.95" customHeight="1">
      <c r="A114" s="32" t="str">
        <f t="shared" si="62"/>
        <v>C-4101-1500-5-0-4101073=11</v>
      </c>
      <c r="B114" s="210" t="str">
        <f>CONCATENATE(C114,"-",D114,"-",E114,"-",F114,"-",G114,"-",H114)</f>
        <v>C-4101-1500-5-0-4101073</v>
      </c>
      <c r="C114" s="211" t="s">
        <v>167</v>
      </c>
      <c r="D114" s="212" t="s">
        <v>171</v>
      </c>
      <c r="E114" s="212" t="s">
        <v>172</v>
      </c>
      <c r="F114" s="212" t="s">
        <v>261</v>
      </c>
      <c r="G114" s="212" t="s">
        <v>175</v>
      </c>
      <c r="H114" s="212" t="s">
        <v>176</v>
      </c>
      <c r="I114" s="212"/>
      <c r="J114" s="212"/>
      <c r="K114" s="213">
        <v>11</v>
      </c>
      <c r="L114" s="214" t="s">
        <v>29</v>
      </c>
      <c r="M114" s="210" t="s">
        <v>177</v>
      </c>
      <c r="N114" s="215">
        <f>+N115</f>
        <v>37511369742</v>
      </c>
      <c r="O114" s="215">
        <f t="shared" ref="O114:AB114" si="110">+O115</f>
        <v>0</v>
      </c>
      <c r="P114" s="215">
        <f t="shared" si="110"/>
        <v>0</v>
      </c>
      <c r="Q114" s="215">
        <f t="shared" si="110"/>
        <v>0</v>
      </c>
      <c r="R114" s="215">
        <f t="shared" si="110"/>
        <v>0</v>
      </c>
      <c r="S114" s="215">
        <f t="shared" si="110"/>
        <v>0</v>
      </c>
      <c r="T114" s="215">
        <f t="shared" si="110"/>
        <v>37511369742</v>
      </c>
      <c r="U114" s="215">
        <f t="shared" si="110"/>
        <v>34672400000</v>
      </c>
      <c r="V114" s="215">
        <f t="shared" si="110"/>
        <v>2838969742</v>
      </c>
      <c r="W114" s="216">
        <f t="shared" si="67"/>
        <v>0.92431708675193169</v>
      </c>
      <c r="X114" s="215">
        <f t="shared" si="110"/>
        <v>0</v>
      </c>
      <c r="Y114" s="215">
        <f t="shared" si="110"/>
        <v>34672400000</v>
      </c>
      <c r="Z114" s="216">
        <f t="shared" si="82"/>
        <v>1</v>
      </c>
      <c r="AA114" s="215">
        <f t="shared" si="110"/>
        <v>0</v>
      </c>
      <c r="AB114" s="215">
        <f t="shared" si="110"/>
        <v>0</v>
      </c>
      <c r="AC114" s="216">
        <f t="shared" si="65"/>
        <v>0</v>
      </c>
    </row>
    <row r="115" spans="1:29" ht="24.95" customHeight="1">
      <c r="A115" s="32" t="str">
        <f t="shared" si="62"/>
        <v>C-4101-1500-5-0-4101073-02=11</v>
      </c>
      <c r="B115" s="217" t="str">
        <f>CONCATENATE(C115,"-",D115,"-",E115,"-",F115,"-",G115,"-",H115,"-",I115)</f>
        <v>C-4101-1500-5-0-4101073-02</v>
      </c>
      <c r="C115" s="218" t="s">
        <v>167</v>
      </c>
      <c r="D115" s="219" t="s">
        <v>171</v>
      </c>
      <c r="E115" s="219" t="s">
        <v>172</v>
      </c>
      <c r="F115" s="219" t="s">
        <v>261</v>
      </c>
      <c r="G115" s="219" t="s">
        <v>175</v>
      </c>
      <c r="H115" s="219" t="s">
        <v>176</v>
      </c>
      <c r="I115" s="219" t="s">
        <v>54</v>
      </c>
      <c r="J115" s="219"/>
      <c r="K115" s="220">
        <v>11</v>
      </c>
      <c r="L115" s="221" t="s">
        <v>29</v>
      </c>
      <c r="M115" s="217" t="s">
        <v>178</v>
      </c>
      <c r="N115" s="222">
        <v>37511369742</v>
      </c>
      <c r="O115" s="222"/>
      <c r="P115" s="222"/>
      <c r="Q115" s="222"/>
      <c r="R115" s="222"/>
      <c r="S115" s="222"/>
      <c r="T115" s="222">
        <f>+N115-S115+O115-P115+Q115-R115</f>
        <v>37511369742</v>
      </c>
      <c r="U115" s="222">
        <v>34672400000</v>
      </c>
      <c r="V115" s="222">
        <f t="shared" ref="V115:V178" si="111">+T115-U115</f>
        <v>2838969742</v>
      </c>
      <c r="W115" s="224">
        <f t="shared" si="67"/>
        <v>0.92431708675193169</v>
      </c>
      <c r="X115" s="222">
        <v>0</v>
      </c>
      <c r="Y115" s="222">
        <f t="shared" si="17"/>
        <v>34672400000</v>
      </c>
      <c r="Z115" s="224">
        <f t="shared" si="82"/>
        <v>1</v>
      </c>
      <c r="AA115" s="222">
        <v>0</v>
      </c>
      <c r="AB115" s="222">
        <f t="shared" ref="AB115:AB178" si="112">+X115-AA115</f>
        <v>0</v>
      </c>
      <c r="AC115" s="224">
        <f t="shared" si="65"/>
        <v>0</v>
      </c>
    </row>
    <row r="116" spans="1:29" ht="33">
      <c r="A116" s="32" t="str">
        <f t="shared" si="62"/>
        <v>C-4101-1500-5-0-4101074=11</v>
      </c>
      <c r="B116" s="210" t="str">
        <f>CONCATENATE(C116,"-",D116,"-",E116,"-",F116,"-",G116,"-",H116)</f>
        <v>C-4101-1500-5-0-4101074</v>
      </c>
      <c r="C116" s="211" t="s">
        <v>167</v>
      </c>
      <c r="D116" s="212" t="s">
        <v>171</v>
      </c>
      <c r="E116" s="212" t="s">
        <v>172</v>
      </c>
      <c r="F116" s="212" t="s">
        <v>261</v>
      </c>
      <c r="G116" s="212" t="s">
        <v>175</v>
      </c>
      <c r="H116" s="212" t="s">
        <v>179</v>
      </c>
      <c r="I116" s="212"/>
      <c r="J116" s="212"/>
      <c r="K116" s="213">
        <v>11</v>
      </c>
      <c r="L116" s="214" t="s">
        <v>29</v>
      </c>
      <c r="M116" s="210" t="s">
        <v>180</v>
      </c>
      <c r="N116" s="215">
        <f>+N117</f>
        <v>8799663116</v>
      </c>
      <c r="O116" s="215">
        <f t="shared" ref="O116:AB116" si="113">+O117</f>
        <v>0</v>
      </c>
      <c r="P116" s="215">
        <f t="shared" si="113"/>
        <v>0</v>
      </c>
      <c r="Q116" s="215">
        <f t="shared" si="113"/>
        <v>0</v>
      </c>
      <c r="R116" s="215">
        <f t="shared" si="113"/>
        <v>0</v>
      </c>
      <c r="S116" s="215">
        <f t="shared" si="113"/>
        <v>0</v>
      </c>
      <c r="T116" s="215">
        <f t="shared" si="113"/>
        <v>8799663116</v>
      </c>
      <c r="U116" s="215">
        <f t="shared" si="113"/>
        <v>8799663116</v>
      </c>
      <c r="V116" s="215">
        <f t="shared" si="113"/>
        <v>0</v>
      </c>
      <c r="W116" s="216">
        <f t="shared" si="67"/>
        <v>1</v>
      </c>
      <c r="X116" s="215">
        <f t="shared" si="113"/>
        <v>0</v>
      </c>
      <c r="Y116" s="215">
        <f t="shared" si="113"/>
        <v>8799663116</v>
      </c>
      <c r="Z116" s="216">
        <f t="shared" si="82"/>
        <v>1</v>
      </c>
      <c r="AA116" s="215">
        <f t="shared" si="113"/>
        <v>0</v>
      </c>
      <c r="AB116" s="215">
        <f t="shared" si="113"/>
        <v>0</v>
      </c>
      <c r="AC116" s="216">
        <f t="shared" si="65"/>
        <v>0</v>
      </c>
    </row>
    <row r="117" spans="1:29" ht="24.95" customHeight="1">
      <c r="A117" s="32" t="str">
        <f t="shared" si="62"/>
        <v>C-4101-1500-5-0-4101074-02=11</v>
      </c>
      <c r="B117" s="217" t="str">
        <f>CONCATENATE(C117,"-",D117,"-",E117,"-",F117,"-",G117,"-",H117,"-",I117)</f>
        <v>C-4101-1500-5-0-4101074-02</v>
      </c>
      <c r="C117" s="218" t="s">
        <v>167</v>
      </c>
      <c r="D117" s="219" t="s">
        <v>171</v>
      </c>
      <c r="E117" s="219" t="s">
        <v>172</v>
      </c>
      <c r="F117" s="219">
        <v>5</v>
      </c>
      <c r="G117" s="219" t="s">
        <v>175</v>
      </c>
      <c r="H117" s="219" t="s">
        <v>179</v>
      </c>
      <c r="I117" s="219" t="s">
        <v>54</v>
      </c>
      <c r="J117" s="219"/>
      <c r="K117" s="220">
        <v>11</v>
      </c>
      <c r="L117" s="221" t="s">
        <v>29</v>
      </c>
      <c r="M117" s="259" t="s">
        <v>178</v>
      </c>
      <c r="N117" s="222">
        <v>8799663116</v>
      </c>
      <c r="O117" s="222"/>
      <c r="P117" s="222"/>
      <c r="Q117" s="222"/>
      <c r="R117" s="636"/>
      <c r="S117" s="636"/>
      <c r="T117" s="222">
        <f>+N117-S117+O117-P117+Q117-R117</f>
        <v>8799663116</v>
      </c>
      <c r="U117" s="222">
        <v>8799663116</v>
      </c>
      <c r="V117" s="222">
        <f t="shared" ref="V117" si="114">+T117-U117</f>
        <v>0</v>
      </c>
      <c r="W117" s="224">
        <f t="shared" si="67"/>
        <v>1</v>
      </c>
      <c r="X117" s="222">
        <v>0</v>
      </c>
      <c r="Y117" s="222">
        <f t="shared" ref="Y117" si="115">+U117-X117</f>
        <v>8799663116</v>
      </c>
      <c r="Z117" s="224">
        <f t="shared" si="82"/>
        <v>1</v>
      </c>
      <c r="AA117" s="222">
        <v>0</v>
      </c>
      <c r="AB117" s="222">
        <f t="shared" ref="AB117" si="116">+X117-AA117</f>
        <v>0</v>
      </c>
      <c r="AC117" s="224">
        <f t="shared" si="65"/>
        <v>0</v>
      </c>
    </row>
    <row r="118" spans="1:29" ht="49.5">
      <c r="A118" s="32" t="str">
        <f t="shared" si="62"/>
        <v>C-4101-1500-5-0-4101077=11</v>
      </c>
      <c r="B118" s="210" t="str">
        <f>CONCATENATE(C118,"-",D118,"-",E118,"-",F118,"-",G118,"-",H118)</f>
        <v>C-4101-1500-5-0-4101077</v>
      </c>
      <c r="C118" s="211" t="s">
        <v>167</v>
      </c>
      <c r="D118" s="212" t="s">
        <v>171</v>
      </c>
      <c r="E118" s="212" t="s">
        <v>172</v>
      </c>
      <c r="F118" s="212" t="s">
        <v>261</v>
      </c>
      <c r="G118" s="212" t="s">
        <v>175</v>
      </c>
      <c r="H118" s="212" t="s">
        <v>181</v>
      </c>
      <c r="I118" s="212"/>
      <c r="J118" s="212"/>
      <c r="K118" s="213">
        <v>11</v>
      </c>
      <c r="L118" s="214" t="s">
        <v>29</v>
      </c>
      <c r="M118" s="210" t="s">
        <v>182</v>
      </c>
      <c r="N118" s="215">
        <f t="shared" ref="N118:V118" si="117">SUM(N119:N119)</f>
        <v>4325174580</v>
      </c>
      <c r="O118" s="215">
        <f t="shared" si="117"/>
        <v>0</v>
      </c>
      <c r="P118" s="215">
        <f t="shared" si="117"/>
        <v>0</v>
      </c>
      <c r="Q118" s="215">
        <f t="shared" si="117"/>
        <v>0</v>
      </c>
      <c r="R118" s="215">
        <f t="shared" si="117"/>
        <v>0</v>
      </c>
      <c r="S118" s="215">
        <f t="shared" si="117"/>
        <v>0</v>
      </c>
      <c r="T118" s="215">
        <f t="shared" si="117"/>
        <v>4325174580</v>
      </c>
      <c r="U118" s="215">
        <f t="shared" si="117"/>
        <v>3022087127</v>
      </c>
      <c r="V118" s="215">
        <f t="shared" si="117"/>
        <v>1303087453</v>
      </c>
      <c r="W118" s="216">
        <f t="shared" si="67"/>
        <v>0.698720264604903</v>
      </c>
      <c r="X118" s="215">
        <f t="shared" ref="X118:Y118" si="118">SUM(X119:X119)</f>
        <v>145789841</v>
      </c>
      <c r="Y118" s="215">
        <f t="shared" si="118"/>
        <v>2876297286</v>
      </c>
      <c r="Z118" s="216">
        <f t="shared" si="82"/>
        <v>0.95175855795238962</v>
      </c>
      <c r="AA118" s="215">
        <f t="shared" ref="AA118:AB118" si="119">SUM(AA119:AA119)</f>
        <v>145789841</v>
      </c>
      <c r="AB118" s="215">
        <f t="shared" si="119"/>
        <v>0</v>
      </c>
      <c r="AC118" s="216">
        <f t="shared" si="65"/>
        <v>4.8241442047610432E-2</v>
      </c>
    </row>
    <row r="119" spans="1:29" ht="24.95" customHeight="1">
      <c r="A119" s="32" t="str">
        <f t="shared" si="62"/>
        <v>C-4101-1500-5-0-4101077-02=11</v>
      </c>
      <c r="B119" s="217" t="str">
        <f>CONCATENATE(C119,"-",D119,"-",E119,"-",F119,"-",G119,"-",H119,"-",I119)</f>
        <v>C-4101-1500-5-0-4101077-02</v>
      </c>
      <c r="C119" s="218" t="s">
        <v>167</v>
      </c>
      <c r="D119" s="219" t="s">
        <v>171</v>
      </c>
      <c r="E119" s="219" t="s">
        <v>172</v>
      </c>
      <c r="F119" s="219" t="s">
        <v>261</v>
      </c>
      <c r="G119" s="219" t="s">
        <v>175</v>
      </c>
      <c r="H119" s="219" t="s">
        <v>181</v>
      </c>
      <c r="I119" s="225" t="s">
        <v>54</v>
      </c>
      <c r="J119" s="219"/>
      <c r="K119" s="220">
        <v>11</v>
      </c>
      <c r="L119" s="221" t="s">
        <v>29</v>
      </c>
      <c r="M119" s="217" t="s">
        <v>178</v>
      </c>
      <c r="N119" s="222">
        <v>4325174580</v>
      </c>
      <c r="O119" s="222"/>
      <c r="P119" s="222"/>
      <c r="Q119" s="222"/>
      <c r="R119" s="222"/>
      <c r="S119" s="222"/>
      <c r="T119" s="222">
        <f>+N119-S119+O119-P119+Q119-R119</f>
        <v>4325174580</v>
      </c>
      <c r="U119" s="222">
        <v>3022087127</v>
      </c>
      <c r="V119" s="222">
        <f t="shared" si="111"/>
        <v>1303087453</v>
      </c>
      <c r="W119" s="224">
        <f t="shared" si="67"/>
        <v>0.698720264604903</v>
      </c>
      <c r="X119" s="222">
        <v>145789841</v>
      </c>
      <c r="Y119" s="222">
        <f t="shared" ref="Y119:Y178" si="120">+U119-X119</f>
        <v>2876297286</v>
      </c>
      <c r="Z119" s="224">
        <f t="shared" si="82"/>
        <v>0.95175855795238962</v>
      </c>
      <c r="AA119" s="222">
        <v>145789841</v>
      </c>
      <c r="AB119" s="222">
        <f t="shared" si="112"/>
        <v>0</v>
      </c>
      <c r="AC119" s="224">
        <f t="shared" si="65"/>
        <v>4.8241442047610432E-2</v>
      </c>
    </row>
    <row r="120" spans="1:29" ht="49.5">
      <c r="A120" s="32" t="str">
        <f t="shared" si="62"/>
        <v>C-4101-1500-5-0-4101078=11</v>
      </c>
      <c r="B120" s="210" t="str">
        <f>CONCATENATE(C120,"-",D120,"-",E120,"-",F120,"-",G120,"-",H120)</f>
        <v>C-4101-1500-5-0-4101078</v>
      </c>
      <c r="C120" s="211" t="s">
        <v>167</v>
      </c>
      <c r="D120" s="212" t="s">
        <v>171</v>
      </c>
      <c r="E120" s="212" t="s">
        <v>172</v>
      </c>
      <c r="F120" s="212" t="s">
        <v>261</v>
      </c>
      <c r="G120" s="212" t="s">
        <v>175</v>
      </c>
      <c r="H120" s="212" t="s">
        <v>183</v>
      </c>
      <c r="I120" s="212"/>
      <c r="J120" s="212"/>
      <c r="K120" s="213">
        <v>11</v>
      </c>
      <c r="L120" s="214" t="s">
        <v>29</v>
      </c>
      <c r="M120" s="210" t="s">
        <v>184</v>
      </c>
      <c r="N120" s="215">
        <f>+N121</f>
        <v>7972098301</v>
      </c>
      <c r="O120" s="215">
        <f t="shared" ref="O120:AB120" si="121">+O121</f>
        <v>0</v>
      </c>
      <c r="P120" s="215">
        <f t="shared" si="121"/>
        <v>0</v>
      </c>
      <c r="Q120" s="215">
        <f t="shared" si="121"/>
        <v>0</v>
      </c>
      <c r="R120" s="215">
        <f t="shared" si="121"/>
        <v>0</v>
      </c>
      <c r="S120" s="215">
        <f t="shared" si="121"/>
        <v>0</v>
      </c>
      <c r="T120" s="215">
        <f t="shared" si="121"/>
        <v>7972098301</v>
      </c>
      <c r="U120" s="215">
        <f t="shared" si="121"/>
        <v>7027400000</v>
      </c>
      <c r="V120" s="215">
        <f t="shared" si="121"/>
        <v>944698301</v>
      </c>
      <c r="W120" s="216">
        <f t="shared" si="67"/>
        <v>0.8814994164232145</v>
      </c>
      <c r="X120" s="215">
        <f t="shared" si="121"/>
        <v>0</v>
      </c>
      <c r="Y120" s="215">
        <f t="shared" si="121"/>
        <v>7027400000</v>
      </c>
      <c r="Z120" s="216">
        <f t="shared" si="82"/>
        <v>1</v>
      </c>
      <c r="AA120" s="215">
        <f t="shared" si="121"/>
        <v>0</v>
      </c>
      <c r="AB120" s="215">
        <f t="shared" si="121"/>
        <v>0</v>
      </c>
      <c r="AC120" s="216">
        <f t="shared" si="65"/>
        <v>0</v>
      </c>
    </row>
    <row r="121" spans="1:29" ht="24.95" customHeight="1">
      <c r="A121" s="32" t="str">
        <f t="shared" si="62"/>
        <v>C-4101-1500-5-0-4101078-02=11</v>
      </c>
      <c r="B121" s="217" t="str">
        <f>CONCATENATE(C121,"-",D121,"-",E121,"-",F121,"-",G121,"-",H121,"-",I121)</f>
        <v>C-4101-1500-5-0-4101078-02</v>
      </c>
      <c r="C121" s="218" t="s">
        <v>167</v>
      </c>
      <c r="D121" s="219" t="s">
        <v>171</v>
      </c>
      <c r="E121" s="219" t="s">
        <v>172</v>
      </c>
      <c r="F121" s="219" t="s">
        <v>261</v>
      </c>
      <c r="G121" s="219" t="s">
        <v>175</v>
      </c>
      <c r="H121" s="219" t="s">
        <v>183</v>
      </c>
      <c r="I121" s="219" t="s">
        <v>54</v>
      </c>
      <c r="J121" s="219"/>
      <c r="K121" s="220">
        <v>11</v>
      </c>
      <c r="L121" s="221" t="s">
        <v>29</v>
      </c>
      <c r="M121" s="217" t="s">
        <v>178</v>
      </c>
      <c r="N121" s="222">
        <v>7972098301</v>
      </c>
      <c r="O121" s="222"/>
      <c r="P121" s="222"/>
      <c r="Q121" s="222"/>
      <c r="R121" s="222"/>
      <c r="S121" s="222"/>
      <c r="T121" s="223">
        <f>+N121-S121+O121-P121+Q121-R121</f>
        <v>7972098301</v>
      </c>
      <c r="U121" s="222">
        <v>7027400000</v>
      </c>
      <c r="V121" s="222">
        <f t="shared" si="111"/>
        <v>944698301</v>
      </c>
      <c r="W121" s="224">
        <f t="shared" si="67"/>
        <v>0.8814994164232145</v>
      </c>
      <c r="X121" s="222">
        <v>0</v>
      </c>
      <c r="Y121" s="222">
        <f t="shared" si="120"/>
        <v>7027400000</v>
      </c>
      <c r="Z121" s="224">
        <f t="shared" si="82"/>
        <v>1</v>
      </c>
      <c r="AA121" s="222">
        <v>0</v>
      </c>
      <c r="AB121" s="222">
        <f t="shared" si="112"/>
        <v>0</v>
      </c>
      <c r="AC121" s="224">
        <f t="shared" si="65"/>
        <v>0</v>
      </c>
    </row>
    <row r="122" spans="1:29" ht="24.95" customHeight="1">
      <c r="A122" s="32" t="str">
        <f t="shared" si="62"/>
        <v>C-4101-1500-5-0-4101080=11</v>
      </c>
      <c r="B122" s="210" t="str">
        <f>CONCATENATE(C122,"-",D122,"-",E122,"-",F122,"-",G122,"-",H122)</f>
        <v>C-4101-1500-5-0-4101080</v>
      </c>
      <c r="C122" s="211" t="s">
        <v>167</v>
      </c>
      <c r="D122" s="212" t="s">
        <v>171</v>
      </c>
      <c r="E122" s="212" t="s">
        <v>172</v>
      </c>
      <c r="F122" s="212" t="s">
        <v>261</v>
      </c>
      <c r="G122" s="212" t="s">
        <v>175</v>
      </c>
      <c r="H122" s="212" t="s">
        <v>185</v>
      </c>
      <c r="I122" s="212"/>
      <c r="J122" s="212"/>
      <c r="K122" s="213">
        <v>11</v>
      </c>
      <c r="L122" s="214" t="s">
        <v>29</v>
      </c>
      <c r="M122" s="210" t="s">
        <v>186</v>
      </c>
      <c r="N122" s="215">
        <f>+N123</f>
        <v>5196200000</v>
      </c>
      <c r="O122" s="215">
        <f t="shared" ref="O122:AB122" si="122">+O123</f>
        <v>0</v>
      </c>
      <c r="P122" s="215">
        <f t="shared" si="122"/>
        <v>0</v>
      </c>
      <c r="Q122" s="215">
        <f t="shared" si="122"/>
        <v>0</v>
      </c>
      <c r="R122" s="215">
        <f t="shared" si="122"/>
        <v>0</v>
      </c>
      <c r="S122" s="215">
        <f t="shared" si="122"/>
        <v>0</v>
      </c>
      <c r="T122" s="215">
        <f t="shared" si="122"/>
        <v>5196200000</v>
      </c>
      <c r="U122" s="215">
        <f t="shared" si="122"/>
        <v>5196200000</v>
      </c>
      <c r="V122" s="215">
        <f t="shared" si="122"/>
        <v>0</v>
      </c>
      <c r="W122" s="216">
        <f t="shared" si="67"/>
        <v>1</v>
      </c>
      <c r="X122" s="215">
        <f t="shared" si="122"/>
        <v>0</v>
      </c>
      <c r="Y122" s="215">
        <f t="shared" si="122"/>
        <v>5196200000</v>
      </c>
      <c r="Z122" s="216">
        <f t="shared" si="82"/>
        <v>1</v>
      </c>
      <c r="AA122" s="215">
        <f t="shared" si="122"/>
        <v>0</v>
      </c>
      <c r="AB122" s="215">
        <f t="shared" si="122"/>
        <v>0</v>
      </c>
      <c r="AC122" s="216">
        <f t="shared" si="65"/>
        <v>0</v>
      </c>
    </row>
    <row r="123" spans="1:29" ht="24.95" customHeight="1">
      <c r="A123" s="32" t="str">
        <f t="shared" si="62"/>
        <v>C-4101-1500-5-0-4101080-02=11</v>
      </c>
      <c r="B123" s="217" t="str">
        <f>CONCATENATE(C123,"-",D123,"-",E123,"-",F123,"-",G123,"-",H123,"-",I123)</f>
        <v>C-4101-1500-5-0-4101080-02</v>
      </c>
      <c r="C123" s="218" t="s">
        <v>167</v>
      </c>
      <c r="D123" s="219" t="s">
        <v>171</v>
      </c>
      <c r="E123" s="219" t="s">
        <v>172</v>
      </c>
      <c r="F123" s="219">
        <v>5</v>
      </c>
      <c r="G123" s="219" t="s">
        <v>175</v>
      </c>
      <c r="H123" s="219" t="s">
        <v>185</v>
      </c>
      <c r="I123" s="219" t="s">
        <v>54</v>
      </c>
      <c r="J123" s="219"/>
      <c r="K123" s="220">
        <v>11</v>
      </c>
      <c r="L123" s="221" t="s">
        <v>29</v>
      </c>
      <c r="M123" s="259" t="s">
        <v>178</v>
      </c>
      <c r="N123" s="222">
        <v>5196200000</v>
      </c>
      <c r="O123" s="222"/>
      <c r="P123" s="222"/>
      <c r="Q123" s="222"/>
      <c r="R123" s="222"/>
      <c r="S123" s="222"/>
      <c r="T123" s="222">
        <f>+N123-S123+O123-P123+Q123-R123</f>
        <v>5196200000</v>
      </c>
      <c r="U123" s="222">
        <v>5196200000</v>
      </c>
      <c r="V123" s="222">
        <f t="shared" ref="V123" si="123">+T123-U123</f>
        <v>0</v>
      </c>
      <c r="W123" s="224">
        <f t="shared" si="67"/>
        <v>1</v>
      </c>
      <c r="X123" s="222">
        <v>0</v>
      </c>
      <c r="Y123" s="222">
        <f t="shared" ref="Y123" si="124">+U123-X123</f>
        <v>5196200000</v>
      </c>
      <c r="Z123" s="224">
        <f t="shared" si="82"/>
        <v>1</v>
      </c>
      <c r="AA123" s="222">
        <v>0</v>
      </c>
      <c r="AB123" s="222">
        <f t="shared" ref="AB123" si="125">+X123-AA123</f>
        <v>0</v>
      </c>
      <c r="AC123" s="224">
        <f t="shared" si="65"/>
        <v>0</v>
      </c>
    </row>
    <row r="124" spans="1:29" ht="33">
      <c r="A124" s="32" t="str">
        <f t="shared" si="62"/>
        <v>C-4101-1500-5-0-4101081=11</v>
      </c>
      <c r="B124" s="210" t="str">
        <f>CONCATENATE(C124,"-",D124,"-",E124,"-",F124,"-",G124,"-",H124)</f>
        <v>C-4101-1500-5-0-4101081</v>
      </c>
      <c r="C124" s="211" t="s">
        <v>167</v>
      </c>
      <c r="D124" s="212" t="s">
        <v>171</v>
      </c>
      <c r="E124" s="212" t="s">
        <v>172</v>
      </c>
      <c r="F124" s="212" t="s">
        <v>261</v>
      </c>
      <c r="G124" s="212" t="s">
        <v>175</v>
      </c>
      <c r="H124" s="212" t="s">
        <v>187</v>
      </c>
      <c r="I124" s="212"/>
      <c r="J124" s="212"/>
      <c r="K124" s="213">
        <v>11</v>
      </c>
      <c r="L124" s="214" t="s">
        <v>29</v>
      </c>
      <c r="M124" s="210" t="s">
        <v>188</v>
      </c>
      <c r="N124" s="215">
        <f>+N125</f>
        <v>2593569161</v>
      </c>
      <c r="O124" s="215">
        <f t="shared" ref="O124:AB124" si="126">+O125</f>
        <v>0</v>
      </c>
      <c r="P124" s="215">
        <f t="shared" si="126"/>
        <v>0</v>
      </c>
      <c r="Q124" s="215">
        <f t="shared" si="126"/>
        <v>0</v>
      </c>
      <c r="R124" s="215">
        <f t="shared" si="126"/>
        <v>0</v>
      </c>
      <c r="S124" s="215">
        <f t="shared" si="126"/>
        <v>0</v>
      </c>
      <c r="T124" s="215">
        <f t="shared" si="126"/>
        <v>2593569161</v>
      </c>
      <c r="U124" s="215">
        <f t="shared" si="126"/>
        <v>2593569161</v>
      </c>
      <c r="V124" s="215">
        <f t="shared" si="126"/>
        <v>0</v>
      </c>
      <c r="W124" s="216">
        <f t="shared" si="67"/>
        <v>1</v>
      </c>
      <c r="X124" s="215">
        <f t="shared" si="126"/>
        <v>0</v>
      </c>
      <c r="Y124" s="215">
        <f t="shared" si="126"/>
        <v>2593569161</v>
      </c>
      <c r="Z124" s="216">
        <f t="shared" si="82"/>
        <v>1</v>
      </c>
      <c r="AA124" s="215">
        <f t="shared" si="126"/>
        <v>0</v>
      </c>
      <c r="AB124" s="215">
        <f t="shared" si="126"/>
        <v>0</v>
      </c>
      <c r="AC124" s="216">
        <f t="shared" si="65"/>
        <v>0</v>
      </c>
    </row>
    <row r="125" spans="1:29" ht="24.95" customHeight="1">
      <c r="A125" s="32" t="str">
        <f t="shared" si="62"/>
        <v>C-4101-1500-5-0-4101081-02=11</v>
      </c>
      <c r="B125" s="217" t="str">
        <f>CONCATENATE(C125,"-",D125,"-",E125,"-",F125,"-",G125,"-",H125,"-",I125)</f>
        <v>C-4101-1500-5-0-4101081-02</v>
      </c>
      <c r="C125" s="218" t="s">
        <v>167</v>
      </c>
      <c r="D125" s="219" t="s">
        <v>171</v>
      </c>
      <c r="E125" s="219" t="s">
        <v>172</v>
      </c>
      <c r="F125" s="219" t="s">
        <v>261</v>
      </c>
      <c r="G125" s="219" t="s">
        <v>175</v>
      </c>
      <c r="H125" s="219" t="s">
        <v>187</v>
      </c>
      <c r="I125" s="219" t="s">
        <v>54</v>
      </c>
      <c r="J125" s="219"/>
      <c r="K125" s="220">
        <v>11</v>
      </c>
      <c r="L125" s="221" t="s">
        <v>29</v>
      </c>
      <c r="M125" s="217" t="s">
        <v>178</v>
      </c>
      <c r="N125" s="222">
        <v>2593569161</v>
      </c>
      <c r="O125" s="222"/>
      <c r="P125" s="222"/>
      <c r="Q125" s="222"/>
      <c r="R125" s="222"/>
      <c r="S125" s="222"/>
      <c r="T125" s="222">
        <f>+N125-S125+O125-P125+Q125-R125</f>
        <v>2593569161</v>
      </c>
      <c r="U125" s="222">
        <v>2593569161</v>
      </c>
      <c r="V125" s="222">
        <f t="shared" si="111"/>
        <v>0</v>
      </c>
      <c r="W125" s="224">
        <f t="shared" si="67"/>
        <v>1</v>
      </c>
      <c r="X125" s="222">
        <v>0</v>
      </c>
      <c r="Y125" s="222">
        <f t="shared" si="120"/>
        <v>2593569161</v>
      </c>
      <c r="Z125" s="224">
        <f t="shared" si="82"/>
        <v>1</v>
      </c>
      <c r="AA125" s="222">
        <v>0</v>
      </c>
      <c r="AB125" s="222">
        <f t="shared" si="112"/>
        <v>0</v>
      </c>
      <c r="AC125" s="224">
        <f t="shared" si="65"/>
        <v>0</v>
      </c>
    </row>
    <row r="126" spans="1:29" ht="66">
      <c r="A126" s="32" t="str">
        <f t="shared" si="62"/>
        <v>C-4101-1500-6=</v>
      </c>
      <c r="B126" s="226" t="str">
        <f>CONCATENATE(C126,"-",D126,"-",E126,"-",F126)</f>
        <v>C-4101-1500-6</v>
      </c>
      <c r="C126" s="227" t="s">
        <v>167</v>
      </c>
      <c r="D126" s="228" t="s">
        <v>171</v>
      </c>
      <c r="E126" s="228" t="s">
        <v>172</v>
      </c>
      <c r="F126" s="228" t="s">
        <v>173</v>
      </c>
      <c r="G126" s="228"/>
      <c r="H126" s="228"/>
      <c r="I126" s="228"/>
      <c r="J126" s="228"/>
      <c r="K126" s="229"/>
      <c r="L126" s="230"/>
      <c r="M126" s="231" t="s">
        <v>174</v>
      </c>
      <c r="N126" s="232">
        <f>+N131+N133+N135+N137+N127+N129</f>
        <v>118101757963</v>
      </c>
      <c r="O126" s="232">
        <f t="shared" ref="O126:V126" si="127">+O131+O133+O135+O137+O127+O129</f>
        <v>0</v>
      </c>
      <c r="P126" s="232">
        <f t="shared" si="127"/>
        <v>0</v>
      </c>
      <c r="Q126" s="232">
        <f t="shared" si="127"/>
        <v>0</v>
      </c>
      <c r="R126" s="232">
        <f t="shared" si="127"/>
        <v>0</v>
      </c>
      <c r="S126" s="232">
        <f t="shared" si="127"/>
        <v>0</v>
      </c>
      <c r="T126" s="232">
        <f t="shared" si="127"/>
        <v>118101757963</v>
      </c>
      <c r="U126" s="232">
        <f t="shared" si="127"/>
        <v>107280920202</v>
      </c>
      <c r="V126" s="232">
        <f t="shared" si="127"/>
        <v>10820837761</v>
      </c>
      <c r="W126" s="233">
        <f t="shared" si="67"/>
        <v>0.90837699668797434</v>
      </c>
      <c r="X126" s="232">
        <f t="shared" ref="X126:AB126" si="128">+X131+X133+X135+X137+X127+X129</f>
        <v>15089385150</v>
      </c>
      <c r="Y126" s="232">
        <f t="shared" si="128"/>
        <v>92191535052</v>
      </c>
      <c r="Z126" s="233">
        <f t="shared" si="82"/>
        <v>0.85934698246819574</v>
      </c>
      <c r="AA126" s="232">
        <f t="shared" si="128"/>
        <v>8609679007</v>
      </c>
      <c r="AB126" s="232">
        <f t="shared" si="128"/>
        <v>6479706143</v>
      </c>
      <c r="AC126" s="233">
        <f t="shared" si="65"/>
        <v>8.0253590207734746E-2</v>
      </c>
    </row>
    <row r="127" spans="1:29" ht="24.95" customHeight="1">
      <c r="A127" s="32" t="str">
        <f t="shared" si="62"/>
        <v>C-4101-1500-6-0-4101073=11</v>
      </c>
      <c r="B127" s="210" t="str">
        <f>CONCATENATE(C127,"-",D127,"-",E127,"-",F127,"-",G127,"-",H127)</f>
        <v>C-4101-1500-6-0-4101073</v>
      </c>
      <c r="C127" s="211" t="s">
        <v>167</v>
      </c>
      <c r="D127" s="212" t="s">
        <v>171</v>
      </c>
      <c r="E127" s="212" t="s">
        <v>172</v>
      </c>
      <c r="F127" s="212" t="s">
        <v>173</v>
      </c>
      <c r="G127" s="212" t="s">
        <v>175</v>
      </c>
      <c r="H127" s="212" t="s">
        <v>176</v>
      </c>
      <c r="I127" s="212"/>
      <c r="J127" s="212"/>
      <c r="K127" s="213" t="s">
        <v>144</v>
      </c>
      <c r="L127" s="214" t="s">
        <v>29</v>
      </c>
      <c r="M127" s="210" t="s">
        <v>177</v>
      </c>
      <c r="N127" s="215">
        <f t="shared" ref="N127:V127" si="129">SUM(N128:N128)</f>
        <v>4947405600</v>
      </c>
      <c r="O127" s="215">
        <f t="shared" si="129"/>
        <v>0</v>
      </c>
      <c r="P127" s="215">
        <f t="shared" si="129"/>
        <v>0</v>
      </c>
      <c r="Q127" s="215">
        <f t="shared" si="129"/>
        <v>0</v>
      </c>
      <c r="R127" s="215">
        <f t="shared" si="129"/>
        <v>0</v>
      </c>
      <c r="S127" s="215">
        <f t="shared" si="129"/>
        <v>0</v>
      </c>
      <c r="T127" s="215">
        <f t="shared" si="129"/>
        <v>4947405600</v>
      </c>
      <c r="U127" s="215">
        <f t="shared" si="129"/>
        <v>1947405600</v>
      </c>
      <c r="V127" s="215">
        <f t="shared" si="129"/>
        <v>3000000000</v>
      </c>
      <c r="W127" s="216">
        <f t="shared" si="67"/>
        <v>0.39362157814592763</v>
      </c>
      <c r="X127" s="215">
        <f t="shared" ref="X127:Y127" si="130">SUM(X128:X128)</f>
        <v>1101821647</v>
      </c>
      <c r="Y127" s="215">
        <f t="shared" si="130"/>
        <v>845583953</v>
      </c>
      <c r="Z127" s="216">
        <f t="shared" si="82"/>
        <v>0.43421049677581292</v>
      </c>
      <c r="AA127" s="215">
        <f t="shared" ref="AA127:AB127" si="131">SUM(AA128:AA128)</f>
        <v>623536251</v>
      </c>
      <c r="AB127" s="215">
        <f t="shared" si="131"/>
        <v>478285396</v>
      </c>
      <c r="AC127" s="216">
        <f t="shared" si="65"/>
        <v>0.32018817805597355</v>
      </c>
    </row>
    <row r="128" spans="1:29" ht="24.95" customHeight="1">
      <c r="A128" s="32" t="str">
        <f t="shared" si="62"/>
        <v>C-4101-1500-6-0-4101073-02=11</v>
      </c>
      <c r="B128" s="217" t="str">
        <f>CONCATENATE(C128,"-",D128,"-",E128,"-",F128,"-",G128,"-",H128,"-",I128)</f>
        <v>C-4101-1500-6-0-4101073-02</v>
      </c>
      <c r="C128" s="218" t="s">
        <v>167</v>
      </c>
      <c r="D128" s="219" t="s">
        <v>171</v>
      </c>
      <c r="E128" s="219" t="s">
        <v>172</v>
      </c>
      <c r="F128" s="219" t="s">
        <v>173</v>
      </c>
      <c r="G128" s="219" t="s">
        <v>175</v>
      </c>
      <c r="H128" s="219" t="s">
        <v>176</v>
      </c>
      <c r="I128" s="219" t="s">
        <v>54</v>
      </c>
      <c r="J128" s="219"/>
      <c r="K128" s="220" t="s">
        <v>144</v>
      </c>
      <c r="L128" s="221" t="s">
        <v>29</v>
      </c>
      <c r="M128" s="259" t="s">
        <v>178</v>
      </c>
      <c r="N128" s="222">
        <v>4947405600</v>
      </c>
      <c r="O128" s="222"/>
      <c r="P128" s="222"/>
      <c r="Q128" s="222"/>
      <c r="R128" s="222"/>
      <c r="S128" s="222"/>
      <c r="T128" s="222">
        <f>+N128-S128+O128-P128+Q128-R128</f>
        <v>4947405600</v>
      </c>
      <c r="U128" s="222">
        <v>1947405600</v>
      </c>
      <c r="V128" s="222">
        <f t="shared" si="111"/>
        <v>3000000000</v>
      </c>
      <c r="W128" s="224">
        <f t="shared" si="67"/>
        <v>0.39362157814592763</v>
      </c>
      <c r="X128" s="222">
        <v>1101821647</v>
      </c>
      <c r="Y128" s="222">
        <f t="shared" si="120"/>
        <v>845583953</v>
      </c>
      <c r="Z128" s="224">
        <f t="shared" si="82"/>
        <v>0.43421049677581292</v>
      </c>
      <c r="AA128" s="222">
        <v>623536251</v>
      </c>
      <c r="AB128" s="222">
        <f t="shared" si="112"/>
        <v>478285396</v>
      </c>
      <c r="AC128" s="224">
        <f t="shared" si="65"/>
        <v>0.32018817805597355</v>
      </c>
    </row>
    <row r="129" spans="1:52" ht="33">
      <c r="A129" s="32" t="str">
        <f t="shared" si="62"/>
        <v>C-4101-1500-6-0-4101074=11</v>
      </c>
      <c r="B129" s="210" t="str">
        <f>CONCATENATE(C129,"-",D129,"-",E129,"-",F129,"-",G129,"-",H129)</f>
        <v>C-4101-1500-6-0-4101074</v>
      </c>
      <c r="C129" s="211" t="s">
        <v>167</v>
      </c>
      <c r="D129" s="212" t="s">
        <v>171</v>
      </c>
      <c r="E129" s="212" t="s">
        <v>172</v>
      </c>
      <c r="F129" s="212" t="s">
        <v>173</v>
      </c>
      <c r="G129" s="212" t="s">
        <v>175</v>
      </c>
      <c r="H129" s="212" t="s">
        <v>179</v>
      </c>
      <c r="I129" s="212"/>
      <c r="J129" s="212"/>
      <c r="K129" s="213" t="s">
        <v>144</v>
      </c>
      <c r="L129" s="214" t="s">
        <v>29</v>
      </c>
      <c r="M129" s="210" t="s">
        <v>180</v>
      </c>
      <c r="N129" s="215">
        <f>+N130</f>
        <v>27420887861</v>
      </c>
      <c r="O129" s="215">
        <f t="shared" ref="O129:AB129" si="132">+O130</f>
        <v>0</v>
      </c>
      <c r="P129" s="215">
        <f t="shared" si="132"/>
        <v>0</v>
      </c>
      <c r="Q129" s="215">
        <f t="shared" si="132"/>
        <v>0</v>
      </c>
      <c r="R129" s="215">
        <f t="shared" si="132"/>
        <v>0</v>
      </c>
      <c r="S129" s="215">
        <f t="shared" si="132"/>
        <v>0</v>
      </c>
      <c r="T129" s="215">
        <f t="shared" si="132"/>
        <v>27420887861</v>
      </c>
      <c r="U129" s="215">
        <f t="shared" si="132"/>
        <v>27306887861</v>
      </c>
      <c r="V129" s="215">
        <f t="shared" si="132"/>
        <v>114000000</v>
      </c>
      <c r="W129" s="216">
        <f t="shared" si="67"/>
        <v>0.99584258538316195</v>
      </c>
      <c r="X129" s="215">
        <f t="shared" si="132"/>
        <v>7696085751</v>
      </c>
      <c r="Y129" s="215">
        <f t="shared" si="132"/>
        <v>19610802110</v>
      </c>
      <c r="Z129" s="216">
        <f t="shared" si="82"/>
        <v>0.7181632051892799</v>
      </c>
      <c r="AA129" s="215">
        <f t="shared" si="132"/>
        <v>7696085751</v>
      </c>
      <c r="AB129" s="215">
        <f t="shared" si="132"/>
        <v>0</v>
      </c>
      <c r="AC129" s="216">
        <f t="shared" si="65"/>
        <v>0.2818367948107201</v>
      </c>
    </row>
    <row r="130" spans="1:52" ht="24.95" customHeight="1">
      <c r="A130" s="32" t="str">
        <f t="shared" si="62"/>
        <v>C-4101-1500-6-0-4101074-02=11</v>
      </c>
      <c r="B130" s="217" t="str">
        <f>CONCATENATE(C130,"-",D130,"-",E130,"-",F130,"-",G130,"-",H130,"-",I130)</f>
        <v>C-4101-1500-6-0-4101074-02</v>
      </c>
      <c r="C130" s="218" t="s">
        <v>167</v>
      </c>
      <c r="D130" s="219" t="s">
        <v>171</v>
      </c>
      <c r="E130" s="219" t="s">
        <v>172</v>
      </c>
      <c r="F130" s="219" t="s">
        <v>173</v>
      </c>
      <c r="G130" s="219" t="s">
        <v>175</v>
      </c>
      <c r="H130" s="219" t="s">
        <v>179</v>
      </c>
      <c r="I130" s="219" t="s">
        <v>54</v>
      </c>
      <c r="J130" s="219"/>
      <c r="K130" s="220" t="s">
        <v>144</v>
      </c>
      <c r="L130" s="221" t="s">
        <v>29</v>
      </c>
      <c r="M130" s="259" t="s">
        <v>178</v>
      </c>
      <c r="N130" s="222">
        <v>27420887861</v>
      </c>
      <c r="O130" s="222"/>
      <c r="P130" s="222"/>
      <c r="Q130" s="222"/>
      <c r="R130" s="222"/>
      <c r="S130" s="222"/>
      <c r="T130" s="222">
        <f>+N130-S130+O130-P130+Q130-R130</f>
        <v>27420887861</v>
      </c>
      <c r="U130" s="222">
        <v>27306887861</v>
      </c>
      <c r="V130" s="222">
        <f t="shared" si="111"/>
        <v>114000000</v>
      </c>
      <c r="W130" s="224">
        <f t="shared" si="67"/>
        <v>0.99584258538316195</v>
      </c>
      <c r="X130" s="222">
        <v>7696085751</v>
      </c>
      <c r="Y130" s="222">
        <f t="shared" si="120"/>
        <v>19610802110</v>
      </c>
      <c r="Z130" s="224">
        <f t="shared" si="82"/>
        <v>0.7181632051892799</v>
      </c>
      <c r="AA130" s="222">
        <v>7696085751</v>
      </c>
      <c r="AB130" s="222">
        <f t="shared" si="112"/>
        <v>0</v>
      </c>
      <c r="AC130" s="224">
        <f t="shared" si="65"/>
        <v>0.2818367948107201</v>
      </c>
    </row>
    <row r="131" spans="1:52" ht="49.5">
      <c r="A131" s="32" t="str">
        <f t="shared" si="62"/>
        <v>C-4101-1500-6-0-4101077=11</v>
      </c>
      <c r="B131" s="210" t="str">
        <f>CONCATENATE(C131,"-",D131,"-",E131,"-",F131,"-",G131,"-",H131)</f>
        <v>C-4101-1500-6-0-4101077</v>
      </c>
      <c r="C131" s="211" t="s">
        <v>167</v>
      </c>
      <c r="D131" s="212" t="s">
        <v>171</v>
      </c>
      <c r="E131" s="212" t="s">
        <v>172</v>
      </c>
      <c r="F131" s="212" t="s">
        <v>173</v>
      </c>
      <c r="G131" s="212" t="s">
        <v>175</v>
      </c>
      <c r="H131" s="212" t="s">
        <v>181</v>
      </c>
      <c r="I131" s="212"/>
      <c r="J131" s="212"/>
      <c r="K131" s="213" t="s">
        <v>144</v>
      </c>
      <c r="L131" s="214" t="s">
        <v>29</v>
      </c>
      <c r="M131" s="210" t="s">
        <v>182</v>
      </c>
      <c r="N131" s="215">
        <f>+N132</f>
        <v>17722088000</v>
      </c>
      <c r="O131" s="215">
        <f t="shared" ref="O131:AB131" si="133">+O132</f>
        <v>0</v>
      </c>
      <c r="P131" s="215">
        <f t="shared" si="133"/>
        <v>0</v>
      </c>
      <c r="Q131" s="215">
        <f t="shared" si="133"/>
        <v>0</v>
      </c>
      <c r="R131" s="215">
        <f t="shared" si="133"/>
        <v>0</v>
      </c>
      <c r="S131" s="215">
        <f t="shared" si="133"/>
        <v>0</v>
      </c>
      <c r="T131" s="215">
        <f t="shared" si="133"/>
        <v>17722088000</v>
      </c>
      <c r="U131" s="215">
        <f t="shared" si="133"/>
        <v>17722088000</v>
      </c>
      <c r="V131" s="215">
        <f t="shared" si="133"/>
        <v>0</v>
      </c>
      <c r="W131" s="216">
        <f t="shared" si="67"/>
        <v>1</v>
      </c>
      <c r="X131" s="215">
        <f t="shared" si="133"/>
        <v>3559633198</v>
      </c>
      <c r="Y131" s="215">
        <f t="shared" si="133"/>
        <v>14162454802</v>
      </c>
      <c r="Z131" s="216">
        <f t="shared" si="82"/>
        <v>0.79914143310878494</v>
      </c>
      <c r="AA131" s="215">
        <f t="shared" si="133"/>
        <v>0</v>
      </c>
      <c r="AB131" s="215">
        <f t="shared" si="133"/>
        <v>3559633198</v>
      </c>
      <c r="AC131" s="216">
        <f t="shared" si="65"/>
        <v>0</v>
      </c>
    </row>
    <row r="132" spans="1:52" ht="24.95" customHeight="1">
      <c r="A132" s="32" t="str">
        <f t="shared" si="62"/>
        <v>C-4101-1500-6-0-4101077-02=11</v>
      </c>
      <c r="B132" s="217" t="str">
        <f>CONCATENATE(C132,"-",D132,"-",E132,"-",F132,"-",G132,"-",H132,"-",I132)</f>
        <v>C-4101-1500-6-0-4101077-02</v>
      </c>
      <c r="C132" s="218" t="s">
        <v>167</v>
      </c>
      <c r="D132" s="219" t="s">
        <v>171</v>
      </c>
      <c r="E132" s="219" t="s">
        <v>172</v>
      </c>
      <c r="F132" s="219" t="s">
        <v>173</v>
      </c>
      <c r="G132" s="219" t="s">
        <v>175</v>
      </c>
      <c r="H132" s="219" t="s">
        <v>181</v>
      </c>
      <c r="I132" s="219" t="s">
        <v>54</v>
      </c>
      <c r="J132" s="219"/>
      <c r="K132" s="220" t="s">
        <v>144</v>
      </c>
      <c r="L132" s="221" t="s">
        <v>29</v>
      </c>
      <c r="M132" s="259" t="s">
        <v>178</v>
      </c>
      <c r="N132" s="222">
        <v>17722088000</v>
      </c>
      <c r="O132" s="222"/>
      <c r="P132" s="222"/>
      <c r="Q132" s="222"/>
      <c r="R132" s="222"/>
      <c r="S132" s="222"/>
      <c r="T132" s="222">
        <f>+N132-S132+O132-P132+Q132-R132</f>
        <v>17722088000</v>
      </c>
      <c r="U132" s="222">
        <v>17722088000</v>
      </c>
      <c r="V132" s="222">
        <f t="shared" si="111"/>
        <v>0</v>
      </c>
      <c r="W132" s="224">
        <f t="shared" si="67"/>
        <v>1</v>
      </c>
      <c r="X132" s="222">
        <v>3559633198</v>
      </c>
      <c r="Y132" s="222">
        <f t="shared" si="120"/>
        <v>14162454802</v>
      </c>
      <c r="Z132" s="224">
        <f t="shared" si="82"/>
        <v>0.79914143310878494</v>
      </c>
      <c r="AA132" s="222">
        <v>0</v>
      </c>
      <c r="AB132" s="222">
        <f t="shared" si="112"/>
        <v>3559633198</v>
      </c>
      <c r="AC132" s="224">
        <f t="shared" si="65"/>
        <v>0</v>
      </c>
    </row>
    <row r="133" spans="1:52" ht="49.5">
      <c r="A133" s="32" t="str">
        <f t="shared" si="62"/>
        <v>C-4101-1500-6-0-4101078=11</v>
      </c>
      <c r="B133" s="210" t="str">
        <f>CONCATENATE(C133,"-",D133,"-",E133,"-",F133,"-",G133,"-",H133)</f>
        <v>C-4101-1500-6-0-4101078</v>
      </c>
      <c r="C133" s="211" t="s">
        <v>167</v>
      </c>
      <c r="D133" s="212" t="s">
        <v>171</v>
      </c>
      <c r="E133" s="212" t="s">
        <v>172</v>
      </c>
      <c r="F133" s="212" t="s">
        <v>173</v>
      </c>
      <c r="G133" s="212" t="s">
        <v>175</v>
      </c>
      <c r="H133" s="212" t="s">
        <v>183</v>
      </c>
      <c r="I133" s="212"/>
      <c r="J133" s="212"/>
      <c r="K133" s="213" t="s">
        <v>144</v>
      </c>
      <c r="L133" s="214" t="s">
        <v>29</v>
      </c>
      <c r="M133" s="210" t="s">
        <v>184</v>
      </c>
      <c r="N133" s="215">
        <f t="shared" ref="N133:V133" si="134">SUM(N134:N134)</f>
        <v>16276997084</v>
      </c>
      <c r="O133" s="215">
        <f t="shared" si="134"/>
        <v>0</v>
      </c>
      <c r="P133" s="215">
        <f t="shared" si="134"/>
        <v>0</v>
      </c>
      <c r="Q133" s="215">
        <f t="shared" si="134"/>
        <v>0</v>
      </c>
      <c r="R133" s="215">
        <f t="shared" si="134"/>
        <v>0</v>
      </c>
      <c r="S133" s="215">
        <f t="shared" si="134"/>
        <v>0</v>
      </c>
      <c r="T133" s="215">
        <f t="shared" si="134"/>
        <v>16276997084</v>
      </c>
      <c r="U133" s="215">
        <f t="shared" si="134"/>
        <v>15638747737</v>
      </c>
      <c r="V133" s="215">
        <f t="shared" si="134"/>
        <v>638249347</v>
      </c>
      <c r="W133" s="216">
        <f t="shared" si="67"/>
        <v>0.96078826188232302</v>
      </c>
      <c r="X133" s="215">
        <f t="shared" ref="X133:Y133" si="135">SUM(X134:X134)</f>
        <v>1642567368</v>
      </c>
      <c r="Y133" s="215">
        <f t="shared" si="135"/>
        <v>13996180369</v>
      </c>
      <c r="Z133" s="216">
        <f t="shared" si="82"/>
        <v>0.89496810130686999</v>
      </c>
      <c r="AA133" s="215">
        <f t="shared" ref="AA133:AB133" si="136">SUM(AA134:AA134)</f>
        <v>290057005</v>
      </c>
      <c r="AB133" s="215">
        <f t="shared" si="136"/>
        <v>1352510363</v>
      </c>
      <c r="AC133" s="216">
        <f t="shared" si="65"/>
        <v>1.8547329356413161E-2</v>
      </c>
    </row>
    <row r="134" spans="1:52" ht="24.95" customHeight="1">
      <c r="A134" s="32" t="str">
        <f t="shared" si="62"/>
        <v>C-4101-1500-6-0-4101078-02=11</v>
      </c>
      <c r="B134" s="217" t="str">
        <f>CONCATENATE(C134,"-",D134,"-",E134,"-",F134,"-",G134,"-",H134,"-",I134)</f>
        <v>C-4101-1500-6-0-4101078-02</v>
      </c>
      <c r="C134" s="218" t="s">
        <v>167</v>
      </c>
      <c r="D134" s="219" t="s">
        <v>171</v>
      </c>
      <c r="E134" s="219" t="s">
        <v>172</v>
      </c>
      <c r="F134" s="219" t="s">
        <v>173</v>
      </c>
      <c r="G134" s="219" t="s">
        <v>175</v>
      </c>
      <c r="H134" s="219" t="s">
        <v>183</v>
      </c>
      <c r="I134" s="219" t="s">
        <v>54</v>
      </c>
      <c r="J134" s="219"/>
      <c r="K134" s="220" t="s">
        <v>144</v>
      </c>
      <c r="L134" s="221" t="s">
        <v>29</v>
      </c>
      <c r="M134" s="259" t="s">
        <v>178</v>
      </c>
      <c r="N134" s="222">
        <v>16276997084</v>
      </c>
      <c r="O134" s="222"/>
      <c r="P134" s="222"/>
      <c r="Q134" s="222"/>
      <c r="R134" s="222"/>
      <c r="S134" s="222"/>
      <c r="T134" s="222">
        <f>+N134-S134+O134-P134+Q134-R134</f>
        <v>16276997084</v>
      </c>
      <c r="U134" s="222">
        <v>15638747737</v>
      </c>
      <c r="V134" s="222">
        <f t="shared" si="111"/>
        <v>638249347</v>
      </c>
      <c r="W134" s="224">
        <f t="shared" si="67"/>
        <v>0.96078826188232302</v>
      </c>
      <c r="X134" s="222">
        <v>1642567368</v>
      </c>
      <c r="Y134" s="222">
        <f t="shared" si="120"/>
        <v>13996180369</v>
      </c>
      <c r="Z134" s="224">
        <f t="shared" si="82"/>
        <v>0.89496810130686999</v>
      </c>
      <c r="AA134" s="222">
        <v>290057005</v>
      </c>
      <c r="AB134" s="222">
        <f t="shared" si="112"/>
        <v>1352510363</v>
      </c>
      <c r="AC134" s="224">
        <f t="shared" si="65"/>
        <v>1.8547329356413161E-2</v>
      </c>
    </row>
    <row r="135" spans="1:52" ht="24.95" customHeight="1">
      <c r="A135" s="32" t="str">
        <f t="shared" si="62"/>
        <v>C-4101-1500-6-0-4101080=11</v>
      </c>
      <c r="B135" s="210" t="str">
        <f>CONCATENATE(C135,"-",D135,"-",E135,"-",F135,"-",G135,"-",H135)</f>
        <v>C-4101-1500-6-0-4101080</v>
      </c>
      <c r="C135" s="211" t="s">
        <v>167</v>
      </c>
      <c r="D135" s="212" t="s">
        <v>171</v>
      </c>
      <c r="E135" s="212" t="s">
        <v>172</v>
      </c>
      <c r="F135" s="212" t="s">
        <v>173</v>
      </c>
      <c r="G135" s="212" t="s">
        <v>175</v>
      </c>
      <c r="H135" s="212" t="s">
        <v>185</v>
      </c>
      <c r="I135" s="212"/>
      <c r="J135" s="212"/>
      <c r="K135" s="213" t="s">
        <v>144</v>
      </c>
      <c r="L135" s="214" t="s">
        <v>29</v>
      </c>
      <c r="M135" s="210" t="s">
        <v>186</v>
      </c>
      <c r="N135" s="215">
        <f>+N136</f>
        <v>30467075662</v>
      </c>
      <c r="O135" s="215">
        <f t="shared" ref="O135:AB135" si="137">+O136</f>
        <v>0</v>
      </c>
      <c r="P135" s="215">
        <f t="shared" si="137"/>
        <v>0</v>
      </c>
      <c r="Q135" s="215">
        <f t="shared" si="137"/>
        <v>0</v>
      </c>
      <c r="R135" s="215">
        <f t="shared" si="137"/>
        <v>0</v>
      </c>
      <c r="S135" s="215">
        <f t="shared" si="137"/>
        <v>0</v>
      </c>
      <c r="T135" s="215">
        <f t="shared" si="137"/>
        <v>30467075662</v>
      </c>
      <c r="U135" s="215">
        <f t="shared" si="137"/>
        <v>23398487248</v>
      </c>
      <c r="V135" s="215">
        <f t="shared" si="137"/>
        <v>7068588414</v>
      </c>
      <c r="W135" s="216">
        <f t="shared" si="67"/>
        <v>0.76799255391562626</v>
      </c>
      <c r="X135" s="215">
        <f t="shared" si="137"/>
        <v>0</v>
      </c>
      <c r="Y135" s="215">
        <f t="shared" si="137"/>
        <v>23398487248</v>
      </c>
      <c r="Z135" s="216">
        <f t="shared" si="82"/>
        <v>1</v>
      </c>
      <c r="AA135" s="215">
        <f t="shared" si="137"/>
        <v>0</v>
      </c>
      <c r="AB135" s="215">
        <f t="shared" si="137"/>
        <v>0</v>
      </c>
      <c r="AC135" s="216">
        <f t="shared" si="65"/>
        <v>0</v>
      </c>
    </row>
    <row r="136" spans="1:52" ht="24.95" customHeight="1">
      <c r="A136" s="32" t="str">
        <f t="shared" si="62"/>
        <v>C-4101-1500-6-0-4101080-02=11</v>
      </c>
      <c r="B136" s="217" t="str">
        <f>CONCATENATE(C136,"-",D136,"-",E136,"-",F136,"-",G136,"-",H136,"-",I136)</f>
        <v>C-4101-1500-6-0-4101080-02</v>
      </c>
      <c r="C136" s="218" t="s">
        <v>167</v>
      </c>
      <c r="D136" s="219" t="s">
        <v>171</v>
      </c>
      <c r="E136" s="219" t="s">
        <v>172</v>
      </c>
      <c r="F136" s="219" t="s">
        <v>173</v>
      </c>
      <c r="G136" s="219" t="s">
        <v>175</v>
      </c>
      <c r="H136" s="219" t="s">
        <v>185</v>
      </c>
      <c r="I136" s="219" t="s">
        <v>54</v>
      </c>
      <c r="J136" s="219"/>
      <c r="K136" s="220" t="s">
        <v>144</v>
      </c>
      <c r="L136" s="221" t="s">
        <v>29</v>
      </c>
      <c r="M136" s="259" t="s">
        <v>178</v>
      </c>
      <c r="N136" s="222">
        <v>30467075662</v>
      </c>
      <c r="O136" s="222"/>
      <c r="P136" s="222"/>
      <c r="Q136" s="222"/>
      <c r="R136" s="222"/>
      <c r="S136" s="222"/>
      <c r="T136" s="222">
        <f>+N136-S136+O136-P136+Q136-R136</f>
        <v>30467075662</v>
      </c>
      <c r="U136" s="222">
        <v>23398487248</v>
      </c>
      <c r="V136" s="222">
        <f t="shared" si="111"/>
        <v>7068588414</v>
      </c>
      <c r="W136" s="224">
        <f t="shared" si="67"/>
        <v>0.76799255391562626</v>
      </c>
      <c r="X136" s="222">
        <v>0</v>
      </c>
      <c r="Y136" s="222">
        <f t="shared" si="120"/>
        <v>23398487248</v>
      </c>
      <c r="Z136" s="224">
        <f t="shared" si="82"/>
        <v>1</v>
      </c>
      <c r="AA136" s="222">
        <v>0</v>
      </c>
      <c r="AB136" s="222">
        <f t="shared" si="112"/>
        <v>0</v>
      </c>
      <c r="AC136" s="224">
        <f t="shared" si="65"/>
        <v>0</v>
      </c>
    </row>
    <row r="137" spans="1:52" ht="33">
      <c r="A137" s="32" t="str">
        <f t="shared" si="62"/>
        <v>C-4101-1500-6-0-4101081=11</v>
      </c>
      <c r="B137" s="210" t="str">
        <f>CONCATENATE(C137,"-",D137,"-",E137,"-",F137,"-",G137,"-",H137)</f>
        <v>C-4101-1500-6-0-4101081</v>
      </c>
      <c r="C137" s="211" t="s">
        <v>167</v>
      </c>
      <c r="D137" s="212" t="s">
        <v>171</v>
      </c>
      <c r="E137" s="212" t="s">
        <v>172</v>
      </c>
      <c r="F137" s="212" t="s">
        <v>173</v>
      </c>
      <c r="G137" s="212" t="s">
        <v>175</v>
      </c>
      <c r="H137" s="212" t="s">
        <v>187</v>
      </c>
      <c r="I137" s="212"/>
      <c r="J137" s="212"/>
      <c r="K137" s="213" t="s">
        <v>144</v>
      </c>
      <c r="L137" s="214" t="s">
        <v>29</v>
      </c>
      <c r="M137" s="210" t="s">
        <v>188</v>
      </c>
      <c r="N137" s="215">
        <f>SUM(N138:N139)</f>
        <v>21267303756</v>
      </c>
      <c r="O137" s="215">
        <f t="shared" ref="O137:AB137" si="138">SUM(O138:O139)</f>
        <v>0</v>
      </c>
      <c r="P137" s="215">
        <f t="shared" si="138"/>
        <v>0</v>
      </c>
      <c r="Q137" s="215">
        <f t="shared" si="138"/>
        <v>0</v>
      </c>
      <c r="R137" s="215">
        <f t="shared" si="138"/>
        <v>0</v>
      </c>
      <c r="S137" s="215">
        <f t="shared" si="138"/>
        <v>0</v>
      </c>
      <c r="T137" s="215">
        <f t="shared" si="138"/>
        <v>21267303756</v>
      </c>
      <c r="U137" s="215">
        <f t="shared" si="138"/>
        <v>21267303756</v>
      </c>
      <c r="V137" s="215">
        <f t="shared" si="138"/>
        <v>0</v>
      </c>
      <c r="W137" s="216">
        <f t="shared" si="67"/>
        <v>1</v>
      </c>
      <c r="X137" s="215">
        <f t="shared" si="138"/>
        <v>1089277186</v>
      </c>
      <c r="Y137" s="215">
        <f t="shared" si="138"/>
        <v>20178026570</v>
      </c>
      <c r="Z137" s="216">
        <f t="shared" si="82"/>
        <v>0.9487816039824658</v>
      </c>
      <c r="AA137" s="215">
        <f t="shared" si="138"/>
        <v>0</v>
      </c>
      <c r="AB137" s="215">
        <f t="shared" si="138"/>
        <v>1089277186</v>
      </c>
      <c r="AC137" s="216">
        <f t="shared" si="65"/>
        <v>0</v>
      </c>
    </row>
    <row r="138" spans="1:52" ht="24.95" customHeight="1">
      <c r="A138" s="32" t="str">
        <f t="shared" si="62"/>
        <v>C-4101-1500-6-0-4101081-02=11</v>
      </c>
      <c r="B138" s="217" t="str">
        <f>CONCATENATE(C138,"-",D138,"-",E138,"-",F138,"-",G138,"-",H138,"-",I138)</f>
        <v>C-4101-1500-6-0-4101081-02</v>
      </c>
      <c r="C138" s="218" t="s">
        <v>167</v>
      </c>
      <c r="D138" s="219" t="s">
        <v>171</v>
      </c>
      <c r="E138" s="219" t="s">
        <v>172</v>
      </c>
      <c r="F138" s="219" t="s">
        <v>173</v>
      </c>
      <c r="G138" s="219" t="s">
        <v>175</v>
      </c>
      <c r="H138" s="219" t="s">
        <v>187</v>
      </c>
      <c r="I138" s="219" t="s">
        <v>54</v>
      </c>
      <c r="J138" s="219"/>
      <c r="K138" s="220" t="s">
        <v>144</v>
      </c>
      <c r="L138" s="221" t="s">
        <v>29</v>
      </c>
      <c r="M138" s="259" t="s">
        <v>178</v>
      </c>
      <c r="N138" s="222">
        <v>4435143756</v>
      </c>
      <c r="O138" s="222"/>
      <c r="P138" s="222"/>
      <c r="Q138" s="222"/>
      <c r="R138" s="222"/>
      <c r="S138" s="222"/>
      <c r="T138" s="222">
        <f>+N138-S138+O138-P138+Q138-R138</f>
        <v>4435143756</v>
      </c>
      <c r="U138" s="222">
        <v>4435143756</v>
      </c>
      <c r="V138" s="222">
        <f t="shared" si="111"/>
        <v>0</v>
      </c>
      <c r="W138" s="224">
        <f t="shared" si="67"/>
        <v>1</v>
      </c>
      <c r="X138" s="222">
        <v>1089277186</v>
      </c>
      <c r="Y138" s="222">
        <f t="shared" si="120"/>
        <v>3345866570</v>
      </c>
      <c r="Z138" s="224">
        <f t="shared" si="82"/>
        <v>0.75439867433239516</v>
      </c>
      <c r="AA138" s="222">
        <v>0</v>
      </c>
      <c r="AB138" s="222">
        <f t="shared" si="112"/>
        <v>1089277186</v>
      </c>
      <c r="AC138" s="224">
        <f t="shared" si="65"/>
        <v>0</v>
      </c>
    </row>
    <row r="139" spans="1:52" ht="24.95" customHeight="1">
      <c r="A139" s="32" t="str">
        <f t="shared" si="62"/>
        <v>C-4101-1500-6-0-4101081-03=11</v>
      </c>
      <c r="B139" s="217" t="str">
        <f>CONCATENATE(C139,"-",D139,"-",E139,"-",F139,"-",G139,"-",H139,"-",I139)</f>
        <v>C-4101-1500-6-0-4101081-03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187</v>
      </c>
      <c r="I139" s="225" t="s">
        <v>65</v>
      </c>
      <c r="J139" s="219"/>
      <c r="K139" s="220" t="s">
        <v>144</v>
      </c>
      <c r="L139" s="221" t="s">
        <v>29</v>
      </c>
      <c r="M139" s="259" t="s">
        <v>127</v>
      </c>
      <c r="N139" s="222">
        <v>16832160000</v>
      </c>
      <c r="O139" s="222"/>
      <c r="P139" s="222"/>
      <c r="Q139" s="222"/>
      <c r="R139" s="222"/>
      <c r="S139" s="222"/>
      <c r="T139" s="222">
        <f>+N139-S139+O139-P139+Q139-R139</f>
        <v>16832160000</v>
      </c>
      <c r="U139" s="222">
        <v>16832160000</v>
      </c>
      <c r="V139" s="222">
        <f t="shared" si="111"/>
        <v>0</v>
      </c>
      <c r="W139" s="224">
        <f t="shared" si="67"/>
        <v>1</v>
      </c>
      <c r="X139" s="222">
        <v>0</v>
      </c>
      <c r="Y139" s="222">
        <f t="shared" si="120"/>
        <v>16832160000</v>
      </c>
      <c r="Z139" s="224">
        <f t="shared" si="82"/>
        <v>1</v>
      </c>
      <c r="AA139" s="222">
        <v>0</v>
      </c>
      <c r="AB139" s="222">
        <f t="shared" si="112"/>
        <v>0</v>
      </c>
      <c r="AC139" s="224">
        <f t="shared" si="65"/>
        <v>0</v>
      </c>
    </row>
    <row r="140" spans="1:52" ht="35.1" customHeight="1">
      <c r="A140" s="32" t="str">
        <f t="shared" si="62"/>
        <v>C-4103=</v>
      </c>
      <c r="B140" s="188" t="str">
        <f>CONCATENATE(C140,"-",D140)</f>
        <v>C-4103</v>
      </c>
      <c r="C140" s="189" t="s">
        <v>167</v>
      </c>
      <c r="D140" s="191">
        <v>4103</v>
      </c>
      <c r="E140" s="191"/>
      <c r="F140" s="191"/>
      <c r="G140" s="191"/>
      <c r="H140" s="191"/>
      <c r="I140" s="191"/>
      <c r="J140" s="191"/>
      <c r="K140" s="192"/>
      <c r="L140" s="193"/>
      <c r="M140" s="188" t="s">
        <v>189</v>
      </c>
      <c r="N140" s="194">
        <f>+N141</f>
        <v>3297855758141</v>
      </c>
      <c r="O140" s="194">
        <f t="shared" ref="O140:V140" si="139">+O141</f>
        <v>0</v>
      </c>
      <c r="P140" s="194">
        <f t="shared" si="139"/>
        <v>0</v>
      </c>
      <c r="Q140" s="194">
        <f t="shared" si="139"/>
        <v>339103670278.64001</v>
      </c>
      <c r="R140" s="194">
        <f t="shared" si="139"/>
        <v>339103670278.64001</v>
      </c>
      <c r="S140" s="194">
        <f t="shared" si="139"/>
        <v>580000000000</v>
      </c>
      <c r="T140" s="194">
        <f t="shared" si="139"/>
        <v>2717855758141</v>
      </c>
      <c r="U140" s="194">
        <f t="shared" si="139"/>
        <v>2454208568625.1396</v>
      </c>
      <c r="V140" s="194">
        <f t="shared" si="139"/>
        <v>263647189515.85999</v>
      </c>
      <c r="W140" s="195">
        <f t="shared" si="67"/>
        <v>0.90299441435545724</v>
      </c>
      <c r="X140" s="194">
        <f t="shared" ref="X140:Y140" si="140">+X141</f>
        <v>1576989273272.5198</v>
      </c>
      <c r="Y140" s="194">
        <f t="shared" si="140"/>
        <v>877219295352.62012</v>
      </c>
      <c r="Z140" s="195">
        <f t="shared" si="82"/>
        <v>0.357434696694928</v>
      </c>
      <c r="AA140" s="194">
        <f t="shared" ref="AA140:AB140" si="141">+AA141</f>
        <v>1576920471488.5198</v>
      </c>
      <c r="AB140" s="194">
        <f t="shared" si="141"/>
        <v>68801784</v>
      </c>
      <c r="AC140" s="195">
        <f t="shared" si="65"/>
        <v>0.64253726910093822</v>
      </c>
    </row>
    <row r="141" spans="1:52" ht="24.95" customHeight="1">
      <c r="A141" s="32" t="str">
        <f t="shared" ref="A141:A197" si="142">+CONCATENATE(B141,"=",K141)</f>
        <v>C-4103-1500=</v>
      </c>
      <c r="B141" s="196" t="str">
        <f>CONCATENATE(C141,"-",D141,"-",E141)</f>
        <v>C-4103-1500</v>
      </c>
      <c r="C141" s="197" t="s">
        <v>167</v>
      </c>
      <c r="D141" s="198">
        <v>4103</v>
      </c>
      <c r="E141" s="198">
        <v>1500</v>
      </c>
      <c r="F141" s="198"/>
      <c r="G141" s="198"/>
      <c r="H141" s="198"/>
      <c r="I141" s="198"/>
      <c r="J141" s="198"/>
      <c r="K141" s="199"/>
      <c r="L141" s="200"/>
      <c r="M141" s="196" t="s">
        <v>170</v>
      </c>
      <c r="N141" s="201">
        <f>+N142+N149+N158+N165+N170+N179+N182+N189</f>
        <v>3297855758141</v>
      </c>
      <c r="O141" s="201">
        <f t="shared" ref="O141:Y141" si="143">+O142+O149+O158+O165+O170+O179+O182+O189</f>
        <v>0</v>
      </c>
      <c r="P141" s="201">
        <f t="shared" si="143"/>
        <v>0</v>
      </c>
      <c r="Q141" s="201">
        <f t="shared" si="143"/>
        <v>339103670278.64001</v>
      </c>
      <c r="R141" s="201">
        <f t="shared" si="143"/>
        <v>339103670278.64001</v>
      </c>
      <c r="S141" s="201">
        <f>+S142+S149+S158+S165+S170+S179+S182+S189</f>
        <v>580000000000</v>
      </c>
      <c r="T141" s="201">
        <f>+T142+T149+T158+T165+T170+T179+T182+T189</f>
        <v>2717855758141</v>
      </c>
      <c r="U141" s="201">
        <f t="shared" ref="U141:V141" si="144">+U142+U149+U158+U165+U170+U179+U182+U189</f>
        <v>2454208568625.1396</v>
      </c>
      <c r="V141" s="201">
        <f t="shared" si="144"/>
        <v>263647189515.85999</v>
      </c>
      <c r="W141" s="202">
        <f t="shared" si="67"/>
        <v>0.90299441435545724</v>
      </c>
      <c r="X141" s="201">
        <f t="shared" si="143"/>
        <v>1576989273272.5198</v>
      </c>
      <c r="Y141" s="201">
        <f t="shared" si="143"/>
        <v>877219295352.62012</v>
      </c>
      <c r="Z141" s="202">
        <f t="shared" si="82"/>
        <v>0.357434696694928</v>
      </c>
      <c r="AA141" s="201">
        <f t="shared" ref="AA141:AB141" si="145">+AA142+AA149+AA158+AA165+AA170+AA179+AA182+AA189</f>
        <v>1576920471488.5198</v>
      </c>
      <c r="AB141" s="201">
        <f t="shared" si="145"/>
        <v>68801784</v>
      </c>
      <c r="AC141" s="202">
        <f t="shared" ref="AC141:AC198" si="146">+IF(U141&gt;0,(AA141/U141),0)</f>
        <v>0.64253726910093822</v>
      </c>
    </row>
    <row r="142" spans="1:52" ht="33">
      <c r="A142" s="32" t="str">
        <f t="shared" si="142"/>
        <v>C-4103-1500-12=</v>
      </c>
      <c r="B142" s="203" t="str">
        <f>CONCATENATE(C142,"-",D142,"-",E142,"-",F142)</f>
        <v>C-4103-1500-12</v>
      </c>
      <c r="C142" s="227" t="s">
        <v>167</v>
      </c>
      <c r="D142" s="228" t="s">
        <v>190</v>
      </c>
      <c r="E142" s="228" t="s">
        <v>172</v>
      </c>
      <c r="F142" s="228" t="s">
        <v>191</v>
      </c>
      <c r="G142" s="228"/>
      <c r="H142" s="228"/>
      <c r="I142" s="228"/>
      <c r="J142" s="228"/>
      <c r="K142" s="229"/>
      <c r="L142" s="230"/>
      <c r="M142" s="231" t="s">
        <v>280</v>
      </c>
      <c r="N142" s="232">
        <f>+N143+N147</f>
        <v>1879080064351</v>
      </c>
      <c r="O142" s="232">
        <f t="shared" ref="O142:V142" si="147">+O143+O147</f>
        <v>0</v>
      </c>
      <c r="P142" s="232">
        <f t="shared" si="147"/>
        <v>0</v>
      </c>
      <c r="Q142" s="232">
        <f t="shared" si="147"/>
        <v>4660008249</v>
      </c>
      <c r="R142" s="232">
        <f t="shared" si="147"/>
        <v>4660008249</v>
      </c>
      <c r="S142" s="232">
        <f t="shared" si="147"/>
        <v>60000000000</v>
      </c>
      <c r="T142" s="232">
        <f t="shared" si="147"/>
        <v>1819080064351</v>
      </c>
      <c r="U142" s="232">
        <f t="shared" si="147"/>
        <v>1764651967678.6699</v>
      </c>
      <c r="V142" s="232">
        <f t="shared" si="147"/>
        <v>54428096672.330017</v>
      </c>
      <c r="W142" s="233">
        <f t="shared" si="67"/>
        <v>0.97007932870082403</v>
      </c>
      <c r="X142" s="232">
        <f t="shared" ref="X142:Y142" si="148">+X143+X147</f>
        <v>1390102479856.96</v>
      </c>
      <c r="Y142" s="232">
        <f t="shared" si="148"/>
        <v>374549487821.71002</v>
      </c>
      <c r="Z142" s="233">
        <f t="shared" si="82"/>
        <v>0.21225119438957424</v>
      </c>
      <c r="AA142" s="232">
        <f t="shared" ref="AA142:AB142" si="149">+AA143+AA147</f>
        <v>1390102479856.96</v>
      </c>
      <c r="AB142" s="232">
        <f t="shared" si="149"/>
        <v>0</v>
      </c>
      <c r="AC142" s="233">
        <f t="shared" si="146"/>
        <v>0.78774880561042582</v>
      </c>
    </row>
    <row r="143" spans="1:52" ht="33">
      <c r="A143" s="32" t="str">
        <f t="shared" si="142"/>
        <v>C-4103-1500-12-0-4103006=</v>
      </c>
      <c r="B143" s="210" t="str">
        <f>CONCATENATE(C143,"-",D143,"-",E143,"-",F143,"-",G143,"-",H143)</f>
        <v>C-4103-1500-12-0-4103006</v>
      </c>
      <c r="C143" s="211" t="s">
        <v>167</v>
      </c>
      <c r="D143" s="212" t="s">
        <v>190</v>
      </c>
      <c r="E143" s="212" t="s">
        <v>172</v>
      </c>
      <c r="F143" s="212" t="s">
        <v>191</v>
      </c>
      <c r="G143" s="212" t="s">
        <v>175</v>
      </c>
      <c r="H143" s="212" t="s">
        <v>193</v>
      </c>
      <c r="I143" s="212"/>
      <c r="J143" s="212"/>
      <c r="K143" s="213"/>
      <c r="L143" s="214"/>
      <c r="M143" s="210" t="s">
        <v>194</v>
      </c>
      <c r="N143" s="215">
        <f t="shared" ref="N143" si="150">SUM(N144:N146)</f>
        <v>1873368757333</v>
      </c>
      <c r="O143" s="215">
        <f t="shared" ref="O143:V143" si="151">SUM(O144:O146)</f>
        <v>0</v>
      </c>
      <c r="P143" s="215">
        <f t="shared" si="151"/>
        <v>0</v>
      </c>
      <c r="Q143" s="215">
        <f t="shared" si="151"/>
        <v>4660008249</v>
      </c>
      <c r="R143" s="215">
        <f t="shared" si="151"/>
        <v>4660008249</v>
      </c>
      <c r="S143" s="215">
        <f t="shared" si="151"/>
        <v>60000000000</v>
      </c>
      <c r="T143" s="215">
        <f t="shared" si="151"/>
        <v>1813368757333</v>
      </c>
      <c r="U143" s="215">
        <f t="shared" si="151"/>
        <v>1759540660660.6699</v>
      </c>
      <c r="V143" s="215">
        <f t="shared" si="151"/>
        <v>53828096672.330017</v>
      </c>
      <c r="W143" s="216">
        <f t="shared" si="67"/>
        <v>0.97031596775081896</v>
      </c>
      <c r="X143" s="215">
        <f t="shared" ref="X143:Y143" si="152">SUM(X144:X146)</f>
        <v>1389534556856.96</v>
      </c>
      <c r="Y143" s="215">
        <f t="shared" si="152"/>
        <v>370006103803.71002</v>
      </c>
      <c r="Z143" s="216">
        <f t="shared" si="82"/>
        <v>0.21028562287658681</v>
      </c>
      <c r="AA143" s="215">
        <f t="shared" ref="AA143:AB143" si="153">SUM(AA144:AA146)</f>
        <v>1389534556856.96</v>
      </c>
      <c r="AB143" s="215">
        <f t="shared" si="153"/>
        <v>0</v>
      </c>
      <c r="AC143" s="216">
        <f t="shared" si="146"/>
        <v>0.78971437712341319</v>
      </c>
    </row>
    <row r="144" spans="1:52" s="64" customFormat="1" ht="24.95" customHeight="1">
      <c r="A144" s="32" t="str">
        <f t="shared" si="142"/>
        <v>C-4103-1500-12-0-4103006-02=10</v>
      </c>
      <c r="B144" s="217" t="str">
        <f>CONCATENATE(C144,"-",D144,"-",E144,"-",F144,"-",G144,"-",H144,"-",I144)</f>
        <v>C-4103-1500-12-0-4103006-02</v>
      </c>
      <c r="C144" s="266" t="s">
        <v>167</v>
      </c>
      <c r="D144" s="267" t="s">
        <v>190</v>
      </c>
      <c r="E144" s="267" t="s">
        <v>172</v>
      </c>
      <c r="F144" s="267" t="s">
        <v>191</v>
      </c>
      <c r="G144" s="267" t="s">
        <v>175</v>
      </c>
      <c r="H144" s="267" t="s">
        <v>193</v>
      </c>
      <c r="I144" s="267" t="s">
        <v>54</v>
      </c>
      <c r="J144" s="219"/>
      <c r="K144" s="220">
        <v>10</v>
      </c>
      <c r="L144" s="221" t="s">
        <v>29</v>
      </c>
      <c r="M144" s="259" t="s">
        <v>178</v>
      </c>
      <c r="N144" s="222">
        <v>170514008840.17001</v>
      </c>
      <c r="O144" s="637"/>
      <c r="P144" s="638"/>
      <c r="Q144" s="223"/>
      <c r="R144" s="223">
        <v>4660008249</v>
      </c>
      <c r="S144" s="223"/>
      <c r="T144" s="222">
        <f>+N144-S144+O144-P144+Q144-R144</f>
        <v>165854000591.17001</v>
      </c>
      <c r="U144" s="222">
        <v>112048260618.84</v>
      </c>
      <c r="V144" s="222">
        <f>+T144-U144</f>
        <v>53805739972.330017</v>
      </c>
      <c r="W144" s="224">
        <f t="shared" si="67"/>
        <v>0.67558370747437602</v>
      </c>
      <c r="X144" s="222">
        <v>23052489206.959999</v>
      </c>
      <c r="Y144" s="222">
        <f>+U144-X144</f>
        <v>88995771411.880005</v>
      </c>
      <c r="Z144" s="224">
        <f t="shared" si="82"/>
        <v>0.79426285531215191</v>
      </c>
      <c r="AA144" s="222">
        <v>23052489206.959999</v>
      </c>
      <c r="AB144" s="222">
        <f>+X144-AA144</f>
        <v>0</v>
      </c>
      <c r="AC144" s="224">
        <f t="shared" si="146"/>
        <v>0.20573714468784812</v>
      </c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</row>
    <row r="145" spans="1:52" ht="24.95" customHeight="1">
      <c r="A145" s="32" t="str">
        <f t="shared" si="142"/>
        <v>C-4103-1500-12-0-4103006-03=10</v>
      </c>
      <c r="B145" s="217" t="str">
        <f>CONCATENATE(C145,"-",D145,"-",E145,"-",F145,"-",G145,"-",H145,"-",I145)</f>
        <v>C-4103-1500-12-0-4103006-03</v>
      </c>
      <c r="C145" s="266" t="s">
        <v>167</v>
      </c>
      <c r="D145" s="267" t="s">
        <v>190</v>
      </c>
      <c r="E145" s="267" t="s">
        <v>172</v>
      </c>
      <c r="F145" s="267" t="s">
        <v>191</v>
      </c>
      <c r="G145" s="267" t="s">
        <v>175</v>
      </c>
      <c r="H145" s="267" t="s">
        <v>193</v>
      </c>
      <c r="I145" s="267" t="s">
        <v>65</v>
      </c>
      <c r="J145" s="219"/>
      <c r="K145" s="220">
        <v>10</v>
      </c>
      <c r="L145" s="221" t="s">
        <v>29</v>
      </c>
      <c r="M145" s="259" t="s">
        <v>127</v>
      </c>
      <c r="N145" s="222">
        <v>11682690576.83</v>
      </c>
      <c r="O145" s="637"/>
      <c r="P145" s="638"/>
      <c r="Q145" s="223">
        <v>4660008249</v>
      </c>
      <c r="R145" s="223"/>
      <c r="S145" s="223"/>
      <c r="T145" s="222">
        <f>+N145-S145+O145-P145+Q145-R145</f>
        <v>16342698825.83</v>
      </c>
      <c r="U145" s="222">
        <v>16320342125.83</v>
      </c>
      <c r="V145" s="222">
        <f>+T145-U145</f>
        <v>22356700</v>
      </c>
      <c r="W145" s="224">
        <f t="shared" si="67"/>
        <v>0.99863200685282993</v>
      </c>
      <c r="X145" s="222">
        <v>16320342125</v>
      </c>
      <c r="Y145" s="222">
        <f>+U145-X145</f>
        <v>0.82999992370605469</v>
      </c>
      <c r="Z145" s="224">
        <f t="shared" si="82"/>
        <v>5.0856772321728736E-11</v>
      </c>
      <c r="AA145" s="222">
        <v>16320342125</v>
      </c>
      <c r="AB145" s="222">
        <f t="shared" ref="AB145:AB146" si="154">+X145-AA145</f>
        <v>0</v>
      </c>
      <c r="AC145" s="224">
        <f t="shared" si="146"/>
        <v>0.99999999994914324</v>
      </c>
    </row>
    <row r="146" spans="1:52" ht="24.95" customHeight="1">
      <c r="A146" s="32" t="str">
        <f t="shared" si="142"/>
        <v>C-4103-1500-12-0-4103006-03=11</v>
      </c>
      <c r="B146" s="217" t="str">
        <f>CONCATENATE(C146,"-",D146,"-",E146,"-",F146,"-",G146,"-",H146,"-",I146)</f>
        <v>C-4103-1500-12-0-4103006-03</v>
      </c>
      <c r="C146" s="266" t="s">
        <v>167</v>
      </c>
      <c r="D146" s="267" t="s">
        <v>190</v>
      </c>
      <c r="E146" s="267" t="s">
        <v>172</v>
      </c>
      <c r="F146" s="267" t="s">
        <v>191</v>
      </c>
      <c r="G146" s="267" t="s">
        <v>175</v>
      </c>
      <c r="H146" s="267" t="s">
        <v>193</v>
      </c>
      <c r="I146" s="267" t="s">
        <v>65</v>
      </c>
      <c r="J146" s="267"/>
      <c r="K146" s="268" t="s">
        <v>144</v>
      </c>
      <c r="L146" s="269" t="s">
        <v>29</v>
      </c>
      <c r="M146" s="259" t="s">
        <v>127</v>
      </c>
      <c r="N146" s="222">
        <v>1691172057916</v>
      </c>
      <c r="O146" s="637"/>
      <c r="P146" s="638"/>
      <c r="Q146" s="223"/>
      <c r="R146" s="223"/>
      <c r="S146" s="223">
        <v>60000000000</v>
      </c>
      <c r="T146" s="222">
        <f>+N146-S146+O146-P146+Q146-R146</f>
        <v>1631172057916</v>
      </c>
      <c r="U146" s="222">
        <v>1631172057916</v>
      </c>
      <c r="V146" s="222">
        <f>+T146-U146</f>
        <v>0</v>
      </c>
      <c r="W146" s="224">
        <f t="shared" si="67"/>
        <v>1</v>
      </c>
      <c r="X146" s="222">
        <v>1350161725525</v>
      </c>
      <c r="Y146" s="222">
        <f>+U146-X146</f>
        <v>281010332391</v>
      </c>
      <c r="Z146" s="224">
        <f t="shared" si="82"/>
        <v>0.17227510183690942</v>
      </c>
      <c r="AA146" s="222">
        <v>1350161725525</v>
      </c>
      <c r="AB146" s="222">
        <f t="shared" si="154"/>
        <v>0</v>
      </c>
      <c r="AC146" s="224">
        <f t="shared" si="146"/>
        <v>0.82772489816309058</v>
      </c>
    </row>
    <row r="147" spans="1:52" ht="33">
      <c r="A147" s="32" t="str">
        <f t="shared" si="142"/>
        <v>C-4103-1500-12-0-4103009=10</v>
      </c>
      <c r="B147" s="210" t="str">
        <f>CONCATENATE(C147,"-",D147,"-",E147,"-",F147,"-",G147,"-",H147)</f>
        <v>C-4103-1500-12-0-4103009</v>
      </c>
      <c r="C147" s="211" t="s">
        <v>167</v>
      </c>
      <c r="D147" s="212" t="s">
        <v>190</v>
      </c>
      <c r="E147" s="212" t="s">
        <v>172</v>
      </c>
      <c r="F147" s="212" t="s">
        <v>191</v>
      </c>
      <c r="G147" s="212" t="s">
        <v>175</v>
      </c>
      <c r="H147" s="212">
        <v>4103009</v>
      </c>
      <c r="I147" s="212"/>
      <c r="J147" s="212"/>
      <c r="K147" s="252">
        <v>10</v>
      </c>
      <c r="L147" s="214" t="s">
        <v>29</v>
      </c>
      <c r="M147" s="210" t="s">
        <v>195</v>
      </c>
      <c r="N147" s="215">
        <f>+N148</f>
        <v>5711307018</v>
      </c>
      <c r="O147" s="215">
        <f>+O148</f>
        <v>0</v>
      </c>
      <c r="P147" s="215">
        <f t="shared" ref="P147:AB147" si="155">+P148</f>
        <v>0</v>
      </c>
      <c r="Q147" s="215">
        <f t="shared" si="155"/>
        <v>0</v>
      </c>
      <c r="R147" s="215">
        <f t="shared" si="155"/>
        <v>0</v>
      </c>
      <c r="S147" s="215">
        <f t="shared" si="155"/>
        <v>0</v>
      </c>
      <c r="T147" s="215">
        <f t="shared" si="155"/>
        <v>5711307018</v>
      </c>
      <c r="U147" s="215">
        <f t="shared" si="155"/>
        <v>5111307018</v>
      </c>
      <c r="V147" s="215">
        <f t="shared" si="155"/>
        <v>600000000</v>
      </c>
      <c r="W147" s="216">
        <f t="shared" ref="W147:W198" si="156">+IF(T147&gt;0,U147/T147,0)</f>
        <v>0.89494523790981395</v>
      </c>
      <c r="X147" s="215">
        <f t="shared" si="155"/>
        <v>567923000</v>
      </c>
      <c r="Y147" s="215">
        <f t="shared" si="155"/>
        <v>4543384018</v>
      </c>
      <c r="Z147" s="216">
        <f t="shared" si="82"/>
        <v>0.88888888928017828</v>
      </c>
      <c r="AA147" s="215">
        <f t="shared" si="155"/>
        <v>567923000</v>
      </c>
      <c r="AB147" s="215">
        <f t="shared" si="155"/>
        <v>0</v>
      </c>
      <c r="AC147" s="216">
        <f t="shared" si="146"/>
        <v>0.11111111071982176</v>
      </c>
    </row>
    <row r="148" spans="1:52" ht="24.95" customHeight="1">
      <c r="A148" s="32" t="str">
        <f t="shared" si="142"/>
        <v>C-4103-1500-12-0-4103009-02=10</v>
      </c>
      <c r="B148" s="217" t="str">
        <f>CONCATENATE(C148,"-",D148,"-",E148,"-",F148,"-",G148,"-",H148,"-",I148)</f>
        <v>C-4103-1500-12-0-4103009-02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>
        <v>4103009</v>
      </c>
      <c r="I148" s="267" t="s">
        <v>54</v>
      </c>
      <c r="J148" s="219"/>
      <c r="K148" s="270">
        <v>10</v>
      </c>
      <c r="L148" s="221" t="s">
        <v>29</v>
      </c>
      <c r="M148" s="259" t="s">
        <v>178</v>
      </c>
      <c r="N148" s="222">
        <v>5711307018</v>
      </c>
      <c r="O148" s="222"/>
      <c r="P148" s="636"/>
      <c r="Q148" s="222"/>
      <c r="R148" s="222"/>
      <c r="S148" s="222"/>
      <c r="T148" s="222">
        <f>+N148-S148+O148-P148+Q148-R148</f>
        <v>5711307018</v>
      </c>
      <c r="U148" s="222">
        <v>5111307018</v>
      </c>
      <c r="V148" s="222">
        <f>+T148-U148</f>
        <v>600000000</v>
      </c>
      <c r="W148" s="224">
        <f t="shared" si="156"/>
        <v>0.89494523790981395</v>
      </c>
      <c r="X148" s="222">
        <v>567923000</v>
      </c>
      <c r="Y148" s="222">
        <f>+U148-X148</f>
        <v>4543384018</v>
      </c>
      <c r="Z148" s="224">
        <f t="shared" si="82"/>
        <v>0.88888888928017828</v>
      </c>
      <c r="AA148" s="222">
        <v>567923000</v>
      </c>
      <c r="AB148" s="222">
        <f t="shared" ref="AB148" si="157">+X148-AA148</f>
        <v>0</v>
      </c>
      <c r="AC148" s="224">
        <f t="shared" si="146"/>
        <v>0.11111111071982176</v>
      </c>
    </row>
    <row r="149" spans="1:52" s="64" customFormat="1" ht="33">
      <c r="A149" s="32" t="str">
        <f t="shared" si="142"/>
        <v>C-4103-1500-13=</v>
      </c>
      <c r="B149" s="226" t="str">
        <f>CONCATENATE(C149,"-",D149,"-",E149,"-",F149)</f>
        <v>C-4103-1500-13</v>
      </c>
      <c r="C149" s="227" t="s">
        <v>167</v>
      </c>
      <c r="D149" s="228" t="s">
        <v>190</v>
      </c>
      <c r="E149" s="228" t="s">
        <v>172</v>
      </c>
      <c r="F149" s="228" t="s">
        <v>22</v>
      </c>
      <c r="G149" s="228"/>
      <c r="H149" s="228"/>
      <c r="I149" s="228"/>
      <c r="J149" s="228"/>
      <c r="K149" s="229"/>
      <c r="L149" s="230"/>
      <c r="M149" s="231" t="s">
        <v>264</v>
      </c>
      <c r="N149" s="232">
        <f>+N150+N152+N154+N156</f>
        <v>25903028858</v>
      </c>
      <c r="O149" s="232">
        <f t="shared" ref="O149:AB149" si="158">+O150+O152+O154+O156</f>
        <v>0</v>
      </c>
      <c r="P149" s="232">
        <f t="shared" si="158"/>
        <v>0</v>
      </c>
      <c r="Q149" s="232">
        <f t="shared" si="158"/>
        <v>0</v>
      </c>
      <c r="R149" s="232">
        <f t="shared" si="158"/>
        <v>0</v>
      </c>
      <c r="S149" s="232">
        <f t="shared" si="158"/>
        <v>0</v>
      </c>
      <c r="T149" s="232">
        <f t="shared" si="158"/>
        <v>25903028858</v>
      </c>
      <c r="U149" s="232">
        <f t="shared" si="158"/>
        <v>15264091281</v>
      </c>
      <c r="V149" s="232">
        <f t="shared" si="158"/>
        <v>10638937577</v>
      </c>
      <c r="W149" s="233">
        <f t="shared" si="156"/>
        <v>0.58927824096083548</v>
      </c>
      <c r="X149" s="232">
        <f t="shared" si="158"/>
        <v>206111480</v>
      </c>
      <c r="Y149" s="232">
        <f t="shared" si="158"/>
        <v>15057979801</v>
      </c>
      <c r="Z149" s="233">
        <f t="shared" si="82"/>
        <v>0.98649697016313331</v>
      </c>
      <c r="AA149" s="232">
        <f t="shared" si="158"/>
        <v>206111480</v>
      </c>
      <c r="AB149" s="232">
        <f t="shared" si="158"/>
        <v>0</v>
      </c>
      <c r="AC149" s="233">
        <f t="shared" si="146"/>
        <v>1.3503029836866709E-2</v>
      </c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</row>
    <row r="150" spans="1:52" ht="33">
      <c r="A150" s="32" t="str">
        <f t="shared" si="142"/>
        <v>C-4103-1500-13-0-4103051=11</v>
      </c>
      <c r="B150" s="210" t="str">
        <f>CONCATENATE(C150,"-",D150,"-",E150,"-",F150,"-",G150,"-",H150)</f>
        <v>C-4103-1500-13-0-4103051</v>
      </c>
      <c r="C150" s="211" t="s">
        <v>167</v>
      </c>
      <c r="D150" s="212" t="s">
        <v>190</v>
      </c>
      <c r="E150" s="212" t="s">
        <v>172</v>
      </c>
      <c r="F150" s="212" t="s">
        <v>22</v>
      </c>
      <c r="G150" s="212" t="s">
        <v>175</v>
      </c>
      <c r="H150" s="212" t="s">
        <v>197</v>
      </c>
      <c r="I150" s="212"/>
      <c r="J150" s="212"/>
      <c r="K150" s="213">
        <v>11</v>
      </c>
      <c r="L150" s="214" t="s">
        <v>29</v>
      </c>
      <c r="M150" s="210" t="s">
        <v>198</v>
      </c>
      <c r="N150" s="215">
        <f>+N151</f>
        <v>7218669145</v>
      </c>
      <c r="O150" s="215">
        <f t="shared" ref="O150:AB150" si="159">+O151</f>
        <v>0</v>
      </c>
      <c r="P150" s="215">
        <f t="shared" si="159"/>
        <v>0</v>
      </c>
      <c r="Q150" s="215">
        <f t="shared" si="159"/>
        <v>0</v>
      </c>
      <c r="R150" s="215">
        <f t="shared" si="159"/>
        <v>0</v>
      </c>
      <c r="S150" s="215">
        <f t="shared" si="159"/>
        <v>0</v>
      </c>
      <c r="T150" s="215">
        <f t="shared" si="159"/>
        <v>7218669145</v>
      </c>
      <c r="U150" s="215">
        <f t="shared" si="159"/>
        <v>4406021511</v>
      </c>
      <c r="V150" s="215">
        <f t="shared" si="159"/>
        <v>2812647634</v>
      </c>
      <c r="W150" s="216">
        <f t="shared" si="156"/>
        <v>0.61036479474223082</v>
      </c>
      <c r="X150" s="215">
        <f t="shared" si="159"/>
        <v>0</v>
      </c>
      <c r="Y150" s="215">
        <f t="shared" si="159"/>
        <v>4406021511</v>
      </c>
      <c r="Z150" s="216">
        <f t="shared" si="82"/>
        <v>1</v>
      </c>
      <c r="AA150" s="215">
        <f t="shared" si="159"/>
        <v>0</v>
      </c>
      <c r="AB150" s="215">
        <f t="shared" si="159"/>
        <v>0</v>
      </c>
      <c r="AC150" s="216">
        <f t="shared" si="146"/>
        <v>0</v>
      </c>
    </row>
    <row r="151" spans="1:52" ht="24.95" customHeight="1">
      <c r="A151" s="32" t="str">
        <f t="shared" si="142"/>
        <v>C-4103-1500-13-0-4103051-02=11</v>
      </c>
      <c r="B151" s="217" t="str">
        <f>CONCATENATE(C151,"-",D151,"-",E151,"-",F151,"-",G151,"-",H151,"-",I151)</f>
        <v>C-4103-1500-13-0-4103051-02</v>
      </c>
      <c r="C151" s="218" t="s">
        <v>167</v>
      </c>
      <c r="D151" s="219" t="s">
        <v>190</v>
      </c>
      <c r="E151" s="219" t="s">
        <v>172</v>
      </c>
      <c r="F151" s="219" t="s">
        <v>22</v>
      </c>
      <c r="G151" s="219" t="s">
        <v>175</v>
      </c>
      <c r="H151" s="219" t="s">
        <v>197</v>
      </c>
      <c r="I151" s="219" t="s">
        <v>54</v>
      </c>
      <c r="J151" s="219"/>
      <c r="K151" s="220">
        <v>11</v>
      </c>
      <c r="L151" s="221" t="s">
        <v>29</v>
      </c>
      <c r="M151" s="259" t="s">
        <v>178</v>
      </c>
      <c r="N151" s="222">
        <v>7218669145</v>
      </c>
      <c r="O151" s="222"/>
      <c r="P151" s="222"/>
      <c r="Q151" s="222"/>
      <c r="R151" s="222"/>
      <c r="S151" s="222"/>
      <c r="T151" s="222">
        <f>+N151-S151+O151-P151+Q151-R151</f>
        <v>7218669145</v>
      </c>
      <c r="U151" s="222">
        <v>4406021511</v>
      </c>
      <c r="V151" s="222">
        <f t="shared" si="111"/>
        <v>2812647634</v>
      </c>
      <c r="W151" s="224">
        <f t="shared" si="156"/>
        <v>0.61036479474223082</v>
      </c>
      <c r="X151" s="222">
        <v>0</v>
      </c>
      <c r="Y151" s="222">
        <f t="shared" si="120"/>
        <v>4406021511</v>
      </c>
      <c r="Z151" s="224">
        <f t="shared" si="82"/>
        <v>1</v>
      </c>
      <c r="AA151" s="222">
        <v>0</v>
      </c>
      <c r="AB151" s="222">
        <f t="shared" si="112"/>
        <v>0</v>
      </c>
      <c r="AC151" s="224">
        <f t="shared" si="146"/>
        <v>0</v>
      </c>
    </row>
    <row r="152" spans="1:52" ht="33">
      <c r="A152" s="32" t="str">
        <f t="shared" si="142"/>
        <v>C-4103-1500-13-0-4103053=11</v>
      </c>
      <c r="B152" s="210" t="str">
        <f>CONCATENATE(C152,"-",D152,"-",E152,"-",F152,"-",G152,"-",H152)</f>
        <v>C-4103-1500-13-0-4103053</v>
      </c>
      <c r="C152" s="211" t="s">
        <v>167</v>
      </c>
      <c r="D152" s="212" t="s">
        <v>190</v>
      </c>
      <c r="E152" s="212" t="s">
        <v>172</v>
      </c>
      <c r="F152" s="212" t="s">
        <v>22</v>
      </c>
      <c r="G152" s="212" t="s">
        <v>175</v>
      </c>
      <c r="H152" s="212" t="s">
        <v>199</v>
      </c>
      <c r="I152" s="212"/>
      <c r="J152" s="212"/>
      <c r="K152" s="213">
        <v>11</v>
      </c>
      <c r="L152" s="214" t="s">
        <v>29</v>
      </c>
      <c r="M152" s="210" t="s">
        <v>200</v>
      </c>
      <c r="N152" s="215">
        <f>+N153</f>
        <v>4348087590</v>
      </c>
      <c r="O152" s="215">
        <f t="shared" ref="O152:AB152" si="160">+O153</f>
        <v>0</v>
      </c>
      <c r="P152" s="215">
        <f t="shared" si="160"/>
        <v>0</v>
      </c>
      <c r="Q152" s="215">
        <f t="shared" si="160"/>
        <v>0</v>
      </c>
      <c r="R152" s="215">
        <f t="shared" si="160"/>
        <v>0</v>
      </c>
      <c r="S152" s="215">
        <f t="shared" si="160"/>
        <v>0</v>
      </c>
      <c r="T152" s="215">
        <f t="shared" si="160"/>
        <v>4348087590</v>
      </c>
      <c r="U152" s="215">
        <f t="shared" si="160"/>
        <v>2653919568</v>
      </c>
      <c r="V152" s="215">
        <f t="shared" si="160"/>
        <v>1694168022</v>
      </c>
      <c r="W152" s="216">
        <f t="shared" si="156"/>
        <v>0.61036478982246078</v>
      </c>
      <c r="X152" s="215">
        <f t="shared" si="160"/>
        <v>0</v>
      </c>
      <c r="Y152" s="215">
        <f t="shared" si="160"/>
        <v>2653919568</v>
      </c>
      <c r="Z152" s="216">
        <f t="shared" si="82"/>
        <v>1</v>
      </c>
      <c r="AA152" s="215">
        <f t="shared" si="160"/>
        <v>0</v>
      </c>
      <c r="AB152" s="215">
        <f t="shared" si="160"/>
        <v>0</v>
      </c>
      <c r="AC152" s="216">
        <f t="shared" si="146"/>
        <v>0</v>
      </c>
    </row>
    <row r="153" spans="1:52" ht="24.95" customHeight="1">
      <c r="A153" s="32" t="str">
        <f t="shared" si="142"/>
        <v>C-4103-1500-13-0-4103053-02=11</v>
      </c>
      <c r="B153" s="217" t="str">
        <f>CONCATENATE(C153,"-",D153,"-",E153,"-",F153,"-",G153,"-",H153,"-",I153)</f>
        <v>C-4103-1500-13-0-4103053-02</v>
      </c>
      <c r="C153" s="218" t="s">
        <v>167</v>
      </c>
      <c r="D153" s="219" t="s">
        <v>190</v>
      </c>
      <c r="E153" s="219" t="s">
        <v>172</v>
      </c>
      <c r="F153" s="219" t="s">
        <v>22</v>
      </c>
      <c r="G153" s="219" t="s">
        <v>175</v>
      </c>
      <c r="H153" s="219" t="s">
        <v>199</v>
      </c>
      <c r="I153" s="219" t="s">
        <v>54</v>
      </c>
      <c r="J153" s="219"/>
      <c r="K153" s="220">
        <v>11</v>
      </c>
      <c r="L153" s="221" t="s">
        <v>29</v>
      </c>
      <c r="M153" s="259" t="s">
        <v>178</v>
      </c>
      <c r="N153" s="222">
        <v>4348087590</v>
      </c>
      <c r="O153" s="222"/>
      <c r="P153" s="222"/>
      <c r="Q153" s="222"/>
      <c r="R153" s="222"/>
      <c r="S153" s="222"/>
      <c r="T153" s="222">
        <f>+N153-S153+O153-P153+Q153-R153</f>
        <v>4348087590</v>
      </c>
      <c r="U153" s="222">
        <v>2653919568</v>
      </c>
      <c r="V153" s="222">
        <f t="shared" si="111"/>
        <v>1694168022</v>
      </c>
      <c r="W153" s="224">
        <f t="shared" si="156"/>
        <v>0.61036478982246078</v>
      </c>
      <c r="X153" s="222">
        <v>0</v>
      </c>
      <c r="Y153" s="222">
        <f t="shared" si="120"/>
        <v>2653919568</v>
      </c>
      <c r="Z153" s="224">
        <f t="shared" si="82"/>
        <v>1</v>
      </c>
      <c r="AA153" s="222">
        <v>0</v>
      </c>
      <c r="AB153" s="222">
        <f t="shared" si="112"/>
        <v>0</v>
      </c>
      <c r="AC153" s="224">
        <f t="shared" si="146"/>
        <v>0</v>
      </c>
    </row>
    <row r="154" spans="1:52" ht="49.5">
      <c r="A154" s="32" t="str">
        <f t="shared" si="142"/>
        <v>C-4103-1500-13-0-4103054=11</v>
      </c>
      <c r="B154" s="210" t="str">
        <f>CONCATENATE(C154,"-",D154,"-",E154,"-",F154,"-",G154,"-",H154)</f>
        <v>C-4103-1500-13-0-4103054</v>
      </c>
      <c r="C154" s="211" t="s">
        <v>167</v>
      </c>
      <c r="D154" s="212" t="s">
        <v>190</v>
      </c>
      <c r="E154" s="212" t="s">
        <v>172</v>
      </c>
      <c r="F154" s="212" t="s">
        <v>22</v>
      </c>
      <c r="G154" s="212" t="s">
        <v>175</v>
      </c>
      <c r="H154" s="212" t="s">
        <v>201</v>
      </c>
      <c r="I154" s="212"/>
      <c r="J154" s="212"/>
      <c r="K154" s="213">
        <v>11</v>
      </c>
      <c r="L154" s="214" t="s">
        <v>29</v>
      </c>
      <c r="M154" s="210" t="s">
        <v>202</v>
      </c>
      <c r="N154" s="215">
        <f>+N155</f>
        <v>2171371771</v>
      </c>
      <c r="O154" s="215">
        <f t="shared" ref="O154:AB154" si="161">+O155</f>
        <v>0</v>
      </c>
      <c r="P154" s="215">
        <f t="shared" si="161"/>
        <v>0</v>
      </c>
      <c r="Q154" s="215">
        <f t="shared" si="161"/>
        <v>0</v>
      </c>
      <c r="R154" s="215">
        <f t="shared" si="161"/>
        <v>0</v>
      </c>
      <c r="S154" s="215">
        <f t="shared" si="161"/>
        <v>0</v>
      </c>
      <c r="T154" s="215">
        <f t="shared" si="161"/>
        <v>2171371771</v>
      </c>
      <c r="U154" s="215">
        <f t="shared" si="161"/>
        <v>746723383</v>
      </c>
      <c r="V154" s="215">
        <f t="shared" si="161"/>
        <v>1424648388</v>
      </c>
      <c r="W154" s="216">
        <f t="shared" si="156"/>
        <v>0.34389476411775644</v>
      </c>
      <c r="X154" s="215">
        <f t="shared" si="161"/>
        <v>206111480</v>
      </c>
      <c r="Y154" s="215">
        <f t="shared" si="161"/>
        <v>540611903</v>
      </c>
      <c r="Z154" s="216">
        <f t="shared" si="82"/>
        <v>0.72397880568312134</v>
      </c>
      <c r="AA154" s="215">
        <f t="shared" si="161"/>
        <v>206111480</v>
      </c>
      <c r="AB154" s="215">
        <f t="shared" si="161"/>
        <v>0</v>
      </c>
      <c r="AC154" s="216">
        <f t="shared" si="146"/>
        <v>0.27602119431687866</v>
      </c>
    </row>
    <row r="155" spans="1:52" ht="24.95" customHeight="1">
      <c r="A155" s="32" t="str">
        <f t="shared" si="142"/>
        <v>C-4103-1500-13-0-4103054-02=11</v>
      </c>
      <c r="B155" s="217" t="str">
        <f>CONCATENATE(C155,"-",D155,"-",E155,"-",F155,"-",G155,"-",H155,"-",I155)</f>
        <v>C-4103-1500-13-0-4103054-02</v>
      </c>
      <c r="C155" s="218" t="s">
        <v>167</v>
      </c>
      <c r="D155" s="219" t="s">
        <v>190</v>
      </c>
      <c r="E155" s="219" t="s">
        <v>172</v>
      </c>
      <c r="F155" s="219" t="s">
        <v>22</v>
      </c>
      <c r="G155" s="219" t="s">
        <v>175</v>
      </c>
      <c r="H155" s="219" t="s">
        <v>201</v>
      </c>
      <c r="I155" s="219" t="s">
        <v>54</v>
      </c>
      <c r="J155" s="219"/>
      <c r="K155" s="220">
        <v>11</v>
      </c>
      <c r="L155" s="221" t="s">
        <v>29</v>
      </c>
      <c r="M155" s="259" t="s">
        <v>178</v>
      </c>
      <c r="N155" s="222">
        <v>2171371771</v>
      </c>
      <c r="O155" s="222"/>
      <c r="P155" s="222"/>
      <c r="Q155" s="222"/>
      <c r="R155" s="222"/>
      <c r="S155" s="222"/>
      <c r="T155" s="222">
        <f>+N155-S155+O155-P155+Q155-R155</f>
        <v>2171371771</v>
      </c>
      <c r="U155" s="222">
        <v>746723383</v>
      </c>
      <c r="V155" s="222">
        <f t="shared" si="111"/>
        <v>1424648388</v>
      </c>
      <c r="W155" s="224">
        <f t="shared" si="156"/>
        <v>0.34389476411775644</v>
      </c>
      <c r="X155" s="222">
        <v>206111480</v>
      </c>
      <c r="Y155" s="222">
        <f t="shared" si="120"/>
        <v>540611903</v>
      </c>
      <c r="Z155" s="224">
        <f t="shared" ref="Z155:Z198" si="162">+IF(U155&gt;0,Y155/U155,0)</f>
        <v>0.72397880568312134</v>
      </c>
      <c r="AA155" s="222">
        <v>206111480</v>
      </c>
      <c r="AB155" s="222">
        <f t="shared" si="112"/>
        <v>0</v>
      </c>
      <c r="AC155" s="224">
        <f t="shared" si="146"/>
        <v>0.27602119431687866</v>
      </c>
    </row>
    <row r="156" spans="1:52" ht="33">
      <c r="A156" s="32" t="str">
        <f t="shared" si="142"/>
        <v>C-4103-1500-13-0-4103055=11</v>
      </c>
      <c r="B156" s="210" t="str">
        <f>CONCATENATE(C156,"-",D156,"-",E156,"-",F156,"-",G156,"-",H156)</f>
        <v>C-4103-1500-13-0-4103055</v>
      </c>
      <c r="C156" s="211" t="s">
        <v>167</v>
      </c>
      <c r="D156" s="212" t="s">
        <v>190</v>
      </c>
      <c r="E156" s="212" t="s">
        <v>172</v>
      </c>
      <c r="F156" s="212" t="s">
        <v>22</v>
      </c>
      <c r="G156" s="212" t="s">
        <v>175</v>
      </c>
      <c r="H156" s="212" t="s">
        <v>203</v>
      </c>
      <c r="I156" s="212"/>
      <c r="J156" s="212"/>
      <c r="K156" s="213">
        <v>11</v>
      </c>
      <c r="L156" s="214" t="s">
        <v>29</v>
      </c>
      <c r="M156" s="210" t="s">
        <v>204</v>
      </c>
      <c r="N156" s="215">
        <f t="shared" ref="N156:V156" si="163">SUM(N157:N157)</f>
        <v>12164900352</v>
      </c>
      <c r="O156" s="215">
        <f t="shared" si="163"/>
        <v>0</v>
      </c>
      <c r="P156" s="215">
        <f t="shared" si="163"/>
        <v>0</v>
      </c>
      <c r="Q156" s="215">
        <f t="shared" si="163"/>
        <v>0</v>
      </c>
      <c r="R156" s="215">
        <f t="shared" si="163"/>
        <v>0</v>
      </c>
      <c r="S156" s="215">
        <f t="shared" si="163"/>
        <v>0</v>
      </c>
      <c r="T156" s="215">
        <f t="shared" si="163"/>
        <v>12164900352</v>
      </c>
      <c r="U156" s="215">
        <f t="shared" si="163"/>
        <v>7457426819</v>
      </c>
      <c r="V156" s="215">
        <f t="shared" si="163"/>
        <v>4707473533</v>
      </c>
      <c r="W156" s="216">
        <f t="shared" si="156"/>
        <v>0.61302818791885494</v>
      </c>
      <c r="X156" s="215">
        <f t="shared" ref="X156:Y156" si="164">SUM(X157:X157)</f>
        <v>0</v>
      </c>
      <c r="Y156" s="215">
        <f t="shared" si="164"/>
        <v>7457426819</v>
      </c>
      <c r="Z156" s="216">
        <f t="shared" si="162"/>
        <v>1</v>
      </c>
      <c r="AA156" s="215">
        <f t="shared" ref="AA156:AB156" si="165">SUM(AA157:AA157)</f>
        <v>0</v>
      </c>
      <c r="AB156" s="215">
        <f t="shared" si="165"/>
        <v>0</v>
      </c>
      <c r="AC156" s="216">
        <f t="shared" si="146"/>
        <v>0</v>
      </c>
    </row>
    <row r="157" spans="1:52" ht="24.95" customHeight="1">
      <c r="A157" s="32" t="str">
        <f t="shared" si="142"/>
        <v>C-4103-1500-13-0-4103055-02=11</v>
      </c>
      <c r="B157" s="217" t="str">
        <f>CONCATENATE(C157,"-",D157,"-",E157,"-",F157,"-",G157,"-",H157,"-",I157)</f>
        <v>C-4103-1500-13-0-4103055-02</v>
      </c>
      <c r="C157" s="218" t="s">
        <v>167</v>
      </c>
      <c r="D157" s="219" t="s">
        <v>190</v>
      </c>
      <c r="E157" s="219" t="s">
        <v>172</v>
      </c>
      <c r="F157" s="219" t="s">
        <v>22</v>
      </c>
      <c r="G157" s="219" t="s">
        <v>175</v>
      </c>
      <c r="H157" s="219" t="s">
        <v>203</v>
      </c>
      <c r="I157" s="219" t="s">
        <v>54</v>
      </c>
      <c r="J157" s="219"/>
      <c r="K157" s="220">
        <v>11</v>
      </c>
      <c r="L157" s="221" t="s">
        <v>29</v>
      </c>
      <c r="M157" s="259" t="s">
        <v>178</v>
      </c>
      <c r="N157" s="222">
        <v>12164900352</v>
      </c>
      <c r="O157" s="222"/>
      <c r="P157" s="222"/>
      <c r="Q157" s="222"/>
      <c r="R157" s="222"/>
      <c r="S157" s="222"/>
      <c r="T157" s="222">
        <f>+N157-S157+O157-P157+Q157-R157</f>
        <v>12164900352</v>
      </c>
      <c r="U157" s="222">
        <v>7457426819</v>
      </c>
      <c r="V157" s="222">
        <f t="shared" si="111"/>
        <v>4707473533</v>
      </c>
      <c r="W157" s="224">
        <f t="shared" si="156"/>
        <v>0.61302818791885494</v>
      </c>
      <c r="X157" s="222">
        <v>0</v>
      </c>
      <c r="Y157" s="222">
        <f t="shared" si="120"/>
        <v>7457426819</v>
      </c>
      <c r="Z157" s="224">
        <f t="shared" si="162"/>
        <v>1</v>
      </c>
      <c r="AA157" s="222">
        <v>0</v>
      </c>
      <c r="AB157" s="222">
        <f t="shared" si="112"/>
        <v>0</v>
      </c>
      <c r="AC157" s="224">
        <f t="shared" si="146"/>
        <v>0</v>
      </c>
    </row>
    <row r="158" spans="1:52" ht="33">
      <c r="A158" s="32" t="str">
        <f t="shared" si="142"/>
        <v>C-4103-1500-14=</v>
      </c>
      <c r="B158" s="226" t="str">
        <f>CONCATENATE(C158,"-",D158,"-",E158,"-",F158)</f>
        <v>C-4103-1500-14</v>
      </c>
      <c r="C158" s="227" t="s">
        <v>167</v>
      </c>
      <c r="D158" s="228" t="s">
        <v>190</v>
      </c>
      <c r="E158" s="228" t="s">
        <v>172</v>
      </c>
      <c r="F158" s="228" t="s">
        <v>205</v>
      </c>
      <c r="G158" s="228"/>
      <c r="H158" s="228"/>
      <c r="I158" s="228"/>
      <c r="J158" s="228"/>
      <c r="K158" s="229"/>
      <c r="L158" s="230"/>
      <c r="M158" s="231" t="s">
        <v>281</v>
      </c>
      <c r="N158" s="232">
        <f>+N159+N163</f>
        <v>1226882227478</v>
      </c>
      <c r="O158" s="232">
        <f t="shared" ref="O158:V158" si="166">+O159+O163</f>
        <v>0</v>
      </c>
      <c r="P158" s="232">
        <f t="shared" si="166"/>
        <v>0</v>
      </c>
      <c r="Q158" s="232">
        <f t="shared" si="166"/>
        <v>48368092805.639999</v>
      </c>
      <c r="R158" s="232">
        <f t="shared" si="166"/>
        <v>328368092805.64001</v>
      </c>
      <c r="S158" s="232">
        <f t="shared" si="166"/>
        <v>420000000000</v>
      </c>
      <c r="T158" s="232">
        <f t="shared" si="166"/>
        <v>526882227478</v>
      </c>
      <c r="U158" s="232">
        <f t="shared" si="166"/>
        <v>500849132896.5</v>
      </c>
      <c r="V158" s="232">
        <f t="shared" si="166"/>
        <v>26033094581.499977</v>
      </c>
      <c r="W158" s="233">
        <f t="shared" si="156"/>
        <v>0.95059029660933669</v>
      </c>
      <c r="X158" s="232">
        <f t="shared" ref="X158:Y158" si="167">+X159+X163</f>
        <v>77495687429.180008</v>
      </c>
      <c r="Y158" s="232">
        <f t="shared" si="167"/>
        <v>423353445467.31995</v>
      </c>
      <c r="Z158" s="233">
        <f t="shared" si="162"/>
        <v>0.84527139543796626</v>
      </c>
      <c r="AA158" s="232">
        <f t="shared" ref="AA158:AB158" si="168">+AA159+AA163</f>
        <v>77495687429.180008</v>
      </c>
      <c r="AB158" s="232">
        <f t="shared" si="168"/>
        <v>0</v>
      </c>
      <c r="AC158" s="233">
        <f t="shared" si="146"/>
        <v>0.15472860456203369</v>
      </c>
    </row>
    <row r="159" spans="1:52" ht="33">
      <c r="A159" s="32" t="str">
        <f t="shared" si="142"/>
        <v>C-4103-1500-14-0-4103016=</v>
      </c>
      <c r="B159" s="210" t="str">
        <f>CONCATENATE(C159,"-",D159,"-",E159,"-",F159,"-",G159,"-",H159)</f>
        <v>C-4103-1500-14-0-4103016</v>
      </c>
      <c r="C159" s="211" t="s">
        <v>167</v>
      </c>
      <c r="D159" s="212" t="s">
        <v>190</v>
      </c>
      <c r="E159" s="212" t="s">
        <v>172</v>
      </c>
      <c r="F159" s="212" t="s">
        <v>205</v>
      </c>
      <c r="G159" s="212" t="s">
        <v>175</v>
      </c>
      <c r="H159" s="212" t="s">
        <v>207</v>
      </c>
      <c r="I159" s="212"/>
      <c r="J159" s="212"/>
      <c r="K159" s="213"/>
      <c r="L159" s="214"/>
      <c r="M159" s="210" t="s">
        <v>208</v>
      </c>
      <c r="N159" s="215">
        <f>SUM(N160:N162)</f>
        <v>1205215344888.79</v>
      </c>
      <c r="O159" s="215">
        <f t="shared" ref="O159:V159" si="169">SUM(O160:O162)</f>
        <v>0</v>
      </c>
      <c r="P159" s="215">
        <f t="shared" si="169"/>
        <v>0</v>
      </c>
      <c r="Q159" s="215">
        <f t="shared" si="169"/>
        <v>47668092805.639999</v>
      </c>
      <c r="R159" s="215">
        <f t="shared" si="169"/>
        <v>328368092805.64001</v>
      </c>
      <c r="S159" s="215">
        <f t="shared" si="169"/>
        <v>420000000000</v>
      </c>
      <c r="T159" s="215">
        <f t="shared" si="169"/>
        <v>504515344888.78998</v>
      </c>
      <c r="U159" s="215">
        <f t="shared" si="169"/>
        <v>491174189277.5</v>
      </c>
      <c r="V159" s="215">
        <f t="shared" si="169"/>
        <v>13341155611.289978</v>
      </c>
      <c r="W159" s="216">
        <f t="shared" si="156"/>
        <v>0.97355649189574056</v>
      </c>
      <c r="X159" s="215">
        <f t="shared" ref="X159:Y159" si="170">SUM(X160:X162)</f>
        <v>75072643397.180008</v>
      </c>
      <c r="Y159" s="215">
        <f t="shared" si="170"/>
        <v>416101545880.31995</v>
      </c>
      <c r="Z159" s="216">
        <f t="shared" si="162"/>
        <v>0.84715678259150939</v>
      </c>
      <c r="AA159" s="215">
        <f t="shared" ref="AA159:AB159" si="171">SUM(AA160:AA162)</f>
        <v>75072643397.180008</v>
      </c>
      <c r="AB159" s="215">
        <f t="shared" si="171"/>
        <v>0</v>
      </c>
      <c r="AC159" s="216">
        <f t="shared" si="146"/>
        <v>0.15284321740849052</v>
      </c>
    </row>
    <row r="160" spans="1:52" ht="24.95" customHeight="1">
      <c r="A160" s="32" t="str">
        <f t="shared" si="142"/>
        <v>C-4103-1500-14-0-4103016-02=11</v>
      </c>
      <c r="B160" s="217" t="str">
        <f>CONCATENATE(C160,"-",D160,"-",E160,"-",F160,"-",G160,"-",H160,"-",I160)</f>
        <v>C-4103-1500-14-0-4103016-02</v>
      </c>
      <c r="C160" s="266" t="s">
        <v>167</v>
      </c>
      <c r="D160" s="267" t="s">
        <v>190</v>
      </c>
      <c r="E160" s="267" t="s">
        <v>172</v>
      </c>
      <c r="F160" s="267" t="s">
        <v>205</v>
      </c>
      <c r="G160" s="267" t="s">
        <v>175</v>
      </c>
      <c r="H160" s="267" t="s">
        <v>207</v>
      </c>
      <c r="I160" s="267" t="s">
        <v>54</v>
      </c>
      <c r="J160" s="267"/>
      <c r="K160" s="268">
        <v>11</v>
      </c>
      <c r="L160" s="269" t="s">
        <v>29</v>
      </c>
      <c r="M160" s="259" t="s">
        <v>178</v>
      </c>
      <c r="N160" s="222">
        <v>358903207165.07001</v>
      </c>
      <c r="O160" s="222"/>
      <c r="P160" s="222"/>
      <c r="Q160" s="222">
        <f>44314848063+1863454320+1489790422.64</f>
        <v>47668092805.639999</v>
      </c>
      <c r="R160" s="222">
        <v>280000000000</v>
      </c>
      <c r="S160" s="223">
        <v>86968373082.070007</v>
      </c>
      <c r="T160" s="222">
        <f>+N160-S160+O160-P160+Q160-R160</f>
        <v>39602926888.640015</v>
      </c>
      <c r="U160" s="222">
        <v>36249682146</v>
      </c>
      <c r="V160" s="222">
        <f t="shared" ref="V160" si="172">+T160-U160</f>
        <v>3353244742.6400146</v>
      </c>
      <c r="W160" s="224">
        <f t="shared" si="156"/>
        <v>0.91532836065200318</v>
      </c>
      <c r="X160" s="222">
        <v>17271678.719999999</v>
      </c>
      <c r="Y160" s="222">
        <f t="shared" ref="Y160" si="173">+U160-X160</f>
        <v>36232410467.279999</v>
      </c>
      <c r="Z160" s="224">
        <f t="shared" si="162"/>
        <v>0.99952353571955643</v>
      </c>
      <c r="AA160" s="222">
        <v>17271678.719999999</v>
      </c>
      <c r="AB160" s="222">
        <f t="shared" ref="AB160" si="174">+X160-AA160</f>
        <v>0</v>
      </c>
      <c r="AC160" s="224">
        <f t="shared" si="146"/>
        <v>4.7646428044351434E-4</v>
      </c>
    </row>
    <row r="161" spans="1:52" ht="24.95" customHeight="1">
      <c r="A161" s="32" t="str">
        <f t="shared" si="142"/>
        <v>C-4103-1500-14-0-4103016-03=10</v>
      </c>
      <c r="B161" s="217" t="str">
        <f>CONCATENATE(C161,"-",D161,"-",E161,"-",F161,"-",G161,"-",H161,"-",I161)</f>
        <v>C-4103-1500-14-0-4103016-03</v>
      </c>
      <c r="C161" s="266" t="s">
        <v>167</v>
      </c>
      <c r="D161" s="267" t="s">
        <v>190</v>
      </c>
      <c r="E161" s="267" t="s">
        <v>172</v>
      </c>
      <c r="F161" s="267" t="s">
        <v>205</v>
      </c>
      <c r="G161" s="267" t="s">
        <v>175</v>
      </c>
      <c r="H161" s="267" t="s">
        <v>207</v>
      </c>
      <c r="I161" s="267" t="s">
        <v>65</v>
      </c>
      <c r="J161" s="267"/>
      <c r="K161" s="271" t="s">
        <v>28</v>
      </c>
      <c r="L161" s="269" t="s">
        <v>29</v>
      </c>
      <c r="M161" s="259" t="s">
        <v>127</v>
      </c>
      <c r="N161" s="222">
        <v>50000000000</v>
      </c>
      <c r="O161" s="222"/>
      <c r="P161" s="222"/>
      <c r="Q161" s="223"/>
      <c r="R161" s="223"/>
      <c r="S161" s="223">
        <v>50000000000</v>
      </c>
      <c r="T161" s="222">
        <f>+N161-S161+O161-P161+Q161-R161</f>
        <v>0</v>
      </c>
      <c r="U161" s="222">
        <v>0</v>
      </c>
      <c r="V161" s="222">
        <f t="shared" si="111"/>
        <v>0</v>
      </c>
      <c r="W161" s="224">
        <f t="shared" si="156"/>
        <v>0</v>
      </c>
      <c r="X161" s="222">
        <v>0</v>
      </c>
      <c r="Y161" s="222">
        <f t="shared" si="120"/>
        <v>0</v>
      </c>
      <c r="Z161" s="224">
        <f t="shared" si="162"/>
        <v>0</v>
      </c>
      <c r="AA161" s="222">
        <v>0</v>
      </c>
      <c r="AB161" s="222">
        <f t="shared" si="112"/>
        <v>0</v>
      </c>
      <c r="AC161" s="224">
        <f t="shared" si="146"/>
        <v>0</v>
      </c>
    </row>
    <row r="162" spans="1:52" ht="24.95" customHeight="1">
      <c r="A162" s="32" t="str">
        <f t="shared" si="142"/>
        <v>C-4103-1500-14-0-4103016-03=11</v>
      </c>
      <c r="B162" s="217" t="str">
        <f>CONCATENATE(C162,"-",D162,"-",E162,"-",F162,"-",G162,"-",H162,"-",I162)</f>
        <v>C-4103-1500-14-0-4103016-03</v>
      </c>
      <c r="C162" s="266" t="s">
        <v>167</v>
      </c>
      <c r="D162" s="267" t="s">
        <v>190</v>
      </c>
      <c r="E162" s="267" t="s">
        <v>172</v>
      </c>
      <c r="F162" s="267" t="s">
        <v>205</v>
      </c>
      <c r="G162" s="267" t="s">
        <v>175</v>
      </c>
      <c r="H162" s="267" t="s">
        <v>207</v>
      </c>
      <c r="I162" s="272" t="s">
        <v>65</v>
      </c>
      <c r="J162" s="273"/>
      <c r="K162" s="268">
        <v>11</v>
      </c>
      <c r="L162" s="269" t="s">
        <v>29</v>
      </c>
      <c r="M162" s="259" t="s">
        <v>127</v>
      </c>
      <c r="N162" s="222">
        <v>796312137723.71997</v>
      </c>
      <c r="O162" s="222"/>
      <c r="P162" s="222"/>
      <c r="Q162" s="223"/>
      <c r="R162" s="222">
        <f>44314848063+700000000+1863454320+1489790422.64</f>
        <v>48368092805.639999</v>
      </c>
      <c r="S162" s="223">
        <v>283031626917.92999</v>
      </c>
      <c r="T162" s="222">
        <f>+N162-S162+O162-P162+Q162-R162</f>
        <v>464912418000.14996</v>
      </c>
      <c r="U162" s="222">
        <v>454924507131.5</v>
      </c>
      <c r="V162" s="222">
        <f t="shared" si="111"/>
        <v>9987910868.6499634</v>
      </c>
      <c r="W162" s="224">
        <f t="shared" si="156"/>
        <v>0.97851657541948744</v>
      </c>
      <c r="X162" s="222">
        <v>75055371718.460007</v>
      </c>
      <c r="Y162" s="222">
        <f t="shared" si="120"/>
        <v>379869135413.03998</v>
      </c>
      <c r="Z162" s="224">
        <f t="shared" si="162"/>
        <v>0.83501576516130704</v>
      </c>
      <c r="AA162" s="222">
        <v>75055371718.460007</v>
      </c>
      <c r="AB162" s="222">
        <f t="shared" si="112"/>
        <v>0</v>
      </c>
      <c r="AC162" s="224">
        <f t="shared" si="146"/>
        <v>0.16498423483869287</v>
      </c>
    </row>
    <row r="163" spans="1:52" ht="33">
      <c r="A163" s="32" t="str">
        <f t="shared" si="142"/>
        <v>C-4103-1500-14-0-4103048=11</v>
      </c>
      <c r="B163" s="210" t="str">
        <f>CONCATENATE(C163,"-",D163,"-",E163,"-",F163,"-",G163,"-",H163)</f>
        <v>C-4103-1500-14-0-4103048</v>
      </c>
      <c r="C163" s="211" t="s">
        <v>167</v>
      </c>
      <c r="D163" s="212" t="s">
        <v>190</v>
      </c>
      <c r="E163" s="212" t="s">
        <v>172</v>
      </c>
      <c r="F163" s="212" t="s">
        <v>205</v>
      </c>
      <c r="G163" s="212" t="s">
        <v>175</v>
      </c>
      <c r="H163" s="212" t="s">
        <v>209</v>
      </c>
      <c r="I163" s="212"/>
      <c r="J163" s="212"/>
      <c r="K163" s="213">
        <v>11</v>
      </c>
      <c r="L163" s="214" t="s">
        <v>29</v>
      </c>
      <c r="M163" s="210" t="s">
        <v>210</v>
      </c>
      <c r="N163" s="215">
        <f t="shared" ref="N163:V163" si="175">SUM(N164:N164)</f>
        <v>21666882589.209999</v>
      </c>
      <c r="O163" s="215">
        <f t="shared" si="175"/>
        <v>0</v>
      </c>
      <c r="P163" s="215">
        <f t="shared" si="175"/>
        <v>0</v>
      </c>
      <c r="Q163" s="215">
        <f t="shared" si="175"/>
        <v>700000000</v>
      </c>
      <c r="R163" s="215">
        <f t="shared" si="175"/>
        <v>0</v>
      </c>
      <c r="S163" s="215">
        <f t="shared" si="175"/>
        <v>0</v>
      </c>
      <c r="T163" s="215">
        <f t="shared" si="175"/>
        <v>22366882589.209999</v>
      </c>
      <c r="U163" s="215">
        <f t="shared" si="175"/>
        <v>9674943619</v>
      </c>
      <c r="V163" s="215">
        <f t="shared" si="175"/>
        <v>12691938970.209999</v>
      </c>
      <c r="W163" s="216">
        <f t="shared" si="156"/>
        <v>0.43255664174082475</v>
      </c>
      <c r="X163" s="215">
        <f t="shared" ref="X163:Y163" si="176">SUM(X164:X164)</f>
        <v>2423044032</v>
      </c>
      <c r="Y163" s="215">
        <f t="shared" si="176"/>
        <v>7251899587</v>
      </c>
      <c r="Z163" s="216">
        <f t="shared" si="162"/>
        <v>0.74955471293480824</v>
      </c>
      <c r="AA163" s="215">
        <f t="shared" ref="AA163:AB163" si="177">SUM(AA164:AA164)</f>
        <v>2423044032</v>
      </c>
      <c r="AB163" s="215">
        <f t="shared" si="177"/>
        <v>0</v>
      </c>
      <c r="AC163" s="216">
        <f t="shared" si="146"/>
        <v>0.25044528706519176</v>
      </c>
    </row>
    <row r="164" spans="1:52" ht="24.95" customHeight="1">
      <c r="A164" s="32" t="str">
        <f t="shared" si="142"/>
        <v>C-4103-1500-14-0-4103048-02=11</v>
      </c>
      <c r="B164" s="217" t="str">
        <f>CONCATENATE(C164,"-",D164,"-",E164,"-",F164,"-",G164,"-",H164,"-",I164)</f>
        <v>C-4103-1500-14-0-4103048-02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209</v>
      </c>
      <c r="I164" s="267" t="s">
        <v>54</v>
      </c>
      <c r="J164" s="267"/>
      <c r="K164" s="268">
        <v>11</v>
      </c>
      <c r="L164" s="269" t="s">
        <v>29</v>
      </c>
      <c r="M164" s="259" t="s">
        <v>178</v>
      </c>
      <c r="N164" s="222">
        <v>21666882589.209999</v>
      </c>
      <c r="O164" s="222"/>
      <c r="P164" s="222"/>
      <c r="Q164" s="222">
        <v>700000000</v>
      </c>
      <c r="R164" s="222"/>
      <c r="S164" s="222"/>
      <c r="T164" s="222">
        <f>+N164-S164+O164-P164+Q164-R164</f>
        <v>22366882589.209999</v>
      </c>
      <c r="U164" s="222">
        <v>9674943619</v>
      </c>
      <c r="V164" s="222">
        <f t="shared" ref="V164" si="178">+T164-U164</f>
        <v>12691938970.209999</v>
      </c>
      <c r="W164" s="224">
        <f t="shared" si="156"/>
        <v>0.43255664174082475</v>
      </c>
      <c r="X164" s="222">
        <v>2423044032</v>
      </c>
      <c r="Y164" s="222">
        <f t="shared" ref="Y164" si="179">+U164-X164</f>
        <v>7251899587</v>
      </c>
      <c r="Z164" s="224">
        <f t="shared" si="162"/>
        <v>0.74955471293480824</v>
      </c>
      <c r="AA164" s="222">
        <v>2423044032</v>
      </c>
      <c r="AB164" s="222">
        <f t="shared" ref="AB164" si="180">+X164-AA164</f>
        <v>0</v>
      </c>
      <c r="AC164" s="224">
        <f t="shared" si="146"/>
        <v>0.25044528706519176</v>
      </c>
    </row>
    <row r="165" spans="1:52" ht="33">
      <c r="A165" s="32" t="str">
        <f t="shared" si="142"/>
        <v>C-4103-1500-16=</v>
      </c>
      <c r="B165" s="226" t="str">
        <f>CONCATENATE(C165,"-",D165,"-",E165,"-",F165)</f>
        <v>C-4103-1500-16</v>
      </c>
      <c r="C165" s="227" t="s">
        <v>167</v>
      </c>
      <c r="D165" s="228" t="s">
        <v>190</v>
      </c>
      <c r="E165" s="228" t="s">
        <v>172</v>
      </c>
      <c r="F165" s="228" t="s">
        <v>211</v>
      </c>
      <c r="G165" s="228"/>
      <c r="H165" s="228"/>
      <c r="I165" s="228"/>
      <c r="J165" s="228"/>
      <c r="K165" s="229"/>
      <c r="L165" s="230"/>
      <c r="M165" s="231" t="s">
        <v>282</v>
      </c>
      <c r="N165" s="232">
        <f>+N166+N168</f>
        <v>1000000000</v>
      </c>
      <c r="O165" s="232">
        <f t="shared" ref="O165:V165" si="181">+O166+O168</f>
        <v>0</v>
      </c>
      <c r="P165" s="232">
        <f t="shared" si="181"/>
        <v>0</v>
      </c>
      <c r="Q165" s="232">
        <f t="shared" si="181"/>
        <v>0</v>
      </c>
      <c r="R165" s="232">
        <f t="shared" si="181"/>
        <v>0</v>
      </c>
      <c r="S165" s="232">
        <f t="shared" si="181"/>
        <v>0</v>
      </c>
      <c r="T165" s="232">
        <f t="shared" si="181"/>
        <v>1000000000</v>
      </c>
      <c r="U165" s="232">
        <f t="shared" si="181"/>
        <v>0</v>
      </c>
      <c r="V165" s="232">
        <f t="shared" si="181"/>
        <v>1000000000</v>
      </c>
      <c r="W165" s="233">
        <f t="shared" si="156"/>
        <v>0</v>
      </c>
      <c r="X165" s="232">
        <f t="shared" ref="X165:AB165" si="182">+X166+X168</f>
        <v>0</v>
      </c>
      <c r="Y165" s="232">
        <f t="shared" si="182"/>
        <v>0</v>
      </c>
      <c r="Z165" s="233">
        <f t="shared" si="162"/>
        <v>0</v>
      </c>
      <c r="AA165" s="232">
        <f t="shared" si="182"/>
        <v>0</v>
      </c>
      <c r="AB165" s="232">
        <f t="shared" si="182"/>
        <v>0</v>
      </c>
      <c r="AC165" s="233">
        <f t="shared" si="146"/>
        <v>0</v>
      </c>
    </row>
    <row r="166" spans="1:52" s="90" customFormat="1" ht="33">
      <c r="A166" s="32" t="str">
        <f t="shared" si="142"/>
        <v>C-4103-1500-16-0-4103056=11</v>
      </c>
      <c r="B166" s="210" t="str">
        <f>CONCATENATE(C166,"-",D166,"-",E166,"-",F166,"-",G166,"-",H166)</f>
        <v>C-4103-1500-16-0-4103056</v>
      </c>
      <c r="C166" s="211" t="s">
        <v>167</v>
      </c>
      <c r="D166" s="212" t="s">
        <v>190</v>
      </c>
      <c r="E166" s="212" t="s">
        <v>172</v>
      </c>
      <c r="F166" s="212" t="s">
        <v>211</v>
      </c>
      <c r="G166" s="212" t="s">
        <v>175</v>
      </c>
      <c r="H166" s="212" t="s">
        <v>213</v>
      </c>
      <c r="I166" s="212"/>
      <c r="J166" s="212"/>
      <c r="K166" s="213" t="s">
        <v>144</v>
      </c>
      <c r="L166" s="214" t="s">
        <v>29</v>
      </c>
      <c r="M166" s="210" t="s">
        <v>214</v>
      </c>
      <c r="N166" s="215">
        <f>+N167</f>
        <v>730000000</v>
      </c>
      <c r="O166" s="215">
        <f t="shared" ref="O166:AB166" si="183">+O167</f>
        <v>0</v>
      </c>
      <c r="P166" s="215">
        <f t="shared" si="183"/>
        <v>0</v>
      </c>
      <c r="Q166" s="215">
        <f t="shared" si="183"/>
        <v>0</v>
      </c>
      <c r="R166" s="215">
        <f t="shared" si="183"/>
        <v>0</v>
      </c>
      <c r="S166" s="215">
        <f t="shared" si="183"/>
        <v>0</v>
      </c>
      <c r="T166" s="215">
        <f t="shared" si="183"/>
        <v>730000000</v>
      </c>
      <c r="U166" s="215">
        <f t="shared" si="183"/>
        <v>0</v>
      </c>
      <c r="V166" s="215">
        <f t="shared" si="183"/>
        <v>730000000</v>
      </c>
      <c r="W166" s="216">
        <f t="shared" si="156"/>
        <v>0</v>
      </c>
      <c r="X166" s="215">
        <f t="shared" si="183"/>
        <v>0</v>
      </c>
      <c r="Y166" s="215">
        <f t="shared" si="183"/>
        <v>0</v>
      </c>
      <c r="Z166" s="216">
        <f t="shared" si="162"/>
        <v>0</v>
      </c>
      <c r="AA166" s="215">
        <f t="shared" si="183"/>
        <v>0</v>
      </c>
      <c r="AB166" s="215">
        <f t="shared" si="183"/>
        <v>0</v>
      </c>
      <c r="AC166" s="216">
        <f t="shared" si="146"/>
        <v>0</v>
      </c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</row>
    <row r="167" spans="1:52" s="90" customFormat="1" ht="24.95" customHeight="1">
      <c r="A167" s="32" t="str">
        <f t="shared" si="142"/>
        <v>C-4103-1500-16-0-4103056-02=11</v>
      </c>
      <c r="B167" s="217" t="str">
        <f>CONCATENATE(C167,"-",D167,"-",E167,"-",F167,"-",G167,"-",H167,"-",I167)</f>
        <v>C-4103-1500-16-0-4103056-02</v>
      </c>
      <c r="C167" s="218" t="s">
        <v>167</v>
      </c>
      <c r="D167" s="219" t="s">
        <v>190</v>
      </c>
      <c r="E167" s="219" t="s">
        <v>172</v>
      </c>
      <c r="F167" s="219" t="s">
        <v>211</v>
      </c>
      <c r="G167" s="219" t="s">
        <v>175</v>
      </c>
      <c r="H167" s="219" t="s">
        <v>213</v>
      </c>
      <c r="I167" s="219" t="s">
        <v>54</v>
      </c>
      <c r="J167" s="219"/>
      <c r="K167" s="220" t="s">
        <v>144</v>
      </c>
      <c r="L167" s="221" t="s">
        <v>29</v>
      </c>
      <c r="M167" s="259" t="s">
        <v>178</v>
      </c>
      <c r="N167" s="222">
        <v>730000000</v>
      </c>
      <c r="O167" s="222"/>
      <c r="P167" s="222"/>
      <c r="Q167" s="222"/>
      <c r="R167" s="222"/>
      <c r="S167" s="222"/>
      <c r="T167" s="222">
        <f>+N167-S167+O167-P167+Q167-R167</f>
        <v>730000000</v>
      </c>
      <c r="U167" s="222">
        <v>0</v>
      </c>
      <c r="V167" s="222">
        <f t="shared" si="111"/>
        <v>730000000</v>
      </c>
      <c r="W167" s="224">
        <f t="shared" si="156"/>
        <v>0</v>
      </c>
      <c r="X167" s="222">
        <v>0</v>
      </c>
      <c r="Y167" s="222">
        <f t="shared" si="120"/>
        <v>0</v>
      </c>
      <c r="Z167" s="224">
        <f t="shared" si="162"/>
        <v>0</v>
      </c>
      <c r="AA167" s="222">
        <v>0</v>
      </c>
      <c r="AB167" s="222">
        <f t="shared" si="112"/>
        <v>0</v>
      </c>
      <c r="AC167" s="224">
        <f t="shared" si="146"/>
        <v>0</v>
      </c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</row>
    <row r="168" spans="1:52" s="90" customFormat="1" ht="24.95" customHeight="1">
      <c r="A168" s="32" t="str">
        <f t="shared" si="142"/>
        <v>C-4103-1500-16-0-4103060=11</v>
      </c>
      <c r="B168" s="210" t="str">
        <f>CONCATENATE(C168,"-",D168,"-",E168,"-",F168,"-",G168,"-",H168)</f>
        <v>C-4103-1500-16-0-4103060</v>
      </c>
      <c r="C168" s="211" t="s">
        <v>167</v>
      </c>
      <c r="D168" s="212" t="s">
        <v>190</v>
      </c>
      <c r="E168" s="212" t="s">
        <v>172</v>
      </c>
      <c r="F168" s="212" t="s">
        <v>211</v>
      </c>
      <c r="G168" s="212" t="s">
        <v>175</v>
      </c>
      <c r="H168" s="212" t="s">
        <v>215</v>
      </c>
      <c r="I168" s="212"/>
      <c r="J168" s="212"/>
      <c r="K168" s="213" t="s">
        <v>144</v>
      </c>
      <c r="L168" s="214" t="s">
        <v>29</v>
      </c>
      <c r="M168" s="210" t="s">
        <v>216</v>
      </c>
      <c r="N168" s="215">
        <f>+N169</f>
        <v>270000000</v>
      </c>
      <c r="O168" s="215">
        <f t="shared" ref="O168:AB168" si="184">+O169</f>
        <v>0</v>
      </c>
      <c r="P168" s="215">
        <f t="shared" si="184"/>
        <v>0</v>
      </c>
      <c r="Q168" s="215">
        <f t="shared" si="184"/>
        <v>0</v>
      </c>
      <c r="R168" s="215">
        <f t="shared" si="184"/>
        <v>0</v>
      </c>
      <c r="S168" s="215">
        <f t="shared" si="184"/>
        <v>0</v>
      </c>
      <c r="T168" s="215">
        <f t="shared" si="184"/>
        <v>270000000</v>
      </c>
      <c r="U168" s="215">
        <f t="shared" si="184"/>
        <v>0</v>
      </c>
      <c r="V168" s="215">
        <f t="shared" si="184"/>
        <v>270000000</v>
      </c>
      <c r="W168" s="216">
        <f t="shared" si="156"/>
        <v>0</v>
      </c>
      <c r="X168" s="215">
        <f t="shared" si="184"/>
        <v>0</v>
      </c>
      <c r="Y168" s="215">
        <f t="shared" si="184"/>
        <v>0</v>
      </c>
      <c r="Z168" s="216">
        <f t="shared" si="162"/>
        <v>0</v>
      </c>
      <c r="AA168" s="215">
        <f t="shared" si="184"/>
        <v>0</v>
      </c>
      <c r="AB168" s="215">
        <f t="shared" si="184"/>
        <v>0</v>
      </c>
      <c r="AC168" s="216">
        <f t="shared" si="146"/>
        <v>0</v>
      </c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</row>
    <row r="169" spans="1:52" s="90" customFormat="1" ht="24.95" customHeight="1">
      <c r="A169" s="32" t="str">
        <f t="shared" si="142"/>
        <v>C-4103-1500-16-0-4103060-02=11</v>
      </c>
      <c r="B169" s="217" t="str">
        <f>CONCATENATE(C169,"-",D169,"-",E169,"-",F169,"-",G169,"-",H169,"-",I169)</f>
        <v>C-4103-1500-16-0-4103060-02</v>
      </c>
      <c r="C169" s="218" t="s">
        <v>167</v>
      </c>
      <c r="D169" s="219" t="s">
        <v>190</v>
      </c>
      <c r="E169" s="219" t="s">
        <v>172</v>
      </c>
      <c r="F169" s="219" t="s">
        <v>211</v>
      </c>
      <c r="G169" s="219" t="s">
        <v>175</v>
      </c>
      <c r="H169" s="219" t="s">
        <v>215</v>
      </c>
      <c r="I169" s="219" t="s">
        <v>54</v>
      </c>
      <c r="J169" s="219"/>
      <c r="K169" s="220" t="s">
        <v>144</v>
      </c>
      <c r="L169" s="221" t="s">
        <v>29</v>
      </c>
      <c r="M169" s="259" t="s">
        <v>178</v>
      </c>
      <c r="N169" s="222">
        <v>270000000</v>
      </c>
      <c r="O169" s="222"/>
      <c r="P169" s="222"/>
      <c r="Q169" s="222"/>
      <c r="R169" s="222"/>
      <c r="S169" s="222"/>
      <c r="T169" s="222">
        <f>+N169-S169+O169-P169+Q169-R169</f>
        <v>270000000</v>
      </c>
      <c r="U169" s="222">
        <v>0</v>
      </c>
      <c r="V169" s="222">
        <f t="shared" si="111"/>
        <v>270000000</v>
      </c>
      <c r="W169" s="224">
        <f t="shared" si="156"/>
        <v>0</v>
      </c>
      <c r="X169" s="222">
        <v>0</v>
      </c>
      <c r="Y169" s="222">
        <f t="shared" si="120"/>
        <v>0</v>
      </c>
      <c r="Z169" s="224">
        <f t="shared" si="162"/>
        <v>0</v>
      </c>
      <c r="AA169" s="222">
        <v>0</v>
      </c>
      <c r="AB169" s="222">
        <f t="shared" si="112"/>
        <v>0</v>
      </c>
      <c r="AC169" s="224">
        <f t="shared" si="146"/>
        <v>0</v>
      </c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</row>
    <row r="170" spans="1:52" s="90" customFormat="1" ht="66">
      <c r="A170" s="32" t="str">
        <f t="shared" si="142"/>
        <v>C-4103-1500-17=</v>
      </c>
      <c r="B170" s="226" t="str">
        <f>CONCATENATE(C170,"-",D170,"-",E170,"-",F170)</f>
        <v>C-4103-1500-17</v>
      </c>
      <c r="C170" s="227" t="s">
        <v>167</v>
      </c>
      <c r="D170" s="228" t="s">
        <v>190</v>
      </c>
      <c r="E170" s="228" t="s">
        <v>172</v>
      </c>
      <c r="F170" s="228" t="s">
        <v>217</v>
      </c>
      <c r="G170" s="228"/>
      <c r="H170" s="228"/>
      <c r="I170" s="228"/>
      <c r="J170" s="228"/>
      <c r="K170" s="229"/>
      <c r="L170" s="230"/>
      <c r="M170" s="231" t="s">
        <v>283</v>
      </c>
      <c r="N170" s="232">
        <f t="shared" ref="N170:V170" si="185">+N175+N177+N173+N171</f>
        <v>83583395677</v>
      </c>
      <c r="O170" s="232">
        <f t="shared" si="185"/>
        <v>0</v>
      </c>
      <c r="P170" s="232">
        <f t="shared" si="185"/>
        <v>0</v>
      </c>
      <c r="Q170" s="232">
        <f t="shared" si="185"/>
        <v>0</v>
      </c>
      <c r="R170" s="232">
        <f t="shared" si="185"/>
        <v>0</v>
      </c>
      <c r="S170" s="232">
        <f t="shared" si="185"/>
        <v>40000000000</v>
      </c>
      <c r="T170" s="232">
        <f t="shared" si="185"/>
        <v>43583395677</v>
      </c>
      <c r="U170" s="232">
        <f t="shared" si="185"/>
        <v>39020134289</v>
      </c>
      <c r="V170" s="232">
        <f t="shared" si="185"/>
        <v>4563261388</v>
      </c>
      <c r="W170" s="233">
        <f t="shared" si="156"/>
        <v>0.89529816763662262</v>
      </c>
      <c r="X170" s="232">
        <f t="shared" ref="X170:Y170" si="186">+X175+X177+X173+X171</f>
        <v>2603315618</v>
      </c>
      <c r="Y170" s="232">
        <f t="shared" si="186"/>
        <v>36416818671</v>
      </c>
      <c r="Z170" s="233">
        <f t="shared" si="162"/>
        <v>0.93328276118378484</v>
      </c>
      <c r="AA170" s="232">
        <f t="shared" ref="AA170:AB170" si="187">+AA175+AA177+AA173+AA171</f>
        <v>2603315618</v>
      </c>
      <c r="AB170" s="232">
        <f t="shared" si="187"/>
        <v>0</v>
      </c>
      <c r="AC170" s="233">
        <f t="shared" si="146"/>
        <v>6.6717238816215191E-2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s="90" customFormat="1" ht="24.95" customHeight="1">
      <c r="A171" s="32" t="str">
        <f t="shared" si="142"/>
        <v>C-4103-1500-17-0-4103005=11</v>
      </c>
      <c r="B171" s="210" t="str">
        <f>CONCATENATE(C171,"-",D171,"-",E171,"-",F171,"-",G171,"-",H171)</f>
        <v>C-4103-1500-17-0-4103005</v>
      </c>
      <c r="C171" s="211" t="s">
        <v>167</v>
      </c>
      <c r="D171" s="212" t="s">
        <v>190</v>
      </c>
      <c r="E171" s="212" t="s">
        <v>172</v>
      </c>
      <c r="F171" s="212" t="s">
        <v>217</v>
      </c>
      <c r="G171" s="212" t="s">
        <v>175</v>
      </c>
      <c r="H171" s="212" t="s">
        <v>219</v>
      </c>
      <c r="I171" s="212"/>
      <c r="J171" s="212"/>
      <c r="K171" s="213">
        <v>11</v>
      </c>
      <c r="L171" s="214" t="s">
        <v>29</v>
      </c>
      <c r="M171" s="210" t="s">
        <v>220</v>
      </c>
      <c r="N171" s="215">
        <f>N172</f>
        <v>24060301659</v>
      </c>
      <c r="O171" s="215">
        <f t="shared" ref="O171:AB171" si="188">O172</f>
        <v>0</v>
      </c>
      <c r="P171" s="215">
        <f t="shared" si="188"/>
        <v>0</v>
      </c>
      <c r="Q171" s="215">
        <f t="shared" si="188"/>
        <v>0</v>
      </c>
      <c r="R171" s="215">
        <f t="shared" si="188"/>
        <v>0</v>
      </c>
      <c r="S171" s="215">
        <f t="shared" si="188"/>
        <v>5805513391</v>
      </c>
      <c r="T171" s="215">
        <f t="shared" si="188"/>
        <v>18254788268</v>
      </c>
      <c r="U171" s="215">
        <f t="shared" si="188"/>
        <v>14024132995</v>
      </c>
      <c r="V171" s="215">
        <f t="shared" si="188"/>
        <v>4230655273</v>
      </c>
      <c r="W171" s="216">
        <f t="shared" si="156"/>
        <v>0.76824407871023137</v>
      </c>
      <c r="X171" s="215">
        <f t="shared" si="188"/>
        <v>655986147</v>
      </c>
      <c r="Y171" s="215">
        <f t="shared" si="188"/>
        <v>13368146848</v>
      </c>
      <c r="Z171" s="216">
        <f t="shared" si="162"/>
        <v>0.95322447760343709</v>
      </c>
      <c r="AA171" s="215">
        <f t="shared" si="188"/>
        <v>655986147</v>
      </c>
      <c r="AB171" s="215">
        <f t="shared" si="188"/>
        <v>0</v>
      </c>
      <c r="AC171" s="216">
        <f t="shared" si="146"/>
        <v>4.6775522396562956E-2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s="90" customFormat="1" ht="24.95" customHeight="1">
      <c r="A172" s="32" t="str">
        <f t="shared" si="142"/>
        <v>C-4103-1500-17-0-4103005-02=11</v>
      </c>
      <c r="B172" s="217" t="str">
        <f>CONCATENATE(C172,"-",D172,"-",E172,"-",F172,"-",G172,"-",H172,"-",I172)</f>
        <v>C-4103-1500-17-0-4103005-02</v>
      </c>
      <c r="C172" s="266" t="s">
        <v>167</v>
      </c>
      <c r="D172" s="267" t="s">
        <v>190</v>
      </c>
      <c r="E172" s="267" t="s">
        <v>172</v>
      </c>
      <c r="F172" s="267" t="s">
        <v>217</v>
      </c>
      <c r="G172" s="267" t="s">
        <v>175</v>
      </c>
      <c r="H172" s="267" t="s">
        <v>219</v>
      </c>
      <c r="I172" s="267" t="s">
        <v>54</v>
      </c>
      <c r="J172" s="267"/>
      <c r="K172" s="268">
        <v>11</v>
      </c>
      <c r="L172" s="269" t="s">
        <v>29</v>
      </c>
      <c r="M172" s="259" t="s">
        <v>178</v>
      </c>
      <c r="N172" s="222">
        <v>24060301659</v>
      </c>
      <c r="O172" s="222"/>
      <c r="P172" s="222"/>
      <c r="Q172" s="222"/>
      <c r="R172" s="222"/>
      <c r="S172" s="222">
        <v>5805513391</v>
      </c>
      <c r="T172" s="222">
        <f>+N172-S172+O172-P172+Q172-R172</f>
        <v>18254788268</v>
      </c>
      <c r="U172" s="222">
        <v>14024132995</v>
      </c>
      <c r="V172" s="222">
        <f>+T172-U172</f>
        <v>4230655273</v>
      </c>
      <c r="W172" s="224">
        <f t="shared" si="156"/>
        <v>0.76824407871023137</v>
      </c>
      <c r="X172" s="222">
        <v>655986147</v>
      </c>
      <c r="Y172" s="222">
        <f>+U172-X172</f>
        <v>13368146848</v>
      </c>
      <c r="Z172" s="224">
        <f t="shared" si="162"/>
        <v>0.95322447760343709</v>
      </c>
      <c r="AA172" s="222">
        <v>655986147</v>
      </c>
      <c r="AB172" s="222">
        <f>+X172-AA172</f>
        <v>0</v>
      </c>
      <c r="AC172" s="224">
        <f t="shared" si="146"/>
        <v>4.6775522396562956E-2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s="90" customFormat="1" ht="33">
      <c r="A173" s="32" t="str">
        <f t="shared" si="142"/>
        <v>C-4103-1500-17-0-4103057=11</v>
      </c>
      <c r="B173" s="210" t="str">
        <f>CONCATENATE(C173,"-",D173,"-",E173,"-",F173,"-",G173,"-",H173)</f>
        <v>C-4103-1500-17-0-4103057</v>
      </c>
      <c r="C173" s="211" t="s">
        <v>167</v>
      </c>
      <c r="D173" s="212" t="s">
        <v>190</v>
      </c>
      <c r="E173" s="212" t="s">
        <v>172</v>
      </c>
      <c r="F173" s="212" t="s">
        <v>217</v>
      </c>
      <c r="G173" s="212" t="s">
        <v>175</v>
      </c>
      <c r="H173" s="212" t="s">
        <v>221</v>
      </c>
      <c r="I173" s="212"/>
      <c r="J173" s="212"/>
      <c r="K173" s="213">
        <v>11</v>
      </c>
      <c r="L173" s="214" t="s">
        <v>29</v>
      </c>
      <c r="M173" s="210" t="s">
        <v>222</v>
      </c>
      <c r="N173" s="215">
        <f t="shared" ref="N173:V173" si="189">SUM(N174:N174)</f>
        <v>45582352481</v>
      </c>
      <c r="O173" s="215">
        <f t="shared" si="189"/>
        <v>0</v>
      </c>
      <c r="P173" s="215">
        <f t="shared" si="189"/>
        <v>0</v>
      </c>
      <c r="Q173" s="215">
        <f t="shared" si="189"/>
        <v>0</v>
      </c>
      <c r="R173" s="215">
        <f t="shared" si="189"/>
        <v>0</v>
      </c>
      <c r="S173" s="215">
        <f t="shared" si="189"/>
        <v>24481010129</v>
      </c>
      <c r="T173" s="215">
        <f t="shared" si="189"/>
        <v>21101342352</v>
      </c>
      <c r="U173" s="215">
        <f t="shared" si="189"/>
        <v>21101342352</v>
      </c>
      <c r="V173" s="215">
        <f t="shared" si="189"/>
        <v>0</v>
      </c>
      <c r="W173" s="216">
        <f t="shared" si="156"/>
        <v>1</v>
      </c>
      <c r="X173" s="215">
        <f t="shared" ref="X173:Y173" si="190">SUM(X174:X174)</f>
        <v>0</v>
      </c>
      <c r="Y173" s="215">
        <f t="shared" si="190"/>
        <v>21101342352</v>
      </c>
      <c r="Z173" s="216">
        <f t="shared" si="162"/>
        <v>1</v>
      </c>
      <c r="AA173" s="215">
        <f t="shared" ref="AA173:AB173" si="191">SUM(AA174:AA174)</f>
        <v>0</v>
      </c>
      <c r="AB173" s="215">
        <f t="shared" si="191"/>
        <v>0</v>
      </c>
      <c r="AC173" s="216">
        <f t="shared" si="146"/>
        <v>0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s="90" customFormat="1" ht="24.95" customHeight="1">
      <c r="A174" s="32" t="str">
        <f t="shared" si="142"/>
        <v>C-4103-1500-17-0-4103057-03=11</v>
      </c>
      <c r="B174" s="217" t="str">
        <f>CONCATENATE(C174,"-",D174,"-",E174,"-",F174,"-",G174,"-",H174,"-",I174)</f>
        <v>C-4103-1500-17-0-4103057-03</v>
      </c>
      <c r="C174" s="266" t="s">
        <v>167</v>
      </c>
      <c r="D174" s="267" t="s">
        <v>190</v>
      </c>
      <c r="E174" s="267" t="s">
        <v>172</v>
      </c>
      <c r="F174" s="267" t="s">
        <v>217</v>
      </c>
      <c r="G174" s="267" t="s">
        <v>175</v>
      </c>
      <c r="H174" s="267" t="s">
        <v>221</v>
      </c>
      <c r="I174" s="274" t="s">
        <v>65</v>
      </c>
      <c r="J174" s="267"/>
      <c r="K174" s="268">
        <v>11</v>
      </c>
      <c r="L174" s="269" t="s">
        <v>29</v>
      </c>
      <c r="M174" s="259" t="s">
        <v>127</v>
      </c>
      <c r="N174" s="222">
        <v>45582352481</v>
      </c>
      <c r="O174" s="222"/>
      <c r="P174" s="222"/>
      <c r="Q174" s="222"/>
      <c r="R174" s="222"/>
      <c r="S174" s="222">
        <v>24481010129</v>
      </c>
      <c r="T174" s="222">
        <f>+N174-S174+O174-P174+Q174-R174</f>
        <v>21101342352</v>
      </c>
      <c r="U174" s="222">
        <v>21101342352</v>
      </c>
      <c r="V174" s="222">
        <f>+T174-U174</f>
        <v>0</v>
      </c>
      <c r="W174" s="224">
        <f t="shared" si="156"/>
        <v>1</v>
      </c>
      <c r="X174" s="222">
        <v>0</v>
      </c>
      <c r="Y174" s="222">
        <f>+U174-X174</f>
        <v>21101342352</v>
      </c>
      <c r="Z174" s="224">
        <f t="shared" si="162"/>
        <v>1</v>
      </c>
      <c r="AA174" s="222">
        <v>0</v>
      </c>
      <c r="AB174" s="222">
        <f>+X174-AA174</f>
        <v>0</v>
      </c>
      <c r="AC174" s="224">
        <f t="shared" si="146"/>
        <v>0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33">
      <c r="A175" s="32" t="str">
        <f t="shared" si="142"/>
        <v>C-4103-1500-17-0-4103058=11</v>
      </c>
      <c r="B175" s="210" t="str">
        <f>CONCATENATE(C175,"-",D175,"-",E175,"-",F175,"-",G175,"-",H175)</f>
        <v>C-4103-1500-17-0-4103058</v>
      </c>
      <c r="C175" s="211" t="s">
        <v>167</v>
      </c>
      <c r="D175" s="212" t="s">
        <v>190</v>
      </c>
      <c r="E175" s="212" t="s">
        <v>172</v>
      </c>
      <c r="F175" s="212" t="s">
        <v>217</v>
      </c>
      <c r="G175" s="212" t="s">
        <v>175</v>
      </c>
      <c r="H175" s="212" t="s">
        <v>223</v>
      </c>
      <c r="I175" s="212"/>
      <c r="J175" s="212"/>
      <c r="K175" s="213">
        <v>11</v>
      </c>
      <c r="L175" s="214" t="s">
        <v>29</v>
      </c>
      <c r="M175" s="210" t="s">
        <v>224</v>
      </c>
      <c r="N175" s="215">
        <f t="shared" ref="N175:V175" si="192">SUM(N176:N176)</f>
        <v>12632794125</v>
      </c>
      <c r="O175" s="215">
        <f t="shared" si="192"/>
        <v>0</v>
      </c>
      <c r="P175" s="215">
        <f t="shared" si="192"/>
        <v>0</v>
      </c>
      <c r="Q175" s="215">
        <f t="shared" si="192"/>
        <v>0</v>
      </c>
      <c r="R175" s="215">
        <f t="shared" si="192"/>
        <v>0</v>
      </c>
      <c r="S175" s="215">
        <f t="shared" si="192"/>
        <v>9713476480</v>
      </c>
      <c r="T175" s="215">
        <f t="shared" si="192"/>
        <v>2919317645</v>
      </c>
      <c r="U175" s="215">
        <f t="shared" si="192"/>
        <v>2919317645</v>
      </c>
      <c r="V175" s="215">
        <f t="shared" si="192"/>
        <v>0</v>
      </c>
      <c r="W175" s="216">
        <f t="shared" si="156"/>
        <v>1</v>
      </c>
      <c r="X175" s="215">
        <f t="shared" ref="X175:Y175" si="193">SUM(X176:X176)</f>
        <v>971988174</v>
      </c>
      <c r="Y175" s="215">
        <f t="shared" si="193"/>
        <v>1947329471</v>
      </c>
      <c r="Z175" s="216">
        <f t="shared" si="162"/>
        <v>0.66704953273421541</v>
      </c>
      <c r="AA175" s="215">
        <f t="shared" ref="AA175:AB175" si="194">SUM(AA176:AA176)</f>
        <v>971988174</v>
      </c>
      <c r="AB175" s="215">
        <f t="shared" si="194"/>
        <v>0</v>
      </c>
      <c r="AC175" s="216">
        <f t="shared" si="146"/>
        <v>0.33295046726578464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24.95" customHeight="1">
      <c r="A176" s="32" t="str">
        <f t="shared" si="142"/>
        <v>C-4103-1500-17-0-4103058-02=11</v>
      </c>
      <c r="B176" s="217" t="str">
        <f>CONCATENATE(C176,"-",D176,"-",E176,"-",F176,"-",G176,"-",H176,"-",I176)</f>
        <v>C-4103-1500-17-0-4103058-02</v>
      </c>
      <c r="C176" s="266" t="s">
        <v>167</v>
      </c>
      <c r="D176" s="267" t="s">
        <v>190</v>
      </c>
      <c r="E176" s="267" t="s">
        <v>172</v>
      </c>
      <c r="F176" s="267" t="s">
        <v>217</v>
      </c>
      <c r="G176" s="267" t="s">
        <v>175</v>
      </c>
      <c r="H176" s="267" t="s">
        <v>223</v>
      </c>
      <c r="I176" s="267" t="s">
        <v>54</v>
      </c>
      <c r="J176" s="267"/>
      <c r="K176" s="268">
        <v>11</v>
      </c>
      <c r="L176" s="269" t="s">
        <v>29</v>
      </c>
      <c r="M176" s="259" t="s">
        <v>178</v>
      </c>
      <c r="N176" s="222">
        <v>12632794125</v>
      </c>
      <c r="O176" s="222"/>
      <c r="P176" s="222"/>
      <c r="Q176" s="223"/>
      <c r="R176" s="222"/>
      <c r="S176" s="222">
        <v>9713476480</v>
      </c>
      <c r="T176" s="222">
        <f>+N176-S176+O176-P176+Q176-R176</f>
        <v>2919317645</v>
      </c>
      <c r="U176" s="222">
        <v>2919317645</v>
      </c>
      <c r="V176" s="222">
        <f t="shared" ref="V176" si="195">+T176-U176</f>
        <v>0</v>
      </c>
      <c r="W176" s="224">
        <f t="shared" si="156"/>
        <v>1</v>
      </c>
      <c r="X176" s="222">
        <v>971988174</v>
      </c>
      <c r="Y176" s="222">
        <f t="shared" ref="Y176" si="196">+U176-X176</f>
        <v>1947329471</v>
      </c>
      <c r="Z176" s="224">
        <f t="shared" si="162"/>
        <v>0.66704953273421541</v>
      </c>
      <c r="AA176" s="222">
        <v>971988174</v>
      </c>
      <c r="AB176" s="222">
        <f t="shared" ref="AB176" si="197">+X176-AA176</f>
        <v>0</v>
      </c>
      <c r="AC176" s="224">
        <f t="shared" si="146"/>
        <v>0.33295046726578464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33">
      <c r="A177" s="32" t="str">
        <f t="shared" si="142"/>
        <v>C-4103-1500-17-0-4103059=11</v>
      </c>
      <c r="B177" s="210" t="str">
        <f>CONCATENATE(C177,"-",D177,"-",E177,"-",F177,"-",G177,"-",H177)</f>
        <v>C-4103-1500-17-0-4103059</v>
      </c>
      <c r="C177" s="211" t="s">
        <v>167</v>
      </c>
      <c r="D177" s="212" t="s">
        <v>190</v>
      </c>
      <c r="E177" s="212" t="s">
        <v>172</v>
      </c>
      <c r="F177" s="212" t="s">
        <v>217</v>
      </c>
      <c r="G177" s="212" t="s">
        <v>175</v>
      </c>
      <c r="H177" s="212" t="s">
        <v>225</v>
      </c>
      <c r="I177" s="212"/>
      <c r="J177" s="212"/>
      <c r="K177" s="213">
        <v>11</v>
      </c>
      <c r="L177" s="214" t="s">
        <v>29</v>
      </c>
      <c r="M177" s="210" t="s">
        <v>226</v>
      </c>
      <c r="N177" s="215">
        <f>SUM(N178:N178)</f>
        <v>1307947412</v>
      </c>
      <c r="O177" s="215">
        <f t="shared" ref="O177:V177" si="198">SUM(O178:O178)</f>
        <v>0</v>
      </c>
      <c r="P177" s="215">
        <f t="shared" si="198"/>
        <v>0</v>
      </c>
      <c r="Q177" s="215">
        <f t="shared" si="198"/>
        <v>0</v>
      </c>
      <c r="R177" s="215">
        <f t="shared" si="198"/>
        <v>0</v>
      </c>
      <c r="S177" s="215">
        <f t="shared" si="198"/>
        <v>0</v>
      </c>
      <c r="T177" s="215">
        <f t="shared" si="198"/>
        <v>1307947412</v>
      </c>
      <c r="U177" s="215">
        <f t="shared" si="198"/>
        <v>975341297</v>
      </c>
      <c r="V177" s="215">
        <f t="shared" si="198"/>
        <v>332606115</v>
      </c>
      <c r="W177" s="216">
        <f t="shared" si="156"/>
        <v>0.74570375540450251</v>
      </c>
      <c r="X177" s="215">
        <f t="shared" ref="X177:Y177" si="199">SUM(X178:X178)</f>
        <v>975341297</v>
      </c>
      <c r="Y177" s="215">
        <f t="shared" si="199"/>
        <v>0</v>
      </c>
      <c r="Z177" s="216">
        <f t="shared" si="162"/>
        <v>0</v>
      </c>
      <c r="AA177" s="215">
        <f t="shared" ref="AA177:AB177" si="200">SUM(AA178:AA178)</f>
        <v>975341297</v>
      </c>
      <c r="AB177" s="215">
        <f t="shared" si="200"/>
        <v>0</v>
      </c>
      <c r="AC177" s="216">
        <f t="shared" si="146"/>
        <v>1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24.95" customHeight="1">
      <c r="A178" s="32" t="str">
        <f t="shared" si="142"/>
        <v>C-4103-1500-17-0-4103059-02=11</v>
      </c>
      <c r="B178" s="217" t="str">
        <f>CONCATENATE(C178,"-",D178,"-",E178,"-",F178,"-",G178,"-",H178,"-",I178)</f>
        <v>C-4103-1500-17-0-4103059-02</v>
      </c>
      <c r="C178" s="266" t="s">
        <v>167</v>
      </c>
      <c r="D178" s="267" t="s">
        <v>190</v>
      </c>
      <c r="E178" s="267" t="s">
        <v>172</v>
      </c>
      <c r="F178" s="267" t="s">
        <v>217</v>
      </c>
      <c r="G178" s="267" t="s">
        <v>175</v>
      </c>
      <c r="H178" s="267" t="s">
        <v>225</v>
      </c>
      <c r="I178" s="267" t="s">
        <v>54</v>
      </c>
      <c r="J178" s="267"/>
      <c r="K178" s="268">
        <v>11</v>
      </c>
      <c r="L178" s="269" t="s">
        <v>29</v>
      </c>
      <c r="M178" s="259" t="s">
        <v>178</v>
      </c>
      <c r="N178" s="222">
        <v>1307947412</v>
      </c>
      <c r="O178" s="222"/>
      <c r="P178" s="222"/>
      <c r="Q178" s="222"/>
      <c r="R178" s="222"/>
      <c r="S178" s="222"/>
      <c r="T178" s="222">
        <f>+N178-S178+O178-P178+Q178-R178</f>
        <v>1307947412</v>
      </c>
      <c r="U178" s="222">
        <v>975341297</v>
      </c>
      <c r="V178" s="222">
        <f t="shared" si="111"/>
        <v>332606115</v>
      </c>
      <c r="W178" s="224">
        <f t="shared" si="156"/>
        <v>0.74570375540450251</v>
      </c>
      <c r="X178" s="222">
        <v>975341297</v>
      </c>
      <c r="Y178" s="222">
        <f t="shared" si="120"/>
        <v>0</v>
      </c>
      <c r="Z178" s="224">
        <f t="shared" si="162"/>
        <v>0</v>
      </c>
      <c r="AA178" s="222">
        <v>975341297</v>
      </c>
      <c r="AB178" s="222">
        <f t="shared" si="112"/>
        <v>0</v>
      </c>
      <c r="AC178" s="224">
        <f t="shared" si="146"/>
        <v>1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49.5">
      <c r="A179" s="32" t="str">
        <f t="shared" si="142"/>
        <v>C-4103-1500-18=</v>
      </c>
      <c r="B179" s="226" t="str">
        <f>CONCATENATE(C179,"-",D179,"-",E179,"-",F179)</f>
        <v>C-4103-1500-18</v>
      </c>
      <c r="C179" s="227" t="s">
        <v>167</v>
      </c>
      <c r="D179" s="228" t="s">
        <v>190</v>
      </c>
      <c r="E179" s="228" t="s">
        <v>172</v>
      </c>
      <c r="F179" s="228">
        <v>18</v>
      </c>
      <c r="G179" s="228"/>
      <c r="H179" s="228"/>
      <c r="I179" s="228"/>
      <c r="J179" s="228"/>
      <c r="K179" s="229"/>
      <c r="L179" s="230"/>
      <c r="M179" s="231" t="s">
        <v>284</v>
      </c>
      <c r="N179" s="232">
        <f>+N180</f>
        <v>70125561842</v>
      </c>
      <c r="O179" s="232">
        <f t="shared" ref="O179:AB179" si="201">+O180</f>
        <v>0</v>
      </c>
      <c r="P179" s="232">
        <f t="shared" si="201"/>
        <v>0</v>
      </c>
      <c r="Q179" s="232">
        <f t="shared" si="201"/>
        <v>0</v>
      </c>
      <c r="R179" s="232">
        <f t="shared" si="201"/>
        <v>0</v>
      </c>
      <c r="S179" s="232">
        <f t="shared" si="201"/>
        <v>60000000000</v>
      </c>
      <c r="T179" s="232">
        <f t="shared" si="201"/>
        <v>10125561842</v>
      </c>
      <c r="U179" s="232">
        <f t="shared" si="201"/>
        <v>3780097023.9200001</v>
      </c>
      <c r="V179" s="232">
        <f t="shared" si="201"/>
        <v>6345464818.0799999</v>
      </c>
      <c r="W179" s="233">
        <f t="shared" si="156"/>
        <v>0.37332220008182337</v>
      </c>
      <c r="X179" s="232">
        <f t="shared" si="201"/>
        <v>1007905792.38</v>
      </c>
      <c r="Y179" s="232">
        <f t="shared" si="201"/>
        <v>2772191231.54</v>
      </c>
      <c r="Z179" s="233">
        <f t="shared" si="162"/>
        <v>0.73336509988974008</v>
      </c>
      <c r="AA179" s="232">
        <f t="shared" si="201"/>
        <v>1007905792.38</v>
      </c>
      <c r="AB179" s="232">
        <f t="shared" si="201"/>
        <v>0</v>
      </c>
      <c r="AC179" s="233">
        <f t="shared" si="146"/>
        <v>0.26663490011025992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33">
      <c r="A180" s="32" t="str">
        <f t="shared" si="142"/>
        <v>C-4103-1500-18-0-4103050=11</v>
      </c>
      <c r="B180" s="210" t="str">
        <f>CONCATENATE(C180,"-",D180,"-",E180,"-",F180,"-",G180,"-",H180)</f>
        <v>C-4103-1500-18-0-4103050</v>
      </c>
      <c r="C180" s="211" t="s">
        <v>167</v>
      </c>
      <c r="D180" s="212" t="s">
        <v>190</v>
      </c>
      <c r="E180" s="212" t="s">
        <v>172</v>
      </c>
      <c r="F180" s="212">
        <v>18</v>
      </c>
      <c r="G180" s="212" t="s">
        <v>175</v>
      </c>
      <c r="H180" s="212">
        <v>4103050</v>
      </c>
      <c r="I180" s="212"/>
      <c r="J180" s="212"/>
      <c r="K180" s="213">
        <v>11</v>
      </c>
      <c r="L180" s="214" t="s">
        <v>29</v>
      </c>
      <c r="M180" s="210" t="s">
        <v>269</v>
      </c>
      <c r="N180" s="215">
        <f>N181</f>
        <v>70125561842</v>
      </c>
      <c r="O180" s="215">
        <f t="shared" ref="O180:AB180" si="202">O181</f>
        <v>0</v>
      </c>
      <c r="P180" s="215">
        <f t="shared" si="202"/>
        <v>0</v>
      </c>
      <c r="Q180" s="215">
        <f t="shared" si="202"/>
        <v>0</v>
      </c>
      <c r="R180" s="215">
        <f t="shared" si="202"/>
        <v>0</v>
      </c>
      <c r="S180" s="215">
        <f t="shared" si="202"/>
        <v>60000000000</v>
      </c>
      <c r="T180" s="215">
        <f t="shared" si="202"/>
        <v>10125561842</v>
      </c>
      <c r="U180" s="215">
        <f t="shared" si="202"/>
        <v>3780097023.9200001</v>
      </c>
      <c r="V180" s="215">
        <f t="shared" si="202"/>
        <v>6345464818.0799999</v>
      </c>
      <c r="W180" s="216">
        <f t="shared" si="156"/>
        <v>0.37332220008182337</v>
      </c>
      <c r="X180" s="215">
        <f t="shared" si="202"/>
        <v>1007905792.38</v>
      </c>
      <c r="Y180" s="215">
        <f t="shared" si="202"/>
        <v>2772191231.54</v>
      </c>
      <c r="Z180" s="216">
        <f t="shared" si="162"/>
        <v>0.73336509988974008</v>
      </c>
      <c r="AA180" s="215">
        <f t="shared" si="202"/>
        <v>1007905792.38</v>
      </c>
      <c r="AB180" s="215">
        <f t="shared" si="202"/>
        <v>0</v>
      </c>
      <c r="AC180" s="216">
        <f t="shared" si="146"/>
        <v>0.26663490011025992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customHeight="1">
      <c r="A181" s="32" t="str">
        <f t="shared" si="142"/>
        <v>C-4103-1500-18-0-4103050-02=11</v>
      </c>
      <c r="B181" s="217" t="str">
        <f>CONCATENATE(C181,"-",D181,"-",E181,"-",F181,"-",G181,"-",H181,"-",I181)</f>
        <v>C-4103-1500-18-0-4103050-02</v>
      </c>
      <c r="C181" s="266" t="s">
        <v>167</v>
      </c>
      <c r="D181" s="267" t="s">
        <v>190</v>
      </c>
      <c r="E181" s="267" t="s">
        <v>172</v>
      </c>
      <c r="F181" s="267">
        <v>18</v>
      </c>
      <c r="G181" s="267" t="s">
        <v>175</v>
      </c>
      <c r="H181" s="267">
        <v>4103050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>
        <v>70125561842</v>
      </c>
      <c r="O181" s="222"/>
      <c r="P181" s="222"/>
      <c r="Q181" s="222"/>
      <c r="R181" s="222"/>
      <c r="S181" s="222">
        <v>60000000000</v>
      </c>
      <c r="T181" s="222">
        <f>+N181-S181+O181-P181+Q181-R181</f>
        <v>10125561842</v>
      </c>
      <c r="U181" s="222">
        <v>3780097023.9200001</v>
      </c>
      <c r="V181" s="222">
        <f>+T181-U181</f>
        <v>6345464818.0799999</v>
      </c>
      <c r="W181" s="224">
        <f t="shared" si="156"/>
        <v>0.37332220008182337</v>
      </c>
      <c r="X181" s="222">
        <v>1007905792.38</v>
      </c>
      <c r="Y181" s="222">
        <f>+U181-X181</f>
        <v>2772191231.54</v>
      </c>
      <c r="Z181" s="224">
        <f t="shared" si="162"/>
        <v>0.73336509988974008</v>
      </c>
      <c r="AA181" s="222">
        <v>1007905792.38</v>
      </c>
      <c r="AB181" s="222">
        <f>+X181-AA181</f>
        <v>0</v>
      </c>
      <c r="AC181" s="224">
        <f t="shared" si="146"/>
        <v>0.26663490011025992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33">
      <c r="A182" s="32" t="str">
        <f t="shared" si="142"/>
        <v>C-4103-1500-19=</v>
      </c>
      <c r="B182" s="226" t="str">
        <f>CONCATENATE(C182,"-",D182,"-",E182,"-",F182)</f>
        <v>C-4103-1500-19</v>
      </c>
      <c r="C182" s="227" t="s">
        <v>167</v>
      </c>
      <c r="D182" s="228" t="s">
        <v>190</v>
      </c>
      <c r="E182" s="228" t="s">
        <v>172</v>
      </c>
      <c r="F182" s="228">
        <v>19</v>
      </c>
      <c r="G182" s="228"/>
      <c r="H182" s="228"/>
      <c r="I182" s="228"/>
      <c r="J182" s="228"/>
      <c r="K182" s="229"/>
      <c r="L182" s="230"/>
      <c r="M182" s="231" t="s">
        <v>285</v>
      </c>
      <c r="N182" s="232">
        <f>+N183+N185+N187</f>
        <v>11281479935</v>
      </c>
      <c r="O182" s="232">
        <f t="shared" ref="O182:V182" si="203">+O183+O185+O187</f>
        <v>0</v>
      </c>
      <c r="P182" s="232">
        <f t="shared" si="203"/>
        <v>0</v>
      </c>
      <c r="Q182" s="232">
        <f t="shared" si="203"/>
        <v>114769224</v>
      </c>
      <c r="R182" s="232">
        <f t="shared" si="203"/>
        <v>114769224</v>
      </c>
      <c r="S182" s="232">
        <f t="shared" si="203"/>
        <v>0</v>
      </c>
      <c r="T182" s="232">
        <f t="shared" si="203"/>
        <v>11281479935</v>
      </c>
      <c r="U182" s="232">
        <f t="shared" si="203"/>
        <v>5053695456.0500002</v>
      </c>
      <c r="V182" s="232">
        <f t="shared" si="203"/>
        <v>6227784478.9499998</v>
      </c>
      <c r="W182" s="233">
        <f t="shared" si="156"/>
        <v>0.44796387399238857</v>
      </c>
      <c r="X182" s="232">
        <f t="shared" ref="X182:AB182" si="204">+X183+X185+X187</f>
        <v>644948096</v>
      </c>
      <c r="Y182" s="232">
        <f t="shared" si="204"/>
        <v>4408747360.0500002</v>
      </c>
      <c r="Z182" s="233">
        <f t="shared" si="162"/>
        <v>0.87238089401926577</v>
      </c>
      <c r="AA182" s="232">
        <f t="shared" si="204"/>
        <v>576146312</v>
      </c>
      <c r="AB182" s="232">
        <f t="shared" si="204"/>
        <v>68801784</v>
      </c>
      <c r="AC182" s="233">
        <f t="shared" si="146"/>
        <v>0.11400495281334573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33">
      <c r="A183" s="32" t="str">
        <f t="shared" si="142"/>
        <v>C-4103-1500-19-0-4103049=11</v>
      </c>
      <c r="B183" s="210" t="str">
        <f>CONCATENATE(C183,"-",D183,"-",E183,"-",F183,"-",G183,"-",H183)</f>
        <v>C-4103-1500-19-0-4103049</v>
      </c>
      <c r="C183" s="211" t="s">
        <v>167</v>
      </c>
      <c r="D183" s="212" t="s">
        <v>190</v>
      </c>
      <c r="E183" s="212" t="s">
        <v>172</v>
      </c>
      <c r="F183" s="212">
        <v>19</v>
      </c>
      <c r="G183" s="212" t="s">
        <v>175</v>
      </c>
      <c r="H183" s="212">
        <v>4103049</v>
      </c>
      <c r="I183" s="212"/>
      <c r="J183" s="212"/>
      <c r="K183" s="213">
        <v>11</v>
      </c>
      <c r="L183" s="214" t="s">
        <v>29</v>
      </c>
      <c r="M183" s="210" t="s">
        <v>228</v>
      </c>
      <c r="N183" s="215">
        <f>N184</f>
        <v>218772000</v>
      </c>
      <c r="O183" s="215">
        <f t="shared" ref="O183:AB187" si="205">O184</f>
        <v>0</v>
      </c>
      <c r="P183" s="215">
        <f t="shared" si="205"/>
        <v>0</v>
      </c>
      <c r="Q183" s="215">
        <f t="shared" si="205"/>
        <v>114769224</v>
      </c>
      <c r="R183" s="215">
        <f t="shared" si="205"/>
        <v>0</v>
      </c>
      <c r="S183" s="215">
        <f t="shared" si="205"/>
        <v>0</v>
      </c>
      <c r="T183" s="215">
        <f t="shared" si="205"/>
        <v>333541224</v>
      </c>
      <c r="U183" s="215">
        <f t="shared" si="205"/>
        <v>227159834</v>
      </c>
      <c r="V183" s="215">
        <f t="shared" si="205"/>
        <v>106381390</v>
      </c>
      <c r="W183" s="216">
        <f t="shared" si="156"/>
        <v>0.68105474722368953</v>
      </c>
      <c r="X183" s="215">
        <f t="shared" si="205"/>
        <v>40906784</v>
      </c>
      <c r="Y183" s="215">
        <f t="shared" si="205"/>
        <v>186253050</v>
      </c>
      <c r="Z183" s="216">
        <f t="shared" si="162"/>
        <v>0.81992069953704927</v>
      </c>
      <c r="AA183" s="215">
        <f t="shared" si="205"/>
        <v>40906784</v>
      </c>
      <c r="AB183" s="215">
        <f t="shared" si="205"/>
        <v>0</v>
      </c>
      <c r="AC183" s="216">
        <f t="shared" si="146"/>
        <v>0.18007930046295068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24.95" customHeight="1">
      <c r="A184" s="32" t="str">
        <f t="shared" si="142"/>
        <v>C-4103-1500-19-0-4103049-02=11</v>
      </c>
      <c r="B184" s="217" t="str">
        <f>CONCATENATE(C184,"-",D184,"-",E184,"-",F184,"-",G184,"-",H184,"-",I184)</f>
        <v>C-4103-1500-19-0-4103049-02</v>
      </c>
      <c r="C184" s="266" t="s">
        <v>167</v>
      </c>
      <c r="D184" s="267" t="s">
        <v>190</v>
      </c>
      <c r="E184" s="267" t="s">
        <v>172</v>
      </c>
      <c r="F184" s="267">
        <v>19</v>
      </c>
      <c r="G184" s="267" t="s">
        <v>175</v>
      </c>
      <c r="H184" s="267">
        <v>4103049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218772000</v>
      </c>
      <c r="O184" s="222"/>
      <c r="P184" s="222"/>
      <c r="Q184" s="222">
        <v>114769224</v>
      </c>
      <c r="R184" s="222"/>
      <c r="S184" s="222"/>
      <c r="T184" s="222">
        <f>+N184-S184+O184-P184+Q184-R184</f>
        <v>333541224</v>
      </c>
      <c r="U184" s="222">
        <v>227159834</v>
      </c>
      <c r="V184" s="222">
        <f>+T184-U184</f>
        <v>106381390</v>
      </c>
      <c r="W184" s="224">
        <f t="shared" si="156"/>
        <v>0.68105474722368953</v>
      </c>
      <c r="X184" s="222">
        <v>40906784</v>
      </c>
      <c r="Y184" s="222">
        <f>+U184-X184</f>
        <v>186253050</v>
      </c>
      <c r="Z184" s="224">
        <f t="shared" si="162"/>
        <v>0.81992069953704927</v>
      </c>
      <c r="AA184" s="222">
        <v>40906784</v>
      </c>
      <c r="AB184" s="222">
        <f>+X184-AA184</f>
        <v>0</v>
      </c>
      <c r="AC184" s="224">
        <f t="shared" si="146"/>
        <v>0.18007930046295068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34.5" customHeight="1">
      <c r="A185" s="32" t="str">
        <f t="shared" si="142"/>
        <v>C-4103-1500-19-0-4103052=11</v>
      </c>
      <c r="B185" s="210" t="str">
        <f>CONCATENATE(C185,"-",D185,"-",E185,"-",F185,"-",G185,"-",H185)</f>
        <v>C-4103-1500-19-0-4103052</v>
      </c>
      <c r="C185" s="211" t="s">
        <v>167</v>
      </c>
      <c r="D185" s="212" t="s">
        <v>190</v>
      </c>
      <c r="E185" s="212" t="s">
        <v>172</v>
      </c>
      <c r="F185" s="212">
        <v>19</v>
      </c>
      <c r="G185" s="212" t="s">
        <v>175</v>
      </c>
      <c r="H185" s="212">
        <v>4103052</v>
      </c>
      <c r="I185" s="212"/>
      <c r="J185" s="212"/>
      <c r="K185" s="213">
        <v>11</v>
      </c>
      <c r="L185" s="214" t="s">
        <v>29</v>
      </c>
      <c r="M185" s="210" t="s">
        <v>229</v>
      </c>
      <c r="N185" s="215">
        <f>N186</f>
        <v>9835707936</v>
      </c>
      <c r="O185" s="215">
        <f t="shared" si="205"/>
        <v>0</v>
      </c>
      <c r="P185" s="215">
        <f t="shared" si="205"/>
        <v>0</v>
      </c>
      <c r="Q185" s="215">
        <f t="shared" si="205"/>
        <v>0</v>
      </c>
      <c r="R185" s="215">
        <f t="shared" si="205"/>
        <v>0</v>
      </c>
      <c r="S185" s="215">
        <f t="shared" si="205"/>
        <v>0</v>
      </c>
      <c r="T185" s="215">
        <f t="shared" si="205"/>
        <v>9835707936</v>
      </c>
      <c r="U185" s="215">
        <f t="shared" si="205"/>
        <v>4826535622.0500002</v>
      </c>
      <c r="V185" s="215">
        <f t="shared" si="205"/>
        <v>5009172313.9499998</v>
      </c>
      <c r="W185" s="216">
        <f t="shared" si="156"/>
        <v>0.49071563058356354</v>
      </c>
      <c r="X185" s="215">
        <f t="shared" si="205"/>
        <v>604041312</v>
      </c>
      <c r="Y185" s="215">
        <f t="shared" si="205"/>
        <v>4222494310.0500002</v>
      </c>
      <c r="Z185" s="216">
        <f t="shared" si="162"/>
        <v>0.87484992149639573</v>
      </c>
      <c r="AA185" s="215">
        <f t="shared" si="205"/>
        <v>535239528</v>
      </c>
      <c r="AB185" s="215">
        <f t="shared" si="205"/>
        <v>68801784</v>
      </c>
      <c r="AC185" s="216">
        <f t="shared" si="146"/>
        <v>0.11089517822157187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24.95" customHeight="1">
      <c r="A186" s="32" t="str">
        <f t="shared" si="142"/>
        <v>C-4103-1500-19-0-4103052-02=11</v>
      </c>
      <c r="B186" s="217" t="str">
        <f>CONCATENATE(C186,"-",D186,"-",E186,"-",F186,"-",G186,"-",H186,"-",I186)</f>
        <v>C-4103-1500-19-0-4103052-02</v>
      </c>
      <c r="C186" s="266" t="s">
        <v>167</v>
      </c>
      <c r="D186" s="267" t="s">
        <v>190</v>
      </c>
      <c r="E186" s="267" t="s">
        <v>172</v>
      </c>
      <c r="F186" s="267">
        <v>19</v>
      </c>
      <c r="G186" s="267" t="s">
        <v>175</v>
      </c>
      <c r="H186" s="267">
        <v>4103052</v>
      </c>
      <c r="I186" s="267" t="s">
        <v>54</v>
      </c>
      <c r="J186" s="267"/>
      <c r="K186" s="268">
        <v>11</v>
      </c>
      <c r="L186" s="269" t="s">
        <v>29</v>
      </c>
      <c r="M186" s="259" t="s">
        <v>178</v>
      </c>
      <c r="N186" s="222">
        <v>9835707936</v>
      </c>
      <c r="O186" s="222"/>
      <c r="P186" s="222"/>
      <c r="Q186" s="222"/>
      <c r="R186" s="222"/>
      <c r="S186" s="222"/>
      <c r="T186" s="222">
        <f>+N186-S186+O186-P186+Q186-R186</f>
        <v>9835707936</v>
      </c>
      <c r="U186" s="222">
        <v>4826535622.0500002</v>
      </c>
      <c r="V186" s="222">
        <f>+T186-U186</f>
        <v>5009172313.9499998</v>
      </c>
      <c r="W186" s="224">
        <f t="shared" si="156"/>
        <v>0.49071563058356354</v>
      </c>
      <c r="X186" s="222">
        <v>604041312</v>
      </c>
      <c r="Y186" s="222">
        <f>+U186-X186</f>
        <v>4222494310.0500002</v>
      </c>
      <c r="Z186" s="224">
        <f t="shared" si="162"/>
        <v>0.87484992149639573</v>
      </c>
      <c r="AA186" s="222">
        <v>535239528</v>
      </c>
      <c r="AB186" s="222">
        <f>+X186-AA186</f>
        <v>68801784</v>
      </c>
      <c r="AC186" s="224">
        <f t="shared" si="146"/>
        <v>0.11089517822157187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customHeight="1">
      <c r="A187" s="32" t="str">
        <f t="shared" si="142"/>
        <v>C-4103-1500-19-0-4103060=11</v>
      </c>
      <c r="B187" s="210" t="str">
        <f>CONCATENATE(C187,"-",D187,"-",E187,"-",F187,"-",G187,"-",H187)</f>
        <v>C-4103-1500-19-0-4103060</v>
      </c>
      <c r="C187" s="211" t="s">
        <v>167</v>
      </c>
      <c r="D187" s="212" t="s">
        <v>190</v>
      </c>
      <c r="E187" s="212" t="s">
        <v>172</v>
      </c>
      <c r="F187" s="212">
        <v>19</v>
      </c>
      <c r="G187" s="212" t="s">
        <v>175</v>
      </c>
      <c r="H187" s="212">
        <v>4103060</v>
      </c>
      <c r="I187" s="212"/>
      <c r="J187" s="212"/>
      <c r="K187" s="213">
        <v>11</v>
      </c>
      <c r="L187" s="214" t="s">
        <v>29</v>
      </c>
      <c r="M187" s="210" t="s">
        <v>216</v>
      </c>
      <c r="N187" s="215">
        <f>N188</f>
        <v>1226999999</v>
      </c>
      <c r="O187" s="215">
        <f t="shared" si="205"/>
        <v>0</v>
      </c>
      <c r="P187" s="215">
        <f t="shared" si="205"/>
        <v>0</v>
      </c>
      <c r="Q187" s="215">
        <f t="shared" si="205"/>
        <v>0</v>
      </c>
      <c r="R187" s="215">
        <f t="shared" si="205"/>
        <v>114769224</v>
      </c>
      <c r="S187" s="215">
        <f t="shared" si="205"/>
        <v>0</v>
      </c>
      <c r="T187" s="215">
        <f t="shared" si="205"/>
        <v>1112230775</v>
      </c>
      <c r="U187" s="215">
        <f t="shared" si="205"/>
        <v>0</v>
      </c>
      <c r="V187" s="215">
        <f t="shared" si="205"/>
        <v>1112230775</v>
      </c>
      <c r="W187" s="216">
        <f t="shared" si="156"/>
        <v>0</v>
      </c>
      <c r="X187" s="215">
        <f t="shared" si="205"/>
        <v>0</v>
      </c>
      <c r="Y187" s="215">
        <f t="shared" si="205"/>
        <v>0</v>
      </c>
      <c r="Z187" s="216">
        <f t="shared" si="162"/>
        <v>0</v>
      </c>
      <c r="AA187" s="215">
        <f t="shared" si="205"/>
        <v>0</v>
      </c>
      <c r="AB187" s="215">
        <f t="shared" si="205"/>
        <v>0</v>
      </c>
      <c r="AC187" s="216">
        <f t="shared" si="146"/>
        <v>0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24.95" customHeight="1">
      <c r="A188" s="32" t="str">
        <f t="shared" si="142"/>
        <v>C-4103-1500-19-0-4103060-02=11</v>
      </c>
      <c r="B188" s="217" t="str">
        <f>CONCATENATE(C188,"-",D188,"-",E188,"-",F188,"-",G188,"-",H188,"-",I188)</f>
        <v>C-4103-1500-19-0-4103060-02</v>
      </c>
      <c r="C188" s="266" t="s">
        <v>167</v>
      </c>
      <c r="D188" s="267" t="s">
        <v>190</v>
      </c>
      <c r="E188" s="267" t="s">
        <v>172</v>
      </c>
      <c r="F188" s="267">
        <v>19</v>
      </c>
      <c r="G188" s="267" t="s">
        <v>175</v>
      </c>
      <c r="H188" s="267">
        <v>4103060</v>
      </c>
      <c r="I188" s="267" t="s">
        <v>54</v>
      </c>
      <c r="J188" s="267"/>
      <c r="K188" s="268">
        <v>11</v>
      </c>
      <c r="L188" s="269" t="s">
        <v>29</v>
      </c>
      <c r="M188" s="259" t="s">
        <v>178</v>
      </c>
      <c r="N188" s="222">
        <v>1226999999</v>
      </c>
      <c r="O188" s="222"/>
      <c r="P188" s="222"/>
      <c r="Q188" s="222"/>
      <c r="R188" s="222">
        <v>114769224</v>
      </c>
      <c r="S188" s="222"/>
      <c r="T188" s="222">
        <f>+N188-S188+O188-P188+Q188-R188</f>
        <v>1112230775</v>
      </c>
      <c r="U188" s="222">
        <v>0</v>
      </c>
      <c r="V188" s="222">
        <f>+T188-U188</f>
        <v>1112230775</v>
      </c>
      <c r="W188" s="224">
        <f t="shared" si="156"/>
        <v>0</v>
      </c>
      <c r="X188" s="222">
        <v>0</v>
      </c>
      <c r="Y188" s="222">
        <f>+U188-X188</f>
        <v>0</v>
      </c>
      <c r="Z188" s="224">
        <f t="shared" si="162"/>
        <v>0</v>
      </c>
      <c r="AA188" s="222">
        <v>0</v>
      </c>
      <c r="AB188" s="222">
        <f>+X188-AA188</f>
        <v>0</v>
      </c>
      <c r="AC188" s="224">
        <f t="shared" si="146"/>
        <v>0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49.5">
      <c r="A189" s="32" t="str">
        <f t="shared" si="142"/>
        <v>C-4103-1500-20=</v>
      </c>
      <c r="B189" s="226" t="str">
        <f>CONCATENATE(C189,"-",D189,"-",E189,"-",F189)</f>
        <v>C-4103-1500-20</v>
      </c>
      <c r="C189" s="227" t="s">
        <v>167</v>
      </c>
      <c r="D189" s="228" t="s">
        <v>190</v>
      </c>
      <c r="E189" s="228" t="s">
        <v>172</v>
      </c>
      <c r="F189" s="228">
        <v>20</v>
      </c>
      <c r="G189" s="228"/>
      <c r="H189" s="228"/>
      <c r="I189" s="228"/>
      <c r="J189" s="228"/>
      <c r="K189" s="229"/>
      <c r="L189" s="230"/>
      <c r="M189" s="231" t="s">
        <v>286</v>
      </c>
      <c r="N189" s="232">
        <f>+N190</f>
        <v>0</v>
      </c>
      <c r="O189" s="232">
        <f t="shared" ref="O189:V189" si="206">+O190</f>
        <v>0</v>
      </c>
      <c r="P189" s="232">
        <f t="shared" si="206"/>
        <v>0</v>
      </c>
      <c r="Q189" s="232">
        <f t="shared" si="206"/>
        <v>285960800000</v>
      </c>
      <c r="R189" s="232">
        <f t="shared" si="206"/>
        <v>5960800000</v>
      </c>
      <c r="S189" s="232">
        <f t="shared" si="206"/>
        <v>0</v>
      </c>
      <c r="T189" s="232">
        <f t="shared" si="206"/>
        <v>280000000000</v>
      </c>
      <c r="U189" s="232">
        <f t="shared" si="206"/>
        <v>125589450000</v>
      </c>
      <c r="V189" s="232">
        <f t="shared" si="206"/>
        <v>154410550000</v>
      </c>
      <c r="W189" s="233">
        <f t="shared" si="156"/>
        <v>0.44853375000000001</v>
      </c>
      <c r="X189" s="232">
        <f t="shared" ref="X189:Y189" si="207">+X190</f>
        <v>104928825000</v>
      </c>
      <c r="Y189" s="232">
        <f t="shared" si="207"/>
        <v>20660625000</v>
      </c>
      <c r="Z189" s="233">
        <f t="shared" si="162"/>
        <v>0.16450924022678656</v>
      </c>
      <c r="AA189" s="232">
        <f t="shared" ref="AA189:AB189" si="208">+AA190</f>
        <v>104928825000</v>
      </c>
      <c r="AB189" s="232">
        <f t="shared" si="208"/>
        <v>0</v>
      </c>
      <c r="AC189" s="233">
        <f t="shared" si="146"/>
        <v>0.83549075977321341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33">
      <c r="A190" s="32" t="str">
        <f t="shared" si="142"/>
        <v>C-4103-1500-20-0-4103061=11</v>
      </c>
      <c r="B190" s="210" t="str">
        <f>CONCATENATE(C190,"-",D190,"-",E190,"-",F190,"-",G190,"-",H190)</f>
        <v>C-4103-1500-20-0-4103061</v>
      </c>
      <c r="C190" s="211" t="s">
        <v>167</v>
      </c>
      <c r="D190" s="212" t="s">
        <v>190</v>
      </c>
      <c r="E190" s="212" t="s">
        <v>172</v>
      </c>
      <c r="F190" s="212">
        <v>20</v>
      </c>
      <c r="G190" s="212" t="s">
        <v>175</v>
      </c>
      <c r="H190" s="212">
        <v>4103061</v>
      </c>
      <c r="I190" s="212"/>
      <c r="J190" s="212"/>
      <c r="K190" s="213">
        <v>11</v>
      </c>
      <c r="L190" s="214" t="s">
        <v>29</v>
      </c>
      <c r="M190" s="210" t="s">
        <v>231</v>
      </c>
      <c r="N190" s="215">
        <f>SUM(N191:N192)</f>
        <v>0</v>
      </c>
      <c r="O190" s="215">
        <f t="shared" ref="O190:V190" si="209">SUM(O191:O192)</f>
        <v>0</v>
      </c>
      <c r="P190" s="215">
        <f t="shared" si="209"/>
        <v>0</v>
      </c>
      <c r="Q190" s="215">
        <f t="shared" si="209"/>
        <v>285960800000</v>
      </c>
      <c r="R190" s="215">
        <f t="shared" si="209"/>
        <v>5960800000</v>
      </c>
      <c r="S190" s="215">
        <f t="shared" si="209"/>
        <v>0</v>
      </c>
      <c r="T190" s="215">
        <f t="shared" si="209"/>
        <v>280000000000</v>
      </c>
      <c r="U190" s="215">
        <f t="shared" si="209"/>
        <v>125589450000</v>
      </c>
      <c r="V190" s="215">
        <f t="shared" si="209"/>
        <v>154410550000</v>
      </c>
      <c r="W190" s="216">
        <f t="shared" si="156"/>
        <v>0.44853375000000001</v>
      </c>
      <c r="X190" s="215">
        <f t="shared" ref="X190:Y190" si="210">SUM(X191:X192)</f>
        <v>104928825000</v>
      </c>
      <c r="Y190" s="215">
        <f t="shared" si="210"/>
        <v>20660625000</v>
      </c>
      <c r="Z190" s="216">
        <f t="shared" si="162"/>
        <v>0.16450924022678656</v>
      </c>
      <c r="AA190" s="215">
        <f t="shared" ref="AA190:AB190" si="211">SUM(AA191:AA192)</f>
        <v>104928825000</v>
      </c>
      <c r="AB190" s="215">
        <f t="shared" si="211"/>
        <v>0</v>
      </c>
      <c r="AC190" s="216">
        <f t="shared" si="146"/>
        <v>0.83549075977321341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24.95" customHeight="1">
      <c r="A191" s="32" t="str">
        <f t="shared" si="142"/>
        <v>C-4103-1500-20-0-4103061-02=11</v>
      </c>
      <c r="B191" s="217" t="str">
        <f>CONCATENATE(C191,"-",D191,"-",E191,"-",F191,"-",G191,"-",H191,"-",I191)</f>
        <v>C-4103-1500-20-0-4103061-02</v>
      </c>
      <c r="C191" s="266" t="s">
        <v>167</v>
      </c>
      <c r="D191" s="267" t="s">
        <v>190</v>
      </c>
      <c r="E191" s="267" t="s">
        <v>172</v>
      </c>
      <c r="F191" s="267">
        <v>20</v>
      </c>
      <c r="G191" s="267" t="s">
        <v>175</v>
      </c>
      <c r="H191" s="267">
        <v>4103061</v>
      </c>
      <c r="I191" s="267" t="s">
        <v>54</v>
      </c>
      <c r="J191" s="267"/>
      <c r="K191" s="268">
        <v>11</v>
      </c>
      <c r="L191" s="269" t="s">
        <v>29</v>
      </c>
      <c r="M191" s="259" t="s">
        <v>178</v>
      </c>
      <c r="N191" s="222">
        <v>0</v>
      </c>
      <c r="O191" s="222"/>
      <c r="P191" s="222"/>
      <c r="Q191" s="222">
        <f>19919000000+5960800000</f>
        <v>25879800000</v>
      </c>
      <c r="R191" s="222"/>
      <c r="S191" s="222"/>
      <c r="T191" s="222">
        <f>+N191+O191-P191+Q191-R191-S191</f>
        <v>25879800000</v>
      </c>
      <c r="U191" s="222">
        <v>13146000000</v>
      </c>
      <c r="V191" s="222">
        <f>+T191-U191</f>
        <v>12733800000</v>
      </c>
      <c r="W191" s="224">
        <f t="shared" si="156"/>
        <v>0.50796374005981504</v>
      </c>
      <c r="X191" s="222">
        <v>0</v>
      </c>
      <c r="Y191" s="222">
        <f>+U191-X191</f>
        <v>13146000000</v>
      </c>
      <c r="Z191" s="224">
        <f t="shared" si="162"/>
        <v>1</v>
      </c>
      <c r="AA191" s="222">
        <v>0</v>
      </c>
      <c r="AB191" s="222">
        <f>+X191-AA191</f>
        <v>0</v>
      </c>
      <c r="AC191" s="224">
        <f t="shared" si="146"/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24.95" customHeight="1">
      <c r="A192" s="32" t="str">
        <f t="shared" si="142"/>
        <v>C-4103-1500-20-0-4103061-03=11</v>
      </c>
      <c r="B192" s="217" t="str">
        <f>CONCATENATE(C192,"-",D192,"-",E192,"-",F192,"-",G192,"-",H192,"-",I192)</f>
        <v>C-4103-1500-20-0-4103061-03</v>
      </c>
      <c r="C192" s="266" t="s">
        <v>167</v>
      </c>
      <c r="D192" s="267" t="s">
        <v>190</v>
      </c>
      <c r="E192" s="267" t="s">
        <v>172</v>
      </c>
      <c r="F192" s="267">
        <v>20</v>
      </c>
      <c r="G192" s="267" t="s">
        <v>175</v>
      </c>
      <c r="H192" s="267">
        <v>4103061</v>
      </c>
      <c r="I192" s="274" t="s">
        <v>65</v>
      </c>
      <c r="J192" s="267"/>
      <c r="K192" s="268">
        <v>11</v>
      </c>
      <c r="L192" s="269" t="s">
        <v>29</v>
      </c>
      <c r="M192" s="259" t="s">
        <v>127</v>
      </c>
      <c r="N192" s="222">
        <v>0</v>
      </c>
      <c r="O192" s="222"/>
      <c r="P192" s="222"/>
      <c r="Q192" s="222">
        <v>260081000000</v>
      </c>
      <c r="R192" s="222">
        <v>5960800000</v>
      </c>
      <c r="S192" s="222"/>
      <c r="T192" s="222">
        <f>+N192+O192-P192+Q192-R192-S192</f>
        <v>254120200000</v>
      </c>
      <c r="U192" s="222">
        <v>112443450000</v>
      </c>
      <c r="V192" s="222">
        <f>+T192-U192</f>
        <v>141676750000</v>
      </c>
      <c r="W192" s="224">
        <f t="shared" si="156"/>
        <v>0.44248135331233013</v>
      </c>
      <c r="X192" s="222">
        <v>104928825000</v>
      </c>
      <c r="Y192" s="222">
        <f>+U192-X192</f>
        <v>7514625000</v>
      </c>
      <c r="Z192" s="224">
        <f t="shared" si="162"/>
        <v>6.6830260010698708E-2</v>
      </c>
      <c r="AA192" s="222">
        <v>104928825000</v>
      </c>
      <c r="AB192" s="222">
        <f>+X192-AA192</f>
        <v>0</v>
      </c>
      <c r="AC192" s="224">
        <f t="shared" si="146"/>
        <v>0.93316973998930131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35.1" customHeight="1">
      <c r="A193" s="32" t="str">
        <f t="shared" si="142"/>
        <v>C-4199=</v>
      </c>
      <c r="B193" s="188" t="str">
        <f>CONCATENATE(C193,"-",D193)</f>
        <v>C-4199</v>
      </c>
      <c r="C193" s="189" t="s">
        <v>167</v>
      </c>
      <c r="D193" s="191">
        <v>4199</v>
      </c>
      <c r="E193" s="191"/>
      <c r="F193" s="191"/>
      <c r="G193" s="191"/>
      <c r="H193" s="191"/>
      <c r="I193" s="191"/>
      <c r="J193" s="191"/>
      <c r="K193" s="192"/>
      <c r="L193" s="193"/>
      <c r="M193" s="188" t="s">
        <v>250</v>
      </c>
      <c r="N193" s="194">
        <f>+N194</f>
        <v>3226548466</v>
      </c>
      <c r="O193" s="194">
        <f t="shared" ref="O193:AB196" si="212">+O194</f>
        <v>0</v>
      </c>
      <c r="P193" s="194">
        <f t="shared" si="212"/>
        <v>0</v>
      </c>
      <c r="Q193" s="194">
        <f t="shared" si="212"/>
        <v>0</v>
      </c>
      <c r="R193" s="194">
        <f t="shared" si="212"/>
        <v>0</v>
      </c>
      <c r="S193" s="194">
        <f t="shared" si="212"/>
        <v>0</v>
      </c>
      <c r="T193" s="194">
        <f t="shared" si="212"/>
        <v>3226548466</v>
      </c>
      <c r="U193" s="194">
        <f t="shared" si="212"/>
        <v>2018008934.1300001</v>
      </c>
      <c r="V193" s="194">
        <f t="shared" si="212"/>
        <v>1208539531.8699999</v>
      </c>
      <c r="W193" s="195">
        <f t="shared" si="156"/>
        <v>0.62543890333429752</v>
      </c>
      <c r="X193" s="194">
        <f t="shared" si="212"/>
        <v>2018008933.73</v>
      </c>
      <c r="Y193" s="194">
        <f t="shared" si="212"/>
        <v>0.40000009536743164</v>
      </c>
      <c r="Z193" s="195">
        <f t="shared" si="162"/>
        <v>1.9821522521647254E-10</v>
      </c>
      <c r="AA193" s="194">
        <f t="shared" si="212"/>
        <v>2018008933.73</v>
      </c>
      <c r="AB193" s="194">
        <f t="shared" si="212"/>
        <v>0</v>
      </c>
      <c r="AC193" s="195">
        <f t="shared" si="146"/>
        <v>0.99999999980178478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24.95" customHeight="1">
      <c r="A194" s="32" t="str">
        <f t="shared" si="142"/>
        <v>C-4199-1500=</v>
      </c>
      <c r="B194" s="196" t="str">
        <f>CONCATENATE(C194,"-",D194,"-",E194)</f>
        <v>C-4199-1500</v>
      </c>
      <c r="C194" s="197" t="s">
        <v>167</v>
      </c>
      <c r="D194" s="198">
        <v>4199</v>
      </c>
      <c r="E194" s="198">
        <v>1500</v>
      </c>
      <c r="F194" s="198"/>
      <c r="G194" s="198"/>
      <c r="H194" s="198"/>
      <c r="I194" s="198"/>
      <c r="J194" s="198"/>
      <c r="K194" s="199"/>
      <c r="L194" s="200"/>
      <c r="M194" s="196" t="s">
        <v>170</v>
      </c>
      <c r="N194" s="201">
        <f>+N195</f>
        <v>3226548466</v>
      </c>
      <c r="O194" s="201">
        <f t="shared" si="212"/>
        <v>0</v>
      </c>
      <c r="P194" s="201">
        <f t="shared" si="212"/>
        <v>0</v>
      </c>
      <c r="Q194" s="201">
        <f t="shared" si="212"/>
        <v>0</v>
      </c>
      <c r="R194" s="201">
        <f t="shared" si="212"/>
        <v>0</v>
      </c>
      <c r="S194" s="201">
        <f t="shared" si="212"/>
        <v>0</v>
      </c>
      <c r="T194" s="201">
        <f t="shared" si="212"/>
        <v>3226548466</v>
      </c>
      <c r="U194" s="201">
        <f t="shared" si="212"/>
        <v>2018008934.1300001</v>
      </c>
      <c r="V194" s="201">
        <f t="shared" si="212"/>
        <v>1208539531.8699999</v>
      </c>
      <c r="W194" s="202">
        <f t="shared" si="156"/>
        <v>0.62543890333429752</v>
      </c>
      <c r="X194" s="201">
        <f t="shared" si="212"/>
        <v>2018008933.73</v>
      </c>
      <c r="Y194" s="201">
        <f t="shared" si="212"/>
        <v>0.40000009536743164</v>
      </c>
      <c r="Z194" s="202">
        <f t="shared" si="162"/>
        <v>1.9821522521647254E-10</v>
      </c>
      <c r="AA194" s="201">
        <f t="shared" si="212"/>
        <v>2018008933.73</v>
      </c>
      <c r="AB194" s="201">
        <f t="shared" si="212"/>
        <v>0</v>
      </c>
      <c r="AC194" s="202">
        <f t="shared" si="146"/>
        <v>0.99999999980178478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33">
      <c r="A195" s="32" t="str">
        <f t="shared" si="142"/>
        <v>C-4199-1500-2=</v>
      </c>
      <c r="B195" s="203" t="str">
        <f>CONCATENATE(C195,"-",D195,"-",E195,"-",F195)</f>
        <v>C-4199-1500-2</v>
      </c>
      <c r="C195" s="227" t="s">
        <v>167</v>
      </c>
      <c r="D195" s="228" t="s">
        <v>251</v>
      </c>
      <c r="E195" s="228" t="s">
        <v>172</v>
      </c>
      <c r="F195" s="228" t="s">
        <v>252</v>
      </c>
      <c r="G195" s="228"/>
      <c r="H195" s="228"/>
      <c r="I195" s="228"/>
      <c r="J195" s="228"/>
      <c r="K195" s="229"/>
      <c r="L195" s="230"/>
      <c r="M195" s="231" t="s">
        <v>287</v>
      </c>
      <c r="N195" s="232">
        <f>+N196</f>
        <v>3226548466</v>
      </c>
      <c r="O195" s="232">
        <f t="shared" si="212"/>
        <v>0</v>
      </c>
      <c r="P195" s="232">
        <f t="shared" si="212"/>
        <v>0</v>
      </c>
      <c r="Q195" s="232">
        <f t="shared" si="212"/>
        <v>0</v>
      </c>
      <c r="R195" s="232">
        <f t="shared" si="212"/>
        <v>0</v>
      </c>
      <c r="S195" s="232">
        <f t="shared" si="212"/>
        <v>0</v>
      </c>
      <c r="T195" s="232">
        <f t="shared" si="212"/>
        <v>3226548466</v>
      </c>
      <c r="U195" s="232">
        <f t="shared" si="212"/>
        <v>2018008934.1300001</v>
      </c>
      <c r="V195" s="232">
        <f t="shared" si="212"/>
        <v>1208539531.8699999</v>
      </c>
      <c r="W195" s="233">
        <f t="shared" si="156"/>
        <v>0.62543890333429752</v>
      </c>
      <c r="X195" s="232">
        <f t="shared" si="212"/>
        <v>2018008933.73</v>
      </c>
      <c r="Y195" s="232">
        <f t="shared" si="212"/>
        <v>0.40000009536743164</v>
      </c>
      <c r="Z195" s="233">
        <f t="shared" si="162"/>
        <v>1.9821522521647254E-10</v>
      </c>
      <c r="AA195" s="232">
        <f t="shared" si="212"/>
        <v>2018008933.73</v>
      </c>
      <c r="AB195" s="232">
        <f t="shared" si="212"/>
        <v>0</v>
      </c>
      <c r="AC195" s="233">
        <f t="shared" si="146"/>
        <v>0.99999999980178478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24.95" customHeight="1">
      <c r="A196" s="32" t="str">
        <f t="shared" si="142"/>
        <v>C-4199-1500-2-0-4199062=11</v>
      </c>
      <c r="B196" s="210" t="str">
        <f>CONCATENATE(C196,"-",D196,"-",E196,"-",F196,"-",G196,"-",H196)</f>
        <v>C-4199-1500-2-0-4199062</v>
      </c>
      <c r="C196" s="211" t="s">
        <v>167</v>
      </c>
      <c r="D196" s="212" t="s">
        <v>251</v>
      </c>
      <c r="E196" s="212" t="s">
        <v>172</v>
      </c>
      <c r="F196" s="212" t="s">
        <v>252</v>
      </c>
      <c r="G196" s="212" t="s">
        <v>175</v>
      </c>
      <c r="H196" s="212" t="s">
        <v>254</v>
      </c>
      <c r="I196" s="212"/>
      <c r="J196" s="212"/>
      <c r="K196" s="213">
        <v>11</v>
      </c>
      <c r="L196" s="214" t="s">
        <v>29</v>
      </c>
      <c r="M196" s="210" t="s">
        <v>255</v>
      </c>
      <c r="N196" s="215">
        <f>+N197</f>
        <v>3226548466</v>
      </c>
      <c r="O196" s="215">
        <f t="shared" si="212"/>
        <v>0</v>
      </c>
      <c r="P196" s="215">
        <f t="shared" si="212"/>
        <v>0</v>
      </c>
      <c r="Q196" s="215">
        <f t="shared" si="212"/>
        <v>0</v>
      </c>
      <c r="R196" s="215">
        <f t="shared" si="212"/>
        <v>0</v>
      </c>
      <c r="S196" s="215">
        <f t="shared" si="212"/>
        <v>0</v>
      </c>
      <c r="T196" s="215">
        <f t="shared" si="212"/>
        <v>3226548466</v>
      </c>
      <c r="U196" s="215">
        <f t="shared" si="212"/>
        <v>2018008934.1300001</v>
      </c>
      <c r="V196" s="215">
        <f t="shared" si="212"/>
        <v>1208539531.8699999</v>
      </c>
      <c r="W196" s="216">
        <f t="shared" si="156"/>
        <v>0.62543890333429752</v>
      </c>
      <c r="X196" s="215">
        <f t="shared" si="212"/>
        <v>2018008933.73</v>
      </c>
      <c r="Y196" s="215">
        <f t="shared" si="212"/>
        <v>0.40000009536743164</v>
      </c>
      <c r="Z196" s="216">
        <f t="shared" si="162"/>
        <v>1.9821522521647254E-10</v>
      </c>
      <c r="AA196" s="215">
        <f t="shared" si="212"/>
        <v>2018008933.73</v>
      </c>
      <c r="AB196" s="215">
        <f t="shared" si="212"/>
        <v>0</v>
      </c>
      <c r="AC196" s="216">
        <f t="shared" si="146"/>
        <v>0.99999999980178478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24.95" customHeight="1" thickBot="1">
      <c r="A197" s="32" t="str">
        <f t="shared" si="142"/>
        <v>C-4199-1500-2-0-4199062-02=11</v>
      </c>
      <c r="B197" s="217" t="str">
        <f>CONCATENATE(C197,"-",D197,"-",E197,"-",F197,"-",G197,"-",H197,"-",I197)</f>
        <v>C-4199-1500-2-0-4199062-02</v>
      </c>
      <c r="C197" s="218" t="s">
        <v>167</v>
      </c>
      <c r="D197" s="219" t="s">
        <v>251</v>
      </c>
      <c r="E197" s="219" t="s">
        <v>172</v>
      </c>
      <c r="F197" s="219" t="s">
        <v>252</v>
      </c>
      <c r="G197" s="219" t="s">
        <v>175</v>
      </c>
      <c r="H197" s="219" t="s">
        <v>254</v>
      </c>
      <c r="I197" s="219" t="s">
        <v>54</v>
      </c>
      <c r="J197" s="219"/>
      <c r="K197" s="275">
        <v>11</v>
      </c>
      <c r="L197" s="276" t="s">
        <v>29</v>
      </c>
      <c r="M197" s="217" t="s">
        <v>178</v>
      </c>
      <c r="N197" s="222">
        <v>3226548466</v>
      </c>
      <c r="O197" s="222"/>
      <c r="P197" s="222"/>
      <c r="Q197" s="222"/>
      <c r="R197" s="222"/>
      <c r="S197" s="222"/>
      <c r="T197" s="222">
        <f>+N197-S197+O197-P197+Q197-R197</f>
        <v>3226548466</v>
      </c>
      <c r="U197" s="222">
        <v>2018008934.1300001</v>
      </c>
      <c r="V197" s="222">
        <f t="shared" ref="V197" si="213">+T197-U197</f>
        <v>1208539531.8699999</v>
      </c>
      <c r="W197" s="224">
        <f t="shared" si="156"/>
        <v>0.62543890333429752</v>
      </c>
      <c r="X197" s="222">
        <v>2018008933.73</v>
      </c>
      <c r="Y197" s="222">
        <f t="shared" ref="Y197" si="214">+U197-X197</f>
        <v>0.40000009536743164</v>
      </c>
      <c r="Z197" s="224">
        <f t="shared" si="162"/>
        <v>1.9821522521647254E-10</v>
      </c>
      <c r="AA197" s="222">
        <v>2018008933.73</v>
      </c>
      <c r="AB197" s="222">
        <f t="shared" ref="AB197" si="215">+X197-AA197</f>
        <v>0</v>
      </c>
      <c r="AC197" s="224">
        <f t="shared" si="146"/>
        <v>0.99999999980178478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5.1" customHeight="1" thickBot="1">
      <c r="A198" s="32"/>
      <c r="B198" s="277" t="s">
        <v>288</v>
      </c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60" t="s">
        <v>256</v>
      </c>
      <c r="N198" s="265">
        <f t="shared" ref="N198:AB198" si="216">+N8+N110</f>
        <v>3648573139470</v>
      </c>
      <c r="O198" s="265">
        <f t="shared" si="216"/>
        <v>991465489896</v>
      </c>
      <c r="P198" s="265">
        <f t="shared" si="216"/>
        <v>0</v>
      </c>
      <c r="Q198" s="265">
        <f t="shared" si="216"/>
        <v>341939809581.79004</v>
      </c>
      <c r="R198" s="265">
        <f t="shared" si="216"/>
        <v>341939809581.79004</v>
      </c>
      <c r="S198" s="265">
        <f t="shared" si="216"/>
        <v>591791000000</v>
      </c>
      <c r="T198" s="265">
        <f t="shared" si="216"/>
        <v>4048247629366</v>
      </c>
      <c r="U198" s="265">
        <f t="shared" si="216"/>
        <v>3189344264362.9497</v>
      </c>
      <c r="V198" s="265">
        <f t="shared" si="216"/>
        <v>858903365003.04993</v>
      </c>
      <c r="W198" s="187">
        <f t="shared" si="156"/>
        <v>0.78783329389917678</v>
      </c>
      <c r="X198" s="265">
        <f t="shared" si="216"/>
        <v>2134403004701.2698</v>
      </c>
      <c r="Y198" s="265">
        <f t="shared" si="216"/>
        <v>1054941259661.6802</v>
      </c>
      <c r="Z198" s="187">
        <f t="shared" si="162"/>
        <v>0.33077058235743567</v>
      </c>
      <c r="AA198" s="265">
        <f t="shared" si="216"/>
        <v>2127034113023.2698</v>
      </c>
      <c r="AB198" s="265">
        <f t="shared" si="216"/>
        <v>7368891678</v>
      </c>
      <c r="AC198" s="187">
        <f t="shared" si="146"/>
        <v>0.66691894531120199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16.5">
      <c r="A199" s="32"/>
      <c r="B199" s="279"/>
      <c r="C199" s="82"/>
      <c r="D199" s="82"/>
      <c r="E199" s="82"/>
      <c r="F199" s="82"/>
      <c r="G199" s="82"/>
      <c r="H199" s="83"/>
      <c r="I199" s="84"/>
      <c r="J199" s="84"/>
      <c r="K199" s="84"/>
      <c r="L199" s="84"/>
      <c r="M199" s="84"/>
      <c r="N199" s="86"/>
      <c r="O199" s="86"/>
      <c r="P199" s="86"/>
      <c r="Q199" s="86"/>
      <c r="R199" s="86"/>
      <c r="S199" s="86"/>
      <c r="T199" s="86"/>
      <c r="U199" s="86"/>
      <c r="V199" s="86"/>
      <c r="W199" s="87"/>
      <c r="X199" s="86"/>
      <c r="Y199" s="86"/>
      <c r="Z199" s="87"/>
      <c r="AA199" s="86"/>
      <c r="AB199" s="86"/>
      <c r="AC199" s="89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16.5">
      <c r="A200" s="32" t="str">
        <f t="shared" ref="A200" si="217">+CONCATENATE(B200,"=",K200)</f>
        <v>=</v>
      </c>
      <c r="B200" s="279"/>
      <c r="C200" s="82"/>
      <c r="D200" s="82"/>
      <c r="E200" s="82"/>
      <c r="F200" s="82"/>
      <c r="G200" s="82"/>
      <c r="H200" s="83"/>
      <c r="I200" s="84"/>
      <c r="J200" s="84"/>
      <c r="K200" s="84"/>
      <c r="L200" s="84"/>
      <c r="M200" s="84"/>
      <c r="N200" s="86"/>
      <c r="O200" s="86"/>
      <c r="P200" s="86"/>
      <c r="Q200" s="86"/>
      <c r="R200" s="86"/>
      <c r="S200" s="86"/>
      <c r="T200" s="86"/>
      <c r="U200" s="86"/>
      <c r="V200" s="86"/>
      <c r="W200" s="87"/>
      <c r="X200" s="86"/>
      <c r="Y200" s="86"/>
      <c r="Z200" s="87"/>
      <c r="AA200" s="86"/>
      <c r="AB200" s="86"/>
      <c r="AC200" s="89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8" customFormat="1" ht="16.5">
      <c r="A201" s="32"/>
      <c r="B201" s="280"/>
      <c r="C201" s="94"/>
      <c r="D201" s="93"/>
      <c r="E201" s="93"/>
      <c r="F201" s="93"/>
      <c r="G201" s="93"/>
      <c r="H201" s="93"/>
      <c r="I201" s="93"/>
      <c r="J201" s="93"/>
      <c r="K201" s="93"/>
      <c r="L201" s="93"/>
      <c r="M201" s="97" t="s">
        <v>289</v>
      </c>
      <c r="N201" s="281">
        <v>3648573139470</v>
      </c>
      <c r="O201" s="281">
        <v>1271501489896</v>
      </c>
      <c r="P201" s="8">
        <v>0</v>
      </c>
      <c r="Q201" s="635">
        <v>341939809581.79004</v>
      </c>
      <c r="R201" s="634">
        <v>341939809581.79004</v>
      </c>
      <c r="S201" s="281">
        <v>591791000000</v>
      </c>
      <c r="T201" s="281">
        <v>4048247629366</v>
      </c>
      <c r="U201" s="281">
        <v>3189344264362.9502</v>
      </c>
      <c r="V201" s="281">
        <v>858903365003.0498</v>
      </c>
      <c r="W201" s="282">
        <v>0.78783329389917689</v>
      </c>
      <c r="X201" s="281">
        <v>2134403004701.27</v>
      </c>
      <c r="Y201" s="281">
        <v>1054941259661.6802</v>
      </c>
      <c r="Z201" s="282">
        <v>0.33077058235743562</v>
      </c>
      <c r="AA201" s="281">
        <v>2127034113023.27</v>
      </c>
      <c r="AB201" s="281">
        <v>7368891678</v>
      </c>
      <c r="AC201" s="282">
        <v>0.66691894531120199</v>
      </c>
    </row>
    <row r="202" spans="1:52" s="289" customFormat="1" ht="16.5">
      <c r="A202" s="22"/>
      <c r="B202" s="283"/>
      <c r="C202" s="284"/>
      <c r="D202" s="285"/>
      <c r="E202" s="285"/>
      <c r="F202" s="285"/>
      <c r="G202" s="285"/>
      <c r="H202" s="285"/>
      <c r="I202" s="285"/>
      <c r="J202" s="285"/>
      <c r="K202" s="285"/>
      <c r="L202" s="285"/>
      <c r="M202" s="286" t="s">
        <v>290</v>
      </c>
      <c r="N202" s="98">
        <f>+N198-N201</f>
        <v>0</v>
      </c>
      <c r="O202" s="98">
        <f>+O198-O201</f>
        <v>-280036000000</v>
      </c>
      <c r="P202" s="98">
        <f>+P198-P201</f>
        <v>0</v>
      </c>
      <c r="Q202" s="98">
        <f>+Q198-Q201</f>
        <v>0</v>
      </c>
      <c r="R202" s="98">
        <f t="shared" ref="R202:AB202" si="218">+R198-R201</f>
        <v>0</v>
      </c>
      <c r="S202" s="98">
        <f t="shared" si="218"/>
        <v>0</v>
      </c>
      <c r="T202" s="98">
        <f t="shared" si="218"/>
        <v>0</v>
      </c>
      <c r="U202" s="98">
        <f t="shared" si="218"/>
        <v>0</v>
      </c>
      <c r="V202" s="98">
        <f t="shared" si="218"/>
        <v>0</v>
      </c>
      <c r="W202" s="287">
        <f t="shared" si="218"/>
        <v>0</v>
      </c>
      <c r="X202" s="98">
        <f>+X198-X201</f>
        <v>0</v>
      </c>
      <c r="Y202" s="98">
        <f t="shared" si="218"/>
        <v>0</v>
      </c>
      <c r="Z202" s="287">
        <f t="shared" si="218"/>
        <v>0</v>
      </c>
      <c r="AA202" s="98">
        <f t="shared" si="218"/>
        <v>0</v>
      </c>
      <c r="AB202" s="98">
        <f t="shared" si="218"/>
        <v>0</v>
      </c>
      <c r="AC202" s="288">
        <v>0</v>
      </c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</row>
    <row r="203" spans="1:52" ht="18">
      <c r="A203" s="30"/>
      <c r="B203" s="279"/>
      <c r="C203" s="312"/>
      <c r="D203" s="317"/>
      <c r="E203" s="312"/>
      <c r="F203" s="312"/>
      <c r="G203" s="312"/>
      <c r="H203" s="312"/>
      <c r="I203" s="312"/>
      <c r="J203" s="312"/>
      <c r="K203" s="312"/>
      <c r="L203" s="312"/>
      <c r="M203" s="312"/>
      <c r="N203" s="335"/>
      <c r="O203" s="632"/>
      <c r="P203" s="332"/>
      <c r="Q203" s="332"/>
      <c r="R203" s="633"/>
      <c r="S203" s="633"/>
      <c r="T203" s="332"/>
      <c r="U203" s="332"/>
      <c r="V203" s="332"/>
      <c r="W203" s="333"/>
      <c r="X203" s="332"/>
      <c r="Y203" s="332"/>
      <c r="Z203" s="333"/>
      <c r="AA203" s="332"/>
      <c r="AB203" s="332"/>
      <c r="AC203" s="333"/>
    </row>
    <row r="204" spans="1:52" ht="18">
      <c r="A204" s="30"/>
      <c r="B204" s="279"/>
      <c r="C204" s="312"/>
      <c r="D204" s="317"/>
      <c r="E204" s="312"/>
      <c r="F204" s="312"/>
      <c r="G204" s="312"/>
      <c r="H204" s="312"/>
      <c r="I204" s="312"/>
      <c r="J204" s="312"/>
      <c r="K204" s="312"/>
      <c r="L204" s="312"/>
      <c r="M204" s="312"/>
      <c r="N204" s="332"/>
      <c r="O204" s="632"/>
      <c r="P204" s="332"/>
      <c r="Q204" s="332"/>
      <c r="R204" s="633"/>
      <c r="S204" s="633"/>
      <c r="T204" s="332"/>
      <c r="U204" s="332"/>
      <c r="V204" s="332"/>
      <c r="W204" s="333"/>
      <c r="X204" s="332"/>
      <c r="Y204" s="332"/>
      <c r="Z204" s="333"/>
      <c r="AA204" s="332"/>
      <c r="AB204" s="332"/>
      <c r="AC204" s="333"/>
    </row>
    <row r="205" spans="1:52" ht="18">
      <c r="A205" s="1"/>
      <c r="B205" s="156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32"/>
      <c r="O205" s="632"/>
      <c r="P205" s="332"/>
      <c r="Q205" s="332"/>
      <c r="R205" s="332"/>
      <c r="S205" s="332"/>
      <c r="T205" s="332"/>
      <c r="U205" s="332"/>
      <c r="V205" s="332"/>
      <c r="W205" s="333"/>
      <c r="X205" s="332"/>
      <c r="Y205" s="631"/>
      <c r="Z205" s="333"/>
      <c r="AA205" s="332"/>
      <c r="AB205" s="332"/>
      <c r="AC205" s="333"/>
    </row>
    <row r="206" spans="1:52" ht="30">
      <c r="A206" s="1"/>
      <c r="B206" s="156"/>
      <c r="C206" s="318"/>
      <c r="D206" s="318"/>
      <c r="E206" s="318"/>
      <c r="F206" s="318"/>
      <c r="G206" s="318"/>
      <c r="H206" s="318"/>
      <c r="I206" s="312"/>
      <c r="J206" s="312"/>
      <c r="K206" s="312"/>
      <c r="L206" s="312"/>
      <c r="M206" s="336" t="s">
        <v>738</v>
      </c>
      <c r="N206" s="628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20"/>
      <c r="AA206" s="319"/>
      <c r="AB206" s="319"/>
      <c r="AC206" s="319"/>
    </row>
    <row r="207" spans="1:52" ht="30">
      <c r="A207" s="1"/>
      <c r="B207" s="156"/>
      <c r="C207" s="321"/>
      <c r="D207" s="322"/>
      <c r="E207" s="322"/>
      <c r="F207" s="322"/>
      <c r="G207" s="322"/>
      <c r="H207" s="322"/>
      <c r="I207" s="322"/>
      <c r="J207" s="322"/>
      <c r="K207" s="322"/>
      <c r="L207" s="322"/>
      <c r="M207" s="337" t="s">
        <v>739</v>
      </c>
      <c r="N207" s="628"/>
      <c r="P207" s="323"/>
      <c r="Q207" s="323"/>
      <c r="R207" s="323"/>
      <c r="S207" s="323"/>
      <c r="T207" s="323"/>
      <c r="U207" s="323"/>
      <c r="V207" s="323"/>
      <c r="W207" s="323"/>
      <c r="X207" s="323"/>
      <c r="Y207" s="323"/>
      <c r="Z207" s="324"/>
      <c r="AA207" s="323"/>
      <c r="AB207" s="323"/>
      <c r="AC207" s="323"/>
    </row>
    <row r="208" spans="1:52" ht="30">
      <c r="A208" s="325"/>
      <c r="B208" s="314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628"/>
      <c r="P208" s="309"/>
      <c r="Q208" s="309"/>
      <c r="R208" s="630"/>
      <c r="S208" s="630"/>
      <c r="T208" s="334"/>
      <c r="U208" s="334"/>
      <c r="V208" s="629"/>
      <c r="W208" s="329"/>
      <c r="X208" s="329"/>
      <c r="Y208" s="329"/>
      <c r="Z208" s="329"/>
    </row>
    <row r="209" spans="14:15" ht="16.5">
      <c r="N209" s="628"/>
      <c r="O209" s="628"/>
    </row>
    <row r="210" spans="14:15" ht="16.5">
      <c r="N210" s="628"/>
      <c r="O210" s="628"/>
    </row>
    <row r="211" spans="14:15" ht="16.5">
      <c r="N211" s="628"/>
    </row>
    <row r="212" spans="14:15" ht="16.5">
      <c r="N212" s="628"/>
    </row>
    <row r="213" spans="14:15" ht="16.5">
      <c r="N213" s="628"/>
    </row>
  </sheetData>
  <sheetProtection selectLockedCells="1" selectUnlockedCells="1"/>
  <autoFilter ref="A6:AC201" xr:uid="{00000000-0009-0000-0000-000002000000}"/>
  <mergeCells count="6">
    <mergeCell ref="N2:AC2"/>
    <mergeCell ref="N3:AC3"/>
    <mergeCell ref="O5:P5"/>
    <mergeCell ref="Q5:R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A1C2A-71C0-4CD0-83F2-DEEC07DDAE6C}">
  <sheetPr>
    <tabColor rgb="FF00B0F0"/>
    <pageSetUpPr fitToPage="1"/>
  </sheetPr>
  <dimension ref="A1:AT209"/>
  <sheetViews>
    <sheetView showGridLines="0" zoomScale="80" zoomScaleNormal="80" workbookViewId="0"/>
  </sheetViews>
  <sheetFormatPr baseColWidth="10" defaultColWidth="11.42578125" defaultRowHeight="12.75" outlineLevelCol="1"/>
  <cols>
    <col min="1" max="1" width="5.7109375" style="109" customWidth="1"/>
    <col min="2" max="2" width="26" style="9" customWidth="1"/>
    <col min="3" max="3" width="6.42578125" style="9" customWidth="1" outlineLevel="1"/>
    <col min="4" max="4" width="6" style="9" customWidth="1" outlineLevel="1"/>
    <col min="5" max="5" width="7.85546875" style="9" customWidth="1" outlineLevel="1"/>
    <col min="6" max="7" width="5.85546875" style="9" customWidth="1" outlineLevel="1"/>
    <col min="8" max="8" width="8" style="9" customWidth="1" outlineLevel="1"/>
    <col min="9" max="9" width="5.42578125" style="9" customWidth="1" outlineLevel="1"/>
    <col min="10" max="10" width="7.7109375" style="9" customWidth="1" outlineLevel="1"/>
    <col min="11" max="11" width="5.28515625" style="9" bestFit="1" customWidth="1"/>
    <col min="12" max="12" width="5.7109375" style="9" bestFit="1" customWidth="1"/>
    <col min="13" max="13" width="70.7109375" style="9" customWidth="1"/>
    <col min="14" max="14" width="20.28515625" style="13" bestFit="1" customWidth="1"/>
    <col min="15" max="15" width="19.5703125" style="13" bestFit="1" customWidth="1"/>
    <col min="16" max="16" width="11.5703125" style="13" customWidth="1"/>
    <col min="17" max="17" width="19.5703125" style="13" bestFit="1" customWidth="1"/>
    <col min="18" max="18" width="14.140625" style="13" bestFit="1" customWidth="1"/>
    <col min="19" max="19" width="19.5703125" style="13" bestFit="1" customWidth="1"/>
    <col min="20" max="20" width="13.42578125" style="13" customWidth="1"/>
    <col min="21" max="21" width="11.42578125" style="13"/>
    <col min="22" max="22" width="13.85546875" style="13" customWidth="1"/>
    <col min="23" max="16384" width="11.42578125" style="13"/>
  </cols>
  <sheetData>
    <row r="1" spans="1:20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6"/>
      <c r="O1" s="5">
        <v>13</v>
      </c>
      <c r="P1" s="7"/>
      <c r="Q1" s="5">
        <v>14</v>
      </c>
      <c r="R1" s="7"/>
      <c r="S1" s="5">
        <v>16</v>
      </c>
      <c r="T1" s="7"/>
    </row>
    <row r="2" spans="1:20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303" t="s">
        <v>0</v>
      </c>
      <c r="O2" s="303"/>
      <c r="P2" s="303"/>
      <c r="Q2" s="303"/>
      <c r="R2" s="303"/>
      <c r="S2" s="303"/>
      <c r="T2" s="303"/>
    </row>
    <row r="3" spans="1:20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302" t="s">
        <v>747</v>
      </c>
      <c r="O3" s="302"/>
      <c r="P3" s="302"/>
      <c r="Q3" s="302"/>
      <c r="R3" s="302"/>
      <c r="S3" s="302"/>
      <c r="T3" s="302"/>
    </row>
    <row r="4" spans="1:20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1"/>
      <c r="Q4" s="20"/>
      <c r="R4" s="21"/>
      <c r="S4" s="20"/>
      <c r="T4" s="21"/>
    </row>
    <row r="5" spans="1:20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166" t="s">
        <v>6</v>
      </c>
      <c r="O5" s="782" t="s">
        <v>7</v>
      </c>
      <c r="P5" s="783"/>
      <c r="Q5" s="776" t="s">
        <v>8</v>
      </c>
      <c r="R5" s="778"/>
      <c r="S5" s="779" t="s">
        <v>9</v>
      </c>
      <c r="T5" s="781"/>
    </row>
    <row r="6" spans="1:20" s="25" customFormat="1" ht="33.7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6</v>
      </c>
      <c r="O6" s="176" t="s">
        <v>18</v>
      </c>
      <c r="P6" s="177" t="s">
        <v>19</v>
      </c>
      <c r="Q6" s="175" t="s">
        <v>18</v>
      </c>
      <c r="R6" s="310" t="s">
        <v>737</v>
      </c>
      <c r="S6" s="175" t="s">
        <v>18</v>
      </c>
      <c r="T6" s="178" t="s">
        <v>20</v>
      </c>
    </row>
    <row r="7" spans="1:20" ht="35.1" customHeight="1" thickBot="1">
      <c r="A7" s="32" t="s">
        <v>551</v>
      </c>
      <c r="B7" s="180" t="s">
        <v>23</v>
      </c>
      <c r="C7" s="181" t="s">
        <v>23</v>
      </c>
      <c r="D7" s="182"/>
      <c r="E7" s="182"/>
      <c r="F7" s="182"/>
      <c r="G7" s="182"/>
      <c r="H7" s="182"/>
      <c r="I7" s="182"/>
      <c r="J7" s="183"/>
      <c r="K7" s="184"/>
      <c r="L7" s="185"/>
      <c r="M7" s="180" t="s">
        <v>24</v>
      </c>
      <c r="N7" s="186">
        <v>1142665489896</v>
      </c>
      <c r="O7" s="186">
        <v>1062299633620.3201</v>
      </c>
      <c r="P7" s="187">
        <v>0.92966808135336754</v>
      </c>
      <c r="Q7" s="186">
        <v>721060354836.66003</v>
      </c>
      <c r="R7" s="187">
        <v>0.63103363251329792</v>
      </c>
      <c r="S7" s="186">
        <v>718452821946.45007</v>
      </c>
      <c r="T7" s="187">
        <v>0.62875165855568127</v>
      </c>
    </row>
    <row r="8" spans="1:20" ht="35.1" customHeight="1">
      <c r="A8" s="32" t="s">
        <v>302</v>
      </c>
      <c r="B8" s="188" t="s">
        <v>303</v>
      </c>
      <c r="C8" s="189" t="s">
        <v>23</v>
      </c>
      <c r="D8" s="190" t="s">
        <v>25</v>
      </c>
      <c r="E8" s="191"/>
      <c r="F8" s="191"/>
      <c r="G8" s="191"/>
      <c r="H8" s="191"/>
      <c r="I8" s="191"/>
      <c r="J8" s="191"/>
      <c r="K8" s="192"/>
      <c r="L8" s="193"/>
      <c r="M8" s="188" t="s">
        <v>26</v>
      </c>
      <c r="N8" s="194">
        <v>99738000000</v>
      </c>
      <c r="O8" s="194">
        <v>49152273991</v>
      </c>
      <c r="P8" s="195">
        <v>0.49281391236038419</v>
      </c>
      <c r="Q8" s="194">
        <v>46679878653</v>
      </c>
      <c r="R8" s="195">
        <v>0.46802501206160141</v>
      </c>
      <c r="S8" s="194">
        <v>44168632353</v>
      </c>
      <c r="T8" s="195">
        <v>0.44284658157372314</v>
      </c>
    </row>
    <row r="9" spans="1:20" ht="24.95" customHeight="1">
      <c r="A9" s="32" t="s">
        <v>304</v>
      </c>
      <c r="B9" s="196" t="s">
        <v>305</v>
      </c>
      <c r="C9" s="197" t="s">
        <v>23</v>
      </c>
      <c r="D9" s="198" t="s">
        <v>25</v>
      </c>
      <c r="E9" s="198" t="s">
        <v>25</v>
      </c>
      <c r="F9" s="198"/>
      <c r="G9" s="198"/>
      <c r="H9" s="198"/>
      <c r="I9" s="198"/>
      <c r="J9" s="198"/>
      <c r="K9" s="199"/>
      <c r="L9" s="200"/>
      <c r="M9" s="196" t="s">
        <v>27</v>
      </c>
      <c r="N9" s="201">
        <v>99738000000</v>
      </c>
      <c r="O9" s="201">
        <v>49152273991</v>
      </c>
      <c r="P9" s="202">
        <v>0.49281391236038419</v>
      </c>
      <c r="Q9" s="201">
        <v>46679878653</v>
      </c>
      <c r="R9" s="202">
        <v>0.46802501206160141</v>
      </c>
      <c r="S9" s="201">
        <v>44168632353</v>
      </c>
      <c r="T9" s="202">
        <v>0.44284658157372314</v>
      </c>
    </row>
    <row r="10" spans="1:20" ht="24.95" customHeight="1">
      <c r="A10" s="32" t="s">
        <v>306</v>
      </c>
      <c r="B10" s="203" t="s">
        <v>307</v>
      </c>
      <c r="C10" s="204" t="s">
        <v>23</v>
      </c>
      <c r="D10" s="205" t="s">
        <v>25</v>
      </c>
      <c r="E10" s="205" t="s">
        <v>25</v>
      </c>
      <c r="F10" s="205" t="s">
        <v>25</v>
      </c>
      <c r="G10" s="205"/>
      <c r="H10" s="205"/>
      <c r="I10" s="205"/>
      <c r="J10" s="205"/>
      <c r="K10" s="206" t="s">
        <v>28</v>
      </c>
      <c r="L10" s="207" t="s">
        <v>29</v>
      </c>
      <c r="M10" s="203" t="s">
        <v>30</v>
      </c>
      <c r="N10" s="208">
        <v>68019000000</v>
      </c>
      <c r="O10" s="208">
        <v>32136245512</v>
      </c>
      <c r="P10" s="209">
        <v>0.47245983492847587</v>
      </c>
      <c r="Q10" s="208">
        <v>32133403313</v>
      </c>
      <c r="R10" s="209">
        <v>0.47241804955968186</v>
      </c>
      <c r="S10" s="208">
        <v>29622216813</v>
      </c>
      <c r="T10" s="209">
        <v>0.43549915189873417</v>
      </c>
    </row>
    <row r="11" spans="1:20" ht="24.95" customHeight="1">
      <c r="A11" s="32" t="s">
        <v>308</v>
      </c>
      <c r="B11" s="210" t="s">
        <v>309</v>
      </c>
      <c r="C11" s="211" t="s">
        <v>23</v>
      </c>
      <c r="D11" s="212" t="s">
        <v>25</v>
      </c>
      <c r="E11" s="212" t="s">
        <v>25</v>
      </c>
      <c r="F11" s="212" t="s">
        <v>25</v>
      </c>
      <c r="G11" s="212" t="s">
        <v>31</v>
      </c>
      <c r="H11" s="212"/>
      <c r="I11" s="212"/>
      <c r="J11" s="212"/>
      <c r="K11" s="213" t="s">
        <v>28</v>
      </c>
      <c r="L11" s="214" t="s">
        <v>29</v>
      </c>
      <c r="M11" s="210" t="s">
        <v>32</v>
      </c>
      <c r="N11" s="215">
        <v>68019000000</v>
      </c>
      <c r="O11" s="215">
        <v>32136245512</v>
      </c>
      <c r="P11" s="216">
        <v>0.47245983492847587</v>
      </c>
      <c r="Q11" s="215">
        <v>32133403313</v>
      </c>
      <c r="R11" s="216">
        <v>0.47241804955968186</v>
      </c>
      <c r="S11" s="215">
        <v>29622216813</v>
      </c>
      <c r="T11" s="216">
        <v>0.43549915189873417</v>
      </c>
    </row>
    <row r="12" spans="1:20" ht="24.95" customHeight="1">
      <c r="A12" s="32" t="s">
        <v>310</v>
      </c>
      <c r="B12" s="217" t="s">
        <v>311</v>
      </c>
      <c r="C12" s="218" t="s">
        <v>23</v>
      </c>
      <c r="D12" s="219" t="s">
        <v>25</v>
      </c>
      <c r="E12" s="219" t="s">
        <v>25</v>
      </c>
      <c r="F12" s="219" t="s">
        <v>25</v>
      </c>
      <c r="G12" s="219" t="s">
        <v>31</v>
      </c>
      <c r="H12" s="219" t="s">
        <v>31</v>
      </c>
      <c r="I12" s="219"/>
      <c r="J12" s="219"/>
      <c r="K12" s="220" t="s">
        <v>28</v>
      </c>
      <c r="L12" s="221" t="s">
        <v>29</v>
      </c>
      <c r="M12" s="217" t="s">
        <v>33</v>
      </c>
      <c r="N12" s="222">
        <v>54858000000</v>
      </c>
      <c r="O12" s="222">
        <v>27329924158</v>
      </c>
      <c r="P12" s="224">
        <v>0.49819395818294504</v>
      </c>
      <c r="Q12" s="222">
        <v>27329924158</v>
      </c>
      <c r="R12" s="224">
        <v>0.49819395818294504</v>
      </c>
      <c r="S12" s="222">
        <v>27328452851</v>
      </c>
      <c r="T12" s="224">
        <v>0.49816713790149114</v>
      </c>
    </row>
    <row r="13" spans="1:20" ht="24.95" customHeight="1">
      <c r="A13" s="32" t="s">
        <v>312</v>
      </c>
      <c r="B13" s="217" t="s">
        <v>313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34</v>
      </c>
      <c r="I13" s="219"/>
      <c r="J13" s="219"/>
      <c r="K13" s="220" t="s">
        <v>28</v>
      </c>
      <c r="L13" s="221" t="s">
        <v>29</v>
      </c>
      <c r="M13" s="217" t="s">
        <v>35</v>
      </c>
      <c r="N13" s="222">
        <v>263000000</v>
      </c>
      <c r="O13" s="222">
        <v>137890562</v>
      </c>
      <c r="P13" s="224">
        <v>0.52429871482889734</v>
      </c>
      <c r="Q13" s="222">
        <v>137890562</v>
      </c>
      <c r="R13" s="224">
        <v>0.52429871482889734</v>
      </c>
      <c r="S13" s="222">
        <v>137890562</v>
      </c>
      <c r="T13" s="224">
        <v>0.52429871482889734</v>
      </c>
    </row>
    <row r="14" spans="1:20" ht="24.95" customHeight="1">
      <c r="A14" s="32" t="s">
        <v>314</v>
      </c>
      <c r="B14" s="217" t="s">
        <v>315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36</v>
      </c>
      <c r="I14" s="219"/>
      <c r="J14" s="219"/>
      <c r="K14" s="220" t="s">
        <v>28</v>
      </c>
      <c r="L14" s="221" t="s">
        <v>29</v>
      </c>
      <c r="M14" s="217" t="s">
        <v>37</v>
      </c>
      <c r="N14" s="222">
        <v>550000000</v>
      </c>
      <c r="O14" s="222">
        <v>280134821</v>
      </c>
      <c r="P14" s="224">
        <v>0.50933603818181816</v>
      </c>
      <c r="Q14" s="222">
        <v>280134821</v>
      </c>
      <c r="R14" s="224">
        <v>0.50933603818181816</v>
      </c>
      <c r="S14" s="222">
        <v>280134821</v>
      </c>
      <c r="T14" s="224">
        <v>0.50933603818181816</v>
      </c>
    </row>
    <row r="15" spans="1:20" ht="24.95" customHeight="1">
      <c r="A15" s="32" t="s">
        <v>316</v>
      </c>
      <c r="B15" s="217" t="s">
        <v>317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38</v>
      </c>
      <c r="I15" s="219"/>
      <c r="J15" s="219"/>
      <c r="K15" s="220" t="s">
        <v>28</v>
      </c>
      <c r="L15" s="221" t="s">
        <v>29</v>
      </c>
      <c r="M15" s="217" t="s">
        <v>39</v>
      </c>
      <c r="N15" s="222">
        <v>100000000</v>
      </c>
      <c r="O15" s="222">
        <v>46540402</v>
      </c>
      <c r="P15" s="224">
        <v>0.46540401999999997</v>
      </c>
      <c r="Q15" s="222">
        <v>46540402</v>
      </c>
      <c r="R15" s="224">
        <v>0.46540401999999997</v>
      </c>
      <c r="S15" s="222">
        <v>46540402</v>
      </c>
      <c r="T15" s="224">
        <v>0.46540401999999997</v>
      </c>
    </row>
    <row r="16" spans="1:20" ht="24.95" customHeight="1">
      <c r="A16" s="32" t="s">
        <v>318</v>
      </c>
      <c r="B16" s="217" t="s">
        <v>319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40</v>
      </c>
      <c r="I16" s="219"/>
      <c r="J16" s="219"/>
      <c r="K16" s="220" t="s">
        <v>28</v>
      </c>
      <c r="L16" s="221" t="s">
        <v>29</v>
      </c>
      <c r="M16" s="217" t="s">
        <v>41</v>
      </c>
      <c r="N16" s="222">
        <v>98000000</v>
      </c>
      <c r="O16" s="222">
        <v>37857107</v>
      </c>
      <c r="P16" s="224">
        <v>0.38629701020408164</v>
      </c>
      <c r="Q16" s="222">
        <v>35014908</v>
      </c>
      <c r="R16" s="224">
        <v>0.35729497959183676</v>
      </c>
      <c r="S16" s="222">
        <v>35014908</v>
      </c>
      <c r="T16" s="224">
        <v>0.35729497959183676</v>
      </c>
    </row>
    <row r="17" spans="1:46" ht="24.95" customHeight="1">
      <c r="A17" s="32" t="s">
        <v>320</v>
      </c>
      <c r="B17" s="217" t="s">
        <v>321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42</v>
      </c>
      <c r="I17" s="219"/>
      <c r="J17" s="219"/>
      <c r="K17" s="220" t="s">
        <v>28</v>
      </c>
      <c r="L17" s="221" t="s">
        <v>29</v>
      </c>
      <c r="M17" s="217" t="s">
        <v>43</v>
      </c>
      <c r="N17" s="222">
        <v>2730000000</v>
      </c>
      <c r="O17" s="222">
        <v>2536186585</v>
      </c>
      <c r="P17" s="224">
        <v>0.92900607509157507</v>
      </c>
      <c r="Q17" s="222">
        <v>2536186585</v>
      </c>
      <c r="R17" s="224">
        <v>0.92900607509157507</v>
      </c>
      <c r="S17" s="222">
        <v>26471392</v>
      </c>
      <c r="T17" s="224">
        <v>9.6964805860805855E-3</v>
      </c>
    </row>
    <row r="18" spans="1:46" ht="24.95" customHeight="1">
      <c r="A18" s="32" t="s">
        <v>322</v>
      </c>
      <c r="B18" s="217" t="s">
        <v>323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44</v>
      </c>
      <c r="I18" s="219"/>
      <c r="J18" s="219"/>
      <c r="K18" s="220" t="s">
        <v>28</v>
      </c>
      <c r="L18" s="221" t="s">
        <v>29</v>
      </c>
      <c r="M18" s="217" t="s">
        <v>45</v>
      </c>
      <c r="N18" s="222">
        <v>1800000000</v>
      </c>
      <c r="O18" s="222">
        <v>976356499</v>
      </c>
      <c r="P18" s="224">
        <v>0.54242027722222219</v>
      </c>
      <c r="Q18" s="222">
        <v>976356499</v>
      </c>
      <c r="R18" s="224">
        <v>0.54242027722222219</v>
      </c>
      <c r="S18" s="222">
        <v>976356499</v>
      </c>
      <c r="T18" s="224">
        <v>0.54242027722222219</v>
      </c>
    </row>
    <row r="19" spans="1:46" ht="24.95" customHeight="1">
      <c r="A19" s="32" t="s">
        <v>324</v>
      </c>
      <c r="B19" s="217" t="s">
        <v>325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46</v>
      </c>
      <c r="I19" s="219"/>
      <c r="J19" s="219"/>
      <c r="K19" s="220" t="s">
        <v>28</v>
      </c>
      <c r="L19" s="221" t="s">
        <v>29</v>
      </c>
      <c r="M19" s="217" t="s">
        <v>47</v>
      </c>
      <c r="N19" s="222">
        <v>250000000</v>
      </c>
      <c r="O19" s="222">
        <v>36043388</v>
      </c>
      <c r="P19" s="224">
        <v>0.14417355200000001</v>
      </c>
      <c r="Q19" s="222">
        <v>36043388</v>
      </c>
      <c r="R19" s="224">
        <v>0.14417355200000001</v>
      </c>
      <c r="S19" s="222">
        <v>36043388</v>
      </c>
      <c r="T19" s="224">
        <v>0.14417355200000001</v>
      </c>
    </row>
    <row r="20" spans="1:46" ht="24.95" customHeight="1">
      <c r="A20" s="32" t="s">
        <v>326</v>
      </c>
      <c r="B20" s="217" t="s">
        <v>327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48</v>
      </c>
      <c r="I20" s="219"/>
      <c r="J20" s="219"/>
      <c r="K20" s="220" t="s">
        <v>28</v>
      </c>
      <c r="L20" s="221" t="s">
        <v>29</v>
      </c>
      <c r="M20" s="217" t="s">
        <v>49</v>
      </c>
      <c r="N20" s="222">
        <v>5000000000</v>
      </c>
      <c r="O20" s="222">
        <v>13825677</v>
      </c>
      <c r="P20" s="224">
        <v>2.7651353999999999E-3</v>
      </c>
      <c r="Q20" s="222">
        <v>13825677</v>
      </c>
      <c r="R20" s="224">
        <v>2.7651353999999999E-3</v>
      </c>
      <c r="S20" s="222">
        <v>13825677</v>
      </c>
      <c r="T20" s="224">
        <v>2.7651353999999999E-3</v>
      </c>
    </row>
    <row r="21" spans="1:46" ht="24.95" customHeight="1">
      <c r="A21" s="32" t="s">
        <v>328</v>
      </c>
      <c r="B21" s="217" t="s">
        <v>329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50</v>
      </c>
      <c r="I21" s="219"/>
      <c r="J21" s="219"/>
      <c r="K21" s="220" t="s">
        <v>28</v>
      </c>
      <c r="L21" s="221" t="s">
        <v>29</v>
      </c>
      <c r="M21" s="217" t="s">
        <v>51</v>
      </c>
      <c r="N21" s="222">
        <v>2325000000</v>
      </c>
      <c r="O21" s="222">
        <v>732483166</v>
      </c>
      <c r="P21" s="224">
        <v>0.3150465230107527</v>
      </c>
      <c r="Q21" s="222">
        <v>732483166</v>
      </c>
      <c r="R21" s="224">
        <v>0.3150465230107527</v>
      </c>
      <c r="S21" s="222">
        <v>732483166</v>
      </c>
      <c r="T21" s="224">
        <v>0.3150465230107527</v>
      </c>
    </row>
    <row r="22" spans="1:46" s="64" customFormat="1" ht="24.95" customHeight="1">
      <c r="A22" s="32" t="s">
        <v>552</v>
      </c>
      <c r="B22" s="217" t="s">
        <v>553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25" t="s">
        <v>52</v>
      </c>
      <c r="I22" s="219"/>
      <c r="J22" s="219"/>
      <c r="K22" s="220" t="s">
        <v>28</v>
      </c>
      <c r="L22" s="221" t="s">
        <v>29</v>
      </c>
      <c r="M22" s="217" t="s">
        <v>53</v>
      </c>
      <c r="N22" s="222">
        <v>45000000</v>
      </c>
      <c r="O22" s="222">
        <v>9003147</v>
      </c>
      <c r="P22" s="224">
        <v>0.20006993333333334</v>
      </c>
      <c r="Q22" s="222">
        <v>9003147</v>
      </c>
      <c r="R22" s="224">
        <v>0.20006993333333334</v>
      </c>
      <c r="S22" s="222">
        <v>9003147</v>
      </c>
      <c r="T22" s="224">
        <v>0.20006993333333334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</row>
    <row r="23" spans="1:46" ht="24.95" customHeight="1">
      <c r="A23" s="32" t="s">
        <v>330</v>
      </c>
      <c r="B23" s="226" t="s">
        <v>331</v>
      </c>
      <c r="C23" s="227" t="s">
        <v>23</v>
      </c>
      <c r="D23" s="228" t="s">
        <v>25</v>
      </c>
      <c r="E23" s="228" t="s">
        <v>25</v>
      </c>
      <c r="F23" s="228" t="s">
        <v>54</v>
      </c>
      <c r="G23" s="228"/>
      <c r="H23" s="228"/>
      <c r="I23" s="228"/>
      <c r="J23" s="228"/>
      <c r="K23" s="229" t="s">
        <v>28</v>
      </c>
      <c r="L23" s="230" t="s">
        <v>29</v>
      </c>
      <c r="M23" s="231" t="s">
        <v>55</v>
      </c>
      <c r="N23" s="232">
        <v>24735000000</v>
      </c>
      <c r="O23" s="232">
        <v>14004424516</v>
      </c>
      <c r="P23" s="233">
        <v>0.56617847244794828</v>
      </c>
      <c r="Q23" s="232">
        <v>11535191444</v>
      </c>
      <c r="R23" s="233">
        <v>0.46635097812815846</v>
      </c>
      <c r="S23" s="232">
        <v>11535131644</v>
      </c>
      <c r="T23" s="233">
        <v>0.4663485605013139</v>
      </c>
    </row>
    <row r="24" spans="1:46" ht="24.95" customHeight="1">
      <c r="A24" s="32" t="s">
        <v>332</v>
      </c>
      <c r="B24" s="217" t="s">
        <v>333</v>
      </c>
      <c r="C24" s="218" t="s">
        <v>23</v>
      </c>
      <c r="D24" s="219" t="s">
        <v>25</v>
      </c>
      <c r="E24" s="219" t="s">
        <v>25</v>
      </c>
      <c r="F24" s="219" t="s">
        <v>54</v>
      </c>
      <c r="G24" s="219" t="s">
        <v>31</v>
      </c>
      <c r="H24" s="219"/>
      <c r="I24" s="219"/>
      <c r="J24" s="219"/>
      <c r="K24" s="220" t="s">
        <v>28</v>
      </c>
      <c r="L24" s="221" t="s">
        <v>29</v>
      </c>
      <c r="M24" s="217" t="s">
        <v>56</v>
      </c>
      <c r="N24" s="222">
        <v>7000000000</v>
      </c>
      <c r="O24" s="222">
        <v>3463491758</v>
      </c>
      <c r="P24" s="224">
        <v>0.49478453685714285</v>
      </c>
      <c r="Q24" s="222">
        <v>3463491758</v>
      </c>
      <c r="R24" s="224">
        <v>0.49478453685714285</v>
      </c>
      <c r="S24" s="222">
        <v>3463491758</v>
      </c>
      <c r="T24" s="224">
        <v>0.49478453685714285</v>
      </c>
    </row>
    <row r="25" spans="1:46" ht="24.95" customHeight="1">
      <c r="A25" s="32" t="s">
        <v>334</v>
      </c>
      <c r="B25" s="217" t="s">
        <v>335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34</v>
      </c>
      <c r="H25" s="219"/>
      <c r="I25" s="219"/>
      <c r="J25" s="219"/>
      <c r="K25" s="220" t="s">
        <v>28</v>
      </c>
      <c r="L25" s="221" t="s">
        <v>29</v>
      </c>
      <c r="M25" s="217" t="s">
        <v>57</v>
      </c>
      <c r="N25" s="222">
        <v>6000000000</v>
      </c>
      <c r="O25" s="222">
        <v>2600725058</v>
      </c>
      <c r="P25" s="224">
        <v>0.43345417633333333</v>
      </c>
      <c r="Q25" s="222">
        <v>2600725058</v>
      </c>
      <c r="R25" s="224">
        <v>0.43345417633333333</v>
      </c>
      <c r="S25" s="222">
        <v>2600725058</v>
      </c>
      <c r="T25" s="224">
        <v>0.43345417633333333</v>
      </c>
    </row>
    <row r="26" spans="1:46" ht="24.95" customHeight="1">
      <c r="A26" s="32" t="s">
        <v>336</v>
      </c>
      <c r="B26" s="217" t="s">
        <v>337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36</v>
      </c>
      <c r="H26" s="219"/>
      <c r="I26" s="219"/>
      <c r="J26" s="219"/>
      <c r="K26" s="220" t="s">
        <v>28</v>
      </c>
      <c r="L26" s="221" t="s">
        <v>29</v>
      </c>
      <c r="M26" s="217" t="s">
        <v>58</v>
      </c>
      <c r="N26" s="222">
        <v>5555000000</v>
      </c>
      <c r="O26" s="222">
        <v>4950300000</v>
      </c>
      <c r="P26" s="224">
        <v>0.89114311431143112</v>
      </c>
      <c r="Q26" s="222">
        <v>2488007128</v>
      </c>
      <c r="R26" s="224">
        <v>0.44788607164716471</v>
      </c>
      <c r="S26" s="222">
        <v>2488007128</v>
      </c>
      <c r="T26" s="224">
        <v>0.44788607164716471</v>
      </c>
    </row>
    <row r="27" spans="1:46" ht="24.95" customHeight="1">
      <c r="A27" s="32" t="s">
        <v>338</v>
      </c>
      <c r="B27" s="217" t="s">
        <v>339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38</v>
      </c>
      <c r="H27" s="219"/>
      <c r="I27" s="219"/>
      <c r="J27" s="219"/>
      <c r="K27" s="220" t="s">
        <v>28</v>
      </c>
      <c r="L27" s="221" t="s">
        <v>29</v>
      </c>
      <c r="M27" s="217" t="s">
        <v>59</v>
      </c>
      <c r="N27" s="222">
        <v>2500000000</v>
      </c>
      <c r="O27" s="222">
        <v>1196942800</v>
      </c>
      <c r="P27" s="224">
        <v>0.47877712</v>
      </c>
      <c r="Q27" s="222">
        <v>1196942800</v>
      </c>
      <c r="R27" s="224">
        <v>0.47877712</v>
      </c>
      <c r="S27" s="222">
        <v>1196942800</v>
      </c>
      <c r="T27" s="224">
        <v>0.47877712</v>
      </c>
    </row>
    <row r="28" spans="1:46" ht="24.95" customHeight="1">
      <c r="A28" s="32" t="s">
        <v>340</v>
      </c>
      <c r="B28" s="217" t="s">
        <v>341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40</v>
      </c>
      <c r="H28" s="219"/>
      <c r="I28" s="219"/>
      <c r="J28" s="219"/>
      <c r="K28" s="220" t="s">
        <v>28</v>
      </c>
      <c r="L28" s="221" t="s">
        <v>29</v>
      </c>
      <c r="M28" s="217" t="s">
        <v>60</v>
      </c>
      <c r="N28" s="222">
        <v>500000000</v>
      </c>
      <c r="O28" s="222">
        <v>295722400</v>
      </c>
      <c r="P28" s="224">
        <v>0.59144479999999999</v>
      </c>
      <c r="Q28" s="222">
        <v>288782200</v>
      </c>
      <c r="R28" s="224">
        <v>0.57756439999999998</v>
      </c>
      <c r="S28" s="222">
        <v>288722400</v>
      </c>
      <c r="T28" s="224">
        <v>0.57744479999999998</v>
      </c>
    </row>
    <row r="29" spans="1:46" ht="24.95" customHeight="1">
      <c r="A29" s="32" t="s">
        <v>342</v>
      </c>
      <c r="B29" s="217" t="s">
        <v>343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42</v>
      </c>
      <c r="H29" s="219"/>
      <c r="I29" s="219"/>
      <c r="J29" s="219"/>
      <c r="K29" s="220" t="s">
        <v>28</v>
      </c>
      <c r="L29" s="221" t="s">
        <v>29</v>
      </c>
      <c r="M29" s="217" t="s">
        <v>61</v>
      </c>
      <c r="N29" s="222">
        <v>1890000000</v>
      </c>
      <c r="O29" s="222">
        <v>897846600</v>
      </c>
      <c r="P29" s="224">
        <v>0.47505111111111109</v>
      </c>
      <c r="Q29" s="222">
        <v>897846600</v>
      </c>
      <c r="R29" s="224">
        <v>0.47505111111111109</v>
      </c>
      <c r="S29" s="222">
        <v>897846600</v>
      </c>
      <c r="T29" s="224">
        <v>0.47505111111111109</v>
      </c>
    </row>
    <row r="30" spans="1:46" ht="24.95" customHeight="1">
      <c r="A30" s="32" t="s">
        <v>344</v>
      </c>
      <c r="B30" s="217" t="s">
        <v>345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44</v>
      </c>
      <c r="H30" s="219"/>
      <c r="I30" s="219"/>
      <c r="J30" s="219"/>
      <c r="K30" s="220" t="s">
        <v>28</v>
      </c>
      <c r="L30" s="221" t="s">
        <v>29</v>
      </c>
      <c r="M30" s="217" t="s">
        <v>62</v>
      </c>
      <c r="N30" s="222">
        <v>320000000</v>
      </c>
      <c r="O30" s="222">
        <v>149928700</v>
      </c>
      <c r="P30" s="224">
        <v>0.4685271875</v>
      </c>
      <c r="Q30" s="222">
        <v>149928700</v>
      </c>
      <c r="R30" s="224">
        <v>0.4685271875</v>
      </c>
      <c r="S30" s="222">
        <v>149928700</v>
      </c>
      <c r="T30" s="224">
        <v>0.4685271875</v>
      </c>
    </row>
    <row r="31" spans="1:46" ht="24.95" customHeight="1">
      <c r="A31" s="32" t="s">
        <v>346</v>
      </c>
      <c r="B31" s="217" t="s">
        <v>347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46</v>
      </c>
      <c r="H31" s="219"/>
      <c r="I31" s="219"/>
      <c r="J31" s="219"/>
      <c r="K31" s="220" t="s">
        <v>28</v>
      </c>
      <c r="L31" s="221" t="s">
        <v>29</v>
      </c>
      <c r="M31" s="217" t="s">
        <v>63</v>
      </c>
      <c r="N31" s="222">
        <v>320000000</v>
      </c>
      <c r="O31" s="222">
        <v>149928700</v>
      </c>
      <c r="P31" s="224">
        <v>0.4685271875</v>
      </c>
      <c r="Q31" s="222">
        <v>149928700</v>
      </c>
      <c r="R31" s="224">
        <v>0.4685271875</v>
      </c>
      <c r="S31" s="222">
        <v>149928700</v>
      </c>
      <c r="T31" s="224">
        <v>0.4685271875</v>
      </c>
    </row>
    <row r="32" spans="1:46" ht="24.95" customHeight="1">
      <c r="A32" s="32" t="s">
        <v>348</v>
      </c>
      <c r="B32" s="217" t="s">
        <v>349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48</v>
      </c>
      <c r="H32" s="219"/>
      <c r="I32" s="219"/>
      <c r="J32" s="219"/>
      <c r="K32" s="220" t="s">
        <v>28</v>
      </c>
      <c r="L32" s="221" t="s">
        <v>29</v>
      </c>
      <c r="M32" s="217" t="s">
        <v>64</v>
      </c>
      <c r="N32" s="222">
        <v>650000000</v>
      </c>
      <c r="O32" s="222">
        <v>299538500</v>
      </c>
      <c r="P32" s="224">
        <v>0.46082846153846152</v>
      </c>
      <c r="Q32" s="222">
        <v>299538500</v>
      </c>
      <c r="R32" s="224">
        <v>0.46082846153846152</v>
      </c>
      <c r="S32" s="222">
        <v>299538500</v>
      </c>
      <c r="T32" s="224">
        <v>0.46082846153846152</v>
      </c>
    </row>
    <row r="33" spans="1:20" ht="24.95" customHeight="1">
      <c r="A33" s="32" t="s">
        <v>350</v>
      </c>
      <c r="B33" s="226" t="s">
        <v>351</v>
      </c>
      <c r="C33" s="227" t="s">
        <v>23</v>
      </c>
      <c r="D33" s="228" t="s">
        <v>25</v>
      </c>
      <c r="E33" s="228" t="s">
        <v>25</v>
      </c>
      <c r="F33" s="228" t="s">
        <v>65</v>
      </c>
      <c r="G33" s="228"/>
      <c r="H33" s="228"/>
      <c r="I33" s="228"/>
      <c r="J33" s="228"/>
      <c r="K33" s="229" t="s">
        <v>28</v>
      </c>
      <c r="L33" s="230" t="s">
        <v>29</v>
      </c>
      <c r="M33" s="231" t="s">
        <v>66</v>
      </c>
      <c r="N33" s="232">
        <v>6984000000</v>
      </c>
      <c r="O33" s="232">
        <v>3011603963</v>
      </c>
      <c r="P33" s="233">
        <v>0.43121477133447883</v>
      </c>
      <c r="Q33" s="232">
        <v>3011283896</v>
      </c>
      <c r="R33" s="233">
        <v>0.43116894272623141</v>
      </c>
      <c r="S33" s="232">
        <v>3011283896</v>
      </c>
      <c r="T33" s="233">
        <v>0.43116894272623141</v>
      </c>
    </row>
    <row r="34" spans="1:20" ht="24.95" customHeight="1">
      <c r="A34" s="32" t="s">
        <v>352</v>
      </c>
      <c r="B34" s="210" t="s">
        <v>353</v>
      </c>
      <c r="C34" s="211" t="s">
        <v>23</v>
      </c>
      <c r="D34" s="212" t="s">
        <v>25</v>
      </c>
      <c r="E34" s="212" t="s">
        <v>25</v>
      </c>
      <c r="F34" s="212" t="s">
        <v>65</v>
      </c>
      <c r="G34" s="212" t="s">
        <v>31</v>
      </c>
      <c r="H34" s="212"/>
      <c r="I34" s="212"/>
      <c r="J34" s="212"/>
      <c r="K34" s="213" t="s">
        <v>28</v>
      </c>
      <c r="L34" s="214" t="s">
        <v>29</v>
      </c>
      <c r="M34" s="210" t="s">
        <v>67</v>
      </c>
      <c r="N34" s="215">
        <v>3400000000</v>
      </c>
      <c r="O34" s="215">
        <v>1192048987</v>
      </c>
      <c r="P34" s="216">
        <v>0.35060264323529411</v>
      </c>
      <c r="Q34" s="215">
        <v>1192048987</v>
      </c>
      <c r="R34" s="216">
        <v>0.35060264323529411</v>
      </c>
      <c r="S34" s="215">
        <v>1192048987</v>
      </c>
      <c r="T34" s="216">
        <v>0.35060264323529411</v>
      </c>
    </row>
    <row r="35" spans="1:20" ht="24.95" customHeight="1">
      <c r="A35" s="32" t="s">
        <v>354</v>
      </c>
      <c r="B35" s="217" t="s">
        <v>355</v>
      </c>
      <c r="C35" s="218" t="s">
        <v>23</v>
      </c>
      <c r="D35" s="219" t="s">
        <v>25</v>
      </c>
      <c r="E35" s="219" t="s">
        <v>25</v>
      </c>
      <c r="F35" s="219" t="s">
        <v>65</v>
      </c>
      <c r="G35" s="219" t="s">
        <v>31</v>
      </c>
      <c r="H35" s="219" t="s">
        <v>31</v>
      </c>
      <c r="I35" s="219"/>
      <c r="J35" s="219"/>
      <c r="K35" s="220" t="s">
        <v>28</v>
      </c>
      <c r="L35" s="221" t="s">
        <v>29</v>
      </c>
      <c r="M35" s="217" t="s">
        <v>68</v>
      </c>
      <c r="N35" s="222">
        <v>2580000000</v>
      </c>
      <c r="O35" s="222">
        <v>989319788</v>
      </c>
      <c r="P35" s="224">
        <v>0.38345728217054265</v>
      </c>
      <c r="Q35" s="222">
        <v>989319788</v>
      </c>
      <c r="R35" s="224">
        <v>0.38345728217054265</v>
      </c>
      <c r="S35" s="222">
        <v>989319788</v>
      </c>
      <c r="T35" s="224">
        <v>0.38345728217054265</v>
      </c>
    </row>
    <row r="36" spans="1:20" ht="24.95" customHeight="1">
      <c r="A36" s="32" t="s">
        <v>356</v>
      </c>
      <c r="B36" s="217" t="s">
        <v>357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34</v>
      </c>
      <c r="I36" s="219"/>
      <c r="J36" s="219"/>
      <c r="K36" s="220" t="s">
        <v>28</v>
      </c>
      <c r="L36" s="221" t="s">
        <v>29</v>
      </c>
      <c r="M36" s="217" t="s">
        <v>69</v>
      </c>
      <c r="N36" s="222">
        <v>500000000</v>
      </c>
      <c r="O36" s="222">
        <v>111949249</v>
      </c>
      <c r="P36" s="224">
        <v>0.223898498</v>
      </c>
      <c r="Q36" s="222">
        <v>111949249</v>
      </c>
      <c r="R36" s="224">
        <v>0.223898498</v>
      </c>
      <c r="S36" s="222">
        <v>111949249</v>
      </c>
      <c r="T36" s="224">
        <v>0.223898498</v>
      </c>
    </row>
    <row r="37" spans="1:20" ht="24.95" customHeight="1">
      <c r="A37" s="32" t="s">
        <v>358</v>
      </c>
      <c r="B37" s="234" t="s">
        <v>359</v>
      </c>
      <c r="C37" s="235" t="s">
        <v>23</v>
      </c>
      <c r="D37" s="236" t="s">
        <v>25</v>
      </c>
      <c r="E37" s="236" t="s">
        <v>25</v>
      </c>
      <c r="F37" s="236" t="s">
        <v>65</v>
      </c>
      <c r="G37" s="236" t="s">
        <v>31</v>
      </c>
      <c r="H37" s="236" t="s">
        <v>36</v>
      </c>
      <c r="I37" s="236"/>
      <c r="J37" s="236"/>
      <c r="K37" s="237" t="s">
        <v>28</v>
      </c>
      <c r="L37" s="238" t="s">
        <v>29</v>
      </c>
      <c r="M37" s="234" t="s">
        <v>70</v>
      </c>
      <c r="N37" s="239">
        <v>320000000</v>
      </c>
      <c r="O37" s="239">
        <v>90779950</v>
      </c>
      <c r="P37" s="240">
        <v>0.28368734374999999</v>
      </c>
      <c r="Q37" s="239">
        <v>90779950</v>
      </c>
      <c r="R37" s="240">
        <v>0.28368734374999999</v>
      </c>
      <c r="S37" s="239">
        <v>90779950</v>
      </c>
      <c r="T37" s="240">
        <v>0.28368734374999999</v>
      </c>
    </row>
    <row r="38" spans="1:20" ht="24.95" customHeight="1">
      <c r="A38" s="32" t="s">
        <v>360</v>
      </c>
      <c r="B38" s="217" t="s">
        <v>361</v>
      </c>
      <c r="C38" s="218" t="s">
        <v>23</v>
      </c>
      <c r="D38" s="219" t="s">
        <v>25</v>
      </c>
      <c r="E38" s="219" t="s">
        <v>25</v>
      </c>
      <c r="F38" s="219" t="s">
        <v>65</v>
      </c>
      <c r="G38" s="219" t="s">
        <v>34</v>
      </c>
      <c r="H38" s="219"/>
      <c r="I38" s="219"/>
      <c r="J38" s="219"/>
      <c r="K38" s="220" t="s">
        <v>28</v>
      </c>
      <c r="L38" s="221" t="s">
        <v>29</v>
      </c>
      <c r="M38" s="217" t="s">
        <v>71</v>
      </c>
      <c r="N38" s="222">
        <v>2160000000</v>
      </c>
      <c r="O38" s="222">
        <v>1110141224</v>
      </c>
      <c r="P38" s="224">
        <v>0.51395427037037034</v>
      </c>
      <c r="Q38" s="222">
        <v>1110141224</v>
      </c>
      <c r="R38" s="224">
        <v>0.51395427037037034</v>
      </c>
      <c r="S38" s="222">
        <v>1110141224</v>
      </c>
      <c r="T38" s="224">
        <v>0.51395427037037034</v>
      </c>
    </row>
    <row r="39" spans="1:20" ht="24.95" customHeight="1">
      <c r="A39" s="32" t="s">
        <v>362</v>
      </c>
      <c r="B39" s="217" t="s">
        <v>363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40</v>
      </c>
      <c r="H39" s="219"/>
      <c r="I39" s="219"/>
      <c r="J39" s="219"/>
      <c r="K39" s="220" t="s">
        <v>28</v>
      </c>
      <c r="L39" s="221" t="s">
        <v>29</v>
      </c>
      <c r="M39" s="217" t="s">
        <v>72</v>
      </c>
      <c r="N39" s="222">
        <v>24000000</v>
      </c>
      <c r="O39" s="222">
        <v>2090706</v>
      </c>
      <c r="P39" s="224">
        <v>8.7112750000000003E-2</v>
      </c>
      <c r="Q39" s="222">
        <v>2090706</v>
      </c>
      <c r="R39" s="224">
        <v>8.7112750000000003E-2</v>
      </c>
      <c r="S39" s="222">
        <v>2090706</v>
      </c>
      <c r="T39" s="224">
        <v>8.7112750000000003E-2</v>
      </c>
    </row>
    <row r="40" spans="1:20" ht="24.95" customHeight="1">
      <c r="A40" s="32" t="s">
        <v>365</v>
      </c>
      <c r="B40" s="217" t="s">
        <v>366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74</v>
      </c>
      <c r="H40" s="219"/>
      <c r="I40" s="219"/>
      <c r="J40" s="219"/>
      <c r="K40" s="220" t="s">
        <v>28</v>
      </c>
      <c r="L40" s="221" t="s">
        <v>29</v>
      </c>
      <c r="M40" s="217" t="s">
        <v>75</v>
      </c>
      <c r="N40" s="222">
        <v>30000000</v>
      </c>
      <c r="O40" s="222">
        <v>0</v>
      </c>
      <c r="P40" s="224">
        <v>0</v>
      </c>
      <c r="Q40" s="222">
        <v>0</v>
      </c>
      <c r="R40" s="224">
        <v>0</v>
      </c>
      <c r="S40" s="222">
        <v>0</v>
      </c>
      <c r="T40" s="224">
        <v>0</v>
      </c>
    </row>
    <row r="41" spans="1:20" ht="24.95" customHeight="1">
      <c r="A41" s="32" t="s">
        <v>367</v>
      </c>
      <c r="B41" s="217" t="s">
        <v>368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76</v>
      </c>
      <c r="H41" s="219"/>
      <c r="I41" s="219"/>
      <c r="J41" s="219"/>
      <c r="K41" s="220" t="s">
        <v>28</v>
      </c>
      <c r="L41" s="221" t="s">
        <v>29</v>
      </c>
      <c r="M41" s="217" t="s">
        <v>77</v>
      </c>
      <c r="N41" s="222">
        <v>770000000</v>
      </c>
      <c r="O41" s="222">
        <v>409233171</v>
      </c>
      <c r="P41" s="224">
        <v>0.53147165064935065</v>
      </c>
      <c r="Q41" s="222">
        <v>408913104</v>
      </c>
      <c r="R41" s="224">
        <v>0.53105597922077918</v>
      </c>
      <c r="S41" s="222">
        <v>408913104</v>
      </c>
      <c r="T41" s="224">
        <v>0.53105597922077918</v>
      </c>
    </row>
    <row r="42" spans="1:20" ht="24.95" customHeight="1">
      <c r="A42" s="32" t="s">
        <v>369</v>
      </c>
      <c r="B42" s="217" t="s">
        <v>370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78</v>
      </c>
      <c r="H42" s="219"/>
      <c r="I42" s="219"/>
      <c r="J42" s="219"/>
      <c r="K42" s="220" t="s">
        <v>28</v>
      </c>
      <c r="L42" s="221" t="s">
        <v>29</v>
      </c>
      <c r="M42" s="217" t="s">
        <v>79</v>
      </c>
      <c r="N42" s="222">
        <v>600000000</v>
      </c>
      <c r="O42" s="222">
        <v>298089875</v>
      </c>
      <c r="P42" s="224">
        <v>0.49681645833333332</v>
      </c>
      <c r="Q42" s="222">
        <v>298089875</v>
      </c>
      <c r="R42" s="224">
        <v>0.49681645833333332</v>
      </c>
      <c r="S42" s="222">
        <v>298089875</v>
      </c>
      <c r="T42" s="224">
        <v>0.49681645833333332</v>
      </c>
    </row>
    <row r="43" spans="1:20" ht="35.1" customHeight="1">
      <c r="A43" s="32" t="s">
        <v>371</v>
      </c>
      <c r="B43" s="188" t="s">
        <v>372</v>
      </c>
      <c r="C43" s="189" t="s">
        <v>23</v>
      </c>
      <c r="D43" s="191" t="s">
        <v>54</v>
      </c>
      <c r="E43" s="191"/>
      <c r="F43" s="191"/>
      <c r="G43" s="191"/>
      <c r="H43" s="191"/>
      <c r="I43" s="191"/>
      <c r="J43" s="191"/>
      <c r="K43" s="192"/>
      <c r="L43" s="193"/>
      <c r="M43" s="188" t="s">
        <v>80</v>
      </c>
      <c r="N43" s="194">
        <v>42289000000</v>
      </c>
      <c r="O43" s="194">
        <v>34358074510.150002</v>
      </c>
      <c r="P43" s="195">
        <v>0.81245890208210181</v>
      </c>
      <c r="Q43" s="194">
        <v>16343246927.49</v>
      </c>
      <c r="R43" s="195">
        <v>0.38646567493887296</v>
      </c>
      <c r="S43" s="194">
        <v>16247148511.280001</v>
      </c>
      <c r="T43" s="195">
        <v>0.38419325383149283</v>
      </c>
    </row>
    <row r="44" spans="1:20" ht="24.95" customHeight="1">
      <c r="A44" s="32" t="s">
        <v>376</v>
      </c>
      <c r="B44" s="196" t="s">
        <v>377</v>
      </c>
      <c r="C44" s="197" t="s">
        <v>23</v>
      </c>
      <c r="D44" s="198" t="s">
        <v>54</v>
      </c>
      <c r="E44" s="198" t="s">
        <v>54</v>
      </c>
      <c r="F44" s="198"/>
      <c r="G44" s="198"/>
      <c r="H44" s="198"/>
      <c r="I44" s="198"/>
      <c r="J44" s="198"/>
      <c r="K44" s="199"/>
      <c r="L44" s="200"/>
      <c r="M44" s="196" t="s">
        <v>86</v>
      </c>
      <c r="N44" s="201">
        <v>42289000000</v>
      </c>
      <c r="O44" s="201">
        <v>34358074510.150002</v>
      </c>
      <c r="P44" s="202">
        <v>0.81245890208210181</v>
      </c>
      <c r="Q44" s="201">
        <v>16343246927.49</v>
      </c>
      <c r="R44" s="202">
        <v>0.38646567493887296</v>
      </c>
      <c r="S44" s="201">
        <v>16247148511.280001</v>
      </c>
      <c r="T44" s="202">
        <v>0.38419325383149283</v>
      </c>
    </row>
    <row r="45" spans="1:20" ht="24.95" customHeight="1">
      <c r="A45" s="32" t="s">
        <v>378</v>
      </c>
      <c r="B45" s="203" t="s">
        <v>379</v>
      </c>
      <c r="C45" s="204" t="s">
        <v>23</v>
      </c>
      <c r="D45" s="205" t="s">
        <v>54</v>
      </c>
      <c r="E45" s="205" t="s">
        <v>54</v>
      </c>
      <c r="F45" s="205" t="s">
        <v>25</v>
      </c>
      <c r="G45" s="205"/>
      <c r="H45" s="205"/>
      <c r="I45" s="205"/>
      <c r="J45" s="205"/>
      <c r="K45" s="206" t="s">
        <v>28</v>
      </c>
      <c r="L45" s="207" t="s">
        <v>29</v>
      </c>
      <c r="M45" s="203" t="s">
        <v>87</v>
      </c>
      <c r="N45" s="208">
        <v>887849052</v>
      </c>
      <c r="O45" s="208">
        <v>401335023.57999998</v>
      </c>
      <c r="P45" s="209">
        <v>0.45203069449242367</v>
      </c>
      <c r="Q45" s="208">
        <v>61239110</v>
      </c>
      <c r="R45" s="209">
        <v>6.8974686476322322E-2</v>
      </c>
      <c r="S45" s="208">
        <v>61239110</v>
      </c>
      <c r="T45" s="209">
        <v>6.8974686476322322E-2</v>
      </c>
    </row>
    <row r="46" spans="1:20" ht="24.95" customHeight="1">
      <c r="A46" s="32" t="s">
        <v>380</v>
      </c>
      <c r="B46" s="210" t="s">
        <v>381</v>
      </c>
      <c r="C46" s="211" t="s">
        <v>23</v>
      </c>
      <c r="D46" s="212" t="s">
        <v>54</v>
      </c>
      <c r="E46" s="212" t="s">
        <v>54</v>
      </c>
      <c r="F46" s="212" t="s">
        <v>25</v>
      </c>
      <c r="G46" s="212" t="s">
        <v>31</v>
      </c>
      <c r="H46" s="212"/>
      <c r="I46" s="212"/>
      <c r="J46" s="212"/>
      <c r="K46" s="213" t="s">
        <v>28</v>
      </c>
      <c r="L46" s="214" t="s">
        <v>29</v>
      </c>
      <c r="M46" s="210" t="s">
        <v>88</v>
      </c>
      <c r="N46" s="215">
        <v>48432471</v>
      </c>
      <c r="O46" s="215">
        <v>42432471</v>
      </c>
      <c r="P46" s="216">
        <v>0.87611617007936682</v>
      </c>
      <c r="Q46" s="215">
        <v>0</v>
      </c>
      <c r="R46" s="216">
        <v>0</v>
      </c>
      <c r="S46" s="215">
        <v>0</v>
      </c>
      <c r="T46" s="216">
        <v>0</v>
      </c>
    </row>
    <row r="47" spans="1:20" ht="24.95" customHeight="1">
      <c r="A47" s="32" t="s">
        <v>554</v>
      </c>
      <c r="B47" s="217" t="s">
        <v>555</v>
      </c>
      <c r="C47" s="218" t="s">
        <v>23</v>
      </c>
      <c r="D47" s="219" t="s">
        <v>54</v>
      </c>
      <c r="E47" s="219" t="s">
        <v>54</v>
      </c>
      <c r="F47" s="219" t="s">
        <v>25</v>
      </c>
      <c r="G47" s="219" t="s">
        <v>31</v>
      </c>
      <c r="H47" s="225" t="s">
        <v>40</v>
      </c>
      <c r="I47" s="219"/>
      <c r="J47" s="219"/>
      <c r="K47" s="220">
        <v>10</v>
      </c>
      <c r="L47" s="221" t="s">
        <v>29</v>
      </c>
      <c r="M47" s="217" t="s">
        <v>89</v>
      </c>
      <c r="N47" s="222">
        <v>35000000</v>
      </c>
      <c r="O47" s="222">
        <v>35000000</v>
      </c>
      <c r="P47" s="224">
        <v>1</v>
      </c>
      <c r="Q47" s="222">
        <v>0</v>
      </c>
      <c r="R47" s="224">
        <v>0</v>
      </c>
      <c r="S47" s="222">
        <v>0</v>
      </c>
      <c r="T47" s="224">
        <v>0</v>
      </c>
    </row>
    <row r="48" spans="1:20" ht="24.95" customHeight="1">
      <c r="A48" s="32" t="s">
        <v>556</v>
      </c>
      <c r="B48" s="217" t="s">
        <v>557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44</v>
      </c>
      <c r="I48" s="219"/>
      <c r="J48" s="219"/>
      <c r="K48" s="220">
        <v>10</v>
      </c>
      <c r="L48" s="221" t="s">
        <v>29</v>
      </c>
      <c r="M48" s="217" t="s">
        <v>90</v>
      </c>
      <c r="N48" s="222">
        <v>13432471</v>
      </c>
      <c r="O48" s="222">
        <v>7432471</v>
      </c>
      <c r="P48" s="224">
        <v>0.55332120203349033</v>
      </c>
      <c r="Q48" s="222">
        <v>0</v>
      </c>
      <c r="R48" s="224">
        <v>0</v>
      </c>
      <c r="S48" s="222">
        <v>0</v>
      </c>
      <c r="T48" s="224">
        <v>0</v>
      </c>
    </row>
    <row r="49" spans="1:43" ht="33">
      <c r="A49" s="32" t="s">
        <v>382</v>
      </c>
      <c r="B49" s="210" t="s">
        <v>383</v>
      </c>
      <c r="C49" s="211" t="s">
        <v>23</v>
      </c>
      <c r="D49" s="212" t="s">
        <v>54</v>
      </c>
      <c r="E49" s="212" t="s">
        <v>54</v>
      </c>
      <c r="F49" s="212" t="s">
        <v>25</v>
      </c>
      <c r="G49" s="212" t="s">
        <v>34</v>
      </c>
      <c r="H49" s="212"/>
      <c r="I49" s="212"/>
      <c r="J49" s="212"/>
      <c r="K49" s="213" t="s">
        <v>28</v>
      </c>
      <c r="L49" s="214" t="s">
        <v>29</v>
      </c>
      <c r="M49" s="210" t="s">
        <v>91</v>
      </c>
      <c r="N49" s="215">
        <v>140000000</v>
      </c>
      <c r="O49" s="215">
        <v>0</v>
      </c>
      <c r="P49" s="216">
        <v>0</v>
      </c>
      <c r="Q49" s="215">
        <v>0</v>
      </c>
      <c r="R49" s="216">
        <v>0</v>
      </c>
      <c r="S49" s="215">
        <v>0</v>
      </c>
      <c r="T49" s="216">
        <v>0</v>
      </c>
    </row>
    <row r="50" spans="1:43" ht="24.95" customHeight="1">
      <c r="A50" s="32" t="s">
        <v>558</v>
      </c>
      <c r="B50" s="217" t="s">
        <v>559</v>
      </c>
      <c r="C50" s="218" t="s">
        <v>23</v>
      </c>
      <c r="D50" s="219" t="s">
        <v>54</v>
      </c>
      <c r="E50" s="219" t="s">
        <v>54</v>
      </c>
      <c r="F50" s="219" t="s">
        <v>25</v>
      </c>
      <c r="G50" s="219" t="s">
        <v>34</v>
      </c>
      <c r="H50" s="219" t="s">
        <v>46</v>
      </c>
      <c r="I50" s="219"/>
      <c r="J50" s="219"/>
      <c r="K50" s="220">
        <v>10</v>
      </c>
      <c r="L50" s="221" t="s">
        <v>29</v>
      </c>
      <c r="M50" s="217" t="s">
        <v>92</v>
      </c>
      <c r="N50" s="222">
        <v>140000000</v>
      </c>
      <c r="O50" s="222">
        <v>0</v>
      </c>
      <c r="P50" s="224">
        <v>0</v>
      </c>
      <c r="Q50" s="222">
        <v>0</v>
      </c>
      <c r="R50" s="224">
        <v>0</v>
      </c>
      <c r="S50" s="222">
        <v>0</v>
      </c>
      <c r="T50" s="224">
        <v>0</v>
      </c>
    </row>
    <row r="51" spans="1:43" ht="33">
      <c r="A51" s="32" t="s">
        <v>384</v>
      </c>
      <c r="B51" s="210" t="s">
        <v>385</v>
      </c>
      <c r="C51" s="211" t="s">
        <v>23</v>
      </c>
      <c r="D51" s="212" t="s">
        <v>54</v>
      </c>
      <c r="E51" s="212" t="s">
        <v>54</v>
      </c>
      <c r="F51" s="212" t="s">
        <v>25</v>
      </c>
      <c r="G51" s="212" t="s">
        <v>36</v>
      </c>
      <c r="H51" s="212"/>
      <c r="I51" s="212"/>
      <c r="J51" s="212"/>
      <c r="K51" s="213" t="s">
        <v>28</v>
      </c>
      <c r="L51" s="214" t="s">
        <v>29</v>
      </c>
      <c r="M51" s="210" t="s">
        <v>93</v>
      </c>
      <c r="N51" s="215">
        <v>405064202</v>
      </c>
      <c r="O51" s="215">
        <v>255478118.57999998</v>
      </c>
      <c r="P51" s="216">
        <v>0.6307101869742614</v>
      </c>
      <c r="Q51" s="215">
        <v>19474676</v>
      </c>
      <c r="R51" s="216">
        <v>4.8077998262606281E-2</v>
      </c>
      <c r="S51" s="215">
        <v>19474676</v>
      </c>
      <c r="T51" s="216">
        <v>4.8077998262606281E-2</v>
      </c>
    </row>
    <row r="52" spans="1:43" ht="33">
      <c r="A52" s="32" t="s">
        <v>560</v>
      </c>
      <c r="B52" s="217" t="s">
        <v>561</v>
      </c>
      <c r="C52" s="218" t="s">
        <v>23</v>
      </c>
      <c r="D52" s="219" t="s">
        <v>54</v>
      </c>
      <c r="E52" s="219" t="s">
        <v>54</v>
      </c>
      <c r="F52" s="219" t="s">
        <v>25</v>
      </c>
      <c r="G52" s="219" t="s">
        <v>36</v>
      </c>
      <c r="H52" s="225" t="s">
        <v>34</v>
      </c>
      <c r="I52" s="219"/>
      <c r="J52" s="219"/>
      <c r="K52" s="220">
        <v>10</v>
      </c>
      <c r="L52" s="221" t="s">
        <v>29</v>
      </c>
      <c r="M52" s="217" t="s">
        <v>94</v>
      </c>
      <c r="N52" s="222">
        <v>106000000</v>
      </c>
      <c r="O52" s="222">
        <v>3500000</v>
      </c>
      <c r="P52" s="224">
        <v>3.3018867924528301E-2</v>
      </c>
      <c r="Q52" s="222">
        <v>500000</v>
      </c>
      <c r="R52" s="224">
        <v>4.7169811320754715E-3</v>
      </c>
      <c r="S52" s="222">
        <v>500000</v>
      </c>
      <c r="T52" s="224">
        <v>4.7169811320754715E-3</v>
      </c>
    </row>
    <row r="53" spans="1:43" ht="33">
      <c r="A53" s="32" t="s">
        <v>562</v>
      </c>
      <c r="B53" s="217" t="s">
        <v>563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36</v>
      </c>
      <c r="I53" s="219"/>
      <c r="J53" s="219"/>
      <c r="K53" s="220">
        <v>10</v>
      </c>
      <c r="L53" s="221" t="s">
        <v>29</v>
      </c>
      <c r="M53" s="217" t="s">
        <v>95</v>
      </c>
      <c r="N53" s="222">
        <v>98064202</v>
      </c>
      <c r="O53" s="222">
        <v>98064202</v>
      </c>
      <c r="P53" s="224">
        <v>1</v>
      </c>
      <c r="Q53" s="222">
        <v>18474676</v>
      </c>
      <c r="R53" s="224">
        <v>0.18839368111107455</v>
      </c>
      <c r="S53" s="222">
        <v>18474676</v>
      </c>
      <c r="T53" s="224">
        <v>0.18839368111107455</v>
      </c>
    </row>
    <row r="54" spans="1:43" ht="33">
      <c r="A54" s="32" t="s">
        <v>564</v>
      </c>
      <c r="B54" s="217" t="s">
        <v>565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40</v>
      </c>
      <c r="I54" s="219"/>
      <c r="J54" s="219"/>
      <c r="K54" s="220">
        <v>10</v>
      </c>
      <c r="L54" s="221" t="s">
        <v>29</v>
      </c>
      <c r="M54" s="217" t="s">
        <v>96</v>
      </c>
      <c r="N54" s="222">
        <v>76000000</v>
      </c>
      <c r="O54" s="222">
        <v>46907780</v>
      </c>
      <c r="P54" s="224">
        <v>0.61720763157894731</v>
      </c>
      <c r="Q54" s="222">
        <v>0</v>
      </c>
      <c r="R54" s="224">
        <v>0</v>
      </c>
      <c r="S54" s="222">
        <v>0</v>
      </c>
      <c r="T54" s="224">
        <v>0</v>
      </c>
    </row>
    <row r="55" spans="1:43" ht="24.95" customHeight="1">
      <c r="A55" s="32" t="s">
        <v>566</v>
      </c>
      <c r="B55" s="217" t="s">
        <v>567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42</v>
      </c>
      <c r="I55" s="219"/>
      <c r="J55" s="219"/>
      <c r="K55" s="220">
        <v>10</v>
      </c>
      <c r="L55" s="221" t="s">
        <v>29</v>
      </c>
      <c r="M55" s="217" t="s">
        <v>97</v>
      </c>
      <c r="N55" s="222">
        <v>16000000</v>
      </c>
      <c r="O55" s="222">
        <v>16000000</v>
      </c>
      <c r="P55" s="224">
        <v>1</v>
      </c>
      <c r="Q55" s="222">
        <v>0</v>
      </c>
      <c r="R55" s="224">
        <v>0</v>
      </c>
      <c r="S55" s="222">
        <v>0</v>
      </c>
      <c r="T55" s="224">
        <v>0</v>
      </c>
    </row>
    <row r="56" spans="1:43" ht="16.5">
      <c r="A56" s="32" t="s">
        <v>568</v>
      </c>
      <c r="B56" s="217" t="s">
        <v>569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44</v>
      </c>
      <c r="I56" s="219"/>
      <c r="J56" s="219"/>
      <c r="K56" s="220">
        <v>10</v>
      </c>
      <c r="L56" s="221" t="s">
        <v>29</v>
      </c>
      <c r="M56" s="217" t="s">
        <v>98</v>
      </c>
      <c r="N56" s="222">
        <v>2000000</v>
      </c>
      <c r="O56" s="222">
        <v>1200000</v>
      </c>
      <c r="P56" s="224">
        <v>0.6</v>
      </c>
      <c r="Q56" s="222">
        <v>0</v>
      </c>
      <c r="R56" s="224">
        <v>0</v>
      </c>
      <c r="S56" s="222">
        <v>0</v>
      </c>
      <c r="T56" s="224">
        <v>0</v>
      </c>
    </row>
    <row r="57" spans="1:43" ht="24.95" customHeight="1">
      <c r="A57" s="32" t="s">
        <v>570</v>
      </c>
      <c r="B57" s="217" t="s">
        <v>571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46</v>
      </c>
      <c r="I57" s="219"/>
      <c r="J57" s="219"/>
      <c r="K57" s="220">
        <v>10</v>
      </c>
      <c r="L57" s="221" t="s">
        <v>29</v>
      </c>
      <c r="M57" s="217" t="s">
        <v>99</v>
      </c>
      <c r="N57" s="222">
        <v>107000000</v>
      </c>
      <c r="O57" s="222">
        <v>89806136.579999998</v>
      </c>
      <c r="P57" s="224">
        <v>0.83930968766355141</v>
      </c>
      <c r="Q57" s="222">
        <v>500000</v>
      </c>
      <c r="R57" s="224">
        <v>4.6728971962616819E-3</v>
      </c>
      <c r="S57" s="222">
        <v>500000</v>
      </c>
      <c r="T57" s="224">
        <v>4.6728971962616819E-3</v>
      </c>
    </row>
    <row r="58" spans="1:43" ht="24.95" customHeight="1">
      <c r="A58" s="32" t="s">
        <v>386</v>
      </c>
      <c r="B58" s="210" t="s">
        <v>387</v>
      </c>
      <c r="C58" s="211" t="s">
        <v>23</v>
      </c>
      <c r="D58" s="212" t="s">
        <v>54</v>
      </c>
      <c r="E58" s="212" t="s">
        <v>54</v>
      </c>
      <c r="F58" s="212" t="s">
        <v>25</v>
      </c>
      <c r="G58" s="212" t="s">
        <v>38</v>
      </c>
      <c r="H58" s="212"/>
      <c r="I58" s="212"/>
      <c r="J58" s="212"/>
      <c r="K58" s="213" t="s">
        <v>28</v>
      </c>
      <c r="L58" s="214" t="s">
        <v>29</v>
      </c>
      <c r="M58" s="210" t="s">
        <v>100</v>
      </c>
      <c r="N58" s="215">
        <v>294352379</v>
      </c>
      <c r="O58" s="215">
        <v>103424434</v>
      </c>
      <c r="P58" s="216">
        <v>0.35136265706892755</v>
      </c>
      <c r="Q58" s="215">
        <v>41764434</v>
      </c>
      <c r="R58" s="216">
        <v>0.14188583813008693</v>
      </c>
      <c r="S58" s="215">
        <v>41764434</v>
      </c>
      <c r="T58" s="216">
        <v>0.14188583813008693</v>
      </c>
    </row>
    <row r="59" spans="1:43" ht="24.95" customHeight="1">
      <c r="A59" s="32" t="s">
        <v>572</v>
      </c>
      <c r="B59" s="217" t="s">
        <v>573</v>
      </c>
      <c r="C59" s="218" t="s">
        <v>23</v>
      </c>
      <c r="D59" s="219" t="s">
        <v>54</v>
      </c>
      <c r="E59" s="219" t="s">
        <v>54</v>
      </c>
      <c r="F59" s="219" t="s">
        <v>25</v>
      </c>
      <c r="G59" s="225" t="s">
        <v>38</v>
      </c>
      <c r="H59" s="225" t="s">
        <v>34</v>
      </c>
      <c r="I59" s="219"/>
      <c r="J59" s="219"/>
      <c r="K59" s="220">
        <v>10</v>
      </c>
      <c r="L59" s="221" t="s">
        <v>29</v>
      </c>
      <c r="M59" s="217" t="s">
        <v>101</v>
      </c>
      <c r="N59" s="222">
        <v>30000000</v>
      </c>
      <c r="O59" s="222">
        <v>25000000</v>
      </c>
      <c r="P59" s="224">
        <v>0.83333333333333337</v>
      </c>
      <c r="Q59" s="222">
        <v>0</v>
      </c>
      <c r="R59" s="224">
        <v>0</v>
      </c>
      <c r="S59" s="222">
        <v>0</v>
      </c>
      <c r="T59" s="224">
        <v>0</v>
      </c>
    </row>
    <row r="60" spans="1:43" s="64" customFormat="1" ht="24.95" customHeight="1">
      <c r="A60" s="32" t="s">
        <v>574</v>
      </c>
      <c r="B60" s="217" t="s">
        <v>575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40</v>
      </c>
      <c r="I60" s="219"/>
      <c r="J60" s="219"/>
      <c r="K60" s="220">
        <v>10</v>
      </c>
      <c r="L60" s="221" t="s">
        <v>29</v>
      </c>
      <c r="M60" s="217" t="s">
        <v>102</v>
      </c>
      <c r="N60" s="222">
        <v>82000000</v>
      </c>
      <c r="O60" s="222">
        <v>0</v>
      </c>
      <c r="P60" s="224">
        <v>0</v>
      </c>
      <c r="Q60" s="222">
        <v>0</v>
      </c>
      <c r="R60" s="224">
        <v>0</v>
      </c>
      <c r="S60" s="222">
        <v>0</v>
      </c>
      <c r="T60" s="224">
        <v>0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s="64" customFormat="1" ht="24.95" customHeight="1">
      <c r="A61" s="32" t="s">
        <v>576</v>
      </c>
      <c r="B61" s="217" t="s">
        <v>577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42</v>
      </c>
      <c r="I61" s="219"/>
      <c r="J61" s="219"/>
      <c r="K61" s="220">
        <v>10</v>
      </c>
      <c r="L61" s="221" t="s">
        <v>29</v>
      </c>
      <c r="M61" s="217" t="s">
        <v>84</v>
      </c>
      <c r="N61" s="222">
        <v>30000000</v>
      </c>
      <c r="O61" s="222">
        <v>30000000</v>
      </c>
      <c r="P61" s="224">
        <v>1</v>
      </c>
      <c r="Q61" s="222">
        <v>0</v>
      </c>
      <c r="R61" s="224">
        <v>0</v>
      </c>
      <c r="S61" s="222">
        <v>0</v>
      </c>
      <c r="T61" s="224">
        <v>0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4.95" customHeight="1">
      <c r="A62" s="32" t="s">
        <v>578</v>
      </c>
      <c r="B62" s="217" t="s">
        <v>579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44</v>
      </c>
      <c r="I62" s="219"/>
      <c r="J62" s="219"/>
      <c r="K62" s="220">
        <v>10</v>
      </c>
      <c r="L62" s="221" t="s">
        <v>29</v>
      </c>
      <c r="M62" s="217" t="s">
        <v>85</v>
      </c>
      <c r="N62" s="222">
        <v>132352379</v>
      </c>
      <c r="O62" s="222">
        <v>41764434</v>
      </c>
      <c r="P62" s="224">
        <v>0.31555484167005415</v>
      </c>
      <c r="Q62" s="222">
        <v>41764434</v>
      </c>
      <c r="R62" s="224">
        <v>0.31555484167005415</v>
      </c>
      <c r="S62" s="222">
        <v>41764434</v>
      </c>
      <c r="T62" s="224">
        <v>0.31555484167005415</v>
      </c>
    </row>
    <row r="63" spans="1:43" s="64" customFormat="1" ht="24.95" customHeight="1">
      <c r="A63" s="241" t="s">
        <v>580</v>
      </c>
      <c r="B63" s="242" t="s">
        <v>581</v>
      </c>
      <c r="C63" s="243" t="s">
        <v>23</v>
      </c>
      <c r="D63" s="244" t="s">
        <v>54</v>
      </c>
      <c r="E63" s="244" t="s">
        <v>54</v>
      </c>
      <c r="F63" s="244" t="s">
        <v>25</v>
      </c>
      <c r="G63" s="244" t="s">
        <v>38</v>
      </c>
      <c r="H63" s="244" t="s">
        <v>46</v>
      </c>
      <c r="I63" s="244"/>
      <c r="J63" s="244"/>
      <c r="K63" s="245">
        <v>10</v>
      </c>
      <c r="L63" s="246" t="s">
        <v>29</v>
      </c>
      <c r="M63" s="247" t="s">
        <v>258</v>
      </c>
      <c r="N63" s="222">
        <v>20000000</v>
      </c>
      <c r="O63" s="222">
        <v>6660000</v>
      </c>
      <c r="P63" s="224">
        <v>0.33300000000000002</v>
      </c>
      <c r="Q63" s="222">
        <v>0</v>
      </c>
      <c r="R63" s="224">
        <v>0</v>
      </c>
      <c r="S63" s="222">
        <v>0</v>
      </c>
      <c r="T63" s="224">
        <v>0</v>
      </c>
    </row>
    <row r="64" spans="1:43" ht="24.95" customHeight="1">
      <c r="A64" s="32" t="s">
        <v>388</v>
      </c>
      <c r="B64" s="203" t="s">
        <v>389</v>
      </c>
      <c r="C64" s="204" t="s">
        <v>23</v>
      </c>
      <c r="D64" s="205" t="s">
        <v>54</v>
      </c>
      <c r="E64" s="205" t="s">
        <v>54</v>
      </c>
      <c r="F64" s="205" t="s">
        <v>54</v>
      </c>
      <c r="G64" s="205"/>
      <c r="H64" s="205"/>
      <c r="I64" s="205"/>
      <c r="J64" s="205"/>
      <c r="K64" s="206" t="s">
        <v>28</v>
      </c>
      <c r="L64" s="207" t="s">
        <v>29</v>
      </c>
      <c r="M64" s="203" t="s">
        <v>103</v>
      </c>
      <c r="N64" s="208">
        <v>41401150948</v>
      </c>
      <c r="O64" s="208">
        <v>33956739486.57</v>
      </c>
      <c r="P64" s="209">
        <v>0.82018829692004913</v>
      </c>
      <c r="Q64" s="208">
        <v>16282007817.49</v>
      </c>
      <c r="R64" s="209">
        <v>0.39327427969189221</v>
      </c>
      <c r="S64" s="208">
        <v>16185909401.280001</v>
      </c>
      <c r="T64" s="209">
        <v>0.3909531264386723</v>
      </c>
    </row>
    <row r="65" spans="1:20" ht="49.5">
      <c r="A65" s="32" t="s">
        <v>390</v>
      </c>
      <c r="B65" s="210" t="s">
        <v>391</v>
      </c>
      <c r="C65" s="211" t="s">
        <v>23</v>
      </c>
      <c r="D65" s="212" t="s">
        <v>54</v>
      </c>
      <c r="E65" s="212" t="s">
        <v>54</v>
      </c>
      <c r="F65" s="212" t="s">
        <v>54</v>
      </c>
      <c r="G65" s="212" t="s">
        <v>42</v>
      </c>
      <c r="H65" s="212"/>
      <c r="I65" s="212"/>
      <c r="J65" s="212"/>
      <c r="K65" s="213" t="s">
        <v>28</v>
      </c>
      <c r="L65" s="214" t="s">
        <v>29</v>
      </c>
      <c r="M65" s="210" t="s">
        <v>104</v>
      </c>
      <c r="N65" s="215">
        <v>7533077158.1199999</v>
      </c>
      <c r="O65" s="215">
        <v>5740603625.2799997</v>
      </c>
      <c r="P65" s="216">
        <v>0.76205294394099365</v>
      </c>
      <c r="Q65" s="215">
        <v>2739523436.6700001</v>
      </c>
      <c r="R65" s="216">
        <v>0.36366592020327748</v>
      </c>
      <c r="S65" s="215">
        <v>2696610277.04</v>
      </c>
      <c r="T65" s="216">
        <v>0.35796928936713324</v>
      </c>
    </row>
    <row r="66" spans="1:20" ht="24.95" customHeight="1">
      <c r="A66" s="32" t="s">
        <v>582</v>
      </c>
      <c r="B66" s="217" t="s">
        <v>583</v>
      </c>
      <c r="C66" s="248" t="s">
        <v>23</v>
      </c>
      <c r="D66" s="249" t="s">
        <v>54</v>
      </c>
      <c r="E66" s="249" t="s">
        <v>54</v>
      </c>
      <c r="F66" s="249" t="s">
        <v>54</v>
      </c>
      <c r="G66" s="249" t="s">
        <v>42</v>
      </c>
      <c r="H66" s="225" t="s">
        <v>36</v>
      </c>
      <c r="I66" s="219"/>
      <c r="J66" s="219"/>
      <c r="K66" s="220">
        <v>10</v>
      </c>
      <c r="L66" s="221" t="s">
        <v>29</v>
      </c>
      <c r="M66" s="217" t="s">
        <v>105</v>
      </c>
      <c r="N66" s="222">
        <v>12000000</v>
      </c>
      <c r="O66" s="222">
        <v>2261895</v>
      </c>
      <c r="P66" s="224">
        <v>0.18849125</v>
      </c>
      <c r="Q66" s="222">
        <v>2261895</v>
      </c>
      <c r="R66" s="224">
        <v>0.18849125</v>
      </c>
      <c r="S66" s="222">
        <v>2261895</v>
      </c>
      <c r="T66" s="224">
        <v>0.18849125</v>
      </c>
    </row>
    <row r="67" spans="1:20" ht="24.95" customHeight="1">
      <c r="A67" s="32" t="s">
        <v>584</v>
      </c>
      <c r="B67" s="217" t="s">
        <v>585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38</v>
      </c>
      <c r="I67" s="219"/>
      <c r="J67" s="219"/>
      <c r="K67" s="220">
        <v>10</v>
      </c>
      <c r="L67" s="221" t="s">
        <v>29</v>
      </c>
      <c r="M67" s="217" t="s">
        <v>106</v>
      </c>
      <c r="N67" s="222">
        <v>4658238978.1199999</v>
      </c>
      <c r="O67" s="222">
        <v>3427427035</v>
      </c>
      <c r="P67" s="224">
        <v>0.73577741526332374</v>
      </c>
      <c r="Q67" s="222">
        <v>1613868658</v>
      </c>
      <c r="R67" s="224">
        <v>0.34645467215839038</v>
      </c>
      <c r="S67" s="222">
        <v>1613868658</v>
      </c>
      <c r="T67" s="224">
        <v>0.34645467215839038</v>
      </c>
    </row>
    <row r="68" spans="1:20" ht="24.95" customHeight="1">
      <c r="A68" s="32" t="s">
        <v>586</v>
      </c>
      <c r="B68" s="217" t="s">
        <v>587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40</v>
      </c>
      <c r="I68" s="219"/>
      <c r="J68" s="219"/>
      <c r="K68" s="220">
        <v>10</v>
      </c>
      <c r="L68" s="221" t="s">
        <v>29</v>
      </c>
      <c r="M68" s="217" t="s">
        <v>107</v>
      </c>
      <c r="N68" s="222">
        <v>94600000</v>
      </c>
      <c r="O68" s="222">
        <v>91279990</v>
      </c>
      <c r="P68" s="224">
        <v>0.96490475687103594</v>
      </c>
      <c r="Q68" s="222">
        <v>4279990</v>
      </c>
      <c r="R68" s="224">
        <v>4.5243023255813954E-2</v>
      </c>
      <c r="S68" s="222">
        <v>4279990</v>
      </c>
      <c r="T68" s="224">
        <v>4.5243023255813954E-2</v>
      </c>
    </row>
    <row r="69" spans="1:20" ht="24.95" customHeight="1">
      <c r="A69" s="32" t="s">
        <v>588</v>
      </c>
      <c r="B69" s="217" t="s">
        <v>589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42</v>
      </c>
      <c r="I69" s="219"/>
      <c r="J69" s="219"/>
      <c r="K69" s="220">
        <v>10</v>
      </c>
      <c r="L69" s="221" t="s">
        <v>29</v>
      </c>
      <c r="M69" s="217" t="s">
        <v>259</v>
      </c>
      <c r="N69" s="222">
        <v>0</v>
      </c>
      <c r="O69" s="222">
        <v>0</v>
      </c>
      <c r="P69" s="224" t="e">
        <v>#DIV/0!</v>
      </c>
      <c r="Q69" s="222">
        <v>0</v>
      </c>
      <c r="R69" s="224" t="e">
        <v>#DIV/0!</v>
      </c>
      <c r="S69" s="222">
        <v>0</v>
      </c>
      <c r="T69" s="224" t="e">
        <v>#DIV/0!</v>
      </c>
    </row>
    <row r="70" spans="1:20" ht="24.95" customHeight="1">
      <c r="A70" s="32" t="s">
        <v>590</v>
      </c>
      <c r="B70" s="217" t="s">
        <v>591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46</v>
      </c>
      <c r="I70" s="219"/>
      <c r="J70" s="219"/>
      <c r="K70" s="220">
        <v>10</v>
      </c>
      <c r="L70" s="221" t="s">
        <v>29</v>
      </c>
      <c r="M70" s="217" t="s">
        <v>108</v>
      </c>
      <c r="N70" s="222">
        <v>2023178180</v>
      </c>
      <c r="O70" s="222">
        <v>1848038030</v>
      </c>
      <c r="P70" s="224">
        <v>0.91343315594674912</v>
      </c>
      <c r="Q70" s="222">
        <v>785473097</v>
      </c>
      <c r="R70" s="224">
        <v>0.38823723227382773</v>
      </c>
      <c r="S70" s="222">
        <v>785473097</v>
      </c>
      <c r="T70" s="224">
        <v>0.38823723227382773</v>
      </c>
    </row>
    <row r="71" spans="1:20" ht="33">
      <c r="A71" s="32" t="s">
        <v>592</v>
      </c>
      <c r="B71" s="217" t="s">
        <v>593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48</v>
      </c>
      <c r="I71" s="219"/>
      <c r="J71" s="219"/>
      <c r="K71" s="220">
        <v>10</v>
      </c>
      <c r="L71" s="221" t="s">
        <v>29</v>
      </c>
      <c r="M71" s="217" t="s">
        <v>109</v>
      </c>
      <c r="N71" s="222">
        <v>745060000</v>
      </c>
      <c r="O71" s="222">
        <v>371596675.27999997</v>
      </c>
      <c r="P71" s="224">
        <v>0.4987473160282393</v>
      </c>
      <c r="Q71" s="222">
        <v>333639796.67000002</v>
      </c>
      <c r="R71" s="224">
        <v>0.4478025886103133</v>
      </c>
      <c r="S71" s="222">
        <v>290726637.04000002</v>
      </c>
      <c r="T71" s="224">
        <v>0.39020567073792717</v>
      </c>
    </row>
    <row r="72" spans="1:20" ht="33">
      <c r="A72" s="32" t="s">
        <v>392</v>
      </c>
      <c r="B72" s="210" t="s">
        <v>393</v>
      </c>
      <c r="C72" s="211" t="s">
        <v>23</v>
      </c>
      <c r="D72" s="212" t="s">
        <v>54</v>
      </c>
      <c r="E72" s="212" t="s">
        <v>54</v>
      </c>
      <c r="F72" s="212" t="s">
        <v>54</v>
      </c>
      <c r="G72" s="212" t="s">
        <v>44</v>
      </c>
      <c r="H72" s="212"/>
      <c r="I72" s="212"/>
      <c r="J72" s="212"/>
      <c r="K72" s="213" t="s">
        <v>28</v>
      </c>
      <c r="L72" s="214" t="s">
        <v>29</v>
      </c>
      <c r="M72" s="210" t="s">
        <v>110</v>
      </c>
      <c r="N72" s="215">
        <v>11782111078</v>
      </c>
      <c r="O72" s="215">
        <v>11557739891</v>
      </c>
      <c r="P72" s="216">
        <v>0.98095662267019745</v>
      </c>
      <c r="Q72" s="215">
        <v>7001053759</v>
      </c>
      <c r="R72" s="216">
        <v>0.59421046980898273</v>
      </c>
      <c r="S72" s="215">
        <v>7001053759</v>
      </c>
      <c r="T72" s="216">
        <v>0.59421046980898273</v>
      </c>
    </row>
    <row r="73" spans="1:20" ht="24.95" customHeight="1">
      <c r="A73" s="32" t="s">
        <v>594</v>
      </c>
      <c r="B73" s="217" t="s">
        <v>595</v>
      </c>
      <c r="C73" s="248" t="s">
        <v>23</v>
      </c>
      <c r="D73" s="249" t="s">
        <v>54</v>
      </c>
      <c r="E73" s="249" t="s">
        <v>54</v>
      </c>
      <c r="F73" s="249" t="s">
        <v>54</v>
      </c>
      <c r="G73" s="249" t="s">
        <v>44</v>
      </c>
      <c r="H73" s="225" t="s">
        <v>31</v>
      </c>
      <c r="I73" s="219"/>
      <c r="J73" s="219"/>
      <c r="K73" s="220">
        <v>10</v>
      </c>
      <c r="L73" s="221" t="s">
        <v>29</v>
      </c>
      <c r="M73" s="217" t="s">
        <v>111</v>
      </c>
      <c r="N73" s="222">
        <v>83540850</v>
      </c>
      <c r="O73" s="222">
        <v>8409000</v>
      </c>
      <c r="P73" s="224">
        <v>0.1006573430842516</v>
      </c>
      <c r="Q73" s="222">
        <v>8409000</v>
      </c>
      <c r="R73" s="224">
        <v>0.1006573430842516</v>
      </c>
      <c r="S73" s="222">
        <v>8409000</v>
      </c>
      <c r="T73" s="224">
        <v>0.1006573430842516</v>
      </c>
    </row>
    <row r="74" spans="1:20" ht="24.95" customHeight="1">
      <c r="A74" s="32" t="s">
        <v>596</v>
      </c>
      <c r="B74" s="217" t="s">
        <v>597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34</v>
      </c>
      <c r="I74" s="219"/>
      <c r="J74" s="219"/>
      <c r="K74" s="220">
        <v>10</v>
      </c>
      <c r="L74" s="221" t="s">
        <v>29</v>
      </c>
      <c r="M74" s="217" t="s">
        <v>112</v>
      </c>
      <c r="N74" s="222">
        <v>11698570228</v>
      </c>
      <c r="O74" s="222">
        <v>11549330891</v>
      </c>
      <c r="P74" s="224">
        <v>0.98724294216375241</v>
      </c>
      <c r="Q74" s="222">
        <v>6992644759</v>
      </c>
      <c r="R74" s="224">
        <v>0.59773499006429176</v>
      </c>
      <c r="S74" s="222">
        <v>6992644759</v>
      </c>
      <c r="T74" s="224">
        <v>0.59773499006429176</v>
      </c>
    </row>
    <row r="75" spans="1:20" ht="24.95" customHeight="1">
      <c r="A75" s="32" t="s">
        <v>394</v>
      </c>
      <c r="B75" s="210" t="s">
        <v>395</v>
      </c>
      <c r="C75" s="211" t="s">
        <v>23</v>
      </c>
      <c r="D75" s="212" t="s">
        <v>54</v>
      </c>
      <c r="E75" s="212" t="s">
        <v>54</v>
      </c>
      <c r="F75" s="212" t="s">
        <v>54</v>
      </c>
      <c r="G75" s="212" t="s">
        <v>46</v>
      </c>
      <c r="H75" s="212"/>
      <c r="I75" s="212"/>
      <c r="J75" s="212"/>
      <c r="K75" s="213" t="s">
        <v>28</v>
      </c>
      <c r="L75" s="214" t="s">
        <v>29</v>
      </c>
      <c r="M75" s="210" t="s">
        <v>113</v>
      </c>
      <c r="N75" s="215">
        <v>18531168641.879997</v>
      </c>
      <c r="O75" s="215">
        <v>14524027889.08</v>
      </c>
      <c r="P75" s="216">
        <v>0.78376211288995801</v>
      </c>
      <c r="Q75" s="215">
        <v>6224534627</v>
      </c>
      <c r="R75" s="216">
        <v>0.33589541746075857</v>
      </c>
      <c r="S75" s="215">
        <v>6172179109</v>
      </c>
      <c r="T75" s="216">
        <v>0.33307014944815855</v>
      </c>
    </row>
    <row r="76" spans="1:20" ht="24.95" customHeight="1">
      <c r="A76" s="32" t="s">
        <v>598</v>
      </c>
      <c r="B76" s="217" t="s">
        <v>599</v>
      </c>
      <c r="C76" s="218" t="s">
        <v>23</v>
      </c>
      <c r="D76" s="249" t="s">
        <v>54</v>
      </c>
      <c r="E76" s="249" t="s">
        <v>54</v>
      </c>
      <c r="F76" s="249" t="s">
        <v>54</v>
      </c>
      <c r="G76" s="249" t="s">
        <v>46</v>
      </c>
      <c r="H76" s="225" t="s">
        <v>34</v>
      </c>
      <c r="I76" s="219"/>
      <c r="J76" s="219"/>
      <c r="K76" s="220">
        <v>10</v>
      </c>
      <c r="L76" s="221" t="s">
        <v>29</v>
      </c>
      <c r="M76" s="217" t="s">
        <v>114</v>
      </c>
      <c r="N76" s="222">
        <v>172000000</v>
      </c>
      <c r="O76" s="222">
        <v>39956280</v>
      </c>
      <c r="P76" s="224">
        <v>0.2323039534883721</v>
      </c>
      <c r="Q76" s="222">
        <v>2259000</v>
      </c>
      <c r="R76" s="224">
        <v>1.3133720930232557E-2</v>
      </c>
      <c r="S76" s="222">
        <v>2259000</v>
      </c>
      <c r="T76" s="224">
        <v>1.3133720930232557E-2</v>
      </c>
    </row>
    <row r="77" spans="1:20" ht="24.95" customHeight="1">
      <c r="A77" s="32" t="s">
        <v>600</v>
      </c>
      <c r="B77" s="217" t="s">
        <v>601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36</v>
      </c>
      <c r="I77" s="219"/>
      <c r="J77" s="219"/>
      <c r="K77" s="220">
        <v>10</v>
      </c>
      <c r="L77" s="221" t="s">
        <v>29</v>
      </c>
      <c r="M77" s="217" t="s">
        <v>115</v>
      </c>
      <c r="N77" s="222">
        <v>8870144583.6299992</v>
      </c>
      <c r="O77" s="222">
        <v>7569249177</v>
      </c>
      <c r="P77" s="224">
        <v>0.8533399997751081</v>
      </c>
      <c r="Q77" s="222">
        <v>2843638483</v>
      </c>
      <c r="R77" s="224">
        <v>0.3205853586927977</v>
      </c>
      <c r="S77" s="222">
        <v>2791470340</v>
      </c>
      <c r="T77" s="224">
        <v>0.31470404046758216</v>
      </c>
    </row>
    <row r="78" spans="1:20" ht="33">
      <c r="A78" s="32" t="s">
        <v>602</v>
      </c>
      <c r="B78" s="217" t="s">
        <v>603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38</v>
      </c>
      <c r="I78" s="219"/>
      <c r="J78" s="219"/>
      <c r="K78" s="220">
        <v>10</v>
      </c>
      <c r="L78" s="221" t="s">
        <v>29</v>
      </c>
      <c r="M78" s="217" t="s">
        <v>116</v>
      </c>
      <c r="N78" s="222">
        <v>2455615019.5900002</v>
      </c>
      <c r="O78" s="222">
        <v>1471477964.8499999</v>
      </c>
      <c r="P78" s="224">
        <v>0.59922990904970275</v>
      </c>
      <c r="Q78" s="222">
        <v>1076171898</v>
      </c>
      <c r="R78" s="224">
        <v>0.43824943625718749</v>
      </c>
      <c r="S78" s="222">
        <v>1075984523</v>
      </c>
      <c r="T78" s="224">
        <v>0.4381731315439058</v>
      </c>
    </row>
    <row r="79" spans="1:20" ht="24.95" customHeight="1">
      <c r="A79" s="32" t="s">
        <v>604</v>
      </c>
      <c r="B79" s="217" t="s">
        <v>605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40</v>
      </c>
      <c r="I79" s="219"/>
      <c r="J79" s="219"/>
      <c r="K79" s="220">
        <v>10</v>
      </c>
      <c r="L79" s="221" t="s">
        <v>29</v>
      </c>
      <c r="M79" s="217" t="s">
        <v>117</v>
      </c>
      <c r="N79" s="222">
        <v>5579868650.8800001</v>
      </c>
      <c r="O79" s="222">
        <v>4669790099.2299995</v>
      </c>
      <c r="P79" s="224">
        <v>0.83689964610430889</v>
      </c>
      <c r="Q79" s="222">
        <v>1723325881</v>
      </c>
      <c r="R79" s="224">
        <v>0.30884703365342026</v>
      </c>
      <c r="S79" s="222">
        <v>1723325881</v>
      </c>
      <c r="T79" s="224">
        <v>0.30884703365342026</v>
      </c>
    </row>
    <row r="80" spans="1:20" ht="33">
      <c r="A80" s="32" t="s">
        <v>606</v>
      </c>
      <c r="B80" s="217" t="s">
        <v>607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44</v>
      </c>
      <c r="I80" s="219"/>
      <c r="J80" s="219"/>
      <c r="K80" s="220">
        <v>10</v>
      </c>
      <c r="L80" s="221" t="s">
        <v>29</v>
      </c>
      <c r="M80" s="217" t="s">
        <v>118</v>
      </c>
      <c r="N80" s="222">
        <v>1376540387.78</v>
      </c>
      <c r="O80" s="222">
        <v>727853172</v>
      </c>
      <c r="P80" s="224">
        <v>0.52875540627895201</v>
      </c>
      <c r="Q80" s="222">
        <v>570923469</v>
      </c>
      <c r="R80" s="224">
        <v>0.41475242867428713</v>
      </c>
      <c r="S80" s="222">
        <v>570923469</v>
      </c>
      <c r="T80" s="224">
        <v>0.41475242867428713</v>
      </c>
    </row>
    <row r="81" spans="1:43" s="250" customFormat="1" ht="33">
      <c r="A81" s="32" t="s">
        <v>608</v>
      </c>
      <c r="B81" s="217" t="s">
        <v>609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48</v>
      </c>
      <c r="I81" s="219"/>
      <c r="J81" s="219"/>
      <c r="K81" s="220">
        <v>10</v>
      </c>
      <c r="L81" s="221" t="s">
        <v>29</v>
      </c>
      <c r="M81" s="217" t="s">
        <v>119</v>
      </c>
      <c r="N81" s="222">
        <v>77000000</v>
      </c>
      <c r="O81" s="222">
        <v>45701196</v>
      </c>
      <c r="P81" s="224">
        <v>0.59352202597402592</v>
      </c>
      <c r="Q81" s="222">
        <v>8215896</v>
      </c>
      <c r="R81" s="224">
        <v>0.10669994805194805</v>
      </c>
      <c r="S81" s="222">
        <v>8215896</v>
      </c>
      <c r="T81" s="224">
        <v>0.10669994805194805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4.95" customHeight="1">
      <c r="A82" s="32" t="s">
        <v>396</v>
      </c>
      <c r="B82" s="210" t="s">
        <v>397</v>
      </c>
      <c r="C82" s="211" t="s">
        <v>23</v>
      </c>
      <c r="D82" s="212" t="s">
        <v>54</v>
      </c>
      <c r="E82" s="212" t="s">
        <v>54</v>
      </c>
      <c r="F82" s="212" t="s">
        <v>54</v>
      </c>
      <c r="G82" s="212" t="s">
        <v>48</v>
      </c>
      <c r="H82" s="212"/>
      <c r="I82" s="212"/>
      <c r="J82" s="212"/>
      <c r="K82" s="213" t="s">
        <v>28</v>
      </c>
      <c r="L82" s="214" t="s">
        <v>29</v>
      </c>
      <c r="M82" s="210" t="s">
        <v>120</v>
      </c>
      <c r="N82" s="215">
        <v>2384484000</v>
      </c>
      <c r="O82" s="215">
        <v>1840219356.21</v>
      </c>
      <c r="P82" s="216">
        <v>0.77174741210677034</v>
      </c>
      <c r="Q82" s="215">
        <v>45944183.82</v>
      </c>
      <c r="R82" s="216">
        <v>1.9267977398883782E-2</v>
      </c>
      <c r="S82" s="215">
        <v>45114445.240000002</v>
      </c>
      <c r="T82" s="216">
        <v>1.8920003338248444E-2</v>
      </c>
    </row>
    <row r="83" spans="1:43" ht="24.95" customHeight="1">
      <c r="A83" s="32" t="s">
        <v>610</v>
      </c>
      <c r="B83" s="217" t="s">
        <v>611</v>
      </c>
      <c r="C83" s="218" t="s">
        <v>23</v>
      </c>
      <c r="D83" s="219" t="s">
        <v>54</v>
      </c>
      <c r="E83" s="219" t="s">
        <v>54</v>
      </c>
      <c r="F83" s="219" t="s">
        <v>54</v>
      </c>
      <c r="G83" s="219" t="s">
        <v>48</v>
      </c>
      <c r="H83" s="225" t="s">
        <v>34</v>
      </c>
      <c r="I83" s="219"/>
      <c r="J83" s="219"/>
      <c r="K83" s="220">
        <v>10</v>
      </c>
      <c r="L83" s="221" t="s">
        <v>29</v>
      </c>
      <c r="M83" s="217" t="s">
        <v>121</v>
      </c>
      <c r="N83" s="222">
        <v>730000000</v>
      </c>
      <c r="O83" s="222">
        <v>680000000</v>
      </c>
      <c r="P83" s="224">
        <v>0.93150684931506844</v>
      </c>
      <c r="Q83" s="222">
        <v>0</v>
      </c>
      <c r="R83" s="224">
        <v>0</v>
      </c>
      <c r="S83" s="222">
        <v>0</v>
      </c>
      <c r="T83" s="224">
        <v>0</v>
      </c>
    </row>
    <row r="84" spans="1:43" ht="34.5" customHeight="1">
      <c r="A84" s="32" t="s">
        <v>612</v>
      </c>
      <c r="B84" s="217" t="s">
        <v>613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36</v>
      </c>
      <c r="I84" s="219"/>
      <c r="J84" s="219"/>
      <c r="K84" s="220">
        <v>10</v>
      </c>
      <c r="L84" s="221" t="s">
        <v>29</v>
      </c>
      <c r="M84" s="217" t="s">
        <v>122</v>
      </c>
      <c r="N84" s="222">
        <v>365636000</v>
      </c>
      <c r="O84" s="222">
        <v>185658154</v>
      </c>
      <c r="P84" s="224">
        <v>0.50776770886892975</v>
      </c>
      <c r="Q84" s="222">
        <v>22543156</v>
      </c>
      <c r="R84" s="224">
        <v>6.1654640133903663E-2</v>
      </c>
      <c r="S84" s="222">
        <v>22543156</v>
      </c>
      <c r="T84" s="224">
        <v>6.1654640133903663E-2</v>
      </c>
    </row>
    <row r="85" spans="1:43" ht="49.5">
      <c r="A85" s="32" t="s">
        <v>614</v>
      </c>
      <c r="B85" s="217" t="s">
        <v>615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38</v>
      </c>
      <c r="I85" s="219"/>
      <c r="J85" s="219"/>
      <c r="K85" s="220">
        <v>10</v>
      </c>
      <c r="L85" s="221" t="s">
        <v>29</v>
      </c>
      <c r="M85" s="217" t="s">
        <v>123</v>
      </c>
      <c r="N85" s="222">
        <v>40000000</v>
      </c>
      <c r="O85" s="222">
        <v>15915458.210000001</v>
      </c>
      <c r="P85" s="224">
        <v>0.39788645525000005</v>
      </c>
      <c r="Q85" s="222">
        <v>15850988.82</v>
      </c>
      <c r="R85" s="224">
        <v>0.39627472050000001</v>
      </c>
      <c r="S85" s="222">
        <v>15021250.24</v>
      </c>
      <c r="T85" s="224">
        <v>0.37553125599999998</v>
      </c>
    </row>
    <row r="86" spans="1:43" ht="24.95" customHeight="1">
      <c r="A86" s="32" t="s">
        <v>616</v>
      </c>
      <c r="B86" s="217" t="s">
        <v>617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42</v>
      </c>
      <c r="I86" s="219"/>
      <c r="J86" s="219"/>
      <c r="K86" s="220">
        <v>10</v>
      </c>
      <c r="L86" s="221" t="s">
        <v>29</v>
      </c>
      <c r="M86" s="217" t="s">
        <v>124</v>
      </c>
      <c r="N86" s="222">
        <v>1160000000</v>
      </c>
      <c r="O86" s="222">
        <v>931580244</v>
      </c>
      <c r="P86" s="224">
        <v>0.8030864172413793</v>
      </c>
      <c r="Q86" s="222">
        <v>7484539</v>
      </c>
      <c r="R86" s="224">
        <v>6.4521887931034486E-3</v>
      </c>
      <c r="S86" s="222">
        <v>7484539</v>
      </c>
      <c r="T86" s="224">
        <v>6.4521887931034486E-3</v>
      </c>
    </row>
    <row r="87" spans="1:43" ht="24.95" customHeight="1">
      <c r="A87" s="32" t="s">
        <v>618</v>
      </c>
      <c r="B87" s="217" t="s">
        <v>619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44</v>
      </c>
      <c r="I87" s="219"/>
      <c r="J87" s="219"/>
      <c r="K87" s="220">
        <v>10</v>
      </c>
      <c r="L87" s="221" t="s">
        <v>29</v>
      </c>
      <c r="M87" s="217" t="s">
        <v>125</v>
      </c>
      <c r="N87" s="222">
        <v>88848000</v>
      </c>
      <c r="O87" s="222">
        <v>27065500</v>
      </c>
      <c r="P87" s="224">
        <v>0.30462700342157395</v>
      </c>
      <c r="Q87" s="222">
        <v>65500</v>
      </c>
      <c r="R87" s="224">
        <v>7.3721411849450743E-4</v>
      </c>
      <c r="S87" s="222">
        <v>65500</v>
      </c>
      <c r="T87" s="224">
        <v>7.3721411849450743E-4</v>
      </c>
    </row>
    <row r="88" spans="1:43" s="90" customFormat="1" ht="24.95" customHeight="1">
      <c r="A88" s="338" t="s">
        <v>398</v>
      </c>
      <c r="B88" s="251" t="s">
        <v>399</v>
      </c>
      <c r="C88" s="211" t="s">
        <v>23</v>
      </c>
      <c r="D88" s="212" t="s">
        <v>54</v>
      </c>
      <c r="E88" s="212" t="s">
        <v>54</v>
      </c>
      <c r="F88" s="212" t="s">
        <v>54</v>
      </c>
      <c r="G88" s="212" t="s">
        <v>50</v>
      </c>
      <c r="H88" s="212"/>
      <c r="I88" s="212"/>
      <c r="J88" s="212"/>
      <c r="K88" s="252" t="s">
        <v>28</v>
      </c>
      <c r="L88" s="253" t="s">
        <v>29</v>
      </c>
      <c r="M88" s="251" t="s">
        <v>126</v>
      </c>
      <c r="N88" s="254">
        <v>1170310070</v>
      </c>
      <c r="O88" s="254">
        <v>294148725</v>
      </c>
      <c r="P88" s="255">
        <v>0.25134255659271565</v>
      </c>
      <c r="Q88" s="254">
        <v>270951811</v>
      </c>
      <c r="R88" s="255">
        <v>0.23152138731917432</v>
      </c>
      <c r="S88" s="254">
        <v>270951811</v>
      </c>
      <c r="T88" s="255">
        <v>0.23152138731917432</v>
      </c>
    </row>
    <row r="89" spans="1:43" ht="35.1" customHeight="1">
      <c r="A89" s="32" t="s">
        <v>400</v>
      </c>
      <c r="B89" s="188" t="s">
        <v>401</v>
      </c>
      <c r="C89" s="189" t="s">
        <v>23</v>
      </c>
      <c r="D89" s="191" t="s">
        <v>65</v>
      </c>
      <c r="E89" s="191"/>
      <c r="F89" s="191"/>
      <c r="G89" s="191"/>
      <c r="H89" s="191"/>
      <c r="I89" s="191"/>
      <c r="J89" s="191"/>
      <c r="K89" s="192"/>
      <c r="L89" s="193"/>
      <c r="M89" s="188" t="s">
        <v>127</v>
      </c>
      <c r="N89" s="194">
        <v>994814489896</v>
      </c>
      <c r="O89" s="194">
        <v>978709273898</v>
      </c>
      <c r="P89" s="195">
        <v>0.98381083492291743</v>
      </c>
      <c r="Q89" s="194">
        <v>657957218035</v>
      </c>
      <c r="R89" s="195">
        <v>0.66138684620866772</v>
      </c>
      <c r="S89" s="194">
        <v>657957218035</v>
      </c>
      <c r="T89" s="195">
        <v>0.66138684620866772</v>
      </c>
    </row>
    <row r="90" spans="1:43" ht="24.95" customHeight="1">
      <c r="A90" s="32" t="s">
        <v>620</v>
      </c>
      <c r="B90" s="196" t="s">
        <v>621</v>
      </c>
      <c r="C90" s="197" t="s">
        <v>23</v>
      </c>
      <c r="D90" s="198" t="s">
        <v>65</v>
      </c>
      <c r="E90" s="198" t="s">
        <v>65</v>
      </c>
      <c r="F90" s="198"/>
      <c r="G90" s="198"/>
      <c r="H90" s="198"/>
      <c r="I90" s="198"/>
      <c r="J90" s="198"/>
      <c r="K90" s="199"/>
      <c r="L90" s="200"/>
      <c r="M90" s="196" t="s">
        <v>128</v>
      </c>
      <c r="N90" s="201">
        <v>991465489896</v>
      </c>
      <c r="O90" s="201">
        <v>978316432656</v>
      </c>
      <c r="P90" s="202">
        <v>0.98673775600461966</v>
      </c>
      <c r="Q90" s="201">
        <v>657665383192</v>
      </c>
      <c r="R90" s="202">
        <v>0.66332655033811205</v>
      </c>
      <c r="S90" s="201">
        <v>657665383192</v>
      </c>
      <c r="T90" s="202">
        <v>0.66332655033811205</v>
      </c>
    </row>
    <row r="91" spans="1:43" s="64" customFormat="1" ht="24.95" customHeight="1">
      <c r="A91" s="32" t="s">
        <v>622</v>
      </c>
      <c r="B91" s="203" t="s">
        <v>623</v>
      </c>
      <c r="C91" s="204" t="s">
        <v>23</v>
      </c>
      <c r="D91" s="205" t="s">
        <v>65</v>
      </c>
      <c r="E91" s="205" t="s">
        <v>65</v>
      </c>
      <c r="F91" s="256" t="s">
        <v>25</v>
      </c>
      <c r="G91" s="205"/>
      <c r="H91" s="205"/>
      <c r="I91" s="205"/>
      <c r="J91" s="205"/>
      <c r="K91" s="206"/>
      <c r="L91" s="207"/>
      <c r="M91" s="203" t="s">
        <v>129</v>
      </c>
      <c r="N91" s="208">
        <v>991465489896</v>
      </c>
      <c r="O91" s="208">
        <v>978316432656</v>
      </c>
      <c r="P91" s="209">
        <v>0.98673775600461966</v>
      </c>
      <c r="Q91" s="208">
        <v>657665383192</v>
      </c>
      <c r="R91" s="209">
        <v>0.66332655033811205</v>
      </c>
      <c r="S91" s="208">
        <v>657665383192</v>
      </c>
      <c r="T91" s="209">
        <v>0.66332655033811205</v>
      </c>
      <c r="U91" s="13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</row>
    <row r="92" spans="1:43" s="64" customFormat="1" ht="24.95" customHeight="1">
      <c r="A92" s="32" t="s">
        <v>624</v>
      </c>
      <c r="B92" s="217" t="s">
        <v>625</v>
      </c>
      <c r="C92" s="218" t="s">
        <v>23</v>
      </c>
      <c r="D92" s="219" t="s">
        <v>65</v>
      </c>
      <c r="E92" s="219" t="s">
        <v>65</v>
      </c>
      <c r="F92" s="219" t="s">
        <v>25</v>
      </c>
      <c r="G92" s="225" t="s">
        <v>130</v>
      </c>
      <c r="H92" s="219"/>
      <c r="I92" s="219"/>
      <c r="J92" s="219"/>
      <c r="K92" s="220">
        <v>54</v>
      </c>
      <c r="L92" s="221" t="s">
        <v>29</v>
      </c>
      <c r="M92" s="217" t="s">
        <v>748</v>
      </c>
      <c r="N92" s="222">
        <v>991465489896</v>
      </c>
      <c r="O92" s="222">
        <v>978316432656</v>
      </c>
      <c r="P92" s="224">
        <v>0.98673775600461966</v>
      </c>
      <c r="Q92" s="222">
        <v>657665383192</v>
      </c>
      <c r="R92" s="224">
        <v>0.66332655033811205</v>
      </c>
      <c r="S92" s="222">
        <v>657665383192</v>
      </c>
      <c r="T92" s="224">
        <v>0.66332655033811205</v>
      </c>
      <c r="U92" s="13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</row>
    <row r="93" spans="1:43" ht="24.95" customHeight="1">
      <c r="A93" s="32" t="s">
        <v>626</v>
      </c>
      <c r="B93" s="217" t="s">
        <v>627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19" t="s">
        <v>134</v>
      </c>
      <c r="H93" s="219"/>
      <c r="I93" s="219"/>
      <c r="J93" s="219"/>
      <c r="K93" s="220" t="s">
        <v>28</v>
      </c>
      <c r="L93" s="221" t="s">
        <v>29</v>
      </c>
      <c r="M93" s="217" t="s">
        <v>135</v>
      </c>
      <c r="N93" s="222">
        <v>0</v>
      </c>
      <c r="O93" s="222">
        <v>0</v>
      </c>
      <c r="P93" s="224" t="e">
        <v>#DIV/0!</v>
      </c>
      <c r="Q93" s="222">
        <v>0</v>
      </c>
      <c r="R93" s="224" t="e">
        <v>#DIV/0!</v>
      </c>
      <c r="S93" s="222">
        <v>0</v>
      </c>
      <c r="T93" s="224" t="e">
        <v>#DIV/0!</v>
      </c>
    </row>
    <row r="94" spans="1:43" ht="24.95" customHeight="1">
      <c r="A94" s="32" t="s">
        <v>402</v>
      </c>
      <c r="B94" s="196" t="s">
        <v>403</v>
      </c>
      <c r="C94" s="197" t="s">
        <v>23</v>
      </c>
      <c r="D94" s="198" t="s">
        <v>65</v>
      </c>
      <c r="E94" s="198" t="s">
        <v>136</v>
      </c>
      <c r="F94" s="198"/>
      <c r="G94" s="198"/>
      <c r="H94" s="198"/>
      <c r="I94" s="198"/>
      <c r="J94" s="198"/>
      <c r="K94" s="199"/>
      <c r="L94" s="200"/>
      <c r="M94" s="196" t="s">
        <v>137</v>
      </c>
      <c r="N94" s="201">
        <v>752000000</v>
      </c>
      <c r="O94" s="201">
        <v>392841242</v>
      </c>
      <c r="P94" s="202">
        <v>0.52239526861702124</v>
      </c>
      <c r="Q94" s="201">
        <v>291834843</v>
      </c>
      <c r="R94" s="202">
        <v>0.38807824867021279</v>
      </c>
      <c r="S94" s="201">
        <v>291834843</v>
      </c>
      <c r="T94" s="202">
        <v>0.38807824867021279</v>
      </c>
    </row>
    <row r="95" spans="1:43" ht="24.95" customHeight="1">
      <c r="A95" s="32" t="s">
        <v>404</v>
      </c>
      <c r="B95" s="203" t="s">
        <v>405</v>
      </c>
      <c r="C95" s="204" t="s">
        <v>23</v>
      </c>
      <c r="D95" s="205" t="s">
        <v>65</v>
      </c>
      <c r="E95" s="205" t="s">
        <v>136</v>
      </c>
      <c r="F95" s="205" t="s">
        <v>54</v>
      </c>
      <c r="G95" s="205"/>
      <c r="H95" s="205"/>
      <c r="I95" s="205"/>
      <c r="J95" s="205"/>
      <c r="K95" s="206" t="s">
        <v>28</v>
      </c>
      <c r="L95" s="207" t="s">
        <v>29</v>
      </c>
      <c r="M95" s="203" t="s">
        <v>138</v>
      </c>
      <c r="N95" s="208">
        <v>752000000</v>
      </c>
      <c r="O95" s="208">
        <v>392841242</v>
      </c>
      <c r="P95" s="209">
        <v>0.52239526861702124</v>
      </c>
      <c r="Q95" s="208">
        <v>291834843</v>
      </c>
      <c r="R95" s="209">
        <v>0.38807824867021279</v>
      </c>
      <c r="S95" s="208">
        <v>291834843</v>
      </c>
      <c r="T95" s="209">
        <v>0.38807824867021279</v>
      </c>
    </row>
    <row r="96" spans="1:43" s="64" customFormat="1" ht="24.95" customHeight="1">
      <c r="A96" s="32" t="s">
        <v>406</v>
      </c>
      <c r="B96" s="210" t="s">
        <v>407</v>
      </c>
      <c r="C96" s="211" t="s">
        <v>23</v>
      </c>
      <c r="D96" s="212" t="s">
        <v>65</v>
      </c>
      <c r="E96" s="212" t="s">
        <v>136</v>
      </c>
      <c r="F96" s="212" t="s">
        <v>54</v>
      </c>
      <c r="G96" s="212" t="s">
        <v>52</v>
      </c>
      <c r="H96" s="212"/>
      <c r="I96" s="212"/>
      <c r="J96" s="212"/>
      <c r="K96" s="213" t="s">
        <v>28</v>
      </c>
      <c r="L96" s="214" t="s">
        <v>29</v>
      </c>
      <c r="M96" s="210" t="s">
        <v>139</v>
      </c>
      <c r="N96" s="215">
        <v>752000000</v>
      </c>
      <c r="O96" s="215">
        <v>392841242</v>
      </c>
      <c r="P96" s="216">
        <v>0.52239526861702124</v>
      </c>
      <c r="Q96" s="215">
        <v>291834843</v>
      </c>
      <c r="R96" s="216">
        <v>0.38807824867021279</v>
      </c>
      <c r="S96" s="215">
        <v>291834843</v>
      </c>
      <c r="T96" s="216">
        <v>0.38807824867021279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4.95" customHeight="1">
      <c r="A97" s="32" t="s">
        <v>408</v>
      </c>
      <c r="B97" s="217" t="s">
        <v>409</v>
      </c>
      <c r="C97" s="218" t="s">
        <v>23</v>
      </c>
      <c r="D97" s="219" t="s">
        <v>65</v>
      </c>
      <c r="E97" s="219" t="s">
        <v>136</v>
      </c>
      <c r="F97" s="219" t="s">
        <v>54</v>
      </c>
      <c r="G97" s="219" t="s">
        <v>52</v>
      </c>
      <c r="H97" s="219" t="s">
        <v>31</v>
      </c>
      <c r="I97" s="219"/>
      <c r="J97" s="219"/>
      <c r="K97" s="220" t="s">
        <v>28</v>
      </c>
      <c r="L97" s="221" t="s">
        <v>29</v>
      </c>
      <c r="M97" s="217" t="s">
        <v>140</v>
      </c>
      <c r="N97" s="222">
        <v>402000000</v>
      </c>
      <c r="O97" s="222">
        <v>235559721</v>
      </c>
      <c r="P97" s="224">
        <v>0.58596945522388055</v>
      </c>
      <c r="Q97" s="222">
        <v>165642642</v>
      </c>
      <c r="R97" s="224">
        <v>0.41204637313432835</v>
      </c>
      <c r="S97" s="222">
        <v>165642642</v>
      </c>
      <c r="T97" s="224">
        <v>0.41204637313432835</v>
      </c>
    </row>
    <row r="98" spans="1:43" ht="24.95" customHeight="1">
      <c r="A98" s="32" t="s">
        <v>410</v>
      </c>
      <c r="B98" s="217" t="s">
        <v>411</v>
      </c>
      <c r="C98" s="218" t="s">
        <v>23</v>
      </c>
      <c r="D98" s="219" t="s">
        <v>65</v>
      </c>
      <c r="E98" s="219" t="s">
        <v>136</v>
      </c>
      <c r="F98" s="219" t="s">
        <v>54</v>
      </c>
      <c r="G98" s="219" t="s">
        <v>52</v>
      </c>
      <c r="H98" s="219" t="s">
        <v>34</v>
      </c>
      <c r="I98" s="219"/>
      <c r="J98" s="219"/>
      <c r="K98" s="220" t="s">
        <v>28</v>
      </c>
      <c r="L98" s="221" t="s">
        <v>29</v>
      </c>
      <c r="M98" s="217" t="s">
        <v>141</v>
      </c>
      <c r="N98" s="222">
        <v>314000000</v>
      </c>
      <c r="O98" s="222">
        <v>121290647</v>
      </c>
      <c r="P98" s="224">
        <v>0.38627594585987263</v>
      </c>
      <c r="Q98" s="222">
        <v>90201327</v>
      </c>
      <c r="R98" s="224">
        <v>0.28726537261146495</v>
      </c>
      <c r="S98" s="222">
        <v>90201327</v>
      </c>
      <c r="T98" s="224">
        <v>0.28726537261146495</v>
      </c>
    </row>
    <row r="99" spans="1:43" s="64" customFormat="1" ht="24.95" customHeight="1">
      <c r="A99" s="32" t="s">
        <v>412</v>
      </c>
      <c r="B99" s="217" t="s">
        <v>413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25" t="s">
        <v>142</v>
      </c>
      <c r="H99" s="219"/>
      <c r="I99" s="219"/>
      <c r="J99" s="219"/>
      <c r="K99" s="220" t="s">
        <v>28</v>
      </c>
      <c r="L99" s="221" t="s">
        <v>29</v>
      </c>
      <c r="M99" s="217" t="s">
        <v>260</v>
      </c>
      <c r="N99" s="222">
        <v>36000000</v>
      </c>
      <c r="O99" s="222">
        <v>35990874</v>
      </c>
      <c r="P99" s="224">
        <v>0.99974649999999998</v>
      </c>
      <c r="Q99" s="222">
        <v>35990874</v>
      </c>
      <c r="R99" s="224">
        <v>0.99974649999999998</v>
      </c>
      <c r="S99" s="222">
        <v>35990874</v>
      </c>
      <c r="T99" s="224">
        <v>0.99974649999999998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4.95" customHeight="1">
      <c r="A100" s="32" t="s">
        <v>414</v>
      </c>
      <c r="B100" s="196" t="s">
        <v>415</v>
      </c>
      <c r="C100" s="197" t="s">
        <v>23</v>
      </c>
      <c r="D100" s="198" t="s">
        <v>65</v>
      </c>
      <c r="E100" s="198" t="s">
        <v>28</v>
      </c>
      <c r="F100" s="198"/>
      <c r="G100" s="198"/>
      <c r="H100" s="198"/>
      <c r="I100" s="198"/>
      <c r="J100" s="198"/>
      <c r="K100" s="199"/>
      <c r="L100" s="200"/>
      <c r="M100" s="196" t="s">
        <v>143</v>
      </c>
      <c r="N100" s="201">
        <v>2597000000</v>
      </c>
      <c r="O100" s="201">
        <v>0</v>
      </c>
      <c r="P100" s="202">
        <v>0</v>
      </c>
      <c r="Q100" s="201">
        <v>0</v>
      </c>
      <c r="R100" s="202">
        <v>0</v>
      </c>
      <c r="S100" s="201">
        <v>0</v>
      </c>
      <c r="T100" s="202">
        <v>0</v>
      </c>
    </row>
    <row r="101" spans="1:43" ht="16.5">
      <c r="A101" s="32" t="s">
        <v>416</v>
      </c>
      <c r="B101" s="203" t="s">
        <v>417</v>
      </c>
      <c r="C101" s="204" t="s">
        <v>23</v>
      </c>
      <c r="D101" s="205" t="s">
        <v>65</v>
      </c>
      <c r="E101" s="205" t="s">
        <v>28</v>
      </c>
      <c r="F101" s="205" t="s">
        <v>25</v>
      </c>
      <c r="G101" s="205"/>
      <c r="H101" s="205"/>
      <c r="I101" s="205"/>
      <c r="J101" s="205"/>
      <c r="K101" s="206" t="s">
        <v>144</v>
      </c>
      <c r="L101" s="207" t="s">
        <v>29</v>
      </c>
      <c r="M101" s="203" t="s">
        <v>145</v>
      </c>
      <c r="N101" s="208">
        <v>2597000000</v>
      </c>
      <c r="O101" s="208">
        <v>0</v>
      </c>
      <c r="P101" s="209">
        <v>0</v>
      </c>
      <c r="Q101" s="208">
        <v>0</v>
      </c>
      <c r="R101" s="209">
        <v>0</v>
      </c>
      <c r="S101" s="208">
        <v>0</v>
      </c>
      <c r="T101" s="209">
        <v>0</v>
      </c>
    </row>
    <row r="102" spans="1:43" ht="24.95" customHeight="1">
      <c r="A102" s="32" t="s">
        <v>628</v>
      </c>
      <c r="B102" s="217" t="s">
        <v>418</v>
      </c>
      <c r="C102" s="218" t="s">
        <v>23</v>
      </c>
      <c r="D102" s="219" t="s">
        <v>65</v>
      </c>
      <c r="E102" s="219" t="s">
        <v>28</v>
      </c>
      <c r="F102" s="219" t="s">
        <v>25</v>
      </c>
      <c r="G102" s="219" t="s">
        <v>31</v>
      </c>
      <c r="H102" s="219"/>
      <c r="I102" s="219"/>
      <c r="J102" s="219"/>
      <c r="K102" s="220">
        <v>10</v>
      </c>
      <c r="L102" s="221" t="s">
        <v>29</v>
      </c>
      <c r="M102" s="259" t="s">
        <v>146</v>
      </c>
      <c r="N102" s="222">
        <v>2597000000</v>
      </c>
      <c r="O102" s="222">
        <v>0</v>
      </c>
      <c r="P102" s="224">
        <v>0</v>
      </c>
      <c r="Q102" s="222">
        <v>0</v>
      </c>
      <c r="R102" s="224">
        <v>0</v>
      </c>
      <c r="S102" s="222">
        <v>0</v>
      </c>
      <c r="T102" s="224">
        <v>0</v>
      </c>
    </row>
    <row r="103" spans="1:43" ht="35.1" customHeight="1">
      <c r="A103" s="32" t="s">
        <v>420</v>
      </c>
      <c r="B103" s="188" t="s">
        <v>421</v>
      </c>
      <c r="C103" s="189" t="s">
        <v>23</v>
      </c>
      <c r="D103" s="191" t="s">
        <v>148</v>
      </c>
      <c r="E103" s="191"/>
      <c r="F103" s="191"/>
      <c r="G103" s="191"/>
      <c r="H103" s="191"/>
      <c r="I103" s="191"/>
      <c r="J103" s="191"/>
      <c r="K103" s="192"/>
      <c r="L103" s="193"/>
      <c r="M103" s="188" t="s">
        <v>149</v>
      </c>
      <c r="N103" s="194">
        <v>5824000000</v>
      </c>
      <c r="O103" s="194">
        <v>80011221.169999987</v>
      </c>
      <c r="P103" s="195">
        <v>1.3738190448145601E-2</v>
      </c>
      <c r="Q103" s="194">
        <v>80011221.169999987</v>
      </c>
      <c r="R103" s="195">
        <v>1.3738190448145601E-2</v>
      </c>
      <c r="S103" s="194">
        <v>79823047.169999987</v>
      </c>
      <c r="T103" s="195">
        <v>1.3705880351991755E-2</v>
      </c>
    </row>
    <row r="104" spans="1:43" ht="24.95" customHeight="1">
      <c r="A104" s="32" t="s">
        <v>422</v>
      </c>
      <c r="B104" s="196" t="s">
        <v>423</v>
      </c>
      <c r="C104" s="197" t="s">
        <v>23</v>
      </c>
      <c r="D104" s="198" t="s">
        <v>148</v>
      </c>
      <c r="E104" s="198" t="s">
        <v>25</v>
      </c>
      <c r="F104" s="198"/>
      <c r="G104" s="198"/>
      <c r="H104" s="198"/>
      <c r="I104" s="198"/>
      <c r="J104" s="198"/>
      <c r="K104" s="199"/>
      <c r="L104" s="200"/>
      <c r="M104" s="196" t="s">
        <v>150</v>
      </c>
      <c r="N104" s="201">
        <v>84000000</v>
      </c>
      <c r="O104" s="201">
        <v>75892457.099999994</v>
      </c>
      <c r="P104" s="202">
        <v>0.90348163214285704</v>
      </c>
      <c r="Q104" s="201">
        <v>75892457.099999994</v>
      </c>
      <c r="R104" s="202">
        <v>0.90348163214285704</v>
      </c>
      <c r="S104" s="201">
        <v>75704283.099999994</v>
      </c>
      <c r="T104" s="202">
        <v>0.90124146547619044</v>
      </c>
    </row>
    <row r="105" spans="1:43" ht="16.5">
      <c r="A105" s="32" t="s">
        <v>424</v>
      </c>
      <c r="B105" s="203" t="s">
        <v>425</v>
      </c>
      <c r="C105" s="204" t="s">
        <v>23</v>
      </c>
      <c r="D105" s="205" t="s">
        <v>148</v>
      </c>
      <c r="E105" s="205" t="s">
        <v>25</v>
      </c>
      <c r="F105" s="205" t="s">
        <v>54</v>
      </c>
      <c r="G105" s="205"/>
      <c r="H105" s="205"/>
      <c r="I105" s="205"/>
      <c r="J105" s="205"/>
      <c r="K105" s="206" t="s">
        <v>28</v>
      </c>
      <c r="L105" s="207" t="s">
        <v>29</v>
      </c>
      <c r="M105" s="203" t="s">
        <v>151</v>
      </c>
      <c r="N105" s="208">
        <v>84000000</v>
      </c>
      <c r="O105" s="208">
        <v>75892457.099999994</v>
      </c>
      <c r="P105" s="209">
        <v>0.90348163214285704</v>
      </c>
      <c r="Q105" s="208">
        <v>75892457.099999994</v>
      </c>
      <c r="R105" s="209">
        <v>0.90348163214285704</v>
      </c>
      <c r="S105" s="208">
        <v>75704283.099999994</v>
      </c>
      <c r="T105" s="209">
        <v>0.90124146547619044</v>
      </c>
    </row>
    <row r="106" spans="1:43" ht="24.95" customHeight="1">
      <c r="A106" s="32" t="s">
        <v>426</v>
      </c>
      <c r="B106" s="217" t="s">
        <v>427</v>
      </c>
      <c r="C106" s="218" t="s">
        <v>23</v>
      </c>
      <c r="D106" s="219" t="s">
        <v>148</v>
      </c>
      <c r="E106" s="219" t="s">
        <v>25</v>
      </c>
      <c r="F106" s="219" t="s">
        <v>54</v>
      </c>
      <c r="G106" s="219" t="s">
        <v>31</v>
      </c>
      <c r="H106" s="219"/>
      <c r="I106" s="219"/>
      <c r="J106" s="219"/>
      <c r="K106" s="220" t="s">
        <v>28</v>
      </c>
      <c r="L106" s="221" t="s">
        <v>29</v>
      </c>
      <c r="M106" s="259" t="s">
        <v>152</v>
      </c>
      <c r="N106" s="222">
        <v>51000000</v>
      </c>
      <c r="O106" s="222">
        <v>49978748</v>
      </c>
      <c r="P106" s="224">
        <v>0.97997545098039218</v>
      </c>
      <c r="Q106" s="222">
        <v>49978748</v>
      </c>
      <c r="R106" s="224">
        <v>0.97997545098039218</v>
      </c>
      <c r="S106" s="222">
        <v>49978748</v>
      </c>
      <c r="T106" s="224">
        <v>0.97997545098039218</v>
      </c>
    </row>
    <row r="107" spans="1:43" ht="24.95" customHeight="1">
      <c r="A107" s="32" t="s">
        <v>428</v>
      </c>
      <c r="B107" s="217" t="s">
        <v>429</v>
      </c>
      <c r="C107" s="218" t="s">
        <v>23</v>
      </c>
      <c r="D107" s="219" t="s">
        <v>148</v>
      </c>
      <c r="E107" s="219" t="s">
        <v>25</v>
      </c>
      <c r="F107" s="219" t="s">
        <v>54</v>
      </c>
      <c r="G107" s="219" t="s">
        <v>38</v>
      </c>
      <c r="H107" s="219"/>
      <c r="I107" s="219"/>
      <c r="J107" s="219"/>
      <c r="K107" s="220" t="s">
        <v>28</v>
      </c>
      <c r="L107" s="221" t="s">
        <v>29</v>
      </c>
      <c r="M107" s="259" t="s">
        <v>153</v>
      </c>
      <c r="N107" s="222">
        <v>26000000</v>
      </c>
      <c r="O107" s="222">
        <v>19586609.100000001</v>
      </c>
      <c r="P107" s="224">
        <v>0.75333111923076934</v>
      </c>
      <c r="Q107" s="222">
        <v>19586609.100000001</v>
      </c>
      <c r="R107" s="224">
        <v>0.75333111923076934</v>
      </c>
      <c r="S107" s="222">
        <v>19398435.100000001</v>
      </c>
      <c r="T107" s="224">
        <v>0.74609365769230773</v>
      </c>
    </row>
    <row r="108" spans="1:43" ht="24.95" customHeight="1">
      <c r="A108" s="32" t="s">
        <v>430</v>
      </c>
      <c r="B108" s="217" t="s">
        <v>431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42</v>
      </c>
      <c r="H108" s="219"/>
      <c r="I108" s="219"/>
      <c r="J108" s="219"/>
      <c r="K108" s="220" t="s">
        <v>28</v>
      </c>
      <c r="L108" s="221" t="s">
        <v>29</v>
      </c>
      <c r="M108" s="259" t="s">
        <v>154</v>
      </c>
      <c r="N108" s="222">
        <v>7000000</v>
      </c>
      <c r="O108" s="222">
        <v>6327100</v>
      </c>
      <c r="P108" s="224">
        <v>0.90387142857142855</v>
      </c>
      <c r="Q108" s="222">
        <v>6327100</v>
      </c>
      <c r="R108" s="224">
        <v>0.90387142857142855</v>
      </c>
      <c r="S108" s="222">
        <v>6327100</v>
      </c>
      <c r="T108" s="224">
        <v>0.90387142857142855</v>
      </c>
    </row>
    <row r="109" spans="1:43" ht="24.95" customHeight="1">
      <c r="A109" s="32" t="s">
        <v>629</v>
      </c>
      <c r="B109" s="196" t="s">
        <v>432</v>
      </c>
      <c r="C109" s="197" t="s">
        <v>23</v>
      </c>
      <c r="D109" s="198" t="s">
        <v>148</v>
      </c>
      <c r="E109" s="198" t="s">
        <v>136</v>
      </c>
      <c r="F109" s="198"/>
      <c r="G109" s="198"/>
      <c r="H109" s="198"/>
      <c r="I109" s="198"/>
      <c r="J109" s="198"/>
      <c r="K109" s="199"/>
      <c r="L109" s="200"/>
      <c r="M109" s="196" t="s">
        <v>155</v>
      </c>
      <c r="N109" s="201">
        <v>5740000000</v>
      </c>
      <c r="O109" s="201">
        <v>4118764.07</v>
      </c>
      <c r="P109" s="202">
        <v>7.1755471602787449E-4</v>
      </c>
      <c r="Q109" s="201">
        <v>4118764.07</v>
      </c>
      <c r="R109" s="202">
        <v>7.1755471602787449E-4</v>
      </c>
      <c r="S109" s="201">
        <v>4118764.07</v>
      </c>
      <c r="T109" s="202">
        <v>7.1755471602787449E-4</v>
      </c>
    </row>
    <row r="110" spans="1:43" ht="24.95" customHeight="1" thickBot="1">
      <c r="A110" s="32" t="s">
        <v>433</v>
      </c>
      <c r="B110" s="217" t="s">
        <v>434</v>
      </c>
      <c r="C110" s="218" t="s">
        <v>23</v>
      </c>
      <c r="D110" s="219" t="s">
        <v>148</v>
      </c>
      <c r="E110" s="219" t="s">
        <v>136</v>
      </c>
      <c r="F110" s="219" t="s">
        <v>25</v>
      </c>
      <c r="G110" s="219"/>
      <c r="H110" s="219"/>
      <c r="I110" s="219"/>
      <c r="J110" s="219"/>
      <c r="K110" s="220" t="s">
        <v>144</v>
      </c>
      <c r="L110" s="221" t="s">
        <v>156</v>
      </c>
      <c r="M110" s="259" t="s">
        <v>157</v>
      </c>
      <c r="N110" s="222">
        <v>5740000000</v>
      </c>
      <c r="O110" s="222">
        <v>4118764.07</v>
      </c>
      <c r="P110" s="224">
        <v>7.1755471602787449E-4</v>
      </c>
      <c r="Q110" s="222">
        <v>4118764.07</v>
      </c>
      <c r="R110" s="224">
        <v>7.1755471602787449E-4</v>
      </c>
      <c r="S110" s="222">
        <v>4118764.07</v>
      </c>
      <c r="T110" s="224">
        <v>7.1755471602787449E-4</v>
      </c>
    </row>
    <row r="111" spans="1:43" ht="35.1" customHeight="1" thickBot="1">
      <c r="A111" s="32" t="s">
        <v>435</v>
      </c>
      <c r="B111" s="260" t="s">
        <v>278</v>
      </c>
      <c r="C111" s="261" t="s">
        <v>167</v>
      </c>
      <c r="D111" s="262"/>
      <c r="E111" s="262"/>
      <c r="F111" s="262"/>
      <c r="G111" s="262"/>
      <c r="H111" s="262"/>
      <c r="I111" s="262"/>
      <c r="J111" s="262"/>
      <c r="K111" s="263"/>
      <c r="L111" s="264"/>
      <c r="M111" s="260" t="s">
        <v>168</v>
      </c>
      <c r="N111" s="265">
        <v>2905582139470</v>
      </c>
      <c r="O111" s="265">
        <v>2637553815756.0796</v>
      </c>
      <c r="P111" s="187">
        <v>0.90775400217637259</v>
      </c>
      <c r="Q111" s="265">
        <v>1671739703928.0398</v>
      </c>
      <c r="R111" s="187">
        <v>0.57535448102423215</v>
      </c>
      <c r="S111" s="265">
        <v>1666757483639.0398</v>
      </c>
      <c r="T111" s="187">
        <v>0.57363977462467086</v>
      </c>
    </row>
    <row r="112" spans="1:43" ht="35.1" customHeight="1">
      <c r="A112" s="32" t="s">
        <v>436</v>
      </c>
      <c r="B112" s="188" t="s">
        <v>437</v>
      </c>
      <c r="C112" s="189" t="s">
        <v>167</v>
      </c>
      <c r="D112" s="191">
        <v>4101</v>
      </c>
      <c r="E112" s="191"/>
      <c r="F112" s="191"/>
      <c r="G112" s="191"/>
      <c r="H112" s="191"/>
      <c r="I112" s="191"/>
      <c r="J112" s="191"/>
      <c r="K112" s="192"/>
      <c r="L112" s="193"/>
      <c r="M112" s="188" t="s">
        <v>169</v>
      </c>
      <c r="N112" s="194">
        <v>184499832863</v>
      </c>
      <c r="O112" s="194">
        <v>168682239606</v>
      </c>
      <c r="P112" s="195">
        <v>0.91426770956077064</v>
      </c>
      <c r="Q112" s="194">
        <v>41572960885</v>
      </c>
      <c r="R112" s="195">
        <v>0.22532790539636924</v>
      </c>
      <c r="S112" s="194">
        <v>37856743698</v>
      </c>
      <c r="T112" s="195">
        <v>0.20518578857526909</v>
      </c>
    </row>
    <row r="113" spans="1:20" ht="24.95" customHeight="1">
      <c r="A113" s="32" t="s">
        <v>438</v>
      </c>
      <c r="B113" s="196" t="s">
        <v>295</v>
      </c>
      <c r="C113" s="197" t="s">
        <v>167</v>
      </c>
      <c r="D113" s="198">
        <v>4101</v>
      </c>
      <c r="E113" s="198">
        <v>1500</v>
      </c>
      <c r="F113" s="198"/>
      <c r="G113" s="198"/>
      <c r="H113" s="198"/>
      <c r="I113" s="198"/>
      <c r="J113" s="198"/>
      <c r="K113" s="199"/>
      <c r="L113" s="200"/>
      <c r="M113" s="196" t="s">
        <v>170</v>
      </c>
      <c r="N113" s="201">
        <v>184499832863</v>
      </c>
      <c r="O113" s="201">
        <v>168682239606</v>
      </c>
      <c r="P113" s="202">
        <v>0.91426770956077064</v>
      </c>
      <c r="Q113" s="201">
        <v>41572960885</v>
      </c>
      <c r="R113" s="202">
        <v>0.22532790539636924</v>
      </c>
      <c r="S113" s="201">
        <v>37856743698</v>
      </c>
      <c r="T113" s="202">
        <v>0.20518578857526909</v>
      </c>
    </row>
    <row r="114" spans="1:20" ht="33">
      <c r="A114" s="32" t="s">
        <v>439</v>
      </c>
      <c r="B114" s="203" t="s">
        <v>440</v>
      </c>
      <c r="C114" s="227" t="s">
        <v>167</v>
      </c>
      <c r="D114" s="228" t="s">
        <v>171</v>
      </c>
      <c r="E114" s="228" t="s">
        <v>172</v>
      </c>
      <c r="F114" s="228" t="s">
        <v>261</v>
      </c>
      <c r="G114" s="228"/>
      <c r="H114" s="228"/>
      <c r="I114" s="228"/>
      <c r="J114" s="228"/>
      <c r="K114" s="229"/>
      <c r="L114" s="230"/>
      <c r="M114" s="231" t="s">
        <v>279</v>
      </c>
      <c r="N114" s="232">
        <v>66398074900</v>
      </c>
      <c r="O114" s="232">
        <v>61381319404</v>
      </c>
      <c r="P114" s="233">
        <v>0.92444426282605974</v>
      </c>
      <c r="Q114" s="232">
        <v>8851167796</v>
      </c>
      <c r="R114" s="233">
        <v>0.13330458464843234</v>
      </c>
      <c r="S114" s="232">
        <v>8821974796</v>
      </c>
      <c r="T114" s="233">
        <v>0.13286491828696076</v>
      </c>
    </row>
    <row r="115" spans="1:20" ht="24.95" customHeight="1">
      <c r="A115" s="32" t="s">
        <v>630</v>
      </c>
      <c r="B115" s="210" t="s">
        <v>441</v>
      </c>
      <c r="C115" s="211" t="s">
        <v>167</v>
      </c>
      <c r="D115" s="212" t="s">
        <v>171</v>
      </c>
      <c r="E115" s="212" t="s">
        <v>172</v>
      </c>
      <c r="F115" s="212" t="s">
        <v>261</v>
      </c>
      <c r="G115" s="212" t="s">
        <v>175</v>
      </c>
      <c r="H115" s="212" t="s">
        <v>176</v>
      </c>
      <c r="I115" s="212"/>
      <c r="J115" s="212"/>
      <c r="K115" s="213">
        <v>11</v>
      </c>
      <c r="L115" s="214" t="s">
        <v>29</v>
      </c>
      <c r="M115" s="210" t="s">
        <v>177</v>
      </c>
      <c r="N115" s="215">
        <v>37511369742</v>
      </c>
      <c r="O115" s="215">
        <v>34742400000</v>
      </c>
      <c r="P115" s="216">
        <v>0.92618318762965102</v>
      </c>
      <c r="Q115" s="215">
        <v>0</v>
      </c>
      <c r="R115" s="216">
        <v>0</v>
      </c>
      <c r="S115" s="215">
        <v>0</v>
      </c>
      <c r="T115" s="216">
        <v>0</v>
      </c>
    </row>
    <row r="116" spans="1:20" ht="24.95" customHeight="1">
      <c r="A116" s="32" t="s">
        <v>631</v>
      </c>
      <c r="B116" s="217" t="s">
        <v>442</v>
      </c>
      <c r="C116" s="218" t="s">
        <v>167</v>
      </c>
      <c r="D116" s="219" t="s">
        <v>171</v>
      </c>
      <c r="E116" s="219" t="s">
        <v>172</v>
      </c>
      <c r="F116" s="219" t="s">
        <v>261</v>
      </c>
      <c r="G116" s="219" t="s">
        <v>175</v>
      </c>
      <c r="H116" s="219" t="s">
        <v>176</v>
      </c>
      <c r="I116" s="219" t="s">
        <v>54</v>
      </c>
      <c r="J116" s="219"/>
      <c r="K116" s="220">
        <v>11</v>
      </c>
      <c r="L116" s="221" t="s">
        <v>29</v>
      </c>
      <c r="M116" s="217" t="s">
        <v>178</v>
      </c>
      <c r="N116" s="222">
        <v>37511369742</v>
      </c>
      <c r="O116" s="222">
        <v>34742400000</v>
      </c>
      <c r="P116" s="224">
        <v>0.92618318762965102</v>
      </c>
      <c r="Q116" s="222">
        <v>0</v>
      </c>
      <c r="R116" s="224">
        <v>0</v>
      </c>
      <c r="S116" s="222">
        <v>0</v>
      </c>
      <c r="T116" s="224">
        <v>0</v>
      </c>
    </row>
    <row r="117" spans="1:20" ht="33">
      <c r="A117" s="32" t="s">
        <v>632</v>
      </c>
      <c r="B117" s="210" t="s">
        <v>443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179</v>
      </c>
      <c r="I117" s="212"/>
      <c r="J117" s="212"/>
      <c r="K117" s="213">
        <v>11</v>
      </c>
      <c r="L117" s="214" t="s">
        <v>29</v>
      </c>
      <c r="M117" s="210" t="s">
        <v>180</v>
      </c>
      <c r="N117" s="215">
        <v>8799663116</v>
      </c>
      <c r="O117" s="215">
        <v>8799663116</v>
      </c>
      <c r="P117" s="216">
        <v>1</v>
      </c>
      <c r="Q117" s="215">
        <v>2750971124</v>
      </c>
      <c r="R117" s="216">
        <v>0.31262232289302561</v>
      </c>
      <c r="S117" s="215">
        <v>2750971124</v>
      </c>
      <c r="T117" s="216">
        <v>0.31262232289302561</v>
      </c>
    </row>
    <row r="118" spans="1:20" ht="24.95" customHeight="1">
      <c r="A118" s="32" t="s">
        <v>633</v>
      </c>
      <c r="B118" s="217" t="s">
        <v>444</v>
      </c>
      <c r="C118" s="218" t="s">
        <v>167</v>
      </c>
      <c r="D118" s="219" t="s">
        <v>171</v>
      </c>
      <c r="E118" s="219" t="s">
        <v>172</v>
      </c>
      <c r="F118" s="219">
        <v>5</v>
      </c>
      <c r="G118" s="219" t="s">
        <v>175</v>
      </c>
      <c r="H118" s="219" t="s">
        <v>179</v>
      </c>
      <c r="I118" s="219" t="s">
        <v>54</v>
      </c>
      <c r="J118" s="219"/>
      <c r="K118" s="220">
        <v>11</v>
      </c>
      <c r="L118" s="221" t="s">
        <v>29</v>
      </c>
      <c r="M118" s="259" t="s">
        <v>178</v>
      </c>
      <c r="N118" s="222">
        <v>8799663116</v>
      </c>
      <c r="O118" s="222">
        <v>8799663116</v>
      </c>
      <c r="P118" s="224">
        <v>1</v>
      </c>
      <c r="Q118" s="222">
        <v>2750971124</v>
      </c>
      <c r="R118" s="224">
        <v>0.31262232289302561</v>
      </c>
      <c r="S118" s="222">
        <v>2750971124</v>
      </c>
      <c r="T118" s="224">
        <v>0.31262232289302561</v>
      </c>
    </row>
    <row r="119" spans="1:20" ht="49.5">
      <c r="A119" s="32" t="s">
        <v>634</v>
      </c>
      <c r="B119" s="210" t="s">
        <v>445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181</v>
      </c>
      <c r="I119" s="212"/>
      <c r="J119" s="212"/>
      <c r="K119" s="213">
        <v>11</v>
      </c>
      <c r="L119" s="214" t="s">
        <v>29</v>
      </c>
      <c r="M119" s="210" t="s">
        <v>182</v>
      </c>
      <c r="N119" s="215">
        <v>4325174580</v>
      </c>
      <c r="O119" s="215">
        <v>3022087127</v>
      </c>
      <c r="P119" s="216">
        <v>0.698720264604903</v>
      </c>
      <c r="Q119" s="215">
        <v>1072765896</v>
      </c>
      <c r="R119" s="216">
        <v>0.24802834571361973</v>
      </c>
      <c r="S119" s="215">
        <v>1043572896</v>
      </c>
      <c r="T119" s="216">
        <v>0.24127879157192308</v>
      </c>
    </row>
    <row r="120" spans="1:20" ht="24.95" customHeight="1">
      <c r="A120" s="32" t="s">
        <v>635</v>
      </c>
      <c r="B120" s="217" t="s">
        <v>446</v>
      </c>
      <c r="C120" s="218" t="s">
        <v>167</v>
      </c>
      <c r="D120" s="219" t="s">
        <v>171</v>
      </c>
      <c r="E120" s="219" t="s">
        <v>172</v>
      </c>
      <c r="F120" s="219" t="s">
        <v>261</v>
      </c>
      <c r="G120" s="219" t="s">
        <v>175</v>
      </c>
      <c r="H120" s="219" t="s">
        <v>181</v>
      </c>
      <c r="I120" s="225" t="s">
        <v>54</v>
      </c>
      <c r="J120" s="219"/>
      <c r="K120" s="220">
        <v>11</v>
      </c>
      <c r="L120" s="221" t="s">
        <v>29</v>
      </c>
      <c r="M120" s="217" t="s">
        <v>178</v>
      </c>
      <c r="N120" s="222">
        <v>4325174580</v>
      </c>
      <c r="O120" s="222">
        <v>3022087127</v>
      </c>
      <c r="P120" s="224">
        <v>0.698720264604903</v>
      </c>
      <c r="Q120" s="222">
        <v>1072765896</v>
      </c>
      <c r="R120" s="224">
        <v>0.24802834571361973</v>
      </c>
      <c r="S120" s="222">
        <v>1043572896</v>
      </c>
      <c r="T120" s="224">
        <v>0.24127879157192308</v>
      </c>
    </row>
    <row r="121" spans="1:20" ht="49.5">
      <c r="A121" s="32" t="s">
        <v>636</v>
      </c>
      <c r="B121" s="210" t="s">
        <v>447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183</v>
      </c>
      <c r="I121" s="212"/>
      <c r="J121" s="212"/>
      <c r="K121" s="213">
        <v>11</v>
      </c>
      <c r="L121" s="214" t="s">
        <v>29</v>
      </c>
      <c r="M121" s="210" t="s">
        <v>184</v>
      </c>
      <c r="N121" s="215">
        <v>7972098301</v>
      </c>
      <c r="O121" s="215">
        <v>7027400000</v>
      </c>
      <c r="P121" s="216">
        <v>0.8814994164232145</v>
      </c>
      <c r="Q121" s="215">
        <v>2384380353</v>
      </c>
      <c r="R121" s="216">
        <v>0.29909068641325076</v>
      </c>
      <c r="S121" s="215">
        <v>2384380353</v>
      </c>
      <c r="T121" s="216">
        <v>0.29909068641325076</v>
      </c>
    </row>
    <row r="122" spans="1:20" ht="24.95" customHeight="1">
      <c r="A122" s="32" t="s">
        <v>637</v>
      </c>
      <c r="B122" s="217" t="s">
        <v>448</v>
      </c>
      <c r="C122" s="218" t="s">
        <v>167</v>
      </c>
      <c r="D122" s="219" t="s">
        <v>171</v>
      </c>
      <c r="E122" s="219" t="s">
        <v>172</v>
      </c>
      <c r="F122" s="219" t="s">
        <v>261</v>
      </c>
      <c r="G122" s="219" t="s">
        <v>175</v>
      </c>
      <c r="H122" s="219" t="s">
        <v>183</v>
      </c>
      <c r="I122" s="219" t="s">
        <v>54</v>
      </c>
      <c r="J122" s="219"/>
      <c r="K122" s="220">
        <v>11</v>
      </c>
      <c r="L122" s="221" t="s">
        <v>29</v>
      </c>
      <c r="M122" s="217" t="s">
        <v>178</v>
      </c>
      <c r="N122" s="223">
        <v>7972098301</v>
      </c>
      <c r="O122" s="222">
        <v>7027400000</v>
      </c>
      <c r="P122" s="224">
        <v>0.8814994164232145</v>
      </c>
      <c r="Q122" s="222">
        <v>2384380353</v>
      </c>
      <c r="R122" s="224">
        <v>0.29909068641325076</v>
      </c>
      <c r="S122" s="222">
        <v>2384380353</v>
      </c>
      <c r="T122" s="224">
        <v>0.29909068641325076</v>
      </c>
    </row>
    <row r="123" spans="1:20" ht="24.95" customHeight="1">
      <c r="A123" s="32" t="s">
        <v>638</v>
      </c>
      <c r="B123" s="210" t="s">
        <v>449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185</v>
      </c>
      <c r="I123" s="212"/>
      <c r="J123" s="212"/>
      <c r="K123" s="213">
        <v>11</v>
      </c>
      <c r="L123" s="214" t="s">
        <v>29</v>
      </c>
      <c r="M123" s="210" t="s">
        <v>186</v>
      </c>
      <c r="N123" s="215">
        <v>5196200000</v>
      </c>
      <c r="O123" s="215">
        <v>5196200000</v>
      </c>
      <c r="P123" s="216">
        <v>1</v>
      </c>
      <c r="Q123" s="215">
        <v>1763058484</v>
      </c>
      <c r="R123" s="216">
        <v>0.33929765674916285</v>
      </c>
      <c r="S123" s="215">
        <v>1763058484</v>
      </c>
      <c r="T123" s="216">
        <v>0.33929765674916285</v>
      </c>
    </row>
    <row r="124" spans="1:20" ht="24.95" customHeight="1">
      <c r="A124" s="32" t="s">
        <v>639</v>
      </c>
      <c r="B124" s="217" t="s">
        <v>450</v>
      </c>
      <c r="C124" s="218" t="s">
        <v>167</v>
      </c>
      <c r="D124" s="219" t="s">
        <v>171</v>
      </c>
      <c r="E124" s="219" t="s">
        <v>172</v>
      </c>
      <c r="F124" s="219">
        <v>5</v>
      </c>
      <c r="G124" s="219" t="s">
        <v>175</v>
      </c>
      <c r="H124" s="219" t="s">
        <v>185</v>
      </c>
      <c r="I124" s="219" t="s">
        <v>54</v>
      </c>
      <c r="J124" s="219"/>
      <c r="K124" s="220">
        <v>11</v>
      </c>
      <c r="L124" s="221" t="s">
        <v>29</v>
      </c>
      <c r="M124" s="259" t="s">
        <v>178</v>
      </c>
      <c r="N124" s="222">
        <v>5196200000</v>
      </c>
      <c r="O124" s="222">
        <v>5196200000</v>
      </c>
      <c r="P124" s="224">
        <v>1</v>
      </c>
      <c r="Q124" s="222">
        <v>1763058484</v>
      </c>
      <c r="R124" s="224">
        <v>0.33929765674916285</v>
      </c>
      <c r="S124" s="222">
        <v>1763058484</v>
      </c>
      <c r="T124" s="224">
        <v>0.33929765674916285</v>
      </c>
    </row>
    <row r="125" spans="1:20" ht="33">
      <c r="A125" s="32" t="s">
        <v>640</v>
      </c>
      <c r="B125" s="210" t="s">
        <v>451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187</v>
      </c>
      <c r="I125" s="212"/>
      <c r="J125" s="212"/>
      <c r="K125" s="213">
        <v>11</v>
      </c>
      <c r="L125" s="214" t="s">
        <v>29</v>
      </c>
      <c r="M125" s="210" t="s">
        <v>188</v>
      </c>
      <c r="N125" s="215">
        <v>2593569161</v>
      </c>
      <c r="O125" s="215">
        <v>2593569161</v>
      </c>
      <c r="P125" s="216">
        <v>1</v>
      </c>
      <c r="Q125" s="215">
        <v>879991939</v>
      </c>
      <c r="R125" s="216">
        <v>0.33929765677068058</v>
      </c>
      <c r="S125" s="215">
        <v>879991939</v>
      </c>
      <c r="T125" s="216">
        <v>0.33929765677068058</v>
      </c>
    </row>
    <row r="126" spans="1:20" ht="24.95" customHeight="1">
      <c r="A126" s="32" t="s">
        <v>641</v>
      </c>
      <c r="B126" s="217" t="s">
        <v>452</v>
      </c>
      <c r="C126" s="218" t="s">
        <v>167</v>
      </c>
      <c r="D126" s="219" t="s">
        <v>171</v>
      </c>
      <c r="E126" s="219" t="s">
        <v>172</v>
      </c>
      <c r="F126" s="219" t="s">
        <v>261</v>
      </c>
      <c r="G126" s="219" t="s">
        <v>175</v>
      </c>
      <c r="H126" s="219" t="s">
        <v>187</v>
      </c>
      <c r="I126" s="219" t="s">
        <v>54</v>
      </c>
      <c r="J126" s="219"/>
      <c r="K126" s="220">
        <v>11</v>
      </c>
      <c r="L126" s="221" t="s">
        <v>29</v>
      </c>
      <c r="M126" s="217" t="s">
        <v>178</v>
      </c>
      <c r="N126" s="222">
        <v>2593569161</v>
      </c>
      <c r="O126" s="222">
        <v>2593569161</v>
      </c>
      <c r="P126" s="224">
        <v>1</v>
      </c>
      <c r="Q126" s="222">
        <v>879991939</v>
      </c>
      <c r="R126" s="224">
        <v>0.33929765677068058</v>
      </c>
      <c r="S126" s="222">
        <v>879991939</v>
      </c>
      <c r="T126" s="224">
        <v>0.33929765677068058</v>
      </c>
    </row>
    <row r="127" spans="1:20" ht="66">
      <c r="A127" s="32" t="s">
        <v>453</v>
      </c>
      <c r="B127" s="226" t="s">
        <v>454</v>
      </c>
      <c r="C127" s="227" t="s">
        <v>167</v>
      </c>
      <c r="D127" s="228" t="s">
        <v>171</v>
      </c>
      <c r="E127" s="228" t="s">
        <v>172</v>
      </c>
      <c r="F127" s="228" t="s">
        <v>173</v>
      </c>
      <c r="G127" s="228"/>
      <c r="H127" s="228"/>
      <c r="I127" s="228"/>
      <c r="J127" s="228"/>
      <c r="K127" s="229"/>
      <c r="L127" s="230"/>
      <c r="M127" s="231" t="s">
        <v>174</v>
      </c>
      <c r="N127" s="232">
        <v>118101757963</v>
      </c>
      <c r="O127" s="232">
        <v>107300920202</v>
      </c>
      <c r="P127" s="233">
        <v>0.90854634217736385</v>
      </c>
      <c r="Q127" s="232">
        <v>32721793089</v>
      </c>
      <c r="R127" s="233">
        <v>0.27706440321787068</v>
      </c>
      <c r="S127" s="232">
        <v>29034768902</v>
      </c>
      <c r="T127" s="233">
        <v>0.24584535745095579</v>
      </c>
    </row>
    <row r="128" spans="1:20" ht="24.95" customHeight="1">
      <c r="A128" s="32" t="s">
        <v>455</v>
      </c>
      <c r="B128" s="210" t="s">
        <v>456</v>
      </c>
      <c r="C128" s="211" t="s">
        <v>167</v>
      </c>
      <c r="D128" s="212" t="s">
        <v>171</v>
      </c>
      <c r="E128" s="212" t="s">
        <v>172</v>
      </c>
      <c r="F128" s="212" t="s">
        <v>173</v>
      </c>
      <c r="G128" s="212" t="s">
        <v>175</v>
      </c>
      <c r="H128" s="212" t="s">
        <v>176</v>
      </c>
      <c r="I128" s="212"/>
      <c r="J128" s="212"/>
      <c r="K128" s="213" t="s">
        <v>144</v>
      </c>
      <c r="L128" s="214" t="s">
        <v>29</v>
      </c>
      <c r="M128" s="210" t="s">
        <v>177</v>
      </c>
      <c r="N128" s="215">
        <v>4947405600</v>
      </c>
      <c r="O128" s="215">
        <v>1947405600</v>
      </c>
      <c r="P128" s="216">
        <v>0.39362157814592763</v>
      </c>
      <c r="Q128" s="215">
        <v>1947405600</v>
      </c>
      <c r="R128" s="216">
        <v>0.39362157814592763</v>
      </c>
      <c r="S128" s="215">
        <v>1594105244</v>
      </c>
      <c r="T128" s="216">
        <v>0.32221034070867366</v>
      </c>
    </row>
    <row r="129" spans="1:20" ht="24.95" customHeight="1">
      <c r="A129" s="32" t="s">
        <v>457</v>
      </c>
      <c r="B129" s="217" t="s">
        <v>458</v>
      </c>
      <c r="C129" s="218" t="s">
        <v>167</v>
      </c>
      <c r="D129" s="219" t="s">
        <v>171</v>
      </c>
      <c r="E129" s="219" t="s">
        <v>172</v>
      </c>
      <c r="F129" s="219" t="s">
        <v>173</v>
      </c>
      <c r="G129" s="219" t="s">
        <v>175</v>
      </c>
      <c r="H129" s="219" t="s">
        <v>176</v>
      </c>
      <c r="I129" s="219" t="s">
        <v>54</v>
      </c>
      <c r="J129" s="219"/>
      <c r="K129" s="220" t="s">
        <v>144</v>
      </c>
      <c r="L129" s="221" t="s">
        <v>29</v>
      </c>
      <c r="M129" s="259" t="s">
        <v>178</v>
      </c>
      <c r="N129" s="222">
        <v>4947405600</v>
      </c>
      <c r="O129" s="222">
        <v>1947405600</v>
      </c>
      <c r="P129" s="224">
        <v>0.39362157814592763</v>
      </c>
      <c r="Q129" s="222">
        <v>1947405600</v>
      </c>
      <c r="R129" s="224">
        <v>0.39362157814592763</v>
      </c>
      <c r="S129" s="222">
        <v>1594105244</v>
      </c>
      <c r="T129" s="224">
        <v>0.32221034070867366</v>
      </c>
    </row>
    <row r="130" spans="1:20" ht="33">
      <c r="A130" s="32" t="s">
        <v>459</v>
      </c>
      <c r="B130" s="210" t="s">
        <v>460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179</v>
      </c>
      <c r="I130" s="212"/>
      <c r="J130" s="212"/>
      <c r="K130" s="213" t="s">
        <v>144</v>
      </c>
      <c r="L130" s="214" t="s">
        <v>29</v>
      </c>
      <c r="M130" s="210" t="s">
        <v>180</v>
      </c>
      <c r="N130" s="215">
        <v>27420887861</v>
      </c>
      <c r="O130" s="215">
        <v>27306887861</v>
      </c>
      <c r="P130" s="216">
        <v>0.99584258538316195</v>
      </c>
      <c r="Q130" s="215">
        <v>8774290265</v>
      </c>
      <c r="R130" s="216">
        <v>0.31998563684290615</v>
      </c>
      <c r="S130" s="215">
        <v>8774290265</v>
      </c>
      <c r="T130" s="216">
        <v>0.31998563684290615</v>
      </c>
    </row>
    <row r="131" spans="1:20" ht="24.95" customHeight="1">
      <c r="A131" s="32" t="s">
        <v>461</v>
      </c>
      <c r="B131" s="217" t="s">
        <v>462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179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27420887861</v>
      </c>
      <c r="O131" s="222">
        <v>27306887861</v>
      </c>
      <c r="P131" s="224">
        <v>0.99584258538316195</v>
      </c>
      <c r="Q131" s="222">
        <v>8774290265</v>
      </c>
      <c r="R131" s="224">
        <v>0.31998563684290615</v>
      </c>
      <c r="S131" s="222">
        <v>8774290265</v>
      </c>
      <c r="T131" s="224">
        <v>0.31998563684290615</v>
      </c>
    </row>
    <row r="132" spans="1:20" ht="49.5">
      <c r="A132" s="32" t="s">
        <v>463</v>
      </c>
      <c r="B132" s="210" t="s">
        <v>464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181</v>
      </c>
      <c r="I132" s="212"/>
      <c r="J132" s="212"/>
      <c r="K132" s="213" t="s">
        <v>144</v>
      </c>
      <c r="L132" s="214" t="s">
        <v>29</v>
      </c>
      <c r="M132" s="210" t="s">
        <v>182</v>
      </c>
      <c r="N132" s="215">
        <v>17722088000</v>
      </c>
      <c r="O132" s="215">
        <v>17722088000</v>
      </c>
      <c r="P132" s="216">
        <v>1</v>
      </c>
      <c r="Q132" s="215">
        <v>7419243348</v>
      </c>
      <c r="R132" s="216">
        <v>0.41864386115225249</v>
      </c>
      <c r="S132" s="215">
        <v>4899009976</v>
      </c>
      <c r="T132" s="216">
        <v>0.27643525841875971</v>
      </c>
    </row>
    <row r="133" spans="1:20" ht="24.95" customHeight="1">
      <c r="A133" s="32" t="s">
        <v>465</v>
      </c>
      <c r="B133" s="217" t="s">
        <v>466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181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17722088000</v>
      </c>
      <c r="O133" s="222">
        <v>17722088000</v>
      </c>
      <c r="P133" s="224">
        <v>1</v>
      </c>
      <c r="Q133" s="222">
        <v>7419243348</v>
      </c>
      <c r="R133" s="224">
        <v>0.41864386115225249</v>
      </c>
      <c r="S133" s="222">
        <v>4899009976</v>
      </c>
      <c r="T133" s="224">
        <v>0.27643525841875971</v>
      </c>
    </row>
    <row r="134" spans="1:20" ht="49.5">
      <c r="A134" s="32" t="s">
        <v>467</v>
      </c>
      <c r="B134" s="210" t="s">
        <v>468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183</v>
      </c>
      <c r="I134" s="212"/>
      <c r="J134" s="212"/>
      <c r="K134" s="213" t="s">
        <v>144</v>
      </c>
      <c r="L134" s="214" t="s">
        <v>29</v>
      </c>
      <c r="M134" s="210" t="s">
        <v>184</v>
      </c>
      <c r="N134" s="215">
        <v>16276997084</v>
      </c>
      <c r="O134" s="215">
        <v>15658747737</v>
      </c>
      <c r="P134" s="216">
        <v>0.96201698975496353</v>
      </c>
      <c r="Q134" s="215">
        <v>10145710120</v>
      </c>
      <c r="R134" s="216">
        <v>0.62331584060877254</v>
      </c>
      <c r="S134" s="215">
        <v>10136848067</v>
      </c>
      <c r="T134" s="216">
        <v>0.62277138803227672</v>
      </c>
    </row>
    <row r="135" spans="1:20" ht="24.95" customHeight="1">
      <c r="A135" s="32" t="s">
        <v>469</v>
      </c>
      <c r="B135" s="217" t="s">
        <v>470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183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16276997084</v>
      </c>
      <c r="O135" s="222">
        <v>15658747737</v>
      </c>
      <c r="P135" s="224">
        <v>0.96201698975496353</v>
      </c>
      <c r="Q135" s="222">
        <v>10145710120</v>
      </c>
      <c r="R135" s="224">
        <v>0.62331584060877254</v>
      </c>
      <c r="S135" s="222">
        <v>10136848067</v>
      </c>
      <c r="T135" s="224">
        <v>0.62277138803227672</v>
      </c>
    </row>
    <row r="136" spans="1:20" ht="24.95" customHeight="1">
      <c r="A136" s="32" t="s">
        <v>471</v>
      </c>
      <c r="B136" s="210" t="s">
        <v>472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185</v>
      </c>
      <c r="I136" s="212"/>
      <c r="J136" s="212"/>
      <c r="K136" s="213" t="s">
        <v>144</v>
      </c>
      <c r="L136" s="214" t="s">
        <v>29</v>
      </c>
      <c r="M136" s="210" t="s">
        <v>186</v>
      </c>
      <c r="N136" s="215">
        <v>30467075662</v>
      </c>
      <c r="O136" s="215">
        <v>23398487248</v>
      </c>
      <c r="P136" s="216">
        <v>0.76799255391562626</v>
      </c>
      <c r="Q136" s="215">
        <v>0</v>
      </c>
      <c r="R136" s="216">
        <v>0</v>
      </c>
      <c r="S136" s="215">
        <v>0</v>
      </c>
      <c r="T136" s="216">
        <v>0</v>
      </c>
    </row>
    <row r="137" spans="1:20" ht="24.95" customHeight="1">
      <c r="A137" s="32" t="s">
        <v>473</v>
      </c>
      <c r="B137" s="217" t="s">
        <v>474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185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30467075662</v>
      </c>
      <c r="O137" s="222">
        <v>23398487248</v>
      </c>
      <c r="P137" s="224">
        <v>0.76799255391562626</v>
      </c>
      <c r="Q137" s="222">
        <v>0</v>
      </c>
      <c r="R137" s="224">
        <v>0</v>
      </c>
      <c r="S137" s="222">
        <v>0</v>
      </c>
      <c r="T137" s="224">
        <v>0</v>
      </c>
    </row>
    <row r="138" spans="1:20" ht="33">
      <c r="A138" s="32" t="s">
        <v>475</v>
      </c>
      <c r="B138" s="210" t="s">
        <v>476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187</v>
      </c>
      <c r="I138" s="212"/>
      <c r="J138" s="212"/>
      <c r="K138" s="213" t="s">
        <v>144</v>
      </c>
      <c r="L138" s="214" t="s">
        <v>29</v>
      </c>
      <c r="M138" s="210" t="s">
        <v>188</v>
      </c>
      <c r="N138" s="215">
        <v>21267303756</v>
      </c>
      <c r="O138" s="215">
        <v>21267303756</v>
      </c>
      <c r="P138" s="216">
        <v>1</v>
      </c>
      <c r="Q138" s="215">
        <v>4435143756</v>
      </c>
      <c r="R138" s="216">
        <v>0.20854283208085289</v>
      </c>
      <c r="S138" s="215">
        <v>3630515350</v>
      </c>
      <c r="T138" s="216">
        <v>0.17070877397778961</v>
      </c>
    </row>
    <row r="139" spans="1:20" ht="24.95" customHeight="1">
      <c r="A139" s="32" t="s">
        <v>477</v>
      </c>
      <c r="B139" s="217" t="s">
        <v>478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187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4435143756</v>
      </c>
      <c r="O139" s="222">
        <v>4435143756</v>
      </c>
      <c r="P139" s="224">
        <v>1</v>
      </c>
      <c r="Q139" s="222">
        <v>4435143756</v>
      </c>
      <c r="R139" s="224">
        <v>1</v>
      </c>
      <c r="S139" s="222">
        <v>3630515350</v>
      </c>
      <c r="T139" s="224">
        <v>0.81857895701543526</v>
      </c>
    </row>
    <row r="140" spans="1:20" ht="24.95" customHeight="1">
      <c r="A140" s="32" t="s">
        <v>479</v>
      </c>
      <c r="B140" s="217" t="s">
        <v>480</v>
      </c>
      <c r="C140" s="218" t="s">
        <v>167</v>
      </c>
      <c r="D140" s="219" t="s">
        <v>171</v>
      </c>
      <c r="E140" s="219" t="s">
        <v>172</v>
      </c>
      <c r="F140" s="219" t="s">
        <v>173</v>
      </c>
      <c r="G140" s="219" t="s">
        <v>175</v>
      </c>
      <c r="H140" s="219" t="s">
        <v>187</v>
      </c>
      <c r="I140" s="225" t="s">
        <v>65</v>
      </c>
      <c r="J140" s="219"/>
      <c r="K140" s="220" t="s">
        <v>144</v>
      </c>
      <c r="L140" s="221" t="s">
        <v>29</v>
      </c>
      <c r="M140" s="259" t="s">
        <v>127</v>
      </c>
      <c r="N140" s="222">
        <v>16832160000</v>
      </c>
      <c r="O140" s="222">
        <v>16832160000</v>
      </c>
      <c r="P140" s="224">
        <v>1</v>
      </c>
      <c r="Q140" s="222">
        <v>0</v>
      </c>
      <c r="R140" s="224">
        <v>0</v>
      </c>
      <c r="S140" s="222">
        <v>0</v>
      </c>
      <c r="T140" s="224">
        <v>0</v>
      </c>
    </row>
    <row r="141" spans="1:20" ht="35.1" customHeight="1">
      <c r="A141" s="32" t="s">
        <v>481</v>
      </c>
      <c r="B141" s="188" t="s">
        <v>482</v>
      </c>
      <c r="C141" s="189" t="s">
        <v>167</v>
      </c>
      <c r="D141" s="191">
        <v>4103</v>
      </c>
      <c r="E141" s="191"/>
      <c r="F141" s="191"/>
      <c r="G141" s="191"/>
      <c r="H141" s="191"/>
      <c r="I141" s="191"/>
      <c r="J141" s="191"/>
      <c r="K141" s="192"/>
      <c r="L141" s="193"/>
      <c r="M141" s="188" t="s">
        <v>189</v>
      </c>
      <c r="N141" s="194">
        <v>2717855758141</v>
      </c>
      <c r="O141" s="194">
        <v>2466853567215.9497</v>
      </c>
      <c r="P141" s="195">
        <v>0.90764697862526211</v>
      </c>
      <c r="Q141" s="194">
        <v>1628148734109.3098</v>
      </c>
      <c r="R141" s="195">
        <v>0.59905634404342178</v>
      </c>
      <c r="S141" s="194">
        <v>1626882731007.3098</v>
      </c>
      <c r="T141" s="195">
        <v>0.59859053451758215</v>
      </c>
    </row>
    <row r="142" spans="1:20" ht="24.95" customHeight="1">
      <c r="A142" s="32" t="s">
        <v>483</v>
      </c>
      <c r="B142" s="196" t="s">
        <v>296</v>
      </c>
      <c r="C142" s="197" t="s">
        <v>167</v>
      </c>
      <c r="D142" s="198">
        <v>4103</v>
      </c>
      <c r="E142" s="198">
        <v>1500</v>
      </c>
      <c r="F142" s="198"/>
      <c r="G142" s="198"/>
      <c r="H142" s="198"/>
      <c r="I142" s="198"/>
      <c r="J142" s="198"/>
      <c r="K142" s="199"/>
      <c r="L142" s="200"/>
      <c r="M142" s="196" t="s">
        <v>170</v>
      </c>
      <c r="N142" s="201">
        <v>2717855758141</v>
      </c>
      <c r="O142" s="201">
        <v>2466853567215.9497</v>
      </c>
      <c r="P142" s="202">
        <v>0.90764697862526211</v>
      </c>
      <c r="Q142" s="201">
        <v>1628148734109.3098</v>
      </c>
      <c r="R142" s="202">
        <v>0.59905634404342178</v>
      </c>
      <c r="S142" s="201">
        <v>1626882731007.3098</v>
      </c>
      <c r="T142" s="202">
        <v>0.59859053451758215</v>
      </c>
    </row>
    <row r="143" spans="1:20" ht="33">
      <c r="A143" s="32" t="s">
        <v>484</v>
      </c>
      <c r="B143" s="203" t="s">
        <v>297</v>
      </c>
      <c r="C143" s="227" t="s">
        <v>167</v>
      </c>
      <c r="D143" s="228" t="s">
        <v>190</v>
      </c>
      <c r="E143" s="228" t="s">
        <v>172</v>
      </c>
      <c r="F143" s="228" t="s">
        <v>191</v>
      </c>
      <c r="G143" s="228"/>
      <c r="H143" s="228"/>
      <c r="I143" s="228"/>
      <c r="J143" s="228"/>
      <c r="K143" s="229"/>
      <c r="L143" s="230"/>
      <c r="M143" s="231" t="s">
        <v>280</v>
      </c>
      <c r="N143" s="232">
        <v>1819080064351</v>
      </c>
      <c r="O143" s="232">
        <v>1765603892678.6699</v>
      </c>
      <c r="P143" s="233">
        <v>0.97060262892199367</v>
      </c>
      <c r="Q143" s="232">
        <v>1425906458003.96</v>
      </c>
      <c r="R143" s="233">
        <v>0.78386129667837678</v>
      </c>
      <c r="S143" s="232">
        <v>1425845671390.96</v>
      </c>
      <c r="T143" s="233">
        <v>0.78382788054997687</v>
      </c>
    </row>
    <row r="144" spans="1:20" ht="33">
      <c r="A144" s="32" t="s">
        <v>485</v>
      </c>
      <c r="B144" s="210" t="s">
        <v>486</v>
      </c>
      <c r="C144" s="211" t="s">
        <v>167</v>
      </c>
      <c r="D144" s="212" t="s">
        <v>190</v>
      </c>
      <c r="E144" s="212" t="s">
        <v>172</v>
      </c>
      <c r="F144" s="212" t="s">
        <v>191</v>
      </c>
      <c r="G144" s="212" t="s">
        <v>175</v>
      </c>
      <c r="H144" s="212" t="s">
        <v>193</v>
      </c>
      <c r="I144" s="212"/>
      <c r="J144" s="212"/>
      <c r="K144" s="213"/>
      <c r="L144" s="214"/>
      <c r="M144" s="210" t="s">
        <v>194</v>
      </c>
      <c r="N144" s="215">
        <v>1813368757333</v>
      </c>
      <c r="O144" s="215">
        <v>1760492585660.6699</v>
      </c>
      <c r="P144" s="216">
        <v>0.97084091613550383</v>
      </c>
      <c r="Q144" s="215">
        <v>1425338535003.96</v>
      </c>
      <c r="R144" s="216">
        <v>0.78601692526139422</v>
      </c>
      <c r="S144" s="215">
        <v>1425277748390.96</v>
      </c>
      <c r="T144" s="216">
        <v>0.78598340388701615</v>
      </c>
    </row>
    <row r="145" spans="1:43" s="64" customFormat="1" ht="24.95" customHeight="1">
      <c r="A145" s="32" t="s">
        <v>487</v>
      </c>
      <c r="B145" s="217" t="s">
        <v>488</v>
      </c>
      <c r="C145" s="266" t="s">
        <v>167</v>
      </c>
      <c r="D145" s="267" t="s">
        <v>190</v>
      </c>
      <c r="E145" s="267" t="s">
        <v>172</v>
      </c>
      <c r="F145" s="267" t="s">
        <v>191</v>
      </c>
      <c r="G145" s="267" t="s">
        <v>175</v>
      </c>
      <c r="H145" s="267" t="s">
        <v>193</v>
      </c>
      <c r="I145" s="267" t="s">
        <v>54</v>
      </c>
      <c r="J145" s="219"/>
      <c r="K145" s="220">
        <v>10</v>
      </c>
      <c r="L145" s="221" t="s">
        <v>29</v>
      </c>
      <c r="M145" s="259" t="s">
        <v>178</v>
      </c>
      <c r="N145" s="222">
        <v>165854000591.17001</v>
      </c>
      <c r="O145" s="222">
        <v>112998260618.84</v>
      </c>
      <c r="P145" s="224">
        <v>0.68131163683763418</v>
      </c>
      <c r="Q145" s="222">
        <v>39739095535.959999</v>
      </c>
      <c r="R145" s="224">
        <v>0.23960287598920715</v>
      </c>
      <c r="S145" s="222">
        <v>39679874522.959999</v>
      </c>
      <c r="T145" s="224">
        <v>0.23924580885311811</v>
      </c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4.95" customHeight="1">
      <c r="A146" s="32" t="s">
        <v>490</v>
      </c>
      <c r="B146" s="217" t="s">
        <v>491</v>
      </c>
      <c r="C146" s="266" t="s">
        <v>167</v>
      </c>
      <c r="D146" s="267" t="s">
        <v>190</v>
      </c>
      <c r="E146" s="267" t="s">
        <v>172</v>
      </c>
      <c r="F146" s="267" t="s">
        <v>191</v>
      </c>
      <c r="G146" s="267" t="s">
        <v>175</v>
      </c>
      <c r="H146" s="267" t="s">
        <v>193</v>
      </c>
      <c r="I146" s="267" t="s">
        <v>65</v>
      </c>
      <c r="J146" s="219"/>
      <c r="K146" s="220">
        <v>10</v>
      </c>
      <c r="L146" s="221" t="s">
        <v>29</v>
      </c>
      <c r="M146" s="259" t="s">
        <v>127</v>
      </c>
      <c r="N146" s="222">
        <v>16342698825.83</v>
      </c>
      <c r="O146" s="222">
        <v>16322267125.83</v>
      </c>
      <c r="P146" s="224">
        <v>0.99874979645542339</v>
      </c>
      <c r="Q146" s="222">
        <v>16322151175</v>
      </c>
      <c r="R146" s="224">
        <v>0.99874270149324884</v>
      </c>
      <c r="S146" s="222">
        <v>16320585575</v>
      </c>
      <c r="T146" s="224">
        <v>0.998646903362433</v>
      </c>
    </row>
    <row r="147" spans="1:43" ht="24.95" customHeight="1">
      <c r="A147" s="32" t="s">
        <v>492</v>
      </c>
      <c r="B147" s="217" t="s">
        <v>491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 t="s">
        <v>193</v>
      </c>
      <c r="I147" s="267" t="s">
        <v>65</v>
      </c>
      <c r="J147" s="267"/>
      <c r="K147" s="268" t="s">
        <v>144</v>
      </c>
      <c r="L147" s="269" t="s">
        <v>29</v>
      </c>
      <c r="M147" s="259" t="s">
        <v>127</v>
      </c>
      <c r="N147" s="222">
        <v>1631172057916</v>
      </c>
      <c r="O147" s="222">
        <v>1631172057916</v>
      </c>
      <c r="P147" s="224">
        <v>1</v>
      </c>
      <c r="Q147" s="222">
        <v>1369277288293</v>
      </c>
      <c r="R147" s="224">
        <v>0.83944381075433627</v>
      </c>
      <c r="S147" s="222">
        <v>1369277288293</v>
      </c>
      <c r="T147" s="224">
        <v>0.83944381075433627</v>
      </c>
    </row>
    <row r="148" spans="1:43" ht="33">
      <c r="A148" s="32" t="s">
        <v>493</v>
      </c>
      <c r="B148" s="210" t="s">
        <v>494</v>
      </c>
      <c r="C148" s="211" t="s">
        <v>167</v>
      </c>
      <c r="D148" s="212" t="s">
        <v>190</v>
      </c>
      <c r="E148" s="212" t="s">
        <v>172</v>
      </c>
      <c r="F148" s="212" t="s">
        <v>191</v>
      </c>
      <c r="G148" s="212" t="s">
        <v>175</v>
      </c>
      <c r="H148" s="212">
        <v>4103009</v>
      </c>
      <c r="I148" s="212"/>
      <c r="J148" s="212"/>
      <c r="K148" s="252">
        <v>10</v>
      </c>
      <c r="L148" s="214" t="s">
        <v>29</v>
      </c>
      <c r="M148" s="210" t="s">
        <v>195</v>
      </c>
      <c r="N148" s="215">
        <v>5711307018</v>
      </c>
      <c r="O148" s="215">
        <v>5111307018</v>
      </c>
      <c r="P148" s="216">
        <v>0.89494523790981395</v>
      </c>
      <c r="Q148" s="215">
        <v>567923000</v>
      </c>
      <c r="R148" s="216">
        <v>9.9438359417574562E-2</v>
      </c>
      <c r="S148" s="215">
        <v>567923000</v>
      </c>
      <c r="T148" s="216">
        <v>9.9438359417574562E-2</v>
      </c>
    </row>
    <row r="149" spans="1:43" ht="24.95" customHeight="1">
      <c r="A149" s="32" t="s">
        <v>495</v>
      </c>
      <c r="B149" s="217" t="s">
        <v>496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>
        <v>4103009</v>
      </c>
      <c r="I149" s="267" t="s">
        <v>54</v>
      </c>
      <c r="J149" s="219"/>
      <c r="K149" s="270">
        <v>10</v>
      </c>
      <c r="L149" s="221" t="s">
        <v>29</v>
      </c>
      <c r="M149" s="259" t="s">
        <v>178</v>
      </c>
      <c r="N149" s="222">
        <v>5711307018</v>
      </c>
      <c r="O149" s="222">
        <v>5111307018</v>
      </c>
      <c r="P149" s="224">
        <v>0.89494523790981395</v>
      </c>
      <c r="Q149" s="222">
        <v>567923000</v>
      </c>
      <c r="R149" s="224">
        <v>9.9438359417574562E-2</v>
      </c>
      <c r="S149" s="222">
        <v>567923000</v>
      </c>
      <c r="T149" s="224">
        <v>9.9438359417574562E-2</v>
      </c>
    </row>
    <row r="150" spans="1:43" s="64" customFormat="1" ht="33">
      <c r="A150" s="32" t="s">
        <v>499</v>
      </c>
      <c r="B150" s="226" t="s">
        <v>298</v>
      </c>
      <c r="C150" s="227" t="s">
        <v>167</v>
      </c>
      <c r="D150" s="228" t="s">
        <v>190</v>
      </c>
      <c r="E150" s="228" t="s">
        <v>172</v>
      </c>
      <c r="F150" s="228" t="s">
        <v>22</v>
      </c>
      <c r="G150" s="228"/>
      <c r="H150" s="228"/>
      <c r="I150" s="228"/>
      <c r="J150" s="228"/>
      <c r="K150" s="229"/>
      <c r="L150" s="230"/>
      <c r="M150" s="231" t="s">
        <v>264</v>
      </c>
      <c r="N150" s="232">
        <v>27257211909</v>
      </c>
      <c r="O150" s="232">
        <v>15364091281</v>
      </c>
      <c r="P150" s="233">
        <v>0.56367068401177756</v>
      </c>
      <c r="Q150" s="232">
        <v>2260565009</v>
      </c>
      <c r="R150" s="233">
        <v>8.2934564861110713E-2</v>
      </c>
      <c r="S150" s="232">
        <v>2231165009</v>
      </c>
      <c r="T150" s="233">
        <v>8.185595124141426E-2</v>
      </c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33">
      <c r="A151" s="32" t="s">
        <v>642</v>
      </c>
      <c r="B151" s="210" t="s">
        <v>500</v>
      </c>
      <c r="C151" s="211" t="s">
        <v>167</v>
      </c>
      <c r="D151" s="212" t="s">
        <v>190</v>
      </c>
      <c r="E151" s="212" t="s">
        <v>172</v>
      </c>
      <c r="F151" s="212" t="s">
        <v>22</v>
      </c>
      <c r="G151" s="212" t="s">
        <v>175</v>
      </c>
      <c r="H151" s="212" t="s">
        <v>197</v>
      </c>
      <c r="I151" s="212"/>
      <c r="J151" s="212"/>
      <c r="K151" s="213">
        <v>11</v>
      </c>
      <c r="L151" s="214" t="s">
        <v>29</v>
      </c>
      <c r="M151" s="210" t="s">
        <v>198</v>
      </c>
      <c r="N151" s="215">
        <v>7277170595</v>
      </c>
      <c r="O151" s="215">
        <v>4406021511</v>
      </c>
      <c r="P151" s="216">
        <v>0.60545804904275435</v>
      </c>
      <c r="Q151" s="215">
        <v>784148399</v>
      </c>
      <c r="R151" s="216">
        <v>0.10775457147298056</v>
      </c>
      <c r="S151" s="215">
        <v>784148399</v>
      </c>
      <c r="T151" s="216">
        <v>0.10775457147298056</v>
      </c>
    </row>
    <row r="152" spans="1:43" ht="24.95" customHeight="1">
      <c r="A152" s="32" t="s">
        <v>643</v>
      </c>
      <c r="B152" s="217" t="s">
        <v>501</v>
      </c>
      <c r="C152" s="218" t="s">
        <v>167</v>
      </c>
      <c r="D152" s="219" t="s">
        <v>190</v>
      </c>
      <c r="E152" s="219" t="s">
        <v>172</v>
      </c>
      <c r="F152" s="219" t="s">
        <v>22</v>
      </c>
      <c r="G152" s="219" t="s">
        <v>175</v>
      </c>
      <c r="H152" s="219" t="s">
        <v>197</v>
      </c>
      <c r="I152" s="219" t="s">
        <v>54</v>
      </c>
      <c r="J152" s="219"/>
      <c r="K152" s="220">
        <v>11</v>
      </c>
      <c r="L152" s="221" t="s">
        <v>29</v>
      </c>
      <c r="M152" s="259" t="s">
        <v>178</v>
      </c>
      <c r="N152" s="222">
        <v>7277170595</v>
      </c>
      <c r="O152" s="222">
        <v>4406021511</v>
      </c>
      <c r="P152" s="224">
        <v>0.60545804904275435</v>
      </c>
      <c r="Q152" s="222">
        <v>784148399</v>
      </c>
      <c r="R152" s="224">
        <v>0.10775457147298056</v>
      </c>
      <c r="S152" s="222">
        <v>784148399</v>
      </c>
      <c r="T152" s="224">
        <v>0.10775457147298056</v>
      </c>
    </row>
    <row r="153" spans="1:43" ht="33">
      <c r="A153" s="32" t="s">
        <v>644</v>
      </c>
      <c r="B153" s="210" t="s">
        <v>502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199</v>
      </c>
      <c r="I153" s="212"/>
      <c r="J153" s="212"/>
      <c r="K153" s="213">
        <v>11</v>
      </c>
      <c r="L153" s="214" t="s">
        <v>29</v>
      </c>
      <c r="M153" s="210" t="s">
        <v>200</v>
      </c>
      <c r="N153" s="215">
        <v>4421682840</v>
      </c>
      <c r="O153" s="215">
        <v>2653919568</v>
      </c>
      <c r="P153" s="216">
        <v>0.60020577323904123</v>
      </c>
      <c r="Q153" s="215">
        <v>392074199</v>
      </c>
      <c r="R153" s="216">
        <v>8.8670810003188744E-2</v>
      </c>
      <c r="S153" s="215">
        <v>392074199</v>
      </c>
      <c r="T153" s="216">
        <v>8.8670810003188744E-2</v>
      </c>
    </row>
    <row r="154" spans="1:43" ht="24.95" customHeight="1">
      <c r="A154" s="32" t="s">
        <v>645</v>
      </c>
      <c r="B154" s="217" t="s">
        <v>503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199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4421682840</v>
      </c>
      <c r="O154" s="222">
        <v>2653919568</v>
      </c>
      <c r="P154" s="224">
        <v>0.60020577323904123</v>
      </c>
      <c r="Q154" s="222">
        <v>392074199</v>
      </c>
      <c r="R154" s="224">
        <v>8.8670810003188744E-2</v>
      </c>
      <c r="S154" s="222">
        <v>392074199</v>
      </c>
      <c r="T154" s="224">
        <v>8.8670810003188744E-2</v>
      </c>
    </row>
    <row r="155" spans="1:43" ht="49.5">
      <c r="A155" s="32" t="s">
        <v>646</v>
      </c>
      <c r="B155" s="210" t="s">
        <v>504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201</v>
      </c>
      <c r="I155" s="212"/>
      <c r="J155" s="212"/>
      <c r="K155" s="213">
        <v>11</v>
      </c>
      <c r="L155" s="214" t="s">
        <v>29</v>
      </c>
      <c r="M155" s="210" t="s">
        <v>202</v>
      </c>
      <c r="N155" s="215">
        <v>2171371771</v>
      </c>
      <c r="O155" s="215">
        <v>846723383</v>
      </c>
      <c r="P155" s="216">
        <v>0.38994860037719448</v>
      </c>
      <c r="Q155" s="215">
        <v>300194012</v>
      </c>
      <c r="R155" s="216">
        <v>0.13825085874711779</v>
      </c>
      <c r="S155" s="215">
        <v>270794012</v>
      </c>
      <c r="T155" s="216">
        <v>0.124711030886843</v>
      </c>
    </row>
    <row r="156" spans="1:43" ht="24.95" customHeight="1">
      <c r="A156" s="32" t="s">
        <v>647</v>
      </c>
      <c r="B156" s="217" t="s">
        <v>505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201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2171371771</v>
      </c>
      <c r="O156" s="222">
        <v>846723383</v>
      </c>
      <c r="P156" s="224">
        <v>0.38994860037719448</v>
      </c>
      <c r="Q156" s="222">
        <v>300194012</v>
      </c>
      <c r="R156" s="224">
        <v>0.13825085874711779</v>
      </c>
      <c r="S156" s="222">
        <v>270794012</v>
      </c>
      <c r="T156" s="224">
        <v>0.124711030886843</v>
      </c>
    </row>
    <row r="157" spans="1:43" ht="33">
      <c r="A157" s="32" t="s">
        <v>648</v>
      </c>
      <c r="B157" s="210" t="s">
        <v>506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203</v>
      </c>
      <c r="I157" s="212"/>
      <c r="J157" s="212"/>
      <c r="K157" s="213">
        <v>11</v>
      </c>
      <c r="L157" s="214" t="s">
        <v>29</v>
      </c>
      <c r="M157" s="210" t="s">
        <v>204</v>
      </c>
      <c r="N157" s="215">
        <v>13386986703</v>
      </c>
      <c r="O157" s="215">
        <v>7457426819</v>
      </c>
      <c r="P157" s="216">
        <v>0.55706537882261464</v>
      </c>
      <c r="Q157" s="215">
        <v>784148399</v>
      </c>
      <c r="R157" s="216">
        <v>5.8575422266182856E-2</v>
      </c>
      <c r="S157" s="215">
        <v>784148399</v>
      </c>
      <c r="T157" s="216">
        <v>5.8575422266182856E-2</v>
      </c>
    </row>
    <row r="158" spans="1:43" ht="24.95" customHeight="1">
      <c r="A158" s="32" t="s">
        <v>649</v>
      </c>
      <c r="B158" s="217" t="s">
        <v>507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203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13386986703</v>
      </c>
      <c r="O158" s="222">
        <v>7457426819</v>
      </c>
      <c r="P158" s="224">
        <v>0.55706537882261464</v>
      </c>
      <c r="Q158" s="222">
        <v>784148399</v>
      </c>
      <c r="R158" s="224">
        <v>5.8575422266182856E-2</v>
      </c>
      <c r="S158" s="222">
        <v>784148399</v>
      </c>
      <c r="T158" s="224">
        <v>5.8575422266182856E-2</v>
      </c>
    </row>
    <row r="159" spans="1:43" ht="33">
      <c r="A159" s="32" t="s">
        <v>508</v>
      </c>
      <c r="B159" s="226" t="s">
        <v>299</v>
      </c>
      <c r="C159" s="227" t="s">
        <v>167</v>
      </c>
      <c r="D159" s="228" t="s">
        <v>190</v>
      </c>
      <c r="E159" s="228" t="s">
        <v>172</v>
      </c>
      <c r="F159" s="228" t="s">
        <v>205</v>
      </c>
      <c r="G159" s="228"/>
      <c r="H159" s="228"/>
      <c r="I159" s="228"/>
      <c r="J159" s="228"/>
      <c r="K159" s="229"/>
      <c r="L159" s="230"/>
      <c r="M159" s="231" t="s">
        <v>281</v>
      </c>
      <c r="N159" s="232">
        <v>526882227478</v>
      </c>
      <c r="O159" s="232">
        <v>508839053062.5</v>
      </c>
      <c r="P159" s="233">
        <v>0.96575482437153681</v>
      </c>
      <c r="Q159" s="232">
        <v>89222271656.970001</v>
      </c>
      <c r="R159" s="233">
        <v>0.16934006691409131</v>
      </c>
      <c r="S159" s="232">
        <v>88970276494.970001</v>
      </c>
      <c r="T159" s="233">
        <v>0.16886179084240407</v>
      </c>
    </row>
    <row r="160" spans="1:43" ht="33">
      <c r="A160" s="32" t="s">
        <v>509</v>
      </c>
      <c r="B160" s="210" t="s">
        <v>510</v>
      </c>
      <c r="C160" s="211" t="s">
        <v>167</v>
      </c>
      <c r="D160" s="212" t="s">
        <v>190</v>
      </c>
      <c r="E160" s="212" t="s">
        <v>172</v>
      </c>
      <c r="F160" s="212" t="s">
        <v>205</v>
      </c>
      <c r="G160" s="212" t="s">
        <v>175</v>
      </c>
      <c r="H160" s="212" t="s">
        <v>207</v>
      </c>
      <c r="I160" s="212"/>
      <c r="J160" s="212"/>
      <c r="K160" s="213"/>
      <c r="L160" s="214"/>
      <c r="M160" s="210" t="s">
        <v>208</v>
      </c>
      <c r="N160" s="215">
        <v>504515344888.78998</v>
      </c>
      <c r="O160" s="215">
        <v>498162472230.5</v>
      </c>
      <c r="P160" s="216">
        <v>0.98740796940538977</v>
      </c>
      <c r="Q160" s="215">
        <v>85644545351.970001</v>
      </c>
      <c r="R160" s="216">
        <v>0.1697560762415434</v>
      </c>
      <c r="S160" s="215">
        <v>85644545351.970001</v>
      </c>
      <c r="T160" s="216">
        <v>0.1697560762415434</v>
      </c>
    </row>
    <row r="161" spans="1:43" ht="24.95" customHeight="1">
      <c r="A161" s="32" t="s">
        <v>512</v>
      </c>
      <c r="B161" s="217" t="s">
        <v>511</v>
      </c>
      <c r="C161" s="266" t="s">
        <v>167</v>
      </c>
      <c r="D161" s="267" t="s">
        <v>190</v>
      </c>
      <c r="E161" s="267" t="s">
        <v>172</v>
      </c>
      <c r="F161" s="267" t="s">
        <v>205</v>
      </c>
      <c r="G161" s="267" t="s">
        <v>175</v>
      </c>
      <c r="H161" s="267" t="s">
        <v>207</v>
      </c>
      <c r="I161" s="267" t="s">
        <v>54</v>
      </c>
      <c r="J161" s="267"/>
      <c r="K161" s="268">
        <v>11</v>
      </c>
      <c r="L161" s="269" t="s">
        <v>29</v>
      </c>
      <c r="M161" s="259" t="s">
        <v>178</v>
      </c>
      <c r="N161" s="222">
        <v>39995163166.640015</v>
      </c>
      <c r="O161" s="222">
        <v>36249682146</v>
      </c>
      <c r="P161" s="224">
        <v>0.90635165044746901</v>
      </c>
      <c r="Q161" s="222">
        <v>26630130.420000002</v>
      </c>
      <c r="R161" s="224">
        <v>6.6583377367521797E-4</v>
      </c>
      <c r="S161" s="222">
        <v>26630130.420000002</v>
      </c>
      <c r="T161" s="224">
        <v>6.6583377367521797E-4</v>
      </c>
    </row>
    <row r="162" spans="1:43" ht="24.95" customHeight="1">
      <c r="A162" s="32" t="s">
        <v>513</v>
      </c>
      <c r="B162" s="217" t="s">
        <v>514</v>
      </c>
      <c r="C162" s="266" t="s">
        <v>167</v>
      </c>
      <c r="D162" s="267" t="s">
        <v>190</v>
      </c>
      <c r="E162" s="267" t="s">
        <v>172</v>
      </c>
      <c r="F162" s="267" t="s">
        <v>205</v>
      </c>
      <c r="G162" s="267" t="s">
        <v>175</v>
      </c>
      <c r="H162" s="267" t="s">
        <v>207</v>
      </c>
      <c r="I162" s="267" t="s">
        <v>65</v>
      </c>
      <c r="J162" s="267"/>
      <c r="K162" s="271" t="s">
        <v>28</v>
      </c>
      <c r="L162" s="269" t="s">
        <v>29</v>
      </c>
      <c r="M162" s="259" t="s">
        <v>127</v>
      </c>
      <c r="N162" s="222">
        <v>0</v>
      </c>
      <c r="O162" s="222">
        <v>0</v>
      </c>
      <c r="P162" s="224" t="e">
        <v>#DIV/0!</v>
      </c>
      <c r="Q162" s="222">
        <v>0</v>
      </c>
      <c r="R162" s="224" t="e">
        <v>#DIV/0!</v>
      </c>
      <c r="S162" s="222">
        <v>0</v>
      </c>
      <c r="T162" s="224" t="e">
        <v>#DIV/0!</v>
      </c>
    </row>
    <row r="163" spans="1:43" ht="24.95" customHeight="1">
      <c r="A163" s="32" t="s">
        <v>515</v>
      </c>
      <c r="B163" s="217" t="s">
        <v>514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207</v>
      </c>
      <c r="I163" s="272" t="s">
        <v>65</v>
      </c>
      <c r="J163" s="273"/>
      <c r="K163" s="268">
        <v>11</v>
      </c>
      <c r="L163" s="269" t="s">
        <v>29</v>
      </c>
      <c r="M163" s="259" t="s">
        <v>127</v>
      </c>
      <c r="N163" s="222">
        <v>464520181722.14996</v>
      </c>
      <c r="O163" s="222">
        <v>461912790084.5</v>
      </c>
      <c r="P163" s="224">
        <v>0.99438691419609937</v>
      </c>
      <c r="Q163" s="222">
        <v>85617915221.550003</v>
      </c>
      <c r="R163" s="224">
        <v>0.18431473720718095</v>
      </c>
      <c r="S163" s="222">
        <v>85617915221.550003</v>
      </c>
      <c r="T163" s="224">
        <v>0.18431473720718095</v>
      </c>
    </row>
    <row r="164" spans="1:43" ht="33">
      <c r="A164" s="32" t="s">
        <v>650</v>
      </c>
      <c r="B164" s="210" t="s">
        <v>516</v>
      </c>
      <c r="C164" s="211" t="s">
        <v>167</v>
      </c>
      <c r="D164" s="212" t="s">
        <v>190</v>
      </c>
      <c r="E164" s="212" t="s">
        <v>172</v>
      </c>
      <c r="F164" s="212" t="s">
        <v>205</v>
      </c>
      <c r="G164" s="212" t="s">
        <v>175</v>
      </c>
      <c r="H164" s="212" t="s">
        <v>209</v>
      </c>
      <c r="I164" s="212"/>
      <c r="J164" s="212"/>
      <c r="K164" s="213">
        <v>11</v>
      </c>
      <c r="L164" s="214" t="s">
        <v>29</v>
      </c>
      <c r="M164" s="210" t="s">
        <v>210</v>
      </c>
      <c r="N164" s="215">
        <v>22366882589.209999</v>
      </c>
      <c r="O164" s="215">
        <v>10676580832</v>
      </c>
      <c r="P164" s="216">
        <v>0.47733879718895139</v>
      </c>
      <c r="Q164" s="215">
        <v>3577726305</v>
      </c>
      <c r="R164" s="216">
        <v>0.15995641282285489</v>
      </c>
      <c r="S164" s="215">
        <v>3325731143</v>
      </c>
      <c r="T164" s="216">
        <v>0.14868997186958743</v>
      </c>
    </row>
    <row r="165" spans="1:43" ht="24.95" customHeight="1">
      <c r="A165" s="32" t="s">
        <v>518</v>
      </c>
      <c r="B165" s="217" t="s">
        <v>517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209</v>
      </c>
      <c r="I165" s="267" t="s">
        <v>54</v>
      </c>
      <c r="J165" s="267"/>
      <c r="K165" s="268">
        <v>11</v>
      </c>
      <c r="L165" s="269" t="s">
        <v>29</v>
      </c>
      <c r="M165" s="259" t="s">
        <v>178</v>
      </c>
      <c r="N165" s="222">
        <v>22366882589.209999</v>
      </c>
      <c r="O165" s="222">
        <v>10676580832</v>
      </c>
      <c r="P165" s="224">
        <v>0.47733879718895139</v>
      </c>
      <c r="Q165" s="222">
        <v>3577726305</v>
      </c>
      <c r="R165" s="224">
        <v>0.15995641282285489</v>
      </c>
      <c r="S165" s="222">
        <v>3325731143</v>
      </c>
      <c r="T165" s="224">
        <v>0.14868997186958743</v>
      </c>
    </row>
    <row r="166" spans="1:43" ht="33">
      <c r="A166" s="32" t="s">
        <v>519</v>
      </c>
      <c r="B166" s="226" t="s">
        <v>520</v>
      </c>
      <c r="C166" s="227" t="s">
        <v>167</v>
      </c>
      <c r="D166" s="228" t="s">
        <v>190</v>
      </c>
      <c r="E166" s="228" t="s">
        <v>172</v>
      </c>
      <c r="F166" s="228" t="s">
        <v>211</v>
      </c>
      <c r="G166" s="228"/>
      <c r="H166" s="228"/>
      <c r="I166" s="228"/>
      <c r="J166" s="228"/>
      <c r="K166" s="229"/>
      <c r="L166" s="230"/>
      <c r="M166" s="231" t="s">
        <v>282</v>
      </c>
      <c r="N166" s="232">
        <v>1000000000</v>
      </c>
      <c r="O166" s="232">
        <v>0</v>
      </c>
      <c r="P166" s="233">
        <v>0</v>
      </c>
      <c r="Q166" s="232">
        <v>0</v>
      </c>
      <c r="R166" s="233">
        <v>0</v>
      </c>
      <c r="S166" s="232">
        <v>0</v>
      </c>
      <c r="T166" s="233">
        <v>0</v>
      </c>
    </row>
    <row r="167" spans="1:43" s="90" customFormat="1" ht="33">
      <c r="A167" s="32" t="s">
        <v>521</v>
      </c>
      <c r="B167" s="210" t="s">
        <v>522</v>
      </c>
      <c r="C167" s="211" t="s">
        <v>167</v>
      </c>
      <c r="D167" s="212" t="s">
        <v>190</v>
      </c>
      <c r="E167" s="212" t="s">
        <v>172</v>
      </c>
      <c r="F167" s="212" t="s">
        <v>211</v>
      </c>
      <c r="G167" s="212" t="s">
        <v>175</v>
      </c>
      <c r="H167" s="212" t="s">
        <v>213</v>
      </c>
      <c r="I167" s="212"/>
      <c r="J167" s="212"/>
      <c r="K167" s="213" t="s">
        <v>144</v>
      </c>
      <c r="L167" s="214" t="s">
        <v>29</v>
      </c>
      <c r="M167" s="210" t="s">
        <v>214</v>
      </c>
      <c r="N167" s="215">
        <v>730000000</v>
      </c>
      <c r="O167" s="215">
        <v>0</v>
      </c>
      <c r="P167" s="216">
        <v>0</v>
      </c>
      <c r="Q167" s="215">
        <v>0</v>
      </c>
      <c r="R167" s="216">
        <v>0</v>
      </c>
      <c r="S167" s="215">
        <v>0</v>
      </c>
      <c r="T167" s="216">
        <v>0</v>
      </c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s="90" customFormat="1" ht="24.95" customHeight="1">
      <c r="A168" s="32" t="s">
        <v>523</v>
      </c>
      <c r="B168" s="217" t="s">
        <v>524</v>
      </c>
      <c r="C168" s="218" t="s">
        <v>167</v>
      </c>
      <c r="D168" s="219" t="s">
        <v>190</v>
      </c>
      <c r="E168" s="219" t="s">
        <v>172</v>
      </c>
      <c r="F168" s="219" t="s">
        <v>211</v>
      </c>
      <c r="G168" s="219" t="s">
        <v>175</v>
      </c>
      <c r="H168" s="219" t="s">
        <v>213</v>
      </c>
      <c r="I168" s="219" t="s">
        <v>54</v>
      </c>
      <c r="J168" s="219"/>
      <c r="K168" s="220" t="s">
        <v>144</v>
      </c>
      <c r="L168" s="221" t="s">
        <v>29</v>
      </c>
      <c r="M168" s="259" t="s">
        <v>178</v>
      </c>
      <c r="N168" s="222">
        <v>730000000</v>
      </c>
      <c r="O168" s="222">
        <v>0</v>
      </c>
      <c r="P168" s="224">
        <v>0</v>
      </c>
      <c r="Q168" s="222">
        <v>0</v>
      </c>
      <c r="R168" s="224">
        <v>0</v>
      </c>
      <c r="S168" s="222">
        <v>0</v>
      </c>
      <c r="T168" s="224">
        <v>0</v>
      </c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s="90" customFormat="1" ht="24.95" customHeight="1">
      <c r="A169" s="32" t="s">
        <v>525</v>
      </c>
      <c r="B169" s="210" t="s">
        <v>526</v>
      </c>
      <c r="C169" s="211" t="s">
        <v>167</v>
      </c>
      <c r="D169" s="212" t="s">
        <v>190</v>
      </c>
      <c r="E169" s="212" t="s">
        <v>172</v>
      </c>
      <c r="F169" s="212" t="s">
        <v>211</v>
      </c>
      <c r="G169" s="212" t="s">
        <v>175</v>
      </c>
      <c r="H169" s="212" t="s">
        <v>215</v>
      </c>
      <c r="I169" s="212"/>
      <c r="J169" s="212"/>
      <c r="K169" s="213" t="s">
        <v>144</v>
      </c>
      <c r="L169" s="214" t="s">
        <v>29</v>
      </c>
      <c r="M169" s="210" t="s">
        <v>216</v>
      </c>
      <c r="N169" s="215">
        <v>270000000</v>
      </c>
      <c r="O169" s="215">
        <v>0</v>
      </c>
      <c r="P169" s="216">
        <v>0</v>
      </c>
      <c r="Q169" s="215">
        <v>0</v>
      </c>
      <c r="R169" s="216">
        <v>0</v>
      </c>
      <c r="S169" s="215">
        <v>0</v>
      </c>
      <c r="T169" s="216">
        <v>0</v>
      </c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s="90" customFormat="1" ht="24.95" customHeight="1">
      <c r="A170" s="32" t="s">
        <v>527</v>
      </c>
      <c r="B170" s="217" t="s">
        <v>528</v>
      </c>
      <c r="C170" s="218" t="s">
        <v>167</v>
      </c>
      <c r="D170" s="219" t="s">
        <v>190</v>
      </c>
      <c r="E170" s="219" t="s">
        <v>172</v>
      </c>
      <c r="F170" s="219" t="s">
        <v>211</v>
      </c>
      <c r="G170" s="219" t="s">
        <v>175</v>
      </c>
      <c r="H170" s="219" t="s">
        <v>215</v>
      </c>
      <c r="I170" s="219" t="s">
        <v>54</v>
      </c>
      <c r="J170" s="219"/>
      <c r="K170" s="220" t="s">
        <v>144</v>
      </c>
      <c r="L170" s="221" t="s">
        <v>29</v>
      </c>
      <c r="M170" s="259" t="s">
        <v>178</v>
      </c>
      <c r="N170" s="222">
        <v>270000000</v>
      </c>
      <c r="O170" s="222">
        <v>0</v>
      </c>
      <c r="P170" s="224">
        <v>0</v>
      </c>
      <c r="Q170" s="222">
        <v>0</v>
      </c>
      <c r="R170" s="224">
        <v>0</v>
      </c>
      <c r="S170" s="222">
        <v>0</v>
      </c>
      <c r="T170" s="224">
        <v>0</v>
      </c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s="90" customFormat="1" ht="66">
      <c r="A171" s="32" t="s">
        <v>529</v>
      </c>
      <c r="B171" s="226" t="s">
        <v>530</v>
      </c>
      <c r="C171" s="227" t="s">
        <v>167</v>
      </c>
      <c r="D171" s="228" t="s">
        <v>190</v>
      </c>
      <c r="E171" s="228" t="s">
        <v>172</v>
      </c>
      <c r="F171" s="228" t="s">
        <v>217</v>
      </c>
      <c r="G171" s="228"/>
      <c r="H171" s="228"/>
      <c r="I171" s="228"/>
      <c r="J171" s="228"/>
      <c r="K171" s="229"/>
      <c r="L171" s="230"/>
      <c r="M171" s="231" t="s">
        <v>283</v>
      </c>
      <c r="N171" s="232">
        <v>44233436977</v>
      </c>
      <c r="O171" s="232">
        <v>40405854289</v>
      </c>
      <c r="P171" s="233">
        <v>0.9134685670030519</v>
      </c>
      <c r="Q171" s="232">
        <v>3662587385</v>
      </c>
      <c r="R171" s="233">
        <v>8.2801329385831596E-2</v>
      </c>
      <c r="S171" s="232">
        <v>2782654313</v>
      </c>
      <c r="T171" s="233">
        <v>6.2908390194659602E-2</v>
      </c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s="90" customFormat="1" ht="24.95" customHeight="1">
      <c r="A172" s="32" t="s">
        <v>651</v>
      </c>
      <c r="B172" s="210" t="s">
        <v>531</v>
      </c>
      <c r="C172" s="211" t="s">
        <v>167</v>
      </c>
      <c r="D172" s="212" t="s">
        <v>190</v>
      </c>
      <c r="E172" s="212" t="s">
        <v>172</v>
      </c>
      <c r="F172" s="212" t="s">
        <v>217</v>
      </c>
      <c r="G172" s="212" t="s">
        <v>175</v>
      </c>
      <c r="H172" s="212" t="s">
        <v>219</v>
      </c>
      <c r="I172" s="212"/>
      <c r="J172" s="212"/>
      <c r="K172" s="213">
        <v>11</v>
      </c>
      <c r="L172" s="214" t="s">
        <v>29</v>
      </c>
      <c r="M172" s="210" t="s">
        <v>220</v>
      </c>
      <c r="N172" s="215">
        <v>18430835568</v>
      </c>
      <c r="O172" s="215">
        <v>15409852995</v>
      </c>
      <c r="P172" s="216">
        <v>0.83609085101680947</v>
      </c>
      <c r="Q172" s="215">
        <v>957360037</v>
      </c>
      <c r="R172" s="216">
        <v>5.1943387670507372E-2</v>
      </c>
      <c r="S172" s="215">
        <v>835324842</v>
      </c>
      <c r="T172" s="216">
        <v>4.5322136314335543E-2</v>
      </c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s="90" customFormat="1" ht="24.95" customHeight="1">
      <c r="A173" s="32" t="s">
        <v>652</v>
      </c>
      <c r="B173" s="217" t="s">
        <v>532</v>
      </c>
      <c r="C173" s="266" t="s">
        <v>167</v>
      </c>
      <c r="D173" s="267" t="s">
        <v>190</v>
      </c>
      <c r="E173" s="267" t="s">
        <v>172</v>
      </c>
      <c r="F173" s="267" t="s">
        <v>217</v>
      </c>
      <c r="G173" s="267" t="s">
        <v>175</v>
      </c>
      <c r="H173" s="267" t="s">
        <v>219</v>
      </c>
      <c r="I173" s="267" t="s">
        <v>54</v>
      </c>
      <c r="J173" s="267"/>
      <c r="K173" s="268">
        <v>11</v>
      </c>
      <c r="L173" s="269" t="s">
        <v>29</v>
      </c>
      <c r="M173" s="259" t="s">
        <v>178</v>
      </c>
      <c r="N173" s="222">
        <v>18430835568</v>
      </c>
      <c r="O173" s="222">
        <v>15409852995</v>
      </c>
      <c r="P173" s="224">
        <v>0.83609085101680947</v>
      </c>
      <c r="Q173" s="222">
        <v>957360037</v>
      </c>
      <c r="R173" s="224">
        <v>5.1943387670507372E-2</v>
      </c>
      <c r="S173" s="222">
        <v>835324842</v>
      </c>
      <c r="T173" s="224">
        <v>4.5322136314335543E-2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s="90" customFormat="1" ht="33">
      <c r="A174" s="32" t="s">
        <v>653</v>
      </c>
      <c r="B174" s="210" t="s">
        <v>533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221</v>
      </c>
      <c r="I174" s="212"/>
      <c r="J174" s="212"/>
      <c r="K174" s="213">
        <v>11</v>
      </c>
      <c r="L174" s="214" t="s">
        <v>29</v>
      </c>
      <c r="M174" s="210" t="s">
        <v>222</v>
      </c>
      <c r="N174" s="215">
        <v>21575336352</v>
      </c>
      <c r="O174" s="215">
        <v>21101342352</v>
      </c>
      <c r="P174" s="216">
        <v>0.97803074806033963</v>
      </c>
      <c r="Q174" s="215">
        <v>757897877</v>
      </c>
      <c r="R174" s="216">
        <v>3.512797504682906E-2</v>
      </c>
      <c r="S174" s="215">
        <v>0</v>
      </c>
      <c r="T174" s="216">
        <v>0</v>
      </c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s="90" customFormat="1" ht="24.95" customHeight="1">
      <c r="A175" s="32" t="s">
        <v>654</v>
      </c>
      <c r="B175" s="217" t="s">
        <v>535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221</v>
      </c>
      <c r="I175" s="274" t="s">
        <v>65</v>
      </c>
      <c r="J175" s="267"/>
      <c r="K175" s="268">
        <v>11</v>
      </c>
      <c r="L175" s="269" t="s">
        <v>29</v>
      </c>
      <c r="M175" s="259" t="s">
        <v>127</v>
      </c>
      <c r="N175" s="222">
        <v>21575336352</v>
      </c>
      <c r="O175" s="222">
        <v>21101342352</v>
      </c>
      <c r="P175" s="224">
        <v>0.97803074806033963</v>
      </c>
      <c r="Q175" s="222">
        <v>757897877</v>
      </c>
      <c r="R175" s="224">
        <v>3.512797504682906E-2</v>
      </c>
      <c r="S175" s="222">
        <v>0</v>
      </c>
      <c r="T175" s="224">
        <v>0</v>
      </c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s="90" customFormat="1" ht="33">
      <c r="A176" s="32" t="s">
        <v>655</v>
      </c>
      <c r="B176" s="210" t="s">
        <v>536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223</v>
      </c>
      <c r="I176" s="212"/>
      <c r="J176" s="212"/>
      <c r="K176" s="213">
        <v>11</v>
      </c>
      <c r="L176" s="214" t="s">
        <v>29</v>
      </c>
      <c r="M176" s="210" t="s">
        <v>224</v>
      </c>
      <c r="N176" s="215">
        <v>2919317645</v>
      </c>
      <c r="O176" s="215">
        <v>2919317645</v>
      </c>
      <c r="P176" s="216">
        <v>1</v>
      </c>
      <c r="Q176" s="215">
        <v>971988174</v>
      </c>
      <c r="R176" s="216">
        <v>0.33295046726578464</v>
      </c>
      <c r="S176" s="215">
        <v>971988174</v>
      </c>
      <c r="T176" s="216">
        <v>0.33295046726578464</v>
      </c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s="90" customFormat="1" ht="24.95" customHeight="1">
      <c r="A177" s="32" t="s">
        <v>538</v>
      </c>
      <c r="B177" s="217" t="s">
        <v>537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223</v>
      </c>
      <c r="I177" s="267" t="s">
        <v>54</v>
      </c>
      <c r="J177" s="267"/>
      <c r="K177" s="268">
        <v>11</v>
      </c>
      <c r="L177" s="269" t="s">
        <v>29</v>
      </c>
      <c r="M177" s="259" t="s">
        <v>178</v>
      </c>
      <c r="N177" s="222">
        <v>2919317645</v>
      </c>
      <c r="O177" s="222">
        <v>2919317645</v>
      </c>
      <c r="P177" s="224">
        <v>1</v>
      </c>
      <c r="Q177" s="222">
        <v>971988174</v>
      </c>
      <c r="R177" s="224">
        <v>0.33295046726578464</v>
      </c>
      <c r="S177" s="222">
        <v>971988174</v>
      </c>
      <c r="T177" s="224">
        <v>0.33295046726578464</v>
      </c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s="90" customFormat="1" ht="33">
      <c r="A178" s="32" t="s">
        <v>656</v>
      </c>
      <c r="B178" s="210" t="s">
        <v>540</v>
      </c>
      <c r="C178" s="211" t="s">
        <v>167</v>
      </c>
      <c r="D178" s="212" t="s">
        <v>190</v>
      </c>
      <c r="E178" s="212" t="s">
        <v>172</v>
      </c>
      <c r="F178" s="212" t="s">
        <v>217</v>
      </c>
      <c r="G178" s="212" t="s">
        <v>175</v>
      </c>
      <c r="H178" s="212" t="s">
        <v>225</v>
      </c>
      <c r="I178" s="212"/>
      <c r="J178" s="212"/>
      <c r="K178" s="213">
        <v>11</v>
      </c>
      <c r="L178" s="214" t="s">
        <v>29</v>
      </c>
      <c r="M178" s="210" t="s">
        <v>226</v>
      </c>
      <c r="N178" s="215">
        <v>1307947412</v>
      </c>
      <c r="O178" s="215">
        <v>975341297</v>
      </c>
      <c r="P178" s="216">
        <v>0.74570375540450251</v>
      </c>
      <c r="Q178" s="215">
        <v>975341297</v>
      </c>
      <c r="R178" s="216">
        <v>0.74570375540450251</v>
      </c>
      <c r="S178" s="215">
        <v>975341297</v>
      </c>
      <c r="T178" s="216">
        <v>0.74570375540450251</v>
      </c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s="90" customFormat="1" ht="24.95" customHeight="1">
      <c r="A179" s="32" t="s">
        <v>542</v>
      </c>
      <c r="B179" s="217" t="s">
        <v>541</v>
      </c>
      <c r="C179" s="266" t="s">
        <v>167</v>
      </c>
      <c r="D179" s="267" t="s">
        <v>190</v>
      </c>
      <c r="E179" s="267" t="s">
        <v>172</v>
      </c>
      <c r="F179" s="267" t="s">
        <v>217</v>
      </c>
      <c r="G179" s="267" t="s">
        <v>175</v>
      </c>
      <c r="H179" s="267" t="s">
        <v>225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1307947412</v>
      </c>
      <c r="O179" s="222">
        <v>975341297</v>
      </c>
      <c r="P179" s="224">
        <v>0.74570375540450251</v>
      </c>
      <c r="Q179" s="222">
        <v>975341297</v>
      </c>
      <c r="R179" s="224">
        <v>0.74570375540450251</v>
      </c>
      <c r="S179" s="222">
        <v>975341297</v>
      </c>
      <c r="T179" s="224">
        <v>0.74570375540450251</v>
      </c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s="90" customFormat="1" ht="49.5">
      <c r="A180" s="32" t="s">
        <v>657</v>
      </c>
      <c r="B180" s="226" t="s">
        <v>658</v>
      </c>
      <c r="C180" s="227" t="s">
        <v>167</v>
      </c>
      <c r="D180" s="228" t="s">
        <v>190</v>
      </c>
      <c r="E180" s="228" t="s">
        <v>172</v>
      </c>
      <c r="F180" s="228">
        <v>18</v>
      </c>
      <c r="G180" s="228"/>
      <c r="H180" s="228"/>
      <c r="I180" s="228"/>
      <c r="J180" s="228"/>
      <c r="K180" s="229"/>
      <c r="L180" s="230"/>
      <c r="M180" s="231" t="s">
        <v>284</v>
      </c>
      <c r="N180" s="232">
        <v>9121337491</v>
      </c>
      <c r="O180" s="232">
        <v>4680097023.9200001</v>
      </c>
      <c r="P180" s="233">
        <v>0.51309328577501268</v>
      </c>
      <c r="Q180" s="232">
        <v>1302591841.3800001</v>
      </c>
      <c r="R180" s="233">
        <v>0.14280710944697136</v>
      </c>
      <c r="S180" s="232">
        <v>1302591841.3800001</v>
      </c>
      <c r="T180" s="233">
        <v>0.14280710944697136</v>
      </c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s="90" customFormat="1" ht="33">
      <c r="A181" s="32" t="s">
        <v>659</v>
      </c>
      <c r="B181" s="210" t="s">
        <v>660</v>
      </c>
      <c r="C181" s="211" t="s">
        <v>167</v>
      </c>
      <c r="D181" s="212" t="s">
        <v>190</v>
      </c>
      <c r="E181" s="212" t="s">
        <v>172</v>
      </c>
      <c r="F181" s="212">
        <v>18</v>
      </c>
      <c r="G181" s="212" t="s">
        <v>175</v>
      </c>
      <c r="H181" s="212">
        <v>4103050</v>
      </c>
      <c r="I181" s="212"/>
      <c r="J181" s="212"/>
      <c r="K181" s="213">
        <v>11</v>
      </c>
      <c r="L181" s="214" t="s">
        <v>29</v>
      </c>
      <c r="M181" s="210" t="s">
        <v>269</v>
      </c>
      <c r="N181" s="215">
        <v>9121337491</v>
      </c>
      <c r="O181" s="215">
        <v>4680097023.9200001</v>
      </c>
      <c r="P181" s="216">
        <v>0.51309328577501268</v>
      </c>
      <c r="Q181" s="215">
        <v>1302591841.3800001</v>
      </c>
      <c r="R181" s="216">
        <v>0.14280710944697136</v>
      </c>
      <c r="S181" s="215">
        <v>1302591841.3800001</v>
      </c>
      <c r="T181" s="216">
        <v>0.14280710944697136</v>
      </c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s="90" customFormat="1" ht="24.95" customHeight="1">
      <c r="A182" s="32" t="s">
        <v>661</v>
      </c>
      <c r="B182" s="217" t="s">
        <v>662</v>
      </c>
      <c r="C182" s="266" t="s">
        <v>167</v>
      </c>
      <c r="D182" s="267" t="s">
        <v>190</v>
      </c>
      <c r="E182" s="267" t="s">
        <v>172</v>
      </c>
      <c r="F182" s="267">
        <v>18</v>
      </c>
      <c r="G182" s="267" t="s">
        <v>175</v>
      </c>
      <c r="H182" s="267">
        <v>4103050</v>
      </c>
      <c r="I182" s="267" t="s">
        <v>54</v>
      </c>
      <c r="J182" s="267"/>
      <c r="K182" s="268">
        <v>11</v>
      </c>
      <c r="L182" s="269" t="s">
        <v>29</v>
      </c>
      <c r="M182" s="259" t="s">
        <v>178</v>
      </c>
      <c r="N182" s="222">
        <v>9121337491</v>
      </c>
      <c r="O182" s="222">
        <v>4680097023.9200001</v>
      </c>
      <c r="P182" s="224">
        <v>0.51309328577501268</v>
      </c>
      <c r="Q182" s="222">
        <v>1302591841.3800001</v>
      </c>
      <c r="R182" s="224">
        <v>0.14280710944697136</v>
      </c>
      <c r="S182" s="222">
        <v>1302591841.3800001</v>
      </c>
      <c r="T182" s="224">
        <v>0.14280710944697136</v>
      </c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s="90" customFormat="1" ht="33">
      <c r="A183" s="32" t="s">
        <v>663</v>
      </c>
      <c r="B183" s="226" t="s">
        <v>664</v>
      </c>
      <c r="C183" s="227" t="s">
        <v>167</v>
      </c>
      <c r="D183" s="228" t="s">
        <v>190</v>
      </c>
      <c r="E183" s="228" t="s">
        <v>172</v>
      </c>
      <c r="F183" s="228">
        <v>19</v>
      </c>
      <c r="G183" s="228"/>
      <c r="H183" s="228"/>
      <c r="I183" s="228"/>
      <c r="J183" s="228"/>
      <c r="K183" s="229"/>
      <c r="L183" s="230"/>
      <c r="M183" s="231" t="s">
        <v>285</v>
      </c>
      <c r="N183" s="232">
        <v>10281479935</v>
      </c>
      <c r="O183" s="232">
        <v>5953820964.0500002</v>
      </c>
      <c r="P183" s="233">
        <v>0.57908209729439108</v>
      </c>
      <c r="Q183" s="232">
        <v>915160213</v>
      </c>
      <c r="R183" s="233">
        <v>8.9010552837304149E-2</v>
      </c>
      <c r="S183" s="232">
        <v>871271958</v>
      </c>
      <c r="T183" s="233">
        <v>8.4741881860220733E-2</v>
      </c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s="90" customFormat="1" ht="33">
      <c r="A184" s="32" t="s">
        <v>665</v>
      </c>
      <c r="B184" s="210" t="s">
        <v>666</v>
      </c>
      <c r="C184" s="211" t="s">
        <v>167</v>
      </c>
      <c r="D184" s="212" t="s">
        <v>190</v>
      </c>
      <c r="E184" s="212" t="s">
        <v>172</v>
      </c>
      <c r="F184" s="212">
        <v>19</v>
      </c>
      <c r="G184" s="212" t="s">
        <v>175</v>
      </c>
      <c r="H184" s="212">
        <v>4103049</v>
      </c>
      <c r="I184" s="212"/>
      <c r="J184" s="212"/>
      <c r="K184" s="213">
        <v>11</v>
      </c>
      <c r="L184" s="214" t="s">
        <v>29</v>
      </c>
      <c r="M184" s="210" t="s">
        <v>228</v>
      </c>
      <c r="N184" s="215">
        <v>333541224</v>
      </c>
      <c r="O184" s="215">
        <v>227159834</v>
      </c>
      <c r="P184" s="216">
        <v>0.68105474722368953</v>
      </c>
      <c r="Q184" s="215">
        <v>59993471</v>
      </c>
      <c r="R184" s="216">
        <v>0.17986823421862841</v>
      </c>
      <c r="S184" s="215">
        <v>59993471</v>
      </c>
      <c r="T184" s="216">
        <v>0.17986823421862841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s="90" customFormat="1" ht="24.95" customHeight="1">
      <c r="A185" s="32" t="s">
        <v>667</v>
      </c>
      <c r="B185" s="217" t="s">
        <v>668</v>
      </c>
      <c r="C185" s="266" t="s">
        <v>167</v>
      </c>
      <c r="D185" s="267" t="s">
        <v>190</v>
      </c>
      <c r="E185" s="267" t="s">
        <v>172</v>
      </c>
      <c r="F185" s="267">
        <v>19</v>
      </c>
      <c r="G185" s="267" t="s">
        <v>175</v>
      </c>
      <c r="H185" s="267">
        <v>4103049</v>
      </c>
      <c r="I185" s="267" t="s">
        <v>54</v>
      </c>
      <c r="J185" s="267"/>
      <c r="K185" s="268">
        <v>11</v>
      </c>
      <c r="L185" s="269" t="s">
        <v>29</v>
      </c>
      <c r="M185" s="259" t="s">
        <v>178</v>
      </c>
      <c r="N185" s="222">
        <v>333541224</v>
      </c>
      <c r="O185" s="222">
        <v>227159834</v>
      </c>
      <c r="P185" s="224">
        <v>0.68105474722368953</v>
      </c>
      <c r="Q185" s="222">
        <v>59993471</v>
      </c>
      <c r="R185" s="224">
        <v>0.17986823421862841</v>
      </c>
      <c r="S185" s="222">
        <v>59993471</v>
      </c>
      <c r="T185" s="224">
        <v>0.17986823421862841</v>
      </c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s="90" customFormat="1" ht="34.5" customHeight="1">
      <c r="A186" s="32" t="s">
        <v>669</v>
      </c>
      <c r="B186" s="210" t="s">
        <v>670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4103052</v>
      </c>
      <c r="I186" s="212"/>
      <c r="J186" s="212"/>
      <c r="K186" s="213">
        <v>11</v>
      </c>
      <c r="L186" s="214" t="s">
        <v>29</v>
      </c>
      <c r="M186" s="210" t="s">
        <v>229</v>
      </c>
      <c r="N186" s="215">
        <v>9835707936</v>
      </c>
      <c r="O186" s="215">
        <v>5726661130.0500002</v>
      </c>
      <c r="P186" s="216">
        <v>0.58223171807386209</v>
      </c>
      <c r="Q186" s="215">
        <v>855166742</v>
      </c>
      <c r="R186" s="216">
        <v>8.6945113413745834E-2</v>
      </c>
      <c r="S186" s="215">
        <v>811278487</v>
      </c>
      <c r="T186" s="216">
        <v>8.2482978579570543E-2</v>
      </c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s="90" customFormat="1" ht="24.95" customHeight="1">
      <c r="A187" s="32" t="s">
        <v>671</v>
      </c>
      <c r="B187" s="217" t="s">
        <v>672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4103052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9835707936</v>
      </c>
      <c r="O187" s="222">
        <v>5726661130.0500002</v>
      </c>
      <c r="P187" s="224">
        <v>0.58223171807386209</v>
      </c>
      <c r="Q187" s="222">
        <v>855166742</v>
      </c>
      <c r="R187" s="224">
        <v>8.6945113413745834E-2</v>
      </c>
      <c r="S187" s="222">
        <v>811278487</v>
      </c>
      <c r="T187" s="224">
        <v>8.2482978579570543E-2</v>
      </c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s="90" customFormat="1" ht="24.95" customHeight="1">
      <c r="A188" s="32" t="s">
        <v>673</v>
      </c>
      <c r="B188" s="210" t="s">
        <v>674</v>
      </c>
      <c r="C188" s="211" t="s">
        <v>167</v>
      </c>
      <c r="D188" s="212" t="s">
        <v>190</v>
      </c>
      <c r="E188" s="212" t="s">
        <v>172</v>
      </c>
      <c r="F188" s="212">
        <v>19</v>
      </c>
      <c r="G188" s="212" t="s">
        <v>175</v>
      </c>
      <c r="H188" s="212">
        <v>4103060</v>
      </c>
      <c r="I188" s="212"/>
      <c r="J188" s="212"/>
      <c r="K188" s="213">
        <v>11</v>
      </c>
      <c r="L188" s="214" t="s">
        <v>29</v>
      </c>
      <c r="M188" s="210" t="s">
        <v>216</v>
      </c>
      <c r="N188" s="215">
        <v>112230775</v>
      </c>
      <c r="O188" s="215">
        <v>0</v>
      </c>
      <c r="P188" s="216">
        <v>0</v>
      </c>
      <c r="Q188" s="215">
        <v>0</v>
      </c>
      <c r="R188" s="216">
        <v>0</v>
      </c>
      <c r="S188" s="215">
        <v>0</v>
      </c>
      <c r="T188" s="216">
        <v>0</v>
      </c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s="90" customFormat="1" ht="24.95" customHeight="1">
      <c r="A189" s="32" t="s">
        <v>675</v>
      </c>
      <c r="B189" s="217" t="s">
        <v>676</v>
      </c>
      <c r="C189" s="266" t="s">
        <v>167</v>
      </c>
      <c r="D189" s="267" t="s">
        <v>190</v>
      </c>
      <c r="E189" s="267" t="s">
        <v>172</v>
      </c>
      <c r="F189" s="267">
        <v>19</v>
      </c>
      <c r="G189" s="267" t="s">
        <v>175</v>
      </c>
      <c r="H189" s="267">
        <v>4103060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112230775</v>
      </c>
      <c r="O189" s="222">
        <v>0</v>
      </c>
      <c r="P189" s="224">
        <v>0</v>
      </c>
      <c r="Q189" s="222">
        <v>0</v>
      </c>
      <c r="R189" s="224">
        <v>0</v>
      </c>
      <c r="S189" s="222">
        <v>0</v>
      </c>
      <c r="T189" s="224">
        <v>0</v>
      </c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s="90" customFormat="1" ht="49.5">
      <c r="A190" s="32" t="s">
        <v>677</v>
      </c>
      <c r="B190" s="226" t="s">
        <v>678</v>
      </c>
      <c r="C190" s="227" t="s">
        <v>167</v>
      </c>
      <c r="D190" s="228" t="s">
        <v>190</v>
      </c>
      <c r="E190" s="228" t="s">
        <v>172</v>
      </c>
      <c r="F190" s="228">
        <v>20</v>
      </c>
      <c r="G190" s="228"/>
      <c r="H190" s="228"/>
      <c r="I190" s="228"/>
      <c r="J190" s="228"/>
      <c r="K190" s="229"/>
      <c r="L190" s="230"/>
      <c r="M190" s="231" t="s">
        <v>286</v>
      </c>
      <c r="N190" s="232">
        <v>280000000000</v>
      </c>
      <c r="O190" s="232">
        <v>126006757916.81</v>
      </c>
      <c r="P190" s="233">
        <v>0.45002413541717856</v>
      </c>
      <c r="Q190" s="232">
        <v>104879100000</v>
      </c>
      <c r="R190" s="233">
        <v>0.3745682142857143</v>
      </c>
      <c r="S190" s="232">
        <v>104879100000</v>
      </c>
      <c r="T190" s="233">
        <v>0.3745682142857143</v>
      </c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s="90" customFormat="1" ht="33">
      <c r="A191" s="32" t="s">
        <v>679</v>
      </c>
      <c r="B191" s="210" t="s">
        <v>680</v>
      </c>
      <c r="C191" s="211" t="s">
        <v>167</v>
      </c>
      <c r="D191" s="212" t="s">
        <v>190</v>
      </c>
      <c r="E191" s="212" t="s">
        <v>172</v>
      </c>
      <c r="F191" s="212">
        <v>20</v>
      </c>
      <c r="G191" s="212" t="s">
        <v>175</v>
      </c>
      <c r="H191" s="212">
        <v>4103061</v>
      </c>
      <c r="I191" s="212"/>
      <c r="J191" s="212"/>
      <c r="K191" s="213">
        <v>11</v>
      </c>
      <c r="L191" s="214" t="s">
        <v>29</v>
      </c>
      <c r="M191" s="210" t="s">
        <v>231</v>
      </c>
      <c r="N191" s="215">
        <v>280000000000</v>
      </c>
      <c r="O191" s="215">
        <v>126006757916.81</v>
      </c>
      <c r="P191" s="216">
        <v>0.45002413541717856</v>
      </c>
      <c r="Q191" s="215">
        <v>104879100000</v>
      </c>
      <c r="R191" s="216">
        <v>0.3745682142857143</v>
      </c>
      <c r="S191" s="215">
        <v>104879100000</v>
      </c>
      <c r="T191" s="216">
        <v>0.3745682142857143</v>
      </c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s="90" customFormat="1" ht="24.95" customHeight="1">
      <c r="A192" s="32" t="s">
        <v>681</v>
      </c>
      <c r="B192" s="217" t="s">
        <v>682</v>
      </c>
      <c r="C192" s="266" t="s">
        <v>167</v>
      </c>
      <c r="D192" s="267" t="s">
        <v>190</v>
      </c>
      <c r="E192" s="267" t="s">
        <v>172</v>
      </c>
      <c r="F192" s="267">
        <v>20</v>
      </c>
      <c r="G192" s="267" t="s">
        <v>175</v>
      </c>
      <c r="H192" s="267">
        <v>4103061</v>
      </c>
      <c r="I192" s="267" t="s">
        <v>54</v>
      </c>
      <c r="J192" s="267"/>
      <c r="K192" s="268">
        <v>11</v>
      </c>
      <c r="L192" s="269" t="s">
        <v>29</v>
      </c>
      <c r="M192" s="259" t="s">
        <v>178</v>
      </c>
      <c r="N192" s="222">
        <v>25879800000</v>
      </c>
      <c r="O192" s="222">
        <v>13563307916.809999</v>
      </c>
      <c r="P192" s="224">
        <v>0.52408859097867833</v>
      </c>
      <c r="Q192" s="222">
        <v>0</v>
      </c>
      <c r="R192" s="224">
        <v>0</v>
      </c>
      <c r="S192" s="222">
        <v>0</v>
      </c>
      <c r="T192" s="224">
        <v>0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s="90" customFormat="1" ht="24.95" customHeight="1">
      <c r="A193" s="32" t="s">
        <v>683</v>
      </c>
      <c r="B193" s="217" t="s">
        <v>684</v>
      </c>
      <c r="C193" s="266" t="s">
        <v>167</v>
      </c>
      <c r="D193" s="267" t="s">
        <v>190</v>
      </c>
      <c r="E193" s="267" t="s">
        <v>172</v>
      </c>
      <c r="F193" s="267">
        <v>20</v>
      </c>
      <c r="G193" s="267" t="s">
        <v>175</v>
      </c>
      <c r="H193" s="267">
        <v>4103061</v>
      </c>
      <c r="I193" s="274" t="s">
        <v>65</v>
      </c>
      <c r="J193" s="267"/>
      <c r="K193" s="268">
        <v>11</v>
      </c>
      <c r="L193" s="269" t="s">
        <v>29</v>
      </c>
      <c r="M193" s="259" t="s">
        <v>127</v>
      </c>
      <c r="N193" s="222">
        <v>254120200000</v>
      </c>
      <c r="O193" s="222">
        <v>112443450000</v>
      </c>
      <c r="P193" s="224">
        <v>0.44248135331233013</v>
      </c>
      <c r="Q193" s="222">
        <v>104879100000</v>
      </c>
      <c r="R193" s="224">
        <v>0.41271453430305816</v>
      </c>
      <c r="S193" s="222">
        <v>104879100000</v>
      </c>
      <c r="T193" s="224">
        <v>0.41271453430305816</v>
      </c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s="90" customFormat="1" ht="35.1" customHeight="1">
      <c r="A194" s="32" t="s">
        <v>543</v>
      </c>
      <c r="B194" s="188" t="s">
        <v>544</v>
      </c>
      <c r="C194" s="189" t="s">
        <v>167</v>
      </c>
      <c r="D194" s="191">
        <v>4199</v>
      </c>
      <c r="E194" s="191"/>
      <c r="F194" s="191"/>
      <c r="G194" s="191"/>
      <c r="H194" s="191"/>
      <c r="I194" s="191"/>
      <c r="J194" s="191"/>
      <c r="K194" s="192"/>
      <c r="L194" s="193"/>
      <c r="M194" s="188" t="s">
        <v>250</v>
      </c>
      <c r="N194" s="194">
        <v>3226548466</v>
      </c>
      <c r="O194" s="194">
        <v>2018008934.1300001</v>
      </c>
      <c r="P194" s="195">
        <v>0.62543890333429752</v>
      </c>
      <c r="Q194" s="194">
        <v>2018008933.73</v>
      </c>
      <c r="R194" s="195">
        <v>0.62543890321032602</v>
      </c>
      <c r="S194" s="194">
        <v>2018008933.73</v>
      </c>
      <c r="T194" s="195">
        <v>0.62543890321032602</v>
      </c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s="90" customFormat="1" ht="24.95" customHeight="1">
      <c r="A195" s="32" t="s">
        <v>545</v>
      </c>
      <c r="B195" s="196" t="s">
        <v>300</v>
      </c>
      <c r="C195" s="197" t="s">
        <v>167</v>
      </c>
      <c r="D195" s="198">
        <v>4199</v>
      </c>
      <c r="E195" s="198">
        <v>1500</v>
      </c>
      <c r="F195" s="198"/>
      <c r="G195" s="198"/>
      <c r="H195" s="198"/>
      <c r="I195" s="198"/>
      <c r="J195" s="198"/>
      <c r="K195" s="199"/>
      <c r="L195" s="200"/>
      <c r="M195" s="196" t="s">
        <v>170</v>
      </c>
      <c r="N195" s="201">
        <v>3226548466</v>
      </c>
      <c r="O195" s="201">
        <v>2018008934.1300001</v>
      </c>
      <c r="P195" s="202">
        <v>0.62543890333429752</v>
      </c>
      <c r="Q195" s="201">
        <v>2018008933.73</v>
      </c>
      <c r="R195" s="202">
        <v>0.62543890321032602</v>
      </c>
      <c r="S195" s="201">
        <v>2018008933.73</v>
      </c>
      <c r="T195" s="202">
        <v>0.62543890321032602</v>
      </c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s="90" customFormat="1" ht="33">
      <c r="A196" s="32" t="s">
        <v>546</v>
      </c>
      <c r="B196" s="203" t="s">
        <v>547</v>
      </c>
      <c r="C196" s="227" t="s">
        <v>167</v>
      </c>
      <c r="D196" s="228" t="s">
        <v>251</v>
      </c>
      <c r="E196" s="228" t="s">
        <v>172</v>
      </c>
      <c r="F196" s="228" t="s">
        <v>252</v>
      </c>
      <c r="G196" s="228"/>
      <c r="H196" s="228"/>
      <c r="I196" s="228"/>
      <c r="J196" s="228"/>
      <c r="K196" s="229"/>
      <c r="L196" s="230"/>
      <c r="M196" s="231" t="s">
        <v>287</v>
      </c>
      <c r="N196" s="232">
        <v>3226548466</v>
      </c>
      <c r="O196" s="232">
        <v>2018008934.1300001</v>
      </c>
      <c r="P196" s="233">
        <v>0.62543890333429752</v>
      </c>
      <c r="Q196" s="232">
        <v>2018008933.73</v>
      </c>
      <c r="R196" s="233">
        <v>0.62543890321032602</v>
      </c>
      <c r="S196" s="232">
        <v>2018008933.73</v>
      </c>
      <c r="T196" s="233">
        <v>0.62543890321032602</v>
      </c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s="90" customFormat="1" ht="24.95" customHeight="1">
      <c r="A197" s="32" t="s">
        <v>688</v>
      </c>
      <c r="B197" s="210" t="s">
        <v>548</v>
      </c>
      <c r="C197" s="211" t="s">
        <v>167</v>
      </c>
      <c r="D197" s="212" t="s">
        <v>251</v>
      </c>
      <c r="E197" s="212" t="s">
        <v>172</v>
      </c>
      <c r="F197" s="212" t="s">
        <v>252</v>
      </c>
      <c r="G197" s="212" t="s">
        <v>175</v>
      </c>
      <c r="H197" s="212" t="s">
        <v>254</v>
      </c>
      <c r="I197" s="212"/>
      <c r="J197" s="212"/>
      <c r="K197" s="213">
        <v>11</v>
      </c>
      <c r="L197" s="214" t="s">
        <v>29</v>
      </c>
      <c r="M197" s="210" t="s">
        <v>255</v>
      </c>
      <c r="N197" s="215">
        <v>3226548466</v>
      </c>
      <c r="O197" s="215">
        <v>2018008934.1300001</v>
      </c>
      <c r="P197" s="216">
        <v>0.62543890333429752</v>
      </c>
      <c r="Q197" s="215">
        <v>2018008933.73</v>
      </c>
      <c r="R197" s="216">
        <v>0.62543890321032602</v>
      </c>
      <c r="S197" s="215">
        <v>2018008933.73</v>
      </c>
      <c r="T197" s="216">
        <v>0.62543890321032602</v>
      </c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s="90" customFormat="1" ht="24.95" customHeight="1" thickBot="1">
      <c r="A198" s="32" t="s">
        <v>689</v>
      </c>
      <c r="B198" s="217" t="s">
        <v>549</v>
      </c>
      <c r="C198" s="218" t="s">
        <v>167</v>
      </c>
      <c r="D198" s="219" t="s">
        <v>251</v>
      </c>
      <c r="E198" s="219" t="s">
        <v>172</v>
      </c>
      <c r="F198" s="219" t="s">
        <v>252</v>
      </c>
      <c r="G198" s="219" t="s">
        <v>175</v>
      </c>
      <c r="H198" s="219" t="s">
        <v>254</v>
      </c>
      <c r="I198" s="219" t="s">
        <v>54</v>
      </c>
      <c r="J198" s="219"/>
      <c r="K198" s="275">
        <v>11</v>
      </c>
      <c r="L198" s="276" t="s">
        <v>29</v>
      </c>
      <c r="M198" s="217" t="s">
        <v>178</v>
      </c>
      <c r="N198" s="222">
        <v>3226548466</v>
      </c>
      <c r="O198" s="222">
        <v>2018008934.1300001</v>
      </c>
      <c r="P198" s="224">
        <v>0.62543890333429752</v>
      </c>
      <c r="Q198" s="222">
        <v>2018008933.73</v>
      </c>
      <c r="R198" s="224">
        <v>0.62543890321032602</v>
      </c>
      <c r="S198" s="222">
        <v>2018008933.73</v>
      </c>
      <c r="T198" s="224">
        <v>0.62543890321032602</v>
      </c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s="90" customFormat="1" ht="35.1" customHeight="1" thickBot="1">
      <c r="A199" s="32"/>
      <c r="B199" s="277" t="s">
        <v>288</v>
      </c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60" t="s">
        <v>256</v>
      </c>
      <c r="N199" s="265">
        <v>4048247629366</v>
      </c>
      <c r="O199" s="265">
        <v>3699853449376.3994</v>
      </c>
      <c r="P199" s="187">
        <v>0.91393950867472928</v>
      </c>
      <c r="Q199" s="265">
        <v>2392800058764.6997</v>
      </c>
      <c r="R199" s="187">
        <v>0.59107057616913583</v>
      </c>
      <c r="S199" s="265">
        <v>2385210305585.4897</v>
      </c>
      <c r="T199" s="187">
        <v>0.5891957518317722</v>
      </c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s="90" customFormat="1" ht="16.5">
      <c r="A200" s="32"/>
      <c r="B200" s="279"/>
      <c r="C200" s="82"/>
      <c r="D200" s="82"/>
      <c r="E200" s="82"/>
      <c r="F200" s="82"/>
      <c r="G200" s="82"/>
      <c r="H200" s="83"/>
      <c r="I200" s="84"/>
      <c r="J200" s="84"/>
      <c r="K200" s="84"/>
      <c r="L200" s="84"/>
      <c r="M200" s="84"/>
      <c r="N200" s="86"/>
      <c r="O200" s="86"/>
      <c r="P200" s="87"/>
      <c r="Q200" s="86"/>
      <c r="R200" s="87"/>
      <c r="S200" s="86"/>
      <c r="T200" s="89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s="8" customFormat="1" ht="16.5">
      <c r="A201" s="32" t="s">
        <v>550</v>
      </c>
      <c r="B201" s="280"/>
      <c r="C201" s="91"/>
      <c r="D201" s="91"/>
      <c r="E201" s="91"/>
      <c r="F201" s="91"/>
      <c r="G201" s="91"/>
      <c r="H201" s="92"/>
      <c r="I201" s="93"/>
      <c r="J201" s="93"/>
      <c r="K201" s="93"/>
      <c r="L201" s="93"/>
      <c r="M201" s="93"/>
      <c r="N201" s="286"/>
      <c r="O201" s="286"/>
      <c r="P201" s="295"/>
      <c r="Q201" s="286"/>
      <c r="R201" s="295"/>
      <c r="S201" s="286"/>
      <c r="T201" s="296"/>
    </row>
    <row r="202" spans="1:43" s="8" customFormat="1" ht="16.5">
      <c r="A202" s="32"/>
      <c r="B202" s="280"/>
      <c r="C202" s="94"/>
      <c r="D202" s="93"/>
      <c r="E202" s="93"/>
      <c r="F202" s="93"/>
      <c r="G202" s="93"/>
      <c r="H202" s="93"/>
      <c r="I202" s="93"/>
      <c r="J202" s="93"/>
      <c r="K202" s="93"/>
      <c r="L202" s="93"/>
      <c r="M202" s="97" t="s">
        <v>289</v>
      </c>
      <c r="N202" s="281">
        <v>4048247629366</v>
      </c>
      <c r="O202" s="281">
        <v>3699853449376.3999</v>
      </c>
      <c r="P202" s="282">
        <v>0.9139395086747294</v>
      </c>
      <c r="Q202" s="281">
        <v>2392800058764.7002</v>
      </c>
      <c r="R202" s="282">
        <v>0.35327166562016121</v>
      </c>
      <c r="S202" s="281">
        <v>2385210305585.4902</v>
      </c>
      <c r="T202" s="282">
        <v>0.64467696848574119</v>
      </c>
    </row>
    <row r="203" spans="1:43" s="289" customFormat="1" ht="16.5">
      <c r="A203" s="22"/>
      <c r="B203" s="283"/>
      <c r="C203" s="284"/>
      <c r="D203" s="285"/>
      <c r="E203" s="285"/>
      <c r="F203" s="285"/>
      <c r="G203" s="285"/>
      <c r="H203" s="285"/>
      <c r="I203" s="285"/>
      <c r="J203" s="285"/>
      <c r="K203" s="285"/>
      <c r="L203" s="285"/>
      <c r="M203" s="286" t="s">
        <v>290</v>
      </c>
      <c r="N203" s="98">
        <v>0</v>
      </c>
      <c r="O203" s="98">
        <v>0</v>
      </c>
      <c r="P203" s="287">
        <v>0</v>
      </c>
      <c r="Q203" s="98">
        <v>0</v>
      </c>
      <c r="R203" s="287">
        <v>0</v>
      </c>
      <c r="S203" s="98">
        <v>0</v>
      </c>
      <c r="T203" s="288">
        <v>0</v>
      </c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</row>
    <row r="204" spans="1:43" ht="18">
      <c r="A204" s="30"/>
      <c r="B204" s="279"/>
      <c r="C204" s="312"/>
      <c r="D204" s="317"/>
      <c r="E204" s="312"/>
      <c r="F204" s="312"/>
      <c r="G204" s="312"/>
      <c r="H204" s="312"/>
      <c r="I204" s="312"/>
      <c r="J204" s="312"/>
      <c r="K204" s="312"/>
      <c r="L204" s="312"/>
      <c r="M204" s="312"/>
      <c r="N204" s="332"/>
      <c r="O204" s="332"/>
      <c r="P204" s="333"/>
      <c r="Q204" s="332"/>
      <c r="R204" s="333"/>
      <c r="S204" s="332"/>
      <c r="T204" s="333"/>
    </row>
    <row r="205" spans="1:43" ht="18">
      <c r="A205" s="30"/>
      <c r="B205" s="279"/>
      <c r="C205" s="312"/>
      <c r="D205" s="317"/>
      <c r="E205" s="312"/>
      <c r="F205" s="312"/>
      <c r="G205" s="312"/>
      <c r="H205" s="312"/>
      <c r="I205" s="312"/>
      <c r="J205" s="312"/>
      <c r="K205" s="312"/>
      <c r="L205" s="312"/>
      <c r="M205" s="312"/>
      <c r="N205" s="332"/>
      <c r="O205" s="332"/>
      <c r="P205" s="333"/>
      <c r="Q205" s="332"/>
      <c r="R205" s="333"/>
      <c r="S205" s="332"/>
      <c r="T205" s="333"/>
    </row>
    <row r="206" spans="1:43" ht="18">
      <c r="A206" s="1"/>
      <c r="B206" s="156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32"/>
      <c r="O206" s="332"/>
      <c r="P206" s="333"/>
      <c r="Q206" s="332"/>
      <c r="R206" s="333"/>
      <c r="S206" s="332"/>
      <c r="T206" s="333"/>
    </row>
    <row r="207" spans="1:43" ht="30">
      <c r="A207" s="1"/>
      <c r="B207" s="156"/>
      <c r="C207" s="318"/>
      <c r="D207" s="318"/>
      <c r="E207" s="318"/>
      <c r="F207" s="318"/>
      <c r="G207" s="318"/>
      <c r="H207" s="318"/>
      <c r="I207" s="312"/>
      <c r="J207" s="312"/>
      <c r="K207" s="312"/>
      <c r="L207" s="312"/>
      <c r="M207" s="336" t="s">
        <v>738</v>
      </c>
      <c r="N207" s="319"/>
      <c r="O207" s="319"/>
      <c r="P207" s="319"/>
      <c r="Q207" s="319"/>
      <c r="R207" s="320"/>
      <c r="S207" s="319"/>
      <c r="T207" s="319"/>
    </row>
    <row r="208" spans="1:43" ht="30">
      <c r="A208" s="1"/>
      <c r="B208" s="156"/>
      <c r="C208" s="321"/>
      <c r="D208" s="322"/>
      <c r="E208" s="322"/>
      <c r="F208" s="322"/>
      <c r="G208" s="322"/>
      <c r="H208" s="322"/>
      <c r="I208" s="322"/>
      <c r="J208" s="322"/>
      <c r="K208" s="322"/>
      <c r="L208" s="322"/>
      <c r="M208" s="337" t="s">
        <v>739</v>
      </c>
      <c r="N208" s="323"/>
      <c r="O208" s="323"/>
      <c r="P208" s="323"/>
      <c r="Q208" s="323"/>
      <c r="R208" s="324"/>
      <c r="S208" s="323"/>
      <c r="T208" s="323"/>
    </row>
    <row r="209" spans="1:18" ht="30">
      <c r="A209" s="325"/>
      <c r="B209" s="314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34"/>
      <c r="O209" s="334"/>
      <c r="P209" s="329"/>
      <c r="Q209" s="329"/>
      <c r="R209" s="329"/>
    </row>
  </sheetData>
  <sheetProtection selectLockedCells="1" selectUnlockedCells="1"/>
  <autoFilter ref="A6:T202" xr:uid="{00000000-0009-0000-0000-000002000000}"/>
  <mergeCells count="3">
    <mergeCell ref="O5:P5"/>
    <mergeCell ref="Q5:R5"/>
    <mergeCell ref="S5:T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C1A68-14EA-4F1B-8949-95FBB3929208}">
  <sheetPr>
    <tabColor rgb="FF00B0F0"/>
    <pageSetUpPr fitToPage="1"/>
  </sheetPr>
  <dimension ref="A1:BC216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6" style="9" customWidth="1"/>
    <col min="3" max="3" width="6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7.7109375" style="9" hidden="1" customWidth="1" outlineLevel="1"/>
    <col min="11" max="11" width="5.28515625" style="9" bestFit="1" customWidth="1" collapsed="1"/>
    <col min="12" max="12" width="5.7109375" style="9" bestFit="1" customWidth="1"/>
    <col min="13" max="13" width="70.7109375" style="9" customWidth="1"/>
    <col min="14" max="14" width="20" style="13" bestFit="1" customWidth="1"/>
    <col min="15" max="15" width="18.8554687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bestFit="1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903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560"/>
      <c r="V5" s="663" t="s">
        <v>7</v>
      </c>
      <c r="W5" s="66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">
        <v>551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v>162991000000</v>
      </c>
      <c r="O8" s="186">
        <v>4391269167713</v>
      </c>
      <c r="P8" s="186">
        <v>0</v>
      </c>
      <c r="Q8" s="186">
        <v>4034224835.4399996</v>
      </c>
      <c r="R8" s="186">
        <v>4034224835.4400001</v>
      </c>
      <c r="S8" s="186">
        <v>11791000000</v>
      </c>
      <c r="T8" s="186">
        <v>4542469167713</v>
      </c>
      <c r="U8" s="186">
        <v>1927647266580.6699</v>
      </c>
      <c r="V8" s="186">
        <v>2614821901132.3301</v>
      </c>
      <c r="W8" s="187">
        <v>0.42436111185564385</v>
      </c>
      <c r="X8" s="186">
        <v>1603952676356.1101</v>
      </c>
      <c r="Y8" s="186">
        <v>323694590224.56</v>
      </c>
      <c r="Z8" s="187">
        <v>0.16792210682753236</v>
      </c>
      <c r="AA8" s="186">
        <v>1603832742977.1101</v>
      </c>
      <c r="AB8" s="186">
        <v>119933379</v>
      </c>
      <c r="AC8" s="187">
        <v>0.83201567568014989</v>
      </c>
    </row>
    <row r="9" spans="1:29" ht="35.1" customHeight="1">
      <c r="A9" s="32" t="s">
        <v>302</v>
      </c>
      <c r="B9" s="188" t="s">
        <v>303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v>99738000000</v>
      </c>
      <c r="O9" s="194">
        <v>0</v>
      </c>
      <c r="P9" s="194">
        <v>0</v>
      </c>
      <c r="Q9" s="194">
        <v>275000000</v>
      </c>
      <c r="R9" s="194">
        <v>275000000</v>
      </c>
      <c r="S9" s="194">
        <v>0</v>
      </c>
      <c r="T9" s="194">
        <v>99738000000</v>
      </c>
      <c r="U9" s="194">
        <v>56320573855</v>
      </c>
      <c r="V9" s="194">
        <v>43417426145</v>
      </c>
      <c r="W9" s="195">
        <v>0.56468521381018266</v>
      </c>
      <c r="X9" s="194">
        <v>54467850806</v>
      </c>
      <c r="Y9" s="194">
        <v>1852723049</v>
      </c>
      <c r="Z9" s="195">
        <v>3.2896025771504453E-2</v>
      </c>
      <c r="AA9" s="194">
        <v>54467786406</v>
      </c>
      <c r="AB9" s="194">
        <v>64400</v>
      </c>
      <c r="AC9" s="195">
        <v>0.96710283077423731</v>
      </c>
    </row>
    <row r="10" spans="1:29" ht="24.95" customHeight="1">
      <c r="A10" s="32" t="s">
        <v>304</v>
      </c>
      <c r="B10" s="196" t="s">
        <v>305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v>99738000000</v>
      </c>
      <c r="O10" s="201">
        <v>0</v>
      </c>
      <c r="P10" s="201">
        <v>0</v>
      </c>
      <c r="Q10" s="201">
        <v>275000000</v>
      </c>
      <c r="R10" s="201">
        <v>275000000</v>
      </c>
      <c r="S10" s="201">
        <v>0</v>
      </c>
      <c r="T10" s="201">
        <v>99738000000</v>
      </c>
      <c r="U10" s="201">
        <v>56320573855</v>
      </c>
      <c r="V10" s="201">
        <v>43417426145</v>
      </c>
      <c r="W10" s="202">
        <v>0.56468521381018266</v>
      </c>
      <c r="X10" s="201">
        <v>54467850806</v>
      </c>
      <c r="Y10" s="201">
        <v>1852723049</v>
      </c>
      <c r="Z10" s="202">
        <v>3.2896025771504453E-2</v>
      </c>
      <c r="AA10" s="201">
        <v>54467786406</v>
      </c>
      <c r="AB10" s="201">
        <v>64400</v>
      </c>
      <c r="AC10" s="202">
        <v>0.96710283077423731</v>
      </c>
    </row>
    <row r="11" spans="1:29" ht="24.95" customHeight="1">
      <c r="A11" s="32" t="s">
        <v>306</v>
      </c>
      <c r="B11" s="203" t="s">
        <v>307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v>68019000000</v>
      </c>
      <c r="O11" s="208">
        <v>0</v>
      </c>
      <c r="P11" s="208">
        <v>0</v>
      </c>
      <c r="Q11" s="208">
        <v>275000000</v>
      </c>
      <c r="R11" s="208">
        <v>275000000</v>
      </c>
      <c r="S11" s="208">
        <v>0</v>
      </c>
      <c r="T11" s="208">
        <v>68019000000</v>
      </c>
      <c r="U11" s="208">
        <v>37073463254</v>
      </c>
      <c r="V11" s="208">
        <v>30945536746</v>
      </c>
      <c r="W11" s="209">
        <v>0.54504569684940973</v>
      </c>
      <c r="X11" s="208">
        <v>37065476734</v>
      </c>
      <c r="Y11" s="208">
        <v>7986520</v>
      </c>
      <c r="Z11" s="209">
        <v>2.1542416863734205E-4</v>
      </c>
      <c r="AA11" s="208">
        <v>37065476734</v>
      </c>
      <c r="AB11" s="208">
        <v>0</v>
      </c>
      <c r="AC11" s="209">
        <v>0.99978457583136271</v>
      </c>
    </row>
    <row r="12" spans="1:29" ht="24.95" customHeight="1">
      <c r="A12" s="32" t="s">
        <v>308</v>
      </c>
      <c r="B12" s="210" t="s">
        <v>309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v>68019000000</v>
      </c>
      <c r="O12" s="215">
        <v>0</v>
      </c>
      <c r="P12" s="215">
        <v>0</v>
      </c>
      <c r="Q12" s="215">
        <v>275000000</v>
      </c>
      <c r="R12" s="215">
        <v>275000000</v>
      </c>
      <c r="S12" s="215">
        <v>0</v>
      </c>
      <c r="T12" s="215">
        <v>68019000000</v>
      </c>
      <c r="U12" s="215">
        <v>37073463254</v>
      </c>
      <c r="V12" s="215">
        <v>30945536746</v>
      </c>
      <c r="W12" s="216">
        <v>0.54504569684940973</v>
      </c>
      <c r="X12" s="215">
        <v>37065476734</v>
      </c>
      <c r="Y12" s="215">
        <v>7986520</v>
      </c>
      <c r="Z12" s="216">
        <v>2.1542416863734205E-4</v>
      </c>
      <c r="AA12" s="215">
        <v>37065476734</v>
      </c>
      <c r="AB12" s="215">
        <v>0</v>
      </c>
      <c r="AC12" s="216">
        <v>0.99978457583136271</v>
      </c>
    </row>
    <row r="13" spans="1:29" ht="24.95" customHeight="1">
      <c r="A13" s="32" t="s">
        <v>310</v>
      </c>
      <c r="B13" s="217" t="s">
        <v>311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v>54858000000</v>
      </c>
      <c r="U13" s="222">
        <v>31899909534</v>
      </c>
      <c r="V13" s="222">
        <v>22958090466</v>
      </c>
      <c r="W13" s="224">
        <v>0.58149968161434973</v>
      </c>
      <c r="X13" s="222">
        <v>31894785042</v>
      </c>
      <c r="Y13" s="222">
        <v>5124492</v>
      </c>
      <c r="Z13" s="224">
        <v>1.6064283801614369E-4</v>
      </c>
      <c r="AA13" s="222">
        <v>31894785042</v>
      </c>
      <c r="AB13" s="222">
        <v>0</v>
      </c>
      <c r="AC13" s="224">
        <v>0.99983935716198391</v>
      </c>
    </row>
    <row r="14" spans="1:29" ht="24.95" customHeight="1">
      <c r="A14" s="32" t="s">
        <v>312</v>
      </c>
      <c r="B14" s="217" t="s">
        <v>313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v>263000000</v>
      </c>
      <c r="U14" s="222">
        <v>155417931</v>
      </c>
      <c r="V14" s="222">
        <v>107582069</v>
      </c>
      <c r="W14" s="224">
        <v>0.59094270342205324</v>
      </c>
      <c r="X14" s="222">
        <v>155417931</v>
      </c>
      <c r="Y14" s="222">
        <v>0</v>
      </c>
      <c r="Z14" s="224">
        <v>0</v>
      </c>
      <c r="AA14" s="222">
        <v>155417931</v>
      </c>
      <c r="AB14" s="222">
        <v>0</v>
      </c>
      <c r="AC14" s="224">
        <v>1</v>
      </c>
    </row>
    <row r="15" spans="1:29" ht="24.95" customHeight="1">
      <c r="A15" s="32" t="s">
        <v>314</v>
      </c>
      <c r="B15" s="217" t="s">
        <v>315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v>550000000</v>
      </c>
      <c r="U15" s="222">
        <v>327496649</v>
      </c>
      <c r="V15" s="222">
        <v>222503351</v>
      </c>
      <c r="W15" s="224">
        <v>0.59544845272727276</v>
      </c>
      <c r="X15" s="222">
        <v>327496649</v>
      </c>
      <c r="Y15" s="222">
        <v>0</v>
      </c>
      <c r="Z15" s="224">
        <v>0</v>
      </c>
      <c r="AA15" s="222">
        <v>327496649</v>
      </c>
      <c r="AB15" s="222">
        <v>0</v>
      </c>
      <c r="AC15" s="224">
        <v>1</v>
      </c>
    </row>
    <row r="16" spans="1:29" ht="24.95" customHeight="1">
      <c r="A16" s="32" t="s">
        <v>316</v>
      </c>
      <c r="B16" s="217" t="s">
        <v>317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v>100000000</v>
      </c>
      <c r="U16" s="222">
        <v>54251835</v>
      </c>
      <c r="V16" s="222">
        <v>45748165</v>
      </c>
      <c r="W16" s="224">
        <v>0.54251835000000004</v>
      </c>
      <c r="X16" s="222">
        <v>54232006</v>
      </c>
      <c r="Y16" s="222">
        <v>19829</v>
      </c>
      <c r="Z16" s="224">
        <v>3.6549915777042382E-4</v>
      </c>
      <c r="AA16" s="222">
        <v>54232006</v>
      </c>
      <c r="AB16" s="222">
        <v>0</v>
      </c>
      <c r="AC16" s="224">
        <v>0.9996345008422296</v>
      </c>
    </row>
    <row r="17" spans="1:55" ht="24.95" customHeight="1">
      <c r="A17" s="32" t="s">
        <v>318</v>
      </c>
      <c r="B17" s="217" t="s">
        <v>319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v>98000000</v>
      </c>
      <c r="U17" s="222">
        <v>38745080</v>
      </c>
      <c r="V17" s="222">
        <v>59254920</v>
      </c>
      <c r="W17" s="224">
        <v>0.39535795918367345</v>
      </c>
      <c r="X17" s="222">
        <v>35902881</v>
      </c>
      <c r="Y17" s="222">
        <v>2842199</v>
      </c>
      <c r="Z17" s="224">
        <v>7.3356384862284449E-2</v>
      </c>
      <c r="AA17" s="222">
        <v>35902881</v>
      </c>
      <c r="AB17" s="222">
        <v>0</v>
      </c>
      <c r="AC17" s="224">
        <v>0.92664361513771554</v>
      </c>
    </row>
    <row r="18" spans="1:55" ht="24.95" customHeight="1">
      <c r="A18" s="32" t="s">
        <v>320</v>
      </c>
      <c r="B18" s="217" t="s">
        <v>321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>
        <v>230000000</v>
      </c>
      <c r="R18" s="222"/>
      <c r="S18" s="222"/>
      <c r="T18" s="222">
        <v>2730000000</v>
      </c>
      <c r="U18" s="222">
        <v>2536352063</v>
      </c>
      <c r="V18" s="222">
        <v>193647937</v>
      </c>
      <c r="W18" s="224">
        <v>0.92906668974358975</v>
      </c>
      <c r="X18" s="222">
        <v>2536352063</v>
      </c>
      <c r="Y18" s="222">
        <v>0</v>
      </c>
      <c r="Z18" s="224">
        <v>0</v>
      </c>
      <c r="AA18" s="222">
        <v>2536352063</v>
      </c>
      <c r="AB18" s="222">
        <v>0</v>
      </c>
      <c r="AC18" s="224">
        <v>1</v>
      </c>
    </row>
    <row r="19" spans="1:55" ht="24.95" customHeight="1">
      <c r="A19" s="32" t="s">
        <v>322</v>
      </c>
      <c r="B19" s="217" t="s">
        <v>323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v>1800000000</v>
      </c>
      <c r="U19" s="222">
        <v>1109693550</v>
      </c>
      <c r="V19" s="222">
        <v>690306450</v>
      </c>
      <c r="W19" s="224">
        <v>0.61649641666666666</v>
      </c>
      <c r="X19" s="222">
        <v>1109693550</v>
      </c>
      <c r="Y19" s="222">
        <v>0</v>
      </c>
      <c r="Z19" s="224">
        <v>0</v>
      </c>
      <c r="AA19" s="222">
        <v>1109693550</v>
      </c>
      <c r="AB19" s="222">
        <v>0</v>
      </c>
      <c r="AC19" s="224">
        <v>1</v>
      </c>
    </row>
    <row r="20" spans="1:55" ht="24.95" customHeight="1">
      <c r="A20" s="32" t="s">
        <v>324</v>
      </c>
      <c r="B20" s="217" t="s">
        <v>325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v>250000000</v>
      </c>
      <c r="U20" s="222">
        <v>39641666</v>
      </c>
      <c r="V20" s="222">
        <v>210358334</v>
      </c>
      <c r="W20" s="224">
        <v>0.158566664</v>
      </c>
      <c r="X20" s="222">
        <v>39641666</v>
      </c>
      <c r="Y20" s="222">
        <v>0</v>
      </c>
      <c r="Z20" s="224">
        <v>0</v>
      </c>
      <c r="AA20" s="222">
        <v>39641666</v>
      </c>
      <c r="AB20" s="222">
        <v>0</v>
      </c>
      <c r="AC20" s="224">
        <v>1</v>
      </c>
    </row>
    <row r="21" spans="1:55" ht="24.95" customHeight="1">
      <c r="A21" s="32" t="s">
        <v>326</v>
      </c>
      <c r="B21" s="217" t="s">
        <v>327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v>5000000000</v>
      </c>
      <c r="U21" s="222">
        <v>21392458</v>
      </c>
      <c r="V21" s="222">
        <v>4978607542</v>
      </c>
      <c r="W21" s="224">
        <v>4.2784915999999999E-3</v>
      </c>
      <c r="X21" s="222">
        <v>21392458</v>
      </c>
      <c r="Y21" s="222">
        <v>0</v>
      </c>
      <c r="Z21" s="224">
        <v>0</v>
      </c>
      <c r="AA21" s="222">
        <v>21392458</v>
      </c>
      <c r="AB21" s="222">
        <v>0</v>
      </c>
      <c r="AC21" s="224">
        <v>1</v>
      </c>
    </row>
    <row r="22" spans="1:55" ht="24.95" customHeight="1">
      <c r="A22" s="32" t="s">
        <v>328</v>
      </c>
      <c r="B22" s="217" t="s">
        <v>329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>
        <v>275000000</v>
      </c>
      <c r="S22" s="222"/>
      <c r="T22" s="222">
        <v>2325000000</v>
      </c>
      <c r="U22" s="222">
        <v>871860209</v>
      </c>
      <c r="V22" s="222">
        <v>1453139791</v>
      </c>
      <c r="W22" s="224">
        <v>0.37499363827956989</v>
      </c>
      <c r="X22" s="222">
        <v>871860209</v>
      </c>
      <c r="Y22" s="222">
        <v>0</v>
      </c>
      <c r="Z22" s="224">
        <v>0</v>
      </c>
      <c r="AA22" s="222">
        <v>871860209</v>
      </c>
      <c r="AB22" s="222">
        <v>0</v>
      </c>
      <c r="AC22" s="224">
        <v>1</v>
      </c>
    </row>
    <row r="23" spans="1:55" s="64" customFormat="1" ht="24.95" customHeight="1">
      <c r="A23" s="32" t="s">
        <v>552</v>
      </c>
      <c r="B23" s="217" t="s">
        <v>553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v>0</v>
      </c>
      <c r="O23" s="222"/>
      <c r="P23" s="222"/>
      <c r="Q23" s="222">
        <v>45000000</v>
      </c>
      <c r="R23" s="222"/>
      <c r="S23" s="222"/>
      <c r="T23" s="222">
        <v>45000000</v>
      </c>
      <c r="U23" s="222">
        <v>18702279</v>
      </c>
      <c r="V23" s="222">
        <v>26297721</v>
      </c>
      <c r="W23" s="224">
        <v>0.41560619999999998</v>
      </c>
      <c r="X23" s="222">
        <v>18702279</v>
      </c>
      <c r="Y23" s="222">
        <v>0</v>
      </c>
      <c r="Z23" s="224">
        <v>0</v>
      </c>
      <c r="AA23" s="222">
        <v>18702279</v>
      </c>
      <c r="AB23" s="222">
        <v>0</v>
      </c>
      <c r="AC23" s="224"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">
        <v>330</v>
      </c>
      <c r="B24" s="226" t="s">
        <v>331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v>24735000000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24735000000</v>
      </c>
      <c r="U24" s="232">
        <v>15754915016</v>
      </c>
      <c r="V24" s="232">
        <v>8980084984</v>
      </c>
      <c r="W24" s="233">
        <v>0.63694825211239137</v>
      </c>
      <c r="X24" s="232">
        <v>13910498554</v>
      </c>
      <c r="Y24" s="232">
        <v>1844416462</v>
      </c>
      <c r="Z24" s="233">
        <v>0.11706927394574275</v>
      </c>
      <c r="AA24" s="232">
        <v>13910434154</v>
      </c>
      <c r="AB24" s="232">
        <v>64400</v>
      </c>
      <c r="AC24" s="233">
        <v>0.88292663844096742</v>
      </c>
    </row>
    <row r="25" spans="1:55" ht="24.95" customHeight="1">
      <c r="A25" s="32" t="s">
        <v>332</v>
      </c>
      <c r="B25" s="217" t="s">
        <v>333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7000000000</v>
      </c>
      <c r="O25" s="222"/>
      <c r="P25" s="222"/>
      <c r="Q25" s="222"/>
      <c r="R25" s="222"/>
      <c r="S25" s="222"/>
      <c r="T25" s="222">
        <v>7000000000</v>
      </c>
      <c r="U25" s="222">
        <v>4068489658</v>
      </c>
      <c r="V25" s="222">
        <v>2931510342</v>
      </c>
      <c r="W25" s="224">
        <v>0.58121280828571431</v>
      </c>
      <c r="X25" s="222">
        <v>4068489658</v>
      </c>
      <c r="Y25" s="222">
        <v>0</v>
      </c>
      <c r="Z25" s="224">
        <v>0</v>
      </c>
      <c r="AA25" s="222">
        <v>4068489658</v>
      </c>
      <c r="AB25" s="222">
        <v>0</v>
      </c>
      <c r="AC25" s="224">
        <v>1</v>
      </c>
    </row>
    <row r="26" spans="1:55" ht="24.95" customHeight="1">
      <c r="A26" s="32" t="s">
        <v>334</v>
      </c>
      <c r="B26" s="217" t="s">
        <v>335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6000000000</v>
      </c>
      <c r="O26" s="222"/>
      <c r="P26" s="222"/>
      <c r="Q26" s="222"/>
      <c r="R26" s="222"/>
      <c r="S26" s="222"/>
      <c r="T26" s="222">
        <v>6000000000</v>
      </c>
      <c r="U26" s="222">
        <v>3030153258</v>
      </c>
      <c r="V26" s="222">
        <v>2969846742</v>
      </c>
      <c r="W26" s="224">
        <v>0.50502554300000002</v>
      </c>
      <c r="X26" s="222">
        <v>3030153258</v>
      </c>
      <c r="Y26" s="222">
        <v>0</v>
      </c>
      <c r="Z26" s="224">
        <v>0</v>
      </c>
      <c r="AA26" s="222">
        <v>3030153258</v>
      </c>
      <c r="AB26" s="222">
        <v>0</v>
      </c>
      <c r="AC26" s="224">
        <v>1</v>
      </c>
    </row>
    <row r="27" spans="1:55" ht="24.95" customHeight="1">
      <c r="A27" s="32" t="s">
        <v>336</v>
      </c>
      <c r="B27" s="217" t="s">
        <v>337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5555000000</v>
      </c>
      <c r="O27" s="222"/>
      <c r="P27" s="222"/>
      <c r="Q27" s="222"/>
      <c r="R27" s="222"/>
      <c r="S27" s="222"/>
      <c r="T27" s="222">
        <v>5555000000</v>
      </c>
      <c r="U27" s="222">
        <v>4950300000</v>
      </c>
      <c r="V27" s="222">
        <v>604700000</v>
      </c>
      <c r="W27" s="224">
        <v>0.89114311431143112</v>
      </c>
      <c r="X27" s="222">
        <v>3112759338</v>
      </c>
      <c r="Y27" s="222">
        <v>1837540662</v>
      </c>
      <c r="Z27" s="224">
        <v>0.37119783891885338</v>
      </c>
      <c r="AA27" s="222">
        <v>3112759338</v>
      </c>
      <c r="AB27" s="222">
        <v>0</v>
      </c>
      <c r="AC27" s="224">
        <v>0.62880216108114662</v>
      </c>
    </row>
    <row r="28" spans="1:55" ht="24.95" customHeight="1">
      <c r="A28" s="32" t="s">
        <v>338</v>
      </c>
      <c r="B28" s="217" t="s">
        <v>339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2500000000</v>
      </c>
      <c r="O28" s="222"/>
      <c r="P28" s="222"/>
      <c r="Q28" s="222"/>
      <c r="R28" s="222"/>
      <c r="S28" s="222"/>
      <c r="T28" s="222">
        <v>2500000000</v>
      </c>
      <c r="U28" s="222">
        <v>1495210700</v>
      </c>
      <c r="V28" s="222">
        <v>1004789300</v>
      </c>
      <c r="W28" s="224">
        <v>0.59808428000000002</v>
      </c>
      <c r="X28" s="222">
        <v>1495210700</v>
      </c>
      <c r="Y28" s="222">
        <v>0</v>
      </c>
      <c r="Z28" s="224">
        <v>0</v>
      </c>
      <c r="AA28" s="222">
        <v>1495210700</v>
      </c>
      <c r="AB28" s="222">
        <v>0</v>
      </c>
      <c r="AC28" s="224">
        <v>1</v>
      </c>
    </row>
    <row r="29" spans="1:55" ht="24.95" customHeight="1">
      <c r="A29" s="32" t="s">
        <v>340</v>
      </c>
      <c r="B29" s="217" t="s">
        <v>341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500000000</v>
      </c>
      <c r="O29" s="222"/>
      <c r="P29" s="222"/>
      <c r="Q29" s="222"/>
      <c r="R29" s="222"/>
      <c r="S29" s="222"/>
      <c r="T29" s="222">
        <v>500000000</v>
      </c>
      <c r="U29" s="222">
        <v>340541700</v>
      </c>
      <c r="V29" s="222">
        <v>159458300</v>
      </c>
      <c r="W29" s="224">
        <v>0.68108340000000001</v>
      </c>
      <c r="X29" s="222">
        <v>333665900</v>
      </c>
      <c r="Y29" s="222">
        <v>6875800</v>
      </c>
      <c r="Z29" s="224">
        <v>2.0190772525068148E-2</v>
      </c>
      <c r="AA29" s="222">
        <v>333601500</v>
      </c>
      <c r="AB29" s="222">
        <v>64400</v>
      </c>
      <c r="AC29" s="224">
        <v>0.9796201170076968</v>
      </c>
    </row>
    <row r="30" spans="1:55" ht="24.95" customHeight="1">
      <c r="A30" s="32" t="s">
        <v>342</v>
      </c>
      <c r="B30" s="217" t="s">
        <v>343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1890000000</v>
      </c>
      <c r="O30" s="222"/>
      <c r="P30" s="222"/>
      <c r="Q30" s="222"/>
      <c r="R30" s="222"/>
      <c r="S30" s="222"/>
      <c r="T30" s="222">
        <v>1890000000</v>
      </c>
      <c r="U30" s="222">
        <v>1121556600</v>
      </c>
      <c r="V30" s="222">
        <v>768443400</v>
      </c>
      <c r="W30" s="224">
        <v>0.59341619047619043</v>
      </c>
      <c r="X30" s="222">
        <v>1121556600</v>
      </c>
      <c r="Y30" s="222">
        <v>0</v>
      </c>
      <c r="Z30" s="224">
        <v>0</v>
      </c>
      <c r="AA30" s="222">
        <v>1121556600</v>
      </c>
      <c r="AB30" s="222">
        <v>0</v>
      </c>
      <c r="AC30" s="224">
        <v>1</v>
      </c>
    </row>
    <row r="31" spans="1:55" ht="24.95" customHeight="1">
      <c r="A31" s="32" t="s">
        <v>344</v>
      </c>
      <c r="B31" s="217" t="s">
        <v>345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320000000</v>
      </c>
      <c r="O31" s="222"/>
      <c r="P31" s="222"/>
      <c r="Q31" s="222"/>
      <c r="R31" s="222"/>
      <c r="S31" s="222"/>
      <c r="T31" s="222">
        <v>320000000</v>
      </c>
      <c r="U31" s="222">
        <v>187258400</v>
      </c>
      <c r="V31" s="222">
        <v>132741600</v>
      </c>
      <c r="W31" s="224">
        <v>0.58518250000000005</v>
      </c>
      <c r="X31" s="222">
        <v>187258400</v>
      </c>
      <c r="Y31" s="222">
        <v>0</v>
      </c>
      <c r="Z31" s="224">
        <v>0</v>
      </c>
      <c r="AA31" s="222">
        <v>187258400</v>
      </c>
      <c r="AB31" s="222">
        <v>0</v>
      </c>
      <c r="AC31" s="224">
        <v>1</v>
      </c>
    </row>
    <row r="32" spans="1:55" ht="24.95" customHeight="1">
      <c r="A32" s="32" t="s">
        <v>346</v>
      </c>
      <c r="B32" s="217" t="s">
        <v>347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320000000</v>
      </c>
      <c r="O32" s="222"/>
      <c r="P32" s="222"/>
      <c r="Q32" s="222"/>
      <c r="R32" s="222"/>
      <c r="S32" s="222"/>
      <c r="T32" s="222">
        <v>320000000</v>
      </c>
      <c r="U32" s="222">
        <v>187258400</v>
      </c>
      <c r="V32" s="222">
        <v>132741600</v>
      </c>
      <c r="W32" s="224">
        <v>0.58518250000000005</v>
      </c>
      <c r="X32" s="222">
        <v>187258400</v>
      </c>
      <c r="Y32" s="222">
        <v>0</v>
      </c>
      <c r="Z32" s="224">
        <v>0</v>
      </c>
      <c r="AA32" s="222">
        <v>187258400</v>
      </c>
      <c r="AB32" s="222">
        <v>0</v>
      </c>
      <c r="AC32" s="224">
        <v>1</v>
      </c>
    </row>
    <row r="33" spans="1:29" ht="24.95" customHeight="1">
      <c r="A33" s="32" t="s">
        <v>348</v>
      </c>
      <c r="B33" s="217" t="s">
        <v>349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650000000</v>
      </c>
      <c r="O33" s="222"/>
      <c r="P33" s="222"/>
      <c r="Q33" s="222"/>
      <c r="R33" s="222"/>
      <c r="S33" s="222"/>
      <c r="T33" s="222">
        <v>650000000</v>
      </c>
      <c r="U33" s="222">
        <v>374146300</v>
      </c>
      <c r="V33" s="222">
        <v>275853700</v>
      </c>
      <c r="W33" s="224">
        <v>0.57560969230769232</v>
      </c>
      <c r="X33" s="222">
        <v>374146300</v>
      </c>
      <c r="Y33" s="222">
        <v>0</v>
      </c>
      <c r="Z33" s="224">
        <v>0</v>
      </c>
      <c r="AA33" s="222">
        <v>374146300</v>
      </c>
      <c r="AB33" s="222">
        <v>0</v>
      </c>
      <c r="AC33" s="224">
        <v>1</v>
      </c>
    </row>
    <row r="34" spans="1:29" ht="24.95" customHeight="1">
      <c r="A34" s="32" t="s">
        <v>350</v>
      </c>
      <c r="B34" s="226" t="s">
        <v>351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v>6984000000</v>
      </c>
      <c r="O34" s="232">
        <v>0</v>
      </c>
      <c r="P34" s="232">
        <v>0</v>
      </c>
      <c r="Q34" s="232">
        <v>0</v>
      </c>
      <c r="R34" s="232">
        <v>0</v>
      </c>
      <c r="S34" s="232">
        <v>0</v>
      </c>
      <c r="T34" s="232">
        <v>6984000000</v>
      </c>
      <c r="U34" s="232">
        <v>3492195585</v>
      </c>
      <c r="V34" s="232">
        <v>3491804415</v>
      </c>
      <c r="W34" s="233">
        <v>0.50002800472508591</v>
      </c>
      <c r="X34" s="232">
        <v>3491875518</v>
      </c>
      <c r="Y34" s="232">
        <v>320067</v>
      </c>
      <c r="Z34" s="233">
        <v>9.1652083112063153E-5</v>
      </c>
      <c r="AA34" s="232">
        <v>3491875518</v>
      </c>
      <c r="AB34" s="232">
        <v>0</v>
      </c>
      <c r="AC34" s="233">
        <v>0.99990834791688799</v>
      </c>
    </row>
    <row r="35" spans="1:29" ht="24.95" customHeight="1">
      <c r="A35" s="32" t="s">
        <v>352</v>
      </c>
      <c r="B35" s="210" t="s">
        <v>353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v>3400000000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3400000000</v>
      </c>
      <c r="U35" s="215">
        <v>1411549340</v>
      </c>
      <c r="V35" s="215">
        <v>1988450660</v>
      </c>
      <c r="W35" s="216">
        <v>0.41516157058823527</v>
      </c>
      <c r="X35" s="215">
        <v>1411549340</v>
      </c>
      <c r="Y35" s="215">
        <v>0</v>
      </c>
      <c r="Z35" s="216">
        <v>0</v>
      </c>
      <c r="AA35" s="215">
        <v>1411549340</v>
      </c>
      <c r="AB35" s="215">
        <v>0</v>
      </c>
      <c r="AC35" s="216">
        <v>1</v>
      </c>
    </row>
    <row r="36" spans="1:29" ht="24.95" customHeight="1">
      <c r="A36" s="32" t="s">
        <v>354</v>
      </c>
      <c r="B36" s="217" t="s">
        <v>355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2580000000</v>
      </c>
      <c r="O36" s="222"/>
      <c r="P36" s="222"/>
      <c r="Q36" s="223"/>
      <c r="R36" s="222"/>
      <c r="S36" s="222"/>
      <c r="T36" s="222">
        <v>2580000000</v>
      </c>
      <c r="U36" s="222">
        <v>1163625933</v>
      </c>
      <c r="V36" s="222">
        <v>1416374067</v>
      </c>
      <c r="W36" s="224">
        <v>0.45101780348837212</v>
      </c>
      <c r="X36" s="222">
        <v>1163625933</v>
      </c>
      <c r="Y36" s="222">
        <v>0</v>
      </c>
      <c r="Z36" s="224">
        <v>0</v>
      </c>
      <c r="AA36" s="222">
        <v>1163625933</v>
      </c>
      <c r="AB36" s="222">
        <v>0</v>
      </c>
      <c r="AC36" s="224">
        <v>1</v>
      </c>
    </row>
    <row r="37" spans="1:29" ht="24.95" customHeight="1">
      <c r="A37" s="32" t="s">
        <v>356</v>
      </c>
      <c r="B37" s="217" t="s">
        <v>357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500000000</v>
      </c>
      <c r="O37" s="222"/>
      <c r="P37" s="222"/>
      <c r="Q37" s="223"/>
      <c r="R37" s="222"/>
      <c r="S37" s="222"/>
      <c r="T37" s="222">
        <v>500000000</v>
      </c>
      <c r="U37" s="222">
        <v>140845719</v>
      </c>
      <c r="V37" s="222">
        <v>359154281</v>
      </c>
      <c r="W37" s="224">
        <v>0.28169143800000002</v>
      </c>
      <c r="X37" s="222">
        <v>140845719</v>
      </c>
      <c r="Y37" s="222">
        <v>0</v>
      </c>
      <c r="Z37" s="224">
        <v>0</v>
      </c>
      <c r="AA37" s="222">
        <v>140845719</v>
      </c>
      <c r="AB37" s="222">
        <v>0</v>
      </c>
      <c r="AC37" s="224">
        <v>1</v>
      </c>
    </row>
    <row r="38" spans="1:29" ht="24.95" customHeight="1">
      <c r="A38" s="32" t="s">
        <v>358</v>
      </c>
      <c r="B38" s="234" t="s">
        <v>359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320000000</v>
      </c>
      <c r="O38" s="239"/>
      <c r="P38" s="239"/>
      <c r="Q38" s="639"/>
      <c r="R38" s="239"/>
      <c r="S38" s="239"/>
      <c r="T38" s="239">
        <v>320000000</v>
      </c>
      <c r="U38" s="239">
        <v>107077688</v>
      </c>
      <c r="V38" s="239">
        <v>212922312</v>
      </c>
      <c r="W38" s="240">
        <v>0.33461777500000001</v>
      </c>
      <c r="X38" s="239">
        <v>107077688</v>
      </c>
      <c r="Y38" s="239">
        <v>0</v>
      </c>
      <c r="Z38" s="240">
        <v>0</v>
      </c>
      <c r="AA38" s="239">
        <v>107077688</v>
      </c>
      <c r="AB38" s="239">
        <v>0</v>
      </c>
      <c r="AC38" s="240">
        <v>1</v>
      </c>
    </row>
    <row r="39" spans="1:29" ht="24.95" customHeight="1">
      <c r="A39" s="32" t="s">
        <v>360</v>
      </c>
      <c r="B39" s="217" t="s">
        <v>361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3"/>
      <c r="R39" s="223"/>
      <c r="S39" s="223"/>
      <c r="T39" s="222">
        <v>2160000000</v>
      </c>
      <c r="U39" s="222">
        <v>1304202156</v>
      </c>
      <c r="V39" s="222">
        <v>855797844</v>
      </c>
      <c r="W39" s="224">
        <v>0.60379729444444441</v>
      </c>
      <c r="X39" s="222">
        <v>1304202156</v>
      </c>
      <c r="Y39" s="222">
        <v>0</v>
      </c>
      <c r="Z39" s="224">
        <v>0</v>
      </c>
      <c r="AA39" s="222">
        <v>1304202156</v>
      </c>
      <c r="AB39" s="222">
        <v>0</v>
      </c>
      <c r="AC39" s="224">
        <v>1</v>
      </c>
    </row>
    <row r="40" spans="1:29" ht="24.95" customHeight="1">
      <c r="A40" s="32" t="s">
        <v>362</v>
      </c>
      <c r="B40" s="217" t="s">
        <v>363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24000000</v>
      </c>
      <c r="O40" s="222"/>
      <c r="P40" s="222"/>
      <c r="Q40" s="223"/>
      <c r="R40" s="223"/>
      <c r="S40" s="223"/>
      <c r="T40" s="222">
        <v>24000000</v>
      </c>
      <c r="U40" s="222">
        <v>2439157</v>
      </c>
      <c r="V40" s="222">
        <v>21560843</v>
      </c>
      <c r="W40" s="224">
        <v>0.10163154166666667</v>
      </c>
      <c r="X40" s="222">
        <v>2439157</v>
      </c>
      <c r="Y40" s="222">
        <v>0</v>
      </c>
      <c r="Z40" s="224">
        <v>0</v>
      </c>
      <c r="AA40" s="222">
        <v>2439157</v>
      </c>
      <c r="AB40" s="222">
        <v>0</v>
      </c>
      <c r="AC40" s="224">
        <v>1</v>
      </c>
    </row>
    <row r="41" spans="1:29" ht="24.95" customHeight="1">
      <c r="A41" s="32" t="s">
        <v>365</v>
      </c>
      <c r="B41" s="217" t="s">
        <v>366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v>30000000</v>
      </c>
      <c r="U41" s="222">
        <v>0</v>
      </c>
      <c r="V41" s="222">
        <v>30000000</v>
      </c>
      <c r="W41" s="224">
        <v>0</v>
      </c>
      <c r="X41" s="222">
        <v>0</v>
      </c>
      <c r="Y41" s="222">
        <v>0</v>
      </c>
      <c r="Z41" s="224">
        <v>0</v>
      </c>
      <c r="AA41" s="222">
        <v>0</v>
      </c>
      <c r="AB41" s="222">
        <v>0</v>
      </c>
      <c r="AC41" s="224">
        <v>0</v>
      </c>
    </row>
    <row r="42" spans="1:29" ht="24.95" customHeight="1">
      <c r="A42" s="32" t="s">
        <v>367</v>
      </c>
      <c r="B42" s="217" t="s">
        <v>368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770000000</v>
      </c>
      <c r="O42" s="222"/>
      <c r="P42" s="222"/>
      <c r="Q42" s="223"/>
      <c r="R42" s="223"/>
      <c r="S42" s="223"/>
      <c r="T42" s="222">
        <v>770000000</v>
      </c>
      <c r="U42" s="222">
        <v>475915057</v>
      </c>
      <c r="V42" s="222">
        <v>294084943</v>
      </c>
      <c r="W42" s="224">
        <v>0.61807150259740262</v>
      </c>
      <c r="X42" s="222">
        <v>475594990</v>
      </c>
      <c r="Y42" s="222">
        <v>320067</v>
      </c>
      <c r="Z42" s="224">
        <v>6.7252967791687243E-4</v>
      </c>
      <c r="AA42" s="222">
        <v>475594990</v>
      </c>
      <c r="AB42" s="222">
        <v>0</v>
      </c>
      <c r="AC42" s="224">
        <v>0.99932747032208313</v>
      </c>
    </row>
    <row r="43" spans="1:29" ht="24.95" customHeight="1">
      <c r="A43" s="32" t="s">
        <v>369</v>
      </c>
      <c r="B43" s="217" t="s">
        <v>370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600000000</v>
      </c>
      <c r="O43" s="222"/>
      <c r="P43" s="222"/>
      <c r="Q43" s="223"/>
      <c r="R43" s="223"/>
      <c r="S43" s="223"/>
      <c r="T43" s="222">
        <v>600000000</v>
      </c>
      <c r="U43" s="222">
        <v>298089875</v>
      </c>
      <c r="V43" s="222">
        <v>301910125</v>
      </c>
      <c r="W43" s="224">
        <v>0.49681645833333332</v>
      </c>
      <c r="X43" s="222">
        <v>298089875</v>
      </c>
      <c r="Y43" s="222">
        <v>0</v>
      </c>
      <c r="Z43" s="224">
        <v>0</v>
      </c>
      <c r="AA43" s="222">
        <v>298089875</v>
      </c>
      <c r="AB43" s="222">
        <v>0</v>
      </c>
      <c r="AC43" s="224">
        <v>1</v>
      </c>
    </row>
    <row r="44" spans="1:29" ht="35.1" customHeight="1">
      <c r="A44" s="32" t="s">
        <v>371</v>
      </c>
      <c r="B44" s="188" t="s">
        <v>372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v>42289000000</v>
      </c>
      <c r="O44" s="194">
        <v>0</v>
      </c>
      <c r="P44" s="194">
        <v>0</v>
      </c>
      <c r="Q44" s="194">
        <v>3672224835.4399996</v>
      </c>
      <c r="R44" s="194">
        <v>3723224835.4400001</v>
      </c>
      <c r="S44" s="194">
        <v>0</v>
      </c>
      <c r="T44" s="194">
        <v>42238000000</v>
      </c>
      <c r="U44" s="194">
        <v>35124723720.889999</v>
      </c>
      <c r="V44" s="194">
        <v>7113276279.1100006</v>
      </c>
      <c r="W44" s="195">
        <v>0.83159059900776555</v>
      </c>
      <c r="X44" s="194">
        <v>19074300580.330002</v>
      </c>
      <c r="Y44" s="194">
        <v>16050423140.559999</v>
      </c>
      <c r="Z44" s="195">
        <v>0.4569551427108936</v>
      </c>
      <c r="AA44" s="194">
        <v>18954665081.330002</v>
      </c>
      <c r="AB44" s="194">
        <v>119635499</v>
      </c>
      <c r="AC44" s="195">
        <v>0.53963883764463449</v>
      </c>
    </row>
    <row r="45" spans="1:29" ht="24.95" customHeight="1">
      <c r="A45" s="32" t="s">
        <v>376</v>
      </c>
      <c r="B45" s="196" t="s">
        <v>377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v>42289000000</v>
      </c>
      <c r="O45" s="201">
        <v>0</v>
      </c>
      <c r="P45" s="201">
        <v>0</v>
      </c>
      <c r="Q45" s="201">
        <v>3672224835.4399996</v>
      </c>
      <c r="R45" s="201">
        <v>3723224835.4400001</v>
      </c>
      <c r="S45" s="201">
        <v>0</v>
      </c>
      <c r="T45" s="201">
        <v>42238000000</v>
      </c>
      <c r="U45" s="201">
        <v>35124723720.889999</v>
      </c>
      <c r="V45" s="201">
        <v>7113276279.1100006</v>
      </c>
      <c r="W45" s="202">
        <v>0.83159059900776555</v>
      </c>
      <c r="X45" s="201">
        <v>19074300580.330002</v>
      </c>
      <c r="Y45" s="201">
        <v>16050423140.559999</v>
      </c>
      <c r="Z45" s="202">
        <v>0.4569551427108936</v>
      </c>
      <c r="AA45" s="201">
        <v>18954665081.330002</v>
      </c>
      <c r="AB45" s="201">
        <v>119635499</v>
      </c>
      <c r="AC45" s="202">
        <v>0.53963883764463449</v>
      </c>
    </row>
    <row r="46" spans="1:29" ht="24.95" customHeight="1">
      <c r="A46" s="32" t="s">
        <v>378</v>
      </c>
      <c r="B46" s="203" t="s">
        <v>379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v>862264202</v>
      </c>
      <c r="O46" s="208">
        <v>0</v>
      </c>
      <c r="P46" s="208">
        <v>0</v>
      </c>
      <c r="Q46" s="208">
        <v>207587945</v>
      </c>
      <c r="R46" s="208">
        <v>182003095</v>
      </c>
      <c r="S46" s="208">
        <v>0</v>
      </c>
      <c r="T46" s="208">
        <v>887849052</v>
      </c>
      <c r="U46" s="208">
        <v>521444498.45999998</v>
      </c>
      <c r="V46" s="208">
        <v>366404553.54000002</v>
      </c>
      <c r="W46" s="209">
        <v>0.58731210816227797</v>
      </c>
      <c r="X46" s="208">
        <v>91387496</v>
      </c>
      <c r="Y46" s="208">
        <v>430057002.45999998</v>
      </c>
      <c r="Z46" s="209">
        <v>0.82474166230558033</v>
      </c>
      <c r="AA46" s="208">
        <v>91387496</v>
      </c>
      <c r="AB46" s="208">
        <v>0</v>
      </c>
      <c r="AC46" s="209">
        <v>0.17525833769441973</v>
      </c>
    </row>
    <row r="47" spans="1:29" ht="24.95" customHeight="1">
      <c r="A47" s="32" t="s">
        <v>380</v>
      </c>
      <c r="B47" s="210" t="s">
        <v>381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v>69000000</v>
      </c>
      <c r="O47" s="215">
        <v>0</v>
      </c>
      <c r="P47" s="215">
        <v>0</v>
      </c>
      <c r="Q47" s="215">
        <v>0</v>
      </c>
      <c r="R47" s="215">
        <v>20567529</v>
      </c>
      <c r="S47" s="215">
        <v>0</v>
      </c>
      <c r="T47" s="215">
        <v>48432471</v>
      </c>
      <c r="U47" s="215">
        <v>42432471</v>
      </c>
      <c r="V47" s="215">
        <v>6000000</v>
      </c>
      <c r="W47" s="216">
        <v>0.87611617007936682</v>
      </c>
      <c r="X47" s="215">
        <v>0</v>
      </c>
      <c r="Y47" s="215">
        <v>42432471</v>
      </c>
      <c r="Z47" s="216">
        <v>1</v>
      </c>
      <c r="AA47" s="215">
        <v>0</v>
      </c>
      <c r="AB47" s="215">
        <v>0</v>
      </c>
      <c r="AC47" s="216">
        <v>0</v>
      </c>
    </row>
    <row r="48" spans="1:29" ht="24.95" customHeight="1">
      <c r="A48" s="32" t="s">
        <v>554</v>
      </c>
      <c r="B48" s="217" t="s">
        <v>555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51000000</v>
      </c>
      <c r="O48" s="222"/>
      <c r="P48" s="222"/>
      <c r="Q48" s="222"/>
      <c r="R48" s="223">
        <v>16000000</v>
      </c>
      <c r="S48" s="223"/>
      <c r="T48" s="222">
        <v>35000000</v>
      </c>
      <c r="U48" s="222">
        <v>35000000</v>
      </c>
      <c r="V48" s="222">
        <v>0</v>
      </c>
      <c r="W48" s="224">
        <v>1</v>
      </c>
      <c r="X48" s="222">
        <v>0</v>
      </c>
      <c r="Y48" s="222">
        <v>35000000</v>
      </c>
      <c r="Z48" s="224">
        <v>1</v>
      </c>
      <c r="AA48" s="222">
        <v>0</v>
      </c>
      <c r="AB48" s="222">
        <v>0</v>
      </c>
      <c r="AC48" s="224">
        <v>0</v>
      </c>
    </row>
    <row r="49" spans="1:52" ht="24.95" customHeight="1">
      <c r="A49" s="32" t="s">
        <v>556</v>
      </c>
      <c r="B49" s="217" t="s">
        <v>557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18000000</v>
      </c>
      <c r="O49" s="222"/>
      <c r="P49" s="222"/>
      <c r="Q49" s="222"/>
      <c r="R49" s="223">
        <v>4567529</v>
      </c>
      <c r="S49" s="223"/>
      <c r="T49" s="222">
        <v>13432471</v>
      </c>
      <c r="U49" s="222">
        <v>7432471</v>
      </c>
      <c r="V49" s="222">
        <v>6000000</v>
      </c>
      <c r="W49" s="224">
        <v>0.55332120203349033</v>
      </c>
      <c r="X49" s="222">
        <v>0</v>
      </c>
      <c r="Y49" s="222">
        <v>7432471</v>
      </c>
      <c r="Z49" s="224">
        <v>1</v>
      </c>
      <c r="AA49" s="222">
        <v>0</v>
      </c>
      <c r="AB49" s="222">
        <v>0</v>
      </c>
      <c r="AC49" s="224">
        <v>0</v>
      </c>
    </row>
    <row r="50" spans="1:52" ht="33">
      <c r="A50" s="32" t="s">
        <v>382</v>
      </c>
      <c r="B50" s="210" t="s">
        <v>383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v>140000000</v>
      </c>
      <c r="O50" s="215">
        <v>0</v>
      </c>
      <c r="P50" s="215">
        <v>0</v>
      </c>
      <c r="Q50" s="215">
        <v>0</v>
      </c>
      <c r="R50" s="215">
        <v>0</v>
      </c>
      <c r="S50" s="215">
        <v>0</v>
      </c>
      <c r="T50" s="215">
        <v>140000000</v>
      </c>
      <c r="U50" s="215">
        <v>26141638.059999999</v>
      </c>
      <c r="V50" s="215">
        <v>113858361.94</v>
      </c>
      <c r="W50" s="216">
        <v>0.18672598614285713</v>
      </c>
      <c r="X50" s="215">
        <v>0</v>
      </c>
      <c r="Y50" s="215">
        <v>26141638.059999999</v>
      </c>
      <c r="Z50" s="216">
        <v>1</v>
      </c>
      <c r="AA50" s="215">
        <v>0</v>
      </c>
      <c r="AB50" s="215">
        <v>0</v>
      </c>
      <c r="AC50" s="216">
        <v>0</v>
      </c>
    </row>
    <row r="51" spans="1:52" ht="24.95" customHeight="1">
      <c r="A51" s="32" t="s">
        <v>558</v>
      </c>
      <c r="B51" s="217" t="s">
        <v>559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140000000</v>
      </c>
      <c r="O51" s="222"/>
      <c r="P51" s="222"/>
      <c r="Q51" s="222"/>
      <c r="R51" s="223"/>
      <c r="S51" s="223"/>
      <c r="T51" s="222">
        <v>140000000</v>
      </c>
      <c r="U51" s="222">
        <v>26141638.059999999</v>
      </c>
      <c r="V51" s="222">
        <v>113858361.94</v>
      </c>
      <c r="W51" s="224">
        <v>0.18672598614285713</v>
      </c>
      <c r="X51" s="222">
        <v>0</v>
      </c>
      <c r="Y51" s="222">
        <v>26141638.059999999</v>
      </c>
      <c r="Z51" s="224">
        <v>1</v>
      </c>
      <c r="AA51" s="222">
        <v>0</v>
      </c>
      <c r="AB51" s="222">
        <v>0</v>
      </c>
      <c r="AC51" s="224">
        <v>0</v>
      </c>
    </row>
    <row r="52" spans="1:52" ht="33">
      <c r="A52" s="32" t="s">
        <v>384</v>
      </c>
      <c r="B52" s="210" t="s">
        <v>385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v>355264202</v>
      </c>
      <c r="O52" s="215">
        <v>0</v>
      </c>
      <c r="P52" s="215">
        <v>0</v>
      </c>
      <c r="Q52" s="215">
        <v>70000000</v>
      </c>
      <c r="R52" s="215">
        <v>20200000</v>
      </c>
      <c r="S52" s="215">
        <v>0</v>
      </c>
      <c r="T52" s="215">
        <v>405064202</v>
      </c>
      <c r="U52" s="215">
        <v>332220705.39999998</v>
      </c>
      <c r="V52" s="215">
        <v>72843496.600000009</v>
      </c>
      <c r="W52" s="216">
        <v>0.82016802215467066</v>
      </c>
      <c r="X52" s="215">
        <v>49623062</v>
      </c>
      <c r="Y52" s="215">
        <v>282597643.39999998</v>
      </c>
      <c r="Z52" s="216">
        <v>0.85063224177959373</v>
      </c>
      <c r="AA52" s="215">
        <v>49623062</v>
      </c>
      <c r="AB52" s="215">
        <v>0</v>
      </c>
      <c r="AC52" s="216">
        <v>0.14936775822040621</v>
      </c>
    </row>
    <row r="53" spans="1:52" ht="33">
      <c r="A53" s="32" t="s">
        <v>560</v>
      </c>
      <c r="B53" s="217" t="s">
        <v>561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106000000</v>
      </c>
      <c r="O53" s="222"/>
      <c r="P53" s="222"/>
      <c r="Q53" s="222"/>
      <c r="R53" s="223"/>
      <c r="S53" s="223"/>
      <c r="T53" s="222">
        <v>106000000</v>
      </c>
      <c r="U53" s="222">
        <v>80242586.819999993</v>
      </c>
      <c r="V53" s="222">
        <v>25757413.180000007</v>
      </c>
      <c r="W53" s="224">
        <v>0.75700553603773579</v>
      </c>
      <c r="X53" s="222">
        <v>500000</v>
      </c>
      <c r="Y53" s="222">
        <v>79742586.819999993</v>
      </c>
      <c r="Z53" s="224">
        <v>0.99376889479994457</v>
      </c>
      <c r="AA53" s="222">
        <v>500000</v>
      </c>
      <c r="AB53" s="222">
        <v>0</v>
      </c>
      <c r="AC53" s="224">
        <v>6.2311052000554139E-3</v>
      </c>
    </row>
    <row r="54" spans="1:52" ht="33">
      <c r="A54" s="32" t="s">
        <v>562</v>
      </c>
      <c r="B54" s="217" t="s">
        <v>563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107264202</v>
      </c>
      <c r="O54" s="222"/>
      <c r="P54" s="222"/>
      <c r="Q54" s="222"/>
      <c r="R54" s="223">
        <v>9200000</v>
      </c>
      <c r="S54" s="223"/>
      <c r="T54" s="222">
        <v>98064202</v>
      </c>
      <c r="U54" s="222">
        <v>98064202</v>
      </c>
      <c r="V54" s="222">
        <v>0</v>
      </c>
      <c r="W54" s="224">
        <v>1</v>
      </c>
      <c r="X54" s="222">
        <v>20169282</v>
      </c>
      <c r="Y54" s="222">
        <v>77894920</v>
      </c>
      <c r="Z54" s="224">
        <v>0.79432574182370852</v>
      </c>
      <c r="AA54" s="222">
        <v>20169282</v>
      </c>
      <c r="AB54" s="222">
        <v>0</v>
      </c>
      <c r="AC54" s="224">
        <v>0.20567425817629148</v>
      </c>
    </row>
    <row r="55" spans="1:52" ht="33">
      <c r="A55" s="32" t="s">
        <v>564</v>
      </c>
      <c r="B55" s="217" t="s">
        <v>565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6000000</v>
      </c>
      <c r="O55" s="222"/>
      <c r="P55" s="222"/>
      <c r="Q55" s="222">
        <v>70000000</v>
      </c>
      <c r="R55" s="223"/>
      <c r="S55" s="223"/>
      <c r="T55" s="222">
        <v>76000000</v>
      </c>
      <c r="U55" s="222">
        <v>46907780</v>
      </c>
      <c r="V55" s="222">
        <v>29092220</v>
      </c>
      <c r="W55" s="224">
        <v>0.61720763157894731</v>
      </c>
      <c r="X55" s="222">
        <v>28453780</v>
      </c>
      <c r="Y55" s="222">
        <v>18454000</v>
      </c>
      <c r="Z55" s="224">
        <v>0.39341021894449063</v>
      </c>
      <c r="AA55" s="222">
        <v>28453780</v>
      </c>
      <c r="AB55" s="222">
        <v>0</v>
      </c>
      <c r="AC55" s="224">
        <v>0.60658978105550931</v>
      </c>
    </row>
    <row r="56" spans="1:52" ht="24.95" customHeight="1">
      <c r="A56" s="32" t="s">
        <v>566</v>
      </c>
      <c r="B56" s="217" t="s">
        <v>567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18000000</v>
      </c>
      <c r="O56" s="222"/>
      <c r="P56" s="222"/>
      <c r="Q56" s="222"/>
      <c r="R56" s="223">
        <v>2000000</v>
      </c>
      <c r="S56" s="223"/>
      <c r="T56" s="222">
        <v>16000000</v>
      </c>
      <c r="U56" s="222">
        <v>16000000</v>
      </c>
      <c r="V56" s="222">
        <v>0</v>
      </c>
      <c r="W56" s="224">
        <v>1</v>
      </c>
      <c r="X56" s="222">
        <v>0</v>
      </c>
      <c r="Y56" s="222">
        <v>16000000</v>
      </c>
      <c r="Z56" s="224">
        <v>1</v>
      </c>
      <c r="AA56" s="222">
        <v>0</v>
      </c>
      <c r="AB56" s="222">
        <v>0</v>
      </c>
      <c r="AC56" s="224">
        <v>0</v>
      </c>
    </row>
    <row r="57" spans="1:52" ht="16.5">
      <c r="A57" s="32" t="s">
        <v>568</v>
      </c>
      <c r="B57" s="217" t="s">
        <v>569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>
        <v>8000000</v>
      </c>
      <c r="O57" s="222"/>
      <c r="P57" s="222"/>
      <c r="Q57" s="222"/>
      <c r="R57" s="223">
        <v>6000000</v>
      </c>
      <c r="S57" s="223"/>
      <c r="T57" s="222">
        <v>2000000</v>
      </c>
      <c r="U57" s="222">
        <v>1200000</v>
      </c>
      <c r="V57" s="222">
        <v>800000</v>
      </c>
      <c r="W57" s="224">
        <v>0.6</v>
      </c>
      <c r="X57" s="222">
        <v>0</v>
      </c>
      <c r="Y57" s="222">
        <v>1200000</v>
      </c>
      <c r="Z57" s="224">
        <v>1</v>
      </c>
      <c r="AA57" s="222">
        <v>0</v>
      </c>
      <c r="AB57" s="222">
        <v>0</v>
      </c>
      <c r="AC57" s="224">
        <v>0</v>
      </c>
    </row>
    <row r="58" spans="1:52" ht="24.95" customHeight="1">
      <c r="A58" s="32" t="s">
        <v>570</v>
      </c>
      <c r="B58" s="217" t="s">
        <v>571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110000000</v>
      </c>
      <c r="O58" s="222"/>
      <c r="P58" s="222"/>
      <c r="Q58" s="222"/>
      <c r="R58" s="223">
        <v>3000000</v>
      </c>
      <c r="S58" s="223"/>
      <c r="T58" s="222">
        <v>107000000</v>
      </c>
      <c r="U58" s="222">
        <v>89806136.579999998</v>
      </c>
      <c r="V58" s="222">
        <v>17193863.420000002</v>
      </c>
      <c r="W58" s="224">
        <v>0.83930968766355141</v>
      </c>
      <c r="X58" s="222">
        <v>500000</v>
      </c>
      <c r="Y58" s="222">
        <v>89306136.579999998</v>
      </c>
      <c r="Z58" s="224">
        <v>0.99443245173391248</v>
      </c>
      <c r="AA58" s="222">
        <v>500000</v>
      </c>
      <c r="AB58" s="222">
        <v>0</v>
      </c>
      <c r="AC58" s="224">
        <v>5.567548266087542E-3</v>
      </c>
    </row>
    <row r="59" spans="1:52" ht="24.95" customHeight="1">
      <c r="A59" s="32" t="s">
        <v>386</v>
      </c>
      <c r="B59" s="210" t="s">
        <v>387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v>298000000</v>
      </c>
      <c r="O59" s="215">
        <v>0</v>
      </c>
      <c r="P59" s="215">
        <v>0</v>
      </c>
      <c r="Q59" s="215">
        <v>137587945</v>
      </c>
      <c r="R59" s="215">
        <v>141235566</v>
      </c>
      <c r="S59" s="215">
        <v>0</v>
      </c>
      <c r="T59" s="215">
        <v>294352379</v>
      </c>
      <c r="U59" s="215">
        <v>120649684</v>
      </c>
      <c r="V59" s="215">
        <v>173702695</v>
      </c>
      <c r="W59" s="216">
        <v>0.40988180360519527</v>
      </c>
      <c r="X59" s="215">
        <v>41764434</v>
      </c>
      <c r="Y59" s="215">
        <v>78885250</v>
      </c>
      <c r="Z59" s="216">
        <v>0.65383718700829752</v>
      </c>
      <c r="AA59" s="215">
        <v>41764434</v>
      </c>
      <c r="AB59" s="215">
        <v>0</v>
      </c>
      <c r="AC59" s="216">
        <v>0.34616281299170248</v>
      </c>
    </row>
    <row r="60" spans="1:52" ht="24.95" customHeight="1">
      <c r="A60" s="32" t="s">
        <v>572</v>
      </c>
      <c r="B60" s="217" t="s">
        <v>573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>
        <v>37000000</v>
      </c>
      <c r="O60" s="222"/>
      <c r="P60" s="222"/>
      <c r="Q60" s="222"/>
      <c r="R60" s="223">
        <v>7000000</v>
      </c>
      <c r="S60" s="223"/>
      <c r="T60" s="222">
        <v>30000000</v>
      </c>
      <c r="U60" s="222">
        <v>25000000</v>
      </c>
      <c r="V60" s="222">
        <v>5000000</v>
      </c>
      <c r="W60" s="224">
        <v>0.83333333333333337</v>
      </c>
      <c r="X60" s="222">
        <v>0</v>
      </c>
      <c r="Y60" s="222">
        <v>25000000</v>
      </c>
      <c r="Z60" s="224">
        <v>1</v>
      </c>
      <c r="AA60" s="222">
        <v>0</v>
      </c>
      <c r="AB60" s="222">
        <v>0</v>
      </c>
      <c r="AC60" s="224">
        <v>0</v>
      </c>
    </row>
    <row r="61" spans="1:52" s="64" customFormat="1" ht="24.95" customHeight="1">
      <c r="A61" s="32" t="s">
        <v>574</v>
      </c>
      <c r="B61" s="217" t="s">
        <v>575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0</v>
      </c>
      <c r="O61" s="222"/>
      <c r="P61" s="222"/>
      <c r="Q61" s="222">
        <v>82000000</v>
      </c>
      <c r="R61" s="223"/>
      <c r="S61" s="223"/>
      <c r="T61" s="222">
        <v>82000000</v>
      </c>
      <c r="U61" s="222">
        <v>0</v>
      </c>
      <c r="V61" s="222">
        <v>82000000</v>
      </c>
      <c r="W61" s="224">
        <v>0</v>
      </c>
      <c r="X61" s="222">
        <v>0</v>
      </c>
      <c r="Y61" s="222">
        <v>0</v>
      </c>
      <c r="Z61" s="224">
        <v>0</v>
      </c>
      <c r="AA61" s="222">
        <v>0</v>
      </c>
      <c r="AB61" s="222">
        <v>0</v>
      </c>
      <c r="AC61" s="224"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">
        <v>576</v>
      </c>
      <c r="B62" s="217" t="s">
        <v>577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0</v>
      </c>
      <c r="O62" s="222"/>
      <c r="P62" s="222"/>
      <c r="Q62" s="222">
        <v>30000000</v>
      </c>
      <c r="R62" s="223"/>
      <c r="S62" s="223"/>
      <c r="T62" s="222">
        <v>30000000</v>
      </c>
      <c r="U62" s="222">
        <v>30000000</v>
      </c>
      <c r="V62" s="222">
        <v>0</v>
      </c>
      <c r="W62" s="224">
        <v>1</v>
      </c>
      <c r="X62" s="222">
        <v>0</v>
      </c>
      <c r="Y62" s="222">
        <v>30000000</v>
      </c>
      <c r="Z62" s="224">
        <v>1</v>
      </c>
      <c r="AA62" s="222">
        <v>0</v>
      </c>
      <c r="AB62" s="222">
        <v>0</v>
      </c>
      <c r="AC62" s="224">
        <v>0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">
        <v>578</v>
      </c>
      <c r="B63" s="217" t="s">
        <v>579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261000000</v>
      </c>
      <c r="O63" s="222"/>
      <c r="P63" s="222"/>
      <c r="Q63" s="222">
        <v>5587945</v>
      </c>
      <c r="R63" s="222">
        <v>134235566</v>
      </c>
      <c r="S63" s="223"/>
      <c r="T63" s="222">
        <v>132352379</v>
      </c>
      <c r="U63" s="222">
        <v>58989684</v>
      </c>
      <c r="V63" s="222">
        <v>73362695</v>
      </c>
      <c r="W63" s="224">
        <v>0.44570172780951672</v>
      </c>
      <c r="X63" s="222">
        <v>41764434</v>
      </c>
      <c r="Y63" s="222">
        <v>17225250</v>
      </c>
      <c r="Z63" s="224">
        <v>0.29200444606551884</v>
      </c>
      <c r="AA63" s="222">
        <v>41764434</v>
      </c>
      <c r="AB63" s="222">
        <v>0</v>
      </c>
      <c r="AC63" s="224">
        <v>0.7079955539344811</v>
      </c>
    </row>
    <row r="64" spans="1:52" s="64" customFormat="1" ht="24.95" customHeight="1">
      <c r="A64" s="241" t="s">
        <v>580</v>
      </c>
      <c r="B64" s="242" t="s">
        <v>581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>
        <v>0</v>
      </c>
      <c r="O64" s="222"/>
      <c r="P64" s="222"/>
      <c r="Q64" s="222">
        <v>20000000</v>
      </c>
      <c r="R64" s="222"/>
      <c r="S64" s="223"/>
      <c r="T64" s="222">
        <v>20000000</v>
      </c>
      <c r="U64" s="222">
        <v>6660000</v>
      </c>
      <c r="V64" s="222">
        <v>13340000</v>
      </c>
      <c r="W64" s="224">
        <v>0.33300000000000002</v>
      </c>
      <c r="X64" s="222">
        <v>0</v>
      </c>
      <c r="Y64" s="222">
        <v>6660000</v>
      </c>
      <c r="Z64" s="224">
        <v>1</v>
      </c>
      <c r="AA64" s="222">
        <v>0</v>
      </c>
      <c r="AB64" s="222">
        <v>0</v>
      </c>
      <c r="AC64" s="224">
        <v>0</v>
      </c>
    </row>
    <row r="65" spans="1:29" ht="24.95" customHeight="1">
      <c r="A65" s="32" t="s">
        <v>388</v>
      </c>
      <c r="B65" s="203" t="s">
        <v>389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v>41426735798</v>
      </c>
      <c r="O65" s="208">
        <v>0</v>
      </c>
      <c r="P65" s="208">
        <v>0</v>
      </c>
      <c r="Q65" s="208">
        <v>3464636890.4399996</v>
      </c>
      <c r="R65" s="208">
        <v>3541221740.4400001</v>
      </c>
      <c r="S65" s="208">
        <v>0</v>
      </c>
      <c r="T65" s="208">
        <v>41350150948</v>
      </c>
      <c r="U65" s="208">
        <v>34603279222.43</v>
      </c>
      <c r="V65" s="208">
        <v>6746871725.5700006</v>
      </c>
      <c r="W65" s="209">
        <v>0.8368356204054842</v>
      </c>
      <c r="X65" s="208">
        <v>18982913084.330002</v>
      </c>
      <c r="Y65" s="208">
        <v>15620366138.1</v>
      </c>
      <c r="Z65" s="209">
        <v>0.45141288597800894</v>
      </c>
      <c r="AA65" s="208">
        <v>18863277585.330002</v>
      </c>
      <c r="AB65" s="208">
        <v>119635499</v>
      </c>
      <c r="AC65" s="209">
        <v>0.54512976831117033</v>
      </c>
    </row>
    <row r="66" spans="1:29" ht="49.5">
      <c r="A66" s="32" t="s">
        <v>390</v>
      </c>
      <c r="B66" s="210" t="s">
        <v>391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v>7757163474</v>
      </c>
      <c r="O66" s="215">
        <v>0</v>
      </c>
      <c r="P66" s="215">
        <v>0</v>
      </c>
      <c r="Q66" s="215">
        <v>75000000</v>
      </c>
      <c r="R66" s="215">
        <v>401389991.88</v>
      </c>
      <c r="S66" s="215">
        <v>0</v>
      </c>
      <c r="T66" s="215">
        <v>7430773482.1199999</v>
      </c>
      <c r="U66" s="215">
        <v>5797577098.9499998</v>
      </c>
      <c r="V66" s="215">
        <v>1633196383.1699998</v>
      </c>
      <c r="W66" s="216">
        <v>0.78021179260815676</v>
      </c>
      <c r="X66" s="215">
        <v>2979735940.9499998</v>
      </c>
      <c r="Y66" s="215">
        <v>2817841158</v>
      </c>
      <c r="Z66" s="216">
        <v>0.48603772056957029</v>
      </c>
      <c r="AA66" s="215">
        <v>2977501634.8800001</v>
      </c>
      <c r="AB66" s="215">
        <v>2234306.0699999928</v>
      </c>
      <c r="AC66" s="216">
        <v>0.51357689325412437</v>
      </c>
    </row>
    <row r="67" spans="1:29" ht="24.95" customHeight="1">
      <c r="A67" s="32" t="s">
        <v>582</v>
      </c>
      <c r="B67" s="217" t="s">
        <v>583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v>12000000</v>
      </c>
      <c r="U67" s="222">
        <v>2654895</v>
      </c>
      <c r="V67" s="222">
        <v>9345105</v>
      </c>
      <c r="W67" s="224">
        <v>0.22124125</v>
      </c>
      <c r="X67" s="222">
        <v>2261895</v>
      </c>
      <c r="Y67" s="222">
        <v>393000</v>
      </c>
      <c r="Z67" s="224">
        <v>0.14802845310266508</v>
      </c>
      <c r="AA67" s="222">
        <v>2261895</v>
      </c>
      <c r="AB67" s="222">
        <v>0</v>
      </c>
      <c r="AC67" s="224">
        <v>0.8519715468973349</v>
      </c>
    </row>
    <row r="68" spans="1:29" ht="24.95" customHeight="1">
      <c r="A68" s="32" t="s">
        <v>584</v>
      </c>
      <c r="B68" s="217" t="s">
        <v>585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4851925294</v>
      </c>
      <c r="O68" s="222"/>
      <c r="P68" s="222"/>
      <c r="Q68" s="223">
        <v>2400000</v>
      </c>
      <c r="R68" s="223">
        <v>348389991.88</v>
      </c>
      <c r="S68" s="223"/>
      <c r="T68" s="222">
        <v>4505935302.1199999</v>
      </c>
      <c r="U68" s="222">
        <v>3426647035</v>
      </c>
      <c r="V68" s="222">
        <v>1079288267.1199999</v>
      </c>
      <c r="W68" s="224">
        <v>0.76047408700870489</v>
      </c>
      <c r="X68" s="222">
        <v>1614003658</v>
      </c>
      <c r="Y68" s="222">
        <v>1812643377</v>
      </c>
      <c r="Z68" s="224">
        <v>0.52898456085075007</v>
      </c>
      <c r="AA68" s="222">
        <v>1614003658</v>
      </c>
      <c r="AB68" s="222">
        <v>0</v>
      </c>
      <c r="AC68" s="224">
        <v>0.47101543914924987</v>
      </c>
    </row>
    <row r="69" spans="1:29" ht="24.95" customHeight="1">
      <c r="A69" s="32" t="s">
        <v>586</v>
      </c>
      <c r="B69" s="217" t="s">
        <v>587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100000000</v>
      </c>
      <c r="O69" s="222"/>
      <c r="P69" s="222"/>
      <c r="Q69" s="223">
        <v>7600000</v>
      </c>
      <c r="R69" s="223">
        <v>13000000</v>
      </c>
      <c r="S69" s="223"/>
      <c r="T69" s="222">
        <v>94600000</v>
      </c>
      <c r="U69" s="222">
        <v>92279990</v>
      </c>
      <c r="V69" s="222">
        <v>2320010</v>
      </c>
      <c r="W69" s="224">
        <v>0.97547558139534885</v>
      </c>
      <c r="X69" s="222">
        <v>5279990</v>
      </c>
      <c r="Y69" s="222">
        <v>87000000</v>
      </c>
      <c r="Z69" s="224">
        <v>0.94278293701592297</v>
      </c>
      <c r="AA69" s="222">
        <v>5279990</v>
      </c>
      <c r="AB69" s="222">
        <v>0</v>
      </c>
      <c r="AC69" s="224">
        <v>5.7217062984077048E-2</v>
      </c>
    </row>
    <row r="70" spans="1:29" ht="24.95" customHeight="1">
      <c r="A70" s="32" t="s">
        <v>588</v>
      </c>
      <c r="B70" s="217" t="s">
        <v>589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>
        <v>10000000</v>
      </c>
      <c r="O70" s="222"/>
      <c r="P70" s="222"/>
      <c r="Q70" s="223"/>
      <c r="R70" s="223">
        <v>10000000</v>
      </c>
      <c r="S70" s="223"/>
      <c r="T70" s="222">
        <v>0</v>
      </c>
      <c r="U70" s="222">
        <v>0</v>
      </c>
      <c r="V70" s="222">
        <v>0</v>
      </c>
      <c r="W70" s="224">
        <v>0</v>
      </c>
      <c r="X70" s="222">
        <v>0</v>
      </c>
      <c r="Y70" s="222">
        <v>0</v>
      </c>
      <c r="Z70" s="224">
        <v>0</v>
      </c>
      <c r="AA70" s="222">
        <v>0</v>
      </c>
      <c r="AB70" s="222">
        <v>0</v>
      </c>
      <c r="AC70" s="224">
        <v>0</v>
      </c>
    </row>
    <row r="71" spans="1:29" ht="24.95" customHeight="1">
      <c r="A71" s="32" t="s">
        <v>590</v>
      </c>
      <c r="B71" s="217" t="s">
        <v>591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2053178180</v>
      </c>
      <c r="O71" s="222"/>
      <c r="P71" s="222"/>
      <c r="Q71" s="223"/>
      <c r="R71" s="223">
        <v>30000000</v>
      </c>
      <c r="S71" s="223"/>
      <c r="T71" s="222">
        <v>2023178180</v>
      </c>
      <c r="U71" s="222">
        <v>1848038030</v>
      </c>
      <c r="V71" s="222">
        <v>175140150</v>
      </c>
      <c r="W71" s="224">
        <v>0.91343315594674912</v>
      </c>
      <c r="X71" s="222">
        <v>930233249</v>
      </c>
      <c r="Y71" s="222">
        <v>917804781</v>
      </c>
      <c r="Z71" s="224">
        <v>0.49663738846326666</v>
      </c>
      <c r="AA71" s="222">
        <v>930233249</v>
      </c>
      <c r="AB71" s="222">
        <v>0</v>
      </c>
      <c r="AC71" s="224">
        <v>0.50336261153673334</v>
      </c>
    </row>
    <row r="72" spans="1:29" ht="33">
      <c r="A72" s="32" t="s">
        <v>592</v>
      </c>
      <c r="B72" s="217" t="s">
        <v>593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730060000</v>
      </c>
      <c r="O72" s="222"/>
      <c r="P72" s="222"/>
      <c r="Q72" s="223">
        <v>65000000</v>
      </c>
      <c r="R72" s="223"/>
      <c r="S72" s="223"/>
      <c r="T72" s="222">
        <v>795060000</v>
      </c>
      <c r="U72" s="222">
        <v>427957148.94999999</v>
      </c>
      <c r="V72" s="222">
        <v>367102851.05000001</v>
      </c>
      <c r="W72" s="224">
        <v>0.53827025501220027</v>
      </c>
      <c r="X72" s="222">
        <v>427957148.94999999</v>
      </c>
      <c r="Y72" s="222">
        <v>0</v>
      </c>
      <c r="Z72" s="224">
        <v>0</v>
      </c>
      <c r="AA72" s="222">
        <v>425722842.88</v>
      </c>
      <c r="AB72" s="222">
        <v>2234306.0699999928</v>
      </c>
      <c r="AC72" s="224">
        <v>0.99477913600583168</v>
      </c>
    </row>
    <row r="73" spans="1:29" ht="33">
      <c r="A73" s="32" t="s">
        <v>392</v>
      </c>
      <c r="B73" s="210" t="s">
        <v>393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v>12770333207</v>
      </c>
      <c r="O73" s="215">
        <v>0</v>
      </c>
      <c r="P73" s="215">
        <v>0</v>
      </c>
      <c r="Q73" s="215">
        <v>712885558.40999997</v>
      </c>
      <c r="R73" s="215">
        <v>1058222129</v>
      </c>
      <c r="S73" s="215">
        <v>0</v>
      </c>
      <c r="T73" s="215">
        <v>12424996636.41</v>
      </c>
      <c r="U73" s="215">
        <v>11595255559</v>
      </c>
      <c r="V73" s="215">
        <v>829741077.40999985</v>
      </c>
      <c r="W73" s="216">
        <v>0.93322001593316006</v>
      </c>
      <c r="X73" s="215">
        <v>8169133522</v>
      </c>
      <c r="Y73" s="215">
        <v>3426122037</v>
      </c>
      <c r="Z73" s="216">
        <v>0.29547619882691711</v>
      </c>
      <c r="AA73" s="215">
        <v>8169133522</v>
      </c>
      <c r="AB73" s="215">
        <v>0</v>
      </c>
      <c r="AC73" s="216">
        <v>0.70452380117308289</v>
      </c>
    </row>
    <row r="74" spans="1:29" ht="24.95" customHeight="1">
      <c r="A74" s="32" t="s">
        <v>594</v>
      </c>
      <c r="B74" s="217" t="s">
        <v>595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25000000</v>
      </c>
      <c r="O74" s="222"/>
      <c r="P74" s="222"/>
      <c r="Q74" s="222">
        <v>60000000</v>
      </c>
      <c r="R74" s="223">
        <v>1459150</v>
      </c>
      <c r="S74" s="223"/>
      <c r="T74" s="222">
        <v>83540850</v>
      </c>
      <c r="U74" s="222">
        <v>45802458</v>
      </c>
      <c r="V74" s="222">
        <v>37738392</v>
      </c>
      <c r="W74" s="224">
        <v>0.54826420846807278</v>
      </c>
      <c r="X74" s="222">
        <v>8409000</v>
      </c>
      <c r="Y74" s="222">
        <v>37393458</v>
      </c>
      <c r="Z74" s="224">
        <v>0.81640723299173157</v>
      </c>
      <c r="AA74" s="222">
        <v>8409000</v>
      </c>
      <c r="AB74" s="222">
        <v>0</v>
      </c>
      <c r="AC74" s="224">
        <v>0.18359276700826843</v>
      </c>
    </row>
    <row r="75" spans="1:29" ht="24.95" customHeight="1">
      <c r="A75" s="32" t="s">
        <v>596</v>
      </c>
      <c r="B75" s="217" t="s">
        <v>597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12745333207</v>
      </c>
      <c r="O75" s="222"/>
      <c r="P75" s="222"/>
      <c r="Q75" s="222">
        <v>652885558.40999997</v>
      </c>
      <c r="R75" s="223">
        <v>1056762979</v>
      </c>
      <c r="S75" s="223"/>
      <c r="T75" s="222">
        <v>12341455786.41</v>
      </c>
      <c r="U75" s="222">
        <v>11549453101</v>
      </c>
      <c r="V75" s="222">
        <v>792002685.40999985</v>
      </c>
      <c r="W75" s="224">
        <v>0.93582582969813599</v>
      </c>
      <c r="X75" s="222">
        <v>8160724522</v>
      </c>
      <c r="Y75" s="222">
        <v>3388728579</v>
      </c>
      <c r="Z75" s="224">
        <v>0.29341030690938863</v>
      </c>
      <c r="AA75" s="222">
        <v>8160724522</v>
      </c>
      <c r="AB75" s="222">
        <v>0</v>
      </c>
      <c r="AC75" s="224">
        <v>0.70658969309061137</v>
      </c>
    </row>
    <row r="76" spans="1:29" ht="24.95" customHeight="1">
      <c r="A76" s="32" t="s">
        <v>394</v>
      </c>
      <c r="B76" s="210" t="s">
        <v>395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v>17318293047</v>
      </c>
      <c r="O76" s="215">
        <v>0</v>
      </c>
      <c r="P76" s="215">
        <v>0</v>
      </c>
      <c r="Q76" s="215">
        <v>2621751332.0299997</v>
      </c>
      <c r="R76" s="215">
        <v>1629466772.5599999</v>
      </c>
      <c r="S76" s="215">
        <v>0</v>
      </c>
      <c r="T76" s="215">
        <v>18310577606.470001</v>
      </c>
      <c r="U76" s="215">
        <v>15016115241.27</v>
      </c>
      <c r="V76" s="215">
        <v>3294462365.2000003</v>
      </c>
      <c r="W76" s="216">
        <v>0.8200787306657159</v>
      </c>
      <c r="X76" s="215">
        <v>7496719309.1700001</v>
      </c>
      <c r="Y76" s="215">
        <v>7519395932.1000004</v>
      </c>
      <c r="Z76" s="216">
        <v>0.50075507621530757</v>
      </c>
      <c r="AA76" s="215">
        <v>7379707682.1700001</v>
      </c>
      <c r="AB76" s="215">
        <v>117011627</v>
      </c>
      <c r="AC76" s="216">
        <v>0.49145252041538373</v>
      </c>
    </row>
    <row r="77" spans="1:29" ht="24.95" customHeight="1">
      <c r="A77" s="32" t="s">
        <v>598</v>
      </c>
      <c r="B77" s="217" t="s">
        <v>599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172000000</v>
      </c>
      <c r="O77" s="222"/>
      <c r="P77" s="222"/>
      <c r="Q77" s="223"/>
      <c r="R77" s="223"/>
      <c r="S77" s="223"/>
      <c r="T77" s="222">
        <v>172000000</v>
      </c>
      <c r="U77" s="222">
        <v>39956280</v>
      </c>
      <c r="V77" s="222">
        <v>132043720</v>
      </c>
      <c r="W77" s="224">
        <v>0.2323039534883721</v>
      </c>
      <c r="X77" s="222">
        <v>3049000</v>
      </c>
      <c r="Y77" s="222">
        <v>36907280</v>
      </c>
      <c r="Z77" s="224">
        <v>0.92369159491324015</v>
      </c>
      <c r="AA77" s="222">
        <v>3049000</v>
      </c>
      <c r="AB77" s="222">
        <v>0</v>
      </c>
      <c r="AC77" s="224">
        <v>7.6308405086759831E-2</v>
      </c>
    </row>
    <row r="78" spans="1:29" ht="24.95" customHeight="1">
      <c r="A78" s="32" t="s">
        <v>600</v>
      </c>
      <c r="B78" s="217" t="s">
        <v>601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9548931993</v>
      </c>
      <c r="O78" s="222"/>
      <c r="P78" s="222"/>
      <c r="Q78" s="222">
        <v>8045908</v>
      </c>
      <c r="R78" s="223">
        <v>793000000</v>
      </c>
      <c r="S78" s="223"/>
      <c r="T78" s="222">
        <v>8763977901</v>
      </c>
      <c r="U78" s="222">
        <v>7595499177</v>
      </c>
      <c r="V78" s="222">
        <v>1168478724</v>
      </c>
      <c r="W78" s="224">
        <v>0.86667256156970995</v>
      </c>
      <c r="X78" s="222">
        <v>3594068875</v>
      </c>
      <c r="Y78" s="222">
        <v>4001430302</v>
      </c>
      <c r="Z78" s="224">
        <v>0.52681597466520269</v>
      </c>
      <c r="AA78" s="222">
        <v>3477247769</v>
      </c>
      <c r="AB78" s="222">
        <v>116821106</v>
      </c>
      <c r="AC78" s="224">
        <v>0.45780371875089992</v>
      </c>
    </row>
    <row r="79" spans="1:29" ht="33">
      <c r="A79" s="32" t="s">
        <v>602</v>
      </c>
      <c r="B79" s="217" t="s">
        <v>603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2298000000</v>
      </c>
      <c r="O79" s="222"/>
      <c r="P79" s="222"/>
      <c r="Q79" s="223">
        <v>511481971.37</v>
      </c>
      <c r="R79" s="223">
        <v>353866951.77999997</v>
      </c>
      <c r="S79" s="223"/>
      <c r="T79" s="222">
        <v>2455615019.5900002</v>
      </c>
      <c r="U79" s="222">
        <v>1607152816.8499999</v>
      </c>
      <c r="V79" s="222">
        <v>848462202.74000025</v>
      </c>
      <c r="W79" s="224">
        <v>0.65448077325994569</v>
      </c>
      <c r="X79" s="222">
        <v>1239129176.1700001</v>
      </c>
      <c r="Y79" s="222">
        <v>368023640.67999983</v>
      </c>
      <c r="Z79" s="224">
        <v>0.2289910684419679</v>
      </c>
      <c r="AA79" s="222">
        <v>1238938655.1700001</v>
      </c>
      <c r="AB79" s="222">
        <v>190521</v>
      </c>
      <c r="AC79" s="224">
        <v>0.77089038589267755</v>
      </c>
    </row>
    <row r="80" spans="1:29" ht="24.95" customHeight="1">
      <c r="A80" s="32" t="s">
        <v>604</v>
      </c>
      <c r="B80" s="217" t="s">
        <v>605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3859335661</v>
      </c>
      <c r="O80" s="222"/>
      <c r="P80" s="222"/>
      <c r="Q80" s="223">
        <v>1726120934.8800001</v>
      </c>
      <c r="R80" s="222">
        <v>115897017</v>
      </c>
      <c r="S80" s="223"/>
      <c r="T80" s="222">
        <v>5469559578.8800001</v>
      </c>
      <c r="U80" s="222">
        <v>4935157099.4200001</v>
      </c>
      <c r="V80" s="222">
        <v>534402479.46000004</v>
      </c>
      <c r="W80" s="224">
        <v>0.90229515342998978</v>
      </c>
      <c r="X80" s="222">
        <v>2050936647</v>
      </c>
      <c r="Y80" s="222">
        <v>2884220452.4200001</v>
      </c>
      <c r="Z80" s="224">
        <v>0.58442322996343232</v>
      </c>
      <c r="AA80" s="222">
        <v>2050936647</v>
      </c>
      <c r="AB80" s="222">
        <v>0</v>
      </c>
      <c r="AC80" s="224">
        <v>0.41557677003656773</v>
      </c>
    </row>
    <row r="81" spans="1:52" ht="33">
      <c r="A81" s="32" t="s">
        <v>606</v>
      </c>
      <c r="B81" s="217" t="s">
        <v>607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1363025393</v>
      </c>
      <c r="O81" s="222"/>
      <c r="P81" s="222"/>
      <c r="Q81" s="223">
        <v>376102517.77999997</v>
      </c>
      <c r="R81" s="223">
        <v>366702803.77999997</v>
      </c>
      <c r="S81" s="223"/>
      <c r="T81" s="222">
        <v>1372425107</v>
      </c>
      <c r="U81" s="222">
        <v>792648672</v>
      </c>
      <c r="V81" s="222">
        <v>579776435</v>
      </c>
      <c r="W81" s="224">
        <v>0.57755331635739304</v>
      </c>
      <c r="X81" s="222">
        <v>582220315</v>
      </c>
      <c r="Y81" s="222">
        <v>210428357</v>
      </c>
      <c r="Z81" s="224">
        <v>0.26547493793063465</v>
      </c>
      <c r="AA81" s="222">
        <v>582220315</v>
      </c>
      <c r="AB81" s="222">
        <v>0</v>
      </c>
      <c r="AC81" s="224">
        <v>0.7345250620693653</v>
      </c>
    </row>
    <row r="82" spans="1:52" s="250" customFormat="1" ht="33">
      <c r="A82" s="32" t="s">
        <v>608</v>
      </c>
      <c r="B82" s="217" t="s">
        <v>609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77000000</v>
      </c>
      <c r="O82" s="222"/>
      <c r="P82" s="222"/>
      <c r="Q82" s="223"/>
      <c r="R82" s="223"/>
      <c r="S82" s="223"/>
      <c r="T82" s="222">
        <v>77000000</v>
      </c>
      <c r="U82" s="222">
        <v>45701196</v>
      </c>
      <c r="V82" s="222">
        <v>31298804</v>
      </c>
      <c r="W82" s="224">
        <v>0.59352202597402592</v>
      </c>
      <c r="X82" s="222">
        <v>27315296</v>
      </c>
      <c r="Y82" s="222">
        <v>18385900</v>
      </c>
      <c r="Z82" s="224">
        <v>0.40230675801132204</v>
      </c>
      <c r="AA82" s="222">
        <v>27315296</v>
      </c>
      <c r="AB82" s="222">
        <v>0</v>
      </c>
      <c r="AC82" s="224">
        <v>0.5976932419886779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">
        <v>396</v>
      </c>
      <c r="B83" s="210" t="s">
        <v>397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v>2410636000</v>
      </c>
      <c r="O83" s="215">
        <v>0</v>
      </c>
      <c r="P83" s="215">
        <v>0</v>
      </c>
      <c r="Q83" s="215">
        <v>55000000</v>
      </c>
      <c r="R83" s="215">
        <v>132152000</v>
      </c>
      <c r="S83" s="215">
        <v>0</v>
      </c>
      <c r="T83" s="215">
        <v>2333484000</v>
      </c>
      <c r="U83" s="215">
        <v>1888725068.21</v>
      </c>
      <c r="V83" s="215">
        <v>444758931.79000002</v>
      </c>
      <c r="W83" s="216">
        <v>0.80940133646084567</v>
      </c>
      <c r="X83" s="215">
        <v>50851883.210000001</v>
      </c>
      <c r="Y83" s="215">
        <v>1837873185</v>
      </c>
      <c r="Z83" s="216">
        <v>0.97307607969740462</v>
      </c>
      <c r="AA83" s="215">
        <v>50462317.280000001</v>
      </c>
      <c r="AB83" s="215">
        <v>389565.9299999997</v>
      </c>
      <c r="AC83" s="216">
        <v>2.6717661627599729E-2</v>
      </c>
    </row>
    <row r="84" spans="1:52" ht="24.95" customHeight="1">
      <c r="A84" s="32" t="s">
        <v>610</v>
      </c>
      <c r="B84" s="217" t="s">
        <v>611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730000000</v>
      </c>
      <c r="O84" s="222"/>
      <c r="P84" s="222"/>
      <c r="Q84" s="223"/>
      <c r="R84" s="223"/>
      <c r="S84" s="223"/>
      <c r="T84" s="222">
        <v>730000000</v>
      </c>
      <c r="U84" s="222">
        <v>680000000</v>
      </c>
      <c r="V84" s="222">
        <v>50000000</v>
      </c>
      <c r="W84" s="224">
        <v>0.93150684931506844</v>
      </c>
      <c r="X84" s="222">
        <v>0</v>
      </c>
      <c r="Y84" s="222">
        <v>680000000</v>
      </c>
      <c r="Z84" s="224">
        <v>1</v>
      </c>
      <c r="AA84" s="222">
        <v>0</v>
      </c>
      <c r="AB84" s="222">
        <v>0</v>
      </c>
      <c r="AC84" s="224">
        <v>0</v>
      </c>
    </row>
    <row r="85" spans="1:52" ht="34.5" customHeight="1">
      <c r="A85" s="32" t="s">
        <v>612</v>
      </c>
      <c r="B85" s="217" t="s">
        <v>613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365636000</v>
      </c>
      <c r="O85" s="222"/>
      <c r="P85" s="222"/>
      <c r="Q85" s="223">
        <v>55000000</v>
      </c>
      <c r="R85" s="223"/>
      <c r="S85" s="223"/>
      <c r="T85" s="222">
        <v>420636000</v>
      </c>
      <c r="U85" s="222">
        <v>185658154</v>
      </c>
      <c r="V85" s="222">
        <v>234977846</v>
      </c>
      <c r="W85" s="224">
        <v>0.44137485617018041</v>
      </c>
      <c r="X85" s="222">
        <v>24670208</v>
      </c>
      <c r="Y85" s="222">
        <v>160987946</v>
      </c>
      <c r="Z85" s="224">
        <v>0.86712025586551933</v>
      </c>
      <c r="AA85" s="222">
        <v>24670208</v>
      </c>
      <c r="AB85" s="222">
        <v>0</v>
      </c>
      <c r="AC85" s="224">
        <v>0.13287974413448062</v>
      </c>
    </row>
    <row r="86" spans="1:52" ht="49.5">
      <c r="A86" s="32" t="s">
        <v>614</v>
      </c>
      <c r="B86" s="217" t="s">
        <v>615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55000000</v>
      </c>
      <c r="O86" s="222"/>
      <c r="P86" s="222"/>
      <c r="Q86" s="223"/>
      <c r="R86" s="223">
        <v>15000000</v>
      </c>
      <c r="S86" s="223"/>
      <c r="T86" s="222">
        <v>40000000</v>
      </c>
      <c r="U86" s="222">
        <v>18631636.210000001</v>
      </c>
      <c r="V86" s="222">
        <v>21368363.789999999</v>
      </c>
      <c r="W86" s="224">
        <v>0.46579090525</v>
      </c>
      <c r="X86" s="222">
        <v>18631636.210000001</v>
      </c>
      <c r="Y86" s="222">
        <v>0</v>
      </c>
      <c r="Z86" s="224">
        <v>0</v>
      </c>
      <c r="AA86" s="222">
        <v>18242070.280000001</v>
      </c>
      <c r="AB86" s="222">
        <v>389565.9299999997</v>
      </c>
      <c r="AC86" s="224">
        <v>0.97909115841415417</v>
      </c>
    </row>
    <row r="87" spans="1:52" ht="24.95" customHeight="1">
      <c r="A87" s="32" t="s">
        <v>616</v>
      </c>
      <c r="B87" s="217" t="s">
        <v>617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1160000000</v>
      </c>
      <c r="O87" s="222"/>
      <c r="P87" s="222"/>
      <c r="Q87" s="223"/>
      <c r="R87" s="223">
        <v>55000000</v>
      </c>
      <c r="S87" s="223"/>
      <c r="T87" s="222">
        <v>1105000000</v>
      </c>
      <c r="U87" s="222">
        <v>977369778</v>
      </c>
      <c r="V87" s="222">
        <v>127630222</v>
      </c>
      <c r="W87" s="224">
        <v>0.8844975366515837</v>
      </c>
      <c r="X87" s="222">
        <v>7484539</v>
      </c>
      <c r="Y87" s="222">
        <v>969885239</v>
      </c>
      <c r="Z87" s="224">
        <v>0.99234216243588413</v>
      </c>
      <c r="AA87" s="222">
        <v>7484539</v>
      </c>
      <c r="AB87" s="222">
        <v>0</v>
      </c>
      <c r="AC87" s="224">
        <v>7.6578375641158814E-3</v>
      </c>
    </row>
    <row r="88" spans="1:52" ht="24.95" customHeight="1">
      <c r="A88" s="32" t="s">
        <v>618</v>
      </c>
      <c r="B88" s="217" t="s">
        <v>619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100000000</v>
      </c>
      <c r="O88" s="222"/>
      <c r="P88" s="222"/>
      <c r="Q88" s="223"/>
      <c r="R88" s="223">
        <v>62152000</v>
      </c>
      <c r="S88" s="223"/>
      <c r="T88" s="222">
        <v>37848000</v>
      </c>
      <c r="U88" s="222">
        <v>27065500</v>
      </c>
      <c r="V88" s="222">
        <v>10782500</v>
      </c>
      <c r="W88" s="224">
        <v>0.71511044176706828</v>
      </c>
      <c r="X88" s="222">
        <v>65500</v>
      </c>
      <c r="Y88" s="222">
        <v>27000000</v>
      </c>
      <c r="Z88" s="224">
        <v>0.99757994494836599</v>
      </c>
      <c r="AA88" s="222">
        <v>65500</v>
      </c>
      <c r="AB88" s="222">
        <v>0</v>
      </c>
      <c r="AC88" s="224">
        <v>2.4200550516339991E-3</v>
      </c>
    </row>
    <row r="89" spans="1:52" s="90" customFormat="1" ht="24.95" customHeight="1">
      <c r="A89" s="32" t="s">
        <v>398</v>
      </c>
      <c r="B89" s="251" t="s">
        <v>399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1170310070</v>
      </c>
      <c r="O89" s="254"/>
      <c r="P89" s="254"/>
      <c r="Q89" s="254"/>
      <c r="R89" s="254">
        <v>319990847</v>
      </c>
      <c r="S89" s="254"/>
      <c r="T89" s="254">
        <v>850319223</v>
      </c>
      <c r="U89" s="254">
        <v>305606255</v>
      </c>
      <c r="V89" s="254">
        <v>544712968</v>
      </c>
      <c r="W89" s="255">
        <v>0.35940179491861257</v>
      </c>
      <c r="X89" s="254">
        <v>286472429</v>
      </c>
      <c r="Y89" s="254">
        <v>19133826</v>
      </c>
      <c r="Z89" s="255">
        <v>6.2609405687720623E-2</v>
      </c>
      <c r="AA89" s="254">
        <v>286472429</v>
      </c>
      <c r="AB89" s="254">
        <v>0</v>
      </c>
      <c r="AC89" s="255">
        <v>0.93739059431227933</v>
      </c>
    </row>
    <row r="90" spans="1:52" ht="35.1" customHeight="1">
      <c r="A90" s="32" t="s">
        <v>400</v>
      </c>
      <c r="B90" s="188" t="s">
        <v>401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v>15140000000</v>
      </c>
      <c r="O90" s="194">
        <v>4391269167713</v>
      </c>
      <c r="P90" s="194">
        <v>0</v>
      </c>
      <c r="Q90" s="194">
        <v>36000000</v>
      </c>
      <c r="R90" s="194">
        <v>36000000</v>
      </c>
      <c r="S90" s="194">
        <v>11791000000</v>
      </c>
      <c r="T90" s="194">
        <v>4394618167713</v>
      </c>
      <c r="U90" s="194">
        <v>1836119486893</v>
      </c>
      <c r="V90" s="194">
        <v>2558498680820</v>
      </c>
      <c r="W90" s="195">
        <v>0.41781092618759497</v>
      </c>
      <c r="X90" s="194">
        <v>1530328042858</v>
      </c>
      <c r="Y90" s="194">
        <v>305791444035</v>
      </c>
      <c r="Z90" s="195">
        <v>0.16654223552327019</v>
      </c>
      <c r="AA90" s="194">
        <v>1530328042858</v>
      </c>
      <c r="AB90" s="194">
        <v>0</v>
      </c>
      <c r="AC90" s="195">
        <v>0.83345776447672981</v>
      </c>
    </row>
    <row r="91" spans="1:52" ht="24.95" customHeight="1">
      <c r="A91" s="32" t="s">
        <v>620</v>
      </c>
      <c r="B91" s="196" t="s">
        <v>621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v>11791000000</v>
      </c>
      <c r="O91" s="201">
        <v>4391269167713</v>
      </c>
      <c r="P91" s="201">
        <v>0</v>
      </c>
      <c r="Q91" s="201">
        <v>0</v>
      </c>
      <c r="R91" s="201">
        <v>0</v>
      </c>
      <c r="S91" s="201">
        <v>11791000000</v>
      </c>
      <c r="T91" s="201">
        <v>4391269167713</v>
      </c>
      <c r="U91" s="201">
        <v>1835667757673</v>
      </c>
      <c r="V91" s="201">
        <v>2555601410040</v>
      </c>
      <c r="W91" s="202">
        <v>0.4180266996999018</v>
      </c>
      <c r="X91" s="201">
        <v>1530007921270</v>
      </c>
      <c r="Y91" s="201">
        <v>305659836403</v>
      </c>
      <c r="Z91" s="202">
        <v>0.16651152428066412</v>
      </c>
      <c r="AA91" s="201">
        <v>1530007921270</v>
      </c>
      <c r="AB91" s="201">
        <v>0</v>
      </c>
      <c r="AC91" s="202">
        <v>0.83348847571933593</v>
      </c>
    </row>
    <row r="92" spans="1:52" s="64" customFormat="1" ht="24.95" customHeight="1">
      <c r="A92" s="32" t="s">
        <v>622</v>
      </c>
      <c r="B92" s="203" t="s">
        <v>623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v>11791000000</v>
      </c>
      <c r="O92" s="208">
        <v>4391269167713</v>
      </c>
      <c r="P92" s="208">
        <v>0</v>
      </c>
      <c r="Q92" s="208">
        <v>0</v>
      </c>
      <c r="R92" s="208">
        <v>0</v>
      </c>
      <c r="S92" s="208">
        <v>11791000000</v>
      </c>
      <c r="T92" s="208">
        <v>4391269167713</v>
      </c>
      <c r="U92" s="208">
        <v>1835667757673</v>
      </c>
      <c r="V92" s="208">
        <v>2555601410040</v>
      </c>
      <c r="W92" s="209">
        <v>0.4180266996999018</v>
      </c>
      <c r="X92" s="208">
        <v>1530007921270</v>
      </c>
      <c r="Y92" s="208">
        <v>305659836403</v>
      </c>
      <c r="Z92" s="209">
        <v>0.16651152428066412</v>
      </c>
      <c r="AA92" s="208">
        <v>1530007921270</v>
      </c>
      <c r="AB92" s="208">
        <v>0</v>
      </c>
      <c r="AC92" s="209">
        <v>0.83348847571933593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">
        <v>624</v>
      </c>
      <c r="B93" s="217" t="s">
        <v>625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904</v>
      </c>
      <c r="N93" s="222">
        <v>0</v>
      </c>
      <c r="O93" s="222">
        <v>1486403560913</v>
      </c>
      <c r="P93" s="222"/>
      <c r="Q93" s="222"/>
      <c r="R93" s="222"/>
      <c r="S93" s="222"/>
      <c r="T93" s="222">
        <v>1486403560913</v>
      </c>
      <c r="U93" s="222">
        <v>1473254503673</v>
      </c>
      <c r="V93" s="222">
        <v>13149057240</v>
      </c>
      <c r="W93" s="224">
        <v>0.99115377708599983</v>
      </c>
      <c r="X93" s="222">
        <v>1169845681270</v>
      </c>
      <c r="Y93" s="222">
        <v>303408822403</v>
      </c>
      <c r="Z93" s="224">
        <v>0.20594460878725668</v>
      </c>
      <c r="AA93" s="222">
        <v>1169845681270</v>
      </c>
      <c r="AB93" s="222">
        <v>0</v>
      </c>
      <c r="AC93" s="224">
        <v>0.79405539121274327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s="64" customFormat="1" ht="24.95" customHeight="1">
      <c r="A94" s="32" t="s">
        <v>624</v>
      </c>
      <c r="B94" s="217" t="s">
        <v>625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25" t="s">
        <v>130</v>
      </c>
      <c r="H94" s="219"/>
      <c r="I94" s="219"/>
      <c r="J94" s="219"/>
      <c r="K94" s="220">
        <v>54</v>
      </c>
      <c r="L94" s="221" t="s">
        <v>29</v>
      </c>
      <c r="M94" s="217" t="s">
        <v>905</v>
      </c>
      <c r="N94" s="222">
        <v>0</v>
      </c>
      <c r="O94" s="222">
        <v>2904865606800</v>
      </c>
      <c r="P94" s="222"/>
      <c r="Q94" s="222"/>
      <c r="R94" s="222"/>
      <c r="S94" s="222"/>
      <c r="T94" s="222">
        <v>2904865606800</v>
      </c>
      <c r="U94" s="222">
        <v>362413254000</v>
      </c>
      <c r="V94" s="222">
        <v>2542452352800</v>
      </c>
      <c r="W94" s="224">
        <v>0.12476076454333268</v>
      </c>
      <c r="X94" s="222">
        <v>360162240000</v>
      </c>
      <c r="Y94" s="222">
        <v>2251014000</v>
      </c>
      <c r="Z94" s="224">
        <v>6.2111801242236021E-3</v>
      </c>
      <c r="AA94" s="222">
        <v>360162240000</v>
      </c>
      <c r="AB94" s="222">
        <v>0</v>
      </c>
      <c r="AC94" s="224">
        <v>0.99378881987577639</v>
      </c>
      <c r="AD94" s="13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</row>
    <row r="95" spans="1:52" ht="24.95" customHeight="1">
      <c r="A95" s="32" t="s">
        <v>626</v>
      </c>
      <c r="B95" s="217" t="s">
        <v>627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2">
        <v>11791000000</v>
      </c>
      <c r="O95" s="222"/>
      <c r="P95" s="222"/>
      <c r="Q95" s="222"/>
      <c r="R95" s="222"/>
      <c r="S95" s="222">
        <v>11791000000</v>
      </c>
      <c r="T95" s="222">
        <v>0</v>
      </c>
      <c r="U95" s="222">
        <v>0</v>
      </c>
      <c r="V95" s="222">
        <v>0</v>
      </c>
      <c r="W95" s="224">
        <v>0</v>
      </c>
      <c r="X95" s="222">
        <v>0</v>
      </c>
      <c r="Y95" s="222">
        <v>0</v>
      </c>
      <c r="Z95" s="224">
        <v>0</v>
      </c>
      <c r="AA95" s="222">
        <v>0</v>
      </c>
      <c r="AB95" s="222">
        <v>0</v>
      </c>
      <c r="AC95" s="224">
        <v>0</v>
      </c>
    </row>
    <row r="96" spans="1:52" ht="24.95" customHeight="1">
      <c r="A96" s="32" t="s">
        <v>402</v>
      </c>
      <c r="B96" s="196" t="s">
        <v>403</v>
      </c>
      <c r="C96" s="197" t="s">
        <v>23</v>
      </c>
      <c r="D96" s="198" t="s">
        <v>65</v>
      </c>
      <c r="E96" s="198" t="s">
        <v>136</v>
      </c>
      <c r="F96" s="198"/>
      <c r="G96" s="198"/>
      <c r="H96" s="198"/>
      <c r="I96" s="198"/>
      <c r="J96" s="198"/>
      <c r="K96" s="199"/>
      <c r="L96" s="200"/>
      <c r="M96" s="196" t="s">
        <v>137</v>
      </c>
      <c r="N96" s="201">
        <v>752000000</v>
      </c>
      <c r="O96" s="201">
        <v>0</v>
      </c>
      <c r="P96" s="201">
        <v>0</v>
      </c>
      <c r="Q96" s="201">
        <v>36000000</v>
      </c>
      <c r="R96" s="201">
        <v>36000000</v>
      </c>
      <c r="S96" s="201">
        <v>0</v>
      </c>
      <c r="T96" s="201">
        <v>752000000</v>
      </c>
      <c r="U96" s="201">
        <v>451729220</v>
      </c>
      <c r="V96" s="201">
        <v>300270780</v>
      </c>
      <c r="W96" s="202">
        <v>0.60070374999999998</v>
      </c>
      <c r="X96" s="201">
        <v>320121588</v>
      </c>
      <c r="Y96" s="201">
        <v>131607632</v>
      </c>
      <c r="Z96" s="202">
        <v>0.2913418618348399</v>
      </c>
      <c r="AA96" s="201">
        <v>320121588</v>
      </c>
      <c r="AB96" s="201">
        <v>0</v>
      </c>
      <c r="AC96" s="202">
        <v>0.7086581381651601</v>
      </c>
    </row>
    <row r="97" spans="1:52" ht="24.95" customHeight="1">
      <c r="A97" s="32" t="s">
        <v>404</v>
      </c>
      <c r="B97" s="203" t="s">
        <v>405</v>
      </c>
      <c r="C97" s="204" t="s">
        <v>23</v>
      </c>
      <c r="D97" s="205" t="s">
        <v>65</v>
      </c>
      <c r="E97" s="205" t="s">
        <v>136</v>
      </c>
      <c r="F97" s="205" t="s">
        <v>54</v>
      </c>
      <c r="G97" s="205"/>
      <c r="H97" s="205"/>
      <c r="I97" s="205"/>
      <c r="J97" s="205"/>
      <c r="K97" s="206" t="s">
        <v>28</v>
      </c>
      <c r="L97" s="207" t="s">
        <v>29</v>
      </c>
      <c r="M97" s="203" t="s">
        <v>138</v>
      </c>
      <c r="N97" s="208">
        <v>752000000</v>
      </c>
      <c r="O97" s="208">
        <v>0</v>
      </c>
      <c r="P97" s="208">
        <v>0</v>
      </c>
      <c r="Q97" s="208">
        <v>36000000</v>
      </c>
      <c r="R97" s="208">
        <v>36000000</v>
      </c>
      <c r="S97" s="208">
        <v>0</v>
      </c>
      <c r="T97" s="208">
        <v>752000000</v>
      </c>
      <c r="U97" s="208">
        <v>451729220</v>
      </c>
      <c r="V97" s="208">
        <v>300270780</v>
      </c>
      <c r="W97" s="209">
        <v>0.60070374999999998</v>
      </c>
      <c r="X97" s="208">
        <v>320121588</v>
      </c>
      <c r="Y97" s="208">
        <v>131607632</v>
      </c>
      <c r="Z97" s="209">
        <v>0.2913418618348399</v>
      </c>
      <c r="AA97" s="208">
        <v>320121588</v>
      </c>
      <c r="AB97" s="208">
        <v>0</v>
      </c>
      <c r="AC97" s="209">
        <v>0.7086581381651601</v>
      </c>
    </row>
    <row r="98" spans="1:52" s="64" customFormat="1" ht="24.95" customHeight="1">
      <c r="A98" s="32" t="s">
        <v>406</v>
      </c>
      <c r="B98" s="210" t="s">
        <v>407</v>
      </c>
      <c r="C98" s="211" t="s">
        <v>23</v>
      </c>
      <c r="D98" s="212" t="s">
        <v>65</v>
      </c>
      <c r="E98" s="212" t="s">
        <v>136</v>
      </c>
      <c r="F98" s="212" t="s">
        <v>54</v>
      </c>
      <c r="G98" s="212" t="s">
        <v>52</v>
      </c>
      <c r="H98" s="212"/>
      <c r="I98" s="212"/>
      <c r="J98" s="212"/>
      <c r="K98" s="213" t="s">
        <v>28</v>
      </c>
      <c r="L98" s="214" t="s">
        <v>29</v>
      </c>
      <c r="M98" s="210" t="s">
        <v>139</v>
      </c>
      <c r="N98" s="215">
        <v>752000000</v>
      </c>
      <c r="O98" s="215">
        <v>0</v>
      </c>
      <c r="P98" s="215">
        <v>0</v>
      </c>
      <c r="Q98" s="215">
        <v>36000000</v>
      </c>
      <c r="R98" s="215">
        <v>36000000</v>
      </c>
      <c r="S98" s="215">
        <v>0</v>
      </c>
      <c r="T98" s="215">
        <v>752000000</v>
      </c>
      <c r="U98" s="215">
        <v>451729220</v>
      </c>
      <c r="V98" s="215">
        <v>300270780</v>
      </c>
      <c r="W98" s="216">
        <v>0.60070374999999998</v>
      </c>
      <c r="X98" s="215">
        <v>320121588</v>
      </c>
      <c r="Y98" s="215">
        <v>131607632</v>
      </c>
      <c r="Z98" s="216">
        <v>0.2913418618348399</v>
      </c>
      <c r="AA98" s="215">
        <v>320121588</v>
      </c>
      <c r="AB98" s="215">
        <v>0</v>
      </c>
      <c r="AC98" s="216">
        <v>0.7086581381651601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24.95" customHeight="1">
      <c r="A99" s="32" t="s">
        <v>408</v>
      </c>
      <c r="B99" s="217" t="s">
        <v>409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19" t="s">
        <v>52</v>
      </c>
      <c r="H99" s="219" t="s">
        <v>31</v>
      </c>
      <c r="I99" s="219"/>
      <c r="J99" s="219"/>
      <c r="K99" s="220" t="s">
        <v>28</v>
      </c>
      <c r="L99" s="221" t="s">
        <v>29</v>
      </c>
      <c r="M99" s="217" t="s">
        <v>140</v>
      </c>
      <c r="N99" s="222">
        <v>402000000</v>
      </c>
      <c r="O99" s="222"/>
      <c r="P99" s="222"/>
      <c r="Q99" s="222"/>
      <c r="R99" s="222"/>
      <c r="S99" s="222"/>
      <c r="T99" s="222">
        <v>402000000</v>
      </c>
      <c r="U99" s="222">
        <v>256057726</v>
      </c>
      <c r="V99" s="222">
        <v>145942274</v>
      </c>
      <c r="W99" s="224">
        <v>0.63695951741293533</v>
      </c>
      <c r="X99" s="222">
        <v>172779795</v>
      </c>
      <c r="Y99" s="222">
        <v>83277931</v>
      </c>
      <c r="Z99" s="224">
        <v>0.32523108090087466</v>
      </c>
      <c r="AA99" s="222">
        <v>172779795</v>
      </c>
      <c r="AB99" s="222">
        <v>0</v>
      </c>
      <c r="AC99" s="224">
        <v>0.67476891909912529</v>
      </c>
    </row>
    <row r="100" spans="1:52" ht="24.95" customHeight="1">
      <c r="A100" s="32" t="s">
        <v>410</v>
      </c>
      <c r="B100" s="217" t="s">
        <v>411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34</v>
      </c>
      <c r="I100" s="219"/>
      <c r="J100" s="219"/>
      <c r="K100" s="220" t="s">
        <v>28</v>
      </c>
      <c r="L100" s="221" t="s">
        <v>29</v>
      </c>
      <c r="M100" s="217" t="s">
        <v>141</v>
      </c>
      <c r="N100" s="222">
        <v>350000000</v>
      </c>
      <c r="O100" s="222"/>
      <c r="P100" s="222"/>
      <c r="Q100" s="223"/>
      <c r="R100" s="223">
        <v>36000000</v>
      </c>
      <c r="S100" s="223"/>
      <c r="T100" s="222">
        <v>314000000</v>
      </c>
      <c r="U100" s="222">
        <v>159680620</v>
      </c>
      <c r="V100" s="222">
        <v>154319380</v>
      </c>
      <c r="W100" s="224">
        <v>0.50853700636942678</v>
      </c>
      <c r="X100" s="222">
        <v>111350919</v>
      </c>
      <c r="Y100" s="222">
        <v>48329701</v>
      </c>
      <c r="Z100" s="224">
        <v>0.30266478799994639</v>
      </c>
      <c r="AA100" s="222">
        <v>111350919</v>
      </c>
      <c r="AB100" s="222">
        <v>0</v>
      </c>
      <c r="AC100" s="224">
        <v>0.69733521200005366</v>
      </c>
    </row>
    <row r="101" spans="1:52" s="64" customFormat="1" ht="24.95" customHeight="1">
      <c r="A101" s="32" t="s">
        <v>412</v>
      </c>
      <c r="B101" s="217" t="s">
        <v>413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25" t="s">
        <v>142</v>
      </c>
      <c r="H101" s="219"/>
      <c r="I101" s="219"/>
      <c r="J101" s="219"/>
      <c r="K101" s="220" t="s">
        <v>28</v>
      </c>
      <c r="L101" s="221" t="s">
        <v>29</v>
      </c>
      <c r="M101" s="217" t="s">
        <v>260</v>
      </c>
      <c r="N101" s="222">
        <v>0</v>
      </c>
      <c r="O101" s="222"/>
      <c r="P101" s="222"/>
      <c r="Q101" s="223">
        <v>36000000</v>
      </c>
      <c r="R101" s="223"/>
      <c r="S101" s="223"/>
      <c r="T101" s="222">
        <v>36000000</v>
      </c>
      <c r="U101" s="222">
        <v>35990874</v>
      </c>
      <c r="V101" s="222">
        <v>9126</v>
      </c>
      <c r="W101" s="224">
        <v>0.99974649999999998</v>
      </c>
      <c r="X101" s="222">
        <v>35990874</v>
      </c>
      <c r="Y101" s="222">
        <v>0</v>
      </c>
      <c r="Z101" s="224">
        <v>0</v>
      </c>
      <c r="AA101" s="222">
        <v>35990874</v>
      </c>
      <c r="AB101" s="222">
        <v>0</v>
      </c>
      <c r="AC101" s="224">
        <v>1</v>
      </c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</row>
    <row r="102" spans="1:52" ht="24.95" customHeight="1">
      <c r="A102" s="32" t="s">
        <v>414</v>
      </c>
      <c r="B102" s="196" t="s">
        <v>415</v>
      </c>
      <c r="C102" s="197" t="s">
        <v>23</v>
      </c>
      <c r="D102" s="198" t="s">
        <v>65</v>
      </c>
      <c r="E102" s="198" t="s">
        <v>28</v>
      </c>
      <c r="F102" s="198"/>
      <c r="G102" s="198"/>
      <c r="H102" s="198"/>
      <c r="I102" s="198"/>
      <c r="J102" s="198"/>
      <c r="K102" s="199"/>
      <c r="L102" s="200"/>
      <c r="M102" s="196" t="s">
        <v>143</v>
      </c>
      <c r="N102" s="201">
        <v>2597000000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2597000000</v>
      </c>
      <c r="U102" s="201">
        <v>0</v>
      </c>
      <c r="V102" s="201">
        <v>2597000000</v>
      </c>
      <c r="W102" s="202">
        <v>0</v>
      </c>
      <c r="X102" s="201">
        <v>0</v>
      </c>
      <c r="Y102" s="201">
        <v>0</v>
      </c>
      <c r="Z102" s="202">
        <v>0</v>
      </c>
      <c r="AA102" s="201">
        <v>0</v>
      </c>
      <c r="AB102" s="201">
        <v>0</v>
      </c>
      <c r="AC102" s="202">
        <v>0</v>
      </c>
    </row>
    <row r="103" spans="1:52" ht="16.5">
      <c r="A103" s="32" t="s">
        <v>416</v>
      </c>
      <c r="B103" s="203" t="s">
        <v>417</v>
      </c>
      <c r="C103" s="204" t="s">
        <v>23</v>
      </c>
      <c r="D103" s="205" t="s">
        <v>65</v>
      </c>
      <c r="E103" s="205" t="s">
        <v>28</v>
      </c>
      <c r="F103" s="205" t="s">
        <v>25</v>
      </c>
      <c r="G103" s="205"/>
      <c r="H103" s="205"/>
      <c r="I103" s="205"/>
      <c r="J103" s="205"/>
      <c r="K103" s="206" t="s">
        <v>144</v>
      </c>
      <c r="L103" s="207" t="s">
        <v>29</v>
      </c>
      <c r="M103" s="203" t="s">
        <v>145</v>
      </c>
      <c r="N103" s="208">
        <v>2597000000</v>
      </c>
      <c r="O103" s="208">
        <v>0</v>
      </c>
      <c r="P103" s="208">
        <v>0</v>
      </c>
      <c r="Q103" s="208">
        <v>0</v>
      </c>
      <c r="R103" s="208">
        <v>0</v>
      </c>
      <c r="S103" s="208">
        <v>0</v>
      </c>
      <c r="T103" s="208">
        <v>2597000000</v>
      </c>
      <c r="U103" s="208">
        <v>0</v>
      </c>
      <c r="V103" s="208">
        <v>2597000000</v>
      </c>
      <c r="W103" s="209">
        <v>0</v>
      </c>
      <c r="X103" s="208">
        <v>0</v>
      </c>
      <c r="Y103" s="208">
        <v>0</v>
      </c>
      <c r="Z103" s="209">
        <v>0</v>
      </c>
      <c r="AA103" s="208">
        <v>0</v>
      </c>
      <c r="AB103" s="208">
        <v>0</v>
      </c>
      <c r="AC103" s="209">
        <v>0</v>
      </c>
    </row>
    <row r="104" spans="1:52" ht="24.95" customHeight="1">
      <c r="A104" s="32" t="s">
        <v>628</v>
      </c>
      <c r="B104" s="217" t="s">
        <v>418</v>
      </c>
      <c r="C104" s="218" t="s">
        <v>23</v>
      </c>
      <c r="D104" s="219" t="s">
        <v>65</v>
      </c>
      <c r="E104" s="219" t="s">
        <v>28</v>
      </c>
      <c r="F104" s="219" t="s">
        <v>25</v>
      </c>
      <c r="G104" s="219" t="s">
        <v>31</v>
      </c>
      <c r="H104" s="219"/>
      <c r="I104" s="219"/>
      <c r="J104" s="219"/>
      <c r="K104" s="220">
        <v>10</v>
      </c>
      <c r="L104" s="221" t="s">
        <v>29</v>
      </c>
      <c r="M104" s="259" t="s">
        <v>146</v>
      </c>
      <c r="N104" s="222">
        <v>2597000000</v>
      </c>
      <c r="O104" s="222"/>
      <c r="P104" s="222"/>
      <c r="Q104" s="222"/>
      <c r="R104" s="222"/>
      <c r="S104" s="222"/>
      <c r="T104" s="222">
        <v>2597000000</v>
      </c>
      <c r="U104" s="222">
        <v>0</v>
      </c>
      <c r="V104" s="222">
        <v>2597000000</v>
      </c>
      <c r="W104" s="224">
        <v>0</v>
      </c>
      <c r="X104" s="222">
        <v>0</v>
      </c>
      <c r="Y104" s="222">
        <v>0</v>
      </c>
      <c r="Z104" s="224">
        <v>0</v>
      </c>
      <c r="AA104" s="222">
        <v>0</v>
      </c>
      <c r="AB104" s="222">
        <v>0</v>
      </c>
      <c r="AC104" s="224">
        <v>0</v>
      </c>
    </row>
    <row r="105" spans="1:52" ht="35.1" customHeight="1">
      <c r="A105" s="32" t="s">
        <v>420</v>
      </c>
      <c r="B105" s="188" t="s">
        <v>421</v>
      </c>
      <c r="C105" s="189" t="s">
        <v>23</v>
      </c>
      <c r="D105" s="191" t="s">
        <v>148</v>
      </c>
      <c r="E105" s="191"/>
      <c r="F105" s="191"/>
      <c r="G105" s="191"/>
      <c r="H105" s="191"/>
      <c r="I105" s="191"/>
      <c r="J105" s="191"/>
      <c r="K105" s="192"/>
      <c r="L105" s="193"/>
      <c r="M105" s="188" t="s">
        <v>149</v>
      </c>
      <c r="N105" s="194">
        <v>5824000000</v>
      </c>
      <c r="O105" s="194">
        <v>0</v>
      </c>
      <c r="P105" s="194">
        <v>0</v>
      </c>
      <c r="Q105" s="194">
        <v>51000000</v>
      </c>
      <c r="R105" s="194">
        <v>0</v>
      </c>
      <c r="S105" s="194">
        <v>0</v>
      </c>
      <c r="T105" s="194">
        <v>5875000000</v>
      </c>
      <c r="U105" s="194">
        <v>82482111.780000001</v>
      </c>
      <c r="V105" s="194">
        <v>5792517888.2200003</v>
      </c>
      <c r="W105" s="195">
        <v>1.4039508388085107E-2</v>
      </c>
      <c r="X105" s="194">
        <v>82482111.780000001</v>
      </c>
      <c r="Y105" s="194">
        <v>0</v>
      </c>
      <c r="Z105" s="195">
        <v>0</v>
      </c>
      <c r="AA105" s="194">
        <v>82248631.780000001</v>
      </c>
      <c r="AB105" s="194">
        <v>233480</v>
      </c>
      <c r="AC105" s="195">
        <v>0.99716932562756455</v>
      </c>
    </row>
    <row r="106" spans="1:52" ht="24.95" customHeight="1">
      <c r="A106" s="32" t="s">
        <v>422</v>
      </c>
      <c r="B106" s="196" t="s">
        <v>423</v>
      </c>
      <c r="C106" s="197" t="s">
        <v>23</v>
      </c>
      <c r="D106" s="198" t="s">
        <v>148</v>
      </c>
      <c r="E106" s="198" t="s">
        <v>25</v>
      </c>
      <c r="F106" s="198"/>
      <c r="G106" s="198"/>
      <c r="H106" s="198"/>
      <c r="I106" s="198"/>
      <c r="J106" s="198"/>
      <c r="K106" s="199"/>
      <c r="L106" s="200"/>
      <c r="M106" s="196" t="s">
        <v>150</v>
      </c>
      <c r="N106" s="201">
        <v>84000000</v>
      </c>
      <c r="O106" s="201">
        <v>0</v>
      </c>
      <c r="P106" s="201">
        <v>0</v>
      </c>
      <c r="Q106" s="201">
        <v>51000000</v>
      </c>
      <c r="R106" s="201">
        <v>0</v>
      </c>
      <c r="S106" s="201">
        <v>0</v>
      </c>
      <c r="T106" s="201">
        <v>135000000</v>
      </c>
      <c r="U106" s="201">
        <v>78363347.710000008</v>
      </c>
      <c r="V106" s="201">
        <v>56636652.289999999</v>
      </c>
      <c r="W106" s="202">
        <v>0.58046924229629637</v>
      </c>
      <c r="X106" s="201">
        <v>78363347.710000008</v>
      </c>
      <c r="Y106" s="201">
        <v>0</v>
      </c>
      <c r="Z106" s="202">
        <v>0</v>
      </c>
      <c r="AA106" s="201">
        <v>78129867.710000008</v>
      </c>
      <c r="AB106" s="201">
        <v>233480</v>
      </c>
      <c r="AC106" s="202">
        <v>0.99702054586968336</v>
      </c>
    </row>
    <row r="107" spans="1:52" ht="16.5">
      <c r="A107" s="32" t="s">
        <v>424</v>
      </c>
      <c r="B107" s="203" t="s">
        <v>425</v>
      </c>
      <c r="C107" s="204" t="s">
        <v>23</v>
      </c>
      <c r="D107" s="205" t="s">
        <v>148</v>
      </c>
      <c r="E107" s="205" t="s">
        <v>25</v>
      </c>
      <c r="F107" s="205" t="s">
        <v>54</v>
      </c>
      <c r="G107" s="205"/>
      <c r="H107" s="205"/>
      <c r="I107" s="205"/>
      <c r="J107" s="205"/>
      <c r="K107" s="206" t="s">
        <v>28</v>
      </c>
      <c r="L107" s="207" t="s">
        <v>29</v>
      </c>
      <c r="M107" s="203" t="s">
        <v>151</v>
      </c>
      <c r="N107" s="208">
        <v>84000000</v>
      </c>
      <c r="O107" s="208">
        <v>0</v>
      </c>
      <c r="P107" s="208">
        <v>0</v>
      </c>
      <c r="Q107" s="208">
        <v>51000000</v>
      </c>
      <c r="R107" s="208">
        <v>0</v>
      </c>
      <c r="S107" s="208">
        <v>0</v>
      </c>
      <c r="T107" s="208">
        <v>135000000</v>
      </c>
      <c r="U107" s="208">
        <v>78363347.710000008</v>
      </c>
      <c r="V107" s="208">
        <v>56636652.289999999</v>
      </c>
      <c r="W107" s="209">
        <v>0.58046924229629637</v>
      </c>
      <c r="X107" s="208">
        <v>78363347.710000008</v>
      </c>
      <c r="Y107" s="208">
        <v>0</v>
      </c>
      <c r="Z107" s="209">
        <v>0</v>
      </c>
      <c r="AA107" s="208">
        <v>78129867.710000008</v>
      </c>
      <c r="AB107" s="208">
        <v>233480</v>
      </c>
      <c r="AC107" s="209">
        <v>0.99702054586968336</v>
      </c>
    </row>
    <row r="108" spans="1:52" ht="24.95" customHeight="1">
      <c r="A108" s="32" t="s">
        <v>426</v>
      </c>
      <c r="B108" s="217" t="s">
        <v>427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31</v>
      </c>
      <c r="H108" s="219"/>
      <c r="I108" s="219"/>
      <c r="J108" s="219"/>
      <c r="K108" s="220" t="s">
        <v>28</v>
      </c>
      <c r="L108" s="221" t="s">
        <v>29</v>
      </c>
      <c r="M108" s="259" t="s">
        <v>152</v>
      </c>
      <c r="N108" s="222">
        <v>51000000</v>
      </c>
      <c r="O108" s="222"/>
      <c r="P108" s="222"/>
      <c r="Q108" s="222"/>
      <c r="R108" s="222"/>
      <c r="S108" s="222"/>
      <c r="T108" s="222">
        <v>51000000</v>
      </c>
      <c r="U108" s="222">
        <v>49978748</v>
      </c>
      <c r="V108" s="222">
        <v>1021252</v>
      </c>
      <c r="W108" s="224">
        <v>0.97997545098039218</v>
      </c>
      <c r="X108" s="222">
        <v>49978748</v>
      </c>
      <c r="Y108" s="222">
        <v>0</v>
      </c>
      <c r="Z108" s="224">
        <v>0</v>
      </c>
      <c r="AA108" s="222">
        <v>49978748</v>
      </c>
      <c r="AB108" s="222">
        <v>0</v>
      </c>
      <c r="AC108" s="224">
        <v>1</v>
      </c>
    </row>
    <row r="109" spans="1:52" ht="24.95" customHeight="1">
      <c r="A109" s="32" t="s">
        <v>428</v>
      </c>
      <c r="B109" s="217" t="s">
        <v>429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38</v>
      </c>
      <c r="H109" s="219"/>
      <c r="I109" s="219"/>
      <c r="J109" s="219"/>
      <c r="K109" s="220" t="s">
        <v>28</v>
      </c>
      <c r="L109" s="221" t="s">
        <v>29</v>
      </c>
      <c r="M109" s="259" t="s">
        <v>153</v>
      </c>
      <c r="N109" s="222">
        <v>26000000</v>
      </c>
      <c r="O109" s="223"/>
      <c r="P109" s="222"/>
      <c r="Q109" s="223">
        <v>26000000</v>
      </c>
      <c r="R109" s="222"/>
      <c r="S109" s="222"/>
      <c r="T109" s="222">
        <v>52000000</v>
      </c>
      <c r="U109" s="222">
        <v>22057499.710000001</v>
      </c>
      <c r="V109" s="222">
        <v>29942500.289999999</v>
      </c>
      <c r="W109" s="224">
        <v>0.42418268673076925</v>
      </c>
      <c r="X109" s="222">
        <v>22057499.710000001</v>
      </c>
      <c r="Y109" s="222">
        <v>0</v>
      </c>
      <c r="Z109" s="224">
        <v>0</v>
      </c>
      <c r="AA109" s="222">
        <v>21824019.710000001</v>
      </c>
      <c r="AB109" s="222">
        <v>233480</v>
      </c>
      <c r="AC109" s="224">
        <v>0.98941493809046044</v>
      </c>
    </row>
    <row r="110" spans="1:52" ht="24.95" customHeight="1">
      <c r="A110" s="32" t="s">
        <v>430</v>
      </c>
      <c r="B110" s="217" t="s">
        <v>431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42</v>
      </c>
      <c r="H110" s="219"/>
      <c r="I110" s="219"/>
      <c r="J110" s="219"/>
      <c r="K110" s="220" t="s">
        <v>28</v>
      </c>
      <c r="L110" s="221" t="s">
        <v>29</v>
      </c>
      <c r="M110" s="259" t="s">
        <v>154</v>
      </c>
      <c r="N110" s="222">
        <v>7000000</v>
      </c>
      <c r="O110" s="222"/>
      <c r="P110" s="222"/>
      <c r="Q110" s="222">
        <v>25000000</v>
      </c>
      <c r="R110" s="222"/>
      <c r="S110" s="222"/>
      <c r="T110" s="222">
        <v>32000000</v>
      </c>
      <c r="U110" s="222">
        <v>6327100</v>
      </c>
      <c r="V110" s="222">
        <v>25672900</v>
      </c>
      <c r="W110" s="224">
        <v>0.19772187499999999</v>
      </c>
      <c r="X110" s="222">
        <v>6327100</v>
      </c>
      <c r="Y110" s="222">
        <v>0</v>
      </c>
      <c r="Z110" s="224">
        <v>0</v>
      </c>
      <c r="AA110" s="222">
        <v>6327100</v>
      </c>
      <c r="AB110" s="222">
        <v>0</v>
      </c>
      <c r="AC110" s="224">
        <v>1</v>
      </c>
    </row>
    <row r="111" spans="1:52" ht="24.95" customHeight="1">
      <c r="A111" s="32" t="s">
        <v>629</v>
      </c>
      <c r="B111" s="196" t="s">
        <v>432</v>
      </c>
      <c r="C111" s="197" t="s">
        <v>23</v>
      </c>
      <c r="D111" s="198" t="s">
        <v>148</v>
      </c>
      <c r="E111" s="198" t="s">
        <v>136</v>
      </c>
      <c r="F111" s="198"/>
      <c r="G111" s="198"/>
      <c r="H111" s="198"/>
      <c r="I111" s="198"/>
      <c r="J111" s="198"/>
      <c r="K111" s="199"/>
      <c r="L111" s="200"/>
      <c r="M111" s="196" t="s">
        <v>155</v>
      </c>
      <c r="N111" s="201">
        <v>5740000000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5740000000</v>
      </c>
      <c r="U111" s="201">
        <v>4118764.07</v>
      </c>
      <c r="V111" s="201">
        <v>5735881235.9300003</v>
      </c>
      <c r="W111" s="202">
        <v>7.1755471602787449E-4</v>
      </c>
      <c r="X111" s="201">
        <v>4118764.07</v>
      </c>
      <c r="Y111" s="201">
        <v>0</v>
      </c>
      <c r="Z111" s="202">
        <v>0</v>
      </c>
      <c r="AA111" s="201">
        <v>4118764.07</v>
      </c>
      <c r="AB111" s="201">
        <v>0</v>
      </c>
      <c r="AC111" s="202">
        <v>1</v>
      </c>
    </row>
    <row r="112" spans="1:52" ht="24.95" customHeight="1" thickBot="1">
      <c r="A112" s="32" t="s">
        <v>433</v>
      </c>
      <c r="B112" s="217" t="s">
        <v>434</v>
      </c>
      <c r="C112" s="218" t="s">
        <v>23</v>
      </c>
      <c r="D112" s="219" t="s">
        <v>148</v>
      </c>
      <c r="E112" s="219" t="s">
        <v>136</v>
      </c>
      <c r="F112" s="219" t="s">
        <v>25</v>
      </c>
      <c r="G112" s="219"/>
      <c r="H112" s="219"/>
      <c r="I112" s="219"/>
      <c r="J112" s="219"/>
      <c r="K112" s="220" t="s">
        <v>144</v>
      </c>
      <c r="L112" s="221" t="s">
        <v>156</v>
      </c>
      <c r="M112" s="259" t="s">
        <v>157</v>
      </c>
      <c r="N112" s="222">
        <v>5740000000</v>
      </c>
      <c r="O112" s="223"/>
      <c r="P112" s="222"/>
      <c r="Q112" s="222"/>
      <c r="R112" s="222"/>
      <c r="S112" s="222"/>
      <c r="T112" s="222">
        <v>5740000000</v>
      </c>
      <c r="U112" s="222">
        <v>4118764.07</v>
      </c>
      <c r="V112" s="222">
        <v>5735881235.9300003</v>
      </c>
      <c r="W112" s="224">
        <v>7.1755471602787449E-4</v>
      </c>
      <c r="X112" s="222">
        <v>4118764.07</v>
      </c>
      <c r="Y112" s="222">
        <v>0</v>
      </c>
      <c r="Z112" s="224">
        <v>0</v>
      </c>
      <c r="AA112" s="222">
        <v>4118764.07</v>
      </c>
      <c r="AB112" s="222">
        <v>0</v>
      </c>
      <c r="AC112" s="224">
        <v>1</v>
      </c>
    </row>
    <row r="113" spans="1:29" ht="35.1" customHeight="1" thickBot="1">
      <c r="A113" s="32" t="s">
        <v>435</v>
      </c>
      <c r="B113" s="260" t="s">
        <v>278</v>
      </c>
      <c r="C113" s="261" t="s">
        <v>167</v>
      </c>
      <c r="D113" s="262"/>
      <c r="E113" s="262"/>
      <c r="F113" s="262"/>
      <c r="G113" s="262"/>
      <c r="H113" s="262"/>
      <c r="I113" s="262"/>
      <c r="J113" s="262"/>
      <c r="K113" s="263"/>
      <c r="L113" s="264"/>
      <c r="M113" s="260" t="s">
        <v>168</v>
      </c>
      <c r="N113" s="265">
        <v>3485582139470</v>
      </c>
      <c r="O113" s="265">
        <v>0</v>
      </c>
      <c r="P113" s="265">
        <v>0</v>
      </c>
      <c r="Q113" s="265">
        <v>394121217618.81</v>
      </c>
      <c r="R113" s="265">
        <v>394121217618.81</v>
      </c>
      <c r="S113" s="265">
        <v>580000000000</v>
      </c>
      <c r="T113" s="265">
        <v>2905582139470</v>
      </c>
      <c r="U113" s="265">
        <v>2664904401674.0796</v>
      </c>
      <c r="V113" s="265">
        <v>240677737795.91998</v>
      </c>
      <c r="W113" s="187">
        <v>0.917167119618989</v>
      </c>
      <c r="X113" s="265">
        <v>1751958518139.8799</v>
      </c>
      <c r="Y113" s="265">
        <v>912945883534.2002</v>
      </c>
      <c r="Z113" s="187">
        <v>0.34258110083074356</v>
      </c>
      <c r="AA113" s="265">
        <v>1751509348452.8799</v>
      </c>
      <c r="AB113" s="265">
        <v>449169687</v>
      </c>
      <c r="AC113" s="187">
        <v>0.65725034915045755</v>
      </c>
    </row>
    <row r="114" spans="1:29" ht="35.1" customHeight="1">
      <c r="A114" s="32" t="s">
        <v>436</v>
      </c>
      <c r="B114" s="188" t="s">
        <v>437</v>
      </c>
      <c r="C114" s="189" t="s">
        <v>167</v>
      </c>
      <c r="D114" s="191">
        <v>4101</v>
      </c>
      <c r="E114" s="191"/>
      <c r="F114" s="191"/>
      <c r="G114" s="191"/>
      <c r="H114" s="191"/>
      <c r="I114" s="191"/>
      <c r="J114" s="191"/>
      <c r="K114" s="192"/>
      <c r="L114" s="193"/>
      <c r="M114" s="188" t="s">
        <v>169</v>
      </c>
      <c r="N114" s="194">
        <v>184499832863</v>
      </c>
      <c r="O114" s="194">
        <v>0</v>
      </c>
      <c r="P114" s="194">
        <v>0</v>
      </c>
      <c r="Q114" s="194">
        <v>0</v>
      </c>
      <c r="R114" s="194">
        <v>0</v>
      </c>
      <c r="S114" s="194">
        <v>0</v>
      </c>
      <c r="T114" s="194">
        <v>184499832863</v>
      </c>
      <c r="U114" s="194">
        <v>168698162844</v>
      </c>
      <c r="V114" s="194">
        <v>15801670019</v>
      </c>
      <c r="W114" s="195">
        <v>0.91435401445196163</v>
      </c>
      <c r="X114" s="194">
        <v>51301158732</v>
      </c>
      <c r="Y114" s="194">
        <v>117397004112</v>
      </c>
      <c r="Z114" s="195">
        <v>0.69589971895876757</v>
      </c>
      <c r="AA114" s="194">
        <v>51292358732</v>
      </c>
      <c r="AB114" s="194">
        <v>8800000</v>
      </c>
      <c r="AC114" s="195">
        <v>0.3040481168691298</v>
      </c>
    </row>
    <row r="115" spans="1:29" ht="24.95" customHeight="1">
      <c r="A115" s="32" t="s">
        <v>438</v>
      </c>
      <c r="B115" s="196" t="s">
        <v>295</v>
      </c>
      <c r="C115" s="197" t="s">
        <v>167</v>
      </c>
      <c r="D115" s="198">
        <v>4101</v>
      </c>
      <c r="E115" s="198">
        <v>1500</v>
      </c>
      <c r="F115" s="198"/>
      <c r="G115" s="198"/>
      <c r="H115" s="198"/>
      <c r="I115" s="198"/>
      <c r="J115" s="198"/>
      <c r="K115" s="199"/>
      <c r="L115" s="200"/>
      <c r="M115" s="196" t="s">
        <v>170</v>
      </c>
      <c r="N115" s="201">
        <v>184499832863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184499832863</v>
      </c>
      <c r="U115" s="201">
        <v>168698162844</v>
      </c>
      <c r="V115" s="201">
        <v>15801670019</v>
      </c>
      <c r="W115" s="202">
        <v>0.91435401445196163</v>
      </c>
      <c r="X115" s="201">
        <v>51301158732</v>
      </c>
      <c r="Y115" s="201">
        <v>117397004112</v>
      </c>
      <c r="Z115" s="202">
        <v>0.69589971895876757</v>
      </c>
      <c r="AA115" s="201">
        <v>51292358732</v>
      </c>
      <c r="AB115" s="201">
        <v>8800000</v>
      </c>
      <c r="AC115" s="202">
        <v>0.3040481168691298</v>
      </c>
    </row>
    <row r="116" spans="1:29" ht="33">
      <c r="A116" s="32" t="s">
        <v>439</v>
      </c>
      <c r="B116" s="203" t="s">
        <v>440</v>
      </c>
      <c r="C116" s="227" t="s">
        <v>167</v>
      </c>
      <c r="D116" s="228" t="s">
        <v>171</v>
      </c>
      <c r="E116" s="228" t="s">
        <v>172</v>
      </c>
      <c r="F116" s="228" t="s">
        <v>261</v>
      </c>
      <c r="G116" s="228"/>
      <c r="H116" s="228"/>
      <c r="I116" s="228"/>
      <c r="J116" s="228"/>
      <c r="K116" s="229"/>
      <c r="L116" s="230"/>
      <c r="M116" s="231" t="s">
        <v>279</v>
      </c>
      <c r="N116" s="232">
        <v>66398074900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66398074900</v>
      </c>
      <c r="U116" s="232">
        <v>61381319404</v>
      </c>
      <c r="V116" s="232">
        <v>5016755496</v>
      </c>
      <c r="W116" s="233">
        <v>0.92444426282605974</v>
      </c>
      <c r="X116" s="232">
        <v>9826858430</v>
      </c>
      <c r="Y116" s="232">
        <v>51554460974</v>
      </c>
      <c r="Z116" s="233">
        <v>0.83990473770494389</v>
      </c>
      <c r="AA116" s="232">
        <v>9826858430</v>
      </c>
      <c r="AB116" s="232">
        <v>0</v>
      </c>
      <c r="AC116" s="233">
        <v>0.16009526229505616</v>
      </c>
    </row>
    <row r="117" spans="1:29" ht="24.95" customHeight="1">
      <c r="A117" s="32" t="s">
        <v>630</v>
      </c>
      <c r="B117" s="210" t="s">
        <v>441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176</v>
      </c>
      <c r="I117" s="212"/>
      <c r="J117" s="212"/>
      <c r="K117" s="213">
        <v>11</v>
      </c>
      <c r="L117" s="214" t="s">
        <v>29</v>
      </c>
      <c r="M117" s="210" t="s">
        <v>177</v>
      </c>
      <c r="N117" s="215">
        <v>37511369742</v>
      </c>
      <c r="O117" s="215">
        <v>0</v>
      </c>
      <c r="P117" s="215">
        <v>0</v>
      </c>
      <c r="Q117" s="215">
        <v>0</v>
      </c>
      <c r="R117" s="215">
        <v>0</v>
      </c>
      <c r="S117" s="215">
        <v>0</v>
      </c>
      <c r="T117" s="215">
        <v>37511369742</v>
      </c>
      <c r="U117" s="215">
        <v>34742400000</v>
      </c>
      <c r="V117" s="215">
        <v>2768969742</v>
      </c>
      <c r="W117" s="216">
        <v>0.92618318762965102</v>
      </c>
      <c r="X117" s="215">
        <v>0</v>
      </c>
      <c r="Y117" s="215">
        <v>34742400000</v>
      </c>
      <c r="Z117" s="216">
        <v>1</v>
      </c>
      <c r="AA117" s="215">
        <v>0</v>
      </c>
      <c r="AB117" s="215">
        <v>0</v>
      </c>
      <c r="AC117" s="216">
        <v>0</v>
      </c>
    </row>
    <row r="118" spans="1:29" ht="24.95" customHeight="1">
      <c r="A118" s="32" t="s">
        <v>631</v>
      </c>
      <c r="B118" s="217" t="s">
        <v>442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176</v>
      </c>
      <c r="I118" s="219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37511369742</v>
      </c>
      <c r="O118" s="222"/>
      <c r="P118" s="222"/>
      <c r="Q118" s="222"/>
      <c r="R118" s="222"/>
      <c r="S118" s="222"/>
      <c r="T118" s="222">
        <v>37511369742</v>
      </c>
      <c r="U118" s="222">
        <v>34742400000</v>
      </c>
      <c r="V118" s="222">
        <v>2768969742</v>
      </c>
      <c r="W118" s="224">
        <v>0.92618318762965102</v>
      </c>
      <c r="X118" s="222">
        <v>0</v>
      </c>
      <c r="Y118" s="222">
        <v>34742400000</v>
      </c>
      <c r="Z118" s="224">
        <v>1</v>
      </c>
      <c r="AA118" s="222">
        <v>0</v>
      </c>
      <c r="AB118" s="222">
        <v>0</v>
      </c>
      <c r="AC118" s="224">
        <v>0</v>
      </c>
    </row>
    <row r="119" spans="1:29" ht="33">
      <c r="A119" s="32" t="s">
        <v>632</v>
      </c>
      <c r="B119" s="210" t="s">
        <v>443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179</v>
      </c>
      <c r="I119" s="212"/>
      <c r="J119" s="212"/>
      <c r="K119" s="213">
        <v>11</v>
      </c>
      <c r="L119" s="214" t="s">
        <v>29</v>
      </c>
      <c r="M119" s="210" t="s">
        <v>180</v>
      </c>
      <c r="N119" s="215">
        <v>8799663116</v>
      </c>
      <c r="O119" s="215">
        <v>0</v>
      </c>
      <c r="P119" s="215">
        <v>0</v>
      </c>
      <c r="Q119" s="215">
        <v>0</v>
      </c>
      <c r="R119" s="215">
        <v>0</v>
      </c>
      <c r="S119" s="215">
        <v>0</v>
      </c>
      <c r="T119" s="215">
        <v>8799663116</v>
      </c>
      <c r="U119" s="215">
        <v>8799663116</v>
      </c>
      <c r="V119" s="215">
        <v>0</v>
      </c>
      <c r="W119" s="216">
        <v>1</v>
      </c>
      <c r="X119" s="215">
        <v>3061382638</v>
      </c>
      <c r="Y119" s="215">
        <v>5738280478</v>
      </c>
      <c r="Z119" s="216">
        <v>0.65210229100320483</v>
      </c>
      <c r="AA119" s="215">
        <v>3061382638</v>
      </c>
      <c r="AB119" s="215">
        <v>0</v>
      </c>
      <c r="AC119" s="216">
        <v>0.34789770899679517</v>
      </c>
    </row>
    <row r="120" spans="1:29" ht="24.95" customHeight="1">
      <c r="A120" s="32" t="s">
        <v>633</v>
      </c>
      <c r="B120" s="217" t="s">
        <v>444</v>
      </c>
      <c r="C120" s="218" t="s">
        <v>167</v>
      </c>
      <c r="D120" s="219" t="s">
        <v>171</v>
      </c>
      <c r="E120" s="219" t="s">
        <v>172</v>
      </c>
      <c r="F120" s="219">
        <v>5</v>
      </c>
      <c r="G120" s="219" t="s">
        <v>175</v>
      </c>
      <c r="H120" s="219" t="s">
        <v>179</v>
      </c>
      <c r="I120" s="219" t="s">
        <v>54</v>
      </c>
      <c r="J120" s="219"/>
      <c r="K120" s="220">
        <v>11</v>
      </c>
      <c r="L120" s="221" t="s">
        <v>29</v>
      </c>
      <c r="M120" s="259" t="s">
        <v>178</v>
      </c>
      <c r="N120" s="222">
        <v>8799663116</v>
      </c>
      <c r="O120" s="222"/>
      <c r="P120" s="222"/>
      <c r="Q120" s="222"/>
      <c r="R120" s="636"/>
      <c r="S120" s="636"/>
      <c r="T120" s="222">
        <v>8799663116</v>
      </c>
      <c r="U120" s="222">
        <v>8799663116</v>
      </c>
      <c r="V120" s="222">
        <v>0</v>
      </c>
      <c r="W120" s="224">
        <v>1</v>
      </c>
      <c r="X120" s="222">
        <v>3061382638</v>
      </c>
      <c r="Y120" s="222">
        <v>5738280478</v>
      </c>
      <c r="Z120" s="224">
        <v>0.65210229100320483</v>
      </c>
      <c r="AA120" s="222">
        <v>3061382638</v>
      </c>
      <c r="AB120" s="222">
        <v>0</v>
      </c>
      <c r="AC120" s="224">
        <v>0.34789770899679517</v>
      </c>
    </row>
    <row r="121" spans="1:29" ht="49.5">
      <c r="A121" s="32" t="s">
        <v>634</v>
      </c>
      <c r="B121" s="210" t="s">
        <v>445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181</v>
      </c>
      <c r="I121" s="212"/>
      <c r="J121" s="212"/>
      <c r="K121" s="213">
        <v>11</v>
      </c>
      <c r="L121" s="214" t="s">
        <v>29</v>
      </c>
      <c r="M121" s="210" t="s">
        <v>182</v>
      </c>
      <c r="N121" s="215">
        <v>4325174580</v>
      </c>
      <c r="O121" s="215">
        <v>0</v>
      </c>
      <c r="P121" s="215">
        <v>0</v>
      </c>
      <c r="Q121" s="215">
        <v>0</v>
      </c>
      <c r="R121" s="215">
        <v>0</v>
      </c>
      <c r="S121" s="215">
        <v>0</v>
      </c>
      <c r="T121" s="215">
        <v>4325174580</v>
      </c>
      <c r="U121" s="215">
        <v>3022087127</v>
      </c>
      <c r="V121" s="215">
        <v>1303087453</v>
      </c>
      <c r="W121" s="216">
        <v>0.698720264604903</v>
      </c>
      <c r="X121" s="215">
        <v>1186192375</v>
      </c>
      <c r="Y121" s="215">
        <v>1835894752</v>
      </c>
      <c r="Z121" s="216">
        <v>0.60749233058097729</v>
      </c>
      <c r="AA121" s="215">
        <v>1186192375</v>
      </c>
      <c r="AB121" s="215">
        <v>0</v>
      </c>
      <c r="AC121" s="216">
        <v>0.39250766941902265</v>
      </c>
    </row>
    <row r="122" spans="1:29" ht="24.95" customHeight="1">
      <c r="A122" s="32" t="s">
        <v>635</v>
      </c>
      <c r="B122" s="217" t="s">
        <v>446</v>
      </c>
      <c r="C122" s="218" t="s">
        <v>167</v>
      </c>
      <c r="D122" s="219" t="s">
        <v>171</v>
      </c>
      <c r="E122" s="219" t="s">
        <v>172</v>
      </c>
      <c r="F122" s="219" t="s">
        <v>261</v>
      </c>
      <c r="G122" s="219" t="s">
        <v>175</v>
      </c>
      <c r="H122" s="219" t="s">
        <v>181</v>
      </c>
      <c r="I122" s="225" t="s">
        <v>54</v>
      </c>
      <c r="J122" s="219"/>
      <c r="K122" s="220">
        <v>11</v>
      </c>
      <c r="L122" s="221" t="s">
        <v>29</v>
      </c>
      <c r="M122" s="217" t="s">
        <v>178</v>
      </c>
      <c r="N122" s="222">
        <v>4325174580</v>
      </c>
      <c r="O122" s="222"/>
      <c r="P122" s="222"/>
      <c r="Q122" s="222"/>
      <c r="R122" s="222"/>
      <c r="S122" s="222"/>
      <c r="T122" s="222">
        <v>4325174580</v>
      </c>
      <c r="U122" s="222">
        <v>3022087127</v>
      </c>
      <c r="V122" s="222">
        <v>1303087453</v>
      </c>
      <c r="W122" s="224">
        <v>0.698720264604903</v>
      </c>
      <c r="X122" s="222">
        <v>1186192375</v>
      </c>
      <c r="Y122" s="222">
        <v>1835894752</v>
      </c>
      <c r="Z122" s="224">
        <v>0.60749233058097729</v>
      </c>
      <c r="AA122" s="222">
        <v>1186192375</v>
      </c>
      <c r="AB122" s="222">
        <v>0</v>
      </c>
      <c r="AC122" s="224">
        <v>0.39250766941902265</v>
      </c>
    </row>
    <row r="123" spans="1:29" ht="49.5">
      <c r="A123" s="32" t="s">
        <v>636</v>
      </c>
      <c r="B123" s="210" t="s">
        <v>447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183</v>
      </c>
      <c r="I123" s="212"/>
      <c r="J123" s="212"/>
      <c r="K123" s="213">
        <v>11</v>
      </c>
      <c r="L123" s="214" t="s">
        <v>29</v>
      </c>
      <c r="M123" s="210" t="s">
        <v>184</v>
      </c>
      <c r="N123" s="215">
        <v>7972098301</v>
      </c>
      <c r="O123" s="215">
        <v>0</v>
      </c>
      <c r="P123" s="215">
        <v>0</v>
      </c>
      <c r="Q123" s="215">
        <v>0</v>
      </c>
      <c r="R123" s="215">
        <v>0</v>
      </c>
      <c r="S123" s="215">
        <v>0</v>
      </c>
      <c r="T123" s="215">
        <v>7972098301</v>
      </c>
      <c r="U123" s="215">
        <v>7027400000</v>
      </c>
      <c r="V123" s="215">
        <v>944698301</v>
      </c>
      <c r="W123" s="216">
        <v>0.8814994164232145</v>
      </c>
      <c r="X123" s="215">
        <v>2646109785</v>
      </c>
      <c r="Y123" s="215">
        <v>4381290215</v>
      </c>
      <c r="Z123" s="216">
        <v>0.62345820858354439</v>
      </c>
      <c r="AA123" s="215">
        <v>2646109785</v>
      </c>
      <c r="AB123" s="215">
        <v>0</v>
      </c>
      <c r="AC123" s="216">
        <v>0.37654179141645561</v>
      </c>
    </row>
    <row r="124" spans="1:29" ht="24.95" customHeight="1">
      <c r="A124" s="32" t="s">
        <v>637</v>
      </c>
      <c r="B124" s="217" t="s">
        <v>448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183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7972098301</v>
      </c>
      <c r="O124" s="222"/>
      <c r="P124" s="222"/>
      <c r="Q124" s="222"/>
      <c r="R124" s="222"/>
      <c r="S124" s="222"/>
      <c r="T124" s="223">
        <v>7972098301</v>
      </c>
      <c r="U124" s="222">
        <v>7027400000</v>
      </c>
      <c r="V124" s="222">
        <v>944698301</v>
      </c>
      <c r="W124" s="224">
        <v>0.8814994164232145</v>
      </c>
      <c r="X124" s="222">
        <v>2646109785</v>
      </c>
      <c r="Y124" s="222">
        <v>4381290215</v>
      </c>
      <c r="Z124" s="224">
        <v>0.62345820858354439</v>
      </c>
      <c r="AA124" s="222">
        <v>2646109785</v>
      </c>
      <c r="AB124" s="222">
        <v>0</v>
      </c>
      <c r="AC124" s="224">
        <v>0.37654179141645561</v>
      </c>
    </row>
    <row r="125" spans="1:29" ht="24.95" customHeight="1">
      <c r="A125" s="32" t="s">
        <v>638</v>
      </c>
      <c r="B125" s="210" t="s">
        <v>449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185</v>
      </c>
      <c r="I125" s="212"/>
      <c r="J125" s="212"/>
      <c r="K125" s="213">
        <v>11</v>
      </c>
      <c r="L125" s="214" t="s">
        <v>29</v>
      </c>
      <c r="M125" s="210" t="s">
        <v>186</v>
      </c>
      <c r="N125" s="215">
        <v>5196200000</v>
      </c>
      <c r="O125" s="215">
        <v>0</v>
      </c>
      <c r="P125" s="215">
        <v>0</v>
      </c>
      <c r="Q125" s="215">
        <v>0</v>
      </c>
      <c r="R125" s="215">
        <v>0</v>
      </c>
      <c r="S125" s="215">
        <v>0</v>
      </c>
      <c r="T125" s="215">
        <v>5196200000</v>
      </c>
      <c r="U125" s="215">
        <v>5196200000</v>
      </c>
      <c r="V125" s="215">
        <v>0</v>
      </c>
      <c r="W125" s="216">
        <v>1</v>
      </c>
      <c r="X125" s="215">
        <v>1956586457</v>
      </c>
      <c r="Y125" s="215">
        <v>3239613543</v>
      </c>
      <c r="Z125" s="216">
        <v>0.62345820849851818</v>
      </c>
      <c r="AA125" s="215">
        <v>1956586457</v>
      </c>
      <c r="AB125" s="215">
        <v>0</v>
      </c>
      <c r="AC125" s="216">
        <v>0.37654179150148187</v>
      </c>
    </row>
    <row r="126" spans="1:29" ht="24.95" customHeight="1">
      <c r="A126" s="32" t="s">
        <v>639</v>
      </c>
      <c r="B126" s="217" t="s">
        <v>450</v>
      </c>
      <c r="C126" s="218" t="s">
        <v>167</v>
      </c>
      <c r="D126" s="219" t="s">
        <v>171</v>
      </c>
      <c r="E126" s="219" t="s">
        <v>172</v>
      </c>
      <c r="F126" s="219">
        <v>5</v>
      </c>
      <c r="G126" s="219" t="s">
        <v>175</v>
      </c>
      <c r="H126" s="219" t="s">
        <v>185</v>
      </c>
      <c r="I126" s="219" t="s">
        <v>54</v>
      </c>
      <c r="J126" s="219"/>
      <c r="K126" s="220">
        <v>11</v>
      </c>
      <c r="L126" s="221" t="s">
        <v>29</v>
      </c>
      <c r="M126" s="259" t="s">
        <v>178</v>
      </c>
      <c r="N126" s="222">
        <v>5196200000</v>
      </c>
      <c r="O126" s="222"/>
      <c r="P126" s="222"/>
      <c r="Q126" s="222"/>
      <c r="R126" s="222"/>
      <c r="S126" s="222"/>
      <c r="T126" s="222">
        <v>5196200000</v>
      </c>
      <c r="U126" s="222">
        <v>5196200000</v>
      </c>
      <c r="V126" s="222">
        <v>0</v>
      </c>
      <c r="W126" s="224">
        <v>1</v>
      </c>
      <c r="X126" s="222">
        <v>1956586457</v>
      </c>
      <c r="Y126" s="222">
        <v>3239613543</v>
      </c>
      <c r="Z126" s="224">
        <v>0.62345820849851818</v>
      </c>
      <c r="AA126" s="222">
        <v>1956586457</v>
      </c>
      <c r="AB126" s="222">
        <v>0</v>
      </c>
      <c r="AC126" s="224">
        <v>0.37654179150148187</v>
      </c>
    </row>
    <row r="127" spans="1:29" ht="33">
      <c r="A127" s="32" t="s">
        <v>640</v>
      </c>
      <c r="B127" s="210" t="s">
        <v>451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187</v>
      </c>
      <c r="I127" s="212"/>
      <c r="J127" s="212"/>
      <c r="K127" s="213">
        <v>11</v>
      </c>
      <c r="L127" s="214" t="s">
        <v>29</v>
      </c>
      <c r="M127" s="210" t="s">
        <v>188</v>
      </c>
      <c r="N127" s="215">
        <v>2593569161</v>
      </c>
      <c r="O127" s="215">
        <v>0</v>
      </c>
      <c r="P127" s="215">
        <v>0</v>
      </c>
      <c r="Q127" s="215">
        <v>0</v>
      </c>
      <c r="R127" s="215">
        <v>0</v>
      </c>
      <c r="S127" s="215">
        <v>0</v>
      </c>
      <c r="T127" s="215">
        <v>2593569161</v>
      </c>
      <c r="U127" s="215">
        <v>2593569161</v>
      </c>
      <c r="V127" s="215">
        <v>0</v>
      </c>
      <c r="W127" s="216">
        <v>1</v>
      </c>
      <c r="X127" s="215">
        <v>976587175</v>
      </c>
      <c r="Y127" s="215">
        <v>1616981986</v>
      </c>
      <c r="Z127" s="216">
        <v>0.62345820975776167</v>
      </c>
      <c r="AA127" s="215">
        <v>976587175</v>
      </c>
      <c r="AB127" s="215">
        <v>0</v>
      </c>
      <c r="AC127" s="216">
        <v>0.37654179024223833</v>
      </c>
    </row>
    <row r="128" spans="1:29" ht="24.95" customHeight="1">
      <c r="A128" s="32" t="s">
        <v>641</v>
      </c>
      <c r="B128" s="217" t="s">
        <v>452</v>
      </c>
      <c r="C128" s="218" t="s">
        <v>167</v>
      </c>
      <c r="D128" s="219" t="s">
        <v>171</v>
      </c>
      <c r="E128" s="219" t="s">
        <v>172</v>
      </c>
      <c r="F128" s="219" t="s">
        <v>261</v>
      </c>
      <c r="G128" s="219" t="s">
        <v>175</v>
      </c>
      <c r="H128" s="219" t="s">
        <v>187</v>
      </c>
      <c r="I128" s="219" t="s">
        <v>54</v>
      </c>
      <c r="J128" s="219"/>
      <c r="K128" s="220">
        <v>11</v>
      </c>
      <c r="L128" s="221" t="s">
        <v>29</v>
      </c>
      <c r="M128" s="217" t="s">
        <v>178</v>
      </c>
      <c r="N128" s="222">
        <v>2593569161</v>
      </c>
      <c r="O128" s="222"/>
      <c r="P128" s="222"/>
      <c r="Q128" s="222"/>
      <c r="R128" s="222"/>
      <c r="S128" s="222"/>
      <c r="T128" s="222">
        <v>2593569161</v>
      </c>
      <c r="U128" s="222">
        <v>2593569161</v>
      </c>
      <c r="V128" s="222">
        <v>0</v>
      </c>
      <c r="W128" s="224">
        <v>1</v>
      </c>
      <c r="X128" s="222">
        <v>976587175</v>
      </c>
      <c r="Y128" s="222">
        <v>1616981986</v>
      </c>
      <c r="Z128" s="224">
        <v>0.62345820975776167</v>
      </c>
      <c r="AA128" s="222">
        <v>976587175</v>
      </c>
      <c r="AB128" s="222">
        <v>0</v>
      </c>
      <c r="AC128" s="224">
        <v>0.37654179024223833</v>
      </c>
    </row>
    <row r="129" spans="1:29" ht="66">
      <c r="A129" s="32" t="s">
        <v>453</v>
      </c>
      <c r="B129" s="226" t="s">
        <v>454</v>
      </c>
      <c r="C129" s="227" t="s">
        <v>167</v>
      </c>
      <c r="D129" s="228" t="s">
        <v>171</v>
      </c>
      <c r="E129" s="228" t="s">
        <v>172</v>
      </c>
      <c r="F129" s="228" t="s">
        <v>173</v>
      </c>
      <c r="G129" s="228"/>
      <c r="H129" s="228"/>
      <c r="I129" s="228"/>
      <c r="J129" s="228"/>
      <c r="K129" s="229"/>
      <c r="L129" s="230"/>
      <c r="M129" s="231" t="s">
        <v>174</v>
      </c>
      <c r="N129" s="232">
        <v>118101757963</v>
      </c>
      <c r="O129" s="232">
        <v>0</v>
      </c>
      <c r="P129" s="232">
        <v>0</v>
      </c>
      <c r="Q129" s="232">
        <v>0</v>
      </c>
      <c r="R129" s="232">
        <v>0</v>
      </c>
      <c r="S129" s="232">
        <v>0</v>
      </c>
      <c r="T129" s="232">
        <v>118101757963</v>
      </c>
      <c r="U129" s="232">
        <v>107316843440</v>
      </c>
      <c r="V129" s="232">
        <v>10784914523</v>
      </c>
      <c r="W129" s="233">
        <v>0.90868116860395254</v>
      </c>
      <c r="X129" s="232">
        <v>41474300302</v>
      </c>
      <c r="Y129" s="232">
        <v>65842543138</v>
      </c>
      <c r="Z129" s="233">
        <v>0.61353410170708245</v>
      </c>
      <c r="AA129" s="232">
        <v>41465500302</v>
      </c>
      <c r="AB129" s="232">
        <v>8800000</v>
      </c>
      <c r="AC129" s="233">
        <v>0.38638389811738205</v>
      </c>
    </row>
    <row r="130" spans="1:29" ht="24.95" customHeight="1">
      <c r="A130" s="32" t="s">
        <v>455</v>
      </c>
      <c r="B130" s="210" t="s">
        <v>456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176</v>
      </c>
      <c r="I130" s="212"/>
      <c r="J130" s="212"/>
      <c r="K130" s="213" t="s">
        <v>144</v>
      </c>
      <c r="L130" s="214" t="s">
        <v>29</v>
      </c>
      <c r="M130" s="210" t="s">
        <v>177</v>
      </c>
      <c r="N130" s="215">
        <v>4947405600</v>
      </c>
      <c r="O130" s="215">
        <v>0</v>
      </c>
      <c r="P130" s="215">
        <v>0</v>
      </c>
      <c r="Q130" s="215">
        <v>0</v>
      </c>
      <c r="R130" s="215">
        <v>0</v>
      </c>
      <c r="S130" s="215">
        <v>0</v>
      </c>
      <c r="T130" s="215">
        <v>4947405600</v>
      </c>
      <c r="U130" s="215">
        <v>1947405600</v>
      </c>
      <c r="V130" s="215">
        <v>3000000000</v>
      </c>
      <c r="W130" s="216">
        <v>0.39362157814592763</v>
      </c>
      <c r="X130" s="215">
        <v>1947405600</v>
      </c>
      <c r="Y130" s="215">
        <v>0</v>
      </c>
      <c r="Z130" s="216">
        <v>0</v>
      </c>
      <c r="AA130" s="215">
        <v>1947405600</v>
      </c>
      <c r="AB130" s="215">
        <v>0</v>
      </c>
      <c r="AC130" s="216">
        <v>1</v>
      </c>
    </row>
    <row r="131" spans="1:29" ht="24.95" customHeight="1">
      <c r="A131" s="32" t="s">
        <v>457</v>
      </c>
      <c r="B131" s="217" t="s">
        <v>458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176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4947405600</v>
      </c>
      <c r="O131" s="222"/>
      <c r="P131" s="222"/>
      <c r="Q131" s="222"/>
      <c r="R131" s="222"/>
      <c r="S131" s="222"/>
      <c r="T131" s="222">
        <v>4947405600</v>
      </c>
      <c r="U131" s="222">
        <v>1947405600</v>
      </c>
      <c r="V131" s="222">
        <v>3000000000</v>
      </c>
      <c r="W131" s="224">
        <v>0.39362157814592763</v>
      </c>
      <c r="X131" s="222">
        <v>1947405600</v>
      </c>
      <c r="Y131" s="222">
        <v>0</v>
      </c>
      <c r="Z131" s="224">
        <v>0</v>
      </c>
      <c r="AA131" s="222">
        <v>1947405600</v>
      </c>
      <c r="AB131" s="222">
        <v>0</v>
      </c>
      <c r="AC131" s="224">
        <v>1</v>
      </c>
    </row>
    <row r="132" spans="1:29" ht="33">
      <c r="A132" s="32" t="s">
        <v>459</v>
      </c>
      <c r="B132" s="210" t="s">
        <v>460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179</v>
      </c>
      <c r="I132" s="212"/>
      <c r="J132" s="212"/>
      <c r="K132" s="213" t="s">
        <v>144</v>
      </c>
      <c r="L132" s="214" t="s">
        <v>29</v>
      </c>
      <c r="M132" s="210" t="s">
        <v>180</v>
      </c>
      <c r="N132" s="215">
        <v>27420887861</v>
      </c>
      <c r="O132" s="215">
        <v>0</v>
      </c>
      <c r="P132" s="215">
        <v>0</v>
      </c>
      <c r="Q132" s="215">
        <v>0</v>
      </c>
      <c r="R132" s="215">
        <v>0</v>
      </c>
      <c r="S132" s="215">
        <v>0</v>
      </c>
      <c r="T132" s="215">
        <v>27420887861</v>
      </c>
      <c r="U132" s="215">
        <v>27306887861</v>
      </c>
      <c r="V132" s="215">
        <v>114000000</v>
      </c>
      <c r="W132" s="216">
        <v>0.99584258538316195</v>
      </c>
      <c r="X132" s="215">
        <v>8887422379</v>
      </c>
      <c r="Y132" s="215">
        <v>18419465482</v>
      </c>
      <c r="Z132" s="216">
        <v>0.67453550824833775</v>
      </c>
      <c r="AA132" s="215">
        <v>8887422379</v>
      </c>
      <c r="AB132" s="215">
        <v>0</v>
      </c>
      <c r="AC132" s="216">
        <v>0.32546449175166225</v>
      </c>
    </row>
    <row r="133" spans="1:29" ht="24.95" customHeight="1">
      <c r="A133" s="32" t="s">
        <v>461</v>
      </c>
      <c r="B133" s="217" t="s">
        <v>462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179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27420887861</v>
      </c>
      <c r="O133" s="222"/>
      <c r="P133" s="222"/>
      <c r="Q133" s="222"/>
      <c r="R133" s="222"/>
      <c r="S133" s="222"/>
      <c r="T133" s="222">
        <v>27420887861</v>
      </c>
      <c r="U133" s="222">
        <v>27306887861</v>
      </c>
      <c r="V133" s="222">
        <v>114000000</v>
      </c>
      <c r="W133" s="224">
        <v>0.99584258538316195</v>
      </c>
      <c r="X133" s="222">
        <v>8887422379</v>
      </c>
      <c r="Y133" s="222">
        <v>18419465482</v>
      </c>
      <c r="Z133" s="224">
        <v>0.67453550824833775</v>
      </c>
      <c r="AA133" s="222">
        <v>8887422379</v>
      </c>
      <c r="AB133" s="222">
        <v>0</v>
      </c>
      <c r="AC133" s="224">
        <v>0.32546449175166225</v>
      </c>
    </row>
    <row r="134" spans="1:29" ht="49.5">
      <c r="A134" s="32" t="s">
        <v>463</v>
      </c>
      <c r="B134" s="210" t="s">
        <v>464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181</v>
      </c>
      <c r="I134" s="212"/>
      <c r="J134" s="212"/>
      <c r="K134" s="213" t="s">
        <v>144</v>
      </c>
      <c r="L134" s="214" t="s">
        <v>29</v>
      </c>
      <c r="M134" s="210" t="s">
        <v>182</v>
      </c>
      <c r="N134" s="215">
        <v>17722088000</v>
      </c>
      <c r="O134" s="215">
        <v>0</v>
      </c>
      <c r="P134" s="215">
        <v>0</v>
      </c>
      <c r="Q134" s="215">
        <v>0</v>
      </c>
      <c r="R134" s="215">
        <v>0</v>
      </c>
      <c r="S134" s="215">
        <v>0</v>
      </c>
      <c r="T134" s="215">
        <v>17722088000</v>
      </c>
      <c r="U134" s="215">
        <v>17722088000</v>
      </c>
      <c r="V134" s="215">
        <v>0</v>
      </c>
      <c r="W134" s="216">
        <v>1</v>
      </c>
      <c r="X134" s="215">
        <v>9433317024</v>
      </c>
      <c r="Y134" s="215">
        <v>8288770976</v>
      </c>
      <c r="Z134" s="216">
        <v>0.46770848762290312</v>
      </c>
      <c r="AA134" s="215">
        <v>9433317024</v>
      </c>
      <c r="AB134" s="215">
        <v>0</v>
      </c>
      <c r="AC134" s="216">
        <v>0.53229151237709682</v>
      </c>
    </row>
    <row r="135" spans="1:29" ht="24.95" customHeight="1">
      <c r="A135" s="32" t="s">
        <v>465</v>
      </c>
      <c r="B135" s="217" t="s">
        <v>466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181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17722088000</v>
      </c>
      <c r="O135" s="222"/>
      <c r="P135" s="222"/>
      <c r="Q135" s="222"/>
      <c r="R135" s="222"/>
      <c r="S135" s="222"/>
      <c r="T135" s="222">
        <v>17722088000</v>
      </c>
      <c r="U135" s="222">
        <v>17722088000</v>
      </c>
      <c r="V135" s="222">
        <v>0</v>
      </c>
      <c r="W135" s="224">
        <v>1</v>
      </c>
      <c r="X135" s="222">
        <v>9433317024</v>
      </c>
      <c r="Y135" s="222">
        <v>8288770976</v>
      </c>
      <c r="Z135" s="224">
        <v>0.46770848762290312</v>
      </c>
      <c r="AA135" s="222">
        <v>9433317024</v>
      </c>
      <c r="AB135" s="222">
        <v>0</v>
      </c>
      <c r="AC135" s="224">
        <v>0.53229151237709682</v>
      </c>
    </row>
    <row r="136" spans="1:29" ht="49.5">
      <c r="A136" s="32" t="s">
        <v>467</v>
      </c>
      <c r="B136" s="210" t="s">
        <v>468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183</v>
      </c>
      <c r="I136" s="212"/>
      <c r="J136" s="212"/>
      <c r="K136" s="213" t="s">
        <v>144</v>
      </c>
      <c r="L136" s="214" t="s">
        <v>29</v>
      </c>
      <c r="M136" s="210" t="s">
        <v>184</v>
      </c>
      <c r="N136" s="215">
        <v>16276997084</v>
      </c>
      <c r="O136" s="215">
        <v>0</v>
      </c>
      <c r="P136" s="215">
        <v>0</v>
      </c>
      <c r="Q136" s="215">
        <v>0</v>
      </c>
      <c r="R136" s="215">
        <v>0</v>
      </c>
      <c r="S136" s="215">
        <v>0</v>
      </c>
      <c r="T136" s="215">
        <v>16276997084</v>
      </c>
      <c r="U136" s="215">
        <v>15674670975</v>
      </c>
      <c r="V136" s="215">
        <v>602326109</v>
      </c>
      <c r="W136" s="216">
        <v>0.96299525607262804</v>
      </c>
      <c r="X136" s="215">
        <v>12392408267</v>
      </c>
      <c r="Y136" s="215">
        <v>3282262708</v>
      </c>
      <c r="Z136" s="216">
        <v>0.20939914548987845</v>
      </c>
      <c r="AA136" s="215">
        <v>12383608267</v>
      </c>
      <c r="AB136" s="215">
        <v>8800000</v>
      </c>
      <c r="AC136" s="216">
        <v>0.79003943921700082</v>
      </c>
    </row>
    <row r="137" spans="1:29" ht="24.95" customHeight="1">
      <c r="A137" s="32" t="s">
        <v>469</v>
      </c>
      <c r="B137" s="217" t="s">
        <v>470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183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16276997084</v>
      </c>
      <c r="O137" s="222"/>
      <c r="P137" s="222"/>
      <c r="Q137" s="222"/>
      <c r="R137" s="222"/>
      <c r="S137" s="222"/>
      <c r="T137" s="222">
        <v>16276997084</v>
      </c>
      <c r="U137" s="222">
        <v>15674670975</v>
      </c>
      <c r="V137" s="222">
        <v>602326109</v>
      </c>
      <c r="W137" s="224">
        <v>0.96299525607262804</v>
      </c>
      <c r="X137" s="222">
        <v>12392408267</v>
      </c>
      <c r="Y137" s="222">
        <v>3282262708</v>
      </c>
      <c r="Z137" s="224">
        <v>0.20939914548987845</v>
      </c>
      <c r="AA137" s="222">
        <v>12383608267</v>
      </c>
      <c r="AB137" s="222">
        <v>8800000</v>
      </c>
      <c r="AC137" s="224">
        <v>0.79003943921700082</v>
      </c>
    </row>
    <row r="138" spans="1:29" ht="24.95" customHeight="1">
      <c r="A138" s="32" t="s">
        <v>471</v>
      </c>
      <c r="B138" s="210" t="s">
        <v>472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185</v>
      </c>
      <c r="I138" s="212"/>
      <c r="J138" s="212"/>
      <c r="K138" s="213" t="s">
        <v>144</v>
      </c>
      <c r="L138" s="214" t="s">
        <v>29</v>
      </c>
      <c r="M138" s="210" t="s">
        <v>186</v>
      </c>
      <c r="N138" s="215">
        <v>30467075662</v>
      </c>
      <c r="O138" s="215">
        <v>0</v>
      </c>
      <c r="P138" s="215">
        <v>0</v>
      </c>
      <c r="Q138" s="215">
        <v>0</v>
      </c>
      <c r="R138" s="215">
        <v>0</v>
      </c>
      <c r="S138" s="215">
        <v>0</v>
      </c>
      <c r="T138" s="215">
        <v>30467075662</v>
      </c>
      <c r="U138" s="215">
        <v>23398487248</v>
      </c>
      <c r="V138" s="215">
        <v>7068588414</v>
      </c>
      <c r="W138" s="216">
        <v>0.76799255391562626</v>
      </c>
      <c r="X138" s="215">
        <v>436966434</v>
      </c>
      <c r="Y138" s="215">
        <v>22961520814</v>
      </c>
      <c r="Z138" s="216">
        <v>0.98132501347764056</v>
      </c>
      <c r="AA138" s="215">
        <v>436966434</v>
      </c>
      <c r="AB138" s="215">
        <v>0</v>
      </c>
      <c r="AC138" s="216">
        <v>1.8674986522359473E-2</v>
      </c>
    </row>
    <row r="139" spans="1:29" ht="24.95" customHeight="1">
      <c r="A139" s="32" t="s">
        <v>473</v>
      </c>
      <c r="B139" s="217" t="s">
        <v>474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185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30467075662</v>
      </c>
      <c r="O139" s="222"/>
      <c r="P139" s="222"/>
      <c r="Q139" s="222"/>
      <c r="R139" s="222"/>
      <c r="S139" s="222"/>
      <c r="T139" s="222">
        <v>30467075662</v>
      </c>
      <c r="U139" s="222">
        <v>23398487248</v>
      </c>
      <c r="V139" s="222">
        <v>7068588414</v>
      </c>
      <c r="W139" s="224">
        <v>0.76799255391562626</v>
      </c>
      <c r="X139" s="222">
        <v>436966434</v>
      </c>
      <c r="Y139" s="222">
        <v>22961520814</v>
      </c>
      <c r="Z139" s="224">
        <v>0.98132501347764056</v>
      </c>
      <c r="AA139" s="222">
        <v>436966434</v>
      </c>
      <c r="AB139" s="222">
        <v>0</v>
      </c>
      <c r="AC139" s="224">
        <v>1.8674986522359473E-2</v>
      </c>
    </row>
    <row r="140" spans="1:29" ht="33">
      <c r="A140" s="32" t="s">
        <v>475</v>
      </c>
      <c r="B140" s="210" t="s">
        <v>476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187</v>
      </c>
      <c r="I140" s="212"/>
      <c r="J140" s="212"/>
      <c r="K140" s="213" t="s">
        <v>144</v>
      </c>
      <c r="L140" s="214" t="s">
        <v>29</v>
      </c>
      <c r="M140" s="210" t="s">
        <v>188</v>
      </c>
      <c r="N140" s="215">
        <v>21267303756</v>
      </c>
      <c r="O140" s="215">
        <v>0</v>
      </c>
      <c r="P140" s="215">
        <v>0</v>
      </c>
      <c r="Q140" s="215">
        <v>0</v>
      </c>
      <c r="R140" s="215">
        <v>0</v>
      </c>
      <c r="S140" s="215">
        <v>0</v>
      </c>
      <c r="T140" s="215">
        <v>21267303756</v>
      </c>
      <c r="U140" s="215">
        <v>21267303756</v>
      </c>
      <c r="V140" s="215">
        <v>0</v>
      </c>
      <c r="W140" s="216">
        <v>1</v>
      </c>
      <c r="X140" s="215">
        <v>8376780598</v>
      </c>
      <c r="Y140" s="215">
        <v>12890523158</v>
      </c>
      <c r="Z140" s="216">
        <v>0.60611929494651073</v>
      </c>
      <c r="AA140" s="215">
        <v>8376780598</v>
      </c>
      <c r="AB140" s="215">
        <v>0</v>
      </c>
      <c r="AC140" s="216">
        <v>0.39388070505348927</v>
      </c>
    </row>
    <row r="141" spans="1:29" ht="24.95" customHeight="1">
      <c r="A141" s="32" t="s">
        <v>477</v>
      </c>
      <c r="B141" s="217" t="s">
        <v>478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187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4435143756</v>
      </c>
      <c r="O141" s="222"/>
      <c r="P141" s="222"/>
      <c r="Q141" s="222"/>
      <c r="R141" s="222"/>
      <c r="S141" s="222"/>
      <c r="T141" s="222">
        <v>4435143756</v>
      </c>
      <c r="U141" s="222">
        <v>4435143756</v>
      </c>
      <c r="V141" s="222">
        <v>0</v>
      </c>
      <c r="W141" s="224">
        <v>1</v>
      </c>
      <c r="X141" s="222">
        <v>4435143756</v>
      </c>
      <c r="Y141" s="222">
        <v>0</v>
      </c>
      <c r="Z141" s="224">
        <v>0</v>
      </c>
      <c r="AA141" s="222">
        <v>4435143756</v>
      </c>
      <c r="AB141" s="222">
        <v>0</v>
      </c>
      <c r="AC141" s="224">
        <v>1</v>
      </c>
    </row>
    <row r="142" spans="1:29" ht="24.95" customHeight="1">
      <c r="A142" s="32" t="s">
        <v>479</v>
      </c>
      <c r="B142" s="217" t="s">
        <v>480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187</v>
      </c>
      <c r="I142" s="225" t="s">
        <v>65</v>
      </c>
      <c r="J142" s="219"/>
      <c r="K142" s="220" t="s">
        <v>144</v>
      </c>
      <c r="L142" s="221" t="s">
        <v>29</v>
      </c>
      <c r="M142" s="259" t="s">
        <v>127</v>
      </c>
      <c r="N142" s="222">
        <v>16832160000</v>
      </c>
      <c r="O142" s="222"/>
      <c r="P142" s="222"/>
      <c r="Q142" s="222"/>
      <c r="R142" s="222"/>
      <c r="S142" s="222"/>
      <c r="T142" s="222">
        <v>16832160000</v>
      </c>
      <c r="U142" s="222">
        <v>16832160000</v>
      </c>
      <c r="V142" s="222">
        <v>0</v>
      </c>
      <c r="W142" s="224">
        <v>1</v>
      </c>
      <c r="X142" s="222">
        <v>3941636842</v>
      </c>
      <c r="Y142" s="222">
        <v>12890523158</v>
      </c>
      <c r="Z142" s="224">
        <v>0.76582703336945468</v>
      </c>
      <c r="AA142" s="222">
        <v>3941636842</v>
      </c>
      <c r="AB142" s="222">
        <v>0</v>
      </c>
      <c r="AC142" s="224">
        <v>0.23417296663054535</v>
      </c>
    </row>
    <row r="143" spans="1:29" ht="35.1" customHeight="1">
      <c r="A143" s="32" t="s">
        <v>481</v>
      </c>
      <c r="B143" s="188" t="s">
        <v>482</v>
      </c>
      <c r="C143" s="189" t="s">
        <v>167</v>
      </c>
      <c r="D143" s="191">
        <v>4103</v>
      </c>
      <c r="E143" s="191"/>
      <c r="F143" s="191"/>
      <c r="G143" s="191"/>
      <c r="H143" s="191"/>
      <c r="I143" s="191"/>
      <c r="J143" s="191"/>
      <c r="K143" s="192"/>
      <c r="L143" s="193"/>
      <c r="M143" s="188" t="s">
        <v>189</v>
      </c>
      <c r="N143" s="194">
        <v>3297855758141</v>
      </c>
      <c r="O143" s="194">
        <v>0</v>
      </c>
      <c r="P143" s="194">
        <v>0</v>
      </c>
      <c r="Q143" s="194">
        <v>394121217618.81</v>
      </c>
      <c r="R143" s="194">
        <v>394121217618.81</v>
      </c>
      <c r="S143" s="194">
        <v>580000000000</v>
      </c>
      <c r="T143" s="194">
        <v>2717855758141</v>
      </c>
      <c r="U143" s="194">
        <v>2494188229895.9497</v>
      </c>
      <c r="V143" s="194">
        <v>223667528245.04999</v>
      </c>
      <c r="W143" s="195">
        <v>0.91770441548449289</v>
      </c>
      <c r="X143" s="194">
        <v>1698639350474.1499</v>
      </c>
      <c r="Y143" s="194">
        <v>795548879421.80017</v>
      </c>
      <c r="Z143" s="195">
        <v>0.3189610430705096</v>
      </c>
      <c r="AA143" s="194">
        <v>1698198980787.1499</v>
      </c>
      <c r="AB143" s="194">
        <v>440369687</v>
      </c>
      <c r="AC143" s="195">
        <v>0.68086239860814102</v>
      </c>
    </row>
    <row r="144" spans="1:29" ht="24.95" customHeight="1">
      <c r="A144" s="32" t="s">
        <v>483</v>
      </c>
      <c r="B144" s="196" t="s">
        <v>296</v>
      </c>
      <c r="C144" s="197" t="s">
        <v>167</v>
      </c>
      <c r="D144" s="198">
        <v>4103</v>
      </c>
      <c r="E144" s="198">
        <v>1500</v>
      </c>
      <c r="F144" s="198"/>
      <c r="G144" s="198"/>
      <c r="H144" s="198"/>
      <c r="I144" s="198"/>
      <c r="J144" s="198"/>
      <c r="K144" s="199"/>
      <c r="L144" s="200"/>
      <c r="M144" s="196" t="s">
        <v>170</v>
      </c>
      <c r="N144" s="201">
        <v>3297855758141</v>
      </c>
      <c r="O144" s="201">
        <v>0</v>
      </c>
      <c r="P144" s="201">
        <v>0</v>
      </c>
      <c r="Q144" s="201">
        <v>394121217618.81</v>
      </c>
      <c r="R144" s="201">
        <v>394121217618.81</v>
      </c>
      <c r="S144" s="201">
        <v>580000000000</v>
      </c>
      <c r="T144" s="201">
        <v>2717855758141</v>
      </c>
      <c r="U144" s="201">
        <v>2494188229895.9497</v>
      </c>
      <c r="V144" s="201">
        <v>223667528245.04999</v>
      </c>
      <c r="W144" s="202">
        <v>0.91770441548449289</v>
      </c>
      <c r="X144" s="201">
        <v>1698639350474.1499</v>
      </c>
      <c r="Y144" s="201">
        <v>795548879421.80017</v>
      </c>
      <c r="Z144" s="202">
        <v>0.3189610430705096</v>
      </c>
      <c r="AA144" s="201">
        <v>1698198980787.1499</v>
      </c>
      <c r="AB144" s="201">
        <v>440369687</v>
      </c>
      <c r="AC144" s="202">
        <v>0.68086239860814102</v>
      </c>
    </row>
    <row r="145" spans="1:52" ht="33">
      <c r="A145" s="32" t="s">
        <v>484</v>
      </c>
      <c r="B145" s="203" t="s">
        <v>297</v>
      </c>
      <c r="C145" s="227" t="s">
        <v>167</v>
      </c>
      <c r="D145" s="228" t="s">
        <v>190</v>
      </c>
      <c r="E145" s="228" t="s">
        <v>172</v>
      </c>
      <c r="F145" s="228" t="s">
        <v>191</v>
      </c>
      <c r="G145" s="228"/>
      <c r="H145" s="228"/>
      <c r="I145" s="228"/>
      <c r="J145" s="228"/>
      <c r="K145" s="229"/>
      <c r="L145" s="230"/>
      <c r="M145" s="231" t="s">
        <v>280</v>
      </c>
      <c r="N145" s="232">
        <v>1879080064351</v>
      </c>
      <c r="O145" s="232">
        <v>0</v>
      </c>
      <c r="P145" s="232">
        <v>0</v>
      </c>
      <c r="Q145" s="232">
        <v>49816807901.169998</v>
      </c>
      <c r="R145" s="232">
        <v>49816807901.169998</v>
      </c>
      <c r="S145" s="232">
        <v>60000000000</v>
      </c>
      <c r="T145" s="232">
        <v>1819080064351</v>
      </c>
      <c r="U145" s="232">
        <v>1746914577478.6699</v>
      </c>
      <c r="V145" s="232">
        <v>72165486872.330017</v>
      </c>
      <c r="W145" s="233">
        <v>0.9603285813051462</v>
      </c>
      <c r="X145" s="232">
        <v>1409926107258.96</v>
      </c>
      <c r="Y145" s="232">
        <v>336988470219.71002</v>
      </c>
      <c r="Z145" s="233">
        <v>0.19290495057067247</v>
      </c>
      <c r="AA145" s="232">
        <v>1409913587851.96</v>
      </c>
      <c r="AB145" s="232">
        <v>12519407</v>
      </c>
      <c r="AC145" s="233">
        <v>0.80708788284707944</v>
      </c>
    </row>
    <row r="146" spans="1:52" ht="33">
      <c r="A146" s="32" t="s">
        <v>485</v>
      </c>
      <c r="B146" s="210" t="s">
        <v>486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 t="s">
        <v>193</v>
      </c>
      <c r="I146" s="212"/>
      <c r="J146" s="212"/>
      <c r="K146" s="213"/>
      <c r="L146" s="214"/>
      <c r="M146" s="210" t="s">
        <v>194</v>
      </c>
      <c r="N146" s="215">
        <v>1873368757333</v>
      </c>
      <c r="O146" s="215">
        <v>0</v>
      </c>
      <c r="P146" s="215">
        <v>0</v>
      </c>
      <c r="Q146" s="215">
        <v>49816807901.169998</v>
      </c>
      <c r="R146" s="215">
        <v>49816807901.169998</v>
      </c>
      <c r="S146" s="215">
        <v>60000000000</v>
      </c>
      <c r="T146" s="215">
        <v>1813368757333</v>
      </c>
      <c r="U146" s="215">
        <v>1741803270460.6699</v>
      </c>
      <c r="V146" s="215">
        <v>71565486872.330017</v>
      </c>
      <c r="W146" s="216">
        <v>0.96053450982712163</v>
      </c>
      <c r="X146" s="215">
        <v>1408790261258.96</v>
      </c>
      <c r="Y146" s="215">
        <v>333013009201.71002</v>
      </c>
      <c r="Z146" s="216">
        <v>0.19118864618599274</v>
      </c>
      <c r="AA146" s="215">
        <v>1408777741851.96</v>
      </c>
      <c r="AB146" s="215">
        <v>12519407</v>
      </c>
      <c r="AC146" s="216">
        <v>0.80880416620148399</v>
      </c>
    </row>
    <row r="147" spans="1:52" s="64" customFormat="1" ht="24.95" customHeight="1">
      <c r="A147" s="32" t="s">
        <v>487</v>
      </c>
      <c r="B147" s="217" t="s">
        <v>488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 t="s">
        <v>193</v>
      </c>
      <c r="I147" s="267" t="s">
        <v>54</v>
      </c>
      <c r="J147" s="219"/>
      <c r="K147" s="220">
        <v>10</v>
      </c>
      <c r="L147" s="221" t="s">
        <v>29</v>
      </c>
      <c r="M147" s="259" t="s">
        <v>178</v>
      </c>
      <c r="N147" s="222">
        <v>170514008840.17001</v>
      </c>
      <c r="O147" s="637"/>
      <c r="P147" s="638"/>
      <c r="Q147" s="223"/>
      <c r="R147" s="223">
        <v>49816807901.169998</v>
      </c>
      <c r="S147" s="223"/>
      <c r="T147" s="222">
        <v>120697200939.00002</v>
      </c>
      <c r="U147" s="222">
        <v>94308868318.839996</v>
      </c>
      <c r="V147" s="222">
        <v>26388332620.160019</v>
      </c>
      <c r="W147" s="224">
        <v>0.78136748478950557</v>
      </c>
      <c r="X147" s="222">
        <v>43991625090.959999</v>
      </c>
      <c r="Y147" s="222">
        <v>50317243227.879997</v>
      </c>
      <c r="Z147" s="224">
        <v>0.53353670895262106</v>
      </c>
      <c r="AA147" s="222">
        <v>43979105683.959999</v>
      </c>
      <c r="AB147" s="222">
        <v>12519407</v>
      </c>
      <c r="AC147" s="224">
        <v>0.46633054205756314</v>
      </c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</row>
    <row r="148" spans="1:52" ht="24.95" customHeight="1">
      <c r="A148" s="32" t="s">
        <v>490</v>
      </c>
      <c r="B148" s="217" t="s">
        <v>491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 t="s">
        <v>193</v>
      </c>
      <c r="I148" s="267" t="s">
        <v>65</v>
      </c>
      <c r="J148" s="219"/>
      <c r="K148" s="220">
        <v>10</v>
      </c>
      <c r="L148" s="221" t="s">
        <v>29</v>
      </c>
      <c r="M148" s="259" t="s">
        <v>127</v>
      </c>
      <c r="N148" s="222">
        <v>11682690576.83</v>
      </c>
      <c r="O148" s="637"/>
      <c r="P148" s="638"/>
      <c r="Q148" s="223">
        <v>49816807901.169998</v>
      </c>
      <c r="R148" s="223"/>
      <c r="S148" s="223"/>
      <c r="T148" s="222">
        <v>61499498478</v>
      </c>
      <c r="U148" s="222">
        <v>16322344225.83</v>
      </c>
      <c r="V148" s="222">
        <v>45177154252.169998</v>
      </c>
      <c r="W148" s="224">
        <v>0.26540613549342901</v>
      </c>
      <c r="X148" s="222">
        <v>16322228275</v>
      </c>
      <c r="Y148" s="222">
        <v>115950.82999992371</v>
      </c>
      <c r="Z148" s="224">
        <v>7.1038098691995658E-6</v>
      </c>
      <c r="AA148" s="222">
        <v>16322228275</v>
      </c>
      <c r="AB148" s="222">
        <v>0</v>
      </c>
      <c r="AC148" s="224">
        <v>0.99999289619013076</v>
      </c>
    </row>
    <row r="149" spans="1:52" ht="24.95" customHeight="1">
      <c r="A149" s="32" t="s">
        <v>492</v>
      </c>
      <c r="B149" s="217" t="s">
        <v>491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65</v>
      </c>
      <c r="J149" s="267"/>
      <c r="K149" s="268" t="s">
        <v>144</v>
      </c>
      <c r="L149" s="269" t="s">
        <v>29</v>
      </c>
      <c r="M149" s="259" t="s">
        <v>127</v>
      </c>
      <c r="N149" s="222">
        <v>1691172057916</v>
      </c>
      <c r="O149" s="637"/>
      <c r="P149" s="638"/>
      <c r="Q149" s="223"/>
      <c r="R149" s="223"/>
      <c r="S149" s="223">
        <v>60000000000</v>
      </c>
      <c r="T149" s="222">
        <v>1631172057916</v>
      </c>
      <c r="U149" s="222">
        <v>1631172057916</v>
      </c>
      <c r="V149" s="222">
        <v>0</v>
      </c>
      <c r="W149" s="224">
        <v>1</v>
      </c>
      <c r="X149" s="222">
        <v>1348476407893</v>
      </c>
      <c r="Y149" s="222">
        <v>282695650023</v>
      </c>
      <c r="Z149" s="224">
        <v>0.17330829611204504</v>
      </c>
      <c r="AA149" s="222">
        <v>1348476407893</v>
      </c>
      <c r="AB149" s="222">
        <v>0</v>
      </c>
      <c r="AC149" s="224">
        <v>0.82669170388795499</v>
      </c>
    </row>
    <row r="150" spans="1:52" ht="33">
      <c r="A150" s="32" t="s">
        <v>493</v>
      </c>
      <c r="B150" s="210" t="s">
        <v>494</v>
      </c>
      <c r="C150" s="211" t="s">
        <v>167</v>
      </c>
      <c r="D150" s="212" t="s">
        <v>190</v>
      </c>
      <c r="E150" s="212" t="s">
        <v>172</v>
      </c>
      <c r="F150" s="212" t="s">
        <v>191</v>
      </c>
      <c r="G150" s="212" t="s">
        <v>175</v>
      </c>
      <c r="H150" s="212">
        <v>4103009</v>
      </c>
      <c r="I150" s="212"/>
      <c r="J150" s="212"/>
      <c r="K150" s="252">
        <v>10</v>
      </c>
      <c r="L150" s="214" t="s">
        <v>29</v>
      </c>
      <c r="M150" s="210" t="s">
        <v>195</v>
      </c>
      <c r="N150" s="215">
        <v>5711307018</v>
      </c>
      <c r="O150" s="215">
        <v>0</v>
      </c>
      <c r="P150" s="215">
        <v>0</v>
      </c>
      <c r="Q150" s="215">
        <v>0</v>
      </c>
      <c r="R150" s="215">
        <v>0</v>
      </c>
      <c r="S150" s="215">
        <v>0</v>
      </c>
      <c r="T150" s="215">
        <v>5711307018</v>
      </c>
      <c r="U150" s="215">
        <v>5111307018</v>
      </c>
      <c r="V150" s="215">
        <v>600000000</v>
      </c>
      <c r="W150" s="216">
        <v>0.89494523790981395</v>
      </c>
      <c r="X150" s="215">
        <v>1135846000</v>
      </c>
      <c r="Y150" s="215">
        <v>3975461018</v>
      </c>
      <c r="Z150" s="216">
        <v>0.77777777856035646</v>
      </c>
      <c r="AA150" s="215">
        <v>1135846000</v>
      </c>
      <c r="AB150" s="215">
        <v>0</v>
      </c>
      <c r="AC150" s="216">
        <v>0.22222222143964351</v>
      </c>
    </row>
    <row r="151" spans="1:52" ht="24.95" customHeight="1">
      <c r="A151" s="32" t="s">
        <v>495</v>
      </c>
      <c r="B151" s="217" t="s">
        <v>496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>
        <v>4103009</v>
      </c>
      <c r="I151" s="267" t="s">
        <v>54</v>
      </c>
      <c r="J151" s="219"/>
      <c r="K151" s="270">
        <v>10</v>
      </c>
      <c r="L151" s="221" t="s">
        <v>29</v>
      </c>
      <c r="M151" s="259" t="s">
        <v>178</v>
      </c>
      <c r="N151" s="222">
        <v>5711307018</v>
      </c>
      <c r="O151" s="222"/>
      <c r="P151" s="636"/>
      <c r="Q151" s="222"/>
      <c r="R151" s="222"/>
      <c r="S151" s="222"/>
      <c r="T151" s="222">
        <v>5711307018</v>
      </c>
      <c r="U151" s="222">
        <v>5111307018</v>
      </c>
      <c r="V151" s="222">
        <v>600000000</v>
      </c>
      <c r="W151" s="224">
        <v>0.89494523790981395</v>
      </c>
      <c r="X151" s="222">
        <v>1135846000</v>
      </c>
      <c r="Y151" s="222">
        <v>3975461018</v>
      </c>
      <c r="Z151" s="224">
        <v>0.77777777856035646</v>
      </c>
      <c r="AA151" s="222">
        <v>1135846000</v>
      </c>
      <c r="AB151" s="222">
        <v>0</v>
      </c>
      <c r="AC151" s="224">
        <v>0.22222222143964351</v>
      </c>
    </row>
    <row r="152" spans="1:52" s="64" customFormat="1" ht="33">
      <c r="A152" s="32" t="s">
        <v>499</v>
      </c>
      <c r="B152" s="226" t="s">
        <v>298</v>
      </c>
      <c r="C152" s="227" t="s">
        <v>167</v>
      </c>
      <c r="D152" s="228" t="s">
        <v>190</v>
      </c>
      <c r="E152" s="228" t="s">
        <v>172</v>
      </c>
      <c r="F152" s="228" t="s">
        <v>22</v>
      </c>
      <c r="G152" s="228"/>
      <c r="H152" s="228"/>
      <c r="I152" s="228"/>
      <c r="J152" s="228"/>
      <c r="K152" s="229"/>
      <c r="L152" s="230"/>
      <c r="M152" s="231" t="s">
        <v>264</v>
      </c>
      <c r="N152" s="232">
        <v>25903028858</v>
      </c>
      <c r="O152" s="232">
        <v>0</v>
      </c>
      <c r="P152" s="232">
        <v>0</v>
      </c>
      <c r="Q152" s="232">
        <v>1354183051</v>
      </c>
      <c r="R152" s="232">
        <v>0</v>
      </c>
      <c r="S152" s="232">
        <v>0</v>
      </c>
      <c r="T152" s="232">
        <v>27257211909</v>
      </c>
      <c r="U152" s="232">
        <v>15364091281</v>
      </c>
      <c r="V152" s="232">
        <v>11893120628</v>
      </c>
      <c r="W152" s="233">
        <v>0.56367068401177756</v>
      </c>
      <c r="X152" s="232">
        <v>5778028002</v>
      </c>
      <c r="Y152" s="232">
        <v>9586063279</v>
      </c>
      <c r="Z152" s="233">
        <v>0.62392647268729806</v>
      </c>
      <c r="AA152" s="232">
        <v>5759078939</v>
      </c>
      <c r="AB152" s="232">
        <v>18949063</v>
      </c>
      <c r="AC152" s="233">
        <v>0.37484019286724518</v>
      </c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</row>
    <row r="153" spans="1:52" ht="33">
      <c r="A153" s="32" t="s">
        <v>642</v>
      </c>
      <c r="B153" s="210" t="s">
        <v>500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197</v>
      </c>
      <c r="I153" s="212"/>
      <c r="J153" s="212"/>
      <c r="K153" s="213">
        <v>11</v>
      </c>
      <c r="L153" s="214" t="s">
        <v>29</v>
      </c>
      <c r="M153" s="210" t="s">
        <v>198</v>
      </c>
      <c r="N153" s="215">
        <v>7218669145</v>
      </c>
      <c r="O153" s="215">
        <v>0</v>
      </c>
      <c r="P153" s="215">
        <v>0</v>
      </c>
      <c r="Q153" s="215">
        <v>58501450</v>
      </c>
      <c r="R153" s="215">
        <v>0</v>
      </c>
      <c r="S153" s="215">
        <v>0</v>
      </c>
      <c r="T153" s="215">
        <v>7277170595</v>
      </c>
      <c r="U153" s="215">
        <v>4406021511</v>
      </c>
      <c r="V153" s="215">
        <v>2871149084</v>
      </c>
      <c r="W153" s="216">
        <v>0.60545804904275435</v>
      </c>
      <c r="X153" s="215">
        <v>2168884119</v>
      </c>
      <c r="Y153" s="215">
        <v>2237137392</v>
      </c>
      <c r="Z153" s="216">
        <v>0.50774545390093984</v>
      </c>
      <c r="AA153" s="215">
        <v>2168884119</v>
      </c>
      <c r="AB153" s="215">
        <v>0</v>
      </c>
      <c r="AC153" s="216">
        <v>0.49225454609906011</v>
      </c>
    </row>
    <row r="154" spans="1:52" ht="24.95" customHeight="1">
      <c r="A154" s="32" t="s">
        <v>643</v>
      </c>
      <c r="B154" s="217" t="s">
        <v>501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197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7218669145</v>
      </c>
      <c r="O154" s="222"/>
      <c r="P154" s="222"/>
      <c r="Q154" s="222">
        <v>58501450</v>
      </c>
      <c r="R154" s="222"/>
      <c r="S154" s="222"/>
      <c r="T154" s="222">
        <v>7277170595</v>
      </c>
      <c r="U154" s="222">
        <v>4406021511</v>
      </c>
      <c r="V154" s="222">
        <v>2871149084</v>
      </c>
      <c r="W154" s="224">
        <v>0.60545804904275435</v>
      </c>
      <c r="X154" s="222">
        <v>2168884119</v>
      </c>
      <c r="Y154" s="222">
        <v>2237137392</v>
      </c>
      <c r="Z154" s="224">
        <v>0.50774545390093984</v>
      </c>
      <c r="AA154" s="222">
        <v>2168884119</v>
      </c>
      <c r="AB154" s="222">
        <v>0</v>
      </c>
      <c r="AC154" s="224">
        <v>0.49225454609906011</v>
      </c>
    </row>
    <row r="155" spans="1:52" ht="33">
      <c r="A155" s="32" t="s">
        <v>644</v>
      </c>
      <c r="B155" s="210" t="s">
        <v>502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199</v>
      </c>
      <c r="I155" s="212"/>
      <c r="J155" s="212"/>
      <c r="K155" s="213">
        <v>11</v>
      </c>
      <c r="L155" s="214" t="s">
        <v>29</v>
      </c>
      <c r="M155" s="210" t="s">
        <v>200</v>
      </c>
      <c r="N155" s="215">
        <v>4348087590</v>
      </c>
      <c r="O155" s="215">
        <v>0</v>
      </c>
      <c r="P155" s="215">
        <v>0</v>
      </c>
      <c r="Q155" s="215">
        <v>73595250</v>
      </c>
      <c r="R155" s="215">
        <v>0</v>
      </c>
      <c r="S155" s="215">
        <v>0</v>
      </c>
      <c r="T155" s="215">
        <v>4421682840</v>
      </c>
      <c r="U155" s="215">
        <v>2653919568</v>
      </c>
      <c r="V155" s="215">
        <v>1767763272</v>
      </c>
      <c r="W155" s="216">
        <v>0.60020577323904123</v>
      </c>
      <c r="X155" s="215">
        <v>1084720479</v>
      </c>
      <c r="Y155" s="215">
        <v>1569199089</v>
      </c>
      <c r="Z155" s="216">
        <v>0.59127605369839908</v>
      </c>
      <c r="AA155" s="215">
        <v>1084720479</v>
      </c>
      <c r="AB155" s="215">
        <v>0</v>
      </c>
      <c r="AC155" s="216">
        <v>0.40872394630160097</v>
      </c>
    </row>
    <row r="156" spans="1:52" ht="24.95" customHeight="1">
      <c r="A156" s="32" t="s">
        <v>645</v>
      </c>
      <c r="B156" s="217" t="s">
        <v>503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199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4348087590</v>
      </c>
      <c r="O156" s="222"/>
      <c r="P156" s="222"/>
      <c r="Q156" s="222">
        <v>73595250</v>
      </c>
      <c r="R156" s="222"/>
      <c r="S156" s="222"/>
      <c r="T156" s="222">
        <v>4421682840</v>
      </c>
      <c r="U156" s="222">
        <v>2653919568</v>
      </c>
      <c r="V156" s="222">
        <v>1767763272</v>
      </c>
      <c r="W156" s="224">
        <v>0.60020577323904123</v>
      </c>
      <c r="X156" s="222">
        <v>1084720479</v>
      </c>
      <c r="Y156" s="222">
        <v>1569199089</v>
      </c>
      <c r="Z156" s="224">
        <v>0.59127605369839908</v>
      </c>
      <c r="AA156" s="222">
        <v>1084720479</v>
      </c>
      <c r="AB156" s="222">
        <v>0</v>
      </c>
      <c r="AC156" s="224">
        <v>0.40872394630160097</v>
      </c>
    </row>
    <row r="157" spans="1:52" ht="49.5">
      <c r="A157" s="32" t="s">
        <v>646</v>
      </c>
      <c r="B157" s="210" t="s">
        <v>504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201</v>
      </c>
      <c r="I157" s="212"/>
      <c r="J157" s="212"/>
      <c r="K157" s="213">
        <v>11</v>
      </c>
      <c r="L157" s="214" t="s">
        <v>29</v>
      </c>
      <c r="M157" s="210" t="s">
        <v>202</v>
      </c>
      <c r="N157" s="215">
        <v>2171371771</v>
      </c>
      <c r="O157" s="215">
        <v>0</v>
      </c>
      <c r="P157" s="215">
        <v>0</v>
      </c>
      <c r="Q157" s="215">
        <v>0</v>
      </c>
      <c r="R157" s="215">
        <v>0</v>
      </c>
      <c r="S157" s="215">
        <v>0</v>
      </c>
      <c r="T157" s="215">
        <v>2171371771</v>
      </c>
      <c r="U157" s="215">
        <v>846723383</v>
      </c>
      <c r="V157" s="215">
        <v>1324648388</v>
      </c>
      <c r="W157" s="216">
        <v>0.38994860037719448</v>
      </c>
      <c r="X157" s="215">
        <v>354425607</v>
      </c>
      <c r="Y157" s="215">
        <v>492297776</v>
      </c>
      <c r="Z157" s="216">
        <v>0.58141511842480909</v>
      </c>
      <c r="AA157" s="215">
        <v>335476544</v>
      </c>
      <c r="AB157" s="215">
        <v>18949063</v>
      </c>
      <c r="AC157" s="216">
        <v>0.39620559764321522</v>
      </c>
    </row>
    <row r="158" spans="1:52" ht="24.95" customHeight="1">
      <c r="A158" s="32" t="s">
        <v>647</v>
      </c>
      <c r="B158" s="217" t="s">
        <v>505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201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2171371771</v>
      </c>
      <c r="O158" s="222"/>
      <c r="P158" s="222"/>
      <c r="Q158" s="222"/>
      <c r="R158" s="222"/>
      <c r="S158" s="222"/>
      <c r="T158" s="222">
        <v>2171371771</v>
      </c>
      <c r="U158" s="222">
        <v>846723383</v>
      </c>
      <c r="V158" s="222">
        <v>1324648388</v>
      </c>
      <c r="W158" s="224">
        <v>0.38994860037719448</v>
      </c>
      <c r="X158" s="222">
        <v>354425607</v>
      </c>
      <c r="Y158" s="222">
        <v>492297776</v>
      </c>
      <c r="Z158" s="224">
        <v>0.58141511842480909</v>
      </c>
      <c r="AA158" s="222">
        <v>335476544</v>
      </c>
      <c r="AB158" s="222">
        <v>18949063</v>
      </c>
      <c r="AC158" s="224">
        <v>0.39620559764321522</v>
      </c>
    </row>
    <row r="159" spans="1:52" ht="33">
      <c r="A159" s="32" t="s">
        <v>648</v>
      </c>
      <c r="B159" s="210" t="s">
        <v>506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203</v>
      </c>
      <c r="I159" s="212"/>
      <c r="J159" s="212"/>
      <c r="K159" s="213">
        <v>11</v>
      </c>
      <c r="L159" s="214" t="s">
        <v>29</v>
      </c>
      <c r="M159" s="210" t="s">
        <v>204</v>
      </c>
      <c r="N159" s="215">
        <v>12164900352</v>
      </c>
      <c r="O159" s="215">
        <v>0</v>
      </c>
      <c r="P159" s="215">
        <v>0</v>
      </c>
      <c r="Q159" s="215">
        <v>1222086351</v>
      </c>
      <c r="R159" s="215">
        <v>0</v>
      </c>
      <c r="S159" s="215">
        <v>0</v>
      </c>
      <c r="T159" s="215">
        <v>13386986703</v>
      </c>
      <c r="U159" s="215">
        <v>7457426819</v>
      </c>
      <c r="V159" s="215">
        <v>5929559884</v>
      </c>
      <c r="W159" s="216">
        <v>0.55706537882261464</v>
      </c>
      <c r="X159" s="215">
        <v>2169997797</v>
      </c>
      <c r="Y159" s="215">
        <v>5287429022</v>
      </c>
      <c r="Z159" s="216">
        <v>0.70901520730028633</v>
      </c>
      <c r="AA159" s="215">
        <v>2169997797</v>
      </c>
      <c r="AB159" s="215">
        <v>0</v>
      </c>
      <c r="AC159" s="216">
        <v>0.29098479269971367</v>
      </c>
    </row>
    <row r="160" spans="1:52" ht="24.95" customHeight="1">
      <c r="A160" s="32" t="s">
        <v>649</v>
      </c>
      <c r="B160" s="217" t="s">
        <v>507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203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12164900352</v>
      </c>
      <c r="O160" s="222"/>
      <c r="P160" s="222"/>
      <c r="Q160" s="222">
        <v>1222086351</v>
      </c>
      <c r="R160" s="222"/>
      <c r="S160" s="222"/>
      <c r="T160" s="222">
        <v>13386986703</v>
      </c>
      <c r="U160" s="222">
        <v>7457426819</v>
      </c>
      <c r="V160" s="222">
        <v>5929559884</v>
      </c>
      <c r="W160" s="224">
        <v>0.55706537882261464</v>
      </c>
      <c r="X160" s="222">
        <v>2169997797</v>
      </c>
      <c r="Y160" s="222">
        <v>5287429022</v>
      </c>
      <c r="Z160" s="224">
        <v>0.70901520730028633</v>
      </c>
      <c r="AA160" s="222">
        <v>2169997797</v>
      </c>
      <c r="AB160" s="222">
        <v>0</v>
      </c>
      <c r="AC160" s="224">
        <v>0.29098479269971367</v>
      </c>
    </row>
    <row r="161" spans="1:52" ht="33">
      <c r="A161" s="32" t="s">
        <v>508</v>
      </c>
      <c r="B161" s="226" t="s">
        <v>299</v>
      </c>
      <c r="C161" s="227" t="s">
        <v>167</v>
      </c>
      <c r="D161" s="228" t="s">
        <v>190</v>
      </c>
      <c r="E161" s="228" t="s">
        <v>172</v>
      </c>
      <c r="F161" s="228" t="s">
        <v>205</v>
      </c>
      <c r="G161" s="228"/>
      <c r="H161" s="228"/>
      <c r="I161" s="228"/>
      <c r="J161" s="228"/>
      <c r="K161" s="229"/>
      <c r="L161" s="230"/>
      <c r="M161" s="231" t="s">
        <v>281</v>
      </c>
      <c r="N161" s="232">
        <v>1226882227478</v>
      </c>
      <c r="O161" s="232">
        <v>0</v>
      </c>
      <c r="P161" s="232">
        <v>0</v>
      </c>
      <c r="Q161" s="232">
        <v>56224616142.639999</v>
      </c>
      <c r="R161" s="232">
        <v>336224616142.64001</v>
      </c>
      <c r="S161" s="232">
        <v>420000000000</v>
      </c>
      <c r="T161" s="232">
        <v>526882227478</v>
      </c>
      <c r="U161" s="232">
        <v>508829713198.5</v>
      </c>
      <c r="V161" s="232">
        <v>18052514279.499977</v>
      </c>
      <c r="W161" s="233">
        <v>0.96573709770794314</v>
      </c>
      <c r="X161" s="232">
        <v>99976577049.809998</v>
      </c>
      <c r="Y161" s="232">
        <v>408853136148.69</v>
      </c>
      <c r="Z161" s="233">
        <v>0.80351662951961289</v>
      </c>
      <c r="AA161" s="232">
        <v>99957446270.809998</v>
      </c>
      <c r="AB161" s="232">
        <v>19130779</v>
      </c>
      <c r="AC161" s="233">
        <v>0.19644577287454026</v>
      </c>
    </row>
    <row r="162" spans="1:52" ht="33">
      <c r="A162" s="32" t="s">
        <v>509</v>
      </c>
      <c r="B162" s="210" t="s">
        <v>510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207</v>
      </c>
      <c r="I162" s="212"/>
      <c r="J162" s="212"/>
      <c r="K162" s="213"/>
      <c r="L162" s="214"/>
      <c r="M162" s="210" t="s">
        <v>208</v>
      </c>
      <c r="N162" s="215">
        <v>1205215344888.79</v>
      </c>
      <c r="O162" s="215">
        <v>0</v>
      </c>
      <c r="P162" s="215">
        <v>0</v>
      </c>
      <c r="Q162" s="215">
        <v>55524616142.639999</v>
      </c>
      <c r="R162" s="215">
        <v>328760329083.64001</v>
      </c>
      <c r="S162" s="215">
        <v>420000000000</v>
      </c>
      <c r="T162" s="215">
        <v>511979631947.78998</v>
      </c>
      <c r="U162" s="215">
        <v>498162472230.5</v>
      </c>
      <c r="V162" s="215">
        <v>13817159717.289978</v>
      </c>
      <c r="W162" s="216">
        <v>0.97301228631943115</v>
      </c>
      <c r="X162" s="215">
        <v>95502405143.809998</v>
      </c>
      <c r="Y162" s="215">
        <v>402660067086.69</v>
      </c>
      <c r="Z162" s="216">
        <v>0.80829064719347021</v>
      </c>
      <c r="AA162" s="215">
        <v>95502405143.809998</v>
      </c>
      <c r="AB162" s="215">
        <v>0</v>
      </c>
      <c r="AC162" s="216">
        <v>0.19170935280652973</v>
      </c>
    </row>
    <row r="163" spans="1:52" ht="24.95" customHeight="1">
      <c r="A163" s="32" t="s">
        <v>512</v>
      </c>
      <c r="B163" s="217" t="s">
        <v>511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207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358903207165.07001</v>
      </c>
      <c r="O163" s="222"/>
      <c r="P163" s="222"/>
      <c r="Q163" s="222">
        <v>48060329083.639999</v>
      </c>
      <c r="R163" s="222">
        <v>280000000000</v>
      </c>
      <c r="S163" s="223">
        <v>86968373082.070007</v>
      </c>
      <c r="T163" s="222">
        <v>39995163166.640015</v>
      </c>
      <c r="U163" s="222">
        <v>36249682146</v>
      </c>
      <c r="V163" s="222">
        <v>3745481020.6400146</v>
      </c>
      <c r="W163" s="224">
        <v>0.90635165044746901</v>
      </c>
      <c r="X163" s="222">
        <v>26630130.420000002</v>
      </c>
      <c r="Y163" s="222">
        <v>36223052015.580002</v>
      </c>
      <c r="Z163" s="224">
        <v>0.99926536927102583</v>
      </c>
      <c r="AA163" s="222">
        <v>26630130.420000002</v>
      </c>
      <c r="AB163" s="222">
        <v>0</v>
      </c>
      <c r="AC163" s="224">
        <v>7.3463072897422702E-4</v>
      </c>
    </row>
    <row r="164" spans="1:52" ht="24.95" customHeight="1">
      <c r="A164" s="32" t="s">
        <v>513</v>
      </c>
      <c r="B164" s="217" t="s">
        <v>514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207</v>
      </c>
      <c r="I164" s="267" t="s">
        <v>65</v>
      </c>
      <c r="J164" s="267"/>
      <c r="K164" s="271" t="s">
        <v>28</v>
      </c>
      <c r="L164" s="269" t="s">
        <v>29</v>
      </c>
      <c r="M164" s="259" t="s">
        <v>127</v>
      </c>
      <c r="N164" s="222">
        <v>50000000000</v>
      </c>
      <c r="O164" s="222"/>
      <c r="P164" s="222"/>
      <c r="Q164" s="223"/>
      <c r="R164" s="223"/>
      <c r="S164" s="223">
        <v>50000000000</v>
      </c>
      <c r="T164" s="222">
        <v>0</v>
      </c>
      <c r="U164" s="222">
        <v>0</v>
      </c>
      <c r="V164" s="222">
        <v>0</v>
      </c>
      <c r="W164" s="224">
        <v>0</v>
      </c>
      <c r="X164" s="222">
        <v>0</v>
      </c>
      <c r="Y164" s="222">
        <v>0</v>
      </c>
      <c r="Z164" s="224">
        <v>0</v>
      </c>
      <c r="AA164" s="222">
        <v>0</v>
      </c>
      <c r="AB164" s="222">
        <v>0</v>
      </c>
      <c r="AC164" s="224">
        <v>0</v>
      </c>
    </row>
    <row r="165" spans="1:52" ht="24.95" customHeight="1">
      <c r="A165" s="32" t="s">
        <v>515</v>
      </c>
      <c r="B165" s="217" t="s">
        <v>514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207</v>
      </c>
      <c r="I165" s="272" t="s">
        <v>65</v>
      </c>
      <c r="J165" s="273"/>
      <c r="K165" s="268">
        <v>11</v>
      </c>
      <c r="L165" s="269" t="s">
        <v>29</v>
      </c>
      <c r="M165" s="259" t="s">
        <v>127</v>
      </c>
      <c r="N165" s="222">
        <v>796312137723.71997</v>
      </c>
      <c r="O165" s="222"/>
      <c r="P165" s="222"/>
      <c r="Q165" s="223">
        <v>7464287059</v>
      </c>
      <c r="R165" s="222">
        <v>48760329083.639999</v>
      </c>
      <c r="S165" s="223">
        <v>283031626917.92999</v>
      </c>
      <c r="T165" s="222">
        <v>471984468781.14996</v>
      </c>
      <c r="U165" s="222">
        <v>461912790084.5</v>
      </c>
      <c r="V165" s="222">
        <v>10071678696.649963</v>
      </c>
      <c r="W165" s="224">
        <v>0.97866099551398589</v>
      </c>
      <c r="X165" s="222">
        <v>95475775013.389999</v>
      </c>
      <c r="Y165" s="222">
        <v>366437015071.10999</v>
      </c>
      <c r="Z165" s="224">
        <v>0.79330346103660787</v>
      </c>
      <c r="AA165" s="222">
        <v>95475775013.389999</v>
      </c>
      <c r="AB165" s="222">
        <v>0</v>
      </c>
      <c r="AC165" s="224">
        <v>0.20669653896339207</v>
      </c>
    </row>
    <row r="166" spans="1:52" ht="33">
      <c r="A166" s="32" t="s">
        <v>650</v>
      </c>
      <c r="B166" s="210" t="s">
        <v>516</v>
      </c>
      <c r="C166" s="211" t="s">
        <v>167</v>
      </c>
      <c r="D166" s="212" t="s">
        <v>190</v>
      </c>
      <c r="E166" s="212" t="s">
        <v>172</v>
      </c>
      <c r="F166" s="212" t="s">
        <v>205</v>
      </c>
      <c r="G166" s="212" t="s">
        <v>175</v>
      </c>
      <c r="H166" s="212" t="s">
        <v>209</v>
      </c>
      <c r="I166" s="212"/>
      <c r="J166" s="212"/>
      <c r="K166" s="213">
        <v>11</v>
      </c>
      <c r="L166" s="214" t="s">
        <v>29</v>
      </c>
      <c r="M166" s="210" t="s">
        <v>210</v>
      </c>
      <c r="N166" s="215">
        <v>21666882589.209999</v>
      </c>
      <c r="O166" s="215">
        <v>0</v>
      </c>
      <c r="P166" s="215">
        <v>0</v>
      </c>
      <c r="Q166" s="215">
        <v>700000000</v>
      </c>
      <c r="R166" s="215">
        <v>7464287059</v>
      </c>
      <c r="S166" s="215">
        <v>0</v>
      </c>
      <c r="T166" s="215">
        <v>14902595530.209999</v>
      </c>
      <c r="U166" s="215">
        <v>10667240968</v>
      </c>
      <c r="V166" s="215">
        <v>4235354562.2099991</v>
      </c>
      <c r="W166" s="216">
        <v>0.71579752308084577</v>
      </c>
      <c r="X166" s="215">
        <v>4474171906</v>
      </c>
      <c r="Y166" s="215">
        <v>6193069062</v>
      </c>
      <c r="Z166" s="216">
        <v>0.58056896629392796</v>
      </c>
      <c r="AA166" s="215">
        <v>4455041127</v>
      </c>
      <c r="AB166" s="215">
        <v>19130779</v>
      </c>
      <c r="AC166" s="216">
        <v>0.41763761973357533</v>
      </c>
    </row>
    <row r="167" spans="1:52" ht="24.95" customHeight="1">
      <c r="A167" s="32" t="s">
        <v>518</v>
      </c>
      <c r="B167" s="217" t="s">
        <v>517</v>
      </c>
      <c r="C167" s="266" t="s">
        <v>167</v>
      </c>
      <c r="D167" s="267" t="s">
        <v>190</v>
      </c>
      <c r="E167" s="267" t="s">
        <v>172</v>
      </c>
      <c r="F167" s="267" t="s">
        <v>205</v>
      </c>
      <c r="G167" s="267" t="s">
        <v>175</v>
      </c>
      <c r="H167" s="267" t="s">
        <v>209</v>
      </c>
      <c r="I167" s="267" t="s">
        <v>54</v>
      </c>
      <c r="J167" s="267"/>
      <c r="K167" s="268">
        <v>11</v>
      </c>
      <c r="L167" s="269" t="s">
        <v>29</v>
      </c>
      <c r="M167" s="259" t="s">
        <v>178</v>
      </c>
      <c r="N167" s="222">
        <v>21666882589.209999</v>
      </c>
      <c r="O167" s="222"/>
      <c r="P167" s="222"/>
      <c r="Q167" s="222">
        <v>700000000</v>
      </c>
      <c r="R167" s="222">
        <v>7464287059</v>
      </c>
      <c r="S167" s="222"/>
      <c r="T167" s="222">
        <v>14902595530.209999</v>
      </c>
      <c r="U167" s="222">
        <v>10667240968</v>
      </c>
      <c r="V167" s="222">
        <v>4235354562.2099991</v>
      </c>
      <c r="W167" s="224">
        <v>0.71579752308084577</v>
      </c>
      <c r="X167" s="222">
        <v>4474171906</v>
      </c>
      <c r="Y167" s="222">
        <v>6193069062</v>
      </c>
      <c r="Z167" s="224">
        <v>0.58056896629392796</v>
      </c>
      <c r="AA167" s="222">
        <v>4455041127</v>
      </c>
      <c r="AB167" s="222">
        <v>19130779</v>
      </c>
      <c r="AC167" s="224">
        <v>0.41763761973357533</v>
      </c>
    </row>
    <row r="168" spans="1:52" ht="33">
      <c r="A168" s="32" t="s">
        <v>519</v>
      </c>
      <c r="B168" s="226" t="s">
        <v>520</v>
      </c>
      <c r="C168" s="227" t="s">
        <v>167</v>
      </c>
      <c r="D168" s="228" t="s">
        <v>190</v>
      </c>
      <c r="E168" s="228" t="s">
        <v>172</v>
      </c>
      <c r="F168" s="228" t="s">
        <v>211</v>
      </c>
      <c r="G168" s="228"/>
      <c r="H168" s="228"/>
      <c r="I168" s="228"/>
      <c r="J168" s="228"/>
      <c r="K168" s="229"/>
      <c r="L168" s="230"/>
      <c r="M168" s="231" t="s">
        <v>282</v>
      </c>
      <c r="N168" s="232">
        <v>1000000000</v>
      </c>
      <c r="O168" s="232">
        <v>0</v>
      </c>
      <c r="P168" s="232">
        <v>0</v>
      </c>
      <c r="Q168" s="232">
        <v>0</v>
      </c>
      <c r="R168" s="232">
        <v>0</v>
      </c>
      <c r="S168" s="232">
        <v>0</v>
      </c>
      <c r="T168" s="232">
        <v>1000000000</v>
      </c>
      <c r="U168" s="232">
        <v>0</v>
      </c>
      <c r="V168" s="232">
        <v>1000000000</v>
      </c>
      <c r="W168" s="233">
        <v>0</v>
      </c>
      <c r="X168" s="232">
        <v>0</v>
      </c>
      <c r="Y168" s="232">
        <v>0</v>
      </c>
      <c r="Z168" s="233">
        <v>0</v>
      </c>
      <c r="AA168" s="232">
        <v>0</v>
      </c>
      <c r="AB168" s="232">
        <v>0</v>
      </c>
      <c r="AC168" s="233">
        <v>0</v>
      </c>
    </row>
    <row r="169" spans="1:52" s="90" customFormat="1" ht="33">
      <c r="A169" s="32" t="s">
        <v>521</v>
      </c>
      <c r="B169" s="210" t="s">
        <v>522</v>
      </c>
      <c r="C169" s="211" t="s">
        <v>167</v>
      </c>
      <c r="D169" s="212" t="s">
        <v>190</v>
      </c>
      <c r="E169" s="212" t="s">
        <v>172</v>
      </c>
      <c r="F169" s="212" t="s">
        <v>211</v>
      </c>
      <c r="G169" s="212" t="s">
        <v>175</v>
      </c>
      <c r="H169" s="212" t="s">
        <v>213</v>
      </c>
      <c r="I169" s="212"/>
      <c r="J169" s="212"/>
      <c r="K169" s="213" t="s">
        <v>144</v>
      </c>
      <c r="L169" s="214" t="s">
        <v>29</v>
      </c>
      <c r="M169" s="210" t="s">
        <v>214</v>
      </c>
      <c r="N169" s="215">
        <v>730000000</v>
      </c>
      <c r="O169" s="215">
        <v>0</v>
      </c>
      <c r="P169" s="215">
        <v>0</v>
      </c>
      <c r="Q169" s="215">
        <v>0</v>
      </c>
      <c r="R169" s="215">
        <v>0</v>
      </c>
      <c r="S169" s="215">
        <v>0</v>
      </c>
      <c r="T169" s="215">
        <v>730000000</v>
      </c>
      <c r="U169" s="215">
        <v>0</v>
      </c>
      <c r="V169" s="215">
        <v>730000000</v>
      </c>
      <c r="W169" s="216">
        <v>0</v>
      </c>
      <c r="X169" s="215">
        <v>0</v>
      </c>
      <c r="Y169" s="215">
        <v>0</v>
      </c>
      <c r="Z169" s="216">
        <v>0</v>
      </c>
      <c r="AA169" s="215">
        <v>0</v>
      </c>
      <c r="AB169" s="215">
        <v>0</v>
      </c>
      <c r="AC169" s="216">
        <v>0</v>
      </c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</row>
    <row r="170" spans="1:52" s="90" customFormat="1" ht="24.95" customHeight="1">
      <c r="A170" s="32" t="s">
        <v>523</v>
      </c>
      <c r="B170" s="217" t="s">
        <v>524</v>
      </c>
      <c r="C170" s="218" t="s">
        <v>167</v>
      </c>
      <c r="D170" s="219" t="s">
        <v>190</v>
      </c>
      <c r="E170" s="219" t="s">
        <v>172</v>
      </c>
      <c r="F170" s="219" t="s">
        <v>211</v>
      </c>
      <c r="G170" s="219" t="s">
        <v>175</v>
      </c>
      <c r="H170" s="219" t="s">
        <v>213</v>
      </c>
      <c r="I170" s="219" t="s">
        <v>54</v>
      </c>
      <c r="J170" s="219"/>
      <c r="K170" s="220" t="s">
        <v>144</v>
      </c>
      <c r="L170" s="221" t="s">
        <v>29</v>
      </c>
      <c r="M170" s="259" t="s">
        <v>178</v>
      </c>
      <c r="N170" s="222">
        <v>730000000</v>
      </c>
      <c r="O170" s="222"/>
      <c r="P170" s="222"/>
      <c r="Q170" s="222"/>
      <c r="R170" s="222"/>
      <c r="S170" s="222"/>
      <c r="T170" s="222">
        <v>730000000</v>
      </c>
      <c r="U170" s="222">
        <v>0</v>
      </c>
      <c r="V170" s="222">
        <v>730000000</v>
      </c>
      <c r="W170" s="224">
        <v>0</v>
      </c>
      <c r="X170" s="222">
        <v>0</v>
      </c>
      <c r="Y170" s="222">
        <v>0</v>
      </c>
      <c r="Z170" s="224">
        <v>0</v>
      </c>
      <c r="AA170" s="222">
        <v>0</v>
      </c>
      <c r="AB170" s="222">
        <v>0</v>
      </c>
      <c r="AC170" s="224">
        <v>0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s="90" customFormat="1" ht="24.95" customHeight="1">
      <c r="A171" s="32" t="s">
        <v>525</v>
      </c>
      <c r="B171" s="210" t="s">
        <v>526</v>
      </c>
      <c r="C171" s="211" t="s">
        <v>167</v>
      </c>
      <c r="D171" s="212" t="s">
        <v>190</v>
      </c>
      <c r="E171" s="212" t="s">
        <v>172</v>
      </c>
      <c r="F171" s="212" t="s">
        <v>211</v>
      </c>
      <c r="G171" s="212" t="s">
        <v>175</v>
      </c>
      <c r="H171" s="212" t="s">
        <v>215</v>
      </c>
      <c r="I171" s="212"/>
      <c r="J171" s="212"/>
      <c r="K171" s="213" t="s">
        <v>144</v>
      </c>
      <c r="L171" s="214" t="s">
        <v>29</v>
      </c>
      <c r="M171" s="210" t="s">
        <v>216</v>
      </c>
      <c r="N171" s="215">
        <v>270000000</v>
      </c>
      <c r="O171" s="215">
        <v>0</v>
      </c>
      <c r="P171" s="215">
        <v>0</v>
      </c>
      <c r="Q171" s="215">
        <v>0</v>
      </c>
      <c r="R171" s="215">
        <v>0</v>
      </c>
      <c r="S171" s="215">
        <v>0</v>
      </c>
      <c r="T171" s="215">
        <v>270000000</v>
      </c>
      <c r="U171" s="215">
        <v>0</v>
      </c>
      <c r="V171" s="215">
        <v>270000000</v>
      </c>
      <c r="W171" s="216">
        <v>0</v>
      </c>
      <c r="X171" s="215">
        <v>0</v>
      </c>
      <c r="Y171" s="215">
        <v>0</v>
      </c>
      <c r="Z171" s="216">
        <v>0</v>
      </c>
      <c r="AA171" s="215">
        <v>0</v>
      </c>
      <c r="AB171" s="215">
        <v>0</v>
      </c>
      <c r="AC171" s="216">
        <v>0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s="90" customFormat="1" ht="24.95" customHeight="1">
      <c r="A172" s="32" t="s">
        <v>527</v>
      </c>
      <c r="B172" s="217" t="s">
        <v>528</v>
      </c>
      <c r="C172" s="218" t="s">
        <v>167</v>
      </c>
      <c r="D172" s="219" t="s">
        <v>190</v>
      </c>
      <c r="E172" s="219" t="s">
        <v>172</v>
      </c>
      <c r="F172" s="219" t="s">
        <v>211</v>
      </c>
      <c r="G172" s="219" t="s">
        <v>175</v>
      </c>
      <c r="H172" s="219" t="s">
        <v>215</v>
      </c>
      <c r="I172" s="219" t="s">
        <v>54</v>
      </c>
      <c r="J172" s="219"/>
      <c r="K172" s="220" t="s">
        <v>144</v>
      </c>
      <c r="L172" s="221" t="s">
        <v>29</v>
      </c>
      <c r="M172" s="259" t="s">
        <v>178</v>
      </c>
      <c r="N172" s="222">
        <v>270000000</v>
      </c>
      <c r="O172" s="222"/>
      <c r="P172" s="222"/>
      <c r="Q172" s="222"/>
      <c r="R172" s="222"/>
      <c r="S172" s="222"/>
      <c r="T172" s="222">
        <v>270000000</v>
      </c>
      <c r="U172" s="222">
        <v>0</v>
      </c>
      <c r="V172" s="222">
        <v>270000000</v>
      </c>
      <c r="W172" s="224">
        <v>0</v>
      </c>
      <c r="X172" s="222">
        <v>0</v>
      </c>
      <c r="Y172" s="222">
        <v>0</v>
      </c>
      <c r="Z172" s="224">
        <v>0</v>
      </c>
      <c r="AA172" s="222">
        <v>0</v>
      </c>
      <c r="AB172" s="222">
        <v>0</v>
      </c>
      <c r="AC172" s="224">
        <v>0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s="90" customFormat="1" ht="66">
      <c r="A173" s="32" t="s">
        <v>529</v>
      </c>
      <c r="B173" s="226" t="s">
        <v>530</v>
      </c>
      <c r="C173" s="227" t="s">
        <v>167</v>
      </c>
      <c r="D173" s="228" t="s">
        <v>190</v>
      </c>
      <c r="E173" s="228" t="s">
        <v>172</v>
      </c>
      <c r="F173" s="228" t="s">
        <v>217</v>
      </c>
      <c r="G173" s="228"/>
      <c r="H173" s="228"/>
      <c r="I173" s="228"/>
      <c r="J173" s="228"/>
      <c r="K173" s="229"/>
      <c r="L173" s="230"/>
      <c r="M173" s="231" t="s">
        <v>283</v>
      </c>
      <c r="N173" s="232">
        <v>83583395677</v>
      </c>
      <c r="O173" s="232">
        <v>0</v>
      </c>
      <c r="P173" s="232">
        <v>0</v>
      </c>
      <c r="Q173" s="232">
        <v>650041300</v>
      </c>
      <c r="R173" s="232">
        <v>0</v>
      </c>
      <c r="S173" s="232">
        <v>40000000000</v>
      </c>
      <c r="T173" s="232">
        <v>44233436977</v>
      </c>
      <c r="U173" s="232">
        <v>40847122033</v>
      </c>
      <c r="V173" s="232">
        <v>3386314944</v>
      </c>
      <c r="W173" s="233">
        <v>0.92344445344003501</v>
      </c>
      <c r="X173" s="232">
        <v>22775118606</v>
      </c>
      <c r="Y173" s="232">
        <v>18072003427</v>
      </c>
      <c r="Z173" s="233">
        <v>0.44243027482817027</v>
      </c>
      <c r="AA173" s="232">
        <v>22452410426</v>
      </c>
      <c r="AB173" s="232">
        <v>322708180</v>
      </c>
      <c r="AC173" s="233">
        <v>0.54966933552530117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s="90" customFormat="1" ht="24.95" customHeight="1">
      <c r="A174" s="32" t="s">
        <v>651</v>
      </c>
      <c r="B174" s="210" t="s">
        <v>531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219</v>
      </c>
      <c r="I174" s="212"/>
      <c r="J174" s="212"/>
      <c r="K174" s="213">
        <v>11</v>
      </c>
      <c r="L174" s="214" t="s">
        <v>29</v>
      </c>
      <c r="M174" s="210" t="s">
        <v>220</v>
      </c>
      <c r="N174" s="215">
        <v>24060301659</v>
      </c>
      <c r="O174" s="215">
        <v>0</v>
      </c>
      <c r="P174" s="215">
        <v>0</v>
      </c>
      <c r="Q174" s="215">
        <v>176047300</v>
      </c>
      <c r="R174" s="215">
        <v>0</v>
      </c>
      <c r="S174" s="215">
        <v>5805513391</v>
      </c>
      <c r="T174" s="215">
        <v>18430835568</v>
      </c>
      <c r="U174" s="215">
        <v>15851120739</v>
      </c>
      <c r="V174" s="215">
        <v>2579714829</v>
      </c>
      <c r="W174" s="216">
        <v>0.86003267082047252</v>
      </c>
      <c r="X174" s="215">
        <v>3356275638</v>
      </c>
      <c r="Y174" s="215">
        <v>12494845101</v>
      </c>
      <c r="Z174" s="216">
        <v>0.78826256557731966</v>
      </c>
      <c r="AA174" s="215">
        <v>3033567458</v>
      </c>
      <c r="AB174" s="215">
        <v>322708180</v>
      </c>
      <c r="AC174" s="216">
        <v>0.19137873642815861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24.95" customHeight="1">
      <c r="A175" s="32" t="s">
        <v>652</v>
      </c>
      <c r="B175" s="217" t="s">
        <v>532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219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24060301659</v>
      </c>
      <c r="O175" s="222"/>
      <c r="P175" s="222"/>
      <c r="Q175" s="222">
        <v>176047300</v>
      </c>
      <c r="R175" s="222"/>
      <c r="S175" s="222">
        <v>5805513391</v>
      </c>
      <c r="T175" s="222">
        <v>18430835568</v>
      </c>
      <c r="U175" s="222">
        <v>15851120739</v>
      </c>
      <c r="V175" s="222">
        <v>2579714829</v>
      </c>
      <c r="W175" s="224">
        <v>0.86003267082047252</v>
      </c>
      <c r="X175" s="222">
        <v>3356275638</v>
      </c>
      <c r="Y175" s="222">
        <v>12494845101</v>
      </c>
      <c r="Z175" s="224">
        <v>0.78826256557731966</v>
      </c>
      <c r="AA175" s="222">
        <v>3033567458</v>
      </c>
      <c r="AB175" s="222">
        <v>322708180</v>
      </c>
      <c r="AC175" s="224">
        <v>0.19137873642815861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33">
      <c r="A176" s="32" t="s">
        <v>653</v>
      </c>
      <c r="B176" s="210" t="s">
        <v>533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221</v>
      </c>
      <c r="I176" s="212"/>
      <c r="J176" s="212"/>
      <c r="K176" s="213">
        <v>11</v>
      </c>
      <c r="L176" s="214" t="s">
        <v>29</v>
      </c>
      <c r="M176" s="210" t="s">
        <v>222</v>
      </c>
      <c r="N176" s="215">
        <v>45582352481</v>
      </c>
      <c r="O176" s="215">
        <v>0</v>
      </c>
      <c r="P176" s="215">
        <v>0</v>
      </c>
      <c r="Q176" s="215">
        <v>473994000</v>
      </c>
      <c r="R176" s="215">
        <v>0</v>
      </c>
      <c r="S176" s="215">
        <v>24481010129</v>
      </c>
      <c r="T176" s="215">
        <v>21575336352</v>
      </c>
      <c r="U176" s="215">
        <v>21101342352</v>
      </c>
      <c r="V176" s="215">
        <v>473994000</v>
      </c>
      <c r="W176" s="216">
        <v>0.97803074806033963</v>
      </c>
      <c r="X176" s="215">
        <v>17471513497</v>
      </c>
      <c r="Y176" s="215">
        <v>3629828855</v>
      </c>
      <c r="Z176" s="216">
        <v>0.17201885995920835</v>
      </c>
      <c r="AA176" s="215">
        <v>17471513497</v>
      </c>
      <c r="AB176" s="215">
        <v>0</v>
      </c>
      <c r="AC176" s="216">
        <v>0.82798114004079171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">
        <v>654</v>
      </c>
      <c r="B177" s="217" t="s">
        <v>535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221</v>
      </c>
      <c r="I177" s="274" t="s">
        <v>65</v>
      </c>
      <c r="J177" s="267"/>
      <c r="K177" s="268">
        <v>11</v>
      </c>
      <c r="L177" s="269" t="s">
        <v>29</v>
      </c>
      <c r="M177" s="259" t="s">
        <v>127</v>
      </c>
      <c r="N177" s="222">
        <v>45582352481</v>
      </c>
      <c r="O177" s="222"/>
      <c r="P177" s="222"/>
      <c r="Q177" s="222">
        <v>473994000</v>
      </c>
      <c r="R177" s="222"/>
      <c r="S177" s="222">
        <v>24481010129</v>
      </c>
      <c r="T177" s="222">
        <v>21575336352</v>
      </c>
      <c r="U177" s="222">
        <v>21101342352</v>
      </c>
      <c r="V177" s="222">
        <v>473994000</v>
      </c>
      <c r="W177" s="224">
        <v>0.97803074806033963</v>
      </c>
      <c r="X177" s="222">
        <v>17471513497</v>
      </c>
      <c r="Y177" s="222">
        <v>3629828855</v>
      </c>
      <c r="Z177" s="224">
        <v>0.17201885995920835</v>
      </c>
      <c r="AA177" s="222">
        <v>17471513497</v>
      </c>
      <c r="AB177" s="222">
        <v>0</v>
      </c>
      <c r="AC177" s="224">
        <v>0.82798114004079171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33">
      <c r="A178" s="32" t="s">
        <v>655</v>
      </c>
      <c r="B178" s="210" t="s">
        <v>536</v>
      </c>
      <c r="C178" s="211" t="s">
        <v>167</v>
      </c>
      <c r="D178" s="212" t="s">
        <v>190</v>
      </c>
      <c r="E178" s="212" t="s">
        <v>172</v>
      </c>
      <c r="F178" s="212" t="s">
        <v>217</v>
      </c>
      <c r="G178" s="212" t="s">
        <v>175</v>
      </c>
      <c r="H178" s="212" t="s">
        <v>223</v>
      </c>
      <c r="I178" s="212"/>
      <c r="J178" s="212"/>
      <c r="K178" s="213">
        <v>11</v>
      </c>
      <c r="L178" s="214" t="s">
        <v>29</v>
      </c>
      <c r="M178" s="210" t="s">
        <v>224</v>
      </c>
      <c r="N178" s="215">
        <v>12632794125</v>
      </c>
      <c r="O178" s="215">
        <v>0</v>
      </c>
      <c r="P178" s="215">
        <v>0</v>
      </c>
      <c r="Q178" s="215">
        <v>0</v>
      </c>
      <c r="R178" s="215">
        <v>0</v>
      </c>
      <c r="S178" s="215">
        <v>9713476480</v>
      </c>
      <c r="T178" s="215">
        <v>2919317645</v>
      </c>
      <c r="U178" s="215">
        <v>2919317645</v>
      </c>
      <c r="V178" s="215">
        <v>0</v>
      </c>
      <c r="W178" s="216">
        <v>1</v>
      </c>
      <c r="X178" s="215">
        <v>971988174</v>
      </c>
      <c r="Y178" s="215">
        <v>1947329471</v>
      </c>
      <c r="Z178" s="216">
        <v>0.66704953273421541</v>
      </c>
      <c r="AA178" s="215">
        <v>971988174</v>
      </c>
      <c r="AB178" s="215">
        <v>0</v>
      </c>
      <c r="AC178" s="216">
        <v>0.33295046726578464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24.95" customHeight="1">
      <c r="A179" s="32" t="s">
        <v>538</v>
      </c>
      <c r="B179" s="217" t="s">
        <v>537</v>
      </c>
      <c r="C179" s="266" t="s">
        <v>167</v>
      </c>
      <c r="D179" s="267" t="s">
        <v>190</v>
      </c>
      <c r="E179" s="267" t="s">
        <v>172</v>
      </c>
      <c r="F179" s="267" t="s">
        <v>217</v>
      </c>
      <c r="G179" s="267" t="s">
        <v>175</v>
      </c>
      <c r="H179" s="267" t="s">
        <v>223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12632794125</v>
      </c>
      <c r="O179" s="222"/>
      <c r="P179" s="222"/>
      <c r="Q179" s="223"/>
      <c r="R179" s="222"/>
      <c r="S179" s="222">
        <v>9713476480</v>
      </c>
      <c r="T179" s="222">
        <v>2919317645</v>
      </c>
      <c r="U179" s="222">
        <v>2919317645</v>
      </c>
      <c r="V179" s="222">
        <v>0</v>
      </c>
      <c r="W179" s="224">
        <v>1</v>
      </c>
      <c r="X179" s="222">
        <v>971988174</v>
      </c>
      <c r="Y179" s="222">
        <v>1947329471</v>
      </c>
      <c r="Z179" s="224">
        <v>0.66704953273421541</v>
      </c>
      <c r="AA179" s="222">
        <v>971988174</v>
      </c>
      <c r="AB179" s="222">
        <v>0</v>
      </c>
      <c r="AC179" s="224">
        <v>0.33295046726578464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33">
      <c r="A180" s="32" t="s">
        <v>656</v>
      </c>
      <c r="B180" s="210" t="s">
        <v>540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225</v>
      </c>
      <c r="I180" s="212"/>
      <c r="J180" s="212"/>
      <c r="K180" s="213">
        <v>11</v>
      </c>
      <c r="L180" s="214" t="s">
        <v>29</v>
      </c>
      <c r="M180" s="210" t="s">
        <v>226</v>
      </c>
      <c r="N180" s="215">
        <v>1307947412</v>
      </c>
      <c r="O180" s="215">
        <v>0</v>
      </c>
      <c r="P180" s="215">
        <v>0</v>
      </c>
      <c r="Q180" s="215">
        <v>0</v>
      </c>
      <c r="R180" s="215">
        <v>0</v>
      </c>
      <c r="S180" s="215">
        <v>0</v>
      </c>
      <c r="T180" s="215">
        <v>1307947412</v>
      </c>
      <c r="U180" s="215">
        <v>975341297</v>
      </c>
      <c r="V180" s="215">
        <v>332606115</v>
      </c>
      <c r="W180" s="216">
        <v>0.74570375540450251</v>
      </c>
      <c r="X180" s="215">
        <v>975341297</v>
      </c>
      <c r="Y180" s="215">
        <v>0</v>
      </c>
      <c r="Z180" s="216">
        <v>0</v>
      </c>
      <c r="AA180" s="215">
        <v>975341297</v>
      </c>
      <c r="AB180" s="215">
        <v>0</v>
      </c>
      <c r="AC180" s="216">
        <v>1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customHeight="1">
      <c r="A181" s="32" t="s">
        <v>542</v>
      </c>
      <c r="B181" s="217" t="s">
        <v>541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225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>
        <v>1307947412</v>
      </c>
      <c r="O181" s="222"/>
      <c r="P181" s="222"/>
      <c r="Q181" s="222"/>
      <c r="R181" s="222"/>
      <c r="S181" s="222"/>
      <c r="T181" s="222">
        <v>1307947412</v>
      </c>
      <c r="U181" s="222">
        <v>975341297</v>
      </c>
      <c r="V181" s="222">
        <v>332606115</v>
      </c>
      <c r="W181" s="224">
        <v>0.74570375540450251</v>
      </c>
      <c r="X181" s="222">
        <v>975341297</v>
      </c>
      <c r="Y181" s="222">
        <v>0</v>
      </c>
      <c r="Z181" s="224">
        <v>0</v>
      </c>
      <c r="AA181" s="222">
        <v>975341297</v>
      </c>
      <c r="AB181" s="222">
        <v>0</v>
      </c>
      <c r="AC181" s="224">
        <v>1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49.5">
      <c r="A182" s="32" t="s">
        <v>657</v>
      </c>
      <c r="B182" s="226" t="s">
        <v>658</v>
      </c>
      <c r="C182" s="227" t="s">
        <v>167</v>
      </c>
      <c r="D182" s="228" t="s">
        <v>190</v>
      </c>
      <c r="E182" s="228" t="s">
        <v>172</v>
      </c>
      <c r="F182" s="228">
        <v>18</v>
      </c>
      <c r="G182" s="228"/>
      <c r="H182" s="228"/>
      <c r="I182" s="228"/>
      <c r="J182" s="228"/>
      <c r="K182" s="229"/>
      <c r="L182" s="230"/>
      <c r="M182" s="231" t="s">
        <v>284</v>
      </c>
      <c r="N182" s="232">
        <v>70125561842</v>
      </c>
      <c r="O182" s="232">
        <v>0</v>
      </c>
      <c r="P182" s="232">
        <v>0</v>
      </c>
      <c r="Q182" s="232">
        <v>0</v>
      </c>
      <c r="R182" s="232">
        <v>1004224351</v>
      </c>
      <c r="S182" s="232">
        <v>60000000000</v>
      </c>
      <c r="T182" s="232">
        <v>9121337491</v>
      </c>
      <c r="U182" s="232">
        <v>4680097023.9200001</v>
      </c>
      <c r="V182" s="232">
        <v>4441240467.0799999</v>
      </c>
      <c r="W182" s="233">
        <v>0.51309328577501268</v>
      </c>
      <c r="X182" s="232">
        <v>1573724374.3800001</v>
      </c>
      <c r="Y182" s="232">
        <v>3106372649.54</v>
      </c>
      <c r="Z182" s="233">
        <v>0.66374107922620262</v>
      </c>
      <c r="AA182" s="232">
        <v>1525865537.3800001</v>
      </c>
      <c r="AB182" s="232">
        <v>47858837</v>
      </c>
      <c r="AC182" s="233">
        <v>0.32603288555371684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33">
      <c r="A183" s="32" t="s">
        <v>659</v>
      </c>
      <c r="B183" s="210" t="s">
        <v>660</v>
      </c>
      <c r="C183" s="211" t="s">
        <v>167</v>
      </c>
      <c r="D183" s="212" t="s">
        <v>190</v>
      </c>
      <c r="E183" s="212" t="s">
        <v>172</v>
      </c>
      <c r="F183" s="212">
        <v>18</v>
      </c>
      <c r="G183" s="212" t="s">
        <v>175</v>
      </c>
      <c r="H183" s="212">
        <v>4103050</v>
      </c>
      <c r="I183" s="212"/>
      <c r="J183" s="212"/>
      <c r="K183" s="213">
        <v>11</v>
      </c>
      <c r="L183" s="214" t="s">
        <v>29</v>
      </c>
      <c r="M183" s="210" t="s">
        <v>269</v>
      </c>
      <c r="N183" s="215">
        <v>70125561842</v>
      </c>
      <c r="O183" s="215">
        <v>0</v>
      </c>
      <c r="P183" s="215">
        <v>0</v>
      </c>
      <c r="Q183" s="215">
        <v>0</v>
      </c>
      <c r="R183" s="215">
        <v>1004224351</v>
      </c>
      <c r="S183" s="215">
        <v>60000000000</v>
      </c>
      <c r="T183" s="215">
        <v>9121337491</v>
      </c>
      <c r="U183" s="215">
        <v>4680097023.9200001</v>
      </c>
      <c r="V183" s="215">
        <v>4441240467.0799999</v>
      </c>
      <c r="W183" s="216">
        <v>0.51309328577501268</v>
      </c>
      <c r="X183" s="215">
        <v>1573724374.3800001</v>
      </c>
      <c r="Y183" s="215">
        <v>3106372649.54</v>
      </c>
      <c r="Z183" s="216">
        <v>0.66374107922620262</v>
      </c>
      <c r="AA183" s="215">
        <v>1525865537.3800001</v>
      </c>
      <c r="AB183" s="215">
        <v>47858837</v>
      </c>
      <c r="AC183" s="216">
        <v>0.32603288555371684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24.95" customHeight="1">
      <c r="A184" s="32" t="s">
        <v>661</v>
      </c>
      <c r="B184" s="217" t="s">
        <v>662</v>
      </c>
      <c r="C184" s="266" t="s">
        <v>167</v>
      </c>
      <c r="D184" s="267" t="s">
        <v>190</v>
      </c>
      <c r="E184" s="267" t="s">
        <v>172</v>
      </c>
      <c r="F184" s="267">
        <v>18</v>
      </c>
      <c r="G184" s="267" t="s">
        <v>175</v>
      </c>
      <c r="H184" s="267">
        <v>4103050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70125561842</v>
      </c>
      <c r="O184" s="222"/>
      <c r="P184" s="222"/>
      <c r="Q184" s="222"/>
      <c r="R184" s="222">
        <v>1004224351</v>
      </c>
      <c r="S184" s="222">
        <v>60000000000</v>
      </c>
      <c r="T184" s="222">
        <v>9121337491</v>
      </c>
      <c r="U184" s="222">
        <v>4680097023.9200001</v>
      </c>
      <c r="V184" s="222">
        <v>4441240467.0799999</v>
      </c>
      <c r="W184" s="224">
        <v>0.51309328577501268</v>
      </c>
      <c r="X184" s="222">
        <v>1573724374.3800001</v>
      </c>
      <c r="Y184" s="222">
        <v>3106372649.54</v>
      </c>
      <c r="Z184" s="224">
        <v>0.66374107922620262</v>
      </c>
      <c r="AA184" s="222">
        <v>1525865537.3800001</v>
      </c>
      <c r="AB184" s="222">
        <v>47858837</v>
      </c>
      <c r="AC184" s="224">
        <v>0.32603288555371684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33">
      <c r="A185" s="32" t="s">
        <v>663</v>
      </c>
      <c r="B185" s="226" t="s">
        <v>664</v>
      </c>
      <c r="C185" s="227" t="s">
        <v>167</v>
      </c>
      <c r="D185" s="228" t="s">
        <v>190</v>
      </c>
      <c r="E185" s="228" t="s">
        <v>172</v>
      </c>
      <c r="F185" s="228">
        <v>19</v>
      </c>
      <c r="G185" s="228"/>
      <c r="H185" s="228"/>
      <c r="I185" s="228"/>
      <c r="J185" s="228"/>
      <c r="K185" s="229"/>
      <c r="L185" s="230"/>
      <c r="M185" s="231" t="s">
        <v>285</v>
      </c>
      <c r="N185" s="232">
        <v>11281479935</v>
      </c>
      <c r="O185" s="232">
        <v>0</v>
      </c>
      <c r="P185" s="232">
        <v>0</v>
      </c>
      <c r="Q185" s="232">
        <v>114769224</v>
      </c>
      <c r="R185" s="232">
        <v>1114769224</v>
      </c>
      <c r="S185" s="232">
        <v>0</v>
      </c>
      <c r="T185" s="232">
        <v>10281479935</v>
      </c>
      <c r="U185" s="232">
        <v>6610220964.0500002</v>
      </c>
      <c r="V185" s="232">
        <v>3671258970.9499998</v>
      </c>
      <c r="W185" s="233">
        <v>0.64292504637854941</v>
      </c>
      <c r="X185" s="232">
        <v>1270745183</v>
      </c>
      <c r="Y185" s="232">
        <v>5339475781.0500002</v>
      </c>
      <c r="Z185" s="233">
        <v>0.80776055900233779</v>
      </c>
      <c r="AA185" s="232">
        <v>1251541762</v>
      </c>
      <c r="AB185" s="232">
        <v>19203421</v>
      </c>
      <c r="AC185" s="233">
        <v>0.18933433069886305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3">
      <c r="A186" s="32" t="s">
        <v>665</v>
      </c>
      <c r="B186" s="210" t="s">
        <v>666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4103049</v>
      </c>
      <c r="I186" s="212"/>
      <c r="J186" s="212"/>
      <c r="K186" s="213">
        <v>11</v>
      </c>
      <c r="L186" s="214" t="s">
        <v>29</v>
      </c>
      <c r="M186" s="210" t="s">
        <v>228</v>
      </c>
      <c r="N186" s="215">
        <v>218772000</v>
      </c>
      <c r="O186" s="215">
        <v>0</v>
      </c>
      <c r="P186" s="215">
        <v>0</v>
      </c>
      <c r="Q186" s="215">
        <v>114769224</v>
      </c>
      <c r="R186" s="215">
        <v>0</v>
      </c>
      <c r="S186" s="215">
        <v>0</v>
      </c>
      <c r="T186" s="215">
        <v>333541224</v>
      </c>
      <c r="U186" s="215">
        <v>227159834</v>
      </c>
      <c r="V186" s="215">
        <v>106381390</v>
      </c>
      <c r="W186" s="216">
        <v>0.68105474722368953</v>
      </c>
      <c r="X186" s="215">
        <v>89598558</v>
      </c>
      <c r="Y186" s="215">
        <v>137561276</v>
      </c>
      <c r="Z186" s="216">
        <v>0.60557041963677438</v>
      </c>
      <c r="AA186" s="215">
        <v>85446558</v>
      </c>
      <c r="AB186" s="215">
        <v>4152000</v>
      </c>
      <c r="AC186" s="216">
        <v>0.37615170118499031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customHeight="1">
      <c r="A187" s="32" t="s">
        <v>667</v>
      </c>
      <c r="B187" s="217" t="s">
        <v>668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4103049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218772000</v>
      </c>
      <c r="O187" s="222"/>
      <c r="P187" s="222"/>
      <c r="Q187" s="222">
        <v>114769224</v>
      </c>
      <c r="R187" s="222"/>
      <c r="S187" s="222"/>
      <c r="T187" s="222">
        <v>333541224</v>
      </c>
      <c r="U187" s="222">
        <v>227159834</v>
      </c>
      <c r="V187" s="222">
        <v>106381390</v>
      </c>
      <c r="W187" s="224">
        <v>0.68105474722368953</v>
      </c>
      <c r="X187" s="222">
        <v>89598558</v>
      </c>
      <c r="Y187" s="222">
        <v>137561276</v>
      </c>
      <c r="Z187" s="224">
        <v>0.60557041963677438</v>
      </c>
      <c r="AA187" s="222">
        <v>85446558</v>
      </c>
      <c r="AB187" s="222">
        <v>4152000</v>
      </c>
      <c r="AC187" s="224">
        <v>0.37615170118499031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34.5" customHeight="1">
      <c r="A188" s="32" t="s">
        <v>669</v>
      </c>
      <c r="B188" s="210" t="s">
        <v>670</v>
      </c>
      <c r="C188" s="211" t="s">
        <v>167</v>
      </c>
      <c r="D188" s="212" t="s">
        <v>190</v>
      </c>
      <c r="E188" s="212" t="s">
        <v>172</v>
      </c>
      <c r="F188" s="212">
        <v>19</v>
      </c>
      <c r="G188" s="212" t="s">
        <v>175</v>
      </c>
      <c r="H188" s="212">
        <v>4103052</v>
      </c>
      <c r="I188" s="212"/>
      <c r="J188" s="212"/>
      <c r="K188" s="213">
        <v>11</v>
      </c>
      <c r="L188" s="214" t="s">
        <v>29</v>
      </c>
      <c r="M188" s="210" t="s">
        <v>229</v>
      </c>
      <c r="N188" s="215">
        <v>9835707936</v>
      </c>
      <c r="O188" s="215">
        <v>0</v>
      </c>
      <c r="P188" s="215">
        <v>0</v>
      </c>
      <c r="Q188" s="215">
        <v>0</v>
      </c>
      <c r="R188" s="215">
        <v>0</v>
      </c>
      <c r="S188" s="215">
        <v>0</v>
      </c>
      <c r="T188" s="215">
        <v>9835707936</v>
      </c>
      <c r="U188" s="215">
        <v>6383061130.0500002</v>
      </c>
      <c r="V188" s="215">
        <v>3452646805.9499998</v>
      </c>
      <c r="W188" s="216">
        <v>0.6489681445996528</v>
      </c>
      <c r="X188" s="215">
        <v>1181146625</v>
      </c>
      <c r="Y188" s="215">
        <v>5201914505.0500002</v>
      </c>
      <c r="Z188" s="216">
        <v>0.814956084402916</v>
      </c>
      <c r="AA188" s="215">
        <v>1166095204</v>
      </c>
      <c r="AB188" s="215">
        <v>15051421</v>
      </c>
      <c r="AC188" s="216">
        <v>0.18268589008340982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24.95" customHeight="1">
      <c r="A189" s="32" t="s">
        <v>671</v>
      </c>
      <c r="B189" s="217" t="s">
        <v>672</v>
      </c>
      <c r="C189" s="266" t="s">
        <v>167</v>
      </c>
      <c r="D189" s="267" t="s">
        <v>190</v>
      </c>
      <c r="E189" s="267" t="s">
        <v>172</v>
      </c>
      <c r="F189" s="267">
        <v>19</v>
      </c>
      <c r="G189" s="267" t="s">
        <v>175</v>
      </c>
      <c r="H189" s="267">
        <v>4103052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9835707936</v>
      </c>
      <c r="O189" s="222"/>
      <c r="P189" s="222"/>
      <c r="Q189" s="222"/>
      <c r="R189" s="222"/>
      <c r="S189" s="222"/>
      <c r="T189" s="222">
        <v>9835707936</v>
      </c>
      <c r="U189" s="222">
        <v>6383061130.0500002</v>
      </c>
      <c r="V189" s="222">
        <v>3452646805.9499998</v>
      </c>
      <c r="W189" s="224">
        <v>0.6489681445996528</v>
      </c>
      <c r="X189" s="222">
        <v>1181146625</v>
      </c>
      <c r="Y189" s="222">
        <v>5201914505.0500002</v>
      </c>
      <c r="Z189" s="224">
        <v>0.814956084402916</v>
      </c>
      <c r="AA189" s="222">
        <v>1166095204</v>
      </c>
      <c r="AB189" s="222">
        <v>15051421</v>
      </c>
      <c r="AC189" s="224">
        <v>0.18268589008340982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">
        <v>673</v>
      </c>
      <c r="B190" s="210" t="s">
        <v>674</v>
      </c>
      <c r="C190" s="211" t="s">
        <v>167</v>
      </c>
      <c r="D190" s="212" t="s">
        <v>190</v>
      </c>
      <c r="E190" s="212" t="s">
        <v>172</v>
      </c>
      <c r="F190" s="212">
        <v>19</v>
      </c>
      <c r="G190" s="212" t="s">
        <v>175</v>
      </c>
      <c r="H190" s="212">
        <v>4103060</v>
      </c>
      <c r="I190" s="212"/>
      <c r="J190" s="212"/>
      <c r="K190" s="213">
        <v>11</v>
      </c>
      <c r="L190" s="214" t="s">
        <v>29</v>
      </c>
      <c r="M190" s="210" t="s">
        <v>216</v>
      </c>
      <c r="N190" s="215">
        <v>1226999999</v>
      </c>
      <c r="O190" s="215">
        <v>0</v>
      </c>
      <c r="P190" s="215">
        <v>0</v>
      </c>
      <c r="Q190" s="215">
        <v>0</v>
      </c>
      <c r="R190" s="215">
        <v>1114769224</v>
      </c>
      <c r="S190" s="215">
        <v>0</v>
      </c>
      <c r="T190" s="215">
        <v>112230775</v>
      </c>
      <c r="U190" s="215">
        <v>0</v>
      </c>
      <c r="V190" s="215">
        <v>112230775</v>
      </c>
      <c r="W190" s="216">
        <v>0</v>
      </c>
      <c r="X190" s="215">
        <v>0</v>
      </c>
      <c r="Y190" s="215">
        <v>0</v>
      </c>
      <c r="Z190" s="216">
        <v>0</v>
      </c>
      <c r="AA190" s="215">
        <v>0</v>
      </c>
      <c r="AB190" s="215">
        <v>0</v>
      </c>
      <c r="AC190" s="216"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24.95" customHeight="1">
      <c r="A191" s="32" t="s">
        <v>675</v>
      </c>
      <c r="B191" s="217" t="s">
        <v>676</v>
      </c>
      <c r="C191" s="266" t="s">
        <v>167</v>
      </c>
      <c r="D191" s="267" t="s">
        <v>190</v>
      </c>
      <c r="E191" s="267" t="s">
        <v>172</v>
      </c>
      <c r="F191" s="267">
        <v>19</v>
      </c>
      <c r="G191" s="267" t="s">
        <v>175</v>
      </c>
      <c r="H191" s="267">
        <v>4103060</v>
      </c>
      <c r="I191" s="267" t="s">
        <v>54</v>
      </c>
      <c r="J191" s="267"/>
      <c r="K191" s="268">
        <v>11</v>
      </c>
      <c r="L191" s="269" t="s">
        <v>29</v>
      </c>
      <c r="M191" s="259" t="s">
        <v>178</v>
      </c>
      <c r="N191" s="222">
        <v>1226999999</v>
      </c>
      <c r="O191" s="222"/>
      <c r="P191" s="222"/>
      <c r="Q191" s="222"/>
      <c r="R191" s="222">
        <v>1114769224</v>
      </c>
      <c r="S191" s="222"/>
      <c r="T191" s="222">
        <v>112230775</v>
      </c>
      <c r="U191" s="222">
        <v>0</v>
      </c>
      <c r="V191" s="222">
        <v>112230775</v>
      </c>
      <c r="W191" s="224">
        <v>0</v>
      </c>
      <c r="X191" s="222">
        <v>0</v>
      </c>
      <c r="Y191" s="222">
        <v>0</v>
      </c>
      <c r="Z191" s="224">
        <v>0</v>
      </c>
      <c r="AA191" s="222">
        <v>0</v>
      </c>
      <c r="AB191" s="222">
        <v>0</v>
      </c>
      <c r="AC191" s="224"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49.5">
      <c r="A192" s="32" t="s">
        <v>677</v>
      </c>
      <c r="B192" s="226" t="s">
        <v>678</v>
      </c>
      <c r="C192" s="227" t="s">
        <v>167</v>
      </c>
      <c r="D192" s="228" t="s">
        <v>190</v>
      </c>
      <c r="E192" s="228" t="s">
        <v>172</v>
      </c>
      <c r="F192" s="228">
        <v>20</v>
      </c>
      <c r="G192" s="228"/>
      <c r="H192" s="228"/>
      <c r="I192" s="228"/>
      <c r="J192" s="228"/>
      <c r="K192" s="229"/>
      <c r="L192" s="230"/>
      <c r="M192" s="231" t="s">
        <v>286</v>
      </c>
      <c r="N192" s="232">
        <v>0</v>
      </c>
      <c r="O192" s="232">
        <v>0</v>
      </c>
      <c r="P192" s="232">
        <v>0</v>
      </c>
      <c r="Q192" s="232">
        <v>285960800000</v>
      </c>
      <c r="R192" s="232">
        <v>5960800000</v>
      </c>
      <c r="S192" s="232">
        <v>0</v>
      </c>
      <c r="T192" s="232">
        <v>280000000000</v>
      </c>
      <c r="U192" s="232">
        <v>170942407916.81</v>
      </c>
      <c r="V192" s="232">
        <v>109057592083.19</v>
      </c>
      <c r="W192" s="233">
        <v>0.61050859970289284</v>
      </c>
      <c r="X192" s="232">
        <v>157339050000</v>
      </c>
      <c r="Y192" s="232">
        <v>13603357916.809999</v>
      </c>
      <c r="Z192" s="233">
        <v>7.9578602422812159E-2</v>
      </c>
      <c r="AA192" s="232">
        <v>157339050000</v>
      </c>
      <c r="AB192" s="232">
        <v>0</v>
      </c>
      <c r="AC192" s="233">
        <v>0.92042139757718788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33">
      <c r="A193" s="32" t="s">
        <v>679</v>
      </c>
      <c r="B193" s="210" t="s">
        <v>680</v>
      </c>
      <c r="C193" s="211" t="s">
        <v>167</v>
      </c>
      <c r="D193" s="212" t="s">
        <v>190</v>
      </c>
      <c r="E193" s="212" t="s">
        <v>172</v>
      </c>
      <c r="F193" s="212">
        <v>20</v>
      </c>
      <c r="G193" s="212" t="s">
        <v>175</v>
      </c>
      <c r="H193" s="212">
        <v>4103061</v>
      </c>
      <c r="I193" s="212"/>
      <c r="J193" s="212"/>
      <c r="K193" s="213">
        <v>11</v>
      </c>
      <c r="L193" s="214" t="s">
        <v>29</v>
      </c>
      <c r="M193" s="210" t="s">
        <v>231</v>
      </c>
      <c r="N193" s="215">
        <v>0</v>
      </c>
      <c r="O193" s="215">
        <v>0</v>
      </c>
      <c r="P193" s="215">
        <v>0</v>
      </c>
      <c r="Q193" s="215">
        <v>285960800000</v>
      </c>
      <c r="R193" s="215">
        <v>5960800000</v>
      </c>
      <c r="S193" s="215">
        <v>0</v>
      </c>
      <c r="T193" s="215">
        <v>280000000000</v>
      </c>
      <c r="U193" s="215">
        <v>170942407916.81</v>
      </c>
      <c r="V193" s="215">
        <v>109057592083.19</v>
      </c>
      <c r="W193" s="216">
        <v>0.61050859970289284</v>
      </c>
      <c r="X193" s="215">
        <v>157339050000</v>
      </c>
      <c r="Y193" s="215">
        <v>13603357916.809999</v>
      </c>
      <c r="Z193" s="216">
        <v>7.9578602422812159E-2</v>
      </c>
      <c r="AA193" s="215">
        <v>157339050000</v>
      </c>
      <c r="AB193" s="215">
        <v>0</v>
      </c>
      <c r="AC193" s="216">
        <v>0.92042139757718788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24.95" customHeight="1">
      <c r="A194" s="32" t="s">
        <v>681</v>
      </c>
      <c r="B194" s="217" t="s">
        <v>682</v>
      </c>
      <c r="C194" s="266" t="s">
        <v>167</v>
      </c>
      <c r="D194" s="267" t="s">
        <v>190</v>
      </c>
      <c r="E194" s="267" t="s">
        <v>172</v>
      </c>
      <c r="F194" s="267">
        <v>20</v>
      </c>
      <c r="G194" s="267" t="s">
        <v>175</v>
      </c>
      <c r="H194" s="267">
        <v>4103061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0</v>
      </c>
      <c r="O194" s="222"/>
      <c r="P194" s="222"/>
      <c r="Q194" s="222">
        <v>25879800000</v>
      </c>
      <c r="R194" s="222"/>
      <c r="S194" s="222"/>
      <c r="T194" s="222">
        <v>25879800000</v>
      </c>
      <c r="U194" s="222">
        <v>13563307916.809999</v>
      </c>
      <c r="V194" s="222">
        <v>12316492083.190001</v>
      </c>
      <c r="W194" s="224">
        <v>0.52408859097867833</v>
      </c>
      <c r="X194" s="222">
        <v>0</v>
      </c>
      <c r="Y194" s="222">
        <v>13563307916.809999</v>
      </c>
      <c r="Z194" s="224">
        <v>1</v>
      </c>
      <c r="AA194" s="222">
        <v>0</v>
      </c>
      <c r="AB194" s="222">
        <v>0</v>
      </c>
      <c r="AC194" s="224">
        <v>0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">
        <v>683</v>
      </c>
      <c r="B195" s="217" t="s">
        <v>684</v>
      </c>
      <c r="C195" s="266" t="s">
        <v>167</v>
      </c>
      <c r="D195" s="267" t="s">
        <v>190</v>
      </c>
      <c r="E195" s="267" t="s">
        <v>172</v>
      </c>
      <c r="F195" s="267">
        <v>20</v>
      </c>
      <c r="G195" s="267" t="s">
        <v>175</v>
      </c>
      <c r="H195" s="267">
        <v>4103061</v>
      </c>
      <c r="I195" s="274" t="s">
        <v>65</v>
      </c>
      <c r="J195" s="267"/>
      <c r="K195" s="268">
        <v>11</v>
      </c>
      <c r="L195" s="269" t="s">
        <v>29</v>
      </c>
      <c r="M195" s="259" t="s">
        <v>127</v>
      </c>
      <c r="N195" s="222">
        <v>0</v>
      </c>
      <c r="O195" s="222"/>
      <c r="P195" s="222"/>
      <c r="Q195" s="222">
        <v>260081000000</v>
      </c>
      <c r="R195" s="222">
        <v>5960800000</v>
      </c>
      <c r="S195" s="222"/>
      <c r="T195" s="222">
        <v>254120200000</v>
      </c>
      <c r="U195" s="222">
        <v>157379100000</v>
      </c>
      <c r="V195" s="222">
        <v>96741100000</v>
      </c>
      <c r="W195" s="224">
        <v>0.61930968100922323</v>
      </c>
      <c r="X195" s="222">
        <v>157339050000</v>
      </c>
      <c r="Y195" s="222">
        <v>40050000</v>
      </c>
      <c r="Z195" s="224">
        <v>2.5448105879370258E-4</v>
      </c>
      <c r="AA195" s="222">
        <v>157339050000</v>
      </c>
      <c r="AB195" s="222">
        <v>0</v>
      </c>
      <c r="AC195" s="224">
        <v>0.99974551894120633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35.1" customHeight="1">
      <c r="A196" s="32" t="s">
        <v>543</v>
      </c>
      <c r="B196" s="188" t="s">
        <v>544</v>
      </c>
      <c r="C196" s="189" t="s">
        <v>167</v>
      </c>
      <c r="D196" s="191">
        <v>4199</v>
      </c>
      <c r="E196" s="191"/>
      <c r="F196" s="191"/>
      <c r="G196" s="191"/>
      <c r="H196" s="191"/>
      <c r="I196" s="191"/>
      <c r="J196" s="191"/>
      <c r="K196" s="192"/>
      <c r="L196" s="193"/>
      <c r="M196" s="188" t="s">
        <v>250</v>
      </c>
      <c r="N196" s="194">
        <v>3226548466</v>
      </c>
      <c r="O196" s="194">
        <v>0</v>
      </c>
      <c r="P196" s="194">
        <v>0</v>
      </c>
      <c r="Q196" s="194">
        <v>0</v>
      </c>
      <c r="R196" s="194">
        <v>0</v>
      </c>
      <c r="S196" s="194">
        <v>0</v>
      </c>
      <c r="T196" s="194">
        <v>3226548466</v>
      </c>
      <c r="U196" s="194">
        <v>2018008934.1300001</v>
      </c>
      <c r="V196" s="194">
        <v>1208539531.8699999</v>
      </c>
      <c r="W196" s="195">
        <v>0.62543890333429752</v>
      </c>
      <c r="X196" s="194">
        <v>2018008933.73</v>
      </c>
      <c r="Y196" s="194">
        <v>0.40000009536743164</v>
      </c>
      <c r="Z196" s="195">
        <v>1.9821522521647254E-10</v>
      </c>
      <c r="AA196" s="194">
        <v>2018008933.73</v>
      </c>
      <c r="AB196" s="194">
        <v>0</v>
      </c>
      <c r="AC196" s="195">
        <v>0.99999999980178478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24.95" customHeight="1">
      <c r="A197" s="32" t="s">
        <v>545</v>
      </c>
      <c r="B197" s="196" t="s">
        <v>300</v>
      </c>
      <c r="C197" s="197" t="s">
        <v>167</v>
      </c>
      <c r="D197" s="198">
        <v>4199</v>
      </c>
      <c r="E197" s="198">
        <v>1500</v>
      </c>
      <c r="F197" s="198"/>
      <c r="G197" s="198"/>
      <c r="H197" s="198"/>
      <c r="I197" s="198"/>
      <c r="J197" s="198"/>
      <c r="K197" s="199"/>
      <c r="L197" s="200"/>
      <c r="M197" s="196" t="s">
        <v>170</v>
      </c>
      <c r="N197" s="201">
        <v>3226548466</v>
      </c>
      <c r="O197" s="201">
        <v>0</v>
      </c>
      <c r="P197" s="201">
        <v>0</v>
      </c>
      <c r="Q197" s="201">
        <v>0</v>
      </c>
      <c r="R197" s="201">
        <v>0</v>
      </c>
      <c r="S197" s="201">
        <v>0</v>
      </c>
      <c r="T197" s="201">
        <v>3226548466</v>
      </c>
      <c r="U197" s="201">
        <v>2018008934.1300001</v>
      </c>
      <c r="V197" s="201">
        <v>1208539531.8699999</v>
      </c>
      <c r="W197" s="202">
        <v>0.62543890333429752</v>
      </c>
      <c r="X197" s="201">
        <v>2018008933.73</v>
      </c>
      <c r="Y197" s="201">
        <v>0.40000009536743164</v>
      </c>
      <c r="Z197" s="202">
        <v>1.9821522521647254E-10</v>
      </c>
      <c r="AA197" s="201">
        <v>2018008933.73</v>
      </c>
      <c r="AB197" s="201">
        <v>0</v>
      </c>
      <c r="AC197" s="202">
        <v>0.99999999980178478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3">
      <c r="A198" s="32" t="s">
        <v>546</v>
      </c>
      <c r="B198" s="203" t="s">
        <v>547</v>
      </c>
      <c r="C198" s="227" t="s">
        <v>167</v>
      </c>
      <c r="D198" s="228" t="s">
        <v>251</v>
      </c>
      <c r="E198" s="228" t="s">
        <v>172</v>
      </c>
      <c r="F198" s="228" t="s">
        <v>252</v>
      </c>
      <c r="G198" s="228"/>
      <c r="H198" s="228"/>
      <c r="I198" s="228"/>
      <c r="J198" s="228"/>
      <c r="K198" s="229"/>
      <c r="L198" s="230"/>
      <c r="M198" s="231" t="s">
        <v>287</v>
      </c>
      <c r="N198" s="232">
        <v>3226548466</v>
      </c>
      <c r="O198" s="232">
        <v>0</v>
      </c>
      <c r="P198" s="232">
        <v>0</v>
      </c>
      <c r="Q198" s="232">
        <v>0</v>
      </c>
      <c r="R198" s="232">
        <v>0</v>
      </c>
      <c r="S198" s="232">
        <v>0</v>
      </c>
      <c r="T198" s="232">
        <v>3226548466</v>
      </c>
      <c r="U198" s="232">
        <v>2018008934.1300001</v>
      </c>
      <c r="V198" s="232">
        <v>1208539531.8699999</v>
      </c>
      <c r="W198" s="233">
        <v>0.62543890333429752</v>
      </c>
      <c r="X198" s="232">
        <v>2018008933.73</v>
      </c>
      <c r="Y198" s="232">
        <v>0.40000009536743164</v>
      </c>
      <c r="Z198" s="233">
        <v>1.9821522521647254E-10</v>
      </c>
      <c r="AA198" s="232">
        <v>2018008933.73</v>
      </c>
      <c r="AB198" s="232">
        <v>0</v>
      </c>
      <c r="AC198" s="233">
        <v>0.99999999980178478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24.95" customHeight="1">
      <c r="A199" s="32" t="s">
        <v>688</v>
      </c>
      <c r="B199" s="210" t="s">
        <v>548</v>
      </c>
      <c r="C199" s="211" t="s">
        <v>167</v>
      </c>
      <c r="D199" s="212" t="s">
        <v>251</v>
      </c>
      <c r="E199" s="212" t="s">
        <v>172</v>
      </c>
      <c r="F199" s="212" t="s">
        <v>252</v>
      </c>
      <c r="G199" s="212" t="s">
        <v>175</v>
      </c>
      <c r="H199" s="212" t="s">
        <v>254</v>
      </c>
      <c r="I199" s="212"/>
      <c r="J199" s="212"/>
      <c r="K199" s="213">
        <v>11</v>
      </c>
      <c r="L199" s="214" t="s">
        <v>29</v>
      </c>
      <c r="M199" s="210" t="s">
        <v>255</v>
      </c>
      <c r="N199" s="215">
        <v>3226548466</v>
      </c>
      <c r="O199" s="215">
        <v>0</v>
      </c>
      <c r="P199" s="215">
        <v>0</v>
      </c>
      <c r="Q199" s="215">
        <v>0</v>
      </c>
      <c r="R199" s="215">
        <v>0</v>
      </c>
      <c r="S199" s="215">
        <v>0</v>
      </c>
      <c r="T199" s="215">
        <v>3226548466</v>
      </c>
      <c r="U199" s="215">
        <v>2018008934.1300001</v>
      </c>
      <c r="V199" s="215">
        <v>1208539531.8699999</v>
      </c>
      <c r="W199" s="216">
        <v>0.62543890333429752</v>
      </c>
      <c r="X199" s="215">
        <v>2018008933.73</v>
      </c>
      <c r="Y199" s="215">
        <v>0.40000009536743164</v>
      </c>
      <c r="Z199" s="216">
        <v>1.9821522521647254E-10</v>
      </c>
      <c r="AA199" s="215">
        <v>2018008933.73</v>
      </c>
      <c r="AB199" s="215">
        <v>0</v>
      </c>
      <c r="AC199" s="216">
        <v>0.99999999980178478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 thickBot="1">
      <c r="A200" s="32" t="s">
        <v>689</v>
      </c>
      <c r="B200" s="217" t="s">
        <v>549</v>
      </c>
      <c r="C200" s="218" t="s">
        <v>167</v>
      </c>
      <c r="D200" s="219" t="s">
        <v>251</v>
      </c>
      <c r="E200" s="219" t="s">
        <v>172</v>
      </c>
      <c r="F200" s="219" t="s">
        <v>252</v>
      </c>
      <c r="G200" s="219" t="s">
        <v>175</v>
      </c>
      <c r="H200" s="219" t="s">
        <v>254</v>
      </c>
      <c r="I200" s="219" t="s">
        <v>54</v>
      </c>
      <c r="J200" s="219"/>
      <c r="K200" s="275">
        <v>11</v>
      </c>
      <c r="L200" s="276" t="s">
        <v>29</v>
      </c>
      <c r="M200" s="217" t="s">
        <v>178</v>
      </c>
      <c r="N200" s="222">
        <v>3226548466</v>
      </c>
      <c r="O200" s="222"/>
      <c r="P200" s="222"/>
      <c r="Q200" s="222"/>
      <c r="R200" s="222"/>
      <c r="S200" s="222"/>
      <c r="T200" s="222">
        <v>3226548466</v>
      </c>
      <c r="U200" s="222">
        <v>2018008934.1300001</v>
      </c>
      <c r="V200" s="222">
        <v>1208539531.8699999</v>
      </c>
      <c r="W200" s="224">
        <v>0.62543890333429752</v>
      </c>
      <c r="X200" s="222">
        <v>2018008933.73</v>
      </c>
      <c r="Y200" s="222">
        <v>0.40000009536743164</v>
      </c>
      <c r="Z200" s="224">
        <v>1.9821522521647254E-10</v>
      </c>
      <c r="AA200" s="222">
        <v>2018008933.73</v>
      </c>
      <c r="AB200" s="222">
        <v>0</v>
      </c>
      <c r="AC200" s="224">
        <v>0.99999999980178478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35.1" customHeight="1" thickBot="1">
      <c r="A201" s="32"/>
      <c r="B201" s="277" t="s">
        <v>288</v>
      </c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60" t="s">
        <v>256</v>
      </c>
      <c r="N201" s="265">
        <v>3648573139470</v>
      </c>
      <c r="O201" s="265">
        <v>4391269167713</v>
      </c>
      <c r="P201" s="265">
        <v>0</v>
      </c>
      <c r="Q201" s="265">
        <v>398155442454.25</v>
      </c>
      <c r="R201" s="265">
        <v>398155442454.25</v>
      </c>
      <c r="S201" s="265">
        <v>591791000000</v>
      </c>
      <c r="T201" s="265">
        <v>7448051307183</v>
      </c>
      <c r="U201" s="265">
        <v>4592551668254.75</v>
      </c>
      <c r="V201" s="265">
        <v>2855499638928.25</v>
      </c>
      <c r="W201" s="187">
        <v>0.61661117503656726</v>
      </c>
      <c r="X201" s="265">
        <v>3355911194495.9902</v>
      </c>
      <c r="Y201" s="265">
        <v>1236640473758.7603</v>
      </c>
      <c r="Z201" s="187">
        <v>0.26927088971188545</v>
      </c>
      <c r="AA201" s="265">
        <v>3355342091429.9902</v>
      </c>
      <c r="AB201" s="265">
        <v>569103066</v>
      </c>
      <c r="AC201" s="187">
        <v>0.73060519158080128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s="90" customFormat="1" ht="16.5">
      <c r="A202" s="32"/>
      <c r="B202" s="279"/>
      <c r="C202" s="82"/>
      <c r="D202" s="82"/>
      <c r="E202" s="82"/>
      <c r="F202" s="82"/>
      <c r="G202" s="82"/>
      <c r="H202" s="83"/>
      <c r="I202" s="84"/>
      <c r="J202" s="84"/>
      <c r="K202" s="84"/>
      <c r="L202" s="84"/>
      <c r="M202" s="84"/>
      <c r="N202" s="86"/>
      <c r="O202" s="86"/>
      <c r="P202" s="86"/>
      <c r="Q202" s="86"/>
      <c r="R202" s="86"/>
      <c r="S202" s="86"/>
      <c r="T202" s="86"/>
      <c r="U202" s="86"/>
      <c r="V202" s="86"/>
      <c r="W202" s="87"/>
      <c r="X202" s="86"/>
      <c r="Y202" s="86"/>
      <c r="Z202" s="87"/>
      <c r="AA202" s="86"/>
      <c r="AB202" s="86"/>
      <c r="AC202" s="89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1:52" s="90" customFormat="1" ht="16.5">
      <c r="A203" s="32" t="s">
        <v>550</v>
      </c>
      <c r="B203" s="279"/>
      <c r="C203" s="82"/>
      <c r="D203" s="82"/>
      <c r="E203" s="82"/>
      <c r="F203" s="82"/>
      <c r="G203" s="82"/>
      <c r="H203" s="83"/>
      <c r="I203" s="84"/>
      <c r="J203" s="84"/>
      <c r="K203" s="84"/>
      <c r="L203" s="84"/>
      <c r="M203" s="84"/>
      <c r="N203" s="86"/>
      <c r="O203" s="86"/>
      <c r="P203" s="86"/>
      <c r="Q203" s="86"/>
      <c r="R203" s="86"/>
      <c r="S203" s="86"/>
      <c r="T203" s="86"/>
      <c r="U203" s="86"/>
      <c r="V203" s="86"/>
      <c r="W203" s="87"/>
      <c r="X203" s="86"/>
      <c r="Y203" s="86"/>
      <c r="Z203" s="87"/>
      <c r="AA203" s="86"/>
      <c r="AB203" s="86"/>
      <c r="AC203" s="89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1:52" s="8" customFormat="1" ht="16.5">
      <c r="A204" s="32"/>
      <c r="B204" s="280"/>
      <c r="C204" s="94"/>
      <c r="D204" s="93"/>
      <c r="E204" s="93"/>
      <c r="F204" s="93"/>
      <c r="G204" s="93"/>
      <c r="H204" s="93"/>
      <c r="I204" s="93"/>
      <c r="J204" s="93"/>
      <c r="K204" s="93"/>
      <c r="L204" s="93"/>
      <c r="M204" s="97" t="s">
        <v>289</v>
      </c>
      <c r="N204" s="281">
        <v>3648573139470</v>
      </c>
      <c r="O204" s="281">
        <v>4391269167713</v>
      </c>
      <c r="P204" s="8">
        <v>0</v>
      </c>
      <c r="Q204" s="635">
        <v>398155442454.25</v>
      </c>
      <c r="R204" s="634">
        <v>398155442454.25</v>
      </c>
      <c r="S204" s="281">
        <v>591791000000</v>
      </c>
      <c r="T204" s="281">
        <v>7448051307183</v>
      </c>
      <c r="U204" s="281">
        <v>4592551668254.75</v>
      </c>
      <c r="V204" s="281">
        <v>2855499638928.25</v>
      </c>
      <c r="W204" s="282">
        <v>0.61660000000000004</v>
      </c>
      <c r="X204" s="281">
        <v>3355911194495.9902</v>
      </c>
      <c r="Y204" s="281">
        <v>1236640473758.76</v>
      </c>
      <c r="Z204" s="282">
        <v>0.26929999999999998</v>
      </c>
      <c r="AA204" s="281">
        <v>3355342091429.9902</v>
      </c>
      <c r="AB204" s="281">
        <v>569103066</v>
      </c>
      <c r="AC204" s="282">
        <v>0.73060000000000003</v>
      </c>
    </row>
    <row r="205" spans="1:52" s="289" customFormat="1" ht="16.5">
      <c r="A205" s="22"/>
      <c r="B205" s="283"/>
      <c r="C205" s="284"/>
      <c r="D205" s="285"/>
      <c r="E205" s="285"/>
      <c r="F205" s="285"/>
      <c r="G205" s="285"/>
      <c r="H205" s="285"/>
      <c r="I205" s="285"/>
      <c r="J205" s="285"/>
      <c r="K205" s="285"/>
      <c r="L205" s="285"/>
      <c r="M205" s="286" t="s">
        <v>290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287">
        <v>1.1175036567223628E-5</v>
      </c>
      <c r="X205" s="98">
        <v>0</v>
      </c>
      <c r="Y205" s="98">
        <v>0</v>
      </c>
      <c r="Z205" s="287">
        <v>-2.9110288114531091E-5</v>
      </c>
      <c r="AA205" s="98">
        <v>0</v>
      </c>
      <c r="AB205" s="98">
        <v>0</v>
      </c>
      <c r="AC205" s="288">
        <v>0</v>
      </c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</row>
    <row r="206" spans="1:52" ht="18">
      <c r="A206" s="30"/>
      <c r="B206" s="279"/>
      <c r="C206" s="312"/>
      <c r="D206" s="317"/>
      <c r="E206" s="312"/>
      <c r="F206" s="312"/>
      <c r="G206" s="312"/>
      <c r="H206" s="312"/>
      <c r="I206" s="312"/>
      <c r="J206" s="312"/>
      <c r="K206" s="312"/>
      <c r="L206" s="312"/>
      <c r="M206" s="312"/>
      <c r="N206" s="335"/>
      <c r="O206" s="632"/>
      <c r="P206" s="332"/>
      <c r="Q206" s="332"/>
      <c r="R206" s="633"/>
      <c r="S206" s="633"/>
      <c r="T206" s="332"/>
      <c r="U206" s="332"/>
      <c r="V206" s="332"/>
      <c r="W206" s="333"/>
      <c r="X206" s="332"/>
      <c r="Y206" s="332"/>
      <c r="Z206" s="333"/>
      <c r="AA206" s="332"/>
      <c r="AB206" s="332"/>
      <c r="AC206" s="333"/>
    </row>
    <row r="207" spans="1:52" ht="18">
      <c r="A207" s="30"/>
      <c r="B207" s="279"/>
      <c r="C207" s="312"/>
      <c r="D207" s="317"/>
      <c r="E207" s="312"/>
      <c r="F207" s="312"/>
      <c r="G207" s="312"/>
      <c r="H207" s="312"/>
      <c r="I207" s="312"/>
      <c r="J207" s="312"/>
      <c r="K207" s="312"/>
      <c r="L207" s="312"/>
      <c r="M207" s="312"/>
      <c r="N207" s="332"/>
      <c r="O207" s="632"/>
      <c r="P207" s="332"/>
      <c r="Q207" s="332"/>
      <c r="R207" s="633"/>
      <c r="S207" s="633"/>
      <c r="T207" s="332"/>
      <c r="U207" s="332"/>
      <c r="V207" s="332"/>
      <c r="W207" s="333"/>
      <c r="X207" s="332"/>
      <c r="Y207" s="332"/>
      <c r="Z207" s="333"/>
      <c r="AA207" s="332"/>
      <c r="AB207" s="332"/>
      <c r="AC207" s="333"/>
    </row>
    <row r="208" spans="1:52" ht="18">
      <c r="A208" s="1"/>
      <c r="B208" s="156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32"/>
      <c r="O208" s="632"/>
      <c r="P208" s="332"/>
      <c r="Q208" s="332"/>
      <c r="R208" s="332"/>
      <c r="S208" s="332"/>
      <c r="T208" s="332"/>
      <c r="U208" s="332"/>
      <c r="V208" s="332"/>
      <c r="W208" s="333"/>
      <c r="X208" s="332"/>
      <c r="Y208" s="631"/>
      <c r="Z208" s="333"/>
      <c r="AA208" s="332"/>
      <c r="AB208" s="332"/>
      <c r="AC208" s="333"/>
    </row>
    <row r="209" spans="1:29" ht="30">
      <c r="A209" s="1"/>
      <c r="B209" s="156"/>
      <c r="C209" s="318"/>
      <c r="D209" s="318"/>
      <c r="E209" s="318"/>
      <c r="F209" s="318"/>
      <c r="G209" s="318"/>
      <c r="H209" s="318"/>
      <c r="I209" s="312"/>
      <c r="J209" s="312"/>
      <c r="K209" s="312"/>
      <c r="L209" s="312"/>
      <c r="M209" s="336" t="s">
        <v>738</v>
      </c>
      <c r="N209" s="628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20"/>
      <c r="AA209" s="319"/>
      <c r="AB209" s="319"/>
      <c r="AC209" s="319"/>
    </row>
    <row r="210" spans="1:29" ht="30">
      <c r="A210" s="1"/>
      <c r="B210" s="156"/>
      <c r="C210" s="321"/>
      <c r="D210" s="322"/>
      <c r="E210" s="322"/>
      <c r="F210" s="322"/>
      <c r="G210" s="322"/>
      <c r="H210" s="322"/>
      <c r="I210" s="322"/>
      <c r="J210" s="322"/>
      <c r="K210" s="322"/>
      <c r="L210" s="322"/>
      <c r="M210" s="337" t="s">
        <v>739</v>
      </c>
      <c r="N210" s="628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4"/>
      <c r="AA210" s="323"/>
      <c r="AB210" s="323"/>
      <c r="AC210" s="323"/>
    </row>
    <row r="211" spans="1:29" ht="30">
      <c r="A211" s="325"/>
      <c r="B211" s="314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628"/>
      <c r="P211" s="309"/>
      <c r="Q211" s="309"/>
      <c r="R211" s="630"/>
      <c r="S211" s="630"/>
      <c r="T211" s="334"/>
      <c r="U211" s="334"/>
      <c r="V211" s="629"/>
      <c r="W211" s="329"/>
      <c r="X211" s="329"/>
      <c r="Y211" s="329"/>
      <c r="Z211" s="329"/>
    </row>
    <row r="212" spans="1:29" ht="16.5">
      <c r="N212" s="628"/>
      <c r="O212" s="628"/>
    </row>
    <row r="213" spans="1:29" ht="16.5">
      <c r="N213" s="628"/>
      <c r="O213" s="628"/>
    </row>
    <row r="214" spans="1:29" ht="16.5">
      <c r="N214" s="628"/>
    </row>
    <row r="215" spans="1:29" ht="16.5">
      <c r="N215" s="628"/>
    </row>
    <row r="216" spans="1:29" ht="16.5">
      <c r="N216" s="628"/>
    </row>
  </sheetData>
  <sheetProtection selectLockedCells="1" selectUnlockedCells="1"/>
  <autoFilter ref="A6:AC204" xr:uid="{00000000-0009-0000-0000-000002000000}"/>
  <mergeCells count="6">
    <mergeCell ref="N2:AC2"/>
    <mergeCell ref="N3:AC3"/>
    <mergeCell ref="O5:P5"/>
    <mergeCell ref="Q5:R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02597-E4D0-4001-B9C2-F4A709D1C5CD}">
  <sheetPr>
    <tabColor rgb="FF00B0F0"/>
    <pageSetUpPr fitToPage="1"/>
  </sheetPr>
  <dimension ref="A1:BC216"/>
  <sheetViews>
    <sheetView showGridLines="0" zoomScale="80" zoomScaleNormal="80" workbookViewId="0"/>
  </sheetViews>
  <sheetFormatPr baseColWidth="10" defaultRowHeight="12.75" outlineLevelCol="1"/>
  <cols>
    <col min="1" max="1" width="5.7109375" style="109" customWidth="1"/>
    <col min="2" max="2" width="26" style="9" customWidth="1"/>
    <col min="3" max="3" width="6.42578125" style="9" hidden="1" customWidth="1" outlineLevel="1"/>
    <col min="4" max="4" width="6" style="9" hidden="1" customWidth="1" outlineLevel="1"/>
    <col min="5" max="5" width="7.85546875" style="9" hidden="1" customWidth="1" outlineLevel="1"/>
    <col min="6" max="7" width="5.85546875" style="9" hidden="1" customWidth="1" outlineLevel="1"/>
    <col min="8" max="8" width="8" style="9" hidden="1" customWidth="1" outlineLevel="1"/>
    <col min="9" max="9" width="5.42578125" style="9" hidden="1" customWidth="1" outlineLevel="1"/>
    <col min="10" max="10" width="7.7109375" style="9" hidden="1" customWidth="1" outlineLevel="1"/>
    <col min="11" max="11" width="5.28515625" style="9" bestFit="1" customWidth="1" collapsed="1"/>
    <col min="12" max="12" width="5.7109375" style="9" bestFit="1" customWidth="1"/>
    <col min="13" max="13" width="70.7109375" style="9" customWidth="1"/>
    <col min="14" max="14" width="20" style="13" bestFit="1" customWidth="1"/>
    <col min="15" max="15" width="18.85546875" style="13" bestFit="1" customWidth="1"/>
    <col min="16" max="16" width="18.42578125" style="13" customWidth="1"/>
    <col min="17" max="17" width="18.5703125" style="13" bestFit="1" customWidth="1"/>
    <col min="18" max="18" width="19.140625" style="13" bestFit="1" customWidth="1"/>
    <col min="19" max="19" width="19.140625" style="13" customWidth="1"/>
    <col min="20" max="20" width="20.28515625" style="13" bestFit="1" customWidth="1"/>
    <col min="21" max="21" width="19.5703125" style="13" bestFit="1" customWidth="1"/>
    <col min="22" max="22" width="20.5703125" style="13" customWidth="1"/>
    <col min="23" max="23" width="11.5703125" style="13" customWidth="1"/>
    <col min="24" max="24" width="19.5703125" style="13" bestFit="1" customWidth="1"/>
    <col min="25" max="25" width="18.28515625" style="13" customWidth="1"/>
    <col min="26" max="26" width="14.140625" style="13" customWidth="1"/>
    <col min="27" max="27" width="19.5703125" style="13" customWidth="1"/>
    <col min="28" max="28" width="22.140625" style="13" customWidth="1"/>
    <col min="29" max="29" width="13.42578125" style="13" customWidth="1"/>
    <col min="30" max="30" width="11.42578125" style="13"/>
    <col min="31" max="31" width="13.85546875" style="13" customWidth="1"/>
    <col min="32" max="16384" width="11.42578125" style="13"/>
  </cols>
  <sheetData>
    <row r="1" spans="1:29" s="8" customFormat="1">
      <c r="A1" s="1"/>
      <c r="B1" s="15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>
        <v>6</v>
      </c>
      <c r="O1" s="6"/>
      <c r="P1" s="6"/>
      <c r="Q1" s="6"/>
      <c r="R1" s="6"/>
      <c r="S1" s="6"/>
      <c r="T1" s="6"/>
      <c r="U1" s="5">
        <v>13</v>
      </c>
      <c r="V1" s="6"/>
      <c r="W1" s="7"/>
      <c r="X1" s="5">
        <v>14</v>
      </c>
      <c r="Y1" s="326"/>
      <c r="Z1" s="7"/>
      <c r="AA1" s="5">
        <v>16</v>
      </c>
      <c r="AB1" s="6"/>
      <c r="AC1" s="7"/>
    </row>
    <row r="2" spans="1:29" ht="30">
      <c r="A2" s="1"/>
      <c r="B2" s="156"/>
      <c r="D2" s="10"/>
      <c r="E2" s="10"/>
      <c r="F2" s="10"/>
      <c r="G2" s="10"/>
      <c r="H2" s="10"/>
      <c r="I2" s="10"/>
      <c r="J2" s="10"/>
      <c r="K2" s="10"/>
      <c r="L2" s="10"/>
      <c r="M2" s="10"/>
      <c r="N2" s="772" t="s">
        <v>0</v>
      </c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25.5">
      <c r="A3" s="1"/>
      <c r="B3" s="156"/>
      <c r="D3" s="14"/>
      <c r="E3" s="14"/>
      <c r="F3" s="14"/>
      <c r="G3" s="14"/>
      <c r="H3" s="14"/>
      <c r="I3" s="14"/>
      <c r="J3" s="14"/>
      <c r="K3" s="14"/>
      <c r="L3" s="14"/>
      <c r="M3" s="14"/>
      <c r="N3" s="773" t="s">
        <v>906</v>
      </c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3.5" thickBot="1">
      <c r="A4" s="1"/>
      <c r="B4" s="156"/>
      <c r="C4" s="17"/>
      <c r="D4" s="17"/>
      <c r="E4" s="17"/>
      <c r="F4" s="17"/>
      <c r="G4" s="17"/>
      <c r="H4" s="17"/>
      <c r="I4" s="18"/>
      <c r="J4" s="18"/>
      <c r="K4" s="18"/>
      <c r="L4" s="18"/>
      <c r="M4" s="18"/>
      <c r="N4" s="20"/>
      <c r="O4" s="20"/>
      <c r="P4" s="20"/>
      <c r="Q4" s="20"/>
      <c r="R4" s="20" t="s">
        <v>276</v>
      </c>
      <c r="S4" s="20"/>
      <c r="T4" s="20"/>
      <c r="U4" s="20"/>
      <c r="V4" s="20"/>
      <c r="W4" s="21"/>
      <c r="X4" s="20"/>
      <c r="Y4" s="20"/>
      <c r="Z4" s="21"/>
      <c r="AA4" s="20"/>
      <c r="AB4" s="20"/>
      <c r="AC4" s="21"/>
    </row>
    <row r="5" spans="1:29" s="25" customFormat="1" ht="33.75" thickBot="1">
      <c r="A5" s="157"/>
      <c r="B5" s="158"/>
      <c r="C5" s="158"/>
      <c r="D5" s="159"/>
      <c r="E5" s="160"/>
      <c r="F5" s="160"/>
      <c r="G5" s="160"/>
      <c r="H5" s="160"/>
      <c r="I5" s="161"/>
      <c r="J5" s="162"/>
      <c r="K5" s="163"/>
      <c r="L5" s="164"/>
      <c r="M5" s="165"/>
      <c r="N5" s="665"/>
      <c r="O5" s="774" t="s">
        <v>870</v>
      </c>
      <c r="P5" s="775"/>
      <c r="Q5" s="774" t="s">
        <v>871</v>
      </c>
      <c r="R5" s="775"/>
      <c r="S5" s="664"/>
      <c r="T5" s="166" t="s">
        <v>6</v>
      </c>
      <c r="U5" s="560"/>
      <c r="V5" s="663" t="s">
        <v>7</v>
      </c>
      <c r="W5" s="662"/>
      <c r="X5" s="776" t="s">
        <v>8</v>
      </c>
      <c r="Y5" s="777"/>
      <c r="Z5" s="778"/>
      <c r="AA5" s="779" t="s">
        <v>9</v>
      </c>
      <c r="AB5" s="780"/>
      <c r="AC5" s="781"/>
    </row>
    <row r="6" spans="1:29" s="25" customFormat="1" ht="50.25" thickBot="1">
      <c r="A6" s="157"/>
      <c r="B6" s="167" t="s">
        <v>2</v>
      </c>
      <c r="C6" s="168" t="s">
        <v>10</v>
      </c>
      <c r="D6" s="169" t="s">
        <v>11</v>
      </c>
      <c r="E6" s="170" t="s">
        <v>12</v>
      </c>
      <c r="F6" s="170" t="s">
        <v>13</v>
      </c>
      <c r="G6" s="170" t="s">
        <v>14</v>
      </c>
      <c r="H6" s="170" t="s">
        <v>15</v>
      </c>
      <c r="I6" s="170" t="s">
        <v>16</v>
      </c>
      <c r="J6" s="171" t="s">
        <v>277</v>
      </c>
      <c r="K6" s="172" t="s">
        <v>3</v>
      </c>
      <c r="L6" s="173" t="s">
        <v>17</v>
      </c>
      <c r="M6" s="167" t="s">
        <v>5</v>
      </c>
      <c r="N6" s="174" t="s">
        <v>869</v>
      </c>
      <c r="O6" s="661" t="s">
        <v>873</v>
      </c>
      <c r="P6" s="660" t="s">
        <v>874</v>
      </c>
      <c r="Q6" s="175" t="s">
        <v>875</v>
      </c>
      <c r="R6" s="175" t="s">
        <v>876</v>
      </c>
      <c r="S6" s="659" t="s">
        <v>872</v>
      </c>
      <c r="T6" s="174" t="s">
        <v>6</v>
      </c>
      <c r="U6" s="176" t="s">
        <v>18</v>
      </c>
      <c r="V6" s="174" t="s">
        <v>877</v>
      </c>
      <c r="W6" s="177" t="s">
        <v>19</v>
      </c>
      <c r="X6" s="175" t="s">
        <v>18</v>
      </c>
      <c r="Y6" s="658" t="s">
        <v>897</v>
      </c>
      <c r="Z6" s="178" t="s">
        <v>879</v>
      </c>
      <c r="AA6" s="175" t="s">
        <v>18</v>
      </c>
      <c r="AB6" s="658" t="s">
        <v>896</v>
      </c>
      <c r="AC6" s="178" t="s">
        <v>20</v>
      </c>
    </row>
    <row r="7" spans="1:29" s="640" customFormat="1" ht="17.25" thickBot="1">
      <c r="A7" s="179"/>
      <c r="B7" s="657"/>
      <c r="C7" s="656"/>
      <c r="D7" s="655"/>
      <c r="E7" s="654"/>
      <c r="F7" s="654"/>
      <c r="G7" s="654"/>
      <c r="H7" s="653"/>
      <c r="I7" s="652"/>
      <c r="J7" s="651"/>
      <c r="K7" s="650"/>
      <c r="L7" s="649"/>
      <c r="M7" s="648"/>
      <c r="N7" s="645">
        <v>1</v>
      </c>
      <c r="O7" s="647">
        <v>2</v>
      </c>
      <c r="P7" s="646">
        <v>3</v>
      </c>
      <c r="Q7" s="641">
        <v>4</v>
      </c>
      <c r="R7" s="641">
        <v>5</v>
      </c>
      <c r="S7" s="645"/>
      <c r="T7" s="641" t="s">
        <v>895</v>
      </c>
      <c r="U7" s="642" t="s">
        <v>21</v>
      </c>
      <c r="V7" s="641" t="s">
        <v>894</v>
      </c>
      <c r="W7" s="644" t="s">
        <v>893</v>
      </c>
      <c r="X7" s="643">
        <v>10</v>
      </c>
      <c r="Y7" s="641" t="s">
        <v>892</v>
      </c>
      <c r="Z7" s="641" t="s">
        <v>891</v>
      </c>
      <c r="AA7" s="642" t="s">
        <v>22</v>
      </c>
      <c r="AB7" s="641" t="s">
        <v>890</v>
      </c>
      <c r="AC7" s="641" t="s">
        <v>889</v>
      </c>
    </row>
    <row r="8" spans="1:29" ht="35.1" customHeight="1" thickBot="1">
      <c r="A8" s="32" t="str">
        <f>+CONCATENATE(B8,"=",K8)</f>
        <v>A=</v>
      </c>
      <c r="B8" s="180" t="s">
        <v>23</v>
      </c>
      <c r="C8" s="181" t="s">
        <v>23</v>
      </c>
      <c r="D8" s="182"/>
      <c r="E8" s="182"/>
      <c r="F8" s="182"/>
      <c r="G8" s="182"/>
      <c r="H8" s="182"/>
      <c r="I8" s="182"/>
      <c r="J8" s="183"/>
      <c r="K8" s="184"/>
      <c r="L8" s="185"/>
      <c r="M8" s="180" t="s">
        <v>24</v>
      </c>
      <c r="N8" s="186">
        <f>+N9+N44+N90+N105</f>
        <v>162991000000</v>
      </c>
      <c r="O8" s="186">
        <f t="shared" ref="O8:S8" si="0">+O9+O44+O90+O105</f>
        <v>5198509186465</v>
      </c>
      <c r="P8" s="186">
        <f t="shared" si="0"/>
        <v>0</v>
      </c>
      <c r="Q8" s="186">
        <f t="shared" si="0"/>
        <v>4035246087.4399996</v>
      </c>
      <c r="R8" s="186">
        <f t="shared" si="0"/>
        <v>4035246087.4400001</v>
      </c>
      <c r="S8" s="186">
        <f t="shared" si="0"/>
        <v>11791000000</v>
      </c>
      <c r="T8" s="186">
        <f>+T9+T44+T90+T105</f>
        <v>5349709186465</v>
      </c>
      <c r="U8" s="186">
        <f>+U9+U44+U90+U105</f>
        <v>2428103319812.2397</v>
      </c>
      <c r="V8" s="186">
        <f>+V9+V44+V90+V105</f>
        <v>2921605866652.7603</v>
      </c>
      <c r="W8" s="187">
        <f t="shared" ref="W8:W13" si="1">+IF(T8&gt;0,U8/T8,0)</f>
        <v>0.45387575944416719</v>
      </c>
      <c r="X8" s="186">
        <f>+X9+X44+X90+X105</f>
        <v>1789515304095.6799</v>
      </c>
      <c r="Y8" s="186">
        <f>+Y9+Y44+Y90+Y105</f>
        <v>638588015716.56006</v>
      </c>
      <c r="Z8" s="187">
        <f t="shared" ref="Z8:Z24" si="2">+IF(U8&gt;0,Y8/U8,0)</f>
        <v>0.26299869964591982</v>
      </c>
      <c r="AA8" s="186">
        <f>+AA9+AA44+AA90+AA105</f>
        <v>1789387566317.6799</v>
      </c>
      <c r="AB8" s="186">
        <f>+AB9+AB44+AB90+AB105</f>
        <v>127737778</v>
      </c>
      <c r="AC8" s="187">
        <f>+IF(U8&gt;0,(AA8/U8),0)</f>
        <v>0.73694869230525561</v>
      </c>
    </row>
    <row r="9" spans="1:29" ht="35.1" customHeight="1">
      <c r="A9" s="32" t="str">
        <f t="shared" ref="A9:A76" si="3">+CONCATENATE(B9,"=",K9)</f>
        <v>A-01=</v>
      </c>
      <c r="B9" s="188" t="str">
        <f>CONCATENATE(C9,"-",D9)</f>
        <v>A-01</v>
      </c>
      <c r="C9" s="189" t="s">
        <v>23</v>
      </c>
      <c r="D9" s="190" t="s">
        <v>25</v>
      </c>
      <c r="E9" s="191"/>
      <c r="F9" s="191"/>
      <c r="G9" s="191"/>
      <c r="H9" s="191"/>
      <c r="I9" s="191"/>
      <c r="J9" s="191"/>
      <c r="K9" s="192"/>
      <c r="L9" s="193"/>
      <c r="M9" s="188" t="s">
        <v>26</v>
      </c>
      <c r="N9" s="194">
        <f>+N10</f>
        <v>99738000000</v>
      </c>
      <c r="O9" s="194">
        <f t="shared" ref="O9:AB9" si="4">+O10</f>
        <v>0</v>
      </c>
      <c r="P9" s="194">
        <f t="shared" si="4"/>
        <v>0</v>
      </c>
      <c r="Q9" s="194">
        <f>+Q10</f>
        <v>275000000</v>
      </c>
      <c r="R9" s="194">
        <f t="shared" si="4"/>
        <v>275000000</v>
      </c>
      <c r="S9" s="194">
        <f t="shared" si="4"/>
        <v>0</v>
      </c>
      <c r="T9" s="194">
        <f t="shared" si="4"/>
        <v>99738000000</v>
      </c>
      <c r="U9" s="194">
        <f t="shared" si="4"/>
        <v>63054814600</v>
      </c>
      <c r="V9" s="194">
        <f t="shared" si="4"/>
        <v>36683185400</v>
      </c>
      <c r="W9" s="195">
        <f t="shared" si="1"/>
        <v>0.63220452184723974</v>
      </c>
      <c r="X9" s="194">
        <f t="shared" si="4"/>
        <v>61606564315</v>
      </c>
      <c r="Y9" s="194">
        <f t="shared" si="4"/>
        <v>1448250285</v>
      </c>
      <c r="Z9" s="195">
        <f t="shared" si="2"/>
        <v>2.2968115824100764E-2</v>
      </c>
      <c r="AA9" s="194">
        <f t="shared" si="4"/>
        <v>61606398715</v>
      </c>
      <c r="AB9" s="194">
        <f t="shared" si="4"/>
        <v>165600</v>
      </c>
      <c r="AC9" s="195">
        <f t="shared" ref="AC9:AC76" si="5">+IF(U9&gt;0,(AA9/U9),0)</f>
        <v>0.97702925788953154</v>
      </c>
    </row>
    <row r="10" spans="1:29" ht="24.95" customHeight="1">
      <c r="A10" s="32" t="str">
        <f t="shared" si="3"/>
        <v>A-01-01=</v>
      </c>
      <c r="B10" s="196" t="str">
        <f>CONCATENATE(C10,"-",D10,"-",E10)</f>
        <v>A-01-01</v>
      </c>
      <c r="C10" s="197" t="s">
        <v>23</v>
      </c>
      <c r="D10" s="198" t="s">
        <v>25</v>
      </c>
      <c r="E10" s="198" t="s">
        <v>25</v>
      </c>
      <c r="F10" s="198"/>
      <c r="G10" s="198"/>
      <c r="H10" s="198"/>
      <c r="I10" s="198"/>
      <c r="J10" s="198"/>
      <c r="K10" s="199"/>
      <c r="L10" s="200"/>
      <c r="M10" s="196" t="s">
        <v>27</v>
      </c>
      <c r="N10" s="201">
        <f>+N11+N24+N34</f>
        <v>99738000000</v>
      </c>
      <c r="O10" s="201">
        <f t="shared" ref="O10:U10" si="6">+O11+O24+O34</f>
        <v>0</v>
      </c>
      <c r="P10" s="201">
        <f t="shared" si="6"/>
        <v>0</v>
      </c>
      <c r="Q10" s="201">
        <f t="shared" si="6"/>
        <v>275000000</v>
      </c>
      <c r="R10" s="201">
        <f t="shared" si="6"/>
        <v>275000000</v>
      </c>
      <c r="S10" s="201">
        <f t="shared" si="6"/>
        <v>0</v>
      </c>
      <c r="T10" s="201">
        <f t="shared" si="6"/>
        <v>99738000000</v>
      </c>
      <c r="U10" s="201">
        <f t="shared" si="6"/>
        <v>63054814600</v>
      </c>
      <c r="V10" s="201">
        <f>+V11+V24+V34</f>
        <v>36683185400</v>
      </c>
      <c r="W10" s="202">
        <f t="shared" si="1"/>
        <v>0.63220452184723974</v>
      </c>
      <c r="X10" s="201">
        <f>+X11+X24+X34</f>
        <v>61606564315</v>
      </c>
      <c r="Y10" s="201">
        <f>+Y11+Y24+Y34</f>
        <v>1448250285</v>
      </c>
      <c r="Z10" s="202">
        <f t="shared" si="2"/>
        <v>2.2968115824100764E-2</v>
      </c>
      <c r="AA10" s="201">
        <f>+AA11+AA24+AA34</f>
        <v>61606398715</v>
      </c>
      <c r="AB10" s="201">
        <f>+AB11+AB24+AB34</f>
        <v>165600</v>
      </c>
      <c r="AC10" s="202">
        <f t="shared" si="5"/>
        <v>0.97702925788953154</v>
      </c>
    </row>
    <row r="11" spans="1:29" ht="24.95" customHeight="1">
      <c r="A11" s="32" t="str">
        <f t="shared" si="3"/>
        <v>A-01-01-01=10</v>
      </c>
      <c r="B11" s="203" t="str">
        <f>CONCATENATE(C11,"-",D11,"-",E11,"-",F11)</f>
        <v>A-01-01-01</v>
      </c>
      <c r="C11" s="204" t="s">
        <v>23</v>
      </c>
      <c r="D11" s="205" t="s">
        <v>25</v>
      </c>
      <c r="E11" s="205" t="s">
        <v>25</v>
      </c>
      <c r="F11" s="205" t="s">
        <v>25</v>
      </c>
      <c r="G11" s="205"/>
      <c r="H11" s="205"/>
      <c r="I11" s="205"/>
      <c r="J11" s="205"/>
      <c r="K11" s="206" t="s">
        <v>28</v>
      </c>
      <c r="L11" s="207" t="s">
        <v>29</v>
      </c>
      <c r="M11" s="203" t="s">
        <v>30</v>
      </c>
      <c r="N11" s="208">
        <f>SUM(N12)</f>
        <v>68019000000</v>
      </c>
      <c r="O11" s="208">
        <f t="shared" ref="O11:AB11" si="7">SUM(O12)</f>
        <v>0</v>
      </c>
      <c r="P11" s="208">
        <f t="shared" si="7"/>
        <v>0</v>
      </c>
      <c r="Q11" s="208">
        <f t="shared" si="7"/>
        <v>275000000</v>
      </c>
      <c r="R11" s="208">
        <f t="shared" si="7"/>
        <v>275000000</v>
      </c>
      <c r="S11" s="208">
        <f t="shared" si="7"/>
        <v>0</v>
      </c>
      <c r="T11" s="208">
        <f t="shared" si="7"/>
        <v>68019000000</v>
      </c>
      <c r="U11" s="208">
        <f t="shared" si="7"/>
        <v>41914564469</v>
      </c>
      <c r="V11" s="208">
        <f t="shared" si="7"/>
        <v>26104435531</v>
      </c>
      <c r="W11" s="209">
        <f t="shared" si="1"/>
        <v>0.61621847526426443</v>
      </c>
      <c r="X11" s="208">
        <f t="shared" si="7"/>
        <v>41904424405</v>
      </c>
      <c r="Y11" s="208">
        <f t="shared" si="7"/>
        <v>10140064</v>
      </c>
      <c r="Z11" s="209">
        <f t="shared" si="2"/>
        <v>2.4192220838891427E-4</v>
      </c>
      <c r="AA11" s="208">
        <f t="shared" si="7"/>
        <v>41904424405</v>
      </c>
      <c r="AB11" s="208">
        <f t="shared" si="7"/>
        <v>0</v>
      </c>
      <c r="AC11" s="209">
        <f t="shared" si="5"/>
        <v>0.99975807779161108</v>
      </c>
    </row>
    <row r="12" spans="1:29" ht="24.95" customHeight="1">
      <c r="A12" s="32" t="str">
        <f t="shared" si="3"/>
        <v>A-01-01-01-001=10</v>
      </c>
      <c r="B12" s="210" t="str">
        <f>CONCATENATE(C12,"-",D12,"-",E12,"-",F12,"-",G12)</f>
        <v>A-01-01-01-001</v>
      </c>
      <c r="C12" s="211" t="s">
        <v>23</v>
      </c>
      <c r="D12" s="212" t="s">
        <v>25</v>
      </c>
      <c r="E12" s="212" t="s">
        <v>25</v>
      </c>
      <c r="F12" s="212" t="s">
        <v>25</v>
      </c>
      <c r="G12" s="212" t="s">
        <v>31</v>
      </c>
      <c r="H12" s="212"/>
      <c r="I12" s="212"/>
      <c r="J12" s="212"/>
      <c r="K12" s="213" t="s">
        <v>28</v>
      </c>
      <c r="L12" s="214" t="s">
        <v>29</v>
      </c>
      <c r="M12" s="210" t="s">
        <v>32</v>
      </c>
      <c r="N12" s="215">
        <f>SUM(N13:N23)</f>
        <v>68019000000</v>
      </c>
      <c r="O12" s="215">
        <f t="shared" ref="O12:AB12" si="8">SUM(O13:O23)</f>
        <v>0</v>
      </c>
      <c r="P12" s="215">
        <f t="shared" si="8"/>
        <v>0</v>
      </c>
      <c r="Q12" s="215">
        <f t="shared" si="8"/>
        <v>275000000</v>
      </c>
      <c r="R12" s="215">
        <f t="shared" si="8"/>
        <v>275000000</v>
      </c>
      <c r="S12" s="215">
        <f t="shared" si="8"/>
        <v>0</v>
      </c>
      <c r="T12" s="215">
        <f t="shared" si="8"/>
        <v>68019000000</v>
      </c>
      <c r="U12" s="215">
        <f t="shared" si="8"/>
        <v>41914564469</v>
      </c>
      <c r="V12" s="215">
        <f t="shared" si="8"/>
        <v>26104435531</v>
      </c>
      <c r="W12" s="216">
        <f t="shared" si="1"/>
        <v>0.61621847526426443</v>
      </c>
      <c r="X12" s="215">
        <f t="shared" si="8"/>
        <v>41904424405</v>
      </c>
      <c r="Y12" s="215">
        <f t="shared" si="8"/>
        <v>10140064</v>
      </c>
      <c r="Z12" s="216">
        <f t="shared" si="2"/>
        <v>2.4192220838891427E-4</v>
      </c>
      <c r="AA12" s="215">
        <f t="shared" si="8"/>
        <v>41904424405</v>
      </c>
      <c r="AB12" s="215">
        <f t="shared" si="8"/>
        <v>0</v>
      </c>
      <c r="AC12" s="216">
        <f t="shared" si="5"/>
        <v>0.99975807779161108</v>
      </c>
    </row>
    <row r="13" spans="1:29" ht="24.95" customHeight="1">
      <c r="A13" s="32" t="str">
        <f t="shared" si="3"/>
        <v>A-01-01-01-001-001=10</v>
      </c>
      <c r="B13" s="217" t="str">
        <f>CONCATENATE(C13,"-",D13,"-",E13,"-",F13,"-",G13,"-",H13)</f>
        <v>A-01-01-01-001-001</v>
      </c>
      <c r="C13" s="218" t="s">
        <v>23</v>
      </c>
      <c r="D13" s="219" t="s">
        <v>25</v>
      </c>
      <c r="E13" s="219" t="s">
        <v>25</v>
      </c>
      <c r="F13" s="219" t="s">
        <v>25</v>
      </c>
      <c r="G13" s="219" t="s">
        <v>31</v>
      </c>
      <c r="H13" s="219" t="s">
        <v>31</v>
      </c>
      <c r="I13" s="219"/>
      <c r="J13" s="219"/>
      <c r="K13" s="220" t="s">
        <v>28</v>
      </c>
      <c r="L13" s="221" t="s">
        <v>29</v>
      </c>
      <c r="M13" s="217" t="s">
        <v>33</v>
      </c>
      <c r="N13" s="222">
        <v>54858000000</v>
      </c>
      <c r="O13" s="222"/>
      <c r="P13" s="222"/>
      <c r="Q13" s="222"/>
      <c r="R13" s="223"/>
      <c r="S13" s="223"/>
      <c r="T13" s="222">
        <f t="shared" ref="T13:T22" si="9">+N13-S13+O13-P13+Q13-R13</f>
        <v>54858000000</v>
      </c>
      <c r="U13" s="222">
        <v>36458515589</v>
      </c>
      <c r="V13" s="222">
        <f t="shared" ref="V13:V112" si="10">+T13-U13</f>
        <v>18399484411</v>
      </c>
      <c r="W13" s="224">
        <f t="shared" si="1"/>
        <v>0.66459797274782162</v>
      </c>
      <c r="X13" s="222">
        <v>36451237553</v>
      </c>
      <c r="Y13" s="222">
        <f>+U13-X13</f>
        <v>7278036</v>
      </c>
      <c r="Z13" s="224">
        <f t="shared" si="2"/>
        <v>1.9962513235716805E-4</v>
      </c>
      <c r="AA13" s="222">
        <v>36451237553</v>
      </c>
      <c r="AB13" s="222">
        <f t="shared" ref="AB13:AB112" si="11">+X13-AA13</f>
        <v>0</v>
      </c>
      <c r="AC13" s="224">
        <f t="shared" si="5"/>
        <v>0.99980037486764284</v>
      </c>
    </row>
    <row r="14" spans="1:29" ht="24.95" customHeight="1">
      <c r="A14" s="32" t="str">
        <f t="shared" si="3"/>
        <v>A-01-01-01-001-002=10</v>
      </c>
      <c r="B14" s="217" t="str">
        <f t="shared" ref="B14:B23" si="12">CONCATENATE(C14,"-",D14,"-",E14,"-",F14,"-",G14,"-",H14)</f>
        <v>A-01-01-01-001-002</v>
      </c>
      <c r="C14" s="218" t="s">
        <v>23</v>
      </c>
      <c r="D14" s="219" t="s">
        <v>25</v>
      </c>
      <c r="E14" s="219" t="s">
        <v>25</v>
      </c>
      <c r="F14" s="219" t="s">
        <v>25</v>
      </c>
      <c r="G14" s="219" t="s">
        <v>31</v>
      </c>
      <c r="H14" s="219" t="s">
        <v>34</v>
      </c>
      <c r="I14" s="219"/>
      <c r="J14" s="219"/>
      <c r="K14" s="220" t="s">
        <v>28</v>
      </c>
      <c r="L14" s="221" t="s">
        <v>29</v>
      </c>
      <c r="M14" s="217" t="s">
        <v>35</v>
      </c>
      <c r="N14" s="222">
        <v>263000000</v>
      </c>
      <c r="O14" s="222"/>
      <c r="P14" s="222"/>
      <c r="Q14" s="222"/>
      <c r="R14" s="222"/>
      <c r="S14" s="222"/>
      <c r="T14" s="222">
        <f t="shared" si="9"/>
        <v>263000000</v>
      </c>
      <c r="U14" s="222">
        <v>171581702</v>
      </c>
      <c r="V14" s="222">
        <f t="shared" si="10"/>
        <v>91418298</v>
      </c>
      <c r="W14" s="224">
        <f>+IF(T14&gt;0,U14/T14,0)</f>
        <v>0.65240190874524717</v>
      </c>
      <c r="X14" s="222">
        <v>171581702</v>
      </c>
      <c r="Y14" s="222">
        <f t="shared" ref="Y14:Y118" si="13">+U14-X14</f>
        <v>0</v>
      </c>
      <c r="Z14" s="224">
        <f t="shared" si="2"/>
        <v>0</v>
      </c>
      <c r="AA14" s="222">
        <v>171581702</v>
      </c>
      <c r="AB14" s="222">
        <f t="shared" si="11"/>
        <v>0</v>
      </c>
      <c r="AC14" s="224">
        <f t="shared" si="5"/>
        <v>1</v>
      </c>
    </row>
    <row r="15" spans="1:29" ht="24.95" customHeight="1">
      <c r="A15" s="32" t="str">
        <f t="shared" si="3"/>
        <v>A-01-01-01-001-003=10</v>
      </c>
      <c r="B15" s="217" t="str">
        <f t="shared" si="12"/>
        <v>A-01-01-01-001-003</v>
      </c>
      <c r="C15" s="218" t="s">
        <v>23</v>
      </c>
      <c r="D15" s="219" t="s">
        <v>25</v>
      </c>
      <c r="E15" s="219" t="s">
        <v>25</v>
      </c>
      <c r="F15" s="219" t="s">
        <v>25</v>
      </c>
      <c r="G15" s="219" t="s">
        <v>31</v>
      </c>
      <c r="H15" s="219" t="s">
        <v>36</v>
      </c>
      <c r="I15" s="219"/>
      <c r="J15" s="219"/>
      <c r="K15" s="220" t="s">
        <v>28</v>
      </c>
      <c r="L15" s="221" t="s">
        <v>29</v>
      </c>
      <c r="M15" s="217" t="s">
        <v>37</v>
      </c>
      <c r="N15" s="222">
        <v>550000000</v>
      </c>
      <c r="O15" s="222"/>
      <c r="P15" s="222"/>
      <c r="Q15" s="222"/>
      <c r="R15" s="222"/>
      <c r="S15" s="222"/>
      <c r="T15" s="222">
        <f t="shared" si="9"/>
        <v>550000000</v>
      </c>
      <c r="U15" s="222">
        <v>372651516</v>
      </c>
      <c r="V15" s="222">
        <f t="shared" si="10"/>
        <v>177348484</v>
      </c>
      <c r="W15" s="224">
        <f t="shared" ref="W15:W82" si="14">+IF(T15&gt;0,U15/T15,0)</f>
        <v>0.6775482109090909</v>
      </c>
      <c r="X15" s="222">
        <v>372651516</v>
      </c>
      <c r="Y15" s="222">
        <f t="shared" si="13"/>
        <v>0</v>
      </c>
      <c r="Z15" s="224">
        <f t="shared" si="2"/>
        <v>0</v>
      </c>
      <c r="AA15" s="222">
        <v>372651516</v>
      </c>
      <c r="AB15" s="222">
        <f t="shared" si="11"/>
        <v>0</v>
      </c>
      <c r="AC15" s="224">
        <f t="shared" si="5"/>
        <v>1</v>
      </c>
    </row>
    <row r="16" spans="1:29" ht="24.95" customHeight="1">
      <c r="A16" s="32" t="str">
        <f t="shared" si="3"/>
        <v>A-01-01-01-001-004=10</v>
      </c>
      <c r="B16" s="217" t="str">
        <f t="shared" si="12"/>
        <v>A-01-01-01-001-004</v>
      </c>
      <c r="C16" s="218" t="s">
        <v>23</v>
      </c>
      <c r="D16" s="219" t="s">
        <v>25</v>
      </c>
      <c r="E16" s="219" t="s">
        <v>25</v>
      </c>
      <c r="F16" s="219" t="s">
        <v>25</v>
      </c>
      <c r="G16" s="219" t="s">
        <v>31</v>
      </c>
      <c r="H16" s="219" t="s">
        <v>38</v>
      </c>
      <c r="I16" s="219"/>
      <c r="J16" s="219"/>
      <c r="K16" s="220" t="s">
        <v>28</v>
      </c>
      <c r="L16" s="221" t="s">
        <v>29</v>
      </c>
      <c r="M16" s="217" t="s">
        <v>39</v>
      </c>
      <c r="N16" s="222">
        <v>100000000</v>
      </c>
      <c r="O16" s="222"/>
      <c r="P16" s="222"/>
      <c r="Q16" s="222"/>
      <c r="R16" s="222"/>
      <c r="S16" s="222"/>
      <c r="T16" s="222">
        <f t="shared" si="9"/>
        <v>100000000</v>
      </c>
      <c r="U16" s="222">
        <v>61888357</v>
      </c>
      <c r="V16" s="222">
        <f t="shared" si="10"/>
        <v>38111643</v>
      </c>
      <c r="W16" s="224">
        <f t="shared" si="14"/>
        <v>0.61888357000000005</v>
      </c>
      <c r="X16" s="222">
        <v>61868528</v>
      </c>
      <c r="Y16" s="222">
        <f t="shared" si="13"/>
        <v>19829</v>
      </c>
      <c r="Z16" s="224">
        <f t="shared" si="2"/>
        <v>3.2039952199732819E-4</v>
      </c>
      <c r="AA16" s="222">
        <v>61868528</v>
      </c>
      <c r="AB16" s="222">
        <f t="shared" si="11"/>
        <v>0</v>
      </c>
      <c r="AC16" s="224">
        <f t="shared" si="5"/>
        <v>0.99967960047800264</v>
      </c>
    </row>
    <row r="17" spans="1:55" ht="24.95" customHeight="1">
      <c r="A17" s="32" t="str">
        <f t="shared" si="3"/>
        <v>A-01-01-01-001-005=10</v>
      </c>
      <c r="B17" s="217" t="str">
        <f t="shared" si="12"/>
        <v>A-01-01-01-001-005</v>
      </c>
      <c r="C17" s="218" t="s">
        <v>23</v>
      </c>
      <c r="D17" s="219" t="s">
        <v>25</v>
      </c>
      <c r="E17" s="219" t="s">
        <v>25</v>
      </c>
      <c r="F17" s="219" t="s">
        <v>25</v>
      </c>
      <c r="G17" s="219" t="s">
        <v>31</v>
      </c>
      <c r="H17" s="219" t="s">
        <v>40</v>
      </c>
      <c r="I17" s="219"/>
      <c r="J17" s="219"/>
      <c r="K17" s="220" t="s">
        <v>28</v>
      </c>
      <c r="L17" s="221" t="s">
        <v>29</v>
      </c>
      <c r="M17" s="217" t="s">
        <v>41</v>
      </c>
      <c r="N17" s="222">
        <v>98000000</v>
      </c>
      <c r="O17" s="222"/>
      <c r="P17" s="222"/>
      <c r="Q17" s="222"/>
      <c r="R17" s="222"/>
      <c r="S17" s="222"/>
      <c r="T17" s="222">
        <f t="shared" si="9"/>
        <v>98000000</v>
      </c>
      <c r="U17" s="222">
        <v>40116467</v>
      </c>
      <c r="V17" s="222">
        <f t="shared" si="10"/>
        <v>57883533</v>
      </c>
      <c r="W17" s="224">
        <f t="shared" si="14"/>
        <v>0.40935170408163263</v>
      </c>
      <c r="X17" s="222">
        <v>37274268</v>
      </c>
      <c r="Y17" s="222">
        <f t="shared" si="13"/>
        <v>2842199</v>
      </c>
      <c r="Z17" s="224">
        <f t="shared" si="2"/>
        <v>7.084868665029749E-2</v>
      </c>
      <c r="AA17" s="222">
        <v>37274268</v>
      </c>
      <c r="AB17" s="222">
        <f t="shared" si="11"/>
        <v>0</v>
      </c>
      <c r="AC17" s="224">
        <f t="shared" si="5"/>
        <v>0.92915131334970247</v>
      </c>
    </row>
    <row r="18" spans="1:55" ht="24.95" customHeight="1">
      <c r="A18" s="32" t="str">
        <f t="shared" si="3"/>
        <v>A-01-01-01-001-006=10</v>
      </c>
      <c r="B18" s="217" t="str">
        <f t="shared" si="12"/>
        <v>A-01-01-01-001-006</v>
      </c>
      <c r="C18" s="218" t="s">
        <v>23</v>
      </c>
      <c r="D18" s="219" t="s">
        <v>25</v>
      </c>
      <c r="E18" s="219" t="s">
        <v>25</v>
      </c>
      <c r="F18" s="219" t="s">
        <v>25</v>
      </c>
      <c r="G18" s="219" t="s">
        <v>31</v>
      </c>
      <c r="H18" s="219" t="s">
        <v>42</v>
      </c>
      <c r="I18" s="219"/>
      <c r="J18" s="219"/>
      <c r="K18" s="220" t="s">
        <v>28</v>
      </c>
      <c r="L18" s="221" t="s">
        <v>29</v>
      </c>
      <c r="M18" s="217" t="s">
        <v>43</v>
      </c>
      <c r="N18" s="222">
        <v>2500000000</v>
      </c>
      <c r="O18" s="222"/>
      <c r="P18" s="222"/>
      <c r="Q18" s="222">
        <v>230000000</v>
      </c>
      <c r="R18" s="222"/>
      <c r="S18" s="222"/>
      <c r="T18" s="222">
        <f t="shared" si="9"/>
        <v>2730000000</v>
      </c>
      <c r="U18" s="222">
        <v>2538766502</v>
      </c>
      <c r="V18" s="222">
        <f t="shared" si="10"/>
        <v>191233498</v>
      </c>
      <c r="W18" s="224">
        <f t="shared" si="14"/>
        <v>0.9299510996336996</v>
      </c>
      <c r="X18" s="222">
        <v>2538766502</v>
      </c>
      <c r="Y18" s="222">
        <f t="shared" si="13"/>
        <v>0</v>
      </c>
      <c r="Z18" s="224">
        <f t="shared" si="2"/>
        <v>0</v>
      </c>
      <c r="AA18" s="222">
        <v>2538766502</v>
      </c>
      <c r="AB18" s="222">
        <f t="shared" si="11"/>
        <v>0</v>
      </c>
      <c r="AC18" s="224">
        <f t="shared" si="5"/>
        <v>1</v>
      </c>
    </row>
    <row r="19" spans="1:55" ht="24.95" customHeight="1">
      <c r="A19" s="32" t="str">
        <f t="shared" si="3"/>
        <v>A-01-01-01-001-007=10</v>
      </c>
      <c r="B19" s="217" t="str">
        <f t="shared" si="12"/>
        <v>A-01-01-01-001-007</v>
      </c>
      <c r="C19" s="218" t="s">
        <v>23</v>
      </c>
      <c r="D19" s="219" t="s">
        <v>25</v>
      </c>
      <c r="E19" s="219" t="s">
        <v>25</v>
      </c>
      <c r="F19" s="219" t="s">
        <v>25</v>
      </c>
      <c r="G19" s="219" t="s">
        <v>31</v>
      </c>
      <c r="H19" s="219" t="s">
        <v>44</v>
      </c>
      <c r="I19" s="219"/>
      <c r="J19" s="219"/>
      <c r="K19" s="220" t="s">
        <v>28</v>
      </c>
      <c r="L19" s="221" t="s">
        <v>29</v>
      </c>
      <c r="M19" s="217" t="s">
        <v>45</v>
      </c>
      <c r="N19" s="222">
        <v>1800000000</v>
      </c>
      <c r="O19" s="222"/>
      <c r="P19" s="222"/>
      <c r="Q19" s="222"/>
      <c r="R19" s="222"/>
      <c r="S19" s="222"/>
      <c r="T19" s="222">
        <f t="shared" si="9"/>
        <v>1800000000</v>
      </c>
      <c r="U19" s="222">
        <v>1224118748</v>
      </c>
      <c r="V19" s="222">
        <f t="shared" si="10"/>
        <v>575881252</v>
      </c>
      <c r="W19" s="224">
        <f t="shared" si="14"/>
        <v>0.68006597111111111</v>
      </c>
      <c r="X19" s="222">
        <v>1224118748</v>
      </c>
      <c r="Y19" s="222">
        <f t="shared" si="13"/>
        <v>0</v>
      </c>
      <c r="Z19" s="224">
        <f t="shared" si="2"/>
        <v>0</v>
      </c>
      <c r="AA19" s="222">
        <v>1224118748</v>
      </c>
      <c r="AB19" s="222">
        <f t="shared" si="11"/>
        <v>0</v>
      </c>
      <c r="AC19" s="224">
        <f t="shared" si="5"/>
        <v>1</v>
      </c>
    </row>
    <row r="20" spans="1:55" ht="24.95" customHeight="1">
      <c r="A20" s="32" t="str">
        <f t="shared" si="3"/>
        <v>A-01-01-01-001-008=10</v>
      </c>
      <c r="B20" s="217" t="str">
        <f t="shared" si="12"/>
        <v>A-01-01-01-001-008</v>
      </c>
      <c r="C20" s="218" t="s">
        <v>23</v>
      </c>
      <c r="D20" s="219" t="s">
        <v>25</v>
      </c>
      <c r="E20" s="219" t="s">
        <v>25</v>
      </c>
      <c r="F20" s="219" t="s">
        <v>25</v>
      </c>
      <c r="G20" s="219" t="s">
        <v>31</v>
      </c>
      <c r="H20" s="219" t="s">
        <v>46</v>
      </c>
      <c r="I20" s="219"/>
      <c r="J20" s="219"/>
      <c r="K20" s="220" t="s">
        <v>28</v>
      </c>
      <c r="L20" s="221" t="s">
        <v>29</v>
      </c>
      <c r="M20" s="217" t="s">
        <v>47</v>
      </c>
      <c r="N20" s="222">
        <v>250000000</v>
      </c>
      <c r="O20" s="222"/>
      <c r="P20" s="222"/>
      <c r="Q20" s="222"/>
      <c r="R20" s="222"/>
      <c r="S20" s="222"/>
      <c r="T20" s="222">
        <f t="shared" si="9"/>
        <v>250000000</v>
      </c>
      <c r="U20" s="222">
        <v>40606110</v>
      </c>
      <c r="V20" s="222">
        <f t="shared" si="10"/>
        <v>209393890</v>
      </c>
      <c r="W20" s="224">
        <f t="shared" si="14"/>
        <v>0.16242444</v>
      </c>
      <c r="X20" s="222">
        <v>40606110</v>
      </c>
      <c r="Y20" s="222">
        <f t="shared" si="13"/>
        <v>0</v>
      </c>
      <c r="Z20" s="224">
        <f t="shared" si="2"/>
        <v>0</v>
      </c>
      <c r="AA20" s="222">
        <v>40606110</v>
      </c>
      <c r="AB20" s="222">
        <f t="shared" si="11"/>
        <v>0</v>
      </c>
      <c r="AC20" s="224">
        <f t="shared" si="5"/>
        <v>1</v>
      </c>
    </row>
    <row r="21" spans="1:55" ht="24.95" customHeight="1">
      <c r="A21" s="32" t="str">
        <f t="shared" si="3"/>
        <v>A-01-01-01-001-009=10</v>
      </c>
      <c r="B21" s="217" t="str">
        <f t="shared" si="12"/>
        <v>A-01-01-01-001-009</v>
      </c>
      <c r="C21" s="218" t="s">
        <v>23</v>
      </c>
      <c r="D21" s="219" t="s">
        <v>25</v>
      </c>
      <c r="E21" s="219" t="s">
        <v>25</v>
      </c>
      <c r="F21" s="219" t="s">
        <v>25</v>
      </c>
      <c r="G21" s="219" t="s">
        <v>31</v>
      </c>
      <c r="H21" s="219" t="s">
        <v>48</v>
      </c>
      <c r="I21" s="219"/>
      <c r="J21" s="219"/>
      <c r="K21" s="220" t="s">
        <v>28</v>
      </c>
      <c r="L21" s="221" t="s">
        <v>29</v>
      </c>
      <c r="M21" s="217" t="s">
        <v>49</v>
      </c>
      <c r="N21" s="222">
        <v>5000000000</v>
      </c>
      <c r="O21" s="222"/>
      <c r="P21" s="222"/>
      <c r="Q21" s="222"/>
      <c r="R21" s="222"/>
      <c r="S21" s="222"/>
      <c r="T21" s="222">
        <f t="shared" si="9"/>
        <v>5000000000</v>
      </c>
      <c r="U21" s="222">
        <v>24047446</v>
      </c>
      <c r="V21" s="222">
        <f t="shared" si="10"/>
        <v>4975952554</v>
      </c>
      <c r="W21" s="224">
        <f t="shared" si="14"/>
        <v>4.8094892000000002E-3</v>
      </c>
      <c r="X21" s="222">
        <v>24047446</v>
      </c>
      <c r="Y21" s="222">
        <f t="shared" si="13"/>
        <v>0</v>
      </c>
      <c r="Z21" s="224">
        <f t="shared" si="2"/>
        <v>0</v>
      </c>
      <c r="AA21" s="222">
        <v>24047446</v>
      </c>
      <c r="AB21" s="222">
        <f t="shared" si="11"/>
        <v>0</v>
      </c>
      <c r="AC21" s="224">
        <f t="shared" si="5"/>
        <v>1</v>
      </c>
    </row>
    <row r="22" spans="1:55" ht="24.95" customHeight="1">
      <c r="A22" s="32" t="str">
        <f t="shared" si="3"/>
        <v>A-01-01-01-001-010=10</v>
      </c>
      <c r="B22" s="217" t="str">
        <f t="shared" si="12"/>
        <v>A-01-01-01-001-010</v>
      </c>
      <c r="C22" s="218" t="s">
        <v>23</v>
      </c>
      <c r="D22" s="219" t="s">
        <v>25</v>
      </c>
      <c r="E22" s="219" t="s">
        <v>25</v>
      </c>
      <c r="F22" s="219" t="s">
        <v>25</v>
      </c>
      <c r="G22" s="219" t="s">
        <v>31</v>
      </c>
      <c r="H22" s="219" t="s">
        <v>50</v>
      </c>
      <c r="I22" s="219"/>
      <c r="J22" s="219"/>
      <c r="K22" s="220" t="s">
        <v>28</v>
      </c>
      <c r="L22" s="221" t="s">
        <v>29</v>
      </c>
      <c r="M22" s="217" t="s">
        <v>51</v>
      </c>
      <c r="N22" s="222">
        <v>2600000000</v>
      </c>
      <c r="O22" s="222"/>
      <c r="P22" s="222"/>
      <c r="Q22" s="222"/>
      <c r="R22" s="222">
        <f>45000000+230000000</f>
        <v>275000000</v>
      </c>
      <c r="S22" s="222"/>
      <c r="T22" s="222">
        <f t="shared" si="9"/>
        <v>2325000000</v>
      </c>
      <c r="U22" s="222">
        <v>954405462</v>
      </c>
      <c r="V22" s="222">
        <f t="shared" si="10"/>
        <v>1370594538</v>
      </c>
      <c r="W22" s="224">
        <f t="shared" si="14"/>
        <v>0.41049697290322579</v>
      </c>
      <c r="X22" s="222">
        <v>954405462</v>
      </c>
      <c r="Y22" s="222">
        <f t="shared" si="13"/>
        <v>0</v>
      </c>
      <c r="Z22" s="224">
        <f t="shared" si="2"/>
        <v>0</v>
      </c>
      <c r="AA22" s="222">
        <v>954405462</v>
      </c>
      <c r="AB22" s="222">
        <f t="shared" si="11"/>
        <v>0</v>
      </c>
      <c r="AC22" s="224">
        <f t="shared" si="5"/>
        <v>1</v>
      </c>
    </row>
    <row r="23" spans="1:55" s="64" customFormat="1" ht="24.95" customHeight="1">
      <c r="A23" s="32" t="str">
        <f t="shared" si="3"/>
        <v>A-01-01-01-001-012=10</v>
      </c>
      <c r="B23" s="217" t="str">
        <f t="shared" si="12"/>
        <v>A-01-01-01-001-012</v>
      </c>
      <c r="C23" s="218" t="s">
        <v>23</v>
      </c>
      <c r="D23" s="219" t="s">
        <v>25</v>
      </c>
      <c r="E23" s="219" t="s">
        <v>25</v>
      </c>
      <c r="F23" s="219" t="s">
        <v>25</v>
      </c>
      <c r="G23" s="219" t="s">
        <v>31</v>
      </c>
      <c r="H23" s="225" t="s">
        <v>52</v>
      </c>
      <c r="I23" s="219"/>
      <c r="J23" s="219"/>
      <c r="K23" s="220" t="s">
        <v>28</v>
      </c>
      <c r="L23" s="221" t="s">
        <v>29</v>
      </c>
      <c r="M23" s="217" t="s">
        <v>53</v>
      </c>
      <c r="N23" s="222">
        <f>VLOOKUP($A23,[5]Vigencia!$L$5:$AA$134,N$1,FALSE)</f>
        <v>0</v>
      </c>
      <c r="O23" s="222"/>
      <c r="P23" s="222"/>
      <c r="Q23" s="222">
        <v>45000000</v>
      </c>
      <c r="R23" s="222"/>
      <c r="S23" s="222"/>
      <c r="T23" s="222">
        <f t="shared" ref="T23" si="15">+N23+O23-P23+Q23-R23-S23</f>
        <v>45000000</v>
      </c>
      <c r="U23" s="222">
        <v>27866570</v>
      </c>
      <c r="V23" s="222">
        <f t="shared" si="10"/>
        <v>17133430</v>
      </c>
      <c r="W23" s="224">
        <f t="shared" si="14"/>
        <v>0.61925711111111115</v>
      </c>
      <c r="X23" s="222">
        <v>27866570</v>
      </c>
      <c r="Y23" s="222">
        <f t="shared" si="13"/>
        <v>0</v>
      </c>
      <c r="Z23" s="224">
        <f t="shared" si="2"/>
        <v>0</v>
      </c>
      <c r="AA23" s="222">
        <v>27866570</v>
      </c>
      <c r="AB23" s="222">
        <f t="shared" si="11"/>
        <v>0</v>
      </c>
      <c r="AC23" s="224">
        <f t="shared" si="5"/>
        <v>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ht="24.95" customHeight="1">
      <c r="A24" s="32" t="str">
        <f t="shared" si="3"/>
        <v>A-01-01-02=10</v>
      </c>
      <c r="B24" s="226" t="str">
        <f>CONCATENATE(C24,"-",D24,"-",E24,"-",F24)</f>
        <v>A-01-01-02</v>
      </c>
      <c r="C24" s="227" t="s">
        <v>23</v>
      </c>
      <c r="D24" s="228" t="s">
        <v>25</v>
      </c>
      <c r="E24" s="228" t="s">
        <v>25</v>
      </c>
      <c r="F24" s="228" t="s">
        <v>54</v>
      </c>
      <c r="G24" s="228"/>
      <c r="H24" s="228"/>
      <c r="I24" s="228"/>
      <c r="J24" s="228"/>
      <c r="K24" s="229" t="s">
        <v>28</v>
      </c>
      <c r="L24" s="230" t="s">
        <v>29</v>
      </c>
      <c r="M24" s="231" t="s">
        <v>55</v>
      </c>
      <c r="N24" s="232">
        <f>SUM(N25:N33)</f>
        <v>24735000000</v>
      </c>
      <c r="O24" s="232">
        <f t="shared" ref="O24:S24" si="16">SUM(O25:O33)</f>
        <v>0</v>
      </c>
      <c r="P24" s="232">
        <f t="shared" si="16"/>
        <v>0</v>
      </c>
      <c r="Q24" s="232">
        <f t="shared" si="16"/>
        <v>0</v>
      </c>
      <c r="R24" s="232">
        <f t="shared" si="16"/>
        <v>0</v>
      </c>
      <c r="S24" s="232">
        <f t="shared" si="16"/>
        <v>0</v>
      </c>
      <c r="T24" s="232">
        <f>SUM(T25:T33)</f>
        <v>24735000000</v>
      </c>
      <c r="U24" s="232">
        <f t="shared" ref="U24:V24" si="17">SUM(U25:U33)</f>
        <v>17257015416</v>
      </c>
      <c r="V24" s="232">
        <f t="shared" si="17"/>
        <v>7477984584</v>
      </c>
      <c r="W24" s="233">
        <f t="shared" si="14"/>
        <v>0.69767598204972714</v>
      </c>
      <c r="X24" s="232">
        <f t="shared" ref="X24:AB24" si="18">SUM(X25:X33)</f>
        <v>15819225262</v>
      </c>
      <c r="Y24" s="232">
        <f t="shared" si="18"/>
        <v>1437790154</v>
      </c>
      <c r="Z24" s="233">
        <f t="shared" si="2"/>
        <v>8.3316269896064402E-2</v>
      </c>
      <c r="AA24" s="232">
        <f t="shared" si="18"/>
        <v>15819059662</v>
      </c>
      <c r="AB24" s="232">
        <f t="shared" si="18"/>
        <v>165600</v>
      </c>
      <c r="AC24" s="233">
        <f t="shared" si="5"/>
        <v>0.91667413400657993</v>
      </c>
    </row>
    <row r="25" spans="1:55" ht="24.95" customHeight="1">
      <c r="A25" s="32" t="str">
        <f t="shared" si="3"/>
        <v>A-01-01-02-001=10</v>
      </c>
      <c r="B25" s="217" t="str">
        <f t="shared" ref="B25:B33" si="19">CONCATENATE(C25,"-",D25,"-",E25,"-",F25,"-",G25)</f>
        <v>A-01-01-02-001</v>
      </c>
      <c r="C25" s="218" t="s">
        <v>23</v>
      </c>
      <c r="D25" s="219" t="s">
        <v>25</v>
      </c>
      <c r="E25" s="219" t="s">
        <v>25</v>
      </c>
      <c r="F25" s="219" t="s">
        <v>54</v>
      </c>
      <c r="G25" s="219" t="s">
        <v>31</v>
      </c>
      <c r="H25" s="219"/>
      <c r="I25" s="219"/>
      <c r="J25" s="219"/>
      <c r="K25" s="220" t="s">
        <v>28</v>
      </c>
      <c r="L25" s="221" t="s">
        <v>29</v>
      </c>
      <c r="M25" s="217" t="s">
        <v>56</v>
      </c>
      <c r="N25" s="222">
        <v>7000000000</v>
      </c>
      <c r="O25" s="222"/>
      <c r="P25" s="222"/>
      <c r="Q25" s="222"/>
      <c r="R25" s="222"/>
      <c r="S25" s="222"/>
      <c r="T25" s="222">
        <f t="shared" ref="T25:T33" si="20">+N25-S25+O25-P25+Q25-R25</f>
        <v>7000000000</v>
      </c>
      <c r="U25" s="222">
        <v>4665758858</v>
      </c>
      <c r="V25" s="222">
        <f t="shared" si="10"/>
        <v>2334241142</v>
      </c>
      <c r="W25" s="224">
        <f t="shared" si="14"/>
        <v>0.66653697971428572</v>
      </c>
      <c r="X25" s="222">
        <v>4665758858</v>
      </c>
      <c r="Y25" s="222">
        <f t="shared" si="13"/>
        <v>0</v>
      </c>
      <c r="Z25" s="224">
        <f>+IF(U25&gt;0,Y25/U25,0)</f>
        <v>0</v>
      </c>
      <c r="AA25" s="222">
        <v>4665758858</v>
      </c>
      <c r="AB25" s="222">
        <f t="shared" si="11"/>
        <v>0</v>
      </c>
      <c r="AC25" s="224">
        <f t="shared" si="5"/>
        <v>1</v>
      </c>
    </row>
    <row r="26" spans="1:55" ht="24.95" customHeight="1">
      <c r="A26" s="32" t="str">
        <f t="shared" si="3"/>
        <v>A-01-01-02-002=10</v>
      </c>
      <c r="B26" s="217" t="str">
        <f t="shared" si="19"/>
        <v>A-01-01-02-002</v>
      </c>
      <c r="C26" s="218" t="s">
        <v>23</v>
      </c>
      <c r="D26" s="219" t="s">
        <v>25</v>
      </c>
      <c r="E26" s="219" t="s">
        <v>25</v>
      </c>
      <c r="F26" s="219" t="s">
        <v>54</v>
      </c>
      <c r="G26" s="219" t="s">
        <v>34</v>
      </c>
      <c r="H26" s="219"/>
      <c r="I26" s="219"/>
      <c r="J26" s="219"/>
      <c r="K26" s="220" t="s">
        <v>28</v>
      </c>
      <c r="L26" s="221" t="s">
        <v>29</v>
      </c>
      <c r="M26" s="217" t="s">
        <v>57</v>
      </c>
      <c r="N26" s="222">
        <v>6000000000</v>
      </c>
      <c r="O26" s="222"/>
      <c r="P26" s="222"/>
      <c r="Q26" s="222"/>
      <c r="R26" s="222"/>
      <c r="S26" s="222"/>
      <c r="T26" s="222">
        <f t="shared" si="20"/>
        <v>6000000000</v>
      </c>
      <c r="U26" s="222">
        <v>3454129358</v>
      </c>
      <c r="V26" s="222">
        <f t="shared" si="10"/>
        <v>2545870642</v>
      </c>
      <c r="W26" s="224">
        <f t="shared" si="14"/>
        <v>0.57568822633333339</v>
      </c>
      <c r="X26" s="222">
        <v>3454129358</v>
      </c>
      <c r="Y26" s="222">
        <f t="shared" si="13"/>
        <v>0</v>
      </c>
      <c r="Z26" s="224">
        <f t="shared" ref="Z26:Z92" si="21">+IF(U26&gt;0,Y26/U26,0)</f>
        <v>0</v>
      </c>
      <c r="AA26" s="222">
        <v>3454129358</v>
      </c>
      <c r="AB26" s="222">
        <f t="shared" si="11"/>
        <v>0</v>
      </c>
      <c r="AC26" s="224">
        <f t="shared" si="5"/>
        <v>1</v>
      </c>
    </row>
    <row r="27" spans="1:55" ht="24.95" customHeight="1">
      <c r="A27" s="32" t="str">
        <f t="shared" si="3"/>
        <v>A-01-01-02-003=10</v>
      </c>
      <c r="B27" s="217" t="str">
        <f t="shared" si="19"/>
        <v>A-01-01-02-003</v>
      </c>
      <c r="C27" s="218" t="s">
        <v>23</v>
      </c>
      <c r="D27" s="219" t="s">
        <v>25</v>
      </c>
      <c r="E27" s="219" t="s">
        <v>25</v>
      </c>
      <c r="F27" s="219" t="s">
        <v>54</v>
      </c>
      <c r="G27" s="219" t="s">
        <v>36</v>
      </c>
      <c r="H27" s="219"/>
      <c r="I27" s="219"/>
      <c r="J27" s="219"/>
      <c r="K27" s="220" t="s">
        <v>28</v>
      </c>
      <c r="L27" s="221" t="s">
        <v>29</v>
      </c>
      <c r="M27" s="217" t="s">
        <v>58</v>
      </c>
      <c r="N27" s="222">
        <v>5555000000</v>
      </c>
      <c r="O27" s="222"/>
      <c r="P27" s="222"/>
      <c r="Q27" s="222"/>
      <c r="R27" s="222"/>
      <c r="S27" s="222"/>
      <c r="T27" s="222">
        <f t="shared" si="20"/>
        <v>5555000000</v>
      </c>
      <c r="U27" s="222">
        <v>4950300000</v>
      </c>
      <c r="V27" s="222">
        <f t="shared" si="10"/>
        <v>604700000</v>
      </c>
      <c r="W27" s="224">
        <f t="shared" si="14"/>
        <v>0.89114311431143112</v>
      </c>
      <c r="X27" s="222">
        <v>3519178646</v>
      </c>
      <c r="Y27" s="222">
        <f t="shared" si="13"/>
        <v>1431121354</v>
      </c>
      <c r="Z27" s="224">
        <f t="shared" si="21"/>
        <v>0.28909790396541624</v>
      </c>
      <c r="AA27" s="222">
        <v>3519178646</v>
      </c>
      <c r="AB27" s="222">
        <f t="shared" si="11"/>
        <v>0</v>
      </c>
      <c r="AC27" s="224">
        <f t="shared" si="5"/>
        <v>0.71090209603458376</v>
      </c>
    </row>
    <row r="28" spans="1:55" ht="24.95" customHeight="1">
      <c r="A28" s="32" t="str">
        <f t="shared" si="3"/>
        <v>A-01-01-02-004=10</v>
      </c>
      <c r="B28" s="217" t="str">
        <f t="shared" si="19"/>
        <v>A-01-01-02-004</v>
      </c>
      <c r="C28" s="218" t="s">
        <v>23</v>
      </c>
      <c r="D28" s="219" t="s">
        <v>25</v>
      </c>
      <c r="E28" s="219" t="s">
        <v>25</v>
      </c>
      <c r="F28" s="219" t="s">
        <v>54</v>
      </c>
      <c r="G28" s="219" t="s">
        <v>38</v>
      </c>
      <c r="H28" s="219"/>
      <c r="I28" s="219"/>
      <c r="J28" s="219"/>
      <c r="K28" s="220" t="s">
        <v>28</v>
      </c>
      <c r="L28" s="221" t="s">
        <v>29</v>
      </c>
      <c r="M28" s="217" t="s">
        <v>59</v>
      </c>
      <c r="N28" s="222">
        <v>2500000000</v>
      </c>
      <c r="O28" s="222"/>
      <c r="P28" s="222"/>
      <c r="Q28" s="222"/>
      <c r="R28" s="222"/>
      <c r="S28" s="222"/>
      <c r="T28" s="222">
        <f t="shared" si="20"/>
        <v>2500000000</v>
      </c>
      <c r="U28" s="222">
        <v>1689284300</v>
      </c>
      <c r="V28" s="222">
        <f t="shared" si="10"/>
        <v>810715700</v>
      </c>
      <c r="W28" s="224">
        <f t="shared" si="14"/>
        <v>0.67571371999999996</v>
      </c>
      <c r="X28" s="222">
        <v>1689284300</v>
      </c>
      <c r="Y28" s="222">
        <f t="shared" si="13"/>
        <v>0</v>
      </c>
      <c r="Z28" s="224">
        <f t="shared" si="21"/>
        <v>0</v>
      </c>
      <c r="AA28" s="222">
        <v>1689284300</v>
      </c>
      <c r="AB28" s="222">
        <f t="shared" si="11"/>
        <v>0</v>
      </c>
      <c r="AC28" s="224">
        <f t="shared" si="5"/>
        <v>1</v>
      </c>
    </row>
    <row r="29" spans="1:55" ht="24.95" customHeight="1">
      <c r="A29" s="32" t="str">
        <f t="shared" si="3"/>
        <v>A-01-01-02-005=10</v>
      </c>
      <c r="B29" s="217" t="str">
        <f t="shared" si="19"/>
        <v>A-01-01-02-005</v>
      </c>
      <c r="C29" s="218" t="s">
        <v>23</v>
      </c>
      <c r="D29" s="219" t="s">
        <v>25</v>
      </c>
      <c r="E29" s="219" t="s">
        <v>25</v>
      </c>
      <c r="F29" s="219" t="s">
        <v>54</v>
      </c>
      <c r="G29" s="219" t="s">
        <v>40</v>
      </c>
      <c r="H29" s="219"/>
      <c r="I29" s="219"/>
      <c r="J29" s="219"/>
      <c r="K29" s="220" t="s">
        <v>28</v>
      </c>
      <c r="L29" s="221" t="s">
        <v>29</v>
      </c>
      <c r="M29" s="217" t="s">
        <v>60</v>
      </c>
      <c r="N29" s="222">
        <v>500000000</v>
      </c>
      <c r="O29" s="222"/>
      <c r="P29" s="222"/>
      <c r="Q29" s="222"/>
      <c r="R29" s="222"/>
      <c r="S29" s="222"/>
      <c r="T29" s="222">
        <f t="shared" si="20"/>
        <v>500000000</v>
      </c>
      <c r="U29" s="222">
        <v>384556100</v>
      </c>
      <c r="V29" s="222">
        <f t="shared" si="10"/>
        <v>115443900</v>
      </c>
      <c r="W29" s="224">
        <f t="shared" si="14"/>
        <v>0.76911220000000002</v>
      </c>
      <c r="X29" s="222">
        <v>377887300</v>
      </c>
      <c r="Y29" s="222">
        <f t="shared" si="13"/>
        <v>6668800</v>
      </c>
      <c r="Z29" s="224">
        <f t="shared" si="21"/>
        <v>1.7341553026983578E-2</v>
      </c>
      <c r="AA29" s="222">
        <v>377721700</v>
      </c>
      <c r="AB29" s="222">
        <f t="shared" si="11"/>
        <v>165600</v>
      </c>
      <c r="AC29" s="224">
        <f t="shared" si="5"/>
        <v>0.98222782059626668</v>
      </c>
    </row>
    <row r="30" spans="1:55" ht="24.95" customHeight="1">
      <c r="A30" s="32" t="str">
        <f t="shared" si="3"/>
        <v>A-01-01-02-006=10</v>
      </c>
      <c r="B30" s="217" t="str">
        <f t="shared" si="19"/>
        <v>A-01-01-02-006</v>
      </c>
      <c r="C30" s="218" t="s">
        <v>23</v>
      </c>
      <c r="D30" s="219" t="s">
        <v>25</v>
      </c>
      <c r="E30" s="219" t="s">
        <v>25</v>
      </c>
      <c r="F30" s="219" t="s">
        <v>54</v>
      </c>
      <c r="G30" s="219" t="s">
        <v>42</v>
      </c>
      <c r="H30" s="219"/>
      <c r="I30" s="219"/>
      <c r="J30" s="219"/>
      <c r="K30" s="220" t="s">
        <v>28</v>
      </c>
      <c r="L30" s="221" t="s">
        <v>29</v>
      </c>
      <c r="M30" s="217" t="s">
        <v>61</v>
      </c>
      <c r="N30" s="222">
        <v>1890000000</v>
      </c>
      <c r="O30" s="222"/>
      <c r="P30" s="222"/>
      <c r="Q30" s="222"/>
      <c r="R30" s="222"/>
      <c r="S30" s="222"/>
      <c r="T30" s="222">
        <f t="shared" si="20"/>
        <v>1890000000</v>
      </c>
      <c r="U30" s="222">
        <v>1267134600</v>
      </c>
      <c r="V30" s="222">
        <f t="shared" si="10"/>
        <v>622865400</v>
      </c>
      <c r="W30" s="224">
        <f t="shared" si="14"/>
        <v>0.67044158730158732</v>
      </c>
      <c r="X30" s="222">
        <v>1267134600</v>
      </c>
      <c r="Y30" s="222">
        <f t="shared" si="13"/>
        <v>0</v>
      </c>
      <c r="Z30" s="224">
        <f t="shared" si="21"/>
        <v>0</v>
      </c>
      <c r="AA30" s="222">
        <v>1267134600</v>
      </c>
      <c r="AB30" s="222">
        <f t="shared" si="11"/>
        <v>0</v>
      </c>
      <c r="AC30" s="224">
        <f t="shared" si="5"/>
        <v>1</v>
      </c>
    </row>
    <row r="31" spans="1:55" ht="24.95" customHeight="1">
      <c r="A31" s="32" t="str">
        <f t="shared" si="3"/>
        <v>A-01-01-02-007=10</v>
      </c>
      <c r="B31" s="217" t="str">
        <f t="shared" si="19"/>
        <v>A-01-01-02-007</v>
      </c>
      <c r="C31" s="218" t="s">
        <v>23</v>
      </c>
      <c r="D31" s="219" t="s">
        <v>25</v>
      </c>
      <c r="E31" s="219" t="s">
        <v>25</v>
      </c>
      <c r="F31" s="219" t="s">
        <v>54</v>
      </c>
      <c r="G31" s="219" t="s">
        <v>44</v>
      </c>
      <c r="H31" s="219"/>
      <c r="I31" s="219"/>
      <c r="J31" s="219"/>
      <c r="K31" s="220" t="s">
        <v>28</v>
      </c>
      <c r="L31" s="221" t="s">
        <v>29</v>
      </c>
      <c r="M31" s="217" t="s">
        <v>62</v>
      </c>
      <c r="N31" s="222">
        <v>320000000</v>
      </c>
      <c r="O31" s="222"/>
      <c r="P31" s="222"/>
      <c r="Q31" s="222"/>
      <c r="R31" s="222"/>
      <c r="S31" s="222"/>
      <c r="T31" s="222">
        <f t="shared" si="20"/>
        <v>320000000</v>
      </c>
      <c r="U31" s="222">
        <v>211569000</v>
      </c>
      <c r="V31" s="222">
        <f t="shared" si="10"/>
        <v>108431000</v>
      </c>
      <c r="W31" s="224">
        <f t="shared" si="14"/>
        <v>0.66115312500000001</v>
      </c>
      <c r="X31" s="222">
        <v>211569000</v>
      </c>
      <c r="Y31" s="222">
        <f t="shared" si="13"/>
        <v>0</v>
      </c>
      <c r="Z31" s="224">
        <f t="shared" si="21"/>
        <v>0</v>
      </c>
      <c r="AA31" s="222">
        <v>211569000</v>
      </c>
      <c r="AB31" s="222">
        <f t="shared" si="11"/>
        <v>0</v>
      </c>
      <c r="AC31" s="224">
        <f t="shared" si="5"/>
        <v>1</v>
      </c>
    </row>
    <row r="32" spans="1:55" ht="24.95" customHeight="1">
      <c r="A32" s="32" t="str">
        <f t="shared" si="3"/>
        <v>A-01-01-02-008=10</v>
      </c>
      <c r="B32" s="217" t="str">
        <f t="shared" si="19"/>
        <v>A-01-01-02-008</v>
      </c>
      <c r="C32" s="218" t="s">
        <v>23</v>
      </c>
      <c r="D32" s="219" t="s">
        <v>25</v>
      </c>
      <c r="E32" s="219" t="s">
        <v>25</v>
      </c>
      <c r="F32" s="219" t="s">
        <v>54</v>
      </c>
      <c r="G32" s="219" t="s">
        <v>46</v>
      </c>
      <c r="H32" s="219"/>
      <c r="I32" s="219"/>
      <c r="J32" s="219"/>
      <c r="K32" s="220" t="s">
        <v>28</v>
      </c>
      <c r="L32" s="221" t="s">
        <v>29</v>
      </c>
      <c r="M32" s="217" t="s">
        <v>63</v>
      </c>
      <c r="N32" s="222">
        <v>320000000</v>
      </c>
      <c r="O32" s="222"/>
      <c r="P32" s="222"/>
      <c r="Q32" s="222"/>
      <c r="R32" s="222"/>
      <c r="S32" s="222"/>
      <c r="T32" s="222">
        <f t="shared" si="20"/>
        <v>320000000</v>
      </c>
      <c r="U32" s="222">
        <v>211569000</v>
      </c>
      <c r="V32" s="222">
        <f t="shared" si="10"/>
        <v>108431000</v>
      </c>
      <c r="W32" s="224">
        <f t="shared" si="14"/>
        <v>0.66115312500000001</v>
      </c>
      <c r="X32" s="222">
        <v>211569000</v>
      </c>
      <c r="Y32" s="222">
        <f t="shared" si="13"/>
        <v>0</v>
      </c>
      <c r="Z32" s="224">
        <f t="shared" si="21"/>
        <v>0</v>
      </c>
      <c r="AA32" s="222">
        <v>211569000</v>
      </c>
      <c r="AB32" s="222">
        <f t="shared" si="11"/>
        <v>0</v>
      </c>
      <c r="AC32" s="224">
        <f t="shared" si="5"/>
        <v>1</v>
      </c>
    </row>
    <row r="33" spans="1:29" ht="24.95" customHeight="1">
      <c r="A33" s="32" t="str">
        <f t="shared" si="3"/>
        <v>A-01-01-02-009=10</v>
      </c>
      <c r="B33" s="217" t="str">
        <f t="shared" si="19"/>
        <v>A-01-01-02-009</v>
      </c>
      <c r="C33" s="218" t="s">
        <v>23</v>
      </c>
      <c r="D33" s="219" t="s">
        <v>25</v>
      </c>
      <c r="E33" s="219" t="s">
        <v>25</v>
      </c>
      <c r="F33" s="219" t="s">
        <v>54</v>
      </c>
      <c r="G33" s="219" t="s">
        <v>48</v>
      </c>
      <c r="H33" s="219"/>
      <c r="I33" s="219"/>
      <c r="J33" s="219"/>
      <c r="K33" s="220" t="s">
        <v>28</v>
      </c>
      <c r="L33" s="221" t="s">
        <v>29</v>
      </c>
      <c r="M33" s="217" t="s">
        <v>64</v>
      </c>
      <c r="N33" s="222">
        <v>650000000</v>
      </c>
      <c r="O33" s="222"/>
      <c r="P33" s="222"/>
      <c r="Q33" s="222"/>
      <c r="R33" s="222"/>
      <c r="S33" s="222"/>
      <c r="T33" s="222">
        <f t="shared" si="20"/>
        <v>650000000</v>
      </c>
      <c r="U33" s="222">
        <v>422714200</v>
      </c>
      <c r="V33" s="222">
        <f t="shared" si="10"/>
        <v>227285800</v>
      </c>
      <c r="W33" s="224">
        <f t="shared" si="14"/>
        <v>0.65032953846153851</v>
      </c>
      <c r="X33" s="222">
        <v>422714200</v>
      </c>
      <c r="Y33" s="222">
        <f t="shared" si="13"/>
        <v>0</v>
      </c>
      <c r="Z33" s="224">
        <f t="shared" si="21"/>
        <v>0</v>
      </c>
      <c r="AA33" s="222">
        <v>422714200</v>
      </c>
      <c r="AB33" s="222">
        <f t="shared" si="11"/>
        <v>0</v>
      </c>
      <c r="AC33" s="224">
        <f t="shared" si="5"/>
        <v>1</v>
      </c>
    </row>
    <row r="34" spans="1:29" ht="24.95" customHeight="1">
      <c r="A34" s="32" t="str">
        <f t="shared" si="3"/>
        <v>A-01-01-03=10</v>
      </c>
      <c r="B34" s="226" t="str">
        <f>CONCATENATE(C34,"-",D34,"-",E34,"-",F34)</f>
        <v>A-01-01-03</v>
      </c>
      <c r="C34" s="227" t="s">
        <v>23</v>
      </c>
      <c r="D34" s="228" t="s">
        <v>25</v>
      </c>
      <c r="E34" s="228" t="s">
        <v>25</v>
      </c>
      <c r="F34" s="228" t="s">
        <v>65</v>
      </c>
      <c r="G34" s="228"/>
      <c r="H34" s="228"/>
      <c r="I34" s="228"/>
      <c r="J34" s="228"/>
      <c r="K34" s="229" t="s">
        <v>28</v>
      </c>
      <c r="L34" s="230" t="s">
        <v>29</v>
      </c>
      <c r="M34" s="231" t="s">
        <v>66</v>
      </c>
      <c r="N34" s="232">
        <f>+N35+N39+N40+N41+N42+N43</f>
        <v>6984000000</v>
      </c>
      <c r="O34" s="232">
        <f t="shared" ref="O34:AB34" si="22">+O35+O39+O40+O41+O42+O43</f>
        <v>0</v>
      </c>
      <c r="P34" s="232">
        <f t="shared" si="22"/>
        <v>0</v>
      </c>
      <c r="Q34" s="232">
        <f t="shared" si="22"/>
        <v>0</v>
      </c>
      <c r="R34" s="232">
        <f t="shared" si="22"/>
        <v>0</v>
      </c>
      <c r="S34" s="232">
        <f t="shared" si="22"/>
        <v>0</v>
      </c>
      <c r="T34" s="232">
        <f t="shared" si="22"/>
        <v>6984000000</v>
      </c>
      <c r="U34" s="232">
        <f t="shared" si="22"/>
        <v>3883234715</v>
      </c>
      <c r="V34" s="232">
        <f t="shared" si="22"/>
        <v>3100765285</v>
      </c>
      <c r="W34" s="233">
        <f t="shared" si="14"/>
        <v>0.55601871635166089</v>
      </c>
      <c r="X34" s="232">
        <f t="shared" si="22"/>
        <v>3882914648</v>
      </c>
      <c r="Y34" s="232">
        <f t="shared" si="22"/>
        <v>320067</v>
      </c>
      <c r="Z34" s="233">
        <f t="shared" si="21"/>
        <v>8.2422779844766608E-5</v>
      </c>
      <c r="AA34" s="232">
        <f t="shared" si="22"/>
        <v>3882914648</v>
      </c>
      <c r="AB34" s="232">
        <f t="shared" si="22"/>
        <v>0</v>
      </c>
      <c r="AC34" s="233">
        <f t="shared" si="5"/>
        <v>0.99991757722015528</v>
      </c>
    </row>
    <row r="35" spans="1:29" ht="24.95" customHeight="1">
      <c r="A35" s="32" t="str">
        <f t="shared" si="3"/>
        <v>A-01-01-03-001=10</v>
      </c>
      <c r="B35" s="210" t="str">
        <f>CONCATENATE(C35,"-",D35,"-",E35,"-",F35,"-",G35)</f>
        <v>A-01-01-03-001</v>
      </c>
      <c r="C35" s="211" t="s">
        <v>23</v>
      </c>
      <c r="D35" s="212" t="s">
        <v>25</v>
      </c>
      <c r="E35" s="212" t="s">
        <v>25</v>
      </c>
      <c r="F35" s="212" t="s">
        <v>65</v>
      </c>
      <c r="G35" s="212" t="s">
        <v>31</v>
      </c>
      <c r="H35" s="212"/>
      <c r="I35" s="212"/>
      <c r="J35" s="212"/>
      <c r="K35" s="213" t="s">
        <v>28</v>
      </c>
      <c r="L35" s="214" t="s">
        <v>29</v>
      </c>
      <c r="M35" s="210" t="s">
        <v>67</v>
      </c>
      <c r="N35" s="215">
        <f>SUM(N36:N38)</f>
        <v>3400000000</v>
      </c>
      <c r="O35" s="215">
        <f t="shared" ref="O35:S35" si="23">SUM(O36:O38)</f>
        <v>0</v>
      </c>
      <c r="P35" s="215">
        <f t="shared" si="23"/>
        <v>0</v>
      </c>
      <c r="Q35" s="215">
        <f>SUM(Q36:Q38)</f>
        <v>0</v>
      </c>
      <c r="R35" s="215">
        <f t="shared" si="23"/>
        <v>0</v>
      </c>
      <c r="S35" s="215">
        <f t="shared" si="23"/>
        <v>0</v>
      </c>
      <c r="T35" s="215">
        <f>SUM(T36:T38)</f>
        <v>3400000000</v>
      </c>
      <c r="U35" s="215">
        <f t="shared" ref="U35:AB35" si="24">SUM(U36:U38)</f>
        <v>1533066347</v>
      </c>
      <c r="V35" s="215">
        <f t="shared" si="24"/>
        <v>1866933653</v>
      </c>
      <c r="W35" s="216">
        <f t="shared" si="14"/>
        <v>0.45090186676470589</v>
      </c>
      <c r="X35" s="215">
        <f t="shared" si="24"/>
        <v>1533066347</v>
      </c>
      <c r="Y35" s="215">
        <f t="shared" si="24"/>
        <v>0</v>
      </c>
      <c r="Z35" s="216">
        <f t="shared" si="21"/>
        <v>0</v>
      </c>
      <c r="AA35" s="215">
        <f t="shared" si="24"/>
        <v>1533066347</v>
      </c>
      <c r="AB35" s="215">
        <f t="shared" si="24"/>
        <v>0</v>
      </c>
      <c r="AC35" s="216">
        <f t="shared" si="5"/>
        <v>1</v>
      </c>
    </row>
    <row r="36" spans="1:29" ht="24.95" customHeight="1">
      <c r="A36" s="32" t="str">
        <f t="shared" si="3"/>
        <v>A-01-01-03-001-001=10</v>
      </c>
      <c r="B36" s="217" t="str">
        <f>CONCATENATE(C36,"-",D36,"-",E36,"-",F36,"-",G36,"-",H36)</f>
        <v>A-01-01-03-001-001</v>
      </c>
      <c r="C36" s="218" t="s">
        <v>23</v>
      </c>
      <c r="D36" s="219" t="s">
        <v>25</v>
      </c>
      <c r="E36" s="219" t="s">
        <v>25</v>
      </c>
      <c r="F36" s="219" t="s">
        <v>65</v>
      </c>
      <c r="G36" s="219" t="s">
        <v>31</v>
      </c>
      <c r="H36" s="219" t="s">
        <v>31</v>
      </c>
      <c r="I36" s="219"/>
      <c r="J36" s="219"/>
      <c r="K36" s="220" t="s">
        <v>28</v>
      </c>
      <c r="L36" s="221" t="s">
        <v>29</v>
      </c>
      <c r="M36" s="217" t="s">
        <v>68</v>
      </c>
      <c r="N36" s="222">
        <v>2580000000</v>
      </c>
      <c r="O36" s="222"/>
      <c r="P36" s="222"/>
      <c r="Q36" s="223"/>
      <c r="R36" s="222"/>
      <c r="S36" s="222"/>
      <c r="T36" s="222">
        <f t="shared" ref="T36:T43" si="25">+N36-S36+O36-P36+Q36-R36</f>
        <v>2580000000</v>
      </c>
      <c r="U36" s="222">
        <v>1261083154</v>
      </c>
      <c r="V36" s="222">
        <f t="shared" si="10"/>
        <v>1318916846</v>
      </c>
      <c r="W36" s="224">
        <f t="shared" si="14"/>
        <v>0.48879192015503875</v>
      </c>
      <c r="X36" s="222">
        <v>1261083154</v>
      </c>
      <c r="Y36" s="222">
        <f t="shared" si="13"/>
        <v>0</v>
      </c>
      <c r="Z36" s="224">
        <f t="shared" si="21"/>
        <v>0</v>
      </c>
      <c r="AA36" s="222">
        <v>1261083154</v>
      </c>
      <c r="AB36" s="222">
        <f t="shared" si="11"/>
        <v>0</v>
      </c>
      <c r="AC36" s="224">
        <f t="shared" si="5"/>
        <v>1</v>
      </c>
    </row>
    <row r="37" spans="1:29" ht="24.95" customHeight="1">
      <c r="A37" s="32" t="str">
        <f t="shared" si="3"/>
        <v>A-01-01-03-001-002=10</v>
      </c>
      <c r="B37" s="217" t="str">
        <f>CONCATENATE(C37,"-",D37,"-",E37,"-",F37,"-",G37,"-",H37)</f>
        <v>A-01-01-03-001-002</v>
      </c>
      <c r="C37" s="218" t="s">
        <v>23</v>
      </c>
      <c r="D37" s="219" t="s">
        <v>25</v>
      </c>
      <c r="E37" s="219" t="s">
        <v>25</v>
      </c>
      <c r="F37" s="219" t="s">
        <v>65</v>
      </c>
      <c r="G37" s="219" t="s">
        <v>31</v>
      </c>
      <c r="H37" s="219" t="s">
        <v>34</v>
      </c>
      <c r="I37" s="219"/>
      <c r="J37" s="219"/>
      <c r="K37" s="220" t="s">
        <v>28</v>
      </c>
      <c r="L37" s="221" t="s">
        <v>29</v>
      </c>
      <c r="M37" s="217" t="s">
        <v>69</v>
      </c>
      <c r="N37" s="222">
        <v>500000000</v>
      </c>
      <c r="O37" s="222"/>
      <c r="P37" s="222"/>
      <c r="Q37" s="223"/>
      <c r="R37" s="222"/>
      <c r="S37" s="222"/>
      <c r="T37" s="222">
        <f t="shared" si="25"/>
        <v>500000000</v>
      </c>
      <c r="U37" s="222">
        <v>154629845</v>
      </c>
      <c r="V37" s="222">
        <f t="shared" si="10"/>
        <v>345370155</v>
      </c>
      <c r="W37" s="224">
        <f t="shared" si="14"/>
        <v>0.30925968999999998</v>
      </c>
      <c r="X37" s="222">
        <v>154629845</v>
      </c>
      <c r="Y37" s="222">
        <f t="shared" si="13"/>
        <v>0</v>
      </c>
      <c r="Z37" s="224">
        <f t="shared" si="21"/>
        <v>0</v>
      </c>
      <c r="AA37" s="222">
        <v>154629845</v>
      </c>
      <c r="AB37" s="222">
        <f t="shared" si="11"/>
        <v>0</v>
      </c>
      <c r="AC37" s="224">
        <f t="shared" si="5"/>
        <v>1</v>
      </c>
    </row>
    <row r="38" spans="1:29" ht="24.95" customHeight="1">
      <c r="A38" s="32" t="str">
        <f t="shared" si="3"/>
        <v>A-01-01-03-001-003=10</v>
      </c>
      <c r="B38" s="234" t="str">
        <f>CONCATENATE(C38,"-",D38,"-",E38,"-",F38,"-",G38,"-",H38)</f>
        <v>A-01-01-03-001-003</v>
      </c>
      <c r="C38" s="235" t="s">
        <v>23</v>
      </c>
      <c r="D38" s="236" t="s">
        <v>25</v>
      </c>
      <c r="E38" s="236" t="s">
        <v>25</v>
      </c>
      <c r="F38" s="236" t="s">
        <v>65</v>
      </c>
      <c r="G38" s="236" t="s">
        <v>31</v>
      </c>
      <c r="H38" s="236" t="s">
        <v>36</v>
      </c>
      <c r="I38" s="236"/>
      <c r="J38" s="236"/>
      <c r="K38" s="237" t="s">
        <v>28</v>
      </c>
      <c r="L38" s="238" t="s">
        <v>29</v>
      </c>
      <c r="M38" s="234" t="s">
        <v>70</v>
      </c>
      <c r="N38" s="239">
        <v>320000000</v>
      </c>
      <c r="O38" s="239"/>
      <c r="P38" s="239"/>
      <c r="Q38" s="639"/>
      <c r="R38" s="239"/>
      <c r="S38" s="239"/>
      <c r="T38" s="239">
        <f t="shared" si="25"/>
        <v>320000000</v>
      </c>
      <c r="U38" s="239">
        <v>117353348</v>
      </c>
      <c r="V38" s="239">
        <f t="shared" si="10"/>
        <v>202646652</v>
      </c>
      <c r="W38" s="240">
        <f t="shared" si="14"/>
        <v>0.36672921250000001</v>
      </c>
      <c r="X38" s="239">
        <v>117353348</v>
      </c>
      <c r="Y38" s="239">
        <f t="shared" si="13"/>
        <v>0</v>
      </c>
      <c r="Z38" s="240">
        <f t="shared" si="21"/>
        <v>0</v>
      </c>
      <c r="AA38" s="239">
        <v>117353348</v>
      </c>
      <c r="AB38" s="239">
        <f t="shared" si="11"/>
        <v>0</v>
      </c>
      <c r="AC38" s="240">
        <f t="shared" si="5"/>
        <v>1</v>
      </c>
    </row>
    <row r="39" spans="1:29" ht="24.95" customHeight="1">
      <c r="A39" s="32" t="str">
        <f t="shared" si="3"/>
        <v>A-01-01-03-002=10</v>
      </c>
      <c r="B39" s="217" t="str">
        <f t="shared" ref="B39:B43" si="26">CONCATENATE(C39,"-",D39,"-",E39,"-",F39,"-",G39)</f>
        <v>A-01-01-03-002</v>
      </c>
      <c r="C39" s="218" t="s">
        <v>23</v>
      </c>
      <c r="D39" s="219" t="s">
        <v>25</v>
      </c>
      <c r="E39" s="219" t="s">
        <v>25</v>
      </c>
      <c r="F39" s="219" t="s">
        <v>65</v>
      </c>
      <c r="G39" s="219" t="s">
        <v>34</v>
      </c>
      <c r="H39" s="219"/>
      <c r="I39" s="219"/>
      <c r="J39" s="219"/>
      <c r="K39" s="220" t="s">
        <v>28</v>
      </c>
      <c r="L39" s="221" t="s">
        <v>29</v>
      </c>
      <c r="M39" s="217" t="s">
        <v>71</v>
      </c>
      <c r="N39" s="222">
        <v>2160000000</v>
      </c>
      <c r="O39" s="222"/>
      <c r="P39" s="222"/>
      <c r="Q39" s="223"/>
      <c r="R39" s="223"/>
      <c r="S39" s="223"/>
      <c r="T39" s="222">
        <f t="shared" si="25"/>
        <v>2160000000</v>
      </c>
      <c r="U39" s="222">
        <v>1503928792</v>
      </c>
      <c r="V39" s="222">
        <f t="shared" si="10"/>
        <v>656071208</v>
      </c>
      <c r="W39" s="224">
        <f t="shared" si="14"/>
        <v>0.69626332962962967</v>
      </c>
      <c r="X39" s="222">
        <v>1503928792</v>
      </c>
      <c r="Y39" s="222">
        <f t="shared" si="13"/>
        <v>0</v>
      </c>
      <c r="Z39" s="224">
        <f t="shared" si="21"/>
        <v>0</v>
      </c>
      <c r="AA39" s="222">
        <v>1503928792</v>
      </c>
      <c r="AB39" s="222">
        <f t="shared" si="11"/>
        <v>0</v>
      </c>
      <c r="AC39" s="224">
        <f t="shared" si="5"/>
        <v>1</v>
      </c>
    </row>
    <row r="40" spans="1:29" ht="24.95" customHeight="1">
      <c r="A40" s="32" t="str">
        <f t="shared" si="3"/>
        <v>A-01-01-03-005=10</v>
      </c>
      <c r="B40" s="217" t="str">
        <f t="shared" si="26"/>
        <v>A-01-01-03-005</v>
      </c>
      <c r="C40" s="218" t="s">
        <v>23</v>
      </c>
      <c r="D40" s="219" t="s">
        <v>25</v>
      </c>
      <c r="E40" s="219" t="s">
        <v>25</v>
      </c>
      <c r="F40" s="219" t="s">
        <v>65</v>
      </c>
      <c r="G40" s="219" t="s">
        <v>40</v>
      </c>
      <c r="H40" s="219"/>
      <c r="I40" s="219"/>
      <c r="J40" s="219"/>
      <c r="K40" s="220" t="s">
        <v>28</v>
      </c>
      <c r="L40" s="221" t="s">
        <v>29</v>
      </c>
      <c r="M40" s="217" t="s">
        <v>72</v>
      </c>
      <c r="N40" s="222">
        <v>24000000</v>
      </c>
      <c r="O40" s="222"/>
      <c r="P40" s="222"/>
      <c r="Q40" s="223"/>
      <c r="R40" s="223"/>
      <c r="S40" s="223"/>
      <c r="T40" s="222">
        <f t="shared" si="25"/>
        <v>24000000</v>
      </c>
      <c r="U40" s="222">
        <v>2787608</v>
      </c>
      <c r="V40" s="222">
        <f t="shared" si="10"/>
        <v>21212392</v>
      </c>
      <c r="W40" s="224">
        <f t="shared" si="14"/>
        <v>0.11615033333333333</v>
      </c>
      <c r="X40" s="222">
        <v>2787608</v>
      </c>
      <c r="Y40" s="222">
        <f t="shared" si="13"/>
        <v>0</v>
      </c>
      <c r="Z40" s="224">
        <f t="shared" si="21"/>
        <v>0</v>
      </c>
      <c r="AA40" s="222">
        <v>2787608</v>
      </c>
      <c r="AB40" s="222">
        <f t="shared" si="11"/>
        <v>0</v>
      </c>
      <c r="AC40" s="224">
        <f t="shared" si="5"/>
        <v>1</v>
      </c>
    </row>
    <row r="41" spans="1:29" ht="24.95" customHeight="1">
      <c r="A41" s="32" t="str">
        <f t="shared" si="3"/>
        <v>A-01-01-03-013=10</v>
      </c>
      <c r="B41" s="217" t="str">
        <f t="shared" si="26"/>
        <v>A-01-01-03-013</v>
      </c>
      <c r="C41" s="218" t="s">
        <v>23</v>
      </c>
      <c r="D41" s="219" t="s">
        <v>25</v>
      </c>
      <c r="E41" s="219" t="s">
        <v>25</v>
      </c>
      <c r="F41" s="219" t="s">
        <v>65</v>
      </c>
      <c r="G41" s="219" t="s">
        <v>74</v>
      </c>
      <c r="H41" s="219"/>
      <c r="I41" s="219"/>
      <c r="J41" s="219"/>
      <c r="K41" s="220" t="s">
        <v>28</v>
      </c>
      <c r="L41" s="221" t="s">
        <v>29</v>
      </c>
      <c r="M41" s="217" t="s">
        <v>75</v>
      </c>
      <c r="N41" s="222">
        <v>30000000</v>
      </c>
      <c r="O41" s="222"/>
      <c r="P41" s="222"/>
      <c r="Q41" s="223"/>
      <c r="R41" s="223"/>
      <c r="S41" s="223"/>
      <c r="T41" s="222">
        <f t="shared" si="25"/>
        <v>30000000</v>
      </c>
      <c r="U41" s="222">
        <v>0</v>
      </c>
      <c r="V41" s="222">
        <f t="shared" si="10"/>
        <v>30000000</v>
      </c>
      <c r="W41" s="224">
        <f t="shared" si="14"/>
        <v>0</v>
      </c>
      <c r="X41" s="222">
        <v>0</v>
      </c>
      <c r="Y41" s="222">
        <f t="shared" si="13"/>
        <v>0</v>
      </c>
      <c r="Z41" s="224">
        <f t="shared" si="21"/>
        <v>0</v>
      </c>
      <c r="AA41" s="222">
        <v>0</v>
      </c>
      <c r="AB41" s="222">
        <f t="shared" si="11"/>
        <v>0</v>
      </c>
      <c r="AC41" s="224">
        <f t="shared" si="5"/>
        <v>0</v>
      </c>
    </row>
    <row r="42" spans="1:29" ht="24.95" customHeight="1">
      <c r="A42" s="32" t="str">
        <f t="shared" si="3"/>
        <v>A-01-01-03-016=10</v>
      </c>
      <c r="B42" s="217" t="str">
        <f t="shared" si="26"/>
        <v>A-01-01-03-016</v>
      </c>
      <c r="C42" s="218" t="s">
        <v>23</v>
      </c>
      <c r="D42" s="219" t="s">
        <v>25</v>
      </c>
      <c r="E42" s="219" t="s">
        <v>25</v>
      </c>
      <c r="F42" s="219" t="s">
        <v>65</v>
      </c>
      <c r="G42" s="219" t="s">
        <v>76</v>
      </c>
      <c r="H42" s="219"/>
      <c r="I42" s="219"/>
      <c r="J42" s="219"/>
      <c r="K42" s="220" t="s">
        <v>28</v>
      </c>
      <c r="L42" s="221" t="s">
        <v>29</v>
      </c>
      <c r="M42" s="217" t="s">
        <v>77</v>
      </c>
      <c r="N42" s="222">
        <v>770000000</v>
      </c>
      <c r="O42" s="222"/>
      <c r="P42" s="222"/>
      <c r="Q42" s="223"/>
      <c r="R42" s="223"/>
      <c r="S42" s="223"/>
      <c r="T42" s="222">
        <f t="shared" si="25"/>
        <v>770000000</v>
      </c>
      <c r="U42" s="222">
        <v>545362093</v>
      </c>
      <c r="V42" s="222">
        <f t="shared" si="10"/>
        <v>224637907</v>
      </c>
      <c r="W42" s="224">
        <f t="shared" si="14"/>
        <v>0.70826245844155844</v>
      </c>
      <c r="X42" s="222">
        <v>545042026</v>
      </c>
      <c r="Y42" s="222">
        <f t="shared" si="13"/>
        <v>320067</v>
      </c>
      <c r="Z42" s="224">
        <f t="shared" si="21"/>
        <v>5.8688897543159458E-4</v>
      </c>
      <c r="AA42" s="222">
        <v>545042026</v>
      </c>
      <c r="AB42" s="222">
        <f t="shared" si="11"/>
        <v>0</v>
      </c>
      <c r="AC42" s="224">
        <f t="shared" si="5"/>
        <v>0.99941311102456842</v>
      </c>
    </row>
    <row r="43" spans="1:29" ht="24.95" customHeight="1">
      <c r="A43" s="32" t="str">
        <f t="shared" si="3"/>
        <v>A-01-01-03-030=10</v>
      </c>
      <c r="B43" s="217" t="str">
        <f t="shared" si="26"/>
        <v>A-01-01-03-030</v>
      </c>
      <c r="C43" s="218" t="s">
        <v>23</v>
      </c>
      <c r="D43" s="219" t="s">
        <v>25</v>
      </c>
      <c r="E43" s="219" t="s">
        <v>25</v>
      </c>
      <c r="F43" s="219" t="s">
        <v>65</v>
      </c>
      <c r="G43" s="219" t="s">
        <v>78</v>
      </c>
      <c r="H43" s="219"/>
      <c r="I43" s="219"/>
      <c r="J43" s="219"/>
      <c r="K43" s="220" t="s">
        <v>28</v>
      </c>
      <c r="L43" s="221" t="s">
        <v>29</v>
      </c>
      <c r="M43" s="217" t="s">
        <v>79</v>
      </c>
      <c r="N43" s="222">
        <v>600000000</v>
      </c>
      <c r="O43" s="222"/>
      <c r="P43" s="222"/>
      <c r="Q43" s="223"/>
      <c r="R43" s="223"/>
      <c r="S43" s="223"/>
      <c r="T43" s="222">
        <f t="shared" si="25"/>
        <v>600000000</v>
      </c>
      <c r="U43" s="222">
        <v>298089875</v>
      </c>
      <c r="V43" s="222">
        <f t="shared" si="10"/>
        <v>301910125</v>
      </c>
      <c r="W43" s="224">
        <f t="shared" si="14"/>
        <v>0.49681645833333332</v>
      </c>
      <c r="X43" s="222">
        <v>298089875</v>
      </c>
      <c r="Y43" s="222">
        <f t="shared" si="13"/>
        <v>0</v>
      </c>
      <c r="Z43" s="224">
        <f t="shared" si="21"/>
        <v>0</v>
      </c>
      <c r="AA43" s="222">
        <v>298089875</v>
      </c>
      <c r="AB43" s="222">
        <f t="shared" si="11"/>
        <v>0</v>
      </c>
      <c r="AC43" s="224">
        <f t="shared" si="5"/>
        <v>1</v>
      </c>
    </row>
    <row r="44" spans="1:29" ht="35.1" customHeight="1">
      <c r="A44" s="32" t="str">
        <f t="shared" si="3"/>
        <v>A-02=</v>
      </c>
      <c r="B44" s="188" t="str">
        <f>CONCATENATE(C44,"-",D44)</f>
        <v>A-02</v>
      </c>
      <c r="C44" s="189" t="s">
        <v>23</v>
      </c>
      <c r="D44" s="191" t="s">
        <v>54</v>
      </c>
      <c r="E44" s="191"/>
      <c r="F44" s="191"/>
      <c r="G44" s="191"/>
      <c r="H44" s="191"/>
      <c r="I44" s="191"/>
      <c r="J44" s="191"/>
      <c r="K44" s="192"/>
      <c r="L44" s="193"/>
      <c r="M44" s="188" t="s">
        <v>80</v>
      </c>
      <c r="N44" s="194">
        <f>+N45</f>
        <v>42289000000</v>
      </c>
      <c r="O44" s="194">
        <f t="shared" ref="O44:V44" si="27">+O45</f>
        <v>0</v>
      </c>
      <c r="P44" s="194">
        <f t="shared" si="27"/>
        <v>0</v>
      </c>
      <c r="Q44" s="194">
        <f t="shared" si="27"/>
        <v>3672224835.4399996</v>
      </c>
      <c r="R44" s="194">
        <f t="shared" si="27"/>
        <v>3723224835.4400001</v>
      </c>
      <c r="S44" s="194">
        <f t="shared" si="27"/>
        <v>0</v>
      </c>
      <c r="T44" s="194">
        <f t="shared" si="27"/>
        <v>42238000000</v>
      </c>
      <c r="U44" s="194">
        <f t="shared" si="27"/>
        <v>35531839683.459999</v>
      </c>
      <c r="V44" s="194">
        <f t="shared" si="27"/>
        <v>6706160316.54</v>
      </c>
      <c r="W44" s="195">
        <f t="shared" si="14"/>
        <v>0.84122921737440215</v>
      </c>
      <c r="X44" s="194">
        <f t="shared" ref="X44:Y44" si="28">+X45</f>
        <v>21988187531.900002</v>
      </c>
      <c r="Y44" s="194">
        <f t="shared" si="28"/>
        <v>13543652151.559999</v>
      </c>
      <c r="Z44" s="195">
        <f t="shared" si="21"/>
        <v>0.38116946018600167</v>
      </c>
      <c r="AA44" s="194">
        <f t="shared" ref="AA44:AB44" si="29">+AA45</f>
        <v>21860706028.900002</v>
      </c>
      <c r="AB44" s="194">
        <f t="shared" si="29"/>
        <v>127481503</v>
      </c>
      <c r="AC44" s="195">
        <f t="shared" si="5"/>
        <v>0.61524272944066327</v>
      </c>
    </row>
    <row r="45" spans="1:29" ht="24.95" customHeight="1">
      <c r="A45" s="32" t="str">
        <f t="shared" si="3"/>
        <v>A-02-02=</v>
      </c>
      <c r="B45" s="196" t="str">
        <f>CONCATENATE(C45,"-",D45,"-",E45)</f>
        <v>A-02-02</v>
      </c>
      <c r="C45" s="197" t="s">
        <v>23</v>
      </c>
      <c r="D45" s="198" t="s">
        <v>54</v>
      </c>
      <c r="E45" s="198" t="s">
        <v>54</v>
      </c>
      <c r="F45" s="198"/>
      <c r="G45" s="198"/>
      <c r="H45" s="198"/>
      <c r="I45" s="198"/>
      <c r="J45" s="198"/>
      <c r="K45" s="199"/>
      <c r="L45" s="200"/>
      <c r="M45" s="196" t="s">
        <v>86</v>
      </c>
      <c r="N45" s="201">
        <f t="shared" ref="N45:V45" si="30">+N46+N65</f>
        <v>42289000000</v>
      </c>
      <c r="O45" s="201">
        <f t="shared" si="30"/>
        <v>0</v>
      </c>
      <c r="P45" s="201">
        <f t="shared" si="30"/>
        <v>0</v>
      </c>
      <c r="Q45" s="201">
        <f t="shared" si="30"/>
        <v>3672224835.4399996</v>
      </c>
      <c r="R45" s="201">
        <f t="shared" si="30"/>
        <v>3723224835.4400001</v>
      </c>
      <c r="S45" s="201">
        <f t="shared" si="30"/>
        <v>0</v>
      </c>
      <c r="T45" s="201">
        <f t="shared" si="30"/>
        <v>42238000000</v>
      </c>
      <c r="U45" s="201">
        <f t="shared" si="30"/>
        <v>35531839683.459999</v>
      </c>
      <c r="V45" s="201">
        <f t="shared" si="30"/>
        <v>6706160316.54</v>
      </c>
      <c r="W45" s="202">
        <f t="shared" si="14"/>
        <v>0.84122921737440215</v>
      </c>
      <c r="X45" s="201">
        <f t="shared" ref="X45:Y45" si="31">+X46+X65</f>
        <v>21988187531.900002</v>
      </c>
      <c r="Y45" s="201">
        <f t="shared" si="31"/>
        <v>13543652151.559999</v>
      </c>
      <c r="Z45" s="202">
        <f t="shared" si="21"/>
        <v>0.38116946018600167</v>
      </c>
      <c r="AA45" s="201">
        <f t="shared" ref="AA45:AB45" si="32">+AA46+AA65</f>
        <v>21860706028.900002</v>
      </c>
      <c r="AB45" s="201">
        <f t="shared" si="32"/>
        <v>127481503</v>
      </c>
      <c r="AC45" s="202">
        <f t="shared" si="5"/>
        <v>0.61524272944066327</v>
      </c>
    </row>
    <row r="46" spans="1:29" ht="24.95" customHeight="1">
      <c r="A46" s="32" t="str">
        <f t="shared" si="3"/>
        <v>A-02-02-01=10</v>
      </c>
      <c r="B46" s="203" t="str">
        <f>CONCATENATE(C46,"-",D46,"-",E46,"-",F46)</f>
        <v>A-02-02-01</v>
      </c>
      <c r="C46" s="204" t="s">
        <v>23</v>
      </c>
      <c r="D46" s="205" t="s">
        <v>54</v>
      </c>
      <c r="E46" s="205" t="s">
        <v>54</v>
      </c>
      <c r="F46" s="205" t="s">
        <v>25</v>
      </c>
      <c r="G46" s="205"/>
      <c r="H46" s="205"/>
      <c r="I46" s="205"/>
      <c r="J46" s="205"/>
      <c r="K46" s="206" t="s">
        <v>28</v>
      </c>
      <c r="L46" s="207" t="s">
        <v>29</v>
      </c>
      <c r="M46" s="203" t="s">
        <v>87</v>
      </c>
      <c r="N46" s="208">
        <f>+N47+N50+N52+N59</f>
        <v>862264202</v>
      </c>
      <c r="O46" s="208">
        <f t="shared" ref="O46:V46" si="33">+O47+O50+O52+O59</f>
        <v>0</v>
      </c>
      <c r="P46" s="208">
        <f t="shared" si="33"/>
        <v>0</v>
      </c>
      <c r="Q46" s="208">
        <f t="shared" si="33"/>
        <v>207587945</v>
      </c>
      <c r="R46" s="208">
        <f t="shared" si="33"/>
        <v>182003095</v>
      </c>
      <c r="S46" s="208">
        <f t="shared" si="33"/>
        <v>0</v>
      </c>
      <c r="T46" s="208">
        <f t="shared" si="33"/>
        <v>887849052</v>
      </c>
      <c r="U46" s="208">
        <f t="shared" si="33"/>
        <v>522500581.12</v>
      </c>
      <c r="V46" s="208">
        <f t="shared" si="33"/>
        <v>365348470.88</v>
      </c>
      <c r="W46" s="209">
        <f t="shared" si="14"/>
        <v>0.58850159263333879</v>
      </c>
      <c r="X46" s="208">
        <f t="shared" ref="X46:Y46" si="34">+X47+X50+X52+X59</f>
        <v>162846539.66</v>
      </c>
      <c r="Y46" s="208">
        <f t="shared" si="34"/>
        <v>359654041.45999998</v>
      </c>
      <c r="Z46" s="209">
        <f t="shared" si="21"/>
        <v>0.68833232814606204</v>
      </c>
      <c r="AA46" s="208">
        <f t="shared" ref="AA46:AB46" si="35">+AA47+AA50+AA52+AA59</f>
        <v>162846539.66</v>
      </c>
      <c r="AB46" s="208">
        <f t="shared" si="35"/>
        <v>0</v>
      </c>
      <c r="AC46" s="209">
        <f t="shared" si="5"/>
        <v>0.31166767185393784</v>
      </c>
    </row>
    <row r="47" spans="1:29" ht="24.95" customHeight="1">
      <c r="A47" s="32" t="str">
        <f t="shared" si="3"/>
        <v>A-02-02-01-001=10</v>
      </c>
      <c r="B47" s="210" t="str">
        <f>CONCATENATE(C47,"-",D47,"-",E47,"-",F47,"-",G47)</f>
        <v>A-02-02-01-001</v>
      </c>
      <c r="C47" s="211" t="s">
        <v>23</v>
      </c>
      <c r="D47" s="212" t="s">
        <v>54</v>
      </c>
      <c r="E47" s="212" t="s">
        <v>54</v>
      </c>
      <c r="F47" s="212" t="s">
        <v>25</v>
      </c>
      <c r="G47" s="212" t="s">
        <v>31</v>
      </c>
      <c r="H47" s="212"/>
      <c r="I47" s="212"/>
      <c r="J47" s="212"/>
      <c r="K47" s="213" t="s">
        <v>28</v>
      </c>
      <c r="L47" s="214" t="s">
        <v>29</v>
      </c>
      <c r="M47" s="210" t="s">
        <v>88</v>
      </c>
      <c r="N47" s="215">
        <f>SUM(N48:N49)</f>
        <v>69000000</v>
      </c>
      <c r="O47" s="215">
        <f t="shared" ref="O47:V47" si="36">SUM(O48:O49)</f>
        <v>0</v>
      </c>
      <c r="P47" s="215">
        <f t="shared" si="36"/>
        <v>0</v>
      </c>
      <c r="Q47" s="215">
        <f t="shared" si="36"/>
        <v>0</v>
      </c>
      <c r="R47" s="215">
        <f t="shared" si="36"/>
        <v>20567529</v>
      </c>
      <c r="S47" s="215">
        <f t="shared" si="36"/>
        <v>0</v>
      </c>
      <c r="T47" s="215">
        <f t="shared" si="36"/>
        <v>48432471</v>
      </c>
      <c r="U47" s="215">
        <f t="shared" si="36"/>
        <v>42432471</v>
      </c>
      <c r="V47" s="215">
        <f t="shared" si="36"/>
        <v>6000000</v>
      </c>
      <c r="W47" s="216">
        <f t="shared" si="14"/>
        <v>0.87611617007936682</v>
      </c>
      <c r="X47" s="215">
        <f t="shared" ref="X47:Y47" si="37">SUM(X48:X49)</f>
        <v>0</v>
      </c>
      <c r="Y47" s="215">
        <f t="shared" si="37"/>
        <v>42432471</v>
      </c>
      <c r="Z47" s="216">
        <f t="shared" si="21"/>
        <v>1</v>
      </c>
      <c r="AA47" s="215">
        <f t="shared" ref="AA47:AB47" si="38">SUM(AA48:AA49)</f>
        <v>0</v>
      </c>
      <c r="AB47" s="215">
        <f t="shared" si="38"/>
        <v>0</v>
      </c>
      <c r="AC47" s="216">
        <f t="shared" si="5"/>
        <v>0</v>
      </c>
    </row>
    <row r="48" spans="1:29" ht="24.95" customHeight="1">
      <c r="A48" s="32" t="str">
        <f t="shared" si="3"/>
        <v>A-02-02-01-001-005=10</v>
      </c>
      <c r="B48" s="217" t="str">
        <f>CONCATENATE(C48,"-",D48,"-",E48,"-",F48,"-",G48,"-",H48)</f>
        <v>A-02-02-01-001-005</v>
      </c>
      <c r="C48" s="218" t="s">
        <v>23</v>
      </c>
      <c r="D48" s="219" t="s">
        <v>54</v>
      </c>
      <c r="E48" s="219" t="s">
        <v>54</v>
      </c>
      <c r="F48" s="219" t="s">
        <v>25</v>
      </c>
      <c r="G48" s="219" t="s">
        <v>31</v>
      </c>
      <c r="H48" s="225" t="s">
        <v>40</v>
      </c>
      <c r="I48" s="219"/>
      <c r="J48" s="219"/>
      <c r="K48" s="220">
        <v>10</v>
      </c>
      <c r="L48" s="221" t="s">
        <v>29</v>
      </c>
      <c r="M48" s="217" t="s">
        <v>89</v>
      </c>
      <c r="N48" s="222">
        <v>51000000</v>
      </c>
      <c r="O48" s="222"/>
      <c r="P48" s="222"/>
      <c r="Q48" s="222"/>
      <c r="R48" s="223">
        <f>10000000+6000000</f>
        <v>16000000</v>
      </c>
      <c r="S48" s="223"/>
      <c r="T48" s="222">
        <f>+N48-S48+O48-P48+Q48-R48</f>
        <v>35000000</v>
      </c>
      <c r="U48" s="222">
        <v>35000000</v>
      </c>
      <c r="V48" s="222">
        <f t="shared" si="10"/>
        <v>0</v>
      </c>
      <c r="W48" s="224">
        <f t="shared" si="14"/>
        <v>1</v>
      </c>
      <c r="X48" s="222">
        <v>0</v>
      </c>
      <c r="Y48" s="222">
        <f t="shared" ref="Y48:Y49" si="39">+U48-X48</f>
        <v>35000000</v>
      </c>
      <c r="Z48" s="224">
        <f t="shared" si="21"/>
        <v>1</v>
      </c>
      <c r="AA48" s="222">
        <v>0</v>
      </c>
      <c r="AB48" s="222">
        <f t="shared" si="11"/>
        <v>0</v>
      </c>
      <c r="AC48" s="224">
        <f t="shared" si="5"/>
        <v>0</v>
      </c>
    </row>
    <row r="49" spans="1:52" ht="24.95" customHeight="1">
      <c r="A49" s="32" t="str">
        <f t="shared" si="3"/>
        <v>A-02-02-01-001-007=10</v>
      </c>
      <c r="B49" s="217" t="str">
        <f>CONCATENATE(C49,"-",D49,"-",E49,"-",F49,"-",G49,"-",H49)</f>
        <v>A-02-02-01-001-007</v>
      </c>
      <c r="C49" s="218" t="s">
        <v>23</v>
      </c>
      <c r="D49" s="219" t="s">
        <v>54</v>
      </c>
      <c r="E49" s="219" t="s">
        <v>54</v>
      </c>
      <c r="F49" s="219" t="s">
        <v>25</v>
      </c>
      <c r="G49" s="219" t="s">
        <v>31</v>
      </c>
      <c r="H49" s="225" t="s">
        <v>44</v>
      </c>
      <c r="I49" s="219"/>
      <c r="J49" s="219"/>
      <c r="K49" s="220">
        <v>10</v>
      </c>
      <c r="L49" s="221" t="s">
        <v>29</v>
      </c>
      <c r="M49" s="217" t="s">
        <v>90</v>
      </c>
      <c r="N49" s="222">
        <v>18000000</v>
      </c>
      <c r="O49" s="222"/>
      <c r="P49" s="222"/>
      <c r="Q49" s="222"/>
      <c r="R49" s="223">
        <v>4567529</v>
      </c>
      <c r="S49" s="223"/>
      <c r="T49" s="222">
        <f>+N49-S49+O49-P49+Q49-R49</f>
        <v>13432471</v>
      </c>
      <c r="U49" s="222">
        <v>7432471</v>
      </c>
      <c r="V49" s="222">
        <f t="shared" si="10"/>
        <v>6000000</v>
      </c>
      <c r="W49" s="224">
        <f t="shared" si="14"/>
        <v>0.55332120203349033</v>
      </c>
      <c r="X49" s="222">
        <v>0</v>
      </c>
      <c r="Y49" s="222">
        <f t="shared" si="39"/>
        <v>7432471</v>
      </c>
      <c r="Z49" s="224">
        <f t="shared" si="21"/>
        <v>1</v>
      </c>
      <c r="AA49" s="222">
        <v>0</v>
      </c>
      <c r="AB49" s="222">
        <f t="shared" si="11"/>
        <v>0</v>
      </c>
      <c r="AC49" s="224">
        <f t="shared" si="5"/>
        <v>0</v>
      </c>
    </row>
    <row r="50" spans="1:52" ht="33">
      <c r="A50" s="32" t="str">
        <f t="shared" si="3"/>
        <v>A-02-02-01-002=10</v>
      </c>
      <c r="B50" s="210" t="str">
        <f>CONCATENATE(C50,"-",D50,"-",E50,"-",F50,"-",G50)</f>
        <v>A-02-02-01-002</v>
      </c>
      <c r="C50" s="211" t="s">
        <v>23</v>
      </c>
      <c r="D50" s="212" t="s">
        <v>54</v>
      </c>
      <c r="E50" s="212" t="s">
        <v>54</v>
      </c>
      <c r="F50" s="212" t="s">
        <v>25</v>
      </c>
      <c r="G50" s="212" t="s">
        <v>34</v>
      </c>
      <c r="H50" s="212"/>
      <c r="I50" s="212"/>
      <c r="J50" s="212"/>
      <c r="K50" s="213" t="s">
        <v>28</v>
      </c>
      <c r="L50" s="214" t="s">
        <v>29</v>
      </c>
      <c r="M50" s="210" t="s">
        <v>91</v>
      </c>
      <c r="N50" s="215">
        <f>SUM(N51:N51)</f>
        <v>140000000</v>
      </c>
      <c r="O50" s="215">
        <f t="shared" ref="O50:AB50" si="40">SUM(O51:O51)</f>
        <v>0</v>
      </c>
      <c r="P50" s="215">
        <f t="shared" si="40"/>
        <v>0</v>
      </c>
      <c r="Q50" s="215">
        <f t="shared" si="40"/>
        <v>0</v>
      </c>
      <c r="R50" s="215">
        <f t="shared" si="40"/>
        <v>0</v>
      </c>
      <c r="S50" s="215">
        <f t="shared" si="40"/>
        <v>0</v>
      </c>
      <c r="T50" s="215">
        <f t="shared" si="40"/>
        <v>140000000</v>
      </c>
      <c r="U50" s="215">
        <f t="shared" si="40"/>
        <v>27197720.719999999</v>
      </c>
      <c r="V50" s="215">
        <f t="shared" si="40"/>
        <v>112802279.28</v>
      </c>
      <c r="W50" s="216">
        <f t="shared" si="14"/>
        <v>0.19426943371428571</v>
      </c>
      <c r="X50" s="215">
        <f t="shared" si="40"/>
        <v>1056082.6599999999</v>
      </c>
      <c r="Y50" s="215">
        <f t="shared" si="40"/>
        <v>26141638.059999999</v>
      </c>
      <c r="Z50" s="216">
        <f t="shared" si="21"/>
        <v>0.96117017779275149</v>
      </c>
      <c r="AA50" s="215">
        <f t="shared" si="40"/>
        <v>1056082.6599999999</v>
      </c>
      <c r="AB50" s="215">
        <f t="shared" si="40"/>
        <v>0</v>
      </c>
      <c r="AC50" s="216">
        <f t="shared" si="5"/>
        <v>3.8829822207248545E-2</v>
      </c>
    </row>
    <row r="51" spans="1:52" ht="24.95" customHeight="1">
      <c r="A51" s="32" t="str">
        <f t="shared" si="3"/>
        <v>A-02-02-01-002-008=10</v>
      </c>
      <c r="B51" s="217" t="str">
        <f>CONCATENATE(C51,"-",D51,"-",E51,"-",F51,"-",G51,"-",H51)</f>
        <v>A-02-02-01-002-008</v>
      </c>
      <c r="C51" s="218" t="s">
        <v>23</v>
      </c>
      <c r="D51" s="219" t="s">
        <v>54</v>
      </c>
      <c r="E51" s="219" t="s">
        <v>54</v>
      </c>
      <c r="F51" s="219" t="s">
        <v>25</v>
      </c>
      <c r="G51" s="219" t="s">
        <v>34</v>
      </c>
      <c r="H51" s="219" t="s">
        <v>46</v>
      </c>
      <c r="I51" s="219"/>
      <c r="J51" s="219"/>
      <c r="K51" s="220">
        <v>10</v>
      </c>
      <c r="L51" s="221" t="s">
        <v>29</v>
      </c>
      <c r="M51" s="217" t="s">
        <v>92</v>
      </c>
      <c r="N51" s="222">
        <v>140000000</v>
      </c>
      <c r="O51" s="222"/>
      <c r="P51" s="222"/>
      <c r="Q51" s="222"/>
      <c r="R51" s="223"/>
      <c r="S51" s="223"/>
      <c r="T51" s="222">
        <f>+N51-S51+O51-P51+Q51-R51</f>
        <v>140000000</v>
      </c>
      <c r="U51" s="222">
        <v>27197720.719999999</v>
      </c>
      <c r="V51" s="222">
        <f t="shared" si="10"/>
        <v>112802279.28</v>
      </c>
      <c r="W51" s="224">
        <f t="shared" si="14"/>
        <v>0.19426943371428571</v>
      </c>
      <c r="X51" s="222">
        <v>1056082.6599999999</v>
      </c>
      <c r="Y51" s="222">
        <f t="shared" si="13"/>
        <v>26141638.059999999</v>
      </c>
      <c r="Z51" s="224">
        <f t="shared" si="21"/>
        <v>0.96117017779275149</v>
      </c>
      <c r="AA51" s="222">
        <v>1056082.6599999999</v>
      </c>
      <c r="AB51" s="222">
        <f t="shared" si="11"/>
        <v>0</v>
      </c>
      <c r="AC51" s="224">
        <f t="shared" si="5"/>
        <v>3.8829822207248545E-2</v>
      </c>
    </row>
    <row r="52" spans="1:52" ht="33">
      <c r="A52" s="32" t="str">
        <f t="shared" si="3"/>
        <v>A-02-02-01-003=10</v>
      </c>
      <c r="B52" s="210" t="str">
        <f>CONCATENATE(C52,"-",D52,"-",E52,"-",F52,"-",G52)</f>
        <v>A-02-02-01-003</v>
      </c>
      <c r="C52" s="211" t="s">
        <v>23</v>
      </c>
      <c r="D52" s="212" t="s">
        <v>54</v>
      </c>
      <c r="E52" s="212" t="s">
        <v>54</v>
      </c>
      <c r="F52" s="212" t="s">
        <v>25</v>
      </c>
      <c r="G52" s="212" t="s">
        <v>36</v>
      </c>
      <c r="H52" s="212"/>
      <c r="I52" s="212"/>
      <c r="J52" s="212"/>
      <c r="K52" s="213" t="s">
        <v>28</v>
      </c>
      <c r="L52" s="214" t="s">
        <v>29</v>
      </c>
      <c r="M52" s="210" t="s">
        <v>93</v>
      </c>
      <c r="N52" s="215">
        <f>SUM(N53:N58)</f>
        <v>355264202</v>
      </c>
      <c r="O52" s="215">
        <f t="shared" ref="O52:AB52" si="41">SUM(O53:O58)</f>
        <v>0</v>
      </c>
      <c r="P52" s="215">
        <f t="shared" si="41"/>
        <v>0</v>
      </c>
      <c r="Q52" s="215">
        <f t="shared" si="41"/>
        <v>70000000</v>
      </c>
      <c r="R52" s="215">
        <f t="shared" si="41"/>
        <v>20200000</v>
      </c>
      <c r="S52" s="215">
        <f t="shared" si="41"/>
        <v>0</v>
      </c>
      <c r="T52" s="215">
        <f t="shared" si="41"/>
        <v>405064202</v>
      </c>
      <c r="U52" s="215">
        <f t="shared" si="41"/>
        <v>332220705.39999998</v>
      </c>
      <c r="V52" s="215">
        <f t="shared" si="41"/>
        <v>72843496.600000009</v>
      </c>
      <c r="W52" s="216">
        <f t="shared" si="14"/>
        <v>0.82016802215467066</v>
      </c>
      <c r="X52" s="215">
        <f t="shared" si="41"/>
        <v>113366023</v>
      </c>
      <c r="Y52" s="215">
        <f t="shared" si="41"/>
        <v>218854682.39999998</v>
      </c>
      <c r="Z52" s="216">
        <f t="shared" si="21"/>
        <v>0.65876292128299119</v>
      </c>
      <c r="AA52" s="215">
        <f t="shared" si="41"/>
        <v>113366023</v>
      </c>
      <c r="AB52" s="215">
        <f t="shared" si="41"/>
        <v>0</v>
      </c>
      <c r="AC52" s="216">
        <f t="shared" si="5"/>
        <v>0.34123707871700887</v>
      </c>
    </row>
    <row r="53" spans="1:52" ht="33">
      <c r="A53" s="32" t="str">
        <f t="shared" si="3"/>
        <v>A-02-02-01-003-002=10</v>
      </c>
      <c r="B53" s="217" t="str">
        <f>CONCATENATE(C53,"-",D53,"-",E53,"-",F53,"-",G53,"-",H53)</f>
        <v>A-02-02-01-003-002</v>
      </c>
      <c r="C53" s="218" t="s">
        <v>23</v>
      </c>
      <c r="D53" s="219" t="s">
        <v>54</v>
      </c>
      <c r="E53" s="219" t="s">
        <v>54</v>
      </c>
      <c r="F53" s="219" t="s">
        <v>25</v>
      </c>
      <c r="G53" s="219" t="s">
        <v>36</v>
      </c>
      <c r="H53" s="225" t="s">
        <v>34</v>
      </c>
      <c r="I53" s="219"/>
      <c r="J53" s="219"/>
      <c r="K53" s="220">
        <v>10</v>
      </c>
      <c r="L53" s="221" t="s">
        <v>29</v>
      </c>
      <c r="M53" s="217" t="s">
        <v>94</v>
      </c>
      <c r="N53" s="222">
        <v>106000000</v>
      </c>
      <c r="O53" s="222"/>
      <c r="P53" s="222"/>
      <c r="Q53" s="222"/>
      <c r="R53" s="223"/>
      <c r="S53" s="223"/>
      <c r="T53" s="222">
        <f t="shared" ref="T53:T58" si="42">+N53-S53+O53-P53+Q53-R53</f>
        <v>106000000</v>
      </c>
      <c r="U53" s="222">
        <v>80242586.819999993</v>
      </c>
      <c r="V53" s="222">
        <f t="shared" si="10"/>
        <v>25757413.180000007</v>
      </c>
      <c r="W53" s="224">
        <f t="shared" si="14"/>
        <v>0.75700553603773579</v>
      </c>
      <c r="X53" s="222">
        <v>500000</v>
      </c>
      <c r="Y53" s="222">
        <f t="shared" si="13"/>
        <v>79742586.819999993</v>
      </c>
      <c r="Z53" s="224">
        <f t="shared" si="21"/>
        <v>0.99376889479994457</v>
      </c>
      <c r="AA53" s="222">
        <v>500000</v>
      </c>
      <c r="AB53" s="222">
        <f t="shared" ref="AB53:AB58" si="43">+X53-AA53</f>
        <v>0</v>
      </c>
      <c r="AC53" s="224">
        <f t="shared" si="5"/>
        <v>6.2311052000554139E-3</v>
      </c>
    </row>
    <row r="54" spans="1:52" ht="33">
      <c r="A54" s="32" t="str">
        <f t="shared" si="3"/>
        <v>A-02-02-01-003-003=10</v>
      </c>
      <c r="B54" s="217" t="str">
        <f t="shared" ref="B54:B58" si="44">CONCATENATE(C54,"-",D54,"-",E54,"-",F54,"-",G54,"-",H54)</f>
        <v>A-02-02-01-003-003</v>
      </c>
      <c r="C54" s="218" t="s">
        <v>23</v>
      </c>
      <c r="D54" s="219" t="s">
        <v>54</v>
      </c>
      <c r="E54" s="219" t="s">
        <v>54</v>
      </c>
      <c r="F54" s="219" t="s">
        <v>25</v>
      </c>
      <c r="G54" s="219" t="s">
        <v>36</v>
      </c>
      <c r="H54" s="225" t="s">
        <v>36</v>
      </c>
      <c r="I54" s="219"/>
      <c r="J54" s="219"/>
      <c r="K54" s="220">
        <v>10</v>
      </c>
      <c r="L54" s="221" t="s">
        <v>29</v>
      </c>
      <c r="M54" s="217" t="s">
        <v>95</v>
      </c>
      <c r="N54" s="222">
        <v>107264202</v>
      </c>
      <c r="O54" s="222"/>
      <c r="P54" s="222"/>
      <c r="Q54" s="222"/>
      <c r="R54" s="223">
        <v>9200000</v>
      </c>
      <c r="S54" s="223"/>
      <c r="T54" s="222">
        <f t="shared" si="42"/>
        <v>98064202</v>
      </c>
      <c r="U54" s="222">
        <v>98064202</v>
      </c>
      <c r="V54" s="222">
        <f t="shared" si="10"/>
        <v>0</v>
      </c>
      <c r="W54" s="224">
        <f t="shared" si="14"/>
        <v>1</v>
      </c>
      <c r="X54" s="222">
        <v>21806107</v>
      </c>
      <c r="Y54" s="222">
        <f t="shared" si="13"/>
        <v>76258095</v>
      </c>
      <c r="Z54" s="224">
        <f t="shared" si="21"/>
        <v>0.77763438079065794</v>
      </c>
      <c r="AA54" s="222">
        <v>21806107</v>
      </c>
      <c r="AB54" s="222">
        <f t="shared" si="43"/>
        <v>0</v>
      </c>
      <c r="AC54" s="224">
        <f t="shared" si="5"/>
        <v>0.22236561920934206</v>
      </c>
    </row>
    <row r="55" spans="1:52" ht="33">
      <c r="A55" s="32" t="str">
        <f t="shared" si="3"/>
        <v>A-02-02-01-003-005=10</v>
      </c>
      <c r="B55" s="217" t="str">
        <f t="shared" si="44"/>
        <v>A-02-02-01-003-005</v>
      </c>
      <c r="C55" s="218" t="s">
        <v>23</v>
      </c>
      <c r="D55" s="219" t="s">
        <v>54</v>
      </c>
      <c r="E55" s="219" t="s">
        <v>54</v>
      </c>
      <c r="F55" s="219" t="s">
        <v>25</v>
      </c>
      <c r="G55" s="219" t="s">
        <v>36</v>
      </c>
      <c r="H55" s="225" t="s">
        <v>40</v>
      </c>
      <c r="I55" s="219"/>
      <c r="J55" s="219"/>
      <c r="K55" s="220">
        <v>10</v>
      </c>
      <c r="L55" s="221" t="s">
        <v>29</v>
      </c>
      <c r="M55" s="217" t="s">
        <v>96</v>
      </c>
      <c r="N55" s="222">
        <v>6000000</v>
      </c>
      <c r="O55" s="222"/>
      <c r="P55" s="222"/>
      <c r="Q55" s="222">
        <v>70000000</v>
      </c>
      <c r="R55" s="223"/>
      <c r="S55" s="223"/>
      <c r="T55" s="222">
        <f t="shared" si="42"/>
        <v>76000000</v>
      </c>
      <c r="U55" s="222">
        <v>46907780</v>
      </c>
      <c r="V55" s="222">
        <f t="shared" si="10"/>
        <v>29092220</v>
      </c>
      <c r="W55" s="224">
        <f t="shared" si="14"/>
        <v>0.61720763157894731</v>
      </c>
      <c r="X55" s="222">
        <v>32853780</v>
      </c>
      <c r="Y55" s="222">
        <f t="shared" si="13"/>
        <v>14054000</v>
      </c>
      <c r="Z55" s="224">
        <f t="shared" si="21"/>
        <v>0.29960914799208149</v>
      </c>
      <c r="AA55" s="222">
        <v>32853780</v>
      </c>
      <c r="AB55" s="222">
        <f t="shared" si="43"/>
        <v>0</v>
      </c>
      <c r="AC55" s="224">
        <f t="shared" si="5"/>
        <v>0.70039085200791851</v>
      </c>
    </row>
    <row r="56" spans="1:52" ht="24.95" customHeight="1">
      <c r="A56" s="32" t="str">
        <f t="shared" si="3"/>
        <v>A-02-02-01-003-006=10</v>
      </c>
      <c r="B56" s="217" t="str">
        <f t="shared" si="44"/>
        <v>A-02-02-01-003-006</v>
      </c>
      <c r="C56" s="218" t="s">
        <v>23</v>
      </c>
      <c r="D56" s="219" t="s">
        <v>54</v>
      </c>
      <c r="E56" s="219" t="s">
        <v>54</v>
      </c>
      <c r="F56" s="219" t="s">
        <v>25</v>
      </c>
      <c r="G56" s="219" t="s">
        <v>36</v>
      </c>
      <c r="H56" s="225" t="s">
        <v>42</v>
      </c>
      <c r="I56" s="219"/>
      <c r="J56" s="219"/>
      <c r="K56" s="220">
        <v>10</v>
      </c>
      <c r="L56" s="221" t="s">
        <v>29</v>
      </c>
      <c r="M56" s="217" t="s">
        <v>97</v>
      </c>
      <c r="N56" s="222">
        <v>18000000</v>
      </c>
      <c r="O56" s="222"/>
      <c r="P56" s="222"/>
      <c r="Q56" s="222"/>
      <c r="R56" s="223">
        <v>2000000</v>
      </c>
      <c r="S56" s="223"/>
      <c r="T56" s="222">
        <f t="shared" si="42"/>
        <v>16000000</v>
      </c>
      <c r="U56" s="222">
        <v>16000000</v>
      </c>
      <c r="V56" s="222">
        <f t="shared" si="10"/>
        <v>0</v>
      </c>
      <c r="W56" s="224">
        <f t="shared" si="14"/>
        <v>1</v>
      </c>
      <c r="X56" s="222">
        <v>0</v>
      </c>
      <c r="Y56" s="222">
        <f t="shared" si="13"/>
        <v>16000000</v>
      </c>
      <c r="Z56" s="224">
        <f t="shared" si="21"/>
        <v>1</v>
      </c>
      <c r="AA56" s="222">
        <v>0</v>
      </c>
      <c r="AB56" s="222">
        <f t="shared" si="43"/>
        <v>0</v>
      </c>
      <c r="AC56" s="224">
        <f t="shared" si="5"/>
        <v>0</v>
      </c>
    </row>
    <row r="57" spans="1:52" ht="16.5">
      <c r="A57" s="32" t="str">
        <f t="shared" si="3"/>
        <v>A-02-02-01-003-007=10</v>
      </c>
      <c r="B57" s="217" t="str">
        <f t="shared" si="44"/>
        <v>A-02-02-01-003-007</v>
      </c>
      <c r="C57" s="218" t="s">
        <v>23</v>
      </c>
      <c r="D57" s="219" t="s">
        <v>54</v>
      </c>
      <c r="E57" s="219" t="s">
        <v>54</v>
      </c>
      <c r="F57" s="219" t="s">
        <v>25</v>
      </c>
      <c r="G57" s="219" t="s">
        <v>36</v>
      </c>
      <c r="H57" s="225" t="s">
        <v>44</v>
      </c>
      <c r="I57" s="219"/>
      <c r="J57" s="219"/>
      <c r="K57" s="220">
        <v>10</v>
      </c>
      <c r="L57" s="221" t="s">
        <v>29</v>
      </c>
      <c r="M57" s="217" t="s">
        <v>98</v>
      </c>
      <c r="N57" s="222">
        <v>8000000</v>
      </c>
      <c r="O57" s="222"/>
      <c r="P57" s="222"/>
      <c r="Q57" s="222"/>
      <c r="R57" s="223">
        <v>6000000</v>
      </c>
      <c r="S57" s="223"/>
      <c r="T57" s="222">
        <f t="shared" si="42"/>
        <v>2000000</v>
      </c>
      <c r="U57" s="222">
        <v>1200000</v>
      </c>
      <c r="V57" s="222">
        <f t="shared" si="10"/>
        <v>800000</v>
      </c>
      <c r="W57" s="224">
        <f t="shared" si="14"/>
        <v>0.6</v>
      </c>
      <c r="X57" s="222">
        <v>0</v>
      </c>
      <c r="Y57" s="222">
        <f t="shared" si="13"/>
        <v>1200000</v>
      </c>
      <c r="Z57" s="224">
        <f t="shared" si="21"/>
        <v>1</v>
      </c>
      <c r="AA57" s="222">
        <v>0</v>
      </c>
      <c r="AB57" s="222">
        <f t="shared" si="43"/>
        <v>0</v>
      </c>
      <c r="AC57" s="224">
        <f t="shared" si="5"/>
        <v>0</v>
      </c>
    </row>
    <row r="58" spans="1:52" ht="24.95" customHeight="1">
      <c r="A58" s="32" t="str">
        <f t="shared" si="3"/>
        <v>A-02-02-01-003-008=10</v>
      </c>
      <c r="B58" s="217" t="str">
        <f t="shared" si="44"/>
        <v>A-02-02-01-003-008</v>
      </c>
      <c r="C58" s="218" t="s">
        <v>23</v>
      </c>
      <c r="D58" s="219" t="s">
        <v>54</v>
      </c>
      <c r="E58" s="219" t="s">
        <v>54</v>
      </c>
      <c r="F58" s="219" t="s">
        <v>25</v>
      </c>
      <c r="G58" s="219" t="s">
        <v>36</v>
      </c>
      <c r="H58" s="225" t="s">
        <v>46</v>
      </c>
      <c r="I58" s="219"/>
      <c r="J58" s="219"/>
      <c r="K58" s="220">
        <v>10</v>
      </c>
      <c r="L58" s="221" t="s">
        <v>29</v>
      </c>
      <c r="M58" s="217" t="s">
        <v>99</v>
      </c>
      <c r="N58" s="222">
        <v>110000000</v>
      </c>
      <c r="O58" s="222"/>
      <c r="P58" s="222"/>
      <c r="Q58" s="222"/>
      <c r="R58" s="223">
        <v>3000000</v>
      </c>
      <c r="S58" s="223"/>
      <c r="T58" s="222">
        <f t="shared" si="42"/>
        <v>107000000</v>
      </c>
      <c r="U58" s="222">
        <v>89806136.579999998</v>
      </c>
      <c r="V58" s="222">
        <f t="shared" si="10"/>
        <v>17193863.420000002</v>
      </c>
      <c r="W58" s="224">
        <f t="shared" si="14"/>
        <v>0.83930968766355141</v>
      </c>
      <c r="X58" s="222">
        <v>58206136</v>
      </c>
      <c r="Y58" s="222">
        <f t="shared" si="13"/>
        <v>31600000.579999998</v>
      </c>
      <c r="Z58" s="224">
        <f t="shared" si="21"/>
        <v>0.35186905687508863</v>
      </c>
      <c r="AA58" s="222">
        <v>58206136</v>
      </c>
      <c r="AB58" s="222">
        <f t="shared" si="43"/>
        <v>0</v>
      </c>
      <c r="AC58" s="224">
        <f t="shared" si="5"/>
        <v>0.64813094312491137</v>
      </c>
    </row>
    <row r="59" spans="1:52" ht="24.95" customHeight="1">
      <c r="A59" s="32" t="str">
        <f t="shared" si="3"/>
        <v>A-02-02-01-004=10</v>
      </c>
      <c r="B59" s="210" t="str">
        <f>CONCATENATE(C59,"-",D59,"-",E59,"-",F59,"-",G59)</f>
        <v>A-02-02-01-004</v>
      </c>
      <c r="C59" s="211" t="s">
        <v>23</v>
      </c>
      <c r="D59" s="212" t="s">
        <v>54</v>
      </c>
      <c r="E59" s="212" t="s">
        <v>54</v>
      </c>
      <c r="F59" s="212" t="s">
        <v>25</v>
      </c>
      <c r="G59" s="212" t="s">
        <v>38</v>
      </c>
      <c r="H59" s="212"/>
      <c r="I59" s="212"/>
      <c r="J59" s="212"/>
      <c r="K59" s="213" t="s">
        <v>28</v>
      </c>
      <c r="L59" s="214" t="s">
        <v>29</v>
      </c>
      <c r="M59" s="210" t="s">
        <v>100</v>
      </c>
      <c r="N59" s="215">
        <f>SUM(N60:N64)</f>
        <v>298000000</v>
      </c>
      <c r="O59" s="215">
        <f t="shared" ref="O59:V59" si="45">SUM(O60:O64)</f>
        <v>0</v>
      </c>
      <c r="P59" s="215">
        <f t="shared" si="45"/>
        <v>0</v>
      </c>
      <c r="Q59" s="215">
        <f t="shared" si="45"/>
        <v>137587945</v>
      </c>
      <c r="R59" s="215">
        <f t="shared" si="45"/>
        <v>141235566</v>
      </c>
      <c r="S59" s="215">
        <f t="shared" si="45"/>
        <v>0</v>
      </c>
      <c r="T59" s="215">
        <f t="shared" si="45"/>
        <v>294352379</v>
      </c>
      <c r="U59" s="215">
        <f t="shared" si="45"/>
        <v>120649684</v>
      </c>
      <c r="V59" s="215">
        <f t="shared" si="45"/>
        <v>173702695</v>
      </c>
      <c r="W59" s="216">
        <f t="shared" si="14"/>
        <v>0.40988180360519527</v>
      </c>
      <c r="X59" s="215">
        <f t="shared" ref="X59:AB59" si="46">SUM(X60:X64)</f>
        <v>48424434</v>
      </c>
      <c r="Y59" s="215">
        <f t="shared" si="46"/>
        <v>72225250</v>
      </c>
      <c r="Z59" s="216">
        <f t="shared" si="21"/>
        <v>0.59863604781592294</v>
      </c>
      <c r="AA59" s="215">
        <f t="shared" si="46"/>
        <v>48424434</v>
      </c>
      <c r="AB59" s="215">
        <f t="shared" si="46"/>
        <v>0</v>
      </c>
      <c r="AC59" s="216">
        <f t="shared" si="5"/>
        <v>0.401363952184077</v>
      </c>
    </row>
    <row r="60" spans="1:52" ht="24.95" customHeight="1">
      <c r="A60" s="32" t="str">
        <f t="shared" si="3"/>
        <v>A-02-02-01-004-002=10</v>
      </c>
      <c r="B60" s="217" t="str">
        <f>CONCATENATE(C60,"-",D60,"-",E60,"-",F60,"-",G60,"-",H60)</f>
        <v>A-02-02-01-004-002</v>
      </c>
      <c r="C60" s="218" t="s">
        <v>23</v>
      </c>
      <c r="D60" s="219" t="s">
        <v>54</v>
      </c>
      <c r="E60" s="219" t="s">
        <v>54</v>
      </c>
      <c r="F60" s="219" t="s">
        <v>25</v>
      </c>
      <c r="G60" s="225" t="s">
        <v>38</v>
      </c>
      <c r="H60" s="225" t="s">
        <v>34</v>
      </c>
      <c r="I60" s="219"/>
      <c r="J60" s="219"/>
      <c r="K60" s="220">
        <v>10</v>
      </c>
      <c r="L60" s="221" t="s">
        <v>29</v>
      </c>
      <c r="M60" s="217" t="s">
        <v>101</v>
      </c>
      <c r="N60" s="222">
        <v>37000000</v>
      </c>
      <c r="O60" s="222"/>
      <c r="P60" s="222"/>
      <c r="Q60" s="222"/>
      <c r="R60" s="223">
        <v>7000000</v>
      </c>
      <c r="S60" s="223"/>
      <c r="T60" s="222">
        <f>+N60-S60+O60-P60+Q60-R60</f>
        <v>30000000</v>
      </c>
      <c r="U60" s="222">
        <v>25000000</v>
      </c>
      <c r="V60" s="222">
        <f t="shared" si="10"/>
        <v>5000000</v>
      </c>
      <c r="W60" s="224">
        <f t="shared" si="14"/>
        <v>0.83333333333333337</v>
      </c>
      <c r="X60" s="222">
        <v>0</v>
      </c>
      <c r="Y60" s="222">
        <f t="shared" si="13"/>
        <v>25000000</v>
      </c>
      <c r="Z60" s="224">
        <f t="shared" si="21"/>
        <v>1</v>
      </c>
      <c r="AA60" s="222">
        <v>0</v>
      </c>
      <c r="AB60" s="222">
        <f t="shared" ref="AB60:AB64" si="47">+X60-AA60</f>
        <v>0</v>
      </c>
      <c r="AC60" s="224">
        <f t="shared" si="5"/>
        <v>0</v>
      </c>
    </row>
    <row r="61" spans="1:52" s="64" customFormat="1" ht="24.95" customHeight="1">
      <c r="A61" s="32" t="str">
        <f t="shared" si="3"/>
        <v>A-02-02-01-004-005=10</v>
      </c>
      <c r="B61" s="217" t="str">
        <f>CONCATENATE(C61,"-",D61,"-",E61,"-",F61,"-",G61,"-",H61)</f>
        <v>A-02-02-01-004-005</v>
      </c>
      <c r="C61" s="218" t="s">
        <v>23</v>
      </c>
      <c r="D61" s="219" t="s">
        <v>54</v>
      </c>
      <c r="E61" s="219" t="s">
        <v>54</v>
      </c>
      <c r="F61" s="219" t="s">
        <v>25</v>
      </c>
      <c r="G61" s="225" t="s">
        <v>38</v>
      </c>
      <c r="H61" s="225" t="s">
        <v>40</v>
      </c>
      <c r="I61" s="219"/>
      <c r="J61" s="219"/>
      <c r="K61" s="220">
        <v>10</v>
      </c>
      <c r="L61" s="221" t="s">
        <v>29</v>
      </c>
      <c r="M61" s="217" t="s">
        <v>102</v>
      </c>
      <c r="N61" s="222">
        <v>0</v>
      </c>
      <c r="O61" s="222"/>
      <c r="P61" s="222"/>
      <c r="Q61" s="222">
        <v>82000000</v>
      </c>
      <c r="R61" s="223"/>
      <c r="S61" s="223"/>
      <c r="T61" s="222">
        <f t="shared" ref="T61:T64" si="48">+N61-S61+O61-P61+Q61-R61</f>
        <v>82000000</v>
      </c>
      <c r="U61" s="222">
        <v>0</v>
      </c>
      <c r="V61" s="222">
        <f t="shared" si="10"/>
        <v>82000000</v>
      </c>
      <c r="W61" s="224">
        <f t="shared" si="14"/>
        <v>0</v>
      </c>
      <c r="X61" s="222">
        <v>0</v>
      </c>
      <c r="Y61" s="222">
        <f t="shared" si="13"/>
        <v>0</v>
      </c>
      <c r="Z61" s="224">
        <f t="shared" si="21"/>
        <v>0</v>
      </c>
      <c r="AA61" s="222">
        <v>0</v>
      </c>
      <c r="AB61" s="222">
        <f t="shared" si="47"/>
        <v>0</v>
      </c>
      <c r="AC61" s="224">
        <f t="shared" si="5"/>
        <v>0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s="64" customFormat="1" ht="24.95" customHeight="1">
      <c r="A62" s="32" t="str">
        <f t="shared" si="3"/>
        <v>A-02-02-01-004-006=10</v>
      </c>
      <c r="B62" s="217" t="str">
        <f>CONCATENATE(C62,"-",D62,"-",E62,"-",F62,"-",G62,"-",H62)</f>
        <v>A-02-02-01-004-006</v>
      </c>
      <c r="C62" s="218" t="s">
        <v>23</v>
      </c>
      <c r="D62" s="219" t="s">
        <v>54</v>
      </c>
      <c r="E62" s="219" t="s">
        <v>54</v>
      </c>
      <c r="F62" s="219" t="s">
        <v>25</v>
      </c>
      <c r="G62" s="225" t="s">
        <v>38</v>
      </c>
      <c r="H62" s="225" t="s">
        <v>42</v>
      </c>
      <c r="I62" s="219"/>
      <c r="J62" s="219"/>
      <c r="K62" s="220">
        <v>10</v>
      </c>
      <c r="L62" s="221" t="s">
        <v>29</v>
      </c>
      <c r="M62" s="217" t="s">
        <v>84</v>
      </c>
      <c r="N62" s="222">
        <v>0</v>
      </c>
      <c r="O62" s="222"/>
      <c r="P62" s="222"/>
      <c r="Q62" s="222">
        <v>30000000</v>
      </c>
      <c r="R62" s="223"/>
      <c r="S62" s="223"/>
      <c r="T62" s="222">
        <f t="shared" si="48"/>
        <v>30000000</v>
      </c>
      <c r="U62" s="222">
        <v>30000000</v>
      </c>
      <c r="V62" s="222">
        <f t="shared" si="10"/>
        <v>0</v>
      </c>
      <c r="W62" s="224">
        <f t="shared" si="14"/>
        <v>1</v>
      </c>
      <c r="X62" s="222">
        <v>0</v>
      </c>
      <c r="Y62" s="222">
        <f t="shared" si="13"/>
        <v>30000000</v>
      </c>
      <c r="Z62" s="224">
        <f t="shared" si="21"/>
        <v>1</v>
      </c>
      <c r="AA62" s="222">
        <v>0</v>
      </c>
      <c r="AB62" s="222">
        <f t="shared" si="47"/>
        <v>0</v>
      </c>
      <c r="AC62" s="224">
        <f t="shared" si="5"/>
        <v>0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24.95" customHeight="1">
      <c r="A63" s="32" t="str">
        <f t="shared" si="3"/>
        <v>A-02-02-01-004-007=10</v>
      </c>
      <c r="B63" s="217" t="str">
        <f>CONCATENATE(C63,"-",D63,"-",E63,"-",F63,"-",G63,"-",H63)</f>
        <v>A-02-02-01-004-007</v>
      </c>
      <c r="C63" s="218" t="s">
        <v>23</v>
      </c>
      <c r="D63" s="219" t="s">
        <v>54</v>
      </c>
      <c r="E63" s="219" t="s">
        <v>54</v>
      </c>
      <c r="F63" s="219" t="s">
        <v>25</v>
      </c>
      <c r="G63" s="225" t="s">
        <v>38</v>
      </c>
      <c r="H63" s="225" t="s">
        <v>44</v>
      </c>
      <c r="I63" s="219"/>
      <c r="J63" s="219"/>
      <c r="K63" s="220">
        <v>10</v>
      </c>
      <c r="L63" s="221" t="s">
        <v>29</v>
      </c>
      <c r="M63" s="217" t="s">
        <v>85</v>
      </c>
      <c r="N63" s="222">
        <v>261000000</v>
      </c>
      <c r="O63" s="222"/>
      <c r="P63" s="222"/>
      <c r="Q63" s="222">
        <v>5587945</v>
      </c>
      <c r="R63" s="222">
        <f>82000000+30000000+22235566</f>
        <v>134235566</v>
      </c>
      <c r="S63" s="223"/>
      <c r="T63" s="222">
        <f t="shared" si="48"/>
        <v>132352379</v>
      </c>
      <c r="U63" s="222">
        <v>58989684</v>
      </c>
      <c r="V63" s="222">
        <f t="shared" si="10"/>
        <v>73362695</v>
      </c>
      <c r="W63" s="224">
        <f t="shared" si="14"/>
        <v>0.44570172780951672</v>
      </c>
      <c r="X63" s="222">
        <v>41764434</v>
      </c>
      <c r="Y63" s="222">
        <f t="shared" si="13"/>
        <v>17225250</v>
      </c>
      <c r="Z63" s="224">
        <f t="shared" si="21"/>
        <v>0.29200444606551884</v>
      </c>
      <c r="AA63" s="222">
        <v>41764434</v>
      </c>
      <c r="AB63" s="222">
        <f t="shared" si="47"/>
        <v>0</v>
      </c>
      <c r="AC63" s="224">
        <f t="shared" si="5"/>
        <v>0.7079955539344811</v>
      </c>
    </row>
    <row r="64" spans="1:52" s="64" customFormat="1" ht="24.95" customHeight="1">
      <c r="A64" s="241" t="str">
        <f t="shared" si="3"/>
        <v>A-02-02-01-004-008=10</v>
      </c>
      <c r="B64" s="242" t="str">
        <f>CONCATENATE(C64,"-",D64,"-",E64,"-",F64,"-",G64,"-",H64)</f>
        <v>A-02-02-01-004-008</v>
      </c>
      <c r="C64" s="243" t="s">
        <v>23</v>
      </c>
      <c r="D64" s="244" t="s">
        <v>54</v>
      </c>
      <c r="E64" s="244" t="s">
        <v>54</v>
      </c>
      <c r="F64" s="244" t="s">
        <v>25</v>
      </c>
      <c r="G64" s="244" t="s">
        <v>38</v>
      </c>
      <c r="H64" s="244" t="s">
        <v>46</v>
      </c>
      <c r="I64" s="244"/>
      <c r="J64" s="244"/>
      <c r="K64" s="245">
        <v>10</v>
      </c>
      <c r="L64" s="246" t="s">
        <v>29</v>
      </c>
      <c r="M64" s="247" t="s">
        <v>258</v>
      </c>
      <c r="N64" s="668">
        <v>0</v>
      </c>
      <c r="O64" s="222"/>
      <c r="P64" s="222"/>
      <c r="Q64" s="222">
        <v>20000000</v>
      </c>
      <c r="R64" s="222"/>
      <c r="S64" s="223"/>
      <c r="T64" s="222">
        <f t="shared" si="48"/>
        <v>20000000</v>
      </c>
      <c r="U64" s="222">
        <v>6660000</v>
      </c>
      <c r="V64" s="222">
        <f t="shared" si="10"/>
        <v>13340000</v>
      </c>
      <c r="W64" s="224">
        <f t="shared" si="14"/>
        <v>0.33300000000000002</v>
      </c>
      <c r="X64" s="222">
        <v>6660000</v>
      </c>
      <c r="Y64" s="222">
        <f t="shared" si="13"/>
        <v>0</v>
      </c>
      <c r="Z64" s="224">
        <f t="shared" si="21"/>
        <v>0</v>
      </c>
      <c r="AA64" s="222">
        <v>6660000</v>
      </c>
      <c r="AB64" s="222">
        <f t="shared" si="47"/>
        <v>0</v>
      </c>
      <c r="AC64" s="224">
        <f t="shared" si="5"/>
        <v>1</v>
      </c>
    </row>
    <row r="65" spans="1:29" ht="24.95" customHeight="1">
      <c r="A65" s="32" t="str">
        <f t="shared" si="3"/>
        <v>A-02-02-02=10</v>
      </c>
      <c r="B65" s="203" t="str">
        <f>CONCATENATE(C65,"-",D65,"-",E65,"-",F65)</f>
        <v>A-02-02-02</v>
      </c>
      <c r="C65" s="204" t="s">
        <v>23</v>
      </c>
      <c r="D65" s="205" t="s">
        <v>54</v>
      </c>
      <c r="E65" s="205" t="s">
        <v>54</v>
      </c>
      <c r="F65" s="205" t="s">
        <v>54</v>
      </c>
      <c r="G65" s="205"/>
      <c r="H65" s="205"/>
      <c r="I65" s="205"/>
      <c r="J65" s="205"/>
      <c r="K65" s="206" t="s">
        <v>28</v>
      </c>
      <c r="L65" s="207" t="s">
        <v>29</v>
      </c>
      <c r="M65" s="203" t="s">
        <v>103</v>
      </c>
      <c r="N65" s="208">
        <f>+N66+N73+N76+N83+N89</f>
        <v>41426735798</v>
      </c>
      <c r="O65" s="208">
        <f t="shared" ref="O65:V65" si="49">+O66+O73+O76+O83+O89</f>
        <v>0</v>
      </c>
      <c r="P65" s="208">
        <f t="shared" si="49"/>
        <v>0</v>
      </c>
      <c r="Q65" s="208">
        <f t="shared" si="49"/>
        <v>3464636890.4399996</v>
      </c>
      <c r="R65" s="208">
        <f t="shared" si="49"/>
        <v>3541221740.4400001</v>
      </c>
      <c r="S65" s="208">
        <f t="shared" si="49"/>
        <v>0</v>
      </c>
      <c r="T65" s="208">
        <f t="shared" si="49"/>
        <v>41350150948</v>
      </c>
      <c r="U65" s="208">
        <f t="shared" si="49"/>
        <v>35009339102.339996</v>
      </c>
      <c r="V65" s="208">
        <f t="shared" si="49"/>
        <v>6340811845.6599998</v>
      </c>
      <c r="W65" s="209">
        <f t="shared" si="14"/>
        <v>0.84665565420465072</v>
      </c>
      <c r="X65" s="208">
        <f t="shared" ref="X65:AB65" si="50">+X66+X73+X76+X83+X89</f>
        <v>21825340992.240002</v>
      </c>
      <c r="Y65" s="208">
        <f t="shared" si="50"/>
        <v>13183998110.1</v>
      </c>
      <c r="Z65" s="209">
        <f t="shared" si="21"/>
        <v>0.37658517550303577</v>
      </c>
      <c r="AA65" s="208">
        <f t="shared" si="50"/>
        <v>21697859489.240002</v>
      </c>
      <c r="AB65" s="208">
        <f t="shared" si="50"/>
        <v>127481503</v>
      </c>
      <c r="AC65" s="209">
        <f t="shared" si="5"/>
        <v>0.61977346746856277</v>
      </c>
    </row>
    <row r="66" spans="1:29" ht="49.5">
      <c r="A66" s="32" t="str">
        <f t="shared" si="3"/>
        <v>A-02-02-02-006=10</v>
      </c>
      <c r="B66" s="210" t="str">
        <f>CONCATENATE(C66,"-",D66,"-",E66,"-",F66,"-",G66)</f>
        <v>A-02-02-02-006</v>
      </c>
      <c r="C66" s="211" t="s">
        <v>23</v>
      </c>
      <c r="D66" s="212" t="s">
        <v>54</v>
      </c>
      <c r="E66" s="212" t="s">
        <v>54</v>
      </c>
      <c r="F66" s="212" t="s">
        <v>54</v>
      </c>
      <c r="G66" s="212" t="s">
        <v>42</v>
      </c>
      <c r="H66" s="212"/>
      <c r="I66" s="212"/>
      <c r="J66" s="212"/>
      <c r="K66" s="213" t="s">
        <v>28</v>
      </c>
      <c r="L66" s="214" t="s">
        <v>29</v>
      </c>
      <c r="M66" s="210" t="s">
        <v>104</v>
      </c>
      <c r="N66" s="215">
        <f>SUM(N67:N72)</f>
        <v>7757163474</v>
      </c>
      <c r="O66" s="215">
        <f t="shared" ref="O66:V66" si="51">SUM(O67:O72)</f>
        <v>0</v>
      </c>
      <c r="P66" s="215">
        <f t="shared" si="51"/>
        <v>0</v>
      </c>
      <c r="Q66" s="215">
        <f t="shared" si="51"/>
        <v>75000000</v>
      </c>
      <c r="R66" s="215">
        <f t="shared" si="51"/>
        <v>401389991.88</v>
      </c>
      <c r="S66" s="215">
        <f t="shared" si="51"/>
        <v>0</v>
      </c>
      <c r="T66" s="215">
        <f t="shared" si="51"/>
        <v>7430773482.1199999</v>
      </c>
      <c r="U66" s="215">
        <f t="shared" si="51"/>
        <v>5892792887.1000004</v>
      </c>
      <c r="V66" s="215">
        <f t="shared" si="51"/>
        <v>1537980595.02</v>
      </c>
      <c r="W66" s="216">
        <f t="shared" si="14"/>
        <v>0.79302550417924811</v>
      </c>
      <c r="X66" s="215">
        <f t="shared" ref="X66:AB66" si="52">SUM(X67:X72)</f>
        <v>3246700043.0999999</v>
      </c>
      <c r="Y66" s="215">
        <f t="shared" si="52"/>
        <v>2646092844</v>
      </c>
      <c r="Z66" s="216">
        <f t="shared" si="21"/>
        <v>0.44903883348634238</v>
      </c>
      <c r="AA66" s="215">
        <f t="shared" si="52"/>
        <v>3245722955.0999999</v>
      </c>
      <c r="AB66" s="215">
        <f t="shared" si="52"/>
        <v>977088</v>
      </c>
      <c r="AC66" s="216">
        <f t="shared" si="5"/>
        <v>0.55079535583292938</v>
      </c>
    </row>
    <row r="67" spans="1:29" ht="24.95" customHeight="1">
      <c r="A67" s="32" t="str">
        <f t="shared" si="3"/>
        <v>A-02-02-02-006-003=10</v>
      </c>
      <c r="B67" s="217" t="str">
        <f>CONCATENATE(C67,"-",D67,"-",E67,"-",F67,"-",G67,"-",H67)</f>
        <v>A-02-02-02-006-003</v>
      </c>
      <c r="C67" s="248" t="s">
        <v>23</v>
      </c>
      <c r="D67" s="249" t="s">
        <v>54</v>
      </c>
      <c r="E67" s="249" t="s">
        <v>54</v>
      </c>
      <c r="F67" s="249" t="s">
        <v>54</v>
      </c>
      <c r="G67" s="249" t="s">
        <v>42</v>
      </c>
      <c r="H67" s="225" t="s">
        <v>36</v>
      </c>
      <c r="I67" s="219"/>
      <c r="J67" s="219"/>
      <c r="K67" s="220">
        <v>10</v>
      </c>
      <c r="L67" s="221" t="s">
        <v>29</v>
      </c>
      <c r="M67" s="217" t="s">
        <v>105</v>
      </c>
      <c r="N67" s="222">
        <v>12000000</v>
      </c>
      <c r="O67" s="222"/>
      <c r="P67" s="222"/>
      <c r="Q67" s="223"/>
      <c r="R67" s="223"/>
      <c r="S67" s="223"/>
      <c r="T67" s="222">
        <f t="shared" ref="T67:T72" si="53">+N67-S67+O67-P67+Q67-R67</f>
        <v>12000000</v>
      </c>
      <c r="U67" s="222">
        <v>2654895</v>
      </c>
      <c r="V67" s="222">
        <f t="shared" si="10"/>
        <v>9345105</v>
      </c>
      <c r="W67" s="224">
        <f t="shared" si="14"/>
        <v>0.22124125</v>
      </c>
      <c r="X67" s="222">
        <v>2654895</v>
      </c>
      <c r="Y67" s="222">
        <f t="shared" si="13"/>
        <v>0</v>
      </c>
      <c r="Z67" s="224">
        <f t="shared" si="21"/>
        <v>0</v>
      </c>
      <c r="AA67" s="222">
        <v>2654895</v>
      </c>
      <c r="AB67" s="222">
        <f t="shared" ref="AB67:AB72" si="54">+X67-AA67</f>
        <v>0</v>
      </c>
      <c r="AC67" s="224">
        <f t="shared" si="5"/>
        <v>1</v>
      </c>
    </row>
    <row r="68" spans="1:29" ht="24.95" customHeight="1">
      <c r="A68" s="32" t="str">
        <f t="shared" si="3"/>
        <v>A-02-02-02-006-004=10</v>
      </c>
      <c r="B68" s="217" t="str">
        <f t="shared" ref="B68:B88" si="55">CONCATENATE(C68,"-",D68,"-",E68,"-",F68,"-",G68,"-",H68)</f>
        <v>A-02-02-02-006-004</v>
      </c>
      <c r="C68" s="248" t="s">
        <v>23</v>
      </c>
      <c r="D68" s="249" t="s">
        <v>54</v>
      </c>
      <c r="E68" s="249" t="s">
        <v>54</v>
      </c>
      <c r="F68" s="249" t="s">
        <v>54</v>
      </c>
      <c r="G68" s="249" t="s">
        <v>42</v>
      </c>
      <c r="H68" s="225" t="s">
        <v>38</v>
      </c>
      <c r="I68" s="219"/>
      <c r="J68" s="219"/>
      <c r="K68" s="220">
        <v>10</v>
      </c>
      <c r="L68" s="221" t="s">
        <v>29</v>
      </c>
      <c r="M68" s="217" t="s">
        <v>106</v>
      </c>
      <c r="N68" s="222">
        <v>4851925294</v>
      </c>
      <c r="O68" s="222"/>
      <c r="P68" s="222"/>
      <c r="Q68" s="223">
        <f>2400000</f>
        <v>2400000</v>
      </c>
      <c r="R68" s="223">
        <f>27793073+52000000+70000000+46293242.88+152303676</f>
        <v>348389991.88</v>
      </c>
      <c r="S68" s="223"/>
      <c r="T68" s="222">
        <f t="shared" si="53"/>
        <v>4505935302.1199999</v>
      </c>
      <c r="U68" s="222">
        <v>3426696035</v>
      </c>
      <c r="V68" s="222">
        <f t="shared" si="10"/>
        <v>1079239267.1199999</v>
      </c>
      <c r="W68" s="224">
        <f t="shared" si="14"/>
        <v>0.76048496155454604</v>
      </c>
      <c r="X68" s="222">
        <v>1614003658</v>
      </c>
      <c r="Y68" s="222">
        <f t="shared" si="13"/>
        <v>1812692377</v>
      </c>
      <c r="Z68" s="224">
        <f t="shared" si="21"/>
        <v>0.52899129613053053</v>
      </c>
      <c r="AA68" s="222">
        <v>1614003658</v>
      </c>
      <c r="AB68" s="222">
        <f t="shared" si="54"/>
        <v>0</v>
      </c>
      <c r="AC68" s="224">
        <f t="shared" si="5"/>
        <v>0.47100870386946941</v>
      </c>
    </row>
    <row r="69" spans="1:29" ht="24.95" customHeight="1">
      <c r="A69" s="32" t="str">
        <f t="shared" si="3"/>
        <v>A-02-02-02-006-005=10</v>
      </c>
      <c r="B69" s="217" t="str">
        <f t="shared" si="55"/>
        <v>A-02-02-02-006-005</v>
      </c>
      <c r="C69" s="248" t="s">
        <v>23</v>
      </c>
      <c r="D69" s="249" t="s">
        <v>54</v>
      </c>
      <c r="E69" s="249" t="s">
        <v>54</v>
      </c>
      <c r="F69" s="249" t="s">
        <v>54</v>
      </c>
      <c r="G69" s="249" t="s">
        <v>42</v>
      </c>
      <c r="H69" s="225" t="s">
        <v>40</v>
      </c>
      <c r="I69" s="219"/>
      <c r="J69" s="219"/>
      <c r="K69" s="220">
        <v>10</v>
      </c>
      <c r="L69" s="221" t="s">
        <v>29</v>
      </c>
      <c r="M69" s="217" t="s">
        <v>107</v>
      </c>
      <c r="N69" s="222">
        <v>100000000</v>
      </c>
      <c r="O69" s="222"/>
      <c r="P69" s="222"/>
      <c r="Q69" s="223">
        <v>7600000</v>
      </c>
      <c r="R69" s="223">
        <v>13000000</v>
      </c>
      <c r="S69" s="223"/>
      <c r="T69" s="222">
        <f t="shared" si="53"/>
        <v>94600000</v>
      </c>
      <c r="U69" s="222">
        <v>93579990</v>
      </c>
      <c r="V69" s="222">
        <f t="shared" si="10"/>
        <v>1020010</v>
      </c>
      <c r="W69" s="224">
        <f t="shared" si="14"/>
        <v>0.98921765327695566</v>
      </c>
      <c r="X69" s="222">
        <v>23115108</v>
      </c>
      <c r="Y69" s="222">
        <f t="shared" si="13"/>
        <v>70464882</v>
      </c>
      <c r="Z69" s="224">
        <f t="shared" si="21"/>
        <v>0.75299091183916567</v>
      </c>
      <c r="AA69" s="222">
        <v>23115108</v>
      </c>
      <c r="AB69" s="222">
        <f t="shared" si="54"/>
        <v>0</v>
      </c>
      <c r="AC69" s="224">
        <f t="shared" si="5"/>
        <v>0.24700908816083439</v>
      </c>
    </row>
    <row r="70" spans="1:29" ht="24.95" customHeight="1">
      <c r="A70" s="32" t="str">
        <f t="shared" si="3"/>
        <v>A-02-02-02-006-006=10</v>
      </c>
      <c r="B70" s="217" t="str">
        <f t="shared" si="55"/>
        <v>A-02-02-02-006-006</v>
      </c>
      <c r="C70" s="248" t="s">
        <v>23</v>
      </c>
      <c r="D70" s="249" t="s">
        <v>54</v>
      </c>
      <c r="E70" s="249" t="s">
        <v>54</v>
      </c>
      <c r="F70" s="249" t="s">
        <v>54</v>
      </c>
      <c r="G70" s="249" t="s">
        <v>42</v>
      </c>
      <c r="H70" s="225" t="s">
        <v>42</v>
      </c>
      <c r="I70" s="219"/>
      <c r="J70" s="219"/>
      <c r="K70" s="220">
        <v>10</v>
      </c>
      <c r="L70" s="221" t="s">
        <v>29</v>
      </c>
      <c r="M70" s="217" t="s">
        <v>259</v>
      </c>
      <c r="N70" s="222">
        <v>10000000</v>
      </c>
      <c r="O70" s="222"/>
      <c r="P70" s="222"/>
      <c r="Q70" s="223"/>
      <c r="R70" s="223">
        <v>10000000</v>
      </c>
      <c r="S70" s="223"/>
      <c r="T70" s="222">
        <f t="shared" si="53"/>
        <v>0</v>
      </c>
      <c r="U70" s="222">
        <v>0</v>
      </c>
      <c r="V70" s="222">
        <f t="shared" si="10"/>
        <v>0</v>
      </c>
      <c r="W70" s="224">
        <f t="shared" si="14"/>
        <v>0</v>
      </c>
      <c r="X70" s="222">
        <v>0</v>
      </c>
      <c r="Y70" s="222">
        <f t="shared" si="13"/>
        <v>0</v>
      </c>
      <c r="Z70" s="224">
        <f t="shared" si="21"/>
        <v>0</v>
      </c>
      <c r="AA70" s="222">
        <v>0</v>
      </c>
      <c r="AB70" s="222">
        <f t="shared" si="54"/>
        <v>0</v>
      </c>
      <c r="AC70" s="224">
        <f t="shared" si="5"/>
        <v>0</v>
      </c>
    </row>
    <row r="71" spans="1:29" ht="24.95" customHeight="1">
      <c r="A71" s="32" t="str">
        <f t="shared" si="3"/>
        <v>A-02-02-02-006-008=10</v>
      </c>
      <c r="B71" s="217" t="str">
        <f t="shared" si="55"/>
        <v>A-02-02-02-006-008</v>
      </c>
      <c r="C71" s="248" t="s">
        <v>23</v>
      </c>
      <c r="D71" s="249" t="s">
        <v>54</v>
      </c>
      <c r="E71" s="249" t="s">
        <v>54</v>
      </c>
      <c r="F71" s="249" t="s">
        <v>54</v>
      </c>
      <c r="G71" s="249" t="s">
        <v>42</v>
      </c>
      <c r="H71" s="225" t="s">
        <v>46</v>
      </c>
      <c r="I71" s="219"/>
      <c r="J71" s="219"/>
      <c r="K71" s="220">
        <v>10</v>
      </c>
      <c r="L71" s="221" t="s">
        <v>29</v>
      </c>
      <c r="M71" s="217" t="s">
        <v>108</v>
      </c>
      <c r="N71" s="222">
        <v>2053178180</v>
      </c>
      <c r="O71" s="222"/>
      <c r="P71" s="222"/>
      <c r="Q71" s="223"/>
      <c r="R71" s="223">
        <v>30000000</v>
      </c>
      <c r="S71" s="223"/>
      <c r="T71" s="222">
        <f t="shared" si="53"/>
        <v>2023178180</v>
      </c>
      <c r="U71" s="222">
        <v>1848038030</v>
      </c>
      <c r="V71" s="222">
        <f t="shared" si="10"/>
        <v>175140150</v>
      </c>
      <c r="W71" s="224">
        <f t="shared" si="14"/>
        <v>0.91343315594674912</v>
      </c>
      <c r="X71" s="222">
        <v>1087106921</v>
      </c>
      <c r="Y71" s="222">
        <f t="shared" si="13"/>
        <v>760931109</v>
      </c>
      <c r="Z71" s="224">
        <f t="shared" si="21"/>
        <v>0.41175078469570237</v>
      </c>
      <c r="AA71" s="222">
        <v>1087106921</v>
      </c>
      <c r="AB71" s="222">
        <f t="shared" si="54"/>
        <v>0</v>
      </c>
      <c r="AC71" s="224">
        <f t="shared" si="5"/>
        <v>0.58824921530429763</v>
      </c>
    </row>
    <row r="72" spans="1:29" ht="33">
      <c r="A72" s="32" t="str">
        <f t="shared" si="3"/>
        <v>A-02-02-02-006-009=10</v>
      </c>
      <c r="B72" s="217" t="str">
        <f t="shared" si="55"/>
        <v>A-02-02-02-006-009</v>
      </c>
      <c r="C72" s="248" t="s">
        <v>23</v>
      </c>
      <c r="D72" s="249" t="s">
        <v>54</v>
      </c>
      <c r="E72" s="249" t="s">
        <v>54</v>
      </c>
      <c r="F72" s="249" t="s">
        <v>54</v>
      </c>
      <c r="G72" s="249" t="s">
        <v>42</v>
      </c>
      <c r="H72" s="225" t="s">
        <v>48</v>
      </c>
      <c r="I72" s="219"/>
      <c r="J72" s="219"/>
      <c r="K72" s="220">
        <v>10</v>
      </c>
      <c r="L72" s="221" t="s">
        <v>29</v>
      </c>
      <c r="M72" s="217" t="s">
        <v>109</v>
      </c>
      <c r="N72" s="222">
        <v>730060000</v>
      </c>
      <c r="O72" s="222"/>
      <c r="P72" s="222"/>
      <c r="Q72" s="223">
        <f>15000000+50000000</f>
        <v>65000000</v>
      </c>
      <c r="R72" s="223"/>
      <c r="S72" s="223"/>
      <c r="T72" s="222">
        <f t="shared" si="53"/>
        <v>795060000</v>
      </c>
      <c r="U72" s="222">
        <v>521823937.10000002</v>
      </c>
      <c r="V72" s="222">
        <f t="shared" si="10"/>
        <v>273236062.89999998</v>
      </c>
      <c r="W72" s="224">
        <f t="shared" si="14"/>
        <v>0.65633277626845776</v>
      </c>
      <c r="X72" s="222">
        <v>519819461.10000002</v>
      </c>
      <c r="Y72" s="222">
        <f t="shared" si="13"/>
        <v>2004476</v>
      </c>
      <c r="Z72" s="224">
        <f t="shared" si="21"/>
        <v>3.8412879469265724E-3</v>
      </c>
      <c r="AA72" s="222">
        <v>518842373.10000002</v>
      </c>
      <c r="AB72" s="222">
        <f t="shared" si="54"/>
        <v>977088</v>
      </c>
      <c r="AC72" s="224">
        <f t="shared" si="5"/>
        <v>0.99428626441215051</v>
      </c>
    </row>
    <row r="73" spans="1:29" ht="33">
      <c r="A73" s="32" t="str">
        <f t="shared" si="3"/>
        <v>A-02-02-02-007=10</v>
      </c>
      <c r="B73" s="210" t="str">
        <f>CONCATENATE(C73,"-",D73,"-",E73,"-",F73,"-",G73)</f>
        <v>A-02-02-02-007</v>
      </c>
      <c r="C73" s="211" t="s">
        <v>23</v>
      </c>
      <c r="D73" s="212" t="s">
        <v>54</v>
      </c>
      <c r="E73" s="212" t="s">
        <v>54</v>
      </c>
      <c r="F73" s="212" t="s">
        <v>54</v>
      </c>
      <c r="G73" s="212" t="s">
        <v>44</v>
      </c>
      <c r="H73" s="212"/>
      <c r="I73" s="212"/>
      <c r="J73" s="212"/>
      <c r="K73" s="213" t="s">
        <v>28</v>
      </c>
      <c r="L73" s="214" t="s">
        <v>29</v>
      </c>
      <c r="M73" s="210" t="s">
        <v>110</v>
      </c>
      <c r="N73" s="215">
        <f>SUM(N74:N75)</f>
        <v>12770333207</v>
      </c>
      <c r="O73" s="215">
        <f t="shared" ref="O73:AB73" si="56">SUM(O74:O75)</f>
        <v>0</v>
      </c>
      <c r="P73" s="215">
        <f t="shared" si="56"/>
        <v>0</v>
      </c>
      <c r="Q73" s="215">
        <f t="shared" si="56"/>
        <v>712885558.40999997</v>
      </c>
      <c r="R73" s="215">
        <f t="shared" si="56"/>
        <v>1058222129</v>
      </c>
      <c r="S73" s="215">
        <f t="shared" si="56"/>
        <v>0</v>
      </c>
      <c r="T73" s="215">
        <f t="shared" si="56"/>
        <v>12424996636.41</v>
      </c>
      <c r="U73" s="215">
        <f t="shared" si="56"/>
        <v>11595255559</v>
      </c>
      <c r="V73" s="215">
        <f t="shared" si="56"/>
        <v>829741077.40999985</v>
      </c>
      <c r="W73" s="216">
        <f t="shared" si="14"/>
        <v>0.93322001593316006</v>
      </c>
      <c r="X73" s="215">
        <f t="shared" si="56"/>
        <v>9328936358</v>
      </c>
      <c r="Y73" s="215">
        <f t="shared" si="56"/>
        <v>2266319201</v>
      </c>
      <c r="Z73" s="216">
        <f t="shared" si="21"/>
        <v>0.1954522855894219</v>
      </c>
      <c r="AA73" s="215">
        <f t="shared" si="56"/>
        <v>9328936358</v>
      </c>
      <c r="AB73" s="215">
        <f t="shared" si="56"/>
        <v>0</v>
      </c>
      <c r="AC73" s="216">
        <f t="shared" si="5"/>
        <v>0.80454771441057804</v>
      </c>
    </row>
    <row r="74" spans="1:29" ht="24.95" customHeight="1">
      <c r="A74" s="32" t="str">
        <f t="shared" si="3"/>
        <v>A-02-02-02-007-001=10</v>
      </c>
      <c r="B74" s="217" t="str">
        <f t="shared" si="55"/>
        <v>A-02-02-02-007-001</v>
      </c>
      <c r="C74" s="248" t="s">
        <v>23</v>
      </c>
      <c r="D74" s="249" t="s">
        <v>54</v>
      </c>
      <c r="E74" s="249" t="s">
        <v>54</v>
      </c>
      <c r="F74" s="249" t="s">
        <v>54</v>
      </c>
      <c r="G74" s="249" t="s">
        <v>44</v>
      </c>
      <c r="H74" s="225" t="s">
        <v>31</v>
      </c>
      <c r="I74" s="219"/>
      <c r="J74" s="219"/>
      <c r="K74" s="220">
        <v>10</v>
      </c>
      <c r="L74" s="221" t="s">
        <v>29</v>
      </c>
      <c r="M74" s="217" t="s">
        <v>111</v>
      </c>
      <c r="N74" s="222">
        <v>25000000</v>
      </c>
      <c r="O74" s="222"/>
      <c r="P74" s="222"/>
      <c r="Q74" s="222">
        <v>60000000</v>
      </c>
      <c r="R74" s="223">
        <v>1459150</v>
      </c>
      <c r="S74" s="223"/>
      <c r="T74" s="222">
        <f>+N74-S74+O74-P74+Q74-R74</f>
        <v>83540850</v>
      </c>
      <c r="U74" s="222">
        <v>45802458</v>
      </c>
      <c r="V74" s="222">
        <f t="shared" si="10"/>
        <v>37738392</v>
      </c>
      <c r="W74" s="224">
        <f t="shared" si="14"/>
        <v>0.54826420846807278</v>
      </c>
      <c r="X74" s="222">
        <v>8409000</v>
      </c>
      <c r="Y74" s="222">
        <f t="shared" si="13"/>
        <v>37393458</v>
      </c>
      <c r="Z74" s="224">
        <f t="shared" si="21"/>
        <v>0.81640723299173157</v>
      </c>
      <c r="AA74" s="222">
        <v>8409000</v>
      </c>
      <c r="AB74" s="222">
        <f t="shared" ref="AB74:AB75" si="57">+X74-AA74</f>
        <v>0</v>
      </c>
      <c r="AC74" s="224">
        <f t="shared" si="5"/>
        <v>0.18359276700826843</v>
      </c>
    </row>
    <row r="75" spans="1:29" ht="24.95" customHeight="1">
      <c r="A75" s="32" t="str">
        <f t="shared" si="3"/>
        <v>A-02-02-02-007-002=10</v>
      </c>
      <c r="B75" s="217" t="str">
        <f t="shared" si="55"/>
        <v>A-02-02-02-007-002</v>
      </c>
      <c r="C75" s="248" t="s">
        <v>23</v>
      </c>
      <c r="D75" s="249" t="s">
        <v>54</v>
      </c>
      <c r="E75" s="249" t="s">
        <v>54</v>
      </c>
      <c r="F75" s="249" t="s">
        <v>54</v>
      </c>
      <c r="G75" s="249" t="s">
        <v>44</v>
      </c>
      <c r="H75" s="225" t="s">
        <v>34</v>
      </c>
      <c r="I75" s="219"/>
      <c r="J75" s="219"/>
      <c r="K75" s="220">
        <v>10</v>
      </c>
      <c r="L75" s="221" t="s">
        <v>29</v>
      </c>
      <c r="M75" s="217" t="s">
        <v>112</v>
      </c>
      <c r="N75" s="222">
        <v>12745333207</v>
      </c>
      <c r="O75" s="222"/>
      <c r="P75" s="222"/>
      <c r="Q75" s="222">
        <f>10000000+106166682.63+29964072+4115280.78+30345000+472294523</f>
        <v>652885558.40999997</v>
      </c>
      <c r="R75" s="223">
        <v>1056762979</v>
      </c>
      <c r="S75" s="223"/>
      <c r="T75" s="222">
        <f>+N75-S75+O75-P75+Q75-R75</f>
        <v>12341455786.41</v>
      </c>
      <c r="U75" s="222">
        <v>11549453101</v>
      </c>
      <c r="V75" s="222">
        <f t="shared" si="10"/>
        <v>792002685.40999985</v>
      </c>
      <c r="W75" s="224">
        <f t="shared" si="14"/>
        <v>0.93582582969813599</v>
      </c>
      <c r="X75" s="222">
        <v>9320527358</v>
      </c>
      <c r="Y75" s="222">
        <f t="shared" si="13"/>
        <v>2228925743</v>
      </c>
      <c r="Z75" s="224">
        <f t="shared" si="21"/>
        <v>0.19298972198146858</v>
      </c>
      <c r="AA75" s="222">
        <v>9320527358</v>
      </c>
      <c r="AB75" s="222">
        <f t="shared" si="57"/>
        <v>0</v>
      </c>
      <c r="AC75" s="224">
        <f t="shared" si="5"/>
        <v>0.80701027801853142</v>
      </c>
    </row>
    <row r="76" spans="1:29" ht="24.95" customHeight="1">
      <c r="A76" s="32" t="str">
        <f t="shared" si="3"/>
        <v>A-02-02-02-008=10</v>
      </c>
      <c r="B76" s="210" t="str">
        <f>CONCATENATE(C76,"-",D76,"-",E76,"-",F76,"-",G76)</f>
        <v>A-02-02-02-008</v>
      </c>
      <c r="C76" s="211" t="s">
        <v>23</v>
      </c>
      <c r="D76" s="212" t="s">
        <v>54</v>
      </c>
      <c r="E76" s="212" t="s">
        <v>54</v>
      </c>
      <c r="F76" s="212" t="s">
        <v>54</v>
      </c>
      <c r="G76" s="212" t="s">
        <v>46</v>
      </c>
      <c r="H76" s="212"/>
      <c r="I76" s="212"/>
      <c r="J76" s="212"/>
      <c r="K76" s="213" t="s">
        <v>28</v>
      </c>
      <c r="L76" s="214" t="s">
        <v>29</v>
      </c>
      <c r="M76" s="210" t="s">
        <v>113</v>
      </c>
      <c r="N76" s="215">
        <f>SUM(N77:N82)</f>
        <v>17318293047</v>
      </c>
      <c r="O76" s="215">
        <f t="shared" ref="O76:V76" si="58">SUM(O77:O82)</f>
        <v>0</v>
      </c>
      <c r="P76" s="215">
        <f t="shared" si="58"/>
        <v>0</v>
      </c>
      <c r="Q76" s="215">
        <f t="shared" si="58"/>
        <v>2621751332.0299997</v>
      </c>
      <c r="R76" s="215">
        <f t="shared" si="58"/>
        <v>1629466772.5599999</v>
      </c>
      <c r="S76" s="215">
        <f t="shared" si="58"/>
        <v>0</v>
      </c>
      <c r="T76" s="215">
        <f t="shared" si="58"/>
        <v>18310577606.470001</v>
      </c>
      <c r="U76" s="215">
        <f t="shared" si="58"/>
        <v>15303900827.27</v>
      </c>
      <c r="V76" s="215">
        <f t="shared" si="58"/>
        <v>3006676779.2000003</v>
      </c>
      <c r="W76" s="216">
        <f t="shared" si="14"/>
        <v>0.83579563442402827</v>
      </c>
      <c r="X76" s="215">
        <f t="shared" ref="X76:AB76" si="59">SUM(X77:X82)</f>
        <v>8786515135.1700001</v>
      </c>
      <c r="Y76" s="215">
        <f t="shared" si="59"/>
        <v>6517385692.1000004</v>
      </c>
      <c r="Z76" s="216">
        <f t="shared" si="21"/>
        <v>0.42586434436942244</v>
      </c>
      <c r="AA76" s="215">
        <f t="shared" si="59"/>
        <v>8689296214.1700001</v>
      </c>
      <c r="AB76" s="215">
        <f t="shared" si="59"/>
        <v>97218921</v>
      </c>
      <c r="AC76" s="216">
        <f t="shared" si="5"/>
        <v>0.56778309741046906</v>
      </c>
    </row>
    <row r="77" spans="1:29" ht="24.95" customHeight="1">
      <c r="A77" s="32" t="str">
        <f t="shared" ref="A77:A143" si="60">+CONCATENATE(B77,"=",K77)</f>
        <v>A-02-02-02-008-002=10</v>
      </c>
      <c r="B77" s="217" t="str">
        <f t="shared" si="55"/>
        <v>A-02-02-02-008-002</v>
      </c>
      <c r="C77" s="218" t="s">
        <v>23</v>
      </c>
      <c r="D77" s="249" t="s">
        <v>54</v>
      </c>
      <c r="E77" s="249" t="s">
        <v>54</v>
      </c>
      <c r="F77" s="249" t="s">
        <v>54</v>
      </c>
      <c r="G77" s="249" t="s">
        <v>46</v>
      </c>
      <c r="H77" s="225" t="s">
        <v>34</v>
      </c>
      <c r="I77" s="219"/>
      <c r="J77" s="219"/>
      <c r="K77" s="220">
        <v>10</v>
      </c>
      <c r="L77" s="221" t="s">
        <v>29</v>
      </c>
      <c r="M77" s="217" t="s">
        <v>114</v>
      </c>
      <c r="N77" s="222">
        <v>172000000</v>
      </c>
      <c r="O77" s="222"/>
      <c r="P77" s="222"/>
      <c r="Q77" s="223"/>
      <c r="R77" s="223"/>
      <c r="S77" s="223"/>
      <c r="T77" s="222">
        <f t="shared" ref="T77:T82" si="61">+N77-S77+O77-P77+Q77-R77</f>
        <v>172000000</v>
      </c>
      <c r="U77" s="222">
        <v>39956280</v>
      </c>
      <c r="V77" s="222">
        <f t="shared" si="10"/>
        <v>132043720</v>
      </c>
      <c r="W77" s="224">
        <f t="shared" si="14"/>
        <v>0.2323039534883721</v>
      </c>
      <c r="X77" s="222">
        <v>5940945</v>
      </c>
      <c r="Y77" s="222">
        <f t="shared" si="13"/>
        <v>34015335</v>
      </c>
      <c r="Z77" s="224">
        <f t="shared" si="21"/>
        <v>0.85131386105012774</v>
      </c>
      <c r="AA77" s="222">
        <v>5940945</v>
      </c>
      <c r="AB77" s="222">
        <f t="shared" ref="AB77:AB82" si="62">+X77-AA77</f>
        <v>0</v>
      </c>
      <c r="AC77" s="224">
        <f t="shared" ref="AC77:AC143" si="63">+IF(U77&gt;0,(AA77/U77),0)</f>
        <v>0.1486861389498722</v>
      </c>
    </row>
    <row r="78" spans="1:29" ht="24.95" customHeight="1">
      <c r="A78" s="32" t="str">
        <f t="shared" si="60"/>
        <v>A-02-02-02-008-003=10</v>
      </c>
      <c r="B78" s="217" t="str">
        <f t="shared" si="55"/>
        <v>A-02-02-02-008-003</v>
      </c>
      <c r="C78" s="218" t="s">
        <v>23</v>
      </c>
      <c r="D78" s="249" t="s">
        <v>54</v>
      </c>
      <c r="E78" s="249" t="s">
        <v>54</v>
      </c>
      <c r="F78" s="249" t="s">
        <v>54</v>
      </c>
      <c r="G78" s="249" t="s">
        <v>46</v>
      </c>
      <c r="H78" s="225" t="s">
        <v>36</v>
      </c>
      <c r="I78" s="219"/>
      <c r="J78" s="219"/>
      <c r="K78" s="220">
        <v>10</v>
      </c>
      <c r="L78" s="221" t="s">
        <v>29</v>
      </c>
      <c r="M78" s="217" t="s">
        <v>115</v>
      </c>
      <c r="N78" s="222">
        <v>9548931993</v>
      </c>
      <c r="O78" s="222"/>
      <c r="P78" s="222"/>
      <c r="Q78" s="222">
        <v>8045908</v>
      </c>
      <c r="R78" s="223">
        <f>3000000+120491795.37+520000000+43341522+106166682.63</f>
        <v>793000000</v>
      </c>
      <c r="S78" s="223"/>
      <c r="T78" s="222">
        <f t="shared" si="61"/>
        <v>8763977901</v>
      </c>
      <c r="U78" s="222">
        <v>7595499177</v>
      </c>
      <c r="V78" s="222">
        <f t="shared" si="10"/>
        <v>1168478724</v>
      </c>
      <c r="W78" s="224">
        <f t="shared" si="14"/>
        <v>0.86667256156970995</v>
      </c>
      <c r="X78" s="222">
        <v>4218126225</v>
      </c>
      <c r="Y78" s="222">
        <f t="shared" si="13"/>
        <v>3377372952</v>
      </c>
      <c r="Z78" s="224">
        <f t="shared" si="21"/>
        <v>0.44465450832080317</v>
      </c>
      <c r="AA78" s="222">
        <v>4121193184</v>
      </c>
      <c r="AB78" s="222">
        <f t="shared" si="62"/>
        <v>96933041</v>
      </c>
      <c r="AC78" s="224">
        <f t="shared" si="63"/>
        <v>0.54258358640593662</v>
      </c>
    </row>
    <row r="79" spans="1:29" ht="33">
      <c r="A79" s="32" t="str">
        <f t="shared" si="60"/>
        <v>A-02-02-02-008-004=10</v>
      </c>
      <c r="B79" s="217" t="str">
        <f t="shared" si="55"/>
        <v>A-02-02-02-008-004</v>
      </c>
      <c r="C79" s="218" t="s">
        <v>23</v>
      </c>
      <c r="D79" s="249" t="s">
        <v>54</v>
      </c>
      <c r="E79" s="249" t="s">
        <v>54</v>
      </c>
      <c r="F79" s="249" t="s">
        <v>54</v>
      </c>
      <c r="G79" s="249" t="s">
        <v>46</v>
      </c>
      <c r="H79" s="225" t="s">
        <v>38</v>
      </c>
      <c r="I79" s="219"/>
      <c r="J79" s="219"/>
      <c r="K79" s="220">
        <v>10</v>
      </c>
      <c r="L79" s="221" t="s">
        <v>29</v>
      </c>
      <c r="M79" s="217" t="s">
        <v>116</v>
      </c>
      <c r="N79" s="222">
        <v>2298000000</v>
      </c>
      <c r="O79" s="222"/>
      <c r="P79" s="222"/>
      <c r="Q79" s="223">
        <f>120491795.37+311197103+27793073+52000000</f>
        <v>511481971.37</v>
      </c>
      <c r="R79" s="223">
        <f>244065701+109801250.78</f>
        <v>353866951.77999997</v>
      </c>
      <c r="S79" s="223"/>
      <c r="T79" s="222">
        <f t="shared" si="61"/>
        <v>2455615019.5900002</v>
      </c>
      <c r="U79" s="222">
        <v>1743011340.8499999</v>
      </c>
      <c r="V79" s="222">
        <f t="shared" si="10"/>
        <v>712603678.74000025</v>
      </c>
      <c r="W79" s="224">
        <f t="shared" si="14"/>
        <v>0.7098064342109377</v>
      </c>
      <c r="X79" s="222">
        <v>1423100556.1700001</v>
      </c>
      <c r="Y79" s="222">
        <f t="shared" si="13"/>
        <v>319910784.67999983</v>
      </c>
      <c r="Z79" s="224">
        <f t="shared" si="21"/>
        <v>0.18353912977065978</v>
      </c>
      <c r="AA79" s="222">
        <v>1422814676.1700001</v>
      </c>
      <c r="AB79" s="222">
        <f t="shared" si="62"/>
        <v>285880</v>
      </c>
      <c r="AC79" s="224">
        <f t="shared" si="63"/>
        <v>0.81629685523224871</v>
      </c>
    </row>
    <row r="80" spans="1:29" ht="24.95" customHeight="1">
      <c r="A80" s="32" t="str">
        <f t="shared" si="60"/>
        <v>A-02-02-02-008-005=10</v>
      </c>
      <c r="B80" s="217" t="str">
        <f t="shared" si="55"/>
        <v>A-02-02-02-008-005</v>
      </c>
      <c r="C80" s="218" t="s">
        <v>23</v>
      </c>
      <c r="D80" s="249" t="s">
        <v>54</v>
      </c>
      <c r="E80" s="249" t="s">
        <v>54</v>
      </c>
      <c r="F80" s="249" t="s">
        <v>54</v>
      </c>
      <c r="G80" s="249" t="s">
        <v>46</v>
      </c>
      <c r="H80" s="225" t="s">
        <v>40</v>
      </c>
      <c r="I80" s="219"/>
      <c r="J80" s="219"/>
      <c r="K80" s="220">
        <v>10</v>
      </c>
      <c r="L80" s="221" t="s">
        <v>29</v>
      </c>
      <c r="M80" s="217" t="s">
        <v>117</v>
      </c>
      <c r="N80" s="222">
        <v>3859335661</v>
      </c>
      <c r="O80" s="222"/>
      <c r="P80" s="222"/>
      <c r="Q80" s="223">
        <f>3000000+1658656629+9968718+43341522+11154065.88</f>
        <v>1726120934.8800001</v>
      </c>
      <c r="R80" s="222">
        <f>5587945+79964072+30345000</f>
        <v>115897017</v>
      </c>
      <c r="S80" s="223"/>
      <c r="T80" s="222">
        <f t="shared" si="61"/>
        <v>5469559578.8800001</v>
      </c>
      <c r="U80" s="222">
        <v>4935157099.4200001</v>
      </c>
      <c r="V80" s="222">
        <f t="shared" si="10"/>
        <v>534402479.46000004</v>
      </c>
      <c r="W80" s="224">
        <f t="shared" si="14"/>
        <v>0.90229515342998978</v>
      </c>
      <c r="X80" s="222">
        <v>2529811798</v>
      </c>
      <c r="Y80" s="222">
        <f t="shared" si="13"/>
        <v>2405345301.4200001</v>
      </c>
      <c r="Z80" s="224">
        <f t="shared" si="21"/>
        <v>0.48738981413634963</v>
      </c>
      <c r="AA80" s="222">
        <v>2529811798</v>
      </c>
      <c r="AB80" s="222">
        <f t="shared" si="62"/>
        <v>0</v>
      </c>
      <c r="AC80" s="224">
        <f t="shared" si="63"/>
        <v>0.51261018586365037</v>
      </c>
    </row>
    <row r="81" spans="1:52" ht="33">
      <c r="A81" s="32" t="str">
        <f t="shared" si="60"/>
        <v>A-02-02-02-008-007=10</v>
      </c>
      <c r="B81" s="217" t="str">
        <f t="shared" si="55"/>
        <v>A-02-02-02-008-007</v>
      </c>
      <c r="C81" s="218" t="s">
        <v>23</v>
      </c>
      <c r="D81" s="249" t="s">
        <v>54</v>
      </c>
      <c r="E81" s="249" t="s">
        <v>54</v>
      </c>
      <c r="F81" s="249" t="s">
        <v>54</v>
      </c>
      <c r="G81" s="249" t="s">
        <v>46</v>
      </c>
      <c r="H81" s="225" t="s">
        <v>44</v>
      </c>
      <c r="I81" s="219"/>
      <c r="J81" s="219"/>
      <c r="K81" s="220">
        <v>10</v>
      </c>
      <c r="L81" s="221" t="s">
        <v>29</v>
      </c>
      <c r="M81" s="217" t="s">
        <v>118</v>
      </c>
      <c r="N81" s="222">
        <v>1363025393</v>
      </c>
      <c r="O81" s="222"/>
      <c r="P81" s="222"/>
      <c r="Q81" s="223">
        <f>244065701+132036816.78</f>
        <v>376102517.77999997</v>
      </c>
      <c r="R81" s="223">
        <f>12300000+311197103+9968718+29121702+4115280.78</f>
        <v>366702803.77999997</v>
      </c>
      <c r="S81" s="223"/>
      <c r="T81" s="222">
        <f t="shared" si="61"/>
        <v>1372425107</v>
      </c>
      <c r="U81" s="222">
        <v>944575734</v>
      </c>
      <c r="V81" s="222">
        <f t="shared" si="10"/>
        <v>427849373</v>
      </c>
      <c r="W81" s="224">
        <f t="shared" si="14"/>
        <v>0.68825302683711398</v>
      </c>
      <c r="X81" s="222">
        <v>582220315</v>
      </c>
      <c r="Y81" s="222">
        <f t="shared" si="13"/>
        <v>362355419</v>
      </c>
      <c r="Z81" s="224">
        <f t="shared" si="21"/>
        <v>0.38361711608399207</v>
      </c>
      <c r="AA81" s="222">
        <v>582220315</v>
      </c>
      <c r="AB81" s="222">
        <f t="shared" si="62"/>
        <v>0</v>
      </c>
      <c r="AC81" s="224">
        <f t="shared" si="63"/>
        <v>0.61638288391600793</v>
      </c>
    </row>
    <row r="82" spans="1:52" s="250" customFormat="1" ht="33">
      <c r="A82" s="32" t="str">
        <f t="shared" si="60"/>
        <v>A-02-02-02-008-009=10</v>
      </c>
      <c r="B82" s="217" t="str">
        <f t="shared" si="55"/>
        <v>A-02-02-02-008-009</v>
      </c>
      <c r="C82" s="218" t="s">
        <v>23</v>
      </c>
      <c r="D82" s="249" t="s">
        <v>54</v>
      </c>
      <c r="E82" s="249" t="s">
        <v>54</v>
      </c>
      <c r="F82" s="249" t="s">
        <v>54</v>
      </c>
      <c r="G82" s="249" t="s">
        <v>46</v>
      </c>
      <c r="H82" s="225" t="s">
        <v>48</v>
      </c>
      <c r="I82" s="219"/>
      <c r="J82" s="219"/>
      <c r="K82" s="220">
        <v>10</v>
      </c>
      <c r="L82" s="221" t="s">
        <v>29</v>
      </c>
      <c r="M82" s="217" t="s">
        <v>119</v>
      </c>
      <c r="N82" s="222">
        <v>77000000</v>
      </c>
      <c r="O82" s="222"/>
      <c r="P82" s="222"/>
      <c r="Q82" s="223"/>
      <c r="R82" s="223"/>
      <c r="S82" s="223"/>
      <c r="T82" s="222">
        <f t="shared" si="61"/>
        <v>77000000</v>
      </c>
      <c r="U82" s="222">
        <v>45701196</v>
      </c>
      <c r="V82" s="222">
        <f t="shared" si="10"/>
        <v>31298804</v>
      </c>
      <c r="W82" s="224">
        <f t="shared" si="14"/>
        <v>0.59352202597402592</v>
      </c>
      <c r="X82" s="222">
        <v>27315296</v>
      </c>
      <c r="Y82" s="222">
        <f t="shared" si="13"/>
        <v>18385900</v>
      </c>
      <c r="Z82" s="224">
        <f t="shared" si="21"/>
        <v>0.40230675801132204</v>
      </c>
      <c r="AA82" s="222">
        <v>27315296</v>
      </c>
      <c r="AB82" s="222">
        <f t="shared" si="62"/>
        <v>0</v>
      </c>
      <c r="AC82" s="224">
        <f t="shared" si="63"/>
        <v>0.5976932419886779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24.95" customHeight="1">
      <c r="A83" s="32" t="str">
        <f t="shared" si="60"/>
        <v>A-02-02-02-009=10</v>
      </c>
      <c r="B83" s="210" t="str">
        <f>CONCATENATE(C83,"-",D83,"-",E83,"-",F83,"-",G83)</f>
        <v>A-02-02-02-009</v>
      </c>
      <c r="C83" s="211" t="s">
        <v>23</v>
      </c>
      <c r="D83" s="212" t="s">
        <v>54</v>
      </c>
      <c r="E83" s="212" t="s">
        <v>54</v>
      </c>
      <c r="F83" s="212" t="s">
        <v>54</v>
      </c>
      <c r="G83" s="212" t="s">
        <v>48</v>
      </c>
      <c r="H83" s="212"/>
      <c r="I83" s="212"/>
      <c r="J83" s="212"/>
      <c r="K83" s="213" t="s">
        <v>28</v>
      </c>
      <c r="L83" s="214" t="s">
        <v>29</v>
      </c>
      <c r="M83" s="210" t="s">
        <v>120</v>
      </c>
      <c r="N83" s="215">
        <f>SUM(N84:N88)</f>
        <v>2410636000</v>
      </c>
      <c r="O83" s="215">
        <f t="shared" ref="O83:AB83" si="64">SUM(O84:O88)</f>
        <v>0</v>
      </c>
      <c r="P83" s="215">
        <f t="shared" si="64"/>
        <v>0</v>
      </c>
      <c r="Q83" s="215">
        <f t="shared" si="64"/>
        <v>55000000</v>
      </c>
      <c r="R83" s="215">
        <f t="shared" si="64"/>
        <v>132152000</v>
      </c>
      <c r="S83" s="215">
        <f t="shared" si="64"/>
        <v>0</v>
      </c>
      <c r="T83" s="215">
        <f t="shared" si="64"/>
        <v>2333484000</v>
      </c>
      <c r="U83" s="215">
        <f t="shared" si="64"/>
        <v>1891209681.97</v>
      </c>
      <c r="V83" s="215">
        <f t="shared" si="64"/>
        <v>442274318.02999997</v>
      </c>
      <c r="W83" s="216">
        <f t="shared" ref="W83:W149" si="65">+IF(T83&gt;0,U83/T83,0)</f>
        <v>0.81046610217597381</v>
      </c>
      <c r="X83" s="215">
        <f t="shared" si="64"/>
        <v>162524211.97</v>
      </c>
      <c r="Y83" s="215">
        <f t="shared" si="64"/>
        <v>1728685470</v>
      </c>
      <c r="Z83" s="216">
        <f t="shared" si="21"/>
        <v>0.91406335663388483</v>
      </c>
      <c r="AA83" s="215">
        <f t="shared" si="64"/>
        <v>133238717.97</v>
      </c>
      <c r="AB83" s="215">
        <f t="shared" si="64"/>
        <v>29285494</v>
      </c>
      <c r="AC83" s="216">
        <f t="shared" si="63"/>
        <v>7.0451584105264503E-2</v>
      </c>
    </row>
    <row r="84" spans="1:52" ht="24.95" customHeight="1">
      <c r="A84" s="32" t="str">
        <f t="shared" si="60"/>
        <v>A-02-02-02-009-002=10</v>
      </c>
      <c r="B84" s="217" t="str">
        <f t="shared" si="55"/>
        <v>A-02-02-02-009-002</v>
      </c>
      <c r="C84" s="218" t="s">
        <v>23</v>
      </c>
      <c r="D84" s="219" t="s">
        <v>54</v>
      </c>
      <c r="E84" s="219" t="s">
        <v>54</v>
      </c>
      <c r="F84" s="219" t="s">
        <v>54</v>
      </c>
      <c r="G84" s="219" t="s">
        <v>48</v>
      </c>
      <c r="H84" s="225" t="s">
        <v>34</v>
      </c>
      <c r="I84" s="219"/>
      <c r="J84" s="219"/>
      <c r="K84" s="220">
        <v>10</v>
      </c>
      <c r="L84" s="221" t="s">
        <v>29</v>
      </c>
      <c r="M84" s="217" t="s">
        <v>121</v>
      </c>
      <c r="N84" s="222">
        <v>730000000</v>
      </c>
      <c r="O84" s="222"/>
      <c r="P84" s="222"/>
      <c r="Q84" s="223"/>
      <c r="R84" s="223"/>
      <c r="S84" s="223"/>
      <c r="T84" s="222">
        <f>+N84-S84+O84-P84+Q84-R84</f>
        <v>730000000</v>
      </c>
      <c r="U84" s="222">
        <v>680000000</v>
      </c>
      <c r="V84" s="222">
        <f t="shared" si="10"/>
        <v>50000000</v>
      </c>
      <c r="W84" s="224">
        <f t="shared" si="65"/>
        <v>0.93150684931506844</v>
      </c>
      <c r="X84" s="222">
        <v>0</v>
      </c>
      <c r="Y84" s="222">
        <f t="shared" si="13"/>
        <v>680000000</v>
      </c>
      <c r="Z84" s="224">
        <f t="shared" si="21"/>
        <v>1</v>
      </c>
      <c r="AA84" s="222">
        <v>0</v>
      </c>
      <c r="AB84" s="222">
        <f t="shared" ref="AB84:AB89" si="66">+X84-AA84</f>
        <v>0</v>
      </c>
      <c r="AC84" s="224">
        <f t="shared" si="63"/>
        <v>0</v>
      </c>
    </row>
    <row r="85" spans="1:52" ht="34.5" customHeight="1">
      <c r="A85" s="32" t="str">
        <f t="shared" si="60"/>
        <v>A-02-02-02-009-003=10</v>
      </c>
      <c r="B85" s="217" t="str">
        <f t="shared" si="55"/>
        <v>A-02-02-02-009-003</v>
      </c>
      <c r="C85" s="218" t="s">
        <v>23</v>
      </c>
      <c r="D85" s="219" t="s">
        <v>54</v>
      </c>
      <c r="E85" s="219" t="s">
        <v>54</v>
      </c>
      <c r="F85" s="219" t="s">
        <v>54</v>
      </c>
      <c r="G85" s="219" t="s">
        <v>48</v>
      </c>
      <c r="H85" s="225" t="s">
        <v>36</v>
      </c>
      <c r="I85" s="219"/>
      <c r="J85" s="219"/>
      <c r="K85" s="220">
        <v>10</v>
      </c>
      <c r="L85" s="221" t="s">
        <v>29</v>
      </c>
      <c r="M85" s="217" t="s">
        <v>122</v>
      </c>
      <c r="N85" s="222">
        <v>365636000</v>
      </c>
      <c r="O85" s="222"/>
      <c r="P85" s="222"/>
      <c r="Q85" s="223">
        <v>55000000</v>
      </c>
      <c r="R85" s="223"/>
      <c r="S85" s="223"/>
      <c r="T85" s="222">
        <f>+N85-S85+O85-P85+Q85-R85</f>
        <v>420636000</v>
      </c>
      <c r="U85" s="222">
        <v>185658154</v>
      </c>
      <c r="V85" s="222">
        <f t="shared" si="10"/>
        <v>234977846</v>
      </c>
      <c r="W85" s="224">
        <f t="shared" si="65"/>
        <v>0.44137485617018041</v>
      </c>
      <c r="X85" s="222">
        <v>84311260</v>
      </c>
      <c r="Y85" s="222">
        <f t="shared" si="13"/>
        <v>101346894</v>
      </c>
      <c r="Z85" s="224">
        <f t="shared" si="21"/>
        <v>0.54587903529408144</v>
      </c>
      <c r="AA85" s="222">
        <v>55306260</v>
      </c>
      <c r="AB85" s="222">
        <f t="shared" si="66"/>
        <v>29005000</v>
      </c>
      <c r="AC85" s="224">
        <f t="shared" si="63"/>
        <v>0.29789297592606678</v>
      </c>
    </row>
    <row r="86" spans="1:52" ht="49.5">
      <c r="A86" s="32" t="str">
        <f t="shared" si="60"/>
        <v>A-02-02-02-009-004=10</v>
      </c>
      <c r="B86" s="217" t="str">
        <f t="shared" si="55"/>
        <v>A-02-02-02-009-004</v>
      </c>
      <c r="C86" s="218" t="s">
        <v>23</v>
      </c>
      <c r="D86" s="219" t="s">
        <v>54</v>
      </c>
      <c r="E86" s="219" t="s">
        <v>54</v>
      </c>
      <c r="F86" s="219" t="s">
        <v>54</v>
      </c>
      <c r="G86" s="219" t="s">
        <v>48</v>
      </c>
      <c r="H86" s="225" t="s">
        <v>38</v>
      </c>
      <c r="I86" s="219"/>
      <c r="J86" s="219"/>
      <c r="K86" s="220">
        <v>10</v>
      </c>
      <c r="L86" s="221" t="s">
        <v>29</v>
      </c>
      <c r="M86" s="217" t="s">
        <v>123</v>
      </c>
      <c r="N86" s="222">
        <v>55000000</v>
      </c>
      <c r="O86" s="222"/>
      <c r="P86" s="222"/>
      <c r="Q86" s="223"/>
      <c r="R86" s="223">
        <v>15000000</v>
      </c>
      <c r="S86" s="223"/>
      <c r="T86" s="222">
        <f>+N86-S86+O86-P86+Q86-R86</f>
        <v>40000000</v>
      </c>
      <c r="U86" s="222">
        <v>21116249.969999999</v>
      </c>
      <c r="V86" s="222">
        <f t="shared" si="10"/>
        <v>18883750.030000001</v>
      </c>
      <c r="W86" s="224">
        <f t="shared" si="65"/>
        <v>0.52790624924999996</v>
      </c>
      <c r="X86" s="222">
        <v>20806953.969999999</v>
      </c>
      <c r="Y86" s="222">
        <f t="shared" si="13"/>
        <v>309296</v>
      </c>
      <c r="Z86" s="224">
        <f t="shared" si="21"/>
        <v>1.4647297718080576E-2</v>
      </c>
      <c r="AA86" s="222">
        <v>20526459.969999999</v>
      </c>
      <c r="AB86" s="222">
        <f t="shared" si="66"/>
        <v>280494</v>
      </c>
      <c r="AC86" s="224">
        <f t="shared" si="63"/>
        <v>0.97206937780913194</v>
      </c>
    </row>
    <row r="87" spans="1:52" ht="24.95" customHeight="1">
      <c r="A87" s="32" t="str">
        <f t="shared" si="60"/>
        <v>A-02-02-02-009-006=10</v>
      </c>
      <c r="B87" s="217" t="str">
        <f t="shared" si="55"/>
        <v>A-02-02-02-009-006</v>
      </c>
      <c r="C87" s="218" t="s">
        <v>23</v>
      </c>
      <c r="D87" s="219" t="s">
        <v>54</v>
      </c>
      <c r="E87" s="219" t="s">
        <v>54</v>
      </c>
      <c r="F87" s="219" t="s">
        <v>54</v>
      </c>
      <c r="G87" s="219" t="s">
        <v>48</v>
      </c>
      <c r="H87" s="225" t="s">
        <v>42</v>
      </c>
      <c r="I87" s="219"/>
      <c r="J87" s="219"/>
      <c r="K87" s="220">
        <v>10</v>
      </c>
      <c r="L87" s="221" t="s">
        <v>29</v>
      </c>
      <c r="M87" s="217" t="s">
        <v>124</v>
      </c>
      <c r="N87" s="222">
        <v>1160000000</v>
      </c>
      <c r="O87" s="222"/>
      <c r="P87" s="222"/>
      <c r="Q87" s="223"/>
      <c r="R87" s="223">
        <v>55000000</v>
      </c>
      <c r="S87" s="223"/>
      <c r="T87" s="222">
        <f>+N87-S87+O87-P87+Q87-R87</f>
        <v>1105000000</v>
      </c>
      <c r="U87" s="222">
        <v>977369778</v>
      </c>
      <c r="V87" s="222">
        <f t="shared" si="10"/>
        <v>127630222</v>
      </c>
      <c r="W87" s="224">
        <f t="shared" si="65"/>
        <v>0.8844975366515837</v>
      </c>
      <c r="X87" s="222">
        <v>30340498</v>
      </c>
      <c r="Y87" s="222">
        <f t="shared" si="13"/>
        <v>947029280</v>
      </c>
      <c r="Z87" s="224">
        <f t="shared" si="21"/>
        <v>0.96895699183364759</v>
      </c>
      <c r="AA87" s="222">
        <v>30340498</v>
      </c>
      <c r="AB87" s="222">
        <f t="shared" si="66"/>
        <v>0</v>
      </c>
      <c r="AC87" s="224">
        <f t="shared" si="63"/>
        <v>3.1043008166352366E-2</v>
      </c>
    </row>
    <row r="88" spans="1:52" ht="24.95" customHeight="1">
      <c r="A88" s="32" t="str">
        <f t="shared" si="60"/>
        <v>A-02-02-02-009-007=10</v>
      </c>
      <c r="B88" s="217" t="str">
        <f t="shared" si="55"/>
        <v>A-02-02-02-009-007</v>
      </c>
      <c r="C88" s="218" t="s">
        <v>23</v>
      </c>
      <c r="D88" s="219" t="s">
        <v>54</v>
      </c>
      <c r="E88" s="219" t="s">
        <v>54</v>
      </c>
      <c r="F88" s="219" t="s">
        <v>54</v>
      </c>
      <c r="G88" s="219" t="s">
        <v>48</v>
      </c>
      <c r="H88" s="225" t="s">
        <v>44</v>
      </c>
      <c r="I88" s="219"/>
      <c r="J88" s="219"/>
      <c r="K88" s="220">
        <v>10</v>
      </c>
      <c r="L88" s="221" t="s">
        <v>29</v>
      </c>
      <c r="M88" s="217" t="s">
        <v>125</v>
      </c>
      <c r="N88" s="222">
        <v>100000000</v>
      </c>
      <c r="O88" s="222"/>
      <c r="P88" s="222"/>
      <c r="Q88" s="223"/>
      <c r="R88" s="223">
        <f>3934500+7217500+51000000</f>
        <v>62152000</v>
      </c>
      <c r="S88" s="223"/>
      <c r="T88" s="222">
        <f>+N88-S88+O88-P88+Q88-R88</f>
        <v>37848000</v>
      </c>
      <c r="U88" s="222">
        <v>27065500</v>
      </c>
      <c r="V88" s="222">
        <f>+T88-U88</f>
        <v>10782500</v>
      </c>
      <c r="W88" s="224">
        <f t="shared" si="65"/>
        <v>0.71511044176706828</v>
      </c>
      <c r="X88" s="222">
        <v>27065500</v>
      </c>
      <c r="Y88" s="222">
        <f t="shared" si="13"/>
        <v>0</v>
      </c>
      <c r="Z88" s="224">
        <f t="shared" si="21"/>
        <v>0</v>
      </c>
      <c r="AA88" s="222">
        <v>27065500</v>
      </c>
      <c r="AB88" s="222">
        <f t="shared" si="66"/>
        <v>0</v>
      </c>
      <c r="AC88" s="224">
        <f t="shared" si="63"/>
        <v>1</v>
      </c>
    </row>
    <row r="89" spans="1:52" s="90" customFormat="1" ht="24.95" customHeight="1">
      <c r="A89" s="32" t="str">
        <f t="shared" si="60"/>
        <v>A-02-02-02-010=10</v>
      </c>
      <c r="B89" s="251" t="str">
        <f>CONCATENATE(C89,"-",D89,"-",E89,"-",F89,"-",G89)</f>
        <v>A-02-02-02-010</v>
      </c>
      <c r="C89" s="211" t="s">
        <v>23</v>
      </c>
      <c r="D89" s="212" t="s">
        <v>54</v>
      </c>
      <c r="E89" s="212" t="s">
        <v>54</v>
      </c>
      <c r="F89" s="212" t="s">
        <v>54</v>
      </c>
      <c r="G89" s="212" t="s">
        <v>50</v>
      </c>
      <c r="H89" s="212"/>
      <c r="I89" s="212"/>
      <c r="J89" s="212"/>
      <c r="K89" s="252" t="s">
        <v>28</v>
      </c>
      <c r="L89" s="253" t="s">
        <v>29</v>
      </c>
      <c r="M89" s="251" t="s">
        <v>126</v>
      </c>
      <c r="N89" s="254">
        <v>1170310070</v>
      </c>
      <c r="O89" s="254"/>
      <c r="P89" s="254"/>
      <c r="Q89" s="254"/>
      <c r="R89" s="254">
        <v>319990847</v>
      </c>
      <c r="S89" s="254"/>
      <c r="T89" s="254">
        <f t="shared" ref="T89" si="67">+N89+O89-P89+Q89-R89-S89</f>
        <v>850319223</v>
      </c>
      <c r="U89" s="254">
        <v>326180147</v>
      </c>
      <c r="V89" s="254">
        <f t="shared" ref="V89" si="68">+T89-U89</f>
        <v>524139076</v>
      </c>
      <c r="W89" s="255">
        <f t="shared" si="65"/>
        <v>0.38359728696854356</v>
      </c>
      <c r="X89" s="254">
        <v>300665244</v>
      </c>
      <c r="Y89" s="254">
        <f t="shared" si="13"/>
        <v>25514903</v>
      </c>
      <c r="Z89" s="255">
        <f t="shared" si="21"/>
        <v>7.8223347541749685E-2</v>
      </c>
      <c r="AA89" s="254">
        <v>300665244</v>
      </c>
      <c r="AB89" s="254">
        <f t="shared" si="66"/>
        <v>0</v>
      </c>
      <c r="AC89" s="255">
        <f t="shared" si="63"/>
        <v>0.92177665245825036</v>
      </c>
    </row>
    <row r="90" spans="1:52" ht="35.1" customHeight="1">
      <c r="A90" s="32" t="str">
        <f t="shared" si="60"/>
        <v>A-03=</v>
      </c>
      <c r="B90" s="188" t="str">
        <f>CONCATENATE(C90,"-",D90)</f>
        <v>A-03</v>
      </c>
      <c r="C90" s="189" t="s">
        <v>23</v>
      </c>
      <c r="D90" s="191" t="s">
        <v>65</v>
      </c>
      <c r="E90" s="191"/>
      <c r="F90" s="191"/>
      <c r="G90" s="191"/>
      <c r="H90" s="191"/>
      <c r="I90" s="191"/>
      <c r="J90" s="191"/>
      <c r="K90" s="192"/>
      <c r="L90" s="193"/>
      <c r="M90" s="188" t="s">
        <v>127</v>
      </c>
      <c r="N90" s="194">
        <f>+N91+N96+N102</f>
        <v>15140000000</v>
      </c>
      <c r="O90" s="194">
        <f t="shared" ref="O90:V90" si="69">+O91+O96+O102</f>
        <v>5198509186465</v>
      </c>
      <c r="P90" s="194">
        <f t="shared" si="69"/>
        <v>0</v>
      </c>
      <c r="Q90" s="194">
        <f t="shared" si="69"/>
        <v>36000000</v>
      </c>
      <c r="R90" s="194">
        <f t="shared" si="69"/>
        <v>36000000</v>
      </c>
      <c r="S90" s="194">
        <f t="shared" si="69"/>
        <v>11791000000</v>
      </c>
      <c r="T90" s="194">
        <f t="shared" si="69"/>
        <v>5201858186465</v>
      </c>
      <c r="U90" s="194">
        <f t="shared" si="69"/>
        <v>2329431826947</v>
      </c>
      <c r="V90" s="194">
        <f t="shared" si="69"/>
        <v>2872426359518</v>
      </c>
      <c r="W90" s="195">
        <f t="shared" si="65"/>
        <v>0.44780763785680977</v>
      </c>
      <c r="X90" s="194">
        <f t="shared" ref="X90:Y90" si="70">+X91+X96+X102</f>
        <v>1705835930339</v>
      </c>
      <c r="Y90" s="194">
        <f t="shared" si="70"/>
        <v>623595896608</v>
      </c>
      <c r="Z90" s="195">
        <f t="shared" si="21"/>
        <v>0.26770300353683124</v>
      </c>
      <c r="AA90" s="194">
        <f t="shared" ref="AA90:AB90" si="71">+AA91+AA96+AA102</f>
        <v>1705835930339</v>
      </c>
      <c r="AB90" s="194">
        <f t="shared" si="71"/>
        <v>0</v>
      </c>
      <c r="AC90" s="195">
        <f t="shared" si="63"/>
        <v>0.73229699646316881</v>
      </c>
    </row>
    <row r="91" spans="1:52" ht="24.95" customHeight="1">
      <c r="A91" s="32" t="str">
        <f t="shared" si="60"/>
        <v>A-03-03=</v>
      </c>
      <c r="B91" s="196" t="str">
        <f>CONCATENATE(C91,"-",D91,"-",E91)</f>
        <v>A-03-03</v>
      </c>
      <c r="C91" s="197" t="s">
        <v>23</v>
      </c>
      <c r="D91" s="198" t="s">
        <v>65</v>
      </c>
      <c r="E91" s="198" t="s">
        <v>65</v>
      </c>
      <c r="F91" s="198"/>
      <c r="G91" s="198"/>
      <c r="H91" s="198"/>
      <c r="I91" s="198"/>
      <c r="J91" s="198"/>
      <c r="K91" s="199"/>
      <c r="L91" s="200"/>
      <c r="M91" s="196" t="s">
        <v>128</v>
      </c>
      <c r="N91" s="201">
        <f>+N92</f>
        <v>11791000000</v>
      </c>
      <c r="O91" s="201">
        <f t="shared" ref="O91:V91" si="72">+O92</f>
        <v>5198509186465</v>
      </c>
      <c r="P91" s="201">
        <f t="shared" si="72"/>
        <v>0</v>
      </c>
      <c r="Q91" s="201">
        <f t="shared" si="72"/>
        <v>0</v>
      </c>
      <c r="R91" s="201">
        <f t="shared" si="72"/>
        <v>0</v>
      </c>
      <c r="S91" s="201">
        <f t="shared" si="72"/>
        <v>11791000000</v>
      </c>
      <c r="T91" s="201">
        <f t="shared" si="72"/>
        <v>5198509186465</v>
      </c>
      <c r="U91" s="201">
        <f t="shared" si="72"/>
        <v>2328927370273</v>
      </c>
      <c r="V91" s="201">
        <f t="shared" si="72"/>
        <v>2869581816192</v>
      </c>
      <c r="W91" s="202">
        <f t="shared" si="65"/>
        <v>0.4479990871876629</v>
      </c>
      <c r="X91" s="201">
        <f t="shared" ref="X91:Y91" si="73">+X92</f>
        <v>1705485020370</v>
      </c>
      <c r="Y91" s="201">
        <f t="shared" si="73"/>
        <v>623442349903</v>
      </c>
      <c r="Z91" s="202">
        <f t="shared" si="21"/>
        <v>0.26769505904768481</v>
      </c>
      <c r="AA91" s="201">
        <f t="shared" ref="AA91:AB91" si="74">+AA92</f>
        <v>1705485020370</v>
      </c>
      <c r="AB91" s="201">
        <f t="shared" si="74"/>
        <v>0</v>
      </c>
      <c r="AC91" s="202">
        <f t="shared" si="63"/>
        <v>0.73230494095231524</v>
      </c>
    </row>
    <row r="92" spans="1:52" s="64" customFormat="1" ht="24.95" customHeight="1">
      <c r="A92" s="32" t="str">
        <f t="shared" si="60"/>
        <v>A-03-03-01=</v>
      </c>
      <c r="B92" s="203" t="str">
        <f>CONCATENATE(C92,"-",D92,"-",E92,"-",F92)</f>
        <v>A-03-03-01</v>
      </c>
      <c r="C92" s="204" t="s">
        <v>23</v>
      </c>
      <c r="D92" s="205" t="s">
        <v>65</v>
      </c>
      <c r="E92" s="205" t="s">
        <v>65</v>
      </c>
      <c r="F92" s="256" t="s">
        <v>25</v>
      </c>
      <c r="G92" s="205"/>
      <c r="H92" s="205"/>
      <c r="I92" s="205"/>
      <c r="J92" s="205"/>
      <c r="K92" s="206"/>
      <c r="L92" s="207"/>
      <c r="M92" s="203" t="s">
        <v>129</v>
      </c>
      <c r="N92" s="208">
        <f>SUM(N93:N95)</f>
        <v>11791000000</v>
      </c>
      <c r="O92" s="208">
        <f t="shared" ref="O92:V92" si="75">SUM(O93:O95)</f>
        <v>5198509186465</v>
      </c>
      <c r="P92" s="208">
        <f t="shared" si="75"/>
        <v>0</v>
      </c>
      <c r="Q92" s="208">
        <f t="shared" si="75"/>
        <v>0</v>
      </c>
      <c r="R92" s="208">
        <f t="shared" si="75"/>
        <v>0</v>
      </c>
      <c r="S92" s="208">
        <f t="shared" si="75"/>
        <v>11791000000</v>
      </c>
      <c r="T92" s="208">
        <f t="shared" si="75"/>
        <v>5198509186465</v>
      </c>
      <c r="U92" s="208">
        <f t="shared" si="75"/>
        <v>2328927370273</v>
      </c>
      <c r="V92" s="208">
        <f t="shared" si="75"/>
        <v>2869581816192</v>
      </c>
      <c r="W92" s="209">
        <f t="shared" si="65"/>
        <v>0.4479990871876629</v>
      </c>
      <c r="X92" s="208">
        <f t="shared" ref="X92:Y92" si="76">SUM(X93:X95)</f>
        <v>1705485020370</v>
      </c>
      <c r="Y92" s="208">
        <f t="shared" si="76"/>
        <v>623442349903</v>
      </c>
      <c r="Z92" s="209">
        <f t="shared" si="21"/>
        <v>0.26769505904768481</v>
      </c>
      <c r="AA92" s="208">
        <f t="shared" ref="AA92:AB92" si="77">SUM(AA93:AA95)</f>
        <v>1705485020370</v>
      </c>
      <c r="AB92" s="208">
        <f t="shared" si="77"/>
        <v>0</v>
      </c>
      <c r="AC92" s="209">
        <f t="shared" si="63"/>
        <v>0.73230494095231524</v>
      </c>
      <c r="AD92" s="13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</row>
    <row r="93" spans="1:52" s="64" customFormat="1" ht="24.95" customHeight="1">
      <c r="A93" s="32" t="str">
        <f t="shared" si="60"/>
        <v>A-03-03-01-082=54</v>
      </c>
      <c r="B93" s="217" t="str">
        <f>CONCATENATE(C93,"-",D93,"-",E93,"-",F93,"-",G93)</f>
        <v>A-03-03-01-082</v>
      </c>
      <c r="C93" s="218" t="s">
        <v>23</v>
      </c>
      <c r="D93" s="219" t="s">
        <v>65</v>
      </c>
      <c r="E93" s="219" t="s">
        <v>65</v>
      </c>
      <c r="F93" s="219" t="s">
        <v>25</v>
      </c>
      <c r="G93" s="225" t="s">
        <v>130</v>
      </c>
      <c r="H93" s="219"/>
      <c r="I93" s="219"/>
      <c r="J93" s="219"/>
      <c r="K93" s="220">
        <v>54</v>
      </c>
      <c r="L93" s="221" t="s">
        <v>29</v>
      </c>
      <c r="M93" s="217" t="s">
        <v>131</v>
      </c>
      <c r="N93" s="222">
        <v>0</v>
      </c>
      <c r="O93" s="222">
        <f>496494923000+494970566896+494938071017+807240018752</f>
        <v>2293643579665</v>
      </c>
      <c r="P93" s="222"/>
      <c r="Q93" s="222"/>
      <c r="R93" s="222"/>
      <c r="S93" s="222"/>
      <c r="T93" s="222">
        <f>+N93+O93-P93+Q93-R93-S93</f>
        <v>2293643579665</v>
      </c>
      <c r="U93" s="223">
        <v>1733754108673</v>
      </c>
      <c r="V93" s="222">
        <f t="shared" ref="V93:V95" si="78">+T93-U93</f>
        <v>559889470992</v>
      </c>
      <c r="W93" s="224">
        <f t="shared" si="65"/>
        <v>0.75589517222472069</v>
      </c>
      <c r="X93" s="222">
        <v>1113053340370</v>
      </c>
      <c r="Y93" s="222">
        <f t="shared" ref="Y93:Y95" si="79">+U93-X93</f>
        <v>620700768303</v>
      </c>
      <c r="Z93" s="224">
        <f t="shared" ref="Z93:Z156" si="80">+IF(U93&gt;0,Y93/U93,0)</f>
        <v>0.35800968845465569</v>
      </c>
      <c r="AA93" s="222">
        <v>1113053340370</v>
      </c>
      <c r="AB93" s="222">
        <f t="shared" ref="AB93:AB95" si="81">+X93-AA93</f>
        <v>0</v>
      </c>
      <c r="AC93" s="224">
        <f t="shared" si="63"/>
        <v>0.64199031154534436</v>
      </c>
      <c r="AD93" s="13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</row>
    <row r="94" spans="1:52" s="64" customFormat="1" ht="24.95" customHeight="1">
      <c r="A94" s="32" t="str">
        <f t="shared" si="60"/>
        <v>A-03-03-01-082=54</v>
      </c>
      <c r="B94" s="217" t="str">
        <f>CONCATENATE(C94,"-",D94,"-",E94,"-",F94,"-",G94)</f>
        <v>A-03-03-01-082</v>
      </c>
      <c r="C94" s="218" t="s">
        <v>23</v>
      </c>
      <c r="D94" s="219" t="s">
        <v>65</v>
      </c>
      <c r="E94" s="219" t="s">
        <v>65</v>
      </c>
      <c r="F94" s="219" t="s">
        <v>25</v>
      </c>
      <c r="G94" s="225" t="s">
        <v>130</v>
      </c>
      <c r="H94" s="219"/>
      <c r="I94" s="219"/>
      <c r="J94" s="219"/>
      <c r="K94" s="220">
        <v>54</v>
      </c>
      <c r="L94" s="221" t="s">
        <v>29</v>
      </c>
      <c r="M94" s="217" t="s">
        <v>907</v>
      </c>
      <c r="N94" s="222">
        <v>0</v>
      </c>
      <c r="O94" s="222">
        <v>2904865606800</v>
      </c>
      <c r="P94" s="222"/>
      <c r="Q94" s="222"/>
      <c r="R94" s="222"/>
      <c r="S94" s="222"/>
      <c r="T94" s="222">
        <f>+N94+O94-P94+Q94-R94-S94</f>
        <v>2904865606800</v>
      </c>
      <c r="U94" s="223">
        <v>595173261600</v>
      </c>
      <c r="V94" s="222">
        <f t="shared" si="78"/>
        <v>2309692345200</v>
      </c>
      <c r="W94" s="224">
        <f t="shared" si="65"/>
        <v>0.20488839835025721</v>
      </c>
      <c r="X94" s="222">
        <v>592431680000</v>
      </c>
      <c r="Y94" s="222">
        <f t="shared" si="79"/>
        <v>2741581600</v>
      </c>
      <c r="Z94" s="224">
        <f t="shared" si="80"/>
        <v>4.6063588149605813E-3</v>
      </c>
      <c r="AA94" s="222">
        <v>592431680000</v>
      </c>
      <c r="AB94" s="222">
        <f t="shared" si="81"/>
        <v>0</v>
      </c>
      <c r="AC94" s="224">
        <f t="shared" si="63"/>
        <v>0.99539364118503937</v>
      </c>
      <c r="AD94" s="13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</row>
    <row r="95" spans="1:52" ht="24.95" customHeight="1">
      <c r="A95" s="32" t="str">
        <f t="shared" si="60"/>
        <v>A-03-03-01-999=10</v>
      </c>
      <c r="B95" s="217" t="str">
        <f>CONCATENATE(C95,"-",D95,"-",E95,"-",F95,"-",G95)</f>
        <v>A-03-03-01-999</v>
      </c>
      <c r="C95" s="218" t="s">
        <v>23</v>
      </c>
      <c r="D95" s="219" t="s">
        <v>65</v>
      </c>
      <c r="E95" s="219" t="s">
        <v>65</v>
      </c>
      <c r="F95" s="219" t="s">
        <v>25</v>
      </c>
      <c r="G95" s="219" t="s">
        <v>134</v>
      </c>
      <c r="H95" s="219"/>
      <c r="I95" s="219"/>
      <c r="J95" s="219"/>
      <c r="K95" s="220" t="s">
        <v>28</v>
      </c>
      <c r="L95" s="221" t="s">
        <v>29</v>
      </c>
      <c r="M95" s="217" t="s">
        <v>135</v>
      </c>
      <c r="N95" s="222">
        <v>11791000000</v>
      </c>
      <c r="O95" s="222"/>
      <c r="P95" s="222"/>
      <c r="Q95" s="222"/>
      <c r="R95" s="222"/>
      <c r="S95" s="222">
        <v>11791000000</v>
      </c>
      <c r="T95" s="222">
        <f>+N95-S95+O95-P95+Q95-R95</f>
        <v>0</v>
      </c>
      <c r="U95" s="223">
        <v>0</v>
      </c>
      <c r="V95" s="222">
        <f t="shared" si="78"/>
        <v>0</v>
      </c>
      <c r="W95" s="224">
        <f t="shared" si="65"/>
        <v>0</v>
      </c>
      <c r="X95" s="222">
        <v>0</v>
      </c>
      <c r="Y95" s="222">
        <f t="shared" si="79"/>
        <v>0</v>
      </c>
      <c r="Z95" s="224">
        <f t="shared" si="80"/>
        <v>0</v>
      </c>
      <c r="AA95" s="222">
        <v>0</v>
      </c>
      <c r="AB95" s="222">
        <f t="shared" si="81"/>
        <v>0</v>
      </c>
      <c r="AC95" s="224">
        <f t="shared" si="63"/>
        <v>0</v>
      </c>
    </row>
    <row r="96" spans="1:52" ht="24.95" customHeight="1">
      <c r="A96" s="32" t="str">
        <f t="shared" si="60"/>
        <v>A-03-04=</v>
      </c>
      <c r="B96" s="196" t="str">
        <f>CONCATENATE(C96,"-",D96,"-",E96)</f>
        <v>A-03-04</v>
      </c>
      <c r="C96" s="197" t="s">
        <v>23</v>
      </c>
      <c r="D96" s="198" t="s">
        <v>65</v>
      </c>
      <c r="E96" s="198" t="s">
        <v>136</v>
      </c>
      <c r="F96" s="198"/>
      <c r="G96" s="198"/>
      <c r="H96" s="198"/>
      <c r="I96" s="198"/>
      <c r="J96" s="198"/>
      <c r="K96" s="199"/>
      <c r="L96" s="200"/>
      <c r="M96" s="196" t="s">
        <v>137</v>
      </c>
      <c r="N96" s="201">
        <f>+N97</f>
        <v>752000000</v>
      </c>
      <c r="O96" s="201">
        <f t="shared" ref="O96:AB97" si="82">+O97</f>
        <v>0</v>
      </c>
      <c r="P96" s="201">
        <f t="shared" si="82"/>
        <v>0</v>
      </c>
      <c r="Q96" s="201">
        <f t="shared" si="82"/>
        <v>36000000</v>
      </c>
      <c r="R96" s="201">
        <f t="shared" si="82"/>
        <v>36000000</v>
      </c>
      <c r="S96" s="201">
        <f t="shared" si="82"/>
        <v>0</v>
      </c>
      <c r="T96" s="201">
        <f t="shared" si="82"/>
        <v>752000000</v>
      </c>
      <c r="U96" s="201">
        <f t="shared" si="82"/>
        <v>504456674</v>
      </c>
      <c r="V96" s="201">
        <f t="shared" si="82"/>
        <v>247543326</v>
      </c>
      <c r="W96" s="202">
        <f t="shared" si="65"/>
        <v>0.67082004521276595</v>
      </c>
      <c r="X96" s="201">
        <f t="shared" si="82"/>
        <v>350909969</v>
      </c>
      <c r="Y96" s="201">
        <f t="shared" si="82"/>
        <v>153546705</v>
      </c>
      <c r="Z96" s="202">
        <f t="shared" si="80"/>
        <v>0.30438036190993084</v>
      </c>
      <c r="AA96" s="201">
        <f t="shared" si="82"/>
        <v>350909969</v>
      </c>
      <c r="AB96" s="201">
        <f t="shared" si="82"/>
        <v>0</v>
      </c>
      <c r="AC96" s="202">
        <f t="shared" si="63"/>
        <v>0.6956196380900691</v>
      </c>
    </row>
    <row r="97" spans="1:52" ht="24.95" customHeight="1">
      <c r="A97" s="32" t="str">
        <f t="shared" si="60"/>
        <v>A-03-04-02=10</v>
      </c>
      <c r="B97" s="203" t="str">
        <f>CONCATENATE(C97,"-",D97,"-",E97,"-",F97)</f>
        <v>A-03-04-02</v>
      </c>
      <c r="C97" s="204" t="s">
        <v>23</v>
      </c>
      <c r="D97" s="205" t="s">
        <v>65</v>
      </c>
      <c r="E97" s="205" t="s">
        <v>136</v>
      </c>
      <c r="F97" s="205" t="s">
        <v>54</v>
      </c>
      <c r="G97" s="205"/>
      <c r="H97" s="205"/>
      <c r="I97" s="205"/>
      <c r="J97" s="205"/>
      <c r="K97" s="206" t="s">
        <v>28</v>
      </c>
      <c r="L97" s="207" t="s">
        <v>29</v>
      </c>
      <c r="M97" s="203" t="s">
        <v>138</v>
      </c>
      <c r="N97" s="208">
        <f>+N98</f>
        <v>752000000</v>
      </c>
      <c r="O97" s="208">
        <f t="shared" si="82"/>
        <v>0</v>
      </c>
      <c r="P97" s="208">
        <f t="shared" si="82"/>
        <v>0</v>
      </c>
      <c r="Q97" s="208">
        <f t="shared" si="82"/>
        <v>36000000</v>
      </c>
      <c r="R97" s="208">
        <f t="shared" si="82"/>
        <v>36000000</v>
      </c>
      <c r="S97" s="208">
        <f t="shared" si="82"/>
        <v>0</v>
      </c>
      <c r="T97" s="208">
        <f t="shared" si="82"/>
        <v>752000000</v>
      </c>
      <c r="U97" s="208">
        <f t="shared" si="82"/>
        <v>504456674</v>
      </c>
      <c r="V97" s="208">
        <f t="shared" si="82"/>
        <v>247543326</v>
      </c>
      <c r="W97" s="209">
        <f t="shared" si="65"/>
        <v>0.67082004521276595</v>
      </c>
      <c r="X97" s="208">
        <f t="shared" si="82"/>
        <v>350909969</v>
      </c>
      <c r="Y97" s="208">
        <f t="shared" si="82"/>
        <v>153546705</v>
      </c>
      <c r="Z97" s="209">
        <f t="shared" si="80"/>
        <v>0.30438036190993084</v>
      </c>
      <c r="AA97" s="208">
        <f t="shared" si="82"/>
        <v>350909969</v>
      </c>
      <c r="AB97" s="208">
        <f t="shared" si="82"/>
        <v>0</v>
      </c>
      <c r="AC97" s="209">
        <f t="shared" si="63"/>
        <v>0.6956196380900691</v>
      </c>
    </row>
    <row r="98" spans="1:52" s="64" customFormat="1" ht="24.95" customHeight="1">
      <c r="A98" s="32" t="str">
        <f t="shared" si="60"/>
        <v>A-03-04-02-012=10</v>
      </c>
      <c r="B98" s="210" t="str">
        <f>CONCATENATE(C98,"-",D98,"-",E98,"-",F98,"-",G98)</f>
        <v>A-03-04-02-012</v>
      </c>
      <c r="C98" s="211" t="s">
        <v>23</v>
      </c>
      <c r="D98" s="212" t="s">
        <v>65</v>
      </c>
      <c r="E98" s="212" t="s">
        <v>136</v>
      </c>
      <c r="F98" s="212" t="s">
        <v>54</v>
      </c>
      <c r="G98" s="212" t="s">
        <v>52</v>
      </c>
      <c r="H98" s="212"/>
      <c r="I98" s="212"/>
      <c r="J98" s="212"/>
      <c r="K98" s="213" t="s">
        <v>28</v>
      </c>
      <c r="L98" s="214" t="s">
        <v>29</v>
      </c>
      <c r="M98" s="210" t="s">
        <v>139</v>
      </c>
      <c r="N98" s="215">
        <f>SUM(N99:N101)</f>
        <v>752000000</v>
      </c>
      <c r="O98" s="215">
        <f t="shared" ref="O98:V98" si="83">SUM(O99:O101)</f>
        <v>0</v>
      </c>
      <c r="P98" s="215">
        <f t="shared" si="83"/>
        <v>0</v>
      </c>
      <c r="Q98" s="215">
        <f t="shared" si="83"/>
        <v>36000000</v>
      </c>
      <c r="R98" s="215">
        <f t="shared" si="83"/>
        <v>36000000</v>
      </c>
      <c r="S98" s="215">
        <f t="shared" si="83"/>
        <v>0</v>
      </c>
      <c r="T98" s="215">
        <f t="shared" si="83"/>
        <v>752000000</v>
      </c>
      <c r="U98" s="215">
        <f t="shared" si="83"/>
        <v>504456674</v>
      </c>
      <c r="V98" s="215">
        <f t="shared" si="83"/>
        <v>247543326</v>
      </c>
      <c r="W98" s="216">
        <f t="shared" si="65"/>
        <v>0.67082004521276595</v>
      </c>
      <c r="X98" s="215">
        <f t="shared" ref="X98:Y98" si="84">SUM(X99:X101)</f>
        <v>350909969</v>
      </c>
      <c r="Y98" s="215">
        <f t="shared" si="84"/>
        <v>153546705</v>
      </c>
      <c r="Z98" s="216">
        <f t="shared" si="80"/>
        <v>0.30438036190993084</v>
      </c>
      <c r="AA98" s="215">
        <f>SUM(AA99:AA101)</f>
        <v>350909969</v>
      </c>
      <c r="AB98" s="215">
        <f>SUM(AB99:AB101)</f>
        <v>0</v>
      </c>
      <c r="AC98" s="216">
        <f t="shared" si="63"/>
        <v>0.6956196380900691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24.95" customHeight="1">
      <c r="A99" s="32" t="str">
        <f t="shared" si="60"/>
        <v>A-03-04-02-012-001=10</v>
      </c>
      <c r="B99" s="217" t="str">
        <f>CONCATENATE(C99,"-",D99,"-",E99,"-",F99,"-",G99,"-",H99)</f>
        <v>A-03-04-02-012-001</v>
      </c>
      <c r="C99" s="218" t="s">
        <v>23</v>
      </c>
      <c r="D99" s="219" t="s">
        <v>65</v>
      </c>
      <c r="E99" s="219" t="s">
        <v>136</v>
      </c>
      <c r="F99" s="219" t="s">
        <v>54</v>
      </c>
      <c r="G99" s="219" t="s">
        <v>52</v>
      </c>
      <c r="H99" s="219" t="s">
        <v>31</v>
      </c>
      <c r="I99" s="219"/>
      <c r="J99" s="219"/>
      <c r="K99" s="220" t="s">
        <v>28</v>
      </c>
      <c r="L99" s="221" t="s">
        <v>29</v>
      </c>
      <c r="M99" s="217" t="s">
        <v>140</v>
      </c>
      <c r="N99" s="222">
        <v>402000000</v>
      </c>
      <c r="O99" s="222"/>
      <c r="P99" s="222"/>
      <c r="Q99" s="222"/>
      <c r="R99" s="222"/>
      <c r="S99" s="222"/>
      <c r="T99" s="222">
        <f>+N99-S99+O99-P99+Q99-R99</f>
        <v>402000000</v>
      </c>
      <c r="U99" s="222">
        <v>285729325</v>
      </c>
      <c r="V99" s="222">
        <f t="shared" si="10"/>
        <v>116270675</v>
      </c>
      <c r="W99" s="224">
        <f t="shared" si="65"/>
        <v>0.71076946517412931</v>
      </c>
      <c r="X99" s="222">
        <v>187925408</v>
      </c>
      <c r="Y99" s="222">
        <f t="shared" si="13"/>
        <v>97803917</v>
      </c>
      <c r="Z99" s="224">
        <f t="shared" si="80"/>
        <v>0.34229569191051706</v>
      </c>
      <c r="AA99" s="222">
        <v>187925408</v>
      </c>
      <c r="AB99" s="222">
        <f t="shared" si="11"/>
        <v>0</v>
      </c>
      <c r="AC99" s="224">
        <f t="shared" si="63"/>
        <v>0.65770430808948299</v>
      </c>
    </row>
    <row r="100" spans="1:52" ht="24.95" customHeight="1">
      <c r="A100" s="32" t="str">
        <f t="shared" si="60"/>
        <v>A-03-04-02-012-002=10</v>
      </c>
      <c r="B100" s="217" t="str">
        <f>CONCATENATE(C100,"-",D100,"-",E100,"-",F100,"-",G100,"-",H100)</f>
        <v>A-03-04-02-012-002</v>
      </c>
      <c r="C100" s="218" t="s">
        <v>23</v>
      </c>
      <c r="D100" s="219" t="s">
        <v>65</v>
      </c>
      <c r="E100" s="219" t="s">
        <v>136</v>
      </c>
      <c r="F100" s="219" t="s">
        <v>54</v>
      </c>
      <c r="G100" s="219" t="s">
        <v>52</v>
      </c>
      <c r="H100" s="219" t="s">
        <v>34</v>
      </c>
      <c r="I100" s="219"/>
      <c r="J100" s="219"/>
      <c r="K100" s="220" t="s">
        <v>28</v>
      </c>
      <c r="L100" s="221" t="s">
        <v>29</v>
      </c>
      <c r="M100" s="217" t="s">
        <v>141</v>
      </c>
      <c r="N100" s="222">
        <v>350000000</v>
      </c>
      <c r="O100" s="222"/>
      <c r="P100" s="222"/>
      <c r="Q100" s="223"/>
      <c r="R100" s="223">
        <v>36000000</v>
      </c>
      <c r="S100" s="223"/>
      <c r="T100" s="222">
        <f>+N100-S100+O100-P100+Q100-R100</f>
        <v>314000000</v>
      </c>
      <c r="U100" s="222">
        <v>182736475</v>
      </c>
      <c r="V100" s="222">
        <f t="shared" si="10"/>
        <v>131263525</v>
      </c>
      <c r="W100" s="224">
        <f t="shared" si="65"/>
        <v>0.58196329617834397</v>
      </c>
      <c r="X100" s="222">
        <v>126993687</v>
      </c>
      <c r="Y100" s="222">
        <f t="shared" si="13"/>
        <v>55742788</v>
      </c>
      <c r="Z100" s="224">
        <f t="shared" si="80"/>
        <v>0.30504467156871662</v>
      </c>
      <c r="AA100" s="222">
        <v>126993687</v>
      </c>
      <c r="AB100" s="222">
        <f t="shared" si="11"/>
        <v>0</v>
      </c>
      <c r="AC100" s="224">
        <f t="shared" si="63"/>
        <v>0.69495532843128338</v>
      </c>
    </row>
    <row r="101" spans="1:52" s="64" customFormat="1" ht="24.95" customHeight="1">
      <c r="A101" s="32" t="str">
        <f t="shared" si="60"/>
        <v>A-03-04-02-025=10</v>
      </c>
      <c r="B101" s="217" t="str">
        <f>CONCATENATE(C101,"-",D101,"-",E101,"-",F101,"-",G101)</f>
        <v>A-03-04-02-025</v>
      </c>
      <c r="C101" s="218" t="s">
        <v>23</v>
      </c>
      <c r="D101" s="219" t="s">
        <v>65</v>
      </c>
      <c r="E101" s="219" t="s">
        <v>136</v>
      </c>
      <c r="F101" s="219" t="s">
        <v>54</v>
      </c>
      <c r="G101" s="225" t="s">
        <v>142</v>
      </c>
      <c r="H101" s="219"/>
      <c r="I101" s="219"/>
      <c r="J101" s="219"/>
      <c r="K101" s="220" t="s">
        <v>28</v>
      </c>
      <c r="L101" s="221" t="s">
        <v>29</v>
      </c>
      <c r="M101" s="217" t="s">
        <v>260</v>
      </c>
      <c r="N101" s="222">
        <v>0</v>
      </c>
      <c r="O101" s="222"/>
      <c r="P101" s="222"/>
      <c r="Q101" s="223">
        <v>36000000</v>
      </c>
      <c r="R101" s="223"/>
      <c r="S101" s="223"/>
      <c r="T101" s="222">
        <f t="shared" ref="T101" si="85">+N101+O101-P101+Q101-R101-S101</f>
        <v>36000000</v>
      </c>
      <c r="U101" s="223">
        <v>35990874</v>
      </c>
      <c r="V101" s="222">
        <f t="shared" si="10"/>
        <v>9126</v>
      </c>
      <c r="W101" s="224">
        <f t="shared" si="65"/>
        <v>0.99974649999999998</v>
      </c>
      <c r="X101" s="222">
        <v>35990874</v>
      </c>
      <c r="Y101" s="222">
        <f t="shared" si="13"/>
        <v>0</v>
      </c>
      <c r="Z101" s="224">
        <f t="shared" si="80"/>
        <v>0</v>
      </c>
      <c r="AA101" s="222">
        <v>35990874</v>
      </c>
      <c r="AB101" s="222">
        <f t="shared" si="11"/>
        <v>0</v>
      </c>
      <c r="AC101" s="224">
        <f t="shared" si="63"/>
        <v>1</v>
      </c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</row>
    <row r="102" spans="1:52" ht="24.95" customHeight="1">
      <c r="A102" s="32" t="str">
        <f t="shared" si="60"/>
        <v>A-03-10=</v>
      </c>
      <c r="B102" s="196" t="str">
        <f>CONCATENATE(C102,"-",D102,"-",E102)</f>
        <v>A-03-10</v>
      </c>
      <c r="C102" s="197" t="s">
        <v>23</v>
      </c>
      <c r="D102" s="198" t="s">
        <v>65</v>
      </c>
      <c r="E102" s="198" t="s">
        <v>28</v>
      </c>
      <c r="F102" s="198"/>
      <c r="G102" s="198"/>
      <c r="H102" s="198"/>
      <c r="I102" s="198"/>
      <c r="J102" s="198"/>
      <c r="K102" s="199"/>
      <c r="L102" s="200"/>
      <c r="M102" s="196" t="s">
        <v>143</v>
      </c>
      <c r="N102" s="201">
        <f>+N103</f>
        <v>2597000000</v>
      </c>
      <c r="O102" s="201">
        <f t="shared" ref="O102:V102" si="86">+O103</f>
        <v>0</v>
      </c>
      <c r="P102" s="201">
        <f t="shared" si="86"/>
        <v>0</v>
      </c>
      <c r="Q102" s="201">
        <f t="shared" si="86"/>
        <v>0</v>
      </c>
      <c r="R102" s="201">
        <f t="shared" si="86"/>
        <v>0</v>
      </c>
      <c r="S102" s="201">
        <f t="shared" si="86"/>
        <v>0</v>
      </c>
      <c r="T102" s="201">
        <f t="shared" si="86"/>
        <v>2597000000</v>
      </c>
      <c r="U102" s="201">
        <f t="shared" si="86"/>
        <v>0</v>
      </c>
      <c r="V102" s="201">
        <f t="shared" si="86"/>
        <v>2597000000</v>
      </c>
      <c r="W102" s="202">
        <f t="shared" si="65"/>
        <v>0</v>
      </c>
      <c r="X102" s="201">
        <f t="shared" ref="X102:AB102" si="87">+X103</f>
        <v>0</v>
      </c>
      <c r="Y102" s="201">
        <f t="shared" si="87"/>
        <v>0</v>
      </c>
      <c r="Z102" s="202">
        <f t="shared" si="80"/>
        <v>0</v>
      </c>
      <c r="AA102" s="201">
        <f t="shared" si="87"/>
        <v>0</v>
      </c>
      <c r="AB102" s="201">
        <f t="shared" si="87"/>
        <v>0</v>
      </c>
      <c r="AC102" s="202">
        <f t="shared" si="63"/>
        <v>0</v>
      </c>
    </row>
    <row r="103" spans="1:52" ht="16.5">
      <c r="A103" s="32" t="str">
        <f t="shared" si="60"/>
        <v>A-03-10-01=11</v>
      </c>
      <c r="B103" s="203" t="str">
        <f>CONCATENATE(C103,"-",D103,"-",E103,"-",F103)</f>
        <v>A-03-10-01</v>
      </c>
      <c r="C103" s="204" t="s">
        <v>23</v>
      </c>
      <c r="D103" s="205" t="s">
        <v>65</v>
      </c>
      <c r="E103" s="205" t="s">
        <v>28</v>
      </c>
      <c r="F103" s="205" t="s">
        <v>25</v>
      </c>
      <c r="G103" s="205"/>
      <c r="H103" s="205"/>
      <c r="I103" s="205"/>
      <c r="J103" s="205"/>
      <c r="K103" s="206" t="s">
        <v>144</v>
      </c>
      <c r="L103" s="207" t="s">
        <v>29</v>
      </c>
      <c r="M103" s="203" t="s">
        <v>145</v>
      </c>
      <c r="N103" s="208">
        <f t="shared" ref="N103:V103" si="88">SUM(N104:N104)</f>
        <v>2597000000</v>
      </c>
      <c r="O103" s="208">
        <f t="shared" si="88"/>
        <v>0</v>
      </c>
      <c r="P103" s="208">
        <f t="shared" si="88"/>
        <v>0</v>
      </c>
      <c r="Q103" s="208">
        <f t="shared" si="88"/>
        <v>0</v>
      </c>
      <c r="R103" s="208">
        <f t="shared" si="88"/>
        <v>0</v>
      </c>
      <c r="S103" s="208">
        <f t="shared" si="88"/>
        <v>0</v>
      </c>
      <c r="T103" s="208">
        <f t="shared" si="88"/>
        <v>2597000000</v>
      </c>
      <c r="U103" s="208">
        <f t="shared" si="88"/>
        <v>0</v>
      </c>
      <c r="V103" s="208">
        <f t="shared" si="88"/>
        <v>2597000000</v>
      </c>
      <c r="W103" s="209">
        <f t="shared" si="65"/>
        <v>0</v>
      </c>
      <c r="X103" s="208">
        <f t="shared" ref="X103:Y103" si="89">SUM(X104:X104)</f>
        <v>0</v>
      </c>
      <c r="Y103" s="208">
        <f t="shared" si="89"/>
        <v>0</v>
      </c>
      <c r="Z103" s="209">
        <f t="shared" si="80"/>
        <v>0</v>
      </c>
      <c r="AA103" s="208">
        <f t="shared" ref="AA103:AB103" si="90">SUM(AA104:AA104)</f>
        <v>0</v>
      </c>
      <c r="AB103" s="208">
        <f t="shared" si="90"/>
        <v>0</v>
      </c>
      <c r="AC103" s="209">
        <f t="shared" si="63"/>
        <v>0</v>
      </c>
    </row>
    <row r="104" spans="1:52" ht="24.95" customHeight="1">
      <c r="A104" s="32" t="str">
        <f t="shared" si="60"/>
        <v>A-03-10-01-001=10</v>
      </c>
      <c r="B104" s="217" t="str">
        <f>CONCATENATE(C104,"-",D104,"-",E104,"-",F104,"-",G104)</f>
        <v>A-03-10-01-001</v>
      </c>
      <c r="C104" s="218" t="s">
        <v>23</v>
      </c>
      <c r="D104" s="219" t="s">
        <v>65</v>
      </c>
      <c r="E104" s="219" t="s">
        <v>28</v>
      </c>
      <c r="F104" s="219" t="s">
        <v>25</v>
      </c>
      <c r="G104" s="219" t="s">
        <v>31</v>
      </c>
      <c r="H104" s="219"/>
      <c r="I104" s="219"/>
      <c r="J104" s="219"/>
      <c r="K104" s="220">
        <v>10</v>
      </c>
      <c r="L104" s="221" t="s">
        <v>29</v>
      </c>
      <c r="M104" s="259" t="s">
        <v>146</v>
      </c>
      <c r="N104" s="222">
        <v>2597000000</v>
      </c>
      <c r="O104" s="222"/>
      <c r="P104" s="222"/>
      <c r="Q104" s="222"/>
      <c r="R104" s="222"/>
      <c r="S104" s="222"/>
      <c r="T104" s="222">
        <f>+N104-S104+O104-P104+Q104-R104</f>
        <v>2597000000</v>
      </c>
      <c r="U104" s="223">
        <v>0</v>
      </c>
      <c r="V104" s="222">
        <f t="shared" si="10"/>
        <v>2597000000</v>
      </c>
      <c r="W104" s="224">
        <f t="shared" si="65"/>
        <v>0</v>
      </c>
      <c r="X104" s="222">
        <v>0</v>
      </c>
      <c r="Y104" s="222">
        <f t="shared" si="13"/>
        <v>0</v>
      </c>
      <c r="Z104" s="224">
        <f t="shared" si="80"/>
        <v>0</v>
      </c>
      <c r="AA104" s="222">
        <v>0</v>
      </c>
      <c r="AB104" s="222">
        <f t="shared" si="11"/>
        <v>0</v>
      </c>
      <c r="AC104" s="224">
        <f t="shared" si="63"/>
        <v>0</v>
      </c>
    </row>
    <row r="105" spans="1:52" ht="35.1" customHeight="1">
      <c r="A105" s="32" t="str">
        <f t="shared" si="60"/>
        <v>A-08=</v>
      </c>
      <c r="B105" s="188" t="str">
        <f>CONCATENATE(C105,"-",D105)</f>
        <v>A-08</v>
      </c>
      <c r="C105" s="189" t="s">
        <v>23</v>
      </c>
      <c r="D105" s="191" t="s">
        <v>148</v>
      </c>
      <c r="E105" s="191"/>
      <c r="F105" s="191"/>
      <c r="G105" s="191"/>
      <c r="H105" s="191"/>
      <c r="I105" s="191"/>
      <c r="J105" s="191"/>
      <c r="K105" s="192"/>
      <c r="L105" s="193"/>
      <c r="M105" s="188" t="s">
        <v>149</v>
      </c>
      <c r="N105" s="194">
        <f>+N106+N111</f>
        <v>5824000000</v>
      </c>
      <c r="O105" s="194">
        <f t="shared" ref="O105:V105" si="91">+O106+O111</f>
        <v>0</v>
      </c>
      <c r="P105" s="194">
        <f t="shared" si="91"/>
        <v>0</v>
      </c>
      <c r="Q105" s="194">
        <f t="shared" si="91"/>
        <v>52021252</v>
      </c>
      <c r="R105" s="194">
        <f t="shared" si="91"/>
        <v>1021252</v>
      </c>
      <c r="S105" s="194">
        <f t="shared" si="91"/>
        <v>0</v>
      </c>
      <c r="T105" s="194">
        <f t="shared" si="91"/>
        <v>5875000000</v>
      </c>
      <c r="U105" s="194">
        <f t="shared" si="91"/>
        <v>84838581.780000001</v>
      </c>
      <c r="V105" s="194">
        <f t="shared" si="91"/>
        <v>5790161418.2200003</v>
      </c>
      <c r="W105" s="195">
        <f t="shared" si="65"/>
        <v>1.4440609664680852E-2</v>
      </c>
      <c r="X105" s="194">
        <f t="shared" ref="X105:AB105" si="92">+X106+X111</f>
        <v>84621909.780000001</v>
      </c>
      <c r="Y105" s="194">
        <f t="shared" si="92"/>
        <v>216672</v>
      </c>
      <c r="Z105" s="195">
        <f t="shared" si="80"/>
        <v>2.553932367255562E-3</v>
      </c>
      <c r="AA105" s="194">
        <f t="shared" si="92"/>
        <v>84531234.780000001</v>
      </c>
      <c r="AB105" s="194">
        <f t="shared" si="92"/>
        <v>90675</v>
      </c>
      <c r="AC105" s="195">
        <f t="shared" si="63"/>
        <v>0.99637727324583292</v>
      </c>
    </row>
    <row r="106" spans="1:52" ht="24.95" customHeight="1">
      <c r="A106" s="32" t="str">
        <f t="shared" si="60"/>
        <v>A-08-01=</v>
      </c>
      <c r="B106" s="196" t="str">
        <f>CONCATENATE(C106,"-",D106,"-",E106)</f>
        <v>A-08-01</v>
      </c>
      <c r="C106" s="197" t="s">
        <v>23</v>
      </c>
      <c r="D106" s="198" t="s">
        <v>148</v>
      </c>
      <c r="E106" s="198" t="s">
        <v>25</v>
      </c>
      <c r="F106" s="198"/>
      <c r="G106" s="198"/>
      <c r="H106" s="198"/>
      <c r="I106" s="198"/>
      <c r="J106" s="198"/>
      <c r="K106" s="199"/>
      <c r="L106" s="200"/>
      <c r="M106" s="196" t="s">
        <v>150</v>
      </c>
      <c r="N106" s="201">
        <f>+N107</f>
        <v>84000000</v>
      </c>
      <c r="O106" s="201">
        <f t="shared" ref="O106:AB106" si="93">+O107</f>
        <v>0</v>
      </c>
      <c r="P106" s="201">
        <f t="shared" si="93"/>
        <v>0</v>
      </c>
      <c r="Q106" s="201">
        <f t="shared" si="93"/>
        <v>52021252</v>
      </c>
      <c r="R106" s="201">
        <f t="shared" si="93"/>
        <v>1021252</v>
      </c>
      <c r="S106" s="201">
        <f t="shared" si="93"/>
        <v>0</v>
      </c>
      <c r="T106" s="201">
        <f t="shared" si="93"/>
        <v>135000000</v>
      </c>
      <c r="U106" s="201">
        <f t="shared" si="93"/>
        <v>80719817.710000008</v>
      </c>
      <c r="V106" s="201">
        <f t="shared" si="93"/>
        <v>54280182.289999999</v>
      </c>
      <c r="W106" s="202">
        <f t="shared" si="65"/>
        <v>0.59792457562962964</v>
      </c>
      <c r="X106" s="201">
        <f t="shared" si="93"/>
        <v>80503145.710000008</v>
      </c>
      <c r="Y106" s="201">
        <f t="shared" si="93"/>
        <v>216672</v>
      </c>
      <c r="Z106" s="202">
        <f t="shared" si="80"/>
        <v>2.6842478854255079E-3</v>
      </c>
      <c r="AA106" s="201">
        <f t="shared" si="93"/>
        <v>80412470.710000008</v>
      </c>
      <c r="AB106" s="201">
        <f t="shared" si="93"/>
        <v>90675</v>
      </c>
      <c r="AC106" s="202">
        <f t="shared" si="63"/>
        <v>0.99619242202572611</v>
      </c>
    </row>
    <row r="107" spans="1:52" ht="16.5">
      <c r="A107" s="32" t="str">
        <f t="shared" si="60"/>
        <v>A-08-01-02=10</v>
      </c>
      <c r="B107" s="203" t="str">
        <f>CONCATENATE(C107,"-",D107,"-",E107,"-",F107)</f>
        <v>A-08-01-02</v>
      </c>
      <c r="C107" s="204" t="s">
        <v>23</v>
      </c>
      <c r="D107" s="205" t="s">
        <v>148</v>
      </c>
      <c r="E107" s="205" t="s">
        <v>25</v>
      </c>
      <c r="F107" s="205" t="s">
        <v>54</v>
      </c>
      <c r="G107" s="205"/>
      <c r="H107" s="205"/>
      <c r="I107" s="205"/>
      <c r="J107" s="205"/>
      <c r="K107" s="206" t="s">
        <v>28</v>
      </c>
      <c r="L107" s="207" t="s">
        <v>29</v>
      </c>
      <c r="M107" s="203" t="s">
        <v>151</v>
      </c>
      <c r="N107" s="208">
        <f>SUM(N108:N110)</f>
        <v>84000000</v>
      </c>
      <c r="O107" s="208">
        <f t="shared" ref="O107:V107" si="94">SUM(O108:O110)</f>
        <v>0</v>
      </c>
      <c r="P107" s="208">
        <f t="shared" si="94"/>
        <v>0</v>
      </c>
      <c r="Q107" s="208">
        <f t="shared" si="94"/>
        <v>52021252</v>
      </c>
      <c r="R107" s="208">
        <f t="shared" si="94"/>
        <v>1021252</v>
      </c>
      <c r="S107" s="208">
        <f t="shared" si="94"/>
        <v>0</v>
      </c>
      <c r="T107" s="208">
        <f t="shared" si="94"/>
        <v>135000000</v>
      </c>
      <c r="U107" s="208">
        <f t="shared" si="94"/>
        <v>80719817.710000008</v>
      </c>
      <c r="V107" s="208">
        <f t="shared" si="94"/>
        <v>54280182.289999999</v>
      </c>
      <c r="W107" s="209">
        <f t="shared" si="65"/>
        <v>0.59792457562962964</v>
      </c>
      <c r="X107" s="208">
        <f t="shared" ref="X107:AB107" si="95">SUM(X108:X110)</f>
        <v>80503145.710000008</v>
      </c>
      <c r="Y107" s="208">
        <f t="shared" si="95"/>
        <v>216672</v>
      </c>
      <c r="Z107" s="209">
        <f t="shared" si="80"/>
        <v>2.6842478854255079E-3</v>
      </c>
      <c r="AA107" s="208">
        <f t="shared" si="95"/>
        <v>80412470.710000008</v>
      </c>
      <c r="AB107" s="208">
        <f t="shared" si="95"/>
        <v>90675</v>
      </c>
      <c r="AC107" s="209">
        <f t="shared" si="63"/>
        <v>0.99619242202572611</v>
      </c>
    </row>
    <row r="108" spans="1:52" ht="24.95" customHeight="1">
      <c r="A108" s="32" t="str">
        <f t="shared" si="60"/>
        <v>A-08-01-02-001=10</v>
      </c>
      <c r="B108" s="217" t="str">
        <f>CONCATENATE(C108,"-",D108,"-",E108,"-",F108,"-",G108)</f>
        <v>A-08-01-02-001</v>
      </c>
      <c r="C108" s="218" t="s">
        <v>23</v>
      </c>
      <c r="D108" s="219" t="s">
        <v>148</v>
      </c>
      <c r="E108" s="219" t="s">
        <v>25</v>
      </c>
      <c r="F108" s="219" t="s">
        <v>54</v>
      </c>
      <c r="G108" s="219" t="s">
        <v>31</v>
      </c>
      <c r="H108" s="219"/>
      <c r="I108" s="219"/>
      <c r="J108" s="219"/>
      <c r="K108" s="220" t="s">
        <v>28</v>
      </c>
      <c r="L108" s="221" t="s">
        <v>29</v>
      </c>
      <c r="M108" s="259" t="s">
        <v>152</v>
      </c>
      <c r="N108" s="222">
        <v>51000000</v>
      </c>
      <c r="O108" s="222"/>
      <c r="P108" s="222"/>
      <c r="Q108" s="222"/>
      <c r="R108" s="222">
        <v>1021252</v>
      </c>
      <c r="S108" s="222"/>
      <c r="T108" s="222">
        <f>+N108-S108+O108-P108+Q108-R108</f>
        <v>49978748</v>
      </c>
      <c r="U108" s="222">
        <v>49978748</v>
      </c>
      <c r="V108" s="222">
        <f t="shared" si="10"/>
        <v>0</v>
      </c>
      <c r="W108" s="224">
        <f t="shared" si="65"/>
        <v>1</v>
      </c>
      <c r="X108" s="222">
        <v>49978748</v>
      </c>
      <c r="Y108" s="222">
        <f t="shared" si="13"/>
        <v>0</v>
      </c>
      <c r="Z108" s="224">
        <f t="shared" si="80"/>
        <v>0</v>
      </c>
      <c r="AA108" s="222">
        <v>49978748</v>
      </c>
      <c r="AB108" s="222">
        <f t="shared" si="11"/>
        <v>0</v>
      </c>
      <c r="AC108" s="224">
        <f t="shared" si="63"/>
        <v>1</v>
      </c>
    </row>
    <row r="109" spans="1:52" ht="24.95" customHeight="1">
      <c r="A109" s="32" t="str">
        <f t="shared" si="60"/>
        <v>A-08-01-02-004=10</v>
      </c>
      <c r="B109" s="217" t="str">
        <f>CONCATENATE(C109,"-",D109,"-",E109,"-",F109,"-",G109)</f>
        <v>A-08-01-02-004</v>
      </c>
      <c r="C109" s="218" t="s">
        <v>23</v>
      </c>
      <c r="D109" s="219" t="s">
        <v>148</v>
      </c>
      <c r="E109" s="219" t="s">
        <v>25</v>
      </c>
      <c r="F109" s="219" t="s">
        <v>54</v>
      </c>
      <c r="G109" s="219" t="s">
        <v>38</v>
      </c>
      <c r="H109" s="219"/>
      <c r="I109" s="219"/>
      <c r="J109" s="219"/>
      <c r="K109" s="220" t="s">
        <v>28</v>
      </c>
      <c r="L109" s="221" t="s">
        <v>29</v>
      </c>
      <c r="M109" s="259" t="s">
        <v>153</v>
      </c>
      <c r="N109" s="222">
        <v>26000000</v>
      </c>
      <c r="O109" s="223"/>
      <c r="P109" s="222"/>
      <c r="Q109" s="223">
        <v>26000000</v>
      </c>
      <c r="R109" s="222"/>
      <c r="S109" s="222"/>
      <c r="T109" s="222">
        <f>+N109-S109+O109-P109+Q109-R109</f>
        <v>52000000</v>
      </c>
      <c r="U109" s="222">
        <v>24413969.710000001</v>
      </c>
      <c r="V109" s="222">
        <f t="shared" si="10"/>
        <v>27586030.289999999</v>
      </c>
      <c r="W109" s="224">
        <f t="shared" si="65"/>
        <v>0.46949941750000002</v>
      </c>
      <c r="X109" s="222">
        <v>24197297.710000001</v>
      </c>
      <c r="Y109" s="222">
        <f t="shared" si="13"/>
        <v>216672</v>
      </c>
      <c r="Z109" s="224">
        <f t="shared" si="80"/>
        <v>8.874918850712378E-3</v>
      </c>
      <c r="AA109" s="222">
        <v>24106622.710000001</v>
      </c>
      <c r="AB109" s="222">
        <f t="shared" si="11"/>
        <v>90675</v>
      </c>
      <c r="AC109" s="224">
        <f t="shared" si="63"/>
        <v>0.98741101903333195</v>
      </c>
    </row>
    <row r="110" spans="1:52" ht="24.95" customHeight="1">
      <c r="A110" s="32" t="str">
        <f t="shared" si="60"/>
        <v>A-08-01-02-006=10</v>
      </c>
      <c r="B110" s="217" t="str">
        <f>CONCATENATE(C110,"-",D110,"-",E110,"-",F110,"-",G110)</f>
        <v>A-08-01-02-006</v>
      </c>
      <c r="C110" s="218" t="s">
        <v>23</v>
      </c>
      <c r="D110" s="219" t="s">
        <v>148</v>
      </c>
      <c r="E110" s="219" t="s">
        <v>25</v>
      </c>
      <c r="F110" s="219" t="s">
        <v>54</v>
      </c>
      <c r="G110" s="219" t="s">
        <v>42</v>
      </c>
      <c r="H110" s="219"/>
      <c r="I110" s="219"/>
      <c r="J110" s="219"/>
      <c r="K110" s="220" t="s">
        <v>28</v>
      </c>
      <c r="L110" s="221" t="s">
        <v>29</v>
      </c>
      <c r="M110" s="259" t="s">
        <v>154</v>
      </c>
      <c r="N110" s="222">
        <v>7000000</v>
      </c>
      <c r="O110" s="222"/>
      <c r="P110" s="222"/>
      <c r="Q110" s="222">
        <f>25000000+1021252</f>
        <v>26021252</v>
      </c>
      <c r="R110" s="222"/>
      <c r="S110" s="222"/>
      <c r="T110" s="222">
        <f>+N110-S110+O110-P110+Q110-R110</f>
        <v>33021252</v>
      </c>
      <c r="U110" s="222">
        <v>6327100</v>
      </c>
      <c r="V110" s="222">
        <f t="shared" si="10"/>
        <v>26694152</v>
      </c>
      <c r="W110" s="224">
        <f t="shared" si="65"/>
        <v>0.19160690818143419</v>
      </c>
      <c r="X110" s="222">
        <v>6327100</v>
      </c>
      <c r="Y110" s="222">
        <f t="shared" si="13"/>
        <v>0</v>
      </c>
      <c r="Z110" s="224">
        <f t="shared" si="80"/>
        <v>0</v>
      </c>
      <c r="AA110" s="222">
        <v>6327100</v>
      </c>
      <c r="AB110" s="222">
        <f t="shared" si="11"/>
        <v>0</v>
      </c>
      <c r="AC110" s="224">
        <f t="shared" si="63"/>
        <v>1</v>
      </c>
    </row>
    <row r="111" spans="1:52" ht="24.95" customHeight="1">
      <c r="A111" s="32" t="str">
        <f t="shared" si="60"/>
        <v>A-08-04=</v>
      </c>
      <c r="B111" s="196" t="str">
        <f>CONCATENATE(C111,"-",D111,"-",E111)</f>
        <v>A-08-04</v>
      </c>
      <c r="C111" s="197" t="s">
        <v>23</v>
      </c>
      <c r="D111" s="198" t="s">
        <v>148</v>
      </c>
      <c r="E111" s="198" t="s">
        <v>136</v>
      </c>
      <c r="F111" s="198"/>
      <c r="G111" s="198"/>
      <c r="H111" s="198"/>
      <c r="I111" s="198"/>
      <c r="J111" s="198"/>
      <c r="K111" s="199"/>
      <c r="L111" s="200"/>
      <c r="M111" s="196" t="s">
        <v>155</v>
      </c>
      <c r="N111" s="201">
        <f>+N112</f>
        <v>5740000000</v>
      </c>
      <c r="O111" s="201">
        <f t="shared" ref="O111:AB111" si="96">+O112</f>
        <v>0</v>
      </c>
      <c r="P111" s="201">
        <f t="shared" si="96"/>
        <v>0</v>
      </c>
      <c r="Q111" s="201">
        <f t="shared" si="96"/>
        <v>0</v>
      </c>
      <c r="R111" s="201">
        <f t="shared" si="96"/>
        <v>0</v>
      </c>
      <c r="S111" s="201">
        <f t="shared" si="96"/>
        <v>0</v>
      </c>
      <c r="T111" s="201">
        <f t="shared" si="96"/>
        <v>5740000000</v>
      </c>
      <c r="U111" s="201">
        <f t="shared" si="96"/>
        <v>4118764.07</v>
      </c>
      <c r="V111" s="201">
        <f t="shared" si="96"/>
        <v>5735881235.9300003</v>
      </c>
      <c r="W111" s="202">
        <f t="shared" si="65"/>
        <v>7.1755471602787449E-4</v>
      </c>
      <c r="X111" s="201">
        <f t="shared" si="96"/>
        <v>4118764.07</v>
      </c>
      <c r="Y111" s="201">
        <f t="shared" si="96"/>
        <v>0</v>
      </c>
      <c r="Z111" s="202">
        <f t="shared" si="80"/>
        <v>0</v>
      </c>
      <c r="AA111" s="201">
        <f t="shared" si="96"/>
        <v>4118764.07</v>
      </c>
      <c r="AB111" s="201">
        <f t="shared" si="96"/>
        <v>0</v>
      </c>
      <c r="AC111" s="202">
        <f t="shared" si="63"/>
        <v>1</v>
      </c>
    </row>
    <row r="112" spans="1:52" ht="24.95" customHeight="1" thickBot="1">
      <c r="A112" s="32" t="str">
        <f t="shared" si="60"/>
        <v>A-08-04-01=11</v>
      </c>
      <c r="B112" s="217" t="str">
        <f>CONCATENATE(C112,"-",D112,"-",E112,"-",F112)</f>
        <v>A-08-04-01</v>
      </c>
      <c r="C112" s="218" t="s">
        <v>23</v>
      </c>
      <c r="D112" s="219" t="s">
        <v>148</v>
      </c>
      <c r="E112" s="219" t="s">
        <v>136</v>
      </c>
      <c r="F112" s="219" t="s">
        <v>25</v>
      </c>
      <c r="G112" s="219"/>
      <c r="H112" s="219"/>
      <c r="I112" s="219"/>
      <c r="J112" s="219"/>
      <c r="K112" s="220" t="s">
        <v>144</v>
      </c>
      <c r="L112" s="221" t="s">
        <v>156</v>
      </c>
      <c r="M112" s="259" t="s">
        <v>157</v>
      </c>
      <c r="N112" s="222">
        <v>5740000000</v>
      </c>
      <c r="O112" s="223"/>
      <c r="P112" s="222"/>
      <c r="Q112" s="222"/>
      <c r="R112" s="222"/>
      <c r="S112" s="222"/>
      <c r="T112" s="222">
        <f>+N112-S112+O112-P112+Q112-R112</f>
        <v>5740000000</v>
      </c>
      <c r="U112" s="223">
        <v>4118764.07</v>
      </c>
      <c r="V112" s="222">
        <f t="shared" si="10"/>
        <v>5735881235.9300003</v>
      </c>
      <c r="W112" s="224">
        <f t="shared" si="65"/>
        <v>7.1755471602787449E-4</v>
      </c>
      <c r="X112" s="222">
        <v>4118764.07</v>
      </c>
      <c r="Y112" s="222">
        <f t="shared" si="13"/>
        <v>0</v>
      </c>
      <c r="Z112" s="224">
        <f t="shared" si="80"/>
        <v>0</v>
      </c>
      <c r="AA112" s="222">
        <v>4118764.07</v>
      </c>
      <c r="AB112" s="222">
        <f t="shared" si="11"/>
        <v>0</v>
      </c>
      <c r="AC112" s="224">
        <f t="shared" si="63"/>
        <v>1</v>
      </c>
    </row>
    <row r="113" spans="1:29" ht="35.1" customHeight="1" thickBot="1">
      <c r="A113" s="32" t="str">
        <f t="shared" si="60"/>
        <v>C
=</v>
      </c>
      <c r="B113" s="260" t="s">
        <v>278</v>
      </c>
      <c r="C113" s="261" t="s">
        <v>167</v>
      </c>
      <c r="D113" s="262"/>
      <c r="E113" s="262"/>
      <c r="F113" s="262"/>
      <c r="G113" s="262"/>
      <c r="H113" s="262"/>
      <c r="I113" s="262"/>
      <c r="J113" s="262"/>
      <c r="K113" s="263"/>
      <c r="L113" s="264"/>
      <c r="M113" s="260" t="s">
        <v>168</v>
      </c>
      <c r="N113" s="265">
        <f t="shared" ref="N113:V113" si="97">+N114+N143+N196</f>
        <v>3485582139470</v>
      </c>
      <c r="O113" s="265">
        <f t="shared" si="97"/>
        <v>0</v>
      </c>
      <c r="P113" s="265">
        <f t="shared" si="97"/>
        <v>0</v>
      </c>
      <c r="Q113" s="265">
        <f t="shared" si="97"/>
        <v>394453823733.81</v>
      </c>
      <c r="R113" s="265">
        <f t="shared" si="97"/>
        <v>394453823733.81</v>
      </c>
      <c r="S113" s="265">
        <f t="shared" si="97"/>
        <v>580000000000</v>
      </c>
      <c r="T113" s="265">
        <f t="shared" si="97"/>
        <v>2905582139470</v>
      </c>
      <c r="U113" s="265">
        <f t="shared" si="97"/>
        <v>2710770812635.0796</v>
      </c>
      <c r="V113" s="265">
        <f t="shared" si="97"/>
        <v>194811326834.91998</v>
      </c>
      <c r="W113" s="187">
        <f t="shared" si="65"/>
        <v>0.93295273804565182</v>
      </c>
      <c r="X113" s="265">
        <f t="shared" ref="X113:Y113" si="98">+X114+X143+X196</f>
        <v>1804217111072.7097</v>
      </c>
      <c r="Y113" s="265">
        <f t="shared" si="98"/>
        <v>906553701562.37012</v>
      </c>
      <c r="Z113" s="187">
        <f t="shared" si="80"/>
        <v>0.33442653924738464</v>
      </c>
      <c r="AA113" s="265">
        <f t="shared" ref="AA113:AB113" si="99">+AA114+AA143+AA196</f>
        <v>1804181814786.7097</v>
      </c>
      <c r="AB113" s="265">
        <f t="shared" si="99"/>
        <v>35296286</v>
      </c>
      <c r="AC113" s="187">
        <f t="shared" si="63"/>
        <v>0.66556043999636583</v>
      </c>
    </row>
    <row r="114" spans="1:29" ht="35.1" customHeight="1">
      <c r="A114" s="32" t="str">
        <f t="shared" si="60"/>
        <v>C-4101=</v>
      </c>
      <c r="B114" s="188" t="str">
        <f>CONCATENATE(C114,"-",D114)</f>
        <v>C-4101</v>
      </c>
      <c r="C114" s="189" t="s">
        <v>167</v>
      </c>
      <c r="D114" s="191">
        <v>4101</v>
      </c>
      <c r="E114" s="191"/>
      <c r="F114" s="191"/>
      <c r="G114" s="191"/>
      <c r="H114" s="191"/>
      <c r="I114" s="191"/>
      <c r="J114" s="191"/>
      <c r="K114" s="192"/>
      <c r="L114" s="193"/>
      <c r="M114" s="188" t="s">
        <v>169</v>
      </c>
      <c r="N114" s="194">
        <f>+N115</f>
        <v>184499832863</v>
      </c>
      <c r="O114" s="194">
        <f t="shared" ref="O114:S114" si="100">+O115</f>
        <v>0</v>
      </c>
      <c r="P114" s="194">
        <f t="shared" si="100"/>
        <v>0</v>
      </c>
      <c r="Q114" s="194">
        <f t="shared" si="100"/>
        <v>0</v>
      </c>
      <c r="R114" s="194">
        <f t="shared" si="100"/>
        <v>0</v>
      </c>
      <c r="S114" s="194">
        <f t="shared" si="100"/>
        <v>0</v>
      </c>
      <c r="T114" s="194">
        <f>+T115</f>
        <v>184499832863</v>
      </c>
      <c r="U114" s="194">
        <f t="shared" ref="U114:AB114" si="101">+U115</f>
        <v>168724749003</v>
      </c>
      <c r="V114" s="194">
        <f t="shared" si="101"/>
        <v>15775083860</v>
      </c>
      <c r="W114" s="195">
        <f t="shared" si="65"/>
        <v>0.91449811300526351</v>
      </c>
      <c r="X114" s="194">
        <f t="shared" si="101"/>
        <v>79797905091</v>
      </c>
      <c r="Y114" s="194">
        <f t="shared" si="101"/>
        <v>88926843912</v>
      </c>
      <c r="Z114" s="195">
        <f t="shared" si="80"/>
        <v>0.52705275567142107</v>
      </c>
      <c r="AA114" s="194">
        <f t="shared" si="101"/>
        <v>79781557868</v>
      </c>
      <c r="AB114" s="194">
        <f t="shared" si="101"/>
        <v>16347223</v>
      </c>
      <c r="AC114" s="195">
        <f t="shared" si="63"/>
        <v>0.47285035739825843</v>
      </c>
    </row>
    <row r="115" spans="1:29" ht="24.95" customHeight="1">
      <c r="A115" s="32" t="str">
        <f t="shared" si="60"/>
        <v>C-4101-1500=</v>
      </c>
      <c r="B115" s="196" t="str">
        <f>CONCATENATE(C115,"-",D115,"-",E115)</f>
        <v>C-4101-1500</v>
      </c>
      <c r="C115" s="197" t="s">
        <v>167</v>
      </c>
      <c r="D115" s="198">
        <v>4101</v>
      </c>
      <c r="E115" s="198">
        <v>1500</v>
      </c>
      <c r="F115" s="198"/>
      <c r="G115" s="198"/>
      <c r="H115" s="198"/>
      <c r="I115" s="198"/>
      <c r="J115" s="198"/>
      <c r="K115" s="199"/>
      <c r="L115" s="200"/>
      <c r="M115" s="196" t="s">
        <v>170</v>
      </c>
      <c r="N115" s="201">
        <f t="shared" ref="N115:V115" si="102">+N116+N129</f>
        <v>184499832863</v>
      </c>
      <c r="O115" s="201">
        <f t="shared" si="102"/>
        <v>0</v>
      </c>
      <c r="P115" s="201">
        <f t="shared" si="102"/>
        <v>0</v>
      </c>
      <c r="Q115" s="201">
        <f t="shared" si="102"/>
        <v>0</v>
      </c>
      <c r="R115" s="201">
        <f t="shared" si="102"/>
        <v>0</v>
      </c>
      <c r="S115" s="201">
        <f t="shared" si="102"/>
        <v>0</v>
      </c>
      <c r="T115" s="201">
        <f t="shared" si="102"/>
        <v>184499832863</v>
      </c>
      <c r="U115" s="201">
        <f t="shared" si="102"/>
        <v>168724749003</v>
      </c>
      <c r="V115" s="201">
        <f t="shared" si="102"/>
        <v>15775083860</v>
      </c>
      <c r="W115" s="202">
        <f t="shared" si="65"/>
        <v>0.91449811300526351</v>
      </c>
      <c r="X115" s="201">
        <f t="shared" ref="X115:Y115" si="103">+X116+X129</f>
        <v>79797905091</v>
      </c>
      <c r="Y115" s="201">
        <f t="shared" si="103"/>
        <v>88926843912</v>
      </c>
      <c r="Z115" s="202">
        <f t="shared" si="80"/>
        <v>0.52705275567142107</v>
      </c>
      <c r="AA115" s="201">
        <f t="shared" ref="AA115:AB115" si="104">+AA116+AA129</f>
        <v>79781557868</v>
      </c>
      <c r="AB115" s="201">
        <f t="shared" si="104"/>
        <v>16347223</v>
      </c>
      <c r="AC115" s="202">
        <f t="shared" si="63"/>
        <v>0.47285035739825843</v>
      </c>
    </row>
    <row r="116" spans="1:29" ht="33">
      <c r="A116" s="32" t="str">
        <f t="shared" si="60"/>
        <v>C-4101-1500-5=</v>
      </c>
      <c r="B116" s="203" t="str">
        <f>CONCATENATE(C116,"-",D116,"-",E116,"-",F116)</f>
        <v>C-4101-1500-5</v>
      </c>
      <c r="C116" s="227" t="s">
        <v>167</v>
      </c>
      <c r="D116" s="228" t="s">
        <v>171</v>
      </c>
      <c r="E116" s="228" t="s">
        <v>172</v>
      </c>
      <c r="F116" s="228" t="s">
        <v>261</v>
      </c>
      <c r="G116" s="228"/>
      <c r="H116" s="228"/>
      <c r="I116" s="228"/>
      <c r="J116" s="228"/>
      <c r="K116" s="229"/>
      <c r="L116" s="230"/>
      <c r="M116" s="231" t="s">
        <v>279</v>
      </c>
      <c r="N116" s="232">
        <f t="shared" ref="N116:V116" si="105">+N117+N119+N121+N123+N125+N127</f>
        <v>66398074900</v>
      </c>
      <c r="O116" s="232">
        <f t="shared" si="105"/>
        <v>0</v>
      </c>
      <c r="P116" s="232">
        <f t="shared" si="105"/>
        <v>0</v>
      </c>
      <c r="Q116" s="232">
        <f t="shared" si="105"/>
        <v>0</v>
      </c>
      <c r="R116" s="232">
        <f t="shared" si="105"/>
        <v>0</v>
      </c>
      <c r="S116" s="232">
        <f t="shared" si="105"/>
        <v>0</v>
      </c>
      <c r="T116" s="232">
        <f t="shared" si="105"/>
        <v>66398074900</v>
      </c>
      <c r="U116" s="232">
        <f t="shared" si="105"/>
        <v>61381319404</v>
      </c>
      <c r="V116" s="232">
        <f t="shared" si="105"/>
        <v>5016755496</v>
      </c>
      <c r="W116" s="233">
        <f t="shared" si="65"/>
        <v>0.92444426282605974</v>
      </c>
      <c r="X116" s="232">
        <f t="shared" ref="X116:Y116" si="106">+X117+X119+X121+X123+X125+X127</f>
        <v>28104377515</v>
      </c>
      <c r="Y116" s="232">
        <f t="shared" si="106"/>
        <v>33276941889</v>
      </c>
      <c r="Z116" s="233">
        <f t="shared" si="80"/>
        <v>0.54213467895627321</v>
      </c>
      <c r="AA116" s="232">
        <f t="shared" ref="AA116:AB116" si="107">+AA117+AA119+AA121+AA123+AA125+AA127</f>
        <v>28104377515</v>
      </c>
      <c r="AB116" s="232">
        <f t="shared" si="107"/>
        <v>0</v>
      </c>
      <c r="AC116" s="233">
        <f t="shared" si="63"/>
        <v>0.45786532104372685</v>
      </c>
    </row>
    <row r="117" spans="1:29" ht="24.95" customHeight="1">
      <c r="A117" s="32" t="str">
        <f t="shared" si="60"/>
        <v>C-4101-1500-5-0-4101073=11</v>
      </c>
      <c r="B117" s="210" t="str">
        <f>CONCATENATE(C117,"-",D117,"-",E117,"-",F117,"-",G117,"-",H117)</f>
        <v>C-4101-1500-5-0-4101073</v>
      </c>
      <c r="C117" s="211" t="s">
        <v>167</v>
      </c>
      <c r="D117" s="212" t="s">
        <v>171</v>
      </c>
      <c r="E117" s="212" t="s">
        <v>172</v>
      </c>
      <c r="F117" s="212" t="s">
        <v>261</v>
      </c>
      <c r="G117" s="212" t="s">
        <v>175</v>
      </c>
      <c r="H117" s="212" t="s">
        <v>176</v>
      </c>
      <c r="I117" s="212"/>
      <c r="J117" s="212"/>
      <c r="K117" s="213">
        <v>11</v>
      </c>
      <c r="L117" s="214" t="s">
        <v>29</v>
      </c>
      <c r="M117" s="210" t="s">
        <v>177</v>
      </c>
      <c r="N117" s="215">
        <f>+N118</f>
        <v>37511369742</v>
      </c>
      <c r="O117" s="215">
        <f t="shared" ref="O117:AB117" si="108">+O118</f>
        <v>0</v>
      </c>
      <c r="P117" s="215">
        <f t="shared" si="108"/>
        <v>0</v>
      </c>
      <c r="Q117" s="215">
        <f t="shared" si="108"/>
        <v>0</v>
      </c>
      <c r="R117" s="215">
        <f t="shared" si="108"/>
        <v>0</v>
      </c>
      <c r="S117" s="215">
        <f t="shared" si="108"/>
        <v>0</v>
      </c>
      <c r="T117" s="215">
        <f t="shared" si="108"/>
        <v>37511369742</v>
      </c>
      <c r="U117" s="215">
        <f t="shared" si="108"/>
        <v>34742400000</v>
      </c>
      <c r="V117" s="215">
        <f t="shared" si="108"/>
        <v>2768969742</v>
      </c>
      <c r="W117" s="216">
        <f t="shared" si="65"/>
        <v>0.92618318762965102</v>
      </c>
      <c r="X117" s="215">
        <f t="shared" si="108"/>
        <v>1956429673</v>
      </c>
      <c r="Y117" s="215">
        <f t="shared" si="108"/>
        <v>32785970327</v>
      </c>
      <c r="Z117" s="216">
        <f t="shared" si="80"/>
        <v>0.94368754970871327</v>
      </c>
      <c r="AA117" s="215">
        <f t="shared" si="108"/>
        <v>1956429673</v>
      </c>
      <c r="AB117" s="215">
        <f t="shared" si="108"/>
        <v>0</v>
      </c>
      <c r="AC117" s="216">
        <f t="shared" si="63"/>
        <v>5.6312450291286731E-2</v>
      </c>
    </row>
    <row r="118" spans="1:29" ht="24.95" customHeight="1">
      <c r="A118" s="32" t="str">
        <f t="shared" si="60"/>
        <v>C-4101-1500-5-0-4101073-02=11</v>
      </c>
      <c r="B118" s="217" t="str">
        <f>CONCATENATE(C118,"-",D118,"-",E118,"-",F118,"-",G118,"-",H118,"-",I118)</f>
        <v>C-4101-1500-5-0-4101073-02</v>
      </c>
      <c r="C118" s="218" t="s">
        <v>167</v>
      </c>
      <c r="D118" s="219" t="s">
        <v>171</v>
      </c>
      <c r="E118" s="219" t="s">
        <v>172</v>
      </c>
      <c r="F118" s="219" t="s">
        <v>261</v>
      </c>
      <c r="G118" s="219" t="s">
        <v>175</v>
      </c>
      <c r="H118" s="219" t="s">
        <v>176</v>
      </c>
      <c r="I118" s="219" t="s">
        <v>54</v>
      </c>
      <c r="J118" s="219"/>
      <c r="K118" s="220">
        <v>11</v>
      </c>
      <c r="L118" s="221" t="s">
        <v>29</v>
      </c>
      <c r="M118" s="217" t="s">
        <v>178</v>
      </c>
      <c r="N118" s="222">
        <v>37511369742</v>
      </c>
      <c r="O118" s="222"/>
      <c r="P118" s="222"/>
      <c r="Q118" s="222"/>
      <c r="R118" s="222"/>
      <c r="S118" s="222"/>
      <c r="T118" s="222">
        <f>+N118-S118+O118-P118+Q118-R118</f>
        <v>37511369742</v>
      </c>
      <c r="U118" s="222">
        <v>34742400000</v>
      </c>
      <c r="V118" s="222">
        <f t="shared" ref="V118:V181" si="109">+T118-U118</f>
        <v>2768969742</v>
      </c>
      <c r="W118" s="224">
        <f t="shared" si="65"/>
        <v>0.92618318762965102</v>
      </c>
      <c r="X118" s="222">
        <v>1956429673</v>
      </c>
      <c r="Y118" s="222">
        <f t="shared" si="13"/>
        <v>32785970327</v>
      </c>
      <c r="Z118" s="224">
        <f t="shared" si="80"/>
        <v>0.94368754970871327</v>
      </c>
      <c r="AA118" s="222">
        <v>1956429673</v>
      </c>
      <c r="AB118" s="222">
        <f t="shared" ref="AB118:AB181" si="110">+X118-AA118</f>
        <v>0</v>
      </c>
      <c r="AC118" s="224">
        <f t="shared" si="63"/>
        <v>5.6312450291286731E-2</v>
      </c>
    </row>
    <row r="119" spans="1:29" ht="33">
      <c r="A119" s="32" t="str">
        <f t="shared" si="60"/>
        <v>C-4101-1500-5-0-4101074=11</v>
      </c>
      <c r="B119" s="210" t="str">
        <f>CONCATENATE(C119,"-",D119,"-",E119,"-",F119,"-",G119,"-",H119)</f>
        <v>C-4101-1500-5-0-4101074</v>
      </c>
      <c r="C119" s="211" t="s">
        <v>167</v>
      </c>
      <c r="D119" s="212" t="s">
        <v>171</v>
      </c>
      <c r="E119" s="212" t="s">
        <v>172</v>
      </c>
      <c r="F119" s="212" t="s">
        <v>261</v>
      </c>
      <c r="G119" s="212" t="s">
        <v>175</v>
      </c>
      <c r="H119" s="212" t="s">
        <v>179</v>
      </c>
      <c r="I119" s="212"/>
      <c r="J119" s="212"/>
      <c r="K119" s="213">
        <v>11</v>
      </c>
      <c r="L119" s="214" t="s">
        <v>29</v>
      </c>
      <c r="M119" s="210" t="s">
        <v>180</v>
      </c>
      <c r="N119" s="215">
        <f>+N120</f>
        <v>8799663116</v>
      </c>
      <c r="O119" s="215">
        <f t="shared" ref="O119:AB119" si="111">+O120</f>
        <v>0</v>
      </c>
      <c r="P119" s="215">
        <f t="shared" si="111"/>
        <v>0</v>
      </c>
      <c r="Q119" s="215">
        <f t="shared" si="111"/>
        <v>0</v>
      </c>
      <c r="R119" s="215">
        <f t="shared" si="111"/>
        <v>0</v>
      </c>
      <c r="S119" s="215">
        <f t="shared" si="111"/>
        <v>0</v>
      </c>
      <c r="T119" s="215">
        <f t="shared" si="111"/>
        <v>8799663116</v>
      </c>
      <c r="U119" s="215">
        <f t="shared" si="111"/>
        <v>8799663116</v>
      </c>
      <c r="V119" s="215">
        <f t="shared" si="111"/>
        <v>0</v>
      </c>
      <c r="W119" s="216">
        <f t="shared" si="65"/>
        <v>1</v>
      </c>
      <c r="X119" s="215">
        <f t="shared" si="111"/>
        <v>8547604840</v>
      </c>
      <c r="Y119" s="215">
        <f t="shared" si="111"/>
        <v>252058276</v>
      </c>
      <c r="Z119" s="216">
        <f t="shared" si="80"/>
        <v>2.8644082469668035E-2</v>
      </c>
      <c r="AA119" s="215">
        <f t="shared" si="111"/>
        <v>8547604840</v>
      </c>
      <c r="AB119" s="215">
        <f t="shared" si="111"/>
        <v>0</v>
      </c>
      <c r="AC119" s="216">
        <f t="shared" si="63"/>
        <v>0.97135591753033201</v>
      </c>
    </row>
    <row r="120" spans="1:29" ht="24.95" customHeight="1">
      <c r="A120" s="32" t="str">
        <f t="shared" si="60"/>
        <v>C-4101-1500-5-0-4101074-02=11</v>
      </c>
      <c r="B120" s="217" t="str">
        <f>CONCATENATE(C120,"-",D120,"-",E120,"-",F120,"-",G120,"-",H120,"-",I120)</f>
        <v>C-4101-1500-5-0-4101074-02</v>
      </c>
      <c r="C120" s="218" t="s">
        <v>167</v>
      </c>
      <c r="D120" s="219" t="s">
        <v>171</v>
      </c>
      <c r="E120" s="219" t="s">
        <v>172</v>
      </c>
      <c r="F120" s="219">
        <v>5</v>
      </c>
      <c r="G120" s="219" t="s">
        <v>175</v>
      </c>
      <c r="H120" s="219" t="s">
        <v>179</v>
      </c>
      <c r="I120" s="219" t="s">
        <v>54</v>
      </c>
      <c r="J120" s="219"/>
      <c r="K120" s="220">
        <v>11</v>
      </c>
      <c r="L120" s="221" t="s">
        <v>29</v>
      </c>
      <c r="M120" s="259" t="s">
        <v>178</v>
      </c>
      <c r="N120" s="222">
        <v>8799663116</v>
      </c>
      <c r="O120" s="222"/>
      <c r="P120" s="222"/>
      <c r="Q120" s="222"/>
      <c r="R120" s="636"/>
      <c r="S120" s="636"/>
      <c r="T120" s="222">
        <f>+N120-S120+O120-P120+Q120-R120</f>
        <v>8799663116</v>
      </c>
      <c r="U120" s="222">
        <v>8799663116</v>
      </c>
      <c r="V120" s="222">
        <f t="shared" ref="V120" si="112">+T120-U120</f>
        <v>0</v>
      </c>
      <c r="W120" s="224">
        <f t="shared" si="65"/>
        <v>1</v>
      </c>
      <c r="X120" s="222">
        <v>8547604840</v>
      </c>
      <c r="Y120" s="222">
        <f t="shared" ref="Y120" si="113">+U120-X120</f>
        <v>252058276</v>
      </c>
      <c r="Z120" s="224">
        <f t="shared" si="80"/>
        <v>2.8644082469668035E-2</v>
      </c>
      <c r="AA120" s="222">
        <v>8547604840</v>
      </c>
      <c r="AB120" s="222">
        <f t="shared" ref="AB120" si="114">+X120-AA120</f>
        <v>0</v>
      </c>
      <c r="AC120" s="224">
        <f t="shared" si="63"/>
        <v>0.97135591753033201</v>
      </c>
    </row>
    <row r="121" spans="1:29" ht="49.5">
      <c r="A121" s="32" t="str">
        <f t="shared" si="60"/>
        <v>C-4101-1500-5-0-4101077=11</v>
      </c>
      <c r="B121" s="210" t="str">
        <f>CONCATENATE(C121,"-",D121,"-",E121,"-",F121,"-",G121,"-",H121)</f>
        <v>C-4101-1500-5-0-4101077</v>
      </c>
      <c r="C121" s="211" t="s">
        <v>167</v>
      </c>
      <c r="D121" s="212" t="s">
        <v>171</v>
      </c>
      <c r="E121" s="212" t="s">
        <v>172</v>
      </c>
      <c r="F121" s="212" t="s">
        <v>261</v>
      </c>
      <c r="G121" s="212" t="s">
        <v>175</v>
      </c>
      <c r="H121" s="212" t="s">
        <v>181</v>
      </c>
      <c r="I121" s="212"/>
      <c r="J121" s="212"/>
      <c r="K121" s="213">
        <v>11</v>
      </c>
      <c r="L121" s="214" t="s">
        <v>29</v>
      </c>
      <c r="M121" s="210" t="s">
        <v>182</v>
      </c>
      <c r="N121" s="215">
        <f t="shared" ref="N121:V121" si="115">SUM(N122:N122)</f>
        <v>4325174580</v>
      </c>
      <c r="O121" s="215">
        <f t="shared" si="115"/>
        <v>0</v>
      </c>
      <c r="P121" s="215">
        <f t="shared" si="115"/>
        <v>0</v>
      </c>
      <c r="Q121" s="215">
        <f t="shared" si="115"/>
        <v>0</v>
      </c>
      <c r="R121" s="215">
        <f t="shared" si="115"/>
        <v>0</v>
      </c>
      <c r="S121" s="215">
        <f t="shared" si="115"/>
        <v>0</v>
      </c>
      <c r="T121" s="215">
        <f t="shared" si="115"/>
        <v>4325174580</v>
      </c>
      <c r="U121" s="215">
        <f t="shared" si="115"/>
        <v>3022087127</v>
      </c>
      <c r="V121" s="215">
        <f t="shared" si="115"/>
        <v>1303087453</v>
      </c>
      <c r="W121" s="216">
        <f t="shared" si="65"/>
        <v>0.698720264604903</v>
      </c>
      <c r="X121" s="215">
        <f t="shared" ref="X121:Y121" si="116">SUM(X122:X122)</f>
        <v>2783173841</v>
      </c>
      <c r="Y121" s="215">
        <f t="shared" si="116"/>
        <v>238913286</v>
      </c>
      <c r="Z121" s="216">
        <f t="shared" si="80"/>
        <v>7.9055724060863586E-2</v>
      </c>
      <c r="AA121" s="215">
        <f t="shared" ref="AA121:AB121" si="117">SUM(AA122:AA122)</f>
        <v>2783173841</v>
      </c>
      <c r="AB121" s="215">
        <f t="shared" si="117"/>
        <v>0</v>
      </c>
      <c r="AC121" s="216">
        <f t="shared" si="63"/>
        <v>0.92094427593913641</v>
      </c>
    </row>
    <row r="122" spans="1:29" ht="24.95" customHeight="1">
      <c r="A122" s="32" t="str">
        <f t="shared" si="60"/>
        <v>C-4101-1500-5-0-4101077-02=11</v>
      </c>
      <c r="B122" s="217" t="str">
        <f>CONCATENATE(C122,"-",D122,"-",E122,"-",F122,"-",G122,"-",H122,"-",I122)</f>
        <v>C-4101-1500-5-0-4101077-02</v>
      </c>
      <c r="C122" s="218" t="s">
        <v>167</v>
      </c>
      <c r="D122" s="219" t="s">
        <v>171</v>
      </c>
      <c r="E122" s="219" t="s">
        <v>172</v>
      </c>
      <c r="F122" s="219" t="s">
        <v>261</v>
      </c>
      <c r="G122" s="219" t="s">
        <v>175</v>
      </c>
      <c r="H122" s="219" t="s">
        <v>181</v>
      </c>
      <c r="I122" s="225" t="s">
        <v>54</v>
      </c>
      <c r="J122" s="219"/>
      <c r="K122" s="220">
        <v>11</v>
      </c>
      <c r="L122" s="221" t="s">
        <v>29</v>
      </c>
      <c r="M122" s="217" t="s">
        <v>178</v>
      </c>
      <c r="N122" s="222">
        <v>4325174580</v>
      </c>
      <c r="O122" s="222"/>
      <c r="P122" s="222"/>
      <c r="Q122" s="222"/>
      <c r="R122" s="222"/>
      <c r="S122" s="222"/>
      <c r="T122" s="222">
        <f>+N122-S122+O122-P122+Q122-R122</f>
        <v>4325174580</v>
      </c>
      <c r="U122" s="222">
        <v>3022087127</v>
      </c>
      <c r="V122" s="222">
        <f t="shared" si="109"/>
        <v>1303087453</v>
      </c>
      <c r="W122" s="224">
        <f t="shared" si="65"/>
        <v>0.698720264604903</v>
      </c>
      <c r="X122" s="222">
        <v>2783173841</v>
      </c>
      <c r="Y122" s="222">
        <f t="shared" ref="Y122:Y181" si="118">+U122-X122</f>
        <v>238913286</v>
      </c>
      <c r="Z122" s="224">
        <f t="shared" si="80"/>
        <v>7.9055724060863586E-2</v>
      </c>
      <c r="AA122" s="222">
        <v>2783173841</v>
      </c>
      <c r="AB122" s="222">
        <f t="shared" si="110"/>
        <v>0</v>
      </c>
      <c r="AC122" s="224">
        <f t="shared" si="63"/>
        <v>0.92094427593913641</v>
      </c>
    </row>
    <row r="123" spans="1:29" ht="49.5">
      <c r="A123" s="32" t="str">
        <f t="shared" si="60"/>
        <v>C-4101-1500-5-0-4101078=11</v>
      </c>
      <c r="B123" s="210" t="str">
        <f>CONCATENATE(C123,"-",D123,"-",E123,"-",F123,"-",G123,"-",H123)</f>
        <v>C-4101-1500-5-0-4101078</v>
      </c>
      <c r="C123" s="211" t="s">
        <v>167</v>
      </c>
      <c r="D123" s="212" t="s">
        <v>171</v>
      </c>
      <c r="E123" s="212" t="s">
        <v>172</v>
      </c>
      <c r="F123" s="212" t="s">
        <v>261</v>
      </c>
      <c r="G123" s="212" t="s">
        <v>175</v>
      </c>
      <c r="H123" s="212" t="s">
        <v>183</v>
      </c>
      <c r="I123" s="212"/>
      <c r="J123" s="212"/>
      <c r="K123" s="213">
        <v>11</v>
      </c>
      <c r="L123" s="214" t="s">
        <v>29</v>
      </c>
      <c r="M123" s="210" t="s">
        <v>184</v>
      </c>
      <c r="N123" s="215">
        <f>+N124</f>
        <v>7972098301</v>
      </c>
      <c r="O123" s="215">
        <f t="shared" ref="O123:AB123" si="119">+O124</f>
        <v>0</v>
      </c>
      <c r="P123" s="215">
        <f t="shared" si="119"/>
        <v>0</v>
      </c>
      <c r="Q123" s="215">
        <f t="shared" si="119"/>
        <v>0</v>
      </c>
      <c r="R123" s="215">
        <f t="shared" si="119"/>
        <v>0</v>
      </c>
      <c r="S123" s="215">
        <f t="shared" si="119"/>
        <v>0</v>
      </c>
      <c r="T123" s="215">
        <f t="shared" si="119"/>
        <v>7972098301</v>
      </c>
      <c r="U123" s="215">
        <f t="shared" si="119"/>
        <v>7027400000</v>
      </c>
      <c r="V123" s="215">
        <f t="shared" si="119"/>
        <v>944698301</v>
      </c>
      <c r="W123" s="216">
        <f t="shared" si="65"/>
        <v>0.8814994164232145</v>
      </c>
      <c r="X123" s="215">
        <f t="shared" si="119"/>
        <v>7027400000</v>
      </c>
      <c r="Y123" s="215">
        <f t="shared" si="119"/>
        <v>0</v>
      </c>
      <c r="Z123" s="216">
        <f t="shared" si="80"/>
        <v>0</v>
      </c>
      <c r="AA123" s="215">
        <f t="shared" si="119"/>
        <v>7027400000</v>
      </c>
      <c r="AB123" s="215">
        <f t="shared" si="119"/>
        <v>0</v>
      </c>
      <c r="AC123" s="216">
        <f t="shared" si="63"/>
        <v>1</v>
      </c>
    </row>
    <row r="124" spans="1:29" ht="24.95" customHeight="1">
      <c r="A124" s="32" t="str">
        <f t="shared" si="60"/>
        <v>C-4101-1500-5-0-4101078-02=11</v>
      </c>
      <c r="B124" s="217" t="str">
        <f>CONCATENATE(C124,"-",D124,"-",E124,"-",F124,"-",G124,"-",H124,"-",I124)</f>
        <v>C-4101-1500-5-0-4101078-02</v>
      </c>
      <c r="C124" s="218" t="s">
        <v>167</v>
      </c>
      <c r="D124" s="219" t="s">
        <v>171</v>
      </c>
      <c r="E124" s="219" t="s">
        <v>172</v>
      </c>
      <c r="F124" s="219" t="s">
        <v>261</v>
      </c>
      <c r="G124" s="219" t="s">
        <v>175</v>
      </c>
      <c r="H124" s="219" t="s">
        <v>183</v>
      </c>
      <c r="I124" s="219" t="s">
        <v>54</v>
      </c>
      <c r="J124" s="219"/>
      <c r="K124" s="220">
        <v>11</v>
      </c>
      <c r="L124" s="221" t="s">
        <v>29</v>
      </c>
      <c r="M124" s="217" t="s">
        <v>178</v>
      </c>
      <c r="N124" s="222">
        <v>7972098301</v>
      </c>
      <c r="O124" s="222"/>
      <c r="P124" s="222"/>
      <c r="Q124" s="222"/>
      <c r="R124" s="222"/>
      <c r="S124" s="222"/>
      <c r="T124" s="223">
        <f>+N124-S124+O124-P124+Q124-R124</f>
        <v>7972098301</v>
      </c>
      <c r="U124" s="222">
        <v>7027400000</v>
      </c>
      <c r="V124" s="222">
        <f t="shared" si="109"/>
        <v>944698301</v>
      </c>
      <c r="W124" s="224">
        <f t="shared" si="65"/>
        <v>0.8814994164232145</v>
      </c>
      <c r="X124" s="222">
        <v>7027400000</v>
      </c>
      <c r="Y124" s="222">
        <f t="shared" si="118"/>
        <v>0</v>
      </c>
      <c r="Z124" s="224">
        <f t="shared" si="80"/>
        <v>0</v>
      </c>
      <c r="AA124" s="222">
        <v>7027400000</v>
      </c>
      <c r="AB124" s="222">
        <f t="shared" si="110"/>
        <v>0</v>
      </c>
      <c r="AC124" s="224">
        <f t="shared" si="63"/>
        <v>1</v>
      </c>
    </row>
    <row r="125" spans="1:29" ht="24.95" customHeight="1">
      <c r="A125" s="32" t="str">
        <f t="shared" si="60"/>
        <v>C-4101-1500-5-0-4101080=11</v>
      </c>
      <c r="B125" s="210" t="str">
        <f>CONCATENATE(C125,"-",D125,"-",E125,"-",F125,"-",G125,"-",H125)</f>
        <v>C-4101-1500-5-0-4101080</v>
      </c>
      <c r="C125" s="211" t="s">
        <v>167</v>
      </c>
      <c r="D125" s="212" t="s">
        <v>171</v>
      </c>
      <c r="E125" s="212" t="s">
        <v>172</v>
      </c>
      <c r="F125" s="212" t="s">
        <v>261</v>
      </c>
      <c r="G125" s="212" t="s">
        <v>175</v>
      </c>
      <c r="H125" s="212" t="s">
        <v>185</v>
      </c>
      <c r="I125" s="212"/>
      <c r="J125" s="212"/>
      <c r="K125" s="213">
        <v>11</v>
      </c>
      <c r="L125" s="214" t="s">
        <v>29</v>
      </c>
      <c r="M125" s="210" t="s">
        <v>186</v>
      </c>
      <c r="N125" s="215">
        <f>+N126</f>
        <v>5196200000</v>
      </c>
      <c r="O125" s="215">
        <f t="shared" ref="O125:AB125" si="120">+O126</f>
        <v>0</v>
      </c>
      <c r="P125" s="215">
        <f t="shared" si="120"/>
        <v>0</v>
      </c>
      <c r="Q125" s="215">
        <f t="shared" si="120"/>
        <v>0</v>
      </c>
      <c r="R125" s="215">
        <f t="shared" si="120"/>
        <v>0</v>
      </c>
      <c r="S125" s="215">
        <f t="shared" si="120"/>
        <v>0</v>
      </c>
      <c r="T125" s="215">
        <f t="shared" si="120"/>
        <v>5196200000</v>
      </c>
      <c r="U125" s="215">
        <f t="shared" si="120"/>
        <v>5196200000</v>
      </c>
      <c r="V125" s="215">
        <f t="shared" si="120"/>
        <v>0</v>
      </c>
      <c r="W125" s="216">
        <f t="shared" si="65"/>
        <v>1</v>
      </c>
      <c r="X125" s="215">
        <f t="shared" si="120"/>
        <v>5196200000</v>
      </c>
      <c r="Y125" s="215">
        <f t="shared" si="120"/>
        <v>0</v>
      </c>
      <c r="Z125" s="216">
        <f t="shared" si="80"/>
        <v>0</v>
      </c>
      <c r="AA125" s="215">
        <f t="shared" si="120"/>
        <v>5196200000</v>
      </c>
      <c r="AB125" s="215">
        <f t="shared" si="120"/>
        <v>0</v>
      </c>
      <c r="AC125" s="216">
        <f t="shared" si="63"/>
        <v>1</v>
      </c>
    </row>
    <row r="126" spans="1:29" ht="24.95" customHeight="1">
      <c r="A126" s="32" t="str">
        <f t="shared" si="60"/>
        <v>C-4101-1500-5-0-4101080-02=11</v>
      </c>
      <c r="B126" s="217" t="str">
        <f>CONCATENATE(C126,"-",D126,"-",E126,"-",F126,"-",G126,"-",H126,"-",I126)</f>
        <v>C-4101-1500-5-0-4101080-02</v>
      </c>
      <c r="C126" s="218" t="s">
        <v>167</v>
      </c>
      <c r="D126" s="219" t="s">
        <v>171</v>
      </c>
      <c r="E126" s="219" t="s">
        <v>172</v>
      </c>
      <c r="F126" s="219">
        <v>5</v>
      </c>
      <c r="G126" s="219" t="s">
        <v>175</v>
      </c>
      <c r="H126" s="219" t="s">
        <v>185</v>
      </c>
      <c r="I126" s="219" t="s">
        <v>54</v>
      </c>
      <c r="J126" s="219"/>
      <c r="K126" s="220">
        <v>11</v>
      </c>
      <c r="L126" s="221" t="s">
        <v>29</v>
      </c>
      <c r="M126" s="259" t="s">
        <v>178</v>
      </c>
      <c r="N126" s="222">
        <v>5196200000</v>
      </c>
      <c r="O126" s="222"/>
      <c r="P126" s="222"/>
      <c r="Q126" s="222"/>
      <c r="R126" s="222"/>
      <c r="S126" s="222"/>
      <c r="T126" s="222">
        <f>+N126-S126+O126-P126+Q126-R126</f>
        <v>5196200000</v>
      </c>
      <c r="U126" s="222">
        <v>5196200000</v>
      </c>
      <c r="V126" s="222">
        <f t="shared" ref="V126" si="121">+T126-U126</f>
        <v>0</v>
      </c>
      <c r="W126" s="224">
        <f t="shared" si="65"/>
        <v>1</v>
      </c>
      <c r="X126" s="222">
        <v>5196200000</v>
      </c>
      <c r="Y126" s="222">
        <f t="shared" ref="Y126" si="122">+U126-X126</f>
        <v>0</v>
      </c>
      <c r="Z126" s="224">
        <f t="shared" si="80"/>
        <v>0</v>
      </c>
      <c r="AA126" s="222">
        <v>5196200000</v>
      </c>
      <c r="AB126" s="222">
        <f t="shared" ref="AB126" si="123">+X126-AA126</f>
        <v>0</v>
      </c>
      <c r="AC126" s="224">
        <f t="shared" si="63"/>
        <v>1</v>
      </c>
    </row>
    <row r="127" spans="1:29" ht="33">
      <c r="A127" s="32" t="str">
        <f t="shared" si="60"/>
        <v>C-4101-1500-5-0-4101081=11</v>
      </c>
      <c r="B127" s="210" t="str">
        <f>CONCATENATE(C127,"-",D127,"-",E127,"-",F127,"-",G127,"-",H127)</f>
        <v>C-4101-1500-5-0-4101081</v>
      </c>
      <c r="C127" s="211" t="s">
        <v>167</v>
      </c>
      <c r="D127" s="212" t="s">
        <v>171</v>
      </c>
      <c r="E127" s="212" t="s">
        <v>172</v>
      </c>
      <c r="F127" s="212" t="s">
        <v>261</v>
      </c>
      <c r="G127" s="212" t="s">
        <v>175</v>
      </c>
      <c r="H127" s="212" t="s">
        <v>187</v>
      </c>
      <c r="I127" s="212"/>
      <c r="J127" s="212"/>
      <c r="K127" s="213">
        <v>11</v>
      </c>
      <c r="L127" s="214" t="s">
        <v>29</v>
      </c>
      <c r="M127" s="210" t="s">
        <v>188</v>
      </c>
      <c r="N127" s="215">
        <f>+N128</f>
        <v>2593569161</v>
      </c>
      <c r="O127" s="215">
        <f t="shared" ref="O127:AB127" si="124">+O128</f>
        <v>0</v>
      </c>
      <c r="P127" s="215">
        <f t="shared" si="124"/>
        <v>0</v>
      </c>
      <c r="Q127" s="215">
        <f t="shared" si="124"/>
        <v>0</v>
      </c>
      <c r="R127" s="215">
        <f t="shared" si="124"/>
        <v>0</v>
      </c>
      <c r="S127" s="215">
        <f t="shared" si="124"/>
        <v>0</v>
      </c>
      <c r="T127" s="215">
        <f t="shared" si="124"/>
        <v>2593569161</v>
      </c>
      <c r="U127" s="215">
        <f t="shared" si="124"/>
        <v>2593569161</v>
      </c>
      <c r="V127" s="215">
        <f t="shared" si="124"/>
        <v>0</v>
      </c>
      <c r="W127" s="216">
        <f t="shared" si="65"/>
        <v>1</v>
      </c>
      <c r="X127" s="215">
        <f t="shared" si="124"/>
        <v>2593569161</v>
      </c>
      <c r="Y127" s="215">
        <f t="shared" si="124"/>
        <v>0</v>
      </c>
      <c r="Z127" s="216">
        <f t="shared" si="80"/>
        <v>0</v>
      </c>
      <c r="AA127" s="215">
        <f t="shared" si="124"/>
        <v>2593569161</v>
      </c>
      <c r="AB127" s="215">
        <f t="shared" si="124"/>
        <v>0</v>
      </c>
      <c r="AC127" s="216">
        <f t="shared" si="63"/>
        <v>1</v>
      </c>
    </row>
    <row r="128" spans="1:29" ht="24.95" customHeight="1">
      <c r="A128" s="32" t="str">
        <f t="shared" si="60"/>
        <v>C-4101-1500-5-0-4101081-02=11</v>
      </c>
      <c r="B128" s="217" t="str">
        <f>CONCATENATE(C128,"-",D128,"-",E128,"-",F128,"-",G128,"-",H128,"-",I128)</f>
        <v>C-4101-1500-5-0-4101081-02</v>
      </c>
      <c r="C128" s="218" t="s">
        <v>167</v>
      </c>
      <c r="D128" s="219" t="s">
        <v>171</v>
      </c>
      <c r="E128" s="219" t="s">
        <v>172</v>
      </c>
      <c r="F128" s="219" t="s">
        <v>261</v>
      </c>
      <c r="G128" s="219" t="s">
        <v>175</v>
      </c>
      <c r="H128" s="219" t="s">
        <v>187</v>
      </c>
      <c r="I128" s="219" t="s">
        <v>54</v>
      </c>
      <c r="J128" s="219"/>
      <c r="K128" s="220">
        <v>11</v>
      </c>
      <c r="L128" s="221" t="s">
        <v>29</v>
      </c>
      <c r="M128" s="217" t="s">
        <v>178</v>
      </c>
      <c r="N128" s="222">
        <v>2593569161</v>
      </c>
      <c r="O128" s="222"/>
      <c r="P128" s="222"/>
      <c r="Q128" s="222"/>
      <c r="R128" s="222"/>
      <c r="S128" s="222"/>
      <c r="T128" s="222">
        <f>+N128-S128+O128-P128+Q128-R128</f>
        <v>2593569161</v>
      </c>
      <c r="U128" s="222">
        <v>2593569161</v>
      </c>
      <c r="V128" s="222">
        <f t="shared" si="109"/>
        <v>0</v>
      </c>
      <c r="W128" s="224">
        <f t="shared" si="65"/>
        <v>1</v>
      </c>
      <c r="X128" s="222">
        <v>2593569161</v>
      </c>
      <c r="Y128" s="222">
        <f t="shared" si="118"/>
        <v>0</v>
      </c>
      <c r="Z128" s="224">
        <f t="shared" si="80"/>
        <v>0</v>
      </c>
      <c r="AA128" s="222">
        <v>2593569161</v>
      </c>
      <c r="AB128" s="222">
        <f t="shared" si="110"/>
        <v>0</v>
      </c>
      <c r="AC128" s="224">
        <f t="shared" si="63"/>
        <v>1</v>
      </c>
    </row>
    <row r="129" spans="1:29" ht="66">
      <c r="A129" s="32" t="str">
        <f t="shared" si="60"/>
        <v>C-4101-1500-6=</v>
      </c>
      <c r="B129" s="226" t="str">
        <f>CONCATENATE(C129,"-",D129,"-",E129,"-",F129)</f>
        <v>C-4101-1500-6</v>
      </c>
      <c r="C129" s="227" t="s">
        <v>167</v>
      </c>
      <c r="D129" s="228" t="s">
        <v>171</v>
      </c>
      <c r="E129" s="228" t="s">
        <v>172</v>
      </c>
      <c r="F129" s="228" t="s">
        <v>173</v>
      </c>
      <c r="G129" s="228"/>
      <c r="H129" s="228"/>
      <c r="I129" s="228"/>
      <c r="J129" s="228"/>
      <c r="K129" s="229"/>
      <c r="L129" s="230"/>
      <c r="M129" s="231" t="s">
        <v>174</v>
      </c>
      <c r="N129" s="232">
        <f>+N134+N136+N138+N140+N130+N132</f>
        <v>118101757963</v>
      </c>
      <c r="O129" s="232">
        <f t="shared" ref="O129:V129" si="125">+O134+O136+O138+O140+O130+O132</f>
        <v>0</v>
      </c>
      <c r="P129" s="232">
        <f t="shared" si="125"/>
        <v>0</v>
      </c>
      <c r="Q129" s="232">
        <f t="shared" si="125"/>
        <v>0</v>
      </c>
      <c r="R129" s="232">
        <f t="shared" si="125"/>
        <v>0</v>
      </c>
      <c r="S129" s="232">
        <f t="shared" si="125"/>
        <v>0</v>
      </c>
      <c r="T129" s="232">
        <f t="shared" si="125"/>
        <v>118101757963</v>
      </c>
      <c r="U129" s="232">
        <f t="shared" si="125"/>
        <v>107343429599</v>
      </c>
      <c r="V129" s="232">
        <f t="shared" si="125"/>
        <v>10758328364</v>
      </c>
      <c r="W129" s="233">
        <f t="shared" si="65"/>
        <v>0.90890628090929459</v>
      </c>
      <c r="X129" s="232">
        <f t="shared" ref="X129:AB129" si="126">+X134+X136+X138+X140+X130+X132</f>
        <v>51693527576</v>
      </c>
      <c r="Y129" s="232">
        <f t="shared" si="126"/>
        <v>55649902023</v>
      </c>
      <c r="Z129" s="233">
        <f t="shared" si="80"/>
        <v>0.51842858226991495</v>
      </c>
      <c r="AA129" s="232">
        <f t="shared" si="126"/>
        <v>51677180353</v>
      </c>
      <c r="AB129" s="232">
        <f t="shared" si="126"/>
        <v>16347223</v>
      </c>
      <c r="AC129" s="233">
        <f t="shared" si="63"/>
        <v>0.48141912873521064</v>
      </c>
    </row>
    <row r="130" spans="1:29" ht="24.95" customHeight="1">
      <c r="A130" s="32" t="str">
        <f t="shared" si="60"/>
        <v>C-4101-1500-6-0-4101073=11</v>
      </c>
      <c r="B130" s="210" t="str">
        <f>CONCATENATE(C130,"-",D130,"-",E130,"-",F130,"-",G130,"-",H130)</f>
        <v>C-4101-1500-6-0-4101073</v>
      </c>
      <c r="C130" s="211" t="s">
        <v>167</v>
      </c>
      <c r="D130" s="212" t="s">
        <v>171</v>
      </c>
      <c r="E130" s="212" t="s">
        <v>172</v>
      </c>
      <c r="F130" s="212" t="s">
        <v>173</v>
      </c>
      <c r="G130" s="212" t="s">
        <v>175</v>
      </c>
      <c r="H130" s="212" t="s">
        <v>176</v>
      </c>
      <c r="I130" s="212"/>
      <c r="J130" s="212"/>
      <c r="K130" s="213" t="s">
        <v>144</v>
      </c>
      <c r="L130" s="214" t="s">
        <v>29</v>
      </c>
      <c r="M130" s="210" t="s">
        <v>177</v>
      </c>
      <c r="N130" s="215">
        <f t="shared" ref="N130:V130" si="127">SUM(N131:N131)</f>
        <v>4947405600</v>
      </c>
      <c r="O130" s="215">
        <f t="shared" si="127"/>
        <v>0</v>
      </c>
      <c r="P130" s="215">
        <f t="shared" si="127"/>
        <v>0</v>
      </c>
      <c r="Q130" s="215">
        <f t="shared" si="127"/>
        <v>0</v>
      </c>
      <c r="R130" s="215">
        <f t="shared" si="127"/>
        <v>0</v>
      </c>
      <c r="S130" s="215">
        <f t="shared" si="127"/>
        <v>0</v>
      </c>
      <c r="T130" s="215">
        <f t="shared" si="127"/>
        <v>4947405600</v>
      </c>
      <c r="U130" s="215">
        <f t="shared" si="127"/>
        <v>1947405600</v>
      </c>
      <c r="V130" s="215">
        <f t="shared" si="127"/>
        <v>3000000000</v>
      </c>
      <c r="W130" s="216">
        <f t="shared" si="65"/>
        <v>0.39362157814592763</v>
      </c>
      <c r="X130" s="215">
        <f t="shared" ref="X130:Y130" si="128">SUM(X131:X131)</f>
        <v>1947405600</v>
      </c>
      <c r="Y130" s="215">
        <f t="shared" si="128"/>
        <v>0</v>
      </c>
      <c r="Z130" s="216">
        <f t="shared" si="80"/>
        <v>0</v>
      </c>
      <c r="AA130" s="215">
        <f t="shared" ref="AA130:AB130" si="129">SUM(AA131:AA131)</f>
        <v>1947405600</v>
      </c>
      <c r="AB130" s="215">
        <f t="shared" si="129"/>
        <v>0</v>
      </c>
      <c r="AC130" s="216">
        <f t="shared" si="63"/>
        <v>1</v>
      </c>
    </row>
    <row r="131" spans="1:29" ht="24.95" customHeight="1">
      <c r="A131" s="32" t="str">
        <f t="shared" si="60"/>
        <v>C-4101-1500-6-0-4101073-02=11</v>
      </c>
      <c r="B131" s="217" t="str">
        <f>CONCATENATE(C131,"-",D131,"-",E131,"-",F131,"-",G131,"-",H131,"-",I131)</f>
        <v>C-4101-1500-6-0-4101073-02</v>
      </c>
      <c r="C131" s="218" t="s">
        <v>167</v>
      </c>
      <c r="D131" s="219" t="s">
        <v>171</v>
      </c>
      <c r="E131" s="219" t="s">
        <v>172</v>
      </c>
      <c r="F131" s="219" t="s">
        <v>173</v>
      </c>
      <c r="G131" s="219" t="s">
        <v>175</v>
      </c>
      <c r="H131" s="219" t="s">
        <v>176</v>
      </c>
      <c r="I131" s="219" t="s">
        <v>54</v>
      </c>
      <c r="J131" s="219"/>
      <c r="K131" s="220" t="s">
        <v>144</v>
      </c>
      <c r="L131" s="221" t="s">
        <v>29</v>
      </c>
      <c r="M131" s="259" t="s">
        <v>178</v>
      </c>
      <c r="N131" s="222">
        <v>4947405600</v>
      </c>
      <c r="O131" s="222"/>
      <c r="P131" s="222"/>
      <c r="Q131" s="222"/>
      <c r="R131" s="222"/>
      <c r="S131" s="222"/>
      <c r="T131" s="222">
        <f>+N131-S131+O131-P131+Q131-R131</f>
        <v>4947405600</v>
      </c>
      <c r="U131" s="222">
        <v>1947405600</v>
      </c>
      <c r="V131" s="222">
        <f t="shared" si="109"/>
        <v>3000000000</v>
      </c>
      <c r="W131" s="224">
        <f t="shared" si="65"/>
        <v>0.39362157814592763</v>
      </c>
      <c r="X131" s="222">
        <v>1947405600</v>
      </c>
      <c r="Y131" s="222">
        <f t="shared" si="118"/>
        <v>0</v>
      </c>
      <c r="Z131" s="224">
        <f t="shared" si="80"/>
        <v>0</v>
      </c>
      <c r="AA131" s="222">
        <v>1947405600</v>
      </c>
      <c r="AB131" s="222">
        <f t="shared" si="110"/>
        <v>0</v>
      </c>
      <c r="AC131" s="224">
        <f t="shared" si="63"/>
        <v>1</v>
      </c>
    </row>
    <row r="132" spans="1:29" ht="33">
      <c r="A132" s="32" t="str">
        <f t="shared" si="60"/>
        <v>C-4101-1500-6-0-4101074=11</v>
      </c>
      <c r="B132" s="210" t="str">
        <f>CONCATENATE(C132,"-",D132,"-",E132,"-",F132,"-",G132,"-",H132)</f>
        <v>C-4101-1500-6-0-4101074</v>
      </c>
      <c r="C132" s="211" t="s">
        <v>167</v>
      </c>
      <c r="D132" s="212" t="s">
        <v>171</v>
      </c>
      <c r="E132" s="212" t="s">
        <v>172</v>
      </c>
      <c r="F132" s="212" t="s">
        <v>173</v>
      </c>
      <c r="G132" s="212" t="s">
        <v>175</v>
      </c>
      <c r="H132" s="212" t="s">
        <v>179</v>
      </c>
      <c r="I132" s="212"/>
      <c r="J132" s="212"/>
      <c r="K132" s="213" t="s">
        <v>144</v>
      </c>
      <c r="L132" s="214" t="s">
        <v>29</v>
      </c>
      <c r="M132" s="210" t="s">
        <v>180</v>
      </c>
      <c r="N132" s="215">
        <f>+N133</f>
        <v>27420887861</v>
      </c>
      <c r="O132" s="215">
        <f t="shared" ref="O132:AB132" si="130">+O133</f>
        <v>0</v>
      </c>
      <c r="P132" s="215">
        <f t="shared" si="130"/>
        <v>0</v>
      </c>
      <c r="Q132" s="215">
        <f t="shared" si="130"/>
        <v>0</v>
      </c>
      <c r="R132" s="215">
        <f t="shared" si="130"/>
        <v>0</v>
      </c>
      <c r="S132" s="215">
        <f t="shared" si="130"/>
        <v>0</v>
      </c>
      <c r="T132" s="215">
        <f t="shared" si="130"/>
        <v>27420887861</v>
      </c>
      <c r="U132" s="215">
        <f t="shared" si="130"/>
        <v>27306887861</v>
      </c>
      <c r="V132" s="215">
        <f t="shared" si="130"/>
        <v>114000000</v>
      </c>
      <c r="W132" s="216">
        <f t="shared" si="65"/>
        <v>0.99584258538316195</v>
      </c>
      <c r="X132" s="215">
        <f t="shared" si="130"/>
        <v>13849894404</v>
      </c>
      <c r="Y132" s="215">
        <f t="shared" si="130"/>
        <v>13456993457</v>
      </c>
      <c r="Z132" s="216">
        <f t="shared" si="80"/>
        <v>0.49280582706824777</v>
      </c>
      <c r="AA132" s="215">
        <f t="shared" si="130"/>
        <v>13849894404</v>
      </c>
      <c r="AB132" s="215">
        <f t="shared" si="130"/>
        <v>0</v>
      </c>
      <c r="AC132" s="216">
        <f t="shared" si="63"/>
        <v>0.50719417293175229</v>
      </c>
    </row>
    <row r="133" spans="1:29" ht="24.95" customHeight="1">
      <c r="A133" s="32" t="str">
        <f t="shared" si="60"/>
        <v>C-4101-1500-6-0-4101074-02=11</v>
      </c>
      <c r="B133" s="217" t="str">
        <f>CONCATENATE(C133,"-",D133,"-",E133,"-",F133,"-",G133,"-",H133,"-",I133)</f>
        <v>C-4101-1500-6-0-4101074-02</v>
      </c>
      <c r="C133" s="218" t="s">
        <v>167</v>
      </c>
      <c r="D133" s="219" t="s">
        <v>171</v>
      </c>
      <c r="E133" s="219" t="s">
        <v>172</v>
      </c>
      <c r="F133" s="219" t="s">
        <v>173</v>
      </c>
      <c r="G133" s="219" t="s">
        <v>175</v>
      </c>
      <c r="H133" s="219" t="s">
        <v>179</v>
      </c>
      <c r="I133" s="219" t="s">
        <v>54</v>
      </c>
      <c r="J133" s="219"/>
      <c r="K133" s="220" t="s">
        <v>144</v>
      </c>
      <c r="L133" s="221" t="s">
        <v>29</v>
      </c>
      <c r="M133" s="259" t="s">
        <v>178</v>
      </c>
      <c r="N133" s="222">
        <v>27420887861</v>
      </c>
      <c r="O133" s="222"/>
      <c r="P133" s="222"/>
      <c r="Q133" s="222"/>
      <c r="R133" s="222"/>
      <c r="S133" s="222"/>
      <c r="T133" s="222">
        <f>+N133-S133+O133-P133+Q133-R133</f>
        <v>27420887861</v>
      </c>
      <c r="U133" s="222">
        <v>27306887861</v>
      </c>
      <c r="V133" s="222">
        <f t="shared" si="109"/>
        <v>114000000</v>
      </c>
      <c r="W133" s="224">
        <f t="shared" si="65"/>
        <v>0.99584258538316195</v>
      </c>
      <c r="X133" s="222">
        <v>13849894404</v>
      </c>
      <c r="Y133" s="222">
        <f t="shared" si="118"/>
        <v>13456993457</v>
      </c>
      <c r="Z133" s="224">
        <f t="shared" si="80"/>
        <v>0.49280582706824777</v>
      </c>
      <c r="AA133" s="222">
        <v>13849894404</v>
      </c>
      <c r="AB133" s="222">
        <f t="shared" si="110"/>
        <v>0</v>
      </c>
      <c r="AC133" s="224">
        <f t="shared" si="63"/>
        <v>0.50719417293175229</v>
      </c>
    </row>
    <row r="134" spans="1:29" ht="49.5">
      <c r="A134" s="32" t="str">
        <f t="shared" si="60"/>
        <v>C-4101-1500-6-0-4101077=11</v>
      </c>
      <c r="B134" s="210" t="str">
        <f>CONCATENATE(C134,"-",D134,"-",E134,"-",F134,"-",G134,"-",H134)</f>
        <v>C-4101-1500-6-0-4101077</v>
      </c>
      <c r="C134" s="211" t="s">
        <v>167</v>
      </c>
      <c r="D134" s="212" t="s">
        <v>171</v>
      </c>
      <c r="E134" s="212" t="s">
        <v>172</v>
      </c>
      <c r="F134" s="212" t="s">
        <v>173</v>
      </c>
      <c r="G134" s="212" t="s">
        <v>175</v>
      </c>
      <c r="H134" s="212" t="s">
        <v>181</v>
      </c>
      <c r="I134" s="212"/>
      <c r="J134" s="212"/>
      <c r="K134" s="213" t="s">
        <v>144</v>
      </c>
      <c r="L134" s="214" t="s">
        <v>29</v>
      </c>
      <c r="M134" s="210" t="s">
        <v>182</v>
      </c>
      <c r="N134" s="215">
        <f>+N135</f>
        <v>17722088000</v>
      </c>
      <c r="O134" s="215">
        <f t="shared" ref="O134:AB134" si="131">+O135</f>
        <v>0</v>
      </c>
      <c r="P134" s="215">
        <f t="shared" si="131"/>
        <v>0</v>
      </c>
      <c r="Q134" s="215">
        <f t="shared" si="131"/>
        <v>0</v>
      </c>
      <c r="R134" s="215">
        <f t="shared" si="131"/>
        <v>0</v>
      </c>
      <c r="S134" s="215">
        <f t="shared" si="131"/>
        <v>0</v>
      </c>
      <c r="T134" s="215">
        <f t="shared" si="131"/>
        <v>17722088000</v>
      </c>
      <c r="U134" s="215">
        <f t="shared" si="131"/>
        <v>17722088000</v>
      </c>
      <c r="V134" s="215">
        <f t="shared" si="131"/>
        <v>0</v>
      </c>
      <c r="W134" s="216">
        <f t="shared" si="65"/>
        <v>1</v>
      </c>
      <c r="X134" s="215">
        <f t="shared" si="131"/>
        <v>10275548771</v>
      </c>
      <c r="Y134" s="215">
        <f t="shared" si="131"/>
        <v>7446539229</v>
      </c>
      <c r="Z134" s="216">
        <f t="shared" si="80"/>
        <v>0.42018407926876339</v>
      </c>
      <c r="AA134" s="215">
        <f t="shared" si="131"/>
        <v>10275548771</v>
      </c>
      <c r="AB134" s="215">
        <f t="shared" si="131"/>
        <v>0</v>
      </c>
      <c r="AC134" s="216">
        <f t="shared" si="63"/>
        <v>0.57981592073123667</v>
      </c>
    </row>
    <row r="135" spans="1:29" ht="24.95" customHeight="1">
      <c r="A135" s="32" t="str">
        <f t="shared" si="60"/>
        <v>C-4101-1500-6-0-4101077-02=11</v>
      </c>
      <c r="B135" s="217" t="str">
        <f>CONCATENATE(C135,"-",D135,"-",E135,"-",F135,"-",G135,"-",H135,"-",I135)</f>
        <v>C-4101-1500-6-0-4101077-02</v>
      </c>
      <c r="C135" s="218" t="s">
        <v>167</v>
      </c>
      <c r="D135" s="219" t="s">
        <v>171</v>
      </c>
      <c r="E135" s="219" t="s">
        <v>172</v>
      </c>
      <c r="F135" s="219" t="s">
        <v>173</v>
      </c>
      <c r="G135" s="219" t="s">
        <v>175</v>
      </c>
      <c r="H135" s="219" t="s">
        <v>181</v>
      </c>
      <c r="I135" s="219" t="s">
        <v>54</v>
      </c>
      <c r="J135" s="219"/>
      <c r="K135" s="220" t="s">
        <v>144</v>
      </c>
      <c r="L135" s="221" t="s">
        <v>29</v>
      </c>
      <c r="M135" s="259" t="s">
        <v>178</v>
      </c>
      <c r="N135" s="222">
        <v>17722088000</v>
      </c>
      <c r="O135" s="222"/>
      <c r="P135" s="222"/>
      <c r="Q135" s="222"/>
      <c r="R135" s="222"/>
      <c r="S135" s="222"/>
      <c r="T135" s="222">
        <f>+N135-S135+O135-P135+Q135-R135</f>
        <v>17722088000</v>
      </c>
      <c r="U135" s="222">
        <v>17722088000</v>
      </c>
      <c r="V135" s="222">
        <f t="shared" si="109"/>
        <v>0</v>
      </c>
      <c r="W135" s="224">
        <f t="shared" si="65"/>
        <v>1</v>
      </c>
      <c r="X135" s="222">
        <v>10275548771</v>
      </c>
      <c r="Y135" s="222">
        <f t="shared" si="118"/>
        <v>7446539229</v>
      </c>
      <c r="Z135" s="224">
        <f t="shared" si="80"/>
        <v>0.42018407926876339</v>
      </c>
      <c r="AA135" s="222">
        <v>10275548771</v>
      </c>
      <c r="AB135" s="222">
        <f t="shared" si="110"/>
        <v>0</v>
      </c>
      <c r="AC135" s="224">
        <f t="shared" si="63"/>
        <v>0.57981592073123667</v>
      </c>
    </row>
    <row r="136" spans="1:29" ht="49.5">
      <c r="A136" s="32" t="str">
        <f t="shared" si="60"/>
        <v>C-4101-1500-6-0-4101078=11</v>
      </c>
      <c r="B136" s="210" t="str">
        <f>CONCATENATE(C136,"-",D136,"-",E136,"-",F136,"-",G136,"-",H136)</f>
        <v>C-4101-1500-6-0-4101078</v>
      </c>
      <c r="C136" s="211" t="s">
        <v>167</v>
      </c>
      <c r="D136" s="212" t="s">
        <v>171</v>
      </c>
      <c r="E136" s="212" t="s">
        <v>172</v>
      </c>
      <c r="F136" s="212" t="s">
        <v>173</v>
      </c>
      <c r="G136" s="212" t="s">
        <v>175</v>
      </c>
      <c r="H136" s="212" t="s">
        <v>183</v>
      </c>
      <c r="I136" s="212"/>
      <c r="J136" s="212"/>
      <c r="K136" s="213" t="s">
        <v>144</v>
      </c>
      <c r="L136" s="214" t="s">
        <v>29</v>
      </c>
      <c r="M136" s="210" t="s">
        <v>184</v>
      </c>
      <c r="N136" s="215">
        <f t="shared" ref="N136:V136" si="132">SUM(N137:N137)</f>
        <v>16276997084</v>
      </c>
      <c r="O136" s="215">
        <f t="shared" si="132"/>
        <v>0</v>
      </c>
      <c r="P136" s="215">
        <f t="shared" si="132"/>
        <v>0</v>
      </c>
      <c r="Q136" s="215">
        <f t="shared" si="132"/>
        <v>0</v>
      </c>
      <c r="R136" s="215">
        <f t="shared" si="132"/>
        <v>0</v>
      </c>
      <c r="S136" s="215">
        <f t="shared" si="132"/>
        <v>0</v>
      </c>
      <c r="T136" s="215">
        <f t="shared" si="132"/>
        <v>16276997084</v>
      </c>
      <c r="U136" s="215">
        <f t="shared" si="132"/>
        <v>15701257134</v>
      </c>
      <c r="V136" s="215">
        <f t="shared" si="132"/>
        <v>575739950</v>
      </c>
      <c r="W136" s="216">
        <f t="shared" si="65"/>
        <v>0.96462861380211573</v>
      </c>
      <c r="X136" s="215">
        <f t="shared" ref="X136:Y136" si="133">SUM(X137:X137)</f>
        <v>12486935302</v>
      </c>
      <c r="Y136" s="215">
        <f t="shared" si="133"/>
        <v>3214321832</v>
      </c>
      <c r="Z136" s="216">
        <f t="shared" si="80"/>
        <v>0.20471748246448404</v>
      </c>
      <c r="AA136" s="215">
        <f t="shared" ref="AA136:AB136" si="134">SUM(AA137:AA137)</f>
        <v>12470588079</v>
      </c>
      <c r="AB136" s="215">
        <f t="shared" si="134"/>
        <v>16347223</v>
      </c>
      <c r="AC136" s="216">
        <f t="shared" si="63"/>
        <v>0.7942413765070947</v>
      </c>
    </row>
    <row r="137" spans="1:29" ht="24.95" customHeight="1">
      <c r="A137" s="32" t="str">
        <f t="shared" si="60"/>
        <v>C-4101-1500-6-0-4101078-02=11</v>
      </c>
      <c r="B137" s="217" t="str">
        <f>CONCATENATE(C137,"-",D137,"-",E137,"-",F137,"-",G137,"-",H137,"-",I137)</f>
        <v>C-4101-1500-6-0-4101078-02</v>
      </c>
      <c r="C137" s="218" t="s">
        <v>167</v>
      </c>
      <c r="D137" s="219" t="s">
        <v>171</v>
      </c>
      <c r="E137" s="219" t="s">
        <v>172</v>
      </c>
      <c r="F137" s="219" t="s">
        <v>173</v>
      </c>
      <c r="G137" s="219" t="s">
        <v>175</v>
      </c>
      <c r="H137" s="219" t="s">
        <v>183</v>
      </c>
      <c r="I137" s="219" t="s">
        <v>54</v>
      </c>
      <c r="J137" s="219"/>
      <c r="K137" s="220" t="s">
        <v>144</v>
      </c>
      <c r="L137" s="221" t="s">
        <v>29</v>
      </c>
      <c r="M137" s="259" t="s">
        <v>178</v>
      </c>
      <c r="N137" s="222">
        <v>16276997084</v>
      </c>
      <c r="O137" s="222"/>
      <c r="P137" s="222"/>
      <c r="Q137" s="222"/>
      <c r="R137" s="222"/>
      <c r="S137" s="222"/>
      <c r="T137" s="222">
        <f>+N137-S137+O137-P137+Q137-R137</f>
        <v>16276997084</v>
      </c>
      <c r="U137" s="222">
        <v>15701257134</v>
      </c>
      <c r="V137" s="222">
        <f t="shared" si="109"/>
        <v>575739950</v>
      </c>
      <c r="W137" s="224">
        <f t="shared" si="65"/>
        <v>0.96462861380211573</v>
      </c>
      <c r="X137" s="222">
        <v>12486935302</v>
      </c>
      <c r="Y137" s="222">
        <f t="shared" si="118"/>
        <v>3214321832</v>
      </c>
      <c r="Z137" s="224">
        <f t="shared" si="80"/>
        <v>0.20471748246448404</v>
      </c>
      <c r="AA137" s="222">
        <v>12470588079</v>
      </c>
      <c r="AB137" s="222">
        <f t="shared" si="110"/>
        <v>16347223</v>
      </c>
      <c r="AC137" s="224">
        <f t="shared" si="63"/>
        <v>0.7942413765070947</v>
      </c>
    </row>
    <row r="138" spans="1:29" ht="24.95" customHeight="1">
      <c r="A138" s="32" t="str">
        <f t="shared" si="60"/>
        <v>C-4101-1500-6-0-4101080=11</v>
      </c>
      <c r="B138" s="210" t="str">
        <f>CONCATENATE(C138,"-",D138,"-",E138,"-",F138,"-",G138,"-",H138)</f>
        <v>C-4101-1500-6-0-4101080</v>
      </c>
      <c r="C138" s="211" t="s">
        <v>167</v>
      </c>
      <c r="D138" s="212" t="s">
        <v>171</v>
      </c>
      <c r="E138" s="212" t="s">
        <v>172</v>
      </c>
      <c r="F138" s="212" t="s">
        <v>173</v>
      </c>
      <c r="G138" s="212" t="s">
        <v>175</v>
      </c>
      <c r="H138" s="212" t="s">
        <v>185</v>
      </c>
      <c r="I138" s="212"/>
      <c r="J138" s="212"/>
      <c r="K138" s="213" t="s">
        <v>144</v>
      </c>
      <c r="L138" s="214" t="s">
        <v>29</v>
      </c>
      <c r="M138" s="210" t="s">
        <v>186</v>
      </c>
      <c r="N138" s="215">
        <f>+N139</f>
        <v>30467075662</v>
      </c>
      <c r="O138" s="215">
        <f t="shared" ref="O138:AB138" si="135">+O139</f>
        <v>0</v>
      </c>
      <c r="P138" s="215">
        <f t="shared" si="135"/>
        <v>0</v>
      </c>
      <c r="Q138" s="215">
        <f t="shared" si="135"/>
        <v>0</v>
      </c>
      <c r="R138" s="215">
        <f t="shared" si="135"/>
        <v>0</v>
      </c>
      <c r="S138" s="215">
        <f t="shared" si="135"/>
        <v>0</v>
      </c>
      <c r="T138" s="215">
        <f t="shared" si="135"/>
        <v>30467075662</v>
      </c>
      <c r="U138" s="215">
        <f t="shared" si="135"/>
        <v>23398487248</v>
      </c>
      <c r="V138" s="215">
        <f t="shared" si="135"/>
        <v>7068588414</v>
      </c>
      <c r="W138" s="216">
        <f t="shared" si="65"/>
        <v>0.76799255391562626</v>
      </c>
      <c r="X138" s="215">
        <f t="shared" si="135"/>
        <v>4756962901</v>
      </c>
      <c r="Y138" s="215">
        <f t="shared" si="135"/>
        <v>18641524347</v>
      </c>
      <c r="Z138" s="216">
        <f t="shared" si="80"/>
        <v>0.79669784415628819</v>
      </c>
      <c r="AA138" s="215">
        <f t="shared" si="135"/>
        <v>4756962901</v>
      </c>
      <c r="AB138" s="215">
        <f t="shared" si="135"/>
        <v>0</v>
      </c>
      <c r="AC138" s="216">
        <f t="shared" si="63"/>
        <v>0.20330215584371183</v>
      </c>
    </row>
    <row r="139" spans="1:29" ht="24.95" customHeight="1">
      <c r="A139" s="32" t="str">
        <f t="shared" si="60"/>
        <v>C-4101-1500-6-0-4101080-02=11</v>
      </c>
      <c r="B139" s="217" t="str">
        <f>CONCATENATE(C139,"-",D139,"-",E139,"-",F139,"-",G139,"-",H139,"-",I139)</f>
        <v>C-4101-1500-6-0-4101080-02</v>
      </c>
      <c r="C139" s="218" t="s">
        <v>167</v>
      </c>
      <c r="D139" s="219" t="s">
        <v>171</v>
      </c>
      <c r="E139" s="219" t="s">
        <v>172</v>
      </c>
      <c r="F139" s="219" t="s">
        <v>173</v>
      </c>
      <c r="G139" s="219" t="s">
        <v>175</v>
      </c>
      <c r="H139" s="219" t="s">
        <v>185</v>
      </c>
      <c r="I139" s="219" t="s">
        <v>54</v>
      </c>
      <c r="J139" s="219"/>
      <c r="K139" s="220" t="s">
        <v>144</v>
      </c>
      <c r="L139" s="221" t="s">
        <v>29</v>
      </c>
      <c r="M139" s="259" t="s">
        <v>178</v>
      </c>
      <c r="N139" s="222">
        <v>30467075662</v>
      </c>
      <c r="O139" s="222"/>
      <c r="P139" s="222"/>
      <c r="Q139" s="222"/>
      <c r="R139" s="222"/>
      <c r="S139" s="222"/>
      <c r="T139" s="222">
        <f>+N139-S139+O139-P139+Q139-R139</f>
        <v>30467075662</v>
      </c>
      <c r="U139" s="222">
        <v>23398487248</v>
      </c>
      <c r="V139" s="222">
        <f t="shared" si="109"/>
        <v>7068588414</v>
      </c>
      <c r="W139" s="224">
        <f t="shared" si="65"/>
        <v>0.76799255391562626</v>
      </c>
      <c r="X139" s="222">
        <v>4756962901</v>
      </c>
      <c r="Y139" s="222">
        <f t="shared" si="118"/>
        <v>18641524347</v>
      </c>
      <c r="Z139" s="224">
        <f t="shared" si="80"/>
        <v>0.79669784415628819</v>
      </c>
      <c r="AA139" s="222">
        <v>4756962901</v>
      </c>
      <c r="AB139" s="222">
        <f t="shared" si="110"/>
        <v>0</v>
      </c>
      <c r="AC139" s="224">
        <f t="shared" si="63"/>
        <v>0.20330215584371183</v>
      </c>
    </row>
    <row r="140" spans="1:29" ht="33">
      <c r="A140" s="32" t="str">
        <f t="shared" si="60"/>
        <v>C-4101-1500-6-0-4101081=11</v>
      </c>
      <c r="B140" s="210" t="str">
        <f>CONCATENATE(C140,"-",D140,"-",E140,"-",F140,"-",G140,"-",H140)</f>
        <v>C-4101-1500-6-0-4101081</v>
      </c>
      <c r="C140" s="211" t="s">
        <v>167</v>
      </c>
      <c r="D140" s="212" t="s">
        <v>171</v>
      </c>
      <c r="E140" s="212" t="s">
        <v>172</v>
      </c>
      <c r="F140" s="212" t="s">
        <v>173</v>
      </c>
      <c r="G140" s="212" t="s">
        <v>175</v>
      </c>
      <c r="H140" s="212" t="s">
        <v>187</v>
      </c>
      <c r="I140" s="212"/>
      <c r="J140" s="212"/>
      <c r="K140" s="213" t="s">
        <v>144</v>
      </c>
      <c r="L140" s="214" t="s">
        <v>29</v>
      </c>
      <c r="M140" s="210" t="s">
        <v>188</v>
      </c>
      <c r="N140" s="215">
        <f>SUM(N141:N142)</f>
        <v>21267303756</v>
      </c>
      <c r="O140" s="215">
        <f t="shared" ref="O140:AB140" si="136">SUM(O141:O142)</f>
        <v>0</v>
      </c>
      <c r="P140" s="215">
        <f t="shared" si="136"/>
        <v>0</v>
      </c>
      <c r="Q140" s="215">
        <f t="shared" si="136"/>
        <v>0</v>
      </c>
      <c r="R140" s="215">
        <f t="shared" si="136"/>
        <v>0</v>
      </c>
      <c r="S140" s="215">
        <f t="shared" si="136"/>
        <v>0</v>
      </c>
      <c r="T140" s="215">
        <f t="shared" si="136"/>
        <v>21267303756</v>
      </c>
      <c r="U140" s="215">
        <f t="shared" si="136"/>
        <v>21267303756</v>
      </c>
      <c r="V140" s="215">
        <f t="shared" si="136"/>
        <v>0</v>
      </c>
      <c r="W140" s="216">
        <f t="shared" si="65"/>
        <v>1</v>
      </c>
      <c r="X140" s="215">
        <f t="shared" si="136"/>
        <v>8376780598</v>
      </c>
      <c r="Y140" s="215">
        <f t="shared" si="136"/>
        <v>12890523158</v>
      </c>
      <c r="Z140" s="216">
        <f t="shared" si="80"/>
        <v>0.60611929494651073</v>
      </c>
      <c r="AA140" s="215">
        <f t="shared" si="136"/>
        <v>8376780598</v>
      </c>
      <c r="AB140" s="215">
        <f t="shared" si="136"/>
        <v>0</v>
      </c>
      <c r="AC140" s="216">
        <f t="shared" si="63"/>
        <v>0.39388070505348927</v>
      </c>
    </row>
    <row r="141" spans="1:29" ht="24.95" customHeight="1">
      <c r="A141" s="32" t="str">
        <f t="shared" si="60"/>
        <v>C-4101-1500-6-0-4101081-02=11</v>
      </c>
      <c r="B141" s="217" t="str">
        <f>CONCATENATE(C141,"-",D141,"-",E141,"-",F141,"-",G141,"-",H141,"-",I141)</f>
        <v>C-4101-1500-6-0-4101081-02</v>
      </c>
      <c r="C141" s="218" t="s">
        <v>167</v>
      </c>
      <c r="D141" s="219" t="s">
        <v>171</v>
      </c>
      <c r="E141" s="219" t="s">
        <v>172</v>
      </c>
      <c r="F141" s="219" t="s">
        <v>173</v>
      </c>
      <c r="G141" s="219" t="s">
        <v>175</v>
      </c>
      <c r="H141" s="219" t="s">
        <v>187</v>
      </c>
      <c r="I141" s="219" t="s">
        <v>54</v>
      </c>
      <c r="J141" s="219"/>
      <c r="K141" s="220" t="s">
        <v>144</v>
      </c>
      <c r="L141" s="221" t="s">
        <v>29</v>
      </c>
      <c r="M141" s="259" t="s">
        <v>178</v>
      </c>
      <c r="N141" s="222">
        <v>4435143756</v>
      </c>
      <c r="O141" s="222"/>
      <c r="P141" s="222"/>
      <c r="Q141" s="222"/>
      <c r="R141" s="222"/>
      <c r="S141" s="222"/>
      <c r="T141" s="222">
        <f>+N141-S141+O141-P141+Q141-R141</f>
        <v>4435143756</v>
      </c>
      <c r="U141" s="222">
        <v>4435143756</v>
      </c>
      <c r="V141" s="222">
        <f t="shared" si="109"/>
        <v>0</v>
      </c>
      <c r="W141" s="224">
        <f t="shared" si="65"/>
        <v>1</v>
      </c>
      <c r="X141" s="222">
        <v>4435143756</v>
      </c>
      <c r="Y141" s="222">
        <f t="shared" si="118"/>
        <v>0</v>
      </c>
      <c r="Z141" s="224">
        <f t="shared" si="80"/>
        <v>0</v>
      </c>
      <c r="AA141" s="222">
        <v>4435143756</v>
      </c>
      <c r="AB141" s="222">
        <f t="shared" si="110"/>
        <v>0</v>
      </c>
      <c r="AC141" s="224">
        <f t="shared" si="63"/>
        <v>1</v>
      </c>
    </row>
    <row r="142" spans="1:29" ht="24.95" customHeight="1">
      <c r="A142" s="32" t="str">
        <f t="shared" si="60"/>
        <v>C-4101-1500-6-0-4101081-03=11</v>
      </c>
      <c r="B142" s="217" t="str">
        <f>CONCATENATE(C142,"-",D142,"-",E142,"-",F142,"-",G142,"-",H142,"-",I142)</f>
        <v>C-4101-1500-6-0-4101081-03</v>
      </c>
      <c r="C142" s="218" t="s">
        <v>167</v>
      </c>
      <c r="D142" s="219" t="s">
        <v>171</v>
      </c>
      <c r="E142" s="219" t="s">
        <v>172</v>
      </c>
      <c r="F142" s="219" t="s">
        <v>173</v>
      </c>
      <c r="G142" s="219" t="s">
        <v>175</v>
      </c>
      <c r="H142" s="219" t="s">
        <v>187</v>
      </c>
      <c r="I142" s="225" t="s">
        <v>65</v>
      </c>
      <c r="J142" s="219"/>
      <c r="K142" s="220" t="s">
        <v>144</v>
      </c>
      <c r="L142" s="221" t="s">
        <v>29</v>
      </c>
      <c r="M142" s="259" t="s">
        <v>127</v>
      </c>
      <c r="N142" s="222">
        <v>16832160000</v>
      </c>
      <c r="O142" s="222"/>
      <c r="P142" s="222"/>
      <c r="Q142" s="222"/>
      <c r="R142" s="222"/>
      <c r="S142" s="222"/>
      <c r="T142" s="222">
        <f>+N142-S142+O142-P142+Q142-R142</f>
        <v>16832160000</v>
      </c>
      <c r="U142" s="222">
        <v>16832160000</v>
      </c>
      <c r="V142" s="222">
        <f t="shared" si="109"/>
        <v>0</v>
      </c>
      <c r="W142" s="224">
        <f t="shared" si="65"/>
        <v>1</v>
      </c>
      <c r="X142" s="222">
        <v>3941636842</v>
      </c>
      <c r="Y142" s="222">
        <f t="shared" si="118"/>
        <v>12890523158</v>
      </c>
      <c r="Z142" s="224">
        <f t="shared" si="80"/>
        <v>0.76582703336945468</v>
      </c>
      <c r="AA142" s="222">
        <v>3941636842</v>
      </c>
      <c r="AB142" s="222">
        <f t="shared" si="110"/>
        <v>0</v>
      </c>
      <c r="AC142" s="224">
        <f t="shared" si="63"/>
        <v>0.23417296663054535</v>
      </c>
    </row>
    <row r="143" spans="1:29" ht="35.1" customHeight="1">
      <c r="A143" s="32" t="str">
        <f t="shared" si="60"/>
        <v>C-4103=</v>
      </c>
      <c r="B143" s="188" t="str">
        <f>CONCATENATE(C143,"-",D143)</f>
        <v>C-4103</v>
      </c>
      <c r="C143" s="189" t="s">
        <v>167</v>
      </c>
      <c r="D143" s="191">
        <v>4103</v>
      </c>
      <c r="E143" s="191"/>
      <c r="F143" s="191"/>
      <c r="G143" s="191"/>
      <c r="H143" s="191"/>
      <c r="I143" s="191"/>
      <c r="J143" s="191"/>
      <c r="K143" s="192"/>
      <c r="L143" s="193"/>
      <c r="M143" s="188" t="s">
        <v>189</v>
      </c>
      <c r="N143" s="194">
        <f>+N144</f>
        <v>3297855758141</v>
      </c>
      <c r="O143" s="194">
        <f t="shared" ref="O143:V143" si="137">+O144</f>
        <v>0</v>
      </c>
      <c r="P143" s="194">
        <f t="shared" si="137"/>
        <v>0</v>
      </c>
      <c r="Q143" s="194">
        <f t="shared" si="137"/>
        <v>394453823733.81</v>
      </c>
      <c r="R143" s="194">
        <f t="shared" si="137"/>
        <v>394453823733.81</v>
      </c>
      <c r="S143" s="194">
        <f t="shared" si="137"/>
        <v>580000000000</v>
      </c>
      <c r="T143" s="194">
        <f t="shared" si="137"/>
        <v>2717855758141</v>
      </c>
      <c r="U143" s="194">
        <f t="shared" si="137"/>
        <v>2539578009697.9497</v>
      </c>
      <c r="V143" s="194">
        <f t="shared" si="137"/>
        <v>178277748443.04999</v>
      </c>
      <c r="W143" s="195">
        <f t="shared" si="65"/>
        <v>0.934405000004492</v>
      </c>
      <c r="X143" s="194">
        <f t="shared" ref="X143:Y143" si="138">+X144</f>
        <v>1722401197047.9797</v>
      </c>
      <c r="Y143" s="194">
        <f t="shared" si="138"/>
        <v>817176812649.97009</v>
      </c>
      <c r="Z143" s="195">
        <f t="shared" si="80"/>
        <v>0.32177661388206885</v>
      </c>
      <c r="AA143" s="194">
        <f t="shared" ref="AA143:AB143" si="139">+AA144</f>
        <v>1722382247984.9797</v>
      </c>
      <c r="AB143" s="194">
        <f t="shared" si="139"/>
        <v>18949063</v>
      </c>
      <c r="AC143" s="195">
        <f t="shared" si="63"/>
        <v>0.67821592461726943</v>
      </c>
    </row>
    <row r="144" spans="1:29" ht="24.95" customHeight="1">
      <c r="A144" s="32" t="str">
        <f t="shared" ref="A144:A200" si="140">+CONCATENATE(B144,"=",K144)</f>
        <v>C-4103-1500=</v>
      </c>
      <c r="B144" s="196" t="str">
        <f>CONCATENATE(C144,"-",D144,"-",E144)</f>
        <v>C-4103-1500</v>
      </c>
      <c r="C144" s="197" t="s">
        <v>167</v>
      </c>
      <c r="D144" s="198">
        <v>4103</v>
      </c>
      <c r="E144" s="198">
        <v>1500</v>
      </c>
      <c r="F144" s="198"/>
      <c r="G144" s="198"/>
      <c r="H144" s="198"/>
      <c r="I144" s="198"/>
      <c r="J144" s="198"/>
      <c r="K144" s="199"/>
      <c r="L144" s="200"/>
      <c r="M144" s="196" t="s">
        <v>170</v>
      </c>
      <c r="N144" s="201">
        <f>+N145+N152+N161+N168+N173+N182+N185+N192</f>
        <v>3297855758141</v>
      </c>
      <c r="O144" s="201">
        <f t="shared" ref="O144:R144" si="141">+O145+O152+O161+O168+O173+O182+O185+O192</f>
        <v>0</v>
      </c>
      <c r="P144" s="201">
        <f t="shared" si="141"/>
        <v>0</v>
      </c>
      <c r="Q144" s="201">
        <f t="shared" si="141"/>
        <v>394453823733.81</v>
      </c>
      <c r="R144" s="201">
        <f t="shared" si="141"/>
        <v>394453823733.81</v>
      </c>
      <c r="S144" s="201">
        <f>+S145+S152+S161+S168+S173+S182+S185+S192</f>
        <v>580000000000</v>
      </c>
      <c r="T144" s="201">
        <f t="shared" ref="T144:V144" si="142">+T145+T152+T161+T168+T173+T182+T185+T192</f>
        <v>2717855758141</v>
      </c>
      <c r="U144" s="201">
        <f t="shared" si="142"/>
        <v>2539578009697.9497</v>
      </c>
      <c r="V144" s="201">
        <f t="shared" si="142"/>
        <v>178277748443.04999</v>
      </c>
      <c r="W144" s="202">
        <f t="shared" si="65"/>
        <v>0.934405000004492</v>
      </c>
      <c r="X144" s="201">
        <f t="shared" ref="X144:Y144" si="143">+X145+X152+X161+X168+X173+X182+X185+X192</f>
        <v>1722401197047.9797</v>
      </c>
      <c r="Y144" s="201">
        <f t="shared" si="143"/>
        <v>817176812649.97009</v>
      </c>
      <c r="Z144" s="202">
        <f t="shared" si="80"/>
        <v>0.32177661388206885</v>
      </c>
      <c r="AA144" s="201">
        <f t="shared" ref="AA144:AB144" si="144">+AA145+AA152+AA161+AA168+AA173+AA182+AA185+AA192</f>
        <v>1722382247984.9797</v>
      </c>
      <c r="AB144" s="201">
        <f t="shared" si="144"/>
        <v>18949063</v>
      </c>
      <c r="AC144" s="202">
        <f t="shared" ref="AC144:AC201" si="145">+IF(U144&gt;0,(AA144/U144),0)</f>
        <v>0.67821592461726943</v>
      </c>
    </row>
    <row r="145" spans="1:52" ht="33">
      <c r="A145" s="32" t="str">
        <f t="shared" si="140"/>
        <v>C-4103-1500-12=</v>
      </c>
      <c r="B145" s="203" t="str">
        <f>CONCATENATE(C145,"-",D145,"-",E145,"-",F145)</f>
        <v>C-4103-1500-12</v>
      </c>
      <c r="C145" s="227" t="s">
        <v>167</v>
      </c>
      <c r="D145" s="228" t="s">
        <v>190</v>
      </c>
      <c r="E145" s="228" t="s">
        <v>172</v>
      </c>
      <c r="F145" s="228" t="s">
        <v>191</v>
      </c>
      <c r="G145" s="228"/>
      <c r="H145" s="228"/>
      <c r="I145" s="228"/>
      <c r="J145" s="228"/>
      <c r="K145" s="229"/>
      <c r="L145" s="230"/>
      <c r="M145" s="231" t="s">
        <v>280</v>
      </c>
      <c r="N145" s="232">
        <f>+N146+N150</f>
        <v>1879080064351</v>
      </c>
      <c r="O145" s="232">
        <f t="shared" ref="O145:V145" si="146">+O146+O150</f>
        <v>0</v>
      </c>
      <c r="P145" s="232">
        <f t="shared" si="146"/>
        <v>0</v>
      </c>
      <c r="Q145" s="232">
        <f t="shared" si="146"/>
        <v>49816807901.169998</v>
      </c>
      <c r="R145" s="232">
        <f t="shared" si="146"/>
        <v>49816807901.169998</v>
      </c>
      <c r="S145" s="232">
        <f t="shared" si="146"/>
        <v>60000000000</v>
      </c>
      <c r="T145" s="232">
        <f t="shared" si="146"/>
        <v>1819080064351</v>
      </c>
      <c r="U145" s="232">
        <f t="shared" si="146"/>
        <v>1790774382680.6699</v>
      </c>
      <c r="V145" s="232">
        <f t="shared" si="146"/>
        <v>28305681670.330017</v>
      </c>
      <c r="W145" s="233">
        <f t="shared" si="65"/>
        <v>0.98443956248818065</v>
      </c>
      <c r="X145" s="232">
        <f t="shared" ref="X145:Y145" si="147">+X146+X150</f>
        <v>1408140841413.96</v>
      </c>
      <c r="Y145" s="232">
        <f t="shared" si="147"/>
        <v>382633541266.70996</v>
      </c>
      <c r="Z145" s="233">
        <f t="shared" si="80"/>
        <v>0.21366931812701778</v>
      </c>
      <c r="AA145" s="232">
        <f t="shared" ref="AA145:AB145" si="148">+AA146+AA150</f>
        <v>1408140841413.96</v>
      </c>
      <c r="AB145" s="232">
        <f t="shared" si="148"/>
        <v>0</v>
      </c>
      <c r="AC145" s="233">
        <f t="shared" si="145"/>
        <v>0.78633068187298216</v>
      </c>
    </row>
    <row r="146" spans="1:52" ht="33">
      <c r="A146" s="32" t="str">
        <f t="shared" si="140"/>
        <v>C-4103-1500-12-0-4103006=</v>
      </c>
      <c r="B146" s="210" t="str">
        <f>CONCATENATE(C146,"-",D146,"-",E146,"-",F146,"-",G146,"-",H146)</f>
        <v>C-4103-1500-12-0-4103006</v>
      </c>
      <c r="C146" s="211" t="s">
        <v>167</v>
      </c>
      <c r="D146" s="212" t="s">
        <v>190</v>
      </c>
      <c r="E146" s="212" t="s">
        <v>172</v>
      </c>
      <c r="F146" s="212" t="s">
        <v>191</v>
      </c>
      <c r="G146" s="212" t="s">
        <v>175</v>
      </c>
      <c r="H146" s="212" t="s">
        <v>193</v>
      </c>
      <c r="I146" s="212"/>
      <c r="J146" s="212"/>
      <c r="K146" s="213"/>
      <c r="L146" s="214"/>
      <c r="M146" s="210" t="s">
        <v>194</v>
      </c>
      <c r="N146" s="215">
        <f t="shared" ref="N146" si="149">SUM(N147:N149)</f>
        <v>1873368757333</v>
      </c>
      <c r="O146" s="215">
        <f t="shared" ref="O146:V146" si="150">SUM(O147:O149)</f>
        <v>0</v>
      </c>
      <c r="P146" s="215">
        <f t="shared" si="150"/>
        <v>0</v>
      </c>
      <c r="Q146" s="215">
        <f t="shared" si="150"/>
        <v>49816807901.169998</v>
      </c>
      <c r="R146" s="215">
        <f t="shared" si="150"/>
        <v>49816807901.169998</v>
      </c>
      <c r="S146" s="215">
        <f t="shared" si="150"/>
        <v>60000000000</v>
      </c>
      <c r="T146" s="215">
        <f t="shared" si="150"/>
        <v>1813368757333</v>
      </c>
      <c r="U146" s="215">
        <f t="shared" si="150"/>
        <v>1785663075662.6699</v>
      </c>
      <c r="V146" s="215">
        <f t="shared" si="150"/>
        <v>27705681670.330017</v>
      </c>
      <c r="W146" s="216">
        <f t="shared" si="65"/>
        <v>0.98472142990316103</v>
      </c>
      <c r="X146" s="215">
        <f t="shared" ref="X146:Y146" si="151">SUM(X147:X149)</f>
        <v>1407004995413.96</v>
      </c>
      <c r="Y146" s="215">
        <f t="shared" si="151"/>
        <v>378658080248.70996</v>
      </c>
      <c r="Z146" s="216">
        <f t="shared" si="80"/>
        <v>0.21205460616258068</v>
      </c>
      <c r="AA146" s="215">
        <f t="shared" ref="AA146:AB146" si="152">SUM(AA147:AA149)</f>
        <v>1407004995413.96</v>
      </c>
      <c r="AB146" s="215">
        <f t="shared" si="152"/>
        <v>0</v>
      </c>
      <c r="AC146" s="216">
        <f t="shared" si="145"/>
        <v>0.78794539383741935</v>
      </c>
    </row>
    <row r="147" spans="1:52" s="64" customFormat="1" ht="24.95" customHeight="1">
      <c r="A147" s="32" t="str">
        <f t="shared" si="140"/>
        <v>C-4103-1500-12-0-4103006-02=10</v>
      </c>
      <c r="B147" s="217" t="str">
        <f>CONCATENATE(C147,"-",D147,"-",E147,"-",F147,"-",G147,"-",H147,"-",I147)</f>
        <v>C-4103-1500-12-0-4103006-02</v>
      </c>
      <c r="C147" s="266" t="s">
        <v>167</v>
      </c>
      <c r="D147" s="267" t="s">
        <v>190</v>
      </c>
      <c r="E147" s="267" t="s">
        <v>172</v>
      </c>
      <c r="F147" s="267" t="s">
        <v>191</v>
      </c>
      <c r="G147" s="267" t="s">
        <v>175</v>
      </c>
      <c r="H147" s="267" t="s">
        <v>193</v>
      </c>
      <c r="I147" s="267" t="s">
        <v>54</v>
      </c>
      <c r="J147" s="219"/>
      <c r="K147" s="220">
        <v>10</v>
      </c>
      <c r="L147" s="221" t="s">
        <v>29</v>
      </c>
      <c r="M147" s="259" t="s">
        <v>178</v>
      </c>
      <c r="N147" s="222">
        <v>170514008840.17001</v>
      </c>
      <c r="O147" s="637"/>
      <c r="P147" s="638"/>
      <c r="Q147" s="223"/>
      <c r="R147" s="223">
        <f>4660008249+45156799652.17</f>
        <v>49816807901.169998</v>
      </c>
      <c r="S147" s="223"/>
      <c r="T147" s="222">
        <f>+N147-S147+O147-P147+Q147-R147</f>
        <v>120697200939.00002</v>
      </c>
      <c r="U147" s="222">
        <v>93008868318.839996</v>
      </c>
      <c r="V147" s="222">
        <f>+T147-U147</f>
        <v>27688332620.160019</v>
      </c>
      <c r="W147" s="224">
        <f t="shared" si="65"/>
        <v>0.77059672962794212</v>
      </c>
      <c r="X147" s="222">
        <v>48946355445.959999</v>
      </c>
      <c r="Y147" s="222">
        <f>+U147-X147</f>
        <v>44062512872.879997</v>
      </c>
      <c r="Z147" s="224">
        <f t="shared" si="80"/>
        <v>0.47374528546924205</v>
      </c>
      <c r="AA147" s="222">
        <v>48946355445.959999</v>
      </c>
      <c r="AB147" s="222">
        <f>+X147-AA147</f>
        <v>0</v>
      </c>
      <c r="AC147" s="224">
        <f t="shared" si="145"/>
        <v>0.52625471453075789</v>
      </c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</row>
    <row r="148" spans="1:52" ht="24.95" customHeight="1">
      <c r="A148" s="32" t="str">
        <f t="shared" si="140"/>
        <v>C-4103-1500-12-0-4103006-03=10</v>
      </c>
      <c r="B148" s="217" t="str">
        <f>CONCATENATE(C148,"-",D148,"-",E148,"-",F148,"-",G148,"-",H148,"-",I148)</f>
        <v>C-4103-1500-12-0-4103006-03</v>
      </c>
      <c r="C148" s="266" t="s">
        <v>167</v>
      </c>
      <c r="D148" s="267" t="s">
        <v>190</v>
      </c>
      <c r="E148" s="267" t="s">
        <v>172</v>
      </c>
      <c r="F148" s="267" t="s">
        <v>191</v>
      </c>
      <c r="G148" s="267" t="s">
        <v>175</v>
      </c>
      <c r="H148" s="267" t="s">
        <v>193</v>
      </c>
      <c r="I148" s="267" t="s">
        <v>65</v>
      </c>
      <c r="J148" s="219"/>
      <c r="K148" s="220">
        <v>10</v>
      </c>
      <c r="L148" s="221" t="s">
        <v>29</v>
      </c>
      <c r="M148" s="259" t="s">
        <v>127</v>
      </c>
      <c r="N148" s="222">
        <v>11682690576.83</v>
      </c>
      <c r="O148" s="637"/>
      <c r="P148" s="638"/>
      <c r="Q148" s="223">
        <f>4660008249+45156799652.17</f>
        <v>49816807901.169998</v>
      </c>
      <c r="R148" s="223"/>
      <c r="S148" s="223"/>
      <c r="T148" s="222">
        <f>+N148-S148+O148-P148+Q148-R148</f>
        <v>61499498478</v>
      </c>
      <c r="U148" s="222">
        <v>61482149427.830002</v>
      </c>
      <c r="V148" s="222">
        <f>+T148-U148</f>
        <v>17349050.169998169</v>
      </c>
      <c r="W148" s="224">
        <f t="shared" si="65"/>
        <v>0.99971789932276922</v>
      </c>
      <c r="X148" s="222">
        <v>16324617825</v>
      </c>
      <c r="Y148" s="222">
        <f>+U148-X148</f>
        <v>45157531602.830002</v>
      </c>
      <c r="Z148" s="224">
        <f t="shared" si="80"/>
        <v>0.73448199230310851</v>
      </c>
      <c r="AA148" s="222">
        <v>16324617825</v>
      </c>
      <c r="AB148" s="222">
        <f t="shared" ref="AB148:AB149" si="153">+X148-AA148</f>
        <v>0</v>
      </c>
      <c r="AC148" s="224">
        <f t="shared" si="145"/>
        <v>0.26551800769689149</v>
      </c>
    </row>
    <row r="149" spans="1:52" ht="24.95" customHeight="1">
      <c r="A149" s="32" t="str">
        <f t="shared" si="140"/>
        <v>C-4103-1500-12-0-4103006-03=11</v>
      </c>
      <c r="B149" s="217" t="str">
        <f>CONCATENATE(C149,"-",D149,"-",E149,"-",F149,"-",G149,"-",H149,"-",I149)</f>
        <v>C-4103-1500-12-0-4103006-03</v>
      </c>
      <c r="C149" s="266" t="s">
        <v>167</v>
      </c>
      <c r="D149" s="267" t="s">
        <v>190</v>
      </c>
      <c r="E149" s="267" t="s">
        <v>172</v>
      </c>
      <c r="F149" s="267" t="s">
        <v>191</v>
      </c>
      <c r="G149" s="267" t="s">
        <v>175</v>
      </c>
      <c r="H149" s="267" t="s">
        <v>193</v>
      </c>
      <c r="I149" s="267" t="s">
        <v>65</v>
      </c>
      <c r="J149" s="267"/>
      <c r="K149" s="268" t="s">
        <v>144</v>
      </c>
      <c r="L149" s="269" t="s">
        <v>29</v>
      </c>
      <c r="M149" s="259" t="s">
        <v>127</v>
      </c>
      <c r="N149" s="222">
        <v>1691172057916</v>
      </c>
      <c r="O149" s="637"/>
      <c r="P149" s="638"/>
      <c r="Q149" s="223"/>
      <c r="R149" s="223"/>
      <c r="S149" s="223">
        <v>60000000000</v>
      </c>
      <c r="T149" s="222">
        <f>+N149-S149+O149-P149+Q149-R149</f>
        <v>1631172057916</v>
      </c>
      <c r="U149" s="222">
        <v>1631172057916</v>
      </c>
      <c r="V149" s="222">
        <f>+T149-U149</f>
        <v>0</v>
      </c>
      <c r="W149" s="224">
        <f t="shared" si="65"/>
        <v>1</v>
      </c>
      <c r="X149" s="222">
        <v>1341734022143</v>
      </c>
      <c r="Y149" s="222">
        <f>+U149-X149</f>
        <v>289438035773</v>
      </c>
      <c r="Z149" s="224">
        <f t="shared" si="80"/>
        <v>0.17744175690625097</v>
      </c>
      <c r="AA149" s="222">
        <v>1341734022143</v>
      </c>
      <c r="AB149" s="222">
        <f t="shared" si="153"/>
        <v>0</v>
      </c>
      <c r="AC149" s="224">
        <f t="shared" si="145"/>
        <v>0.82255824309374903</v>
      </c>
    </row>
    <row r="150" spans="1:52" ht="33">
      <c r="A150" s="32" t="str">
        <f t="shared" si="140"/>
        <v>C-4103-1500-12-0-4103009=10</v>
      </c>
      <c r="B150" s="210" t="str">
        <f>CONCATENATE(C150,"-",D150,"-",E150,"-",F150,"-",G150,"-",H150)</f>
        <v>C-4103-1500-12-0-4103009</v>
      </c>
      <c r="C150" s="211" t="s">
        <v>167</v>
      </c>
      <c r="D150" s="212" t="s">
        <v>190</v>
      </c>
      <c r="E150" s="212" t="s">
        <v>172</v>
      </c>
      <c r="F150" s="212" t="s">
        <v>191</v>
      </c>
      <c r="G150" s="212" t="s">
        <v>175</v>
      </c>
      <c r="H150" s="212">
        <v>4103009</v>
      </c>
      <c r="I150" s="212"/>
      <c r="J150" s="212"/>
      <c r="K150" s="252">
        <v>10</v>
      </c>
      <c r="L150" s="214" t="s">
        <v>29</v>
      </c>
      <c r="M150" s="210" t="s">
        <v>195</v>
      </c>
      <c r="N150" s="215">
        <f>+N151</f>
        <v>5711307018</v>
      </c>
      <c r="O150" s="215">
        <f>+O151</f>
        <v>0</v>
      </c>
      <c r="P150" s="215">
        <f t="shared" ref="P150:AB150" si="154">+P151</f>
        <v>0</v>
      </c>
      <c r="Q150" s="215">
        <f t="shared" si="154"/>
        <v>0</v>
      </c>
      <c r="R150" s="215">
        <f t="shared" si="154"/>
        <v>0</v>
      </c>
      <c r="S150" s="215">
        <f t="shared" si="154"/>
        <v>0</v>
      </c>
      <c r="T150" s="215">
        <f t="shared" si="154"/>
        <v>5711307018</v>
      </c>
      <c r="U150" s="215">
        <f t="shared" si="154"/>
        <v>5111307018</v>
      </c>
      <c r="V150" s="215">
        <f t="shared" si="154"/>
        <v>600000000</v>
      </c>
      <c r="W150" s="216">
        <f t="shared" ref="W150:W201" si="155">+IF(T150&gt;0,U150/T150,0)</f>
        <v>0.89494523790981395</v>
      </c>
      <c r="X150" s="215">
        <f t="shared" si="154"/>
        <v>1135846000</v>
      </c>
      <c r="Y150" s="215">
        <f t="shared" si="154"/>
        <v>3975461018</v>
      </c>
      <c r="Z150" s="216">
        <f t="shared" si="80"/>
        <v>0.77777777856035646</v>
      </c>
      <c r="AA150" s="215">
        <f t="shared" si="154"/>
        <v>1135846000</v>
      </c>
      <c r="AB150" s="215">
        <f t="shared" si="154"/>
        <v>0</v>
      </c>
      <c r="AC150" s="216">
        <f t="shared" si="145"/>
        <v>0.22222222143964351</v>
      </c>
    </row>
    <row r="151" spans="1:52" ht="24.95" customHeight="1">
      <c r="A151" s="32" t="str">
        <f t="shared" si="140"/>
        <v>C-4103-1500-12-0-4103009-02=10</v>
      </c>
      <c r="B151" s="217" t="str">
        <f>CONCATENATE(C151,"-",D151,"-",E151,"-",F151,"-",G151,"-",H151,"-",I151)</f>
        <v>C-4103-1500-12-0-4103009-02</v>
      </c>
      <c r="C151" s="266" t="s">
        <v>167</v>
      </c>
      <c r="D151" s="267" t="s">
        <v>190</v>
      </c>
      <c r="E151" s="267" t="s">
        <v>172</v>
      </c>
      <c r="F151" s="267" t="s">
        <v>191</v>
      </c>
      <c r="G151" s="267" t="s">
        <v>175</v>
      </c>
      <c r="H151" s="267">
        <v>4103009</v>
      </c>
      <c r="I151" s="267" t="s">
        <v>54</v>
      </c>
      <c r="J151" s="219"/>
      <c r="K151" s="270">
        <v>10</v>
      </c>
      <c r="L151" s="221" t="s">
        <v>29</v>
      </c>
      <c r="M151" s="259" t="s">
        <v>178</v>
      </c>
      <c r="N151" s="222">
        <v>5711307018</v>
      </c>
      <c r="O151" s="222"/>
      <c r="P151" s="636"/>
      <c r="Q151" s="222"/>
      <c r="R151" s="222"/>
      <c r="S151" s="222"/>
      <c r="T151" s="222">
        <f>+N151-S151+O151-P151+Q151-R151</f>
        <v>5711307018</v>
      </c>
      <c r="U151" s="222">
        <v>5111307018</v>
      </c>
      <c r="V151" s="222">
        <f>+T151-U151</f>
        <v>600000000</v>
      </c>
      <c r="W151" s="224">
        <f t="shared" si="155"/>
        <v>0.89494523790981395</v>
      </c>
      <c r="X151" s="222">
        <v>1135846000</v>
      </c>
      <c r="Y151" s="222">
        <f>+U151-X151</f>
        <v>3975461018</v>
      </c>
      <c r="Z151" s="224">
        <f t="shared" si="80"/>
        <v>0.77777777856035646</v>
      </c>
      <c r="AA151" s="222">
        <v>1135846000</v>
      </c>
      <c r="AB151" s="222">
        <f t="shared" ref="AB151" si="156">+X151-AA151</f>
        <v>0</v>
      </c>
      <c r="AC151" s="224">
        <f t="shared" si="145"/>
        <v>0.22222222143964351</v>
      </c>
    </row>
    <row r="152" spans="1:52" s="64" customFormat="1" ht="33">
      <c r="A152" s="32" t="str">
        <f t="shared" si="140"/>
        <v>C-4103-1500-13=</v>
      </c>
      <c r="B152" s="226" t="str">
        <f>CONCATENATE(C152,"-",D152,"-",E152,"-",F152)</f>
        <v>C-4103-1500-13</v>
      </c>
      <c r="C152" s="227" t="s">
        <v>167</v>
      </c>
      <c r="D152" s="228" t="s">
        <v>190</v>
      </c>
      <c r="E152" s="228" t="s">
        <v>172</v>
      </c>
      <c r="F152" s="228" t="s">
        <v>22</v>
      </c>
      <c r="G152" s="228"/>
      <c r="H152" s="228"/>
      <c r="I152" s="228"/>
      <c r="J152" s="228"/>
      <c r="K152" s="229"/>
      <c r="L152" s="230"/>
      <c r="M152" s="231" t="s">
        <v>264</v>
      </c>
      <c r="N152" s="232">
        <f>+N153+N155+N157+N159</f>
        <v>25903028858</v>
      </c>
      <c r="O152" s="232">
        <f t="shared" ref="O152:AB152" si="157">+O153+O155+O157+O159</f>
        <v>0</v>
      </c>
      <c r="P152" s="232">
        <f t="shared" si="157"/>
        <v>0</v>
      </c>
      <c r="Q152" s="232">
        <f t="shared" si="157"/>
        <v>1354183051</v>
      </c>
      <c r="R152" s="232">
        <f t="shared" si="157"/>
        <v>0</v>
      </c>
      <c r="S152" s="232">
        <f t="shared" si="157"/>
        <v>0</v>
      </c>
      <c r="T152" s="232">
        <f t="shared" si="157"/>
        <v>27257211909</v>
      </c>
      <c r="U152" s="232">
        <f t="shared" si="157"/>
        <v>15364091281</v>
      </c>
      <c r="V152" s="232">
        <f t="shared" si="157"/>
        <v>11893120628</v>
      </c>
      <c r="W152" s="233">
        <f t="shared" si="155"/>
        <v>0.56367068401177756</v>
      </c>
      <c r="X152" s="232">
        <f t="shared" si="157"/>
        <v>7550658109</v>
      </c>
      <c r="Y152" s="232">
        <f t="shared" si="157"/>
        <v>7813433172</v>
      </c>
      <c r="Z152" s="233">
        <f t="shared" si="80"/>
        <v>0.50855159794985605</v>
      </c>
      <c r="AA152" s="232">
        <f t="shared" si="157"/>
        <v>7531709046</v>
      </c>
      <c r="AB152" s="232">
        <f t="shared" si="157"/>
        <v>18949063</v>
      </c>
      <c r="AC152" s="233">
        <f t="shared" si="145"/>
        <v>0.49021506760468719</v>
      </c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</row>
    <row r="153" spans="1:52" ht="33">
      <c r="A153" s="32" t="str">
        <f t="shared" si="140"/>
        <v>C-4103-1500-13-0-4103051=11</v>
      </c>
      <c r="B153" s="210" t="str">
        <f>CONCATENATE(C153,"-",D153,"-",E153,"-",F153,"-",G153,"-",H153)</f>
        <v>C-4103-1500-13-0-4103051</v>
      </c>
      <c r="C153" s="211" t="s">
        <v>167</v>
      </c>
      <c r="D153" s="212" t="s">
        <v>190</v>
      </c>
      <c r="E153" s="212" t="s">
        <v>172</v>
      </c>
      <c r="F153" s="212" t="s">
        <v>22</v>
      </c>
      <c r="G153" s="212" t="s">
        <v>175</v>
      </c>
      <c r="H153" s="212" t="s">
        <v>197</v>
      </c>
      <c r="I153" s="212"/>
      <c r="J153" s="212"/>
      <c r="K153" s="213">
        <v>11</v>
      </c>
      <c r="L153" s="214" t="s">
        <v>29</v>
      </c>
      <c r="M153" s="210" t="s">
        <v>198</v>
      </c>
      <c r="N153" s="215">
        <f>+N154</f>
        <v>7218669145</v>
      </c>
      <c r="O153" s="215">
        <f t="shared" ref="O153:AB153" si="158">+O154</f>
        <v>0</v>
      </c>
      <c r="P153" s="215">
        <f t="shared" si="158"/>
        <v>0</v>
      </c>
      <c r="Q153" s="215">
        <f t="shared" si="158"/>
        <v>58501450</v>
      </c>
      <c r="R153" s="215">
        <f t="shared" si="158"/>
        <v>0</v>
      </c>
      <c r="S153" s="215">
        <f t="shared" si="158"/>
        <v>0</v>
      </c>
      <c r="T153" s="215">
        <f t="shared" si="158"/>
        <v>7277170595</v>
      </c>
      <c r="U153" s="215">
        <f t="shared" si="158"/>
        <v>4406021511</v>
      </c>
      <c r="V153" s="215">
        <f t="shared" si="158"/>
        <v>2871149084</v>
      </c>
      <c r="W153" s="216">
        <f t="shared" si="155"/>
        <v>0.60545804904275435</v>
      </c>
      <c r="X153" s="215">
        <f t="shared" si="158"/>
        <v>2681268391</v>
      </c>
      <c r="Y153" s="215">
        <f t="shared" si="158"/>
        <v>1724753120</v>
      </c>
      <c r="Z153" s="216">
        <f t="shared" si="80"/>
        <v>0.39145363128482463</v>
      </c>
      <c r="AA153" s="215">
        <f t="shared" si="158"/>
        <v>2681268391</v>
      </c>
      <c r="AB153" s="215">
        <f t="shared" si="158"/>
        <v>0</v>
      </c>
      <c r="AC153" s="216">
        <f t="shared" si="145"/>
        <v>0.60854636871517531</v>
      </c>
    </row>
    <row r="154" spans="1:52" ht="24.95" customHeight="1">
      <c r="A154" s="32" t="str">
        <f t="shared" si="140"/>
        <v>C-4103-1500-13-0-4103051-02=11</v>
      </c>
      <c r="B154" s="217" t="str">
        <f>CONCATENATE(C154,"-",D154,"-",E154,"-",F154,"-",G154,"-",H154,"-",I154)</f>
        <v>C-4103-1500-13-0-4103051-02</v>
      </c>
      <c r="C154" s="218" t="s">
        <v>167</v>
      </c>
      <c r="D154" s="219" t="s">
        <v>190</v>
      </c>
      <c r="E154" s="219" t="s">
        <v>172</v>
      </c>
      <c r="F154" s="219" t="s">
        <v>22</v>
      </c>
      <c r="G154" s="219" t="s">
        <v>175</v>
      </c>
      <c r="H154" s="219" t="s">
        <v>197</v>
      </c>
      <c r="I154" s="219" t="s">
        <v>54</v>
      </c>
      <c r="J154" s="219"/>
      <c r="K154" s="220">
        <v>11</v>
      </c>
      <c r="L154" s="221" t="s">
        <v>29</v>
      </c>
      <c r="M154" s="259" t="s">
        <v>178</v>
      </c>
      <c r="N154" s="222">
        <v>7218669145</v>
      </c>
      <c r="O154" s="222"/>
      <c r="P154" s="222"/>
      <c r="Q154" s="222">
        <v>58501450</v>
      </c>
      <c r="R154" s="222"/>
      <c r="S154" s="222"/>
      <c r="T154" s="222">
        <f>+N154-S154+O154-P154+Q154-R154</f>
        <v>7277170595</v>
      </c>
      <c r="U154" s="222">
        <v>4406021511</v>
      </c>
      <c r="V154" s="222">
        <f t="shared" si="109"/>
        <v>2871149084</v>
      </c>
      <c r="W154" s="224">
        <f t="shared" si="155"/>
        <v>0.60545804904275435</v>
      </c>
      <c r="X154" s="222">
        <v>2681268391</v>
      </c>
      <c r="Y154" s="222">
        <f t="shared" si="118"/>
        <v>1724753120</v>
      </c>
      <c r="Z154" s="224">
        <f t="shared" si="80"/>
        <v>0.39145363128482463</v>
      </c>
      <c r="AA154" s="222">
        <v>2681268391</v>
      </c>
      <c r="AB154" s="222">
        <f t="shared" si="110"/>
        <v>0</v>
      </c>
      <c r="AC154" s="224">
        <f t="shared" si="145"/>
        <v>0.60854636871517531</v>
      </c>
    </row>
    <row r="155" spans="1:52" ht="33">
      <c r="A155" s="32" t="str">
        <f t="shared" si="140"/>
        <v>C-4103-1500-13-0-4103053=11</v>
      </c>
      <c r="B155" s="210" t="str">
        <f>CONCATENATE(C155,"-",D155,"-",E155,"-",F155,"-",G155,"-",H155)</f>
        <v>C-4103-1500-13-0-4103053</v>
      </c>
      <c r="C155" s="211" t="s">
        <v>167</v>
      </c>
      <c r="D155" s="212" t="s">
        <v>190</v>
      </c>
      <c r="E155" s="212" t="s">
        <v>172</v>
      </c>
      <c r="F155" s="212" t="s">
        <v>22</v>
      </c>
      <c r="G155" s="212" t="s">
        <v>175</v>
      </c>
      <c r="H155" s="212" t="s">
        <v>199</v>
      </c>
      <c r="I155" s="212"/>
      <c r="J155" s="212"/>
      <c r="K155" s="213">
        <v>11</v>
      </c>
      <c r="L155" s="214" t="s">
        <v>29</v>
      </c>
      <c r="M155" s="210" t="s">
        <v>200</v>
      </c>
      <c r="N155" s="215">
        <f>+N156</f>
        <v>4348087590</v>
      </c>
      <c r="O155" s="215">
        <f t="shared" ref="O155:AB155" si="159">+O156</f>
        <v>0</v>
      </c>
      <c r="P155" s="215">
        <f t="shared" si="159"/>
        <v>0</v>
      </c>
      <c r="Q155" s="215">
        <f t="shared" si="159"/>
        <v>73595250</v>
      </c>
      <c r="R155" s="215">
        <f t="shared" si="159"/>
        <v>0</v>
      </c>
      <c r="S155" s="215">
        <f t="shared" si="159"/>
        <v>0</v>
      </c>
      <c r="T155" s="215">
        <f t="shared" si="159"/>
        <v>4421682840</v>
      </c>
      <c r="U155" s="215">
        <f t="shared" si="159"/>
        <v>2653919568</v>
      </c>
      <c r="V155" s="215">
        <f t="shared" si="159"/>
        <v>1767763272</v>
      </c>
      <c r="W155" s="216">
        <f t="shared" si="155"/>
        <v>0.60020577323904123</v>
      </c>
      <c r="X155" s="215">
        <f t="shared" si="159"/>
        <v>1504619261</v>
      </c>
      <c r="Y155" s="215">
        <f t="shared" si="159"/>
        <v>1149300307</v>
      </c>
      <c r="Z155" s="216">
        <f t="shared" si="80"/>
        <v>0.43305770109156527</v>
      </c>
      <c r="AA155" s="215">
        <f t="shared" si="159"/>
        <v>1504619261</v>
      </c>
      <c r="AB155" s="215">
        <f t="shared" si="159"/>
        <v>0</v>
      </c>
      <c r="AC155" s="216">
        <f t="shared" si="145"/>
        <v>0.56694229890843473</v>
      </c>
    </row>
    <row r="156" spans="1:52" ht="24.95" customHeight="1">
      <c r="A156" s="32" t="str">
        <f t="shared" si="140"/>
        <v>C-4103-1500-13-0-4103053-02=11</v>
      </c>
      <c r="B156" s="217" t="str">
        <f>CONCATENATE(C156,"-",D156,"-",E156,"-",F156,"-",G156,"-",H156,"-",I156)</f>
        <v>C-4103-1500-13-0-4103053-02</v>
      </c>
      <c r="C156" s="218" t="s">
        <v>167</v>
      </c>
      <c r="D156" s="219" t="s">
        <v>190</v>
      </c>
      <c r="E156" s="219" t="s">
        <v>172</v>
      </c>
      <c r="F156" s="219" t="s">
        <v>22</v>
      </c>
      <c r="G156" s="219" t="s">
        <v>175</v>
      </c>
      <c r="H156" s="219" t="s">
        <v>199</v>
      </c>
      <c r="I156" s="219" t="s">
        <v>54</v>
      </c>
      <c r="J156" s="219"/>
      <c r="K156" s="220">
        <v>11</v>
      </c>
      <c r="L156" s="221" t="s">
        <v>29</v>
      </c>
      <c r="M156" s="259" t="s">
        <v>178</v>
      </c>
      <c r="N156" s="222">
        <v>4348087590</v>
      </c>
      <c r="O156" s="222"/>
      <c r="P156" s="222"/>
      <c r="Q156" s="222">
        <v>73595250</v>
      </c>
      <c r="R156" s="222"/>
      <c r="S156" s="222"/>
      <c r="T156" s="222">
        <f>+N156-S156+O156-P156+Q156-R156</f>
        <v>4421682840</v>
      </c>
      <c r="U156" s="222">
        <v>2653919568</v>
      </c>
      <c r="V156" s="222">
        <f t="shared" si="109"/>
        <v>1767763272</v>
      </c>
      <c r="W156" s="224">
        <f t="shared" si="155"/>
        <v>0.60020577323904123</v>
      </c>
      <c r="X156" s="222">
        <v>1504619261</v>
      </c>
      <c r="Y156" s="222">
        <f t="shared" si="118"/>
        <v>1149300307</v>
      </c>
      <c r="Z156" s="224">
        <f t="shared" si="80"/>
        <v>0.43305770109156527</v>
      </c>
      <c r="AA156" s="222">
        <v>1504619261</v>
      </c>
      <c r="AB156" s="222">
        <f t="shared" si="110"/>
        <v>0</v>
      </c>
      <c r="AC156" s="224">
        <f t="shared" si="145"/>
        <v>0.56694229890843473</v>
      </c>
    </row>
    <row r="157" spans="1:52" ht="49.5">
      <c r="A157" s="32" t="str">
        <f t="shared" si="140"/>
        <v>C-4103-1500-13-0-4103054=11</v>
      </c>
      <c r="B157" s="210" t="str">
        <f>CONCATENATE(C157,"-",D157,"-",E157,"-",F157,"-",G157,"-",H157)</f>
        <v>C-4103-1500-13-0-4103054</v>
      </c>
      <c r="C157" s="211" t="s">
        <v>167</v>
      </c>
      <c r="D157" s="212" t="s">
        <v>190</v>
      </c>
      <c r="E157" s="212" t="s">
        <v>172</v>
      </c>
      <c r="F157" s="212" t="s">
        <v>22</v>
      </c>
      <c r="G157" s="212" t="s">
        <v>175</v>
      </c>
      <c r="H157" s="212" t="s">
        <v>201</v>
      </c>
      <c r="I157" s="212"/>
      <c r="J157" s="212"/>
      <c r="K157" s="213">
        <v>11</v>
      </c>
      <c r="L157" s="214" t="s">
        <v>29</v>
      </c>
      <c r="M157" s="210" t="s">
        <v>202</v>
      </c>
      <c r="N157" s="215">
        <f>+N158</f>
        <v>2171371771</v>
      </c>
      <c r="O157" s="215">
        <f t="shared" ref="O157:AB157" si="160">+O158</f>
        <v>0</v>
      </c>
      <c r="P157" s="215">
        <f t="shared" si="160"/>
        <v>0</v>
      </c>
      <c r="Q157" s="215">
        <f t="shared" si="160"/>
        <v>0</v>
      </c>
      <c r="R157" s="215">
        <f t="shared" si="160"/>
        <v>0</v>
      </c>
      <c r="S157" s="215">
        <f t="shared" si="160"/>
        <v>0</v>
      </c>
      <c r="T157" s="215">
        <f t="shared" si="160"/>
        <v>2171371771</v>
      </c>
      <c r="U157" s="215">
        <f t="shared" si="160"/>
        <v>846723383</v>
      </c>
      <c r="V157" s="215">
        <f t="shared" si="160"/>
        <v>1324648388</v>
      </c>
      <c r="W157" s="216">
        <f t="shared" si="155"/>
        <v>0.38994860037719448</v>
      </c>
      <c r="X157" s="215">
        <f t="shared" si="160"/>
        <v>419108139</v>
      </c>
      <c r="Y157" s="215">
        <f t="shared" si="160"/>
        <v>427615244</v>
      </c>
      <c r="Z157" s="216">
        <f t="shared" ref="Z157:Z201" si="161">+IF(U157&gt;0,Y157/U157,0)</f>
        <v>0.50502354438934871</v>
      </c>
      <c r="AA157" s="215">
        <f t="shared" si="160"/>
        <v>400159076</v>
      </c>
      <c r="AB157" s="215">
        <f t="shared" si="160"/>
        <v>18949063</v>
      </c>
      <c r="AC157" s="216">
        <f t="shared" si="145"/>
        <v>0.4725971716786756</v>
      </c>
    </row>
    <row r="158" spans="1:52" ht="24.95" customHeight="1">
      <c r="A158" s="32" t="str">
        <f t="shared" si="140"/>
        <v>C-4103-1500-13-0-4103054-02=11</v>
      </c>
      <c r="B158" s="217" t="str">
        <f>CONCATENATE(C158,"-",D158,"-",E158,"-",F158,"-",G158,"-",H158,"-",I158)</f>
        <v>C-4103-1500-13-0-4103054-02</v>
      </c>
      <c r="C158" s="218" t="s">
        <v>167</v>
      </c>
      <c r="D158" s="219" t="s">
        <v>190</v>
      </c>
      <c r="E158" s="219" t="s">
        <v>172</v>
      </c>
      <c r="F158" s="219" t="s">
        <v>22</v>
      </c>
      <c r="G158" s="219" t="s">
        <v>175</v>
      </c>
      <c r="H158" s="219" t="s">
        <v>201</v>
      </c>
      <c r="I158" s="219" t="s">
        <v>54</v>
      </c>
      <c r="J158" s="219"/>
      <c r="K158" s="220">
        <v>11</v>
      </c>
      <c r="L158" s="221" t="s">
        <v>29</v>
      </c>
      <c r="M158" s="259" t="s">
        <v>178</v>
      </c>
      <c r="N158" s="222">
        <v>2171371771</v>
      </c>
      <c r="O158" s="222"/>
      <c r="P158" s="222"/>
      <c r="Q158" s="222"/>
      <c r="R158" s="222"/>
      <c r="S158" s="222"/>
      <c r="T158" s="222">
        <f>+N158-S158+O158-P158+Q158-R158</f>
        <v>2171371771</v>
      </c>
      <c r="U158" s="222">
        <v>846723383</v>
      </c>
      <c r="V158" s="222">
        <f t="shared" si="109"/>
        <v>1324648388</v>
      </c>
      <c r="W158" s="224">
        <f t="shared" si="155"/>
        <v>0.38994860037719448</v>
      </c>
      <c r="X158" s="222">
        <v>419108139</v>
      </c>
      <c r="Y158" s="222">
        <f t="shared" si="118"/>
        <v>427615244</v>
      </c>
      <c r="Z158" s="224">
        <f t="shared" si="161"/>
        <v>0.50502354438934871</v>
      </c>
      <c r="AA158" s="222">
        <v>400159076</v>
      </c>
      <c r="AB158" s="222">
        <f t="shared" si="110"/>
        <v>18949063</v>
      </c>
      <c r="AC158" s="224">
        <f t="shared" si="145"/>
        <v>0.4725971716786756</v>
      </c>
    </row>
    <row r="159" spans="1:52" ht="33">
      <c r="A159" s="32" t="str">
        <f t="shared" si="140"/>
        <v>C-4103-1500-13-0-4103055=11</v>
      </c>
      <c r="B159" s="210" t="str">
        <f>CONCATENATE(C159,"-",D159,"-",E159,"-",F159,"-",G159,"-",H159)</f>
        <v>C-4103-1500-13-0-4103055</v>
      </c>
      <c r="C159" s="211" t="s">
        <v>167</v>
      </c>
      <c r="D159" s="212" t="s">
        <v>190</v>
      </c>
      <c r="E159" s="212" t="s">
        <v>172</v>
      </c>
      <c r="F159" s="212" t="s">
        <v>22</v>
      </c>
      <c r="G159" s="212" t="s">
        <v>175</v>
      </c>
      <c r="H159" s="212" t="s">
        <v>203</v>
      </c>
      <c r="I159" s="212"/>
      <c r="J159" s="212"/>
      <c r="K159" s="213">
        <v>11</v>
      </c>
      <c r="L159" s="214" t="s">
        <v>29</v>
      </c>
      <c r="M159" s="210" t="s">
        <v>204</v>
      </c>
      <c r="N159" s="215">
        <f t="shared" ref="N159:V159" si="162">SUM(N160:N160)</f>
        <v>12164900352</v>
      </c>
      <c r="O159" s="215">
        <f t="shared" si="162"/>
        <v>0</v>
      </c>
      <c r="P159" s="215">
        <f t="shared" si="162"/>
        <v>0</v>
      </c>
      <c r="Q159" s="215">
        <f t="shared" si="162"/>
        <v>1222086351</v>
      </c>
      <c r="R159" s="215">
        <f t="shared" si="162"/>
        <v>0</v>
      </c>
      <c r="S159" s="215">
        <f t="shared" si="162"/>
        <v>0</v>
      </c>
      <c r="T159" s="215">
        <f t="shared" si="162"/>
        <v>13386986703</v>
      </c>
      <c r="U159" s="215">
        <f t="shared" si="162"/>
        <v>7457426819</v>
      </c>
      <c r="V159" s="215">
        <f t="shared" si="162"/>
        <v>5929559884</v>
      </c>
      <c r="W159" s="216">
        <f t="shared" si="155"/>
        <v>0.55706537882261464</v>
      </c>
      <c r="X159" s="215">
        <f t="shared" ref="X159:Y159" si="163">SUM(X160:X160)</f>
        <v>2945662318</v>
      </c>
      <c r="Y159" s="215">
        <f t="shared" si="163"/>
        <v>4511764501</v>
      </c>
      <c r="Z159" s="216">
        <f t="shared" si="161"/>
        <v>0.60500285292843181</v>
      </c>
      <c r="AA159" s="215">
        <f t="shared" ref="AA159:AB159" si="164">SUM(AA160:AA160)</f>
        <v>2945662318</v>
      </c>
      <c r="AB159" s="215">
        <f t="shared" si="164"/>
        <v>0</v>
      </c>
      <c r="AC159" s="216">
        <f t="shared" si="145"/>
        <v>0.39499714707156819</v>
      </c>
    </row>
    <row r="160" spans="1:52" ht="24.95" customHeight="1">
      <c r="A160" s="32" t="str">
        <f t="shared" si="140"/>
        <v>C-4103-1500-13-0-4103055-02=11</v>
      </c>
      <c r="B160" s="217" t="str">
        <f>CONCATENATE(C160,"-",D160,"-",E160,"-",F160,"-",G160,"-",H160,"-",I160)</f>
        <v>C-4103-1500-13-0-4103055-02</v>
      </c>
      <c r="C160" s="218" t="s">
        <v>167</v>
      </c>
      <c r="D160" s="219" t="s">
        <v>190</v>
      </c>
      <c r="E160" s="219" t="s">
        <v>172</v>
      </c>
      <c r="F160" s="219" t="s">
        <v>22</v>
      </c>
      <c r="G160" s="219" t="s">
        <v>175</v>
      </c>
      <c r="H160" s="219" t="s">
        <v>203</v>
      </c>
      <c r="I160" s="219" t="s">
        <v>54</v>
      </c>
      <c r="J160" s="219"/>
      <c r="K160" s="220">
        <v>11</v>
      </c>
      <c r="L160" s="221" t="s">
        <v>29</v>
      </c>
      <c r="M160" s="259" t="s">
        <v>178</v>
      </c>
      <c r="N160" s="222">
        <v>12164900352</v>
      </c>
      <c r="O160" s="222"/>
      <c r="P160" s="222"/>
      <c r="Q160" s="222">
        <v>1222086351</v>
      </c>
      <c r="R160" s="222"/>
      <c r="S160" s="222"/>
      <c r="T160" s="222">
        <f>+N160-S160+O160-P160+Q160-R160</f>
        <v>13386986703</v>
      </c>
      <c r="U160" s="222">
        <v>7457426819</v>
      </c>
      <c r="V160" s="222">
        <f t="shared" si="109"/>
        <v>5929559884</v>
      </c>
      <c r="W160" s="224">
        <f t="shared" si="155"/>
        <v>0.55706537882261464</v>
      </c>
      <c r="X160" s="222">
        <v>2945662318</v>
      </c>
      <c r="Y160" s="222">
        <f t="shared" si="118"/>
        <v>4511764501</v>
      </c>
      <c r="Z160" s="224">
        <f t="shared" si="161"/>
        <v>0.60500285292843181</v>
      </c>
      <c r="AA160" s="222">
        <v>2945662318</v>
      </c>
      <c r="AB160" s="222">
        <f t="shared" si="110"/>
        <v>0</v>
      </c>
      <c r="AC160" s="224">
        <f t="shared" si="145"/>
        <v>0.39499714707156819</v>
      </c>
    </row>
    <row r="161" spans="1:52" ht="33">
      <c r="A161" s="32" t="str">
        <f t="shared" si="140"/>
        <v>C-4103-1500-14=</v>
      </c>
      <c r="B161" s="226" t="str">
        <f>CONCATENATE(C161,"-",D161,"-",E161,"-",F161)</f>
        <v>C-4103-1500-14</v>
      </c>
      <c r="C161" s="227" t="s">
        <v>167</v>
      </c>
      <c r="D161" s="228" t="s">
        <v>190</v>
      </c>
      <c r="E161" s="228" t="s">
        <v>172</v>
      </c>
      <c r="F161" s="228" t="s">
        <v>205</v>
      </c>
      <c r="G161" s="228"/>
      <c r="H161" s="228"/>
      <c r="I161" s="228"/>
      <c r="J161" s="228"/>
      <c r="K161" s="229"/>
      <c r="L161" s="230"/>
      <c r="M161" s="231" t="s">
        <v>281</v>
      </c>
      <c r="N161" s="232">
        <f>+N162+N166</f>
        <v>1226882227478</v>
      </c>
      <c r="O161" s="232">
        <f t="shared" ref="O161:V161" si="165">+O162+O166</f>
        <v>0</v>
      </c>
      <c r="P161" s="232">
        <f t="shared" si="165"/>
        <v>0</v>
      </c>
      <c r="Q161" s="232">
        <f t="shared" si="165"/>
        <v>56224616142.639999</v>
      </c>
      <c r="R161" s="232">
        <f t="shared" si="165"/>
        <v>336224616142.64001</v>
      </c>
      <c r="S161" s="232">
        <f t="shared" si="165"/>
        <v>420000000000</v>
      </c>
      <c r="T161" s="232">
        <f t="shared" si="165"/>
        <v>526882227478</v>
      </c>
      <c r="U161" s="232">
        <f t="shared" si="165"/>
        <v>508858859499.5</v>
      </c>
      <c r="V161" s="232">
        <f t="shared" si="165"/>
        <v>18023367978.499977</v>
      </c>
      <c r="W161" s="233">
        <f t="shared" si="155"/>
        <v>0.96579241614436018</v>
      </c>
      <c r="X161" s="232">
        <f t="shared" ref="X161:Y161" si="166">+X162+X166</f>
        <v>119840663558.64</v>
      </c>
      <c r="Y161" s="232">
        <f t="shared" si="166"/>
        <v>389018195940.85999</v>
      </c>
      <c r="Z161" s="233">
        <f t="shared" si="161"/>
        <v>0.76449134898326798</v>
      </c>
      <c r="AA161" s="232">
        <f t="shared" ref="AA161:AB161" si="167">+AA162+AA166</f>
        <v>119840663558.64</v>
      </c>
      <c r="AB161" s="232">
        <f t="shared" si="167"/>
        <v>0</v>
      </c>
      <c r="AC161" s="233">
        <f t="shared" si="145"/>
        <v>0.23550865101673199</v>
      </c>
    </row>
    <row r="162" spans="1:52" ht="33">
      <c r="A162" s="32" t="str">
        <f t="shared" si="140"/>
        <v>C-4103-1500-14-0-4103016=</v>
      </c>
      <c r="B162" s="210" t="str">
        <f>CONCATENATE(C162,"-",D162,"-",E162,"-",F162,"-",G162,"-",H162)</f>
        <v>C-4103-1500-14-0-4103016</v>
      </c>
      <c r="C162" s="211" t="s">
        <v>167</v>
      </c>
      <c r="D162" s="212" t="s">
        <v>190</v>
      </c>
      <c r="E162" s="212" t="s">
        <v>172</v>
      </c>
      <c r="F162" s="212" t="s">
        <v>205</v>
      </c>
      <c r="G162" s="212" t="s">
        <v>175</v>
      </c>
      <c r="H162" s="212" t="s">
        <v>207</v>
      </c>
      <c r="I162" s="212"/>
      <c r="J162" s="212"/>
      <c r="K162" s="213"/>
      <c r="L162" s="214"/>
      <c r="M162" s="210" t="s">
        <v>208</v>
      </c>
      <c r="N162" s="215">
        <f>SUM(N163:N165)</f>
        <v>1205215344888.79</v>
      </c>
      <c r="O162" s="215">
        <f t="shared" ref="O162:V162" si="168">SUM(O163:O165)</f>
        <v>0</v>
      </c>
      <c r="P162" s="215">
        <f t="shared" si="168"/>
        <v>0</v>
      </c>
      <c r="Q162" s="215">
        <f t="shared" si="168"/>
        <v>55524616142.639999</v>
      </c>
      <c r="R162" s="215">
        <f t="shared" si="168"/>
        <v>328760329083.64001</v>
      </c>
      <c r="S162" s="215">
        <f t="shared" si="168"/>
        <v>420000000000</v>
      </c>
      <c r="T162" s="215">
        <f t="shared" si="168"/>
        <v>511979631947.78998</v>
      </c>
      <c r="U162" s="215">
        <f t="shared" si="168"/>
        <v>498162472230.5</v>
      </c>
      <c r="V162" s="215">
        <f t="shared" si="168"/>
        <v>13817159717.289978</v>
      </c>
      <c r="W162" s="216">
        <f t="shared" si="155"/>
        <v>0.97301228631943115</v>
      </c>
      <c r="X162" s="215">
        <f t="shared" ref="X162:Y162" si="169">SUM(X163:X165)</f>
        <v>113524015921.64</v>
      </c>
      <c r="Y162" s="215">
        <f t="shared" si="169"/>
        <v>384638456308.85999</v>
      </c>
      <c r="Z162" s="216">
        <f t="shared" si="161"/>
        <v>0.77211447620022167</v>
      </c>
      <c r="AA162" s="215">
        <f t="shared" ref="AA162:AB162" si="170">SUM(AA163:AA165)</f>
        <v>113524015921.64</v>
      </c>
      <c r="AB162" s="215">
        <f t="shared" si="170"/>
        <v>0</v>
      </c>
      <c r="AC162" s="216">
        <f t="shared" si="145"/>
        <v>0.22788552379977828</v>
      </c>
    </row>
    <row r="163" spans="1:52" ht="24.95" customHeight="1">
      <c r="A163" s="32" t="str">
        <f t="shared" si="140"/>
        <v>C-4103-1500-14-0-4103016-02=11</v>
      </c>
      <c r="B163" s="217" t="str">
        <f>CONCATENATE(C163,"-",D163,"-",E163,"-",F163,"-",G163,"-",H163,"-",I163)</f>
        <v>C-4103-1500-14-0-4103016-02</v>
      </c>
      <c r="C163" s="266" t="s">
        <v>167</v>
      </c>
      <c r="D163" s="267" t="s">
        <v>190</v>
      </c>
      <c r="E163" s="267" t="s">
        <v>172</v>
      </c>
      <c r="F163" s="267" t="s">
        <v>205</v>
      </c>
      <c r="G163" s="267" t="s">
        <v>175</v>
      </c>
      <c r="H163" s="267" t="s">
        <v>207</v>
      </c>
      <c r="I163" s="267" t="s">
        <v>54</v>
      </c>
      <c r="J163" s="267"/>
      <c r="K163" s="268">
        <v>11</v>
      </c>
      <c r="L163" s="269" t="s">
        <v>29</v>
      </c>
      <c r="M163" s="259" t="s">
        <v>178</v>
      </c>
      <c r="N163" s="222">
        <v>358903207165.07001</v>
      </c>
      <c r="O163" s="222"/>
      <c r="P163" s="222"/>
      <c r="Q163" s="222">
        <f>44314848063+1863454320+1489790422.64+392236278</f>
        <v>48060329083.639999</v>
      </c>
      <c r="R163" s="222">
        <v>280000000000</v>
      </c>
      <c r="S163" s="223">
        <v>86968373082.070007</v>
      </c>
      <c r="T163" s="222">
        <f>+N163-S163+O163-P163+Q163-R163</f>
        <v>39995163166.640015</v>
      </c>
      <c r="U163" s="222">
        <v>36249682146</v>
      </c>
      <c r="V163" s="222">
        <f t="shared" ref="V163" si="171">+T163-U163</f>
        <v>3745481020.6400146</v>
      </c>
      <c r="W163" s="224">
        <f t="shared" si="155"/>
        <v>0.90635165044746901</v>
      </c>
      <c r="X163" s="222">
        <v>43425213.729999997</v>
      </c>
      <c r="Y163" s="222">
        <f t="shared" ref="Y163" si="172">+U163-X163</f>
        <v>36206256932.269997</v>
      </c>
      <c r="Z163" s="224">
        <f t="shared" si="161"/>
        <v>0.9988020525654514</v>
      </c>
      <c r="AA163" s="222">
        <v>43425213.729999997</v>
      </c>
      <c r="AB163" s="222">
        <f t="shared" ref="AB163" si="173">+X163-AA163</f>
        <v>0</v>
      </c>
      <c r="AC163" s="224">
        <f t="shared" si="145"/>
        <v>1.1979474345485202E-3</v>
      </c>
    </row>
    <row r="164" spans="1:52" ht="24.95" customHeight="1">
      <c r="A164" s="32" t="str">
        <f t="shared" si="140"/>
        <v>C-4103-1500-14-0-4103016-03=10</v>
      </c>
      <c r="B164" s="217" t="str">
        <f>CONCATENATE(C164,"-",D164,"-",E164,"-",F164,"-",G164,"-",H164,"-",I164)</f>
        <v>C-4103-1500-14-0-4103016-03</v>
      </c>
      <c r="C164" s="266" t="s">
        <v>167</v>
      </c>
      <c r="D164" s="267" t="s">
        <v>190</v>
      </c>
      <c r="E164" s="267" t="s">
        <v>172</v>
      </c>
      <c r="F164" s="267" t="s">
        <v>205</v>
      </c>
      <c r="G164" s="267" t="s">
        <v>175</v>
      </c>
      <c r="H164" s="267" t="s">
        <v>207</v>
      </c>
      <c r="I164" s="267" t="s">
        <v>65</v>
      </c>
      <c r="J164" s="267"/>
      <c r="K164" s="271" t="s">
        <v>28</v>
      </c>
      <c r="L164" s="269" t="s">
        <v>29</v>
      </c>
      <c r="M164" s="259" t="s">
        <v>127</v>
      </c>
      <c r="N164" s="222">
        <v>50000000000</v>
      </c>
      <c r="O164" s="222"/>
      <c r="P164" s="222"/>
      <c r="Q164" s="223"/>
      <c r="R164" s="223"/>
      <c r="S164" s="223">
        <v>50000000000</v>
      </c>
      <c r="T164" s="222">
        <f>+N164-S164+O164-P164+Q164-R164</f>
        <v>0</v>
      </c>
      <c r="U164" s="222">
        <v>0</v>
      </c>
      <c r="V164" s="222">
        <f t="shared" si="109"/>
        <v>0</v>
      </c>
      <c r="W164" s="224">
        <f t="shared" si="155"/>
        <v>0</v>
      </c>
      <c r="X164" s="222">
        <v>0</v>
      </c>
      <c r="Y164" s="222">
        <f t="shared" si="118"/>
        <v>0</v>
      </c>
      <c r="Z164" s="224">
        <f t="shared" si="161"/>
        <v>0</v>
      </c>
      <c r="AA164" s="222">
        <v>0</v>
      </c>
      <c r="AB164" s="222">
        <f t="shared" si="110"/>
        <v>0</v>
      </c>
      <c r="AC164" s="224">
        <f t="shared" si="145"/>
        <v>0</v>
      </c>
    </row>
    <row r="165" spans="1:52" ht="24.95" customHeight="1">
      <c r="A165" s="32" t="str">
        <f t="shared" si="140"/>
        <v>C-4103-1500-14-0-4103016-03=11</v>
      </c>
      <c r="B165" s="217" t="str">
        <f>CONCATENATE(C165,"-",D165,"-",E165,"-",F165,"-",G165,"-",H165,"-",I165)</f>
        <v>C-4103-1500-14-0-4103016-03</v>
      </c>
      <c r="C165" s="266" t="s">
        <v>167</v>
      </c>
      <c r="D165" s="267" t="s">
        <v>190</v>
      </c>
      <c r="E165" s="267" t="s">
        <v>172</v>
      </c>
      <c r="F165" s="267" t="s">
        <v>205</v>
      </c>
      <c r="G165" s="267" t="s">
        <v>175</v>
      </c>
      <c r="H165" s="267" t="s">
        <v>207</v>
      </c>
      <c r="I165" s="272" t="s">
        <v>65</v>
      </c>
      <c r="J165" s="273"/>
      <c r="K165" s="268">
        <v>11</v>
      </c>
      <c r="L165" s="269" t="s">
        <v>29</v>
      </c>
      <c r="M165" s="259" t="s">
        <v>127</v>
      </c>
      <c r="N165" s="222">
        <v>796312137723.71997</v>
      </c>
      <c r="O165" s="222"/>
      <c r="P165" s="222"/>
      <c r="Q165" s="223">
        <v>7464287059</v>
      </c>
      <c r="R165" s="222">
        <f>44314848063+700000000+1863454320+1489790422.64+392236278</f>
        <v>48760329083.639999</v>
      </c>
      <c r="S165" s="223">
        <v>283031626917.92999</v>
      </c>
      <c r="T165" s="222">
        <f>+N165-S165+O165-P165+Q165-R165</f>
        <v>471984468781.14996</v>
      </c>
      <c r="U165" s="222">
        <v>461912790084.5</v>
      </c>
      <c r="V165" s="222">
        <f t="shared" si="109"/>
        <v>10071678696.649963</v>
      </c>
      <c r="W165" s="224">
        <f t="shared" si="155"/>
        <v>0.97866099551398589</v>
      </c>
      <c r="X165" s="222">
        <v>113480590707.91</v>
      </c>
      <c r="Y165" s="222">
        <f t="shared" si="118"/>
        <v>348432199376.58997</v>
      </c>
      <c r="Z165" s="224">
        <f t="shared" si="161"/>
        <v>0.75432464061635862</v>
      </c>
      <c r="AA165" s="222">
        <v>113480590707.91</v>
      </c>
      <c r="AB165" s="222">
        <f t="shared" si="110"/>
        <v>0</v>
      </c>
      <c r="AC165" s="224">
        <f t="shared" si="145"/>
        <v>0.2456753593836413</v>
      </c>
    </row>
    <row r="166" spans="1:52" ht="33">
      <c r="A166" s="32" t="str">
        <f t="shared" si="140"/>
        <v>C-4103-1500-14-0-4103048=11</v>
      </c>
      <c r="B166" s="210" t="str">
        <f>CONCATENATE(C166,"-",D166,"-",E166,"-",F166,"-",G166,"-",H166)</f>
        <v>C-4103-1500-14-0-4103048</v>
      </c>
      <c r="C166" s="211" t="s">
        <v>167</v>
      </c>
      <c r="D166" s="212" t="s">
        <v>190</v>
      </c>
      <c r="E166" s="212" t="s">
        <v>172</v>
      </c>
      <c r="F166" s="212" t="s">
        <v>205</v>
      </c>
      <c r="G166" s="212" t="s">
        <v>175</v>
      </c>
      <c r="H166" s="212" t="s">
        <v>209</v>
      </c>
      <c r="I166" s="212"/>
      <c r="J166" s="212"/>
      <c r="K166" s="213">
        <v>11</v>
      </c>
      <c r="L166" s="214" t="s">
        <v>29</v>
      </c>
      <c r="M166" s="210" t="s">
        <v>210</v>
      </c>
      <c r="N166" s="215">
        <f t="shared" ref="N166:V166" si="174">SUM(N167:N167)</f>
        <v>21666882589.209999</v>
      </c>
      <c r="O166" s="215">
        <f t="shared" si="174"/>
        <v>0</v>
      </c>
      <c r="P166" s="215">
        <f t="shared" si="174"/>
        <v>0</v>
      </c>
      <c r="Q166" s="215">
        <f t="shared" si="174"/>
        <v>700000000</v>
      </c>
      <c r="R166" s="215">
        <f t="shared" si="174"/>
        <v>7464287059</v>
      </c>
      <c r="S166" s="215">
        <f t="shared" si="174"/>
        <v>0</v>
      </c>
      <c r="T166" s="215">
        <f t="shared" si="174"/>
        <v>14902595530.209999</v>
      </c>
      <c r="U166" s="215">
        <f t="shared" si="174"/>
        <v>10696387269</v>
      </c>
      <c r="V166" s="215">
        <f t="shared" si="174"/>
        <v>4206208261.2099991</v>
      </c>
      <c r="W166" s="216">
        <f t="shared" si="155"/>
        <v>0.7177533099731972</v>
      </c>
      <c r="X166" s="215">
        <f t="shared" ref="X166:Y166" si="175">SUM(X167:X167)</f>
        <v>6316647637</v>
      </c>
      <c r="Y166" s="215">
        <f t="shared" si="175"/>
        <v>4379739632</v>
      </c>
      <c r="Z166" s="216">
        <f t="shared" si="161"/>
        <v>0.40945971026060834</v>
      </c>
      <c r="AA166" s="215">
        <f t="shared" ref="AA166:AB166" si="176">SUM(AA167:AA167)</f>
        <v>6316647637</v>
      </c>
      <c r="AB166" s="215">
        <f t="shared" si="176"/>
        <v>0</v>
      </c>
      <c r="AC166" s="216">
        <f t="shared" si="145"/>
        <v>0.59054028973939166</v>
      </c>
    </row>
    <row r="167" spans="1:52" ht="24.95" customHeight="1">
      <c r="A167" s="32" t="str">
        <f t="shared" si="140"/>
        <v>C-4103-1500-14-0-4103048-02=11</v>
      </c>
      <c r="B167" s="217" t="str">
        <f>CONCATENATE(C167,"-",D167,"-",E167,"-",F167,"-",G167,"-",H167,"-",I167)</f>
        <v>C-4103-1500-14-0-4103048-02</v>
      </c>
      <c r="C167" s="266" t="s">
        <v>167</v>
      </c>
      <c r="D167" s="267" t="s">
        <v>190</v>
      </c>
      <c r="E167" s="267" t="s">
        <v>172</v>
      </c>
      <c r="F167" s="267" t="s">
        <v>205</v>
      </c>
      <c r="G167" s="267" t="s">
        <v>175</v>
      </c>
      <c r="H167" s="267" t="s">
        <v>209</v>
      </c>
      <c r="I167" s="267" t="s">
        <v>54</v>
      </c>
      <c r="J167" s="267"/>
      <c r="K167" s="268">
        <v>11</v>
      </c>
      <c r="L167" s="269" t="s">
        <v>29</v>
      </c>
      <c r="M167" s="259" t="s">
        <v>178</v>
      </c>
      <c r="N167" s="222">
        <v>21666882589.209999</v>
      </c>
      <c r="O167" s="222"/>
      <c r="P167" s="222"/>
      <c r="Q167" s="222">
        <v>700000000</v>
      </c>
      <c r="R167" s="222">
        <v>7464287059</v>
      </c>
      <c r="S167" s="222"/>
      <c r="T167" s="222">
        <f>+N167-S167+O167-P167+Q167-R167</f>
        <v>14902595530.209999</v>
      </c>
      <c r="U167" s="222">
        <v>10696387269</v>
      </c>
      <c r="V167" s="222">
        <f t="shared" ref="V167" si="177">+T167-U167</f>
        <v>4206208261.2099991</v>
      </c>
      <c r="W167" s="224">
        <f t="shared" si="155"/>
        <v>0.7177533099731972</v>
      </c>
      <c r="X167" s="222">
        <v>6316647637</v>
      </c>
      <c r="Y167" s="222">
        <f t="shared" ref="Y167" si="178">+U167-X167</f>
        <v>4379739632</v>
      </c>
      <c r="Z167" s="224">
        <f t="shared" si="161"/>
        <v>0.40945971026060834</v>
      </c>
      <c r="AA167" s="222">
        <v>6316647637</v>
      </c>
      <c r="AB167" s="222">
        <f t="shared" ref="AB167" si="179">+X167-AA167</f>
        <v>0</v>
      </c>
      <c r="AC167" s="224">
        <f t="shared" si="145"/>
        <v>0.59054028973939166</v>
      </c>
    </row>
    <row r="168" spans="1:52" ht="33">
      <c r="A168" s="32" t="str">
        <f t="shared" si="140"/>
        <v>C-4103-1500-16=</v>
      </c>
      <c r="B168" s="226" t="str">
        <f>CONCATENATE(C168,"-",D168,"-",E168,"-",F168)</f>
        <v>C-4103-1500-16</v>
      </c>
      <c r="C168" s="227" t="s">
        <v>167</v>
      </c>
      <c r="D168" s="228" t="s">
        <v>190</v>
      </c>
      <c r="E168" s="228" t="s">
        <v>172</v>
      </c>
      <c r="F168" s="228" t="s">
        <v>211</v>
      </c>
      <c r="G168" s="228"/>
      <c r="H168" s="228"/>
      <c r="I168" s="228"/>
      <c r="J168" s="228"/>
      <c r="K168" s="229"/>
      <c r="L168" s="230"/>
      <c r="M168" s="231" t="s">
        <v>282</v>
      </c>
      <c r="N168" s="232">
        <f>+N169+N171</f>
        <v>1000000000</v>
      </c>
      <c r="O168" s="232">
        <f t="shared" ref="O168:V168" si="180">+O169+O171</f>
        <v>0</v>
      </c>
      <c r="P168" s="232">
        <f t="shared" si="180"/>
        <v>0</v>
      </c>
      <c r="Q168" s="232">
        <f t="shared" si="180"/>
        <v>0</v>
      </c>
      <c r="R168" s="232">
        <f t="shared" si="180"/>
        <v>0</v>
      </c>
      <c r="S168" s="232">
        <f t="shared" si="180"/>
        <v>0</v>
      </c>
      <c r="T168" s="232">
        <f t="shared" si="180"/>
        <v>1000000000</v>
      </c>
      <c r="U168" s="232">
        <f t="shared" si="180"/>
        <v>0</v>
      </c>
      <c r="V168" s="232">
        <f t="shared" si="180"/>
        <v>1000000000</v>
      </c>
      <c r="W168" s="233">
        <f t="shared" si="155"/>
        <v>0</v>
      </c>
      <c r="X168" s="232">
        <f t="shared" ref="X168:AB168" si="181">+X169+X171</f>
        <v>0</v>
      </c>
      <c r="Y168" s="232">
        <f t="shared" si="181"/>
        <v>0</v>
      </c>
      <c r="Z168" s="233">
        <f t="shared" si="161"/>
        <v>0</v>
      </c>
      <c r="AA168" s="232">
        <f t="shared" si="181"/>
        <v>0</v>
      </c>
      <c r="AB168" s="232">
        <f t="shared" si="181"/>
        <v>0</v>
      </c>
      <c r="AC168" s="233">
        <f t="shared" si="145"/>
        <v>0</v>
      </c>
    </row>
    <row r="169" spans="1:52" s="90" customFormat="1" ht="33">
      <c r="A169" s="32" t="str">
        <f t="shared" si="140"/>
        <v>C-4103-1500-16-0-4103056=11</v>
      </c>
      <c r="B169" s="210" t="str">
        <f>CONCATENATE(C169,"-",D169,"-",E169,"-",F169,"-",G169,"-",H169)</f>
        <v>C-4103-1500-16-0-4103056</v>
      </c>
      <c r="C169" s="211" t="s">
        <v>167</v>
      </c>
      <c r="D169" s="212" t="s">
        <v>190</v>
      </c>
      <c r="E169" s="212" t="s">
        <v>172</v>
      </c>
      <c r="F169" s="212" t="s">
        <v>211</v>
      </c>
      <c r="G169" s="212" t="s">
        <v>175</v>
      </c>
      <c r="H169" s="212" t="s">
        <v>213</v>
      </c>
      <c r="I169" s="212"/>
      <c r="J169" s="212"/>
      <c r="K169" s="213" t="s">
        <v>144</v>
      </c>
      <c r="L169" s="214" t="s">
        <v>29</v>
      </c>
      <c r="M169" s="210" t="s">
        <v>214</v>
      </c>
      <c r="N169" s="215">
        <f>+N170</f>
        <v>730000000</v>
      </c>
      <c r="O169" s="215">
        <f t="shared" ref="O169:AB169" si="182">+O170</f>
        <v>0</v>
      </c>
      <c r="P169" s="215">
        <f t="shared" si="182"/>
        <v>0</v>
      </c>
      <c r="Q169" s="215">
        <f t="shared" si="182"/>
        <v>0</v>
      </c>
      <c r="R169" s="215">
        <f t="shared" si="182"/>
        <v>0</v>
      </c>
      <c r="S169" s="215">
        <f t="shared" si="182"/>
        <v>0</v>
      </c>
      <c r="T169" s="215">
        <f t="shared" si="182"/>
        <v>730000000</v>
      </c>
      <c r="U169" s="215">
        <f t="shared" si="182"/>
        <v>0</v>
      </c>
      <c r="V169" s="215">
        <f t="shared" si="182"/>
        <v>730000000</v>
      </c>
      <c r="W169" s="216">
        <f t="shared" si="155"/>
        <v>0</v>
      </c>
      <c r="X169" s="215">
        <f t="shared" si="182"/>
        <v>0</v>
      </c>
      <c r="Y169" s="215">
        <f t="shared" si="182"/>
        <v>0</v>
      </c>
      <c r="Z169" s="216">
        <f t="shared" si="161"/>
        <v>0</v>
      </c>
      <c r="AA169" s="215">
        <f t="shared" si="182"/>
        <v>0</v>
      </c>
      <c r="AB169" s="215">
        <f t="shared" si="182"/>
        <v>0</v>
      </c>
      <c r="AC169" s="216">
        <f t="shared" si="145"/>
        <v>0</v>
      </c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</row>
    <row r="170" spans="1:52" s="90" customFormat="1" ht="24.95" customHeight="1">
      <c r="A170" s="32" t="str">
        <f t="shared" si="140"/>
        <v>C-4103-1500-16-0-4103056-02=11</v>
      </c>
      <c r="B170" s="217" t="str">
        <f>CONCATENATE(C170,"-",D170,"-",E170,"-",F170,"-",G170,"-",H170,"-",I170)</f>
        <v>C-4103-1500-16-0-4103056-02</v>
      </c>
      <c r="C170" s="218" t="s">
        <v>167</v>
      </c>
      <c r="D170" s="219" t="s">
        <v>190</v>
      </c>
      <c r="E170" s="219" t="s">
        <v>172</v>
      </c>
      <c r="F170" s="219" t="s">
        <v>211</v>
      </c>
      <c r="G170" s="219" t="s">
        <v>175</v>
      </c>
      <c r="H170" s="219" t="s">
        <v>213</v>
      </c>
      <c r="I170" s="219" t="s">
        <v>54</v>
      </c>
      <c r="J170" s="219"/>
      <c r="K170" s="220" t="s">
        <v>144</v>
      </c>
      <c r="L170" s="221" t="s">
        <v>29</v>
      </c>
      <c r="M170" s="259" t="s">
        <v>178</v>
      </c>
      <c r="N170" s="222">
        <v>730000000</v>
      </c>
      <c r="O170" s="222"/>
      <c r="P170" s="222"/>
      <c r="Q170" s="222"/>
      <c r="R170" s="222"/>
      <c r="S170" s="222"/>
      <c r="T170" s="222">
        <f>+N170-S170+O170-P170+Q170-R170</f>
        <v>730000000</v>
      </c>
      <c r="U170" s="222">
        <v>0</v>
      </c>
      <c r="V170" s="222">
        <f t="shared" si="109"/>
        <v>730000000</v>
      </c>
      <c r="W170" s="224">
        <f t="shared" si="155"/>
        <v>0</v>
      </c>
      <c r="X170" s="222">
        <v>0</v>
      </c>
      <c r="Y170" s="222">
        <f t="shared" si="118"/>
        <v>0</v>
      </c>
      <c r="Z170" s="224">
        <f t="shared" si="161"/>
        <v>0</v>
      </c>
      <c r="AA170" s="222">
        <v>0</v>
      </c>
      <c r="AB170" s="222">
        <f t="shared" si="110"/>
        <v>0</v>
      </c>
      <c r="AC170" s="224">
        <f t="shared" si="145"/>
        <v>0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s="90" customFormat="1" ht="24.95" customHeight="1">
      <c r="A171" s="32" t="str">
        <f t="shared" si="140"/>
        <v>C-4103-1500-16-0-4103060=11</v>
      </c>
      <c r="B171" s="210" t="str">
        <f>CONCATENATE(C171,"-",D171,"-",E171,"-",F171,"-",G171,"-",H171)</f>
        <v>C-4103-1500-16-0-4103060</v>
      </c>
      <c r="C171" s="211" t="s">
        <v>167</v>
      </c>
      <c r="D171" s="212" t="s">
        <v>190</v>
      </c>
      <c r="E171" s="212" t="s">
        <v>172</v>
      </c>
      <c r="F171" s="212" t="s">
        <v>211</v>
      </c>
      <c r="G171" s="212" t="s">
        <v>175</v>
      </c>
      <c r="H171" s="212" t="s">
        <v>215</v>
      </c>
      <c r="I171" s="212"/>
      <c r="J171" s="212"/>
      <c r="K171" s="213" t="s">
        <v>144</v>
      </c>
      <c r="L171" s="214" t="s">
        <v>29</v>
      </c>
      <c r="M171" s="210" t="s">
        <v>216</v>
      </c>
      <c r="N171" s="215">
        <f>+N172</f>
        <v>270000000</v>
      </c>
      <c r="O171" s="215">
        <f t="shared" ref="O171:AB171" si="183">+O172</f>
        <v>0</v>
      </c>
      <c r="P171" s="215">
        <f t="shared" si="183"/>
        <v>0</v>
      </c>
      <c r="Q171" s="215">
        <f t="shared" si="183"/>
        <v>0</v>
      </c>
      <c r="R171" s="215">
        <f t="shared" si="183"/>
        <v>0</v>
      </c>
      <c r="S171" s="215">
        <f t="shared" si="183"/>
        <v>0</v>
      </c>
      <c r="T171" s="215">
        <f t="shared" si="183"/>
        <v>270000000</v>
      </c>
      <c r="U171" s="215">
        <f t="shared" si="183"/>
        <v>0</v>
      </c>
      <c r="V171" s="215">
        <f t="shared" si="183"/>
        <v>270000000</v>
      </c>
      <c r="W171" s="216">
        <f t="shared" si="155"/>
        <v>0</v>
      </c>
      <c r="X171" s="215">
        <f t="shared" si="183"/>
        <v>0</v>
      </c>
      <c r="Y171" s="215">
        <f t="shared" si="183"/>
        <v>0</v>
      </c>
      <c r="Z171" s="216">
        <f t="shared" si="161"/>
        <v>0</v>
      </c>
      <c r="AA171" s="215">
        <f t="shared" si="183"/>
        <v>0</v>
      </c>
      <c r="AB171" s="215">
        <f t="shared" si="183"/>
        <v>0</v>
      </c>
      <c r="AC171" s="216">
        <f t="shared" si="145"/>
        <v>0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s="90" customFormat="1" ht="24.95" customHeight="1">
      <c r="A172" s="32" t="str">
        <f t="shared" si="140"/>
        <v>C-4103-1500-16-0-4103060-02=11</v>
      </c>
      <c r="B172" s="217" t="str">
        <f>CONCATENATE(C172,"-",D172,"-",E172,"-",F172,"-",G172,"-",H172,"-",I172)</f>
        <v>C-4103-1500-16-0-4103060-02</v>
      </c>
      <c r="C172" s="218" t="s">
        <v>167</v>
      </c>
      <c r="D172" s="219" t="s">
        <v>190</v>
      </c>
      <c r="E172" s="219" t="s">
        <v>172</v>
      </c>
      <c r="F172" s="219" t="s">
        <v>211</v>
      </c>
      <c r="G172" s="219" t="s">
        <v>175</v>
      </c>
      <c r="H172" s="219" t="s">
        <v>215</v>
      </c>
      <c r="I172" s="219" t="s">
        <v>54</v>
      </c>
      <c r="J172" s="219"/>
      <c r="K172" s="220" t="s">
        <v>144</v>
      </c>
      <c r="L172" s="221" t="s">
        <v>29</v>
      </c>
      <c r="M172" s="259" t="s">
        <v>178</v>
      </c>
      <c r="N172" s="222">
        <v>270000000</v>
      </c>
      <c r="O172" s="222"/>
      <c r="P172" s="222"/>
      <c r="Q172" s="222"/>
      <c r="R172" s="222"/>
      <c r="S172" s="222"/>
      <c r="T172" s="222">
        <f>+N172-S172+O172-P172+Q172-R172</f>
        <v>270000000</v>
      </c>
      <c r="U172" s="222">
        <v>0</v>
      </c>
      <c r="V172" s="222">
        <f t="shared" si="109"/>
        <v>270000000</v>
      </c>
      <c r="W172" s="224">
        <f t="shared" si="155"/>
        <v>0</v>
      </c>
      <c r="X172" s="222">
        <v>0</v>
      </c>
      <c r="Y172" s="222">
        <f t="shared" si="118"/>
        <v>0</v>
      </c>
      <c r="Z172" s="224">
        <f t="shared" si="161"/>
        <v>0</v>
      </c>
      <c r="AA172" s="222">
        <v>0</v>
      </c>
      <c r="AB172" s="222">
        <f t="shared" si="110"/>
        <v>0</v>
      </c>
      <c r="AC172" s="224">
        <f t="shared" si="145"/>
        <v>0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s="90" customFormat="1" ht="66">
      <c r="A173" s="32" t="str">
        <f t="shared" si="140"/>
        <v>C-4103-1500-17=</v>
      </c>
      <c r="B173" s="226" t="str">
        <f>CONCATENATE(C173,"-",D173,"-",E173,"-",F173)</f>
        <v>C-4103-1500-17</v>
      </c>
      <c r="C173" s="227" t="s">
        <v>167</v>
      </c>
      <c r="D173" s="228" t="s">
        <v>190</v>
      </c>
      <c r="E173" s="228" t="s">
        <v>172</v>
      </c>
      <c r="F173" s="228" t="s">
        <v>217</v>
      </c>
      <c r="G173" s="228"/>
      <c r="H173" s="228"/>
      <c r="I173" s="228"/>
      <c r="J173" s="228"/>
      <c r="K173" s="229"/>
      <c r="L173" s="230"/>
      <c r="M173" s="231" t="s">
        <v>283</v>
      </c>
      <c r="N173" s="232">
        <f t="shared" ref="N173:V173" si="184">+N178+N180+N176+N174</f>
        <v>83583395677</v>
      </c>
      <c r="O173" s="232">
        <f t="shared" si="184"/>
        <v>0</v>
      </c>
      <c r="P173" s="232">
        <f t="shared" si="184"/>
        <v>0</v>
      </c>
      <c r="Q173" s="232">
        <f t="shared" si="184"/>
        <v>982647415</v>
      </c>
      <c r="R173" s="232">
        <f t="shared" si="184"/>
        <v>332606115</v>
      </c>
      <c r="S173" s="232">
        <f t="shared" si="184"/>
        <v>40000000000</v>
      </c>
      <c r="T173" s="232">
        <f t="shared" si="184"/>
        <v>44233436977</v>
      </c>
      <c r="U173" s="232">
        <f t="shared" si="184"/>
        <v>40862239833</v>
      </c>
      <c r="V173" s="232">
        <f t="shared" si="184"/>
        <v>3371197144</v>
      </c>
      <c r="W173" s="233">
        <f t="shared" si="155"/>
        <v>0.92378622656537146</v>
      </c>
      <c r="X173" s="232">
        <f t="shared" ref="X173:Y173" si="185">+X178+X180+X176+X174</f>
        <v>23505466854</v>
      </c>
      <c r="Y173" s="232">
        <f t="shared" si="185"/>
        <v>17356772979</v>
      </c>
      <c r="Z173" s="233">
        <f t="shared" si="161"/>
        <v>0.42476313217130152</v>
      </c>
      <c r="AA173" s="232">
        <f t="shared" ref="AA173:AB173" si="186">+AA178+AA180+AA176+AA174</f>
        <v>23505466854</v>
      </c>
      <c r="AB173" s="232">
        <f t="shared" si="186"/>
        <v>0</v>
      </c>
      <c r="AC173" s="233">
        <f t="shared" si="145"/>
        <v>0.57523686782869854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s="90" customFormat="1" ht="24.95" customHeight="1">
      <c r="A174" s="32" t="str">
        <f t="shared" si="140"/>
        <v>C-4103-1500-17-0-4103005=11</v>
      </c>
      <c r="B174" s="210" t="str">
        <f>CONCATENATE(C174,"-",D174,"-",E174,"-",F174,"-",G174,"-",H174)</f>
        <v>C-4103-1500-17-0-4103005</v>
      </c>
      <c r="C174" s="211" t="s">
        <v>167</v>
      </c>
      <c r="D174" s="212" t="s">
        <v>190</v>
      </c>
      <c r="E174" s="212" t="s">
        <v>172</v>
      </c>
      <c r="F174" s="212" t="s">
        <v>217</v>
      </c>
      <c r="G174" s="212" t="s">
        <v>175</v>
      </c>
      <c r="H174" s="212" t="s">
        <v>219</v>
      </c>
      <c r="I174" s="212"/>
      <c r="J174" s="212"/>
      <c r="K174" s="213">
        <v>11</v>
      </c>
      <c r="L174" s="214" t="s">
        <v>29</v>
      </c>
      <c r="M174" s="210" t="s">
        <v>220</v>
      </c>
      <c r="N174" s="215">
        <f>N175</f>
        <v>24060301659</v>
      </c>
      <c r="O174" s="215">
        <f t="shared" ref="O174:AB174" si="187">O175</f>
        <v>0</v>
      </c>
      <c r="P174" s="215">
        <f t="shared" si="187"/>
        <v>0</v>
      </c>
      <c r="Q174" s="215">
        <f t="shared" si="187"/>
        <v>508653415</v>
      </c>
      <c r="R174" s="215">
        <f t="shared" si="187"/>
        <v>0</v>
      </c>
      <c r="S174" s="215">
        <f t="shared" si="187"/>
        <v>5805513391</v>
      </c>
      <c r="T174" s="215">
        <f t="shared" si="187"/>
        <v>18763441683</v>
      </c>
      <c r="U174" s="215">
        <f t="shared" si="187"/>
        <v>15866238539</v>
      </c>
      <c r="V174" s="215">
        <f t="shared" si="187"/>
        <v>2897203144</v>
      </c>
      <c r="W174" s="216">
        <f t="shared" si="155"/>
        <v>0.84559319164644964</v>
      </c>
      <c r="X174" s="215">
        <f t="shared" si="187"/>
        <v>3761095935</v>
      </c>
      <c r="Y174" s="215">
        <f t="shared" si="187"/>
        <v>12105142604</v>
      </c>
      <c r="Z174" s="216">
        <f t="shared" si="161"/>
        <v>0.76294974226215995</v>
      </c>
      <c r="AA174" s="215">
        <f t="shared" si="187"/>
        <v>3761095935</v>
      </c>
      <c r="AB174" s="215">
        <f t="shared" si="187"/>
        <v>0</v>
      </c>
      <c r="AC174" s="216">
        <f t="shared" si="145"/>
        <v>0.23705025773784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s="90" customFormat="1" ht="24.95" customHeight="1">
      <c r="A175" s="32" t="str">
        <f t="shared" si="140"/>
        <v>C-4103-1500-17-0-4103005-02=11</v>
      </c>
      <c r="B175" s="217" t="str">
        <f>CONCATENATE(C175,"-",D175,"-",E175,"-",F175,"-",G175,"-",H175,"-",I175)</f>
        <v>C-4103-1500-17-0-4103005-02</v>
      </c>
      <c r="C175" s="266" t="s">
        <v>167</v>
      </c>
      <c r="D175" s="267" t="s">
        <v>190</v>
      </c>
      <c r="E175" s="267" t="s">
        <v>172</v>
      </c>
      <c r="F175" s="267" t="s">
        <v>217</v>
      </c>
      <c r="G175" s="267" t="s">
        <v>175</v>
      </c>
      <c r="H175" s="267" t="s">
        <v>219</v>
      </c>
      <c r="I175" s="267" t="s">
        <v>54</v>
      </c>
      <c r="J175" s="267"/>
      <c r="K175" s="268">
        <v>11</v>
      </c>
      <c r="L175" s="269" t="s">
        <v>29</v>
      </c>
      <c r="M175" s="259" t="s">
        <v>178</v>
      </c>
      <c r="N175" s="222">
        <v>24060301659</v>
      </c>
      <c r="O175" s="222"/>
      <c r="P175" s="222"/>
      <c r="Q175" s="222">
        <f>176047300+332606115</f>
        <v>508653415</v>
      </c>
      <c r="R175" s="222"/>
      <c r="S175" s="222">
        <v>5805513391</v>
      </c>
      <c r="T175" s="222">
        <f>+N175-S175+O175-P175+Q175-R175</f>
        <v>18763441683</v>
      </c>
      <c r="U175" s="222">
        <v>15866238539</v>
      </c>
      <c r="V175" s="222">
        <f>+T175-U175</f>
        <v>2897203144</v>
      </c>
      <c r="W175" s="224">
        <f t="shared" si="155"/>
        <v>0.84559319164644964</v>
      </c>
      <c r="X175" s="222">
        <v>3761095935</v>
      </c>
      <c r="Y175" s="222">
        <f>+U175-X175</f>
        <v>12105142604</v>
      </c>
      <c r="Z175" s="224">
        <f t="shared" si="161"/>
        <v>0.76294974226215995</v>
      </c>
      <c r="AA175" s="222">
        <v>3761095935</v>
      </c>
      <c r="AB175" s="222">
        <f>+X175-AA175</f>
        <v>0</v>
      </c>
      <c r="AC175" s="224">
        <f t="shared" si="145"/>
        <v>0.23705025773784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s="90" customFormat="1" ht="33">
      <c r="A176" s="32" t="str">
        <f t="shared" si="140"/>
        <v>C-4103-1500-17-0-4103057=11</v>
      </c>
      <c r="B176" s="210" t="str">
        <f>CONCATENATE(C176,"-",D176,"-",E176,"-",F176,"-",G176,"-",H176)</f>
        <v>C-4103-1500-17-0-4103057</v>
      </c>
      <c r="C176" s="211" t="s">
        <v>167</v>
      </c>
      <c r="D176" s="212" t="s">
        <v>190</v>
      </c>
      <c r="E176" s="212" t="s">
        <v>172</v>
      </c>
      <c r="F176" s="212" t="s">
        <v>217</v>
      </c>
      <c r="G176" s="212" t="s">
        <v>175</v>
      </c>
      <c r="H176" s="212" t="s">
        <v>221</v>
      </c>
      <c r="I176" s="212"/>
      <c r="J176" s="212"/>
      <c r="K176" s="213">
        <v>11</v>
      </c>
      <c r="L176" s="214" t="s">
        <v>29</v>
      </c>
      <c r="M176" s="210" t="s">
        <v>222</v>
      </c>
      <c r="N176" s="215">
        <f t="shared" ref="N176:V176" si="188">SUM(N177:N177)</f>
        <v>45582352481</v>
      </c>
      <c r="O176" s="215">
        <f t="shared" si="188"/>
        <v>0</v>
      </c>
      <c r="P176" s="215">
        <f t="shared" si="188"/>
        <v>0</v>
      </c>
      <c r="Q176" s="215">
        <f t="shared" si="188"/>
        <v>473994000</v>
      </c>
      <c r="R176" s="215">
        <f t="shared" si="188"/>
        <v>0</v>
      </c>
      <c r="S176" s="215">
        <f t="shared" si="188"/>
        <v>24481010129</v>
      </c>
      <c r="T176" s="215">
        <f t="shared" si="188"/>
        <v>21575336352</v>
      </c>
      <c r="U176" s="215">
        <f t="shared" si="188"/>
        <v>21101342352</v>
      </c>
      <c r="V176" s="215">
        <f t="shared" si="188"/>
        <v>473994000</v>
      </c>
      <c r="W176" s="216">
        <f t="shared" si="155"/>
        <v>0.97803074806033963</v>
      </c>
      <c r="X176" s="215">
        <f t="shared" ref="X176:Y176" si="189">SUM(X177:X177)</f>
        <v>17797041448</v>
      </c>
      <c r="Y176" s="215">
        <f t="shared" si="189"/>
        <v>3304300904</v>
      </c>
      <c r="Z176" s="216">
        <f t="shared" si="161"/>
        <v>0.15659197641930186</v>
      </c>
      <c r="AA176" s="215">
        <f t="shared" ref="AA176:AB176" si="190">SUM(AA177:AA177)</f>
        <v>17797041448</v>
      </c>
      <c r="AB176" s="215">
        <f t="shared" si="190"/>
        <v>0</v>
      </c>
      <c r="AC176" s="216">
        <f t="shared" si="145"/>
        <v>0.84340802358069811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s="90" customFormat="1" ht="24.95" customHeight="1">
      <c r="A177" s="32" t="str">
        <f t="shared" si="140"/>
        <v>C-4103-1500-17-0-4103057-03=11</v>
      </c>
      <c r="B177" s="217" t="str">
        <f>CONCATENATE(C177,"-",D177,"-",E177,"-",F177,"-",G177,"-",H177,"-",I177)</f>
        <v>C-4103-1500-17-0-4103057-03</v>
      </c>
      <c r="C177" s="266" t="s">
        <v>167</v>
      </c>
      <c r="D177" s="267" t="s">
        <v>190</v>
      </c>
      <c r="E177" s="267" t="s">
        <v>172</v>
      </c>
      <c r="F177" s="267" t="s">
        <v>217</v>
      </c>
      <c r="G177" s="267" t="s">
        <v>175</v>
      </c>
      <c r="H177" s="267" t="s">
        <v>221</v>
      </c>
      <c r="I177" s="274" t="s">
        <v>65</v>
      </c>
      <c r="J177" s="267"/>
      <c r="K177" s="268">
        <v>11</v>
      </c>
      <c r="L177" s="269" t="s">
        <v>29</v>
      </c>
      <c r="M177" s="259" t="s">
        <v>127</v>
      </c>
      <c r="N177" s="222">
        <v>45582352481</v>
      </c>
      <c r="O177" s="222"/>
      <c r="P177" s="222"/>
      <c r="Q177" s="222">
        <v>473994000</v>
      </c>
      <c r="R177" s="222"/>
      <c r="S177" s="222">
        <v>24481010129</v>
      </c>
      <c r="T177" s="222">
        <f>+N177-S177+O177-P177+Q177-R177</f>
        <v>21575336352</v>
      </c>
      <c r="U177" s="222">
        <v>21101342352</v>
      </c>
      <c r="V177" s="222">
        <f>+T177-U177</f>
        <v>473994000</v>
      </c>
      <c r="W177" s="224">
        <f t="shared" si="155"/>
        <v>0.97803074806033963</v>
      </c>
      <c r="X177" s="222">
        <v>17797041448</v>
      </c>
      <c r="Y177" s="222">
        <f>+U177-X177</f>
        <v>3304300904</v>
      </c>
      <c r="Z177" s="224">
        <f t="shared" si="161"/>
        <v>0.15659197641930186</v>
      </c>
      <c r="AA177" s="222">
        <v>17797041448</v>
      </c>
      <c r="AB177" s="222">
        <f>+X177-AA177</f>
        <v>0</v>
      </c>
      <c r="AC177" s="224">
        <f t="shared" si="145"/>
        <v>0.84340802358069811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s="90" customFormat="1" ht="33">
      <c r="A178" s="32" t="str">
        <f t="shared" si="140"/>
        <v>C-4103-1500-17-0-4103058=11</v>
      </c>
      <c r="B178" s="210" t="str">
        <f>CONCATENATE(C178,"-",D178,"-",E178,"-",F178,"-",G178,"-",H178)</f>
        <v>C-4103-1500-17-0-4103058</v>
      </c>
      <c r="C178" s="211" t="s">
        <v>167</v>
      </c>
      <c r="D178" s="212" t="s">
        <v>190</v>
      </c>
      <c r="E178" s="212" t="s">
        <v>172</v>
      </c>
      <c r="F178" s="212" t="s">
        <v>217</v>
      </c>
      <c r="G178" s="212" t="s">
        <v>175</v>
      </c>
      <c r="H178" s="212" t="s">
        <v>223</v>
      </c>
      <c r="I178" s="212"/>
      <c r="J178" s="212"/>
      <c r="K178" s="213">
        <v>11</v>
      </c>
      <c r="L178" s="214" t="s">
        <v>29</v>
      </c>
      <c r="M178" s="210" t="s">
        <v>224</v>
      </c>
      <c r="N178" s="215">
        <f t="shared" ref="N178:V178" si="191">SUM(N179:N179)</f>
        <v>12632794125</v>
      </c>
      <c r="O178" s="215">
        <f t="shared" si="191"/>
        <v>0</v>
      </c>
      <c r="P178" s="215">
        <f t="shared" si="191"/>
        <v>0</v>
      </c>
      <c r="Q178" s="215">
        <f t="shared" si="191"/>
        <v>0</v>
      </c>
      <c r="R178" s="215">
        <f t="shared" si="191"/>
        <v>0</v>
      </c>
      <c r="S178" s="215">
        <f t="shared" si="191"/>
        <v>9713476480</v>
      </c>
      <c r="T178" s="215">
        <f t="shared" si="191"/>
        <v>2919317645</v>
      </c>
      <c r="U178" s="215">
        <f t="shared" si="191"/>
        <v>2919317645</v>
      </c>
      <c r="V178" s="215">
        <f t="shared" si="191"/>
        <v>0</v>
      </c>
      <c r="W178" s="216">
        <f t="shared" si="155"/>
        <v>1</v>
      </c>
      <c r="X178" s="215">
        <f t="shared" ref="X178:Y178" si="192">SUM(X179:X179)</f>
        <v>971988174</v>
      </c>
      <c r="Y178" s="215">
        <f t="shared" si="192"/>
        <v>1947329471</v>
      </c>
      <c r="Z178" s="216">
        <f t="shared" si="161"/>
        <v>0.66704953273421541</v>
      </c>
      <c r="AA178" s="215">
        <f t="shared" ref="AA178:AB178" si="193">SUM(AA179:AA179)</f>
        <v>971988174</v>
      </c>
      <c r="AB178" s="215">
        <f t="shared" si="193"/>
        <v>0</v>
      </c>
      <c r="AC178" s="216">
        <f t="shared" si="145"/>
        <v>0.33295046726578464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s="90" customFormat="1" ht="24.95" customHeight="1">
      <c r="A179" s="32" t="str">
        <f t="shared" si="140"/>
        <v>C-4103-1500-17-0-4103058-02=11</v>
      </c>
      <c r="B179" s="217" t="str">
        <f>CONCATENATE(C179,"-",D179,"-",E179,"-",F179,"-",G179,"-",H179,"-",I179)</f>
        <v>C-4103-1500-17-0-4103058-02</v>
      </c>
      <c r="C179" s="266" t="s">
        <v>167</v>
      </c>
      <c r="D179" s="267" t="s">
        <v>190</v>
      </c>
      <c r="E179" s="267" t="s">
        <v>172</v>
      </c>
      <c r="F179" s="267" t="s">
        <v>217</v>
      </c>
      <c r="G179" s="267" t="s">
        <v>175</v>
      </c>
      <c r="H179" s="267" t="s">
        <v>223</v>
      </c>
      <c r="I179" s="267" t="s">
        <v>54</v>
      </c>
      <c r="J179" s="267"/>
      <c r="K179" s="268">
        <v>11</v>
      </c>
      <c r="L179" s="269" t="s">
        <v>29</v>
      </c>
      <c r="M179" s="259" t="s">
        <v>178</v>
      </c>
      <c r="N179" s="222">
        <v>12632794125</v>
      </c>
      <c r="O179" s="222"/>
      <c r="P179" s="222"/>
      <c r="Q179" s="223"/>
      <c r="R179" s="222"/>
      <c r="S179" s="222">
        <v>9713476480</v>
      </c>
      <c r="T179" s="222">
        <f>+N179-S179+O179-P179+Q179-R179</f>
        <v>2919317645</v>
      </c>
      <c r="U179" s="222">
        <v>2919317645</v>
      </c>
      <c r="V179" s="222">
        <f t="shared" ref="V179" si="194">+T179-U179</f>
        <v>0</v>
      </c>
      <c r="W179" s="224">
        <f t="shared" si="155"/>
        <v>1</v>
      </c>
      <c r="X179" s="222">
        <v>971988174</v>
      </c>
      <c r="Y179" s="222">
        <f t="shared" ref="Y179" si="195">+U179-X179</f>
        <v>1947329471</v>
      </c>
      <c r="Z179" s="224">
        <f t="shared" si="161"/>
        <v>0.66704953273421541</v>
      </c>
      <c r="AA179" s="222">
        <v>971988174</v>
      </c>
      <c r="AB179" s="222">
        <f t="shared" ref="AB179" si="196">+X179-AA179</f>
        <v>0</v>
      </c>
      <c r="AC179" s="224">
        <f t="shared" si="145"/>
        <v>0.33295046726578464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s="90" customFormat="1" ht="33">
      <c r="A180" s="32" t="str">
        <f t="shared" si="140"/>
        <v>C-4103-1500-17-0-4103059=11</v>
      </c>
      <c r="B180" s="210" t="str">
        <f>CONCATENATE(C180,"-",D180,"-",E180,"-",F180,"-",G180,"-",H180)</f>
        <v>C-4103-1500-17-0-4103059</v>
      </c>
      <c r="C180" s="211" t="s">
        <v>167</v>
      </c>
      <c r="D180" s="212" t="s">
        <v>190</v>
      </c>
      <c r="E180" s="212" t="s">
        <v>172</v>
      </c>
      <c r="F180" s="212" t="s">
        <v>217</v>
      </c>
      <c r="G180" s="212" t="s">
        <v>175</v>
      </c>
      <c r="H180" s="212" t="s">
        <v>225</v>
      </c>
      <c r="I180" s="212"/>
      <c r="J180" s="212"/>
      <c r="K180" s="213">
        <v>11</v>
      </c>
      <c r="L180" s="214" t="s">
        <v>29</v>
      </c>
      <c r="M180" s="210" t="s">
        <v>226</v>
      </c>
      <c r="N180" s="215">
        <f>SUM(N181:N181)</f>
        <v>1307947412</v>
      </c>
      <c r="O180" s="215">
        <f t="shared" ref="O180:V180" si="197">SUM(O181:O181)</f>
        <v>0</v>
      </c>
      <c r="P180" s="215">
        <f t="shared" si="197"/>
        <v>0</v>
      </c>
      <c r="Q180" s="215">
        <f t="shared" si="197"/>
        <v>0</v>
      </c>
      <c r="R180" s="215">
        <f t="shared" si="197"/>
        <v>332606115</v>
      </c>
      <c r="S180" s="215">
        <f t="shared" si="197"/>
        <v>0</v>
      </c>
      <c r="T180" s="215">
        <f t="shared" si="197"/>
        <v>975341297</v>
      </c>
      <c r="U180" s="215">
        <f t="shared" si="197"/>
        <v>975341297</v>
      </c>
      <c r="V180" s="215">
        <f t="shared" si="197"/>
        <v>0</v>
      </c>
      <c r="W180" s="216">
        <f t="shared" si="155"/>
        <v>1</v>
      </c>
      <c r="X180" s="215">
        <f t="shared" ref="X180:Y180" si="198">SUM(X181:X181)</f>
        <v>975341297</v>
      </c>
      <c r="Y180" s="215">
        <f t="shared" si="198"/>
        <v>0</v>
      </c>
      <c r="Z180" s="216">
        <f t="shared" si="161"/>
        <v>0</v>
      </c>
      <c r="AA180" s="215">
        <f t="shared" ref="AA180:AB180" si="199">SUM(AA181:AA181)</f>
        <v>975341297</v>
      </c>
      <c r="AB180" s="215">
        <f t="shared" si="199"/>
        <v>0</v>
      </c>
      <c r="AC180" s="216">
        <f t="shared" si="145"/>
        <v>1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s="90" customFormat="1" ht="24.95" customHeight="1">
      <c r="A181" s="32" t="str">
        <f t="shared" si="140"/>
        <v>C-4103-1500-17-0-4103059-02=11</v>
      </c>
      <c r="B181" s="217" t="str">
        <f>CONCATENATE(C181,"-",D181,"-",E181,"-",F181,"-",G181,"-",H181,"-",I181)</f>
        <v>C-4103-1500-17-0-4103059-02</v>
      </c>
      <c r="C181" s="266" t="s">
        <v>167</v>
      </c>
      <c r="D181" s="267" t="s">
        <v>190</v>
      </c>
      <c r="E181" s="267" t="s">
        <v>172</v>
      </c>
      <c r="F181" s="267" t="s">
        <v>217</v>
      </c>
      <c r="G181" s="267" t="s">
        <v>175</v>
      </c>
      <c r="H181" s="267" t="s">
        <v>225</v>
      </c>
      <c r="I181" s="267" t="s">
        <v>54</v>
      </c>
      <c r="J181" s="267"/>
      <c r="K181" s="268">
        <v>11</v>
      </c>
      <c r="L181" s="269" t="s">
        <v>29</v>
      </c>
      <c r="M181" s="259" t="s">
        <v>178</v>
      </c>
      <c r="N181" s="222">
        <v>1307947412</v>
      </c>
      <c r="O181" s="222"/>
      <c r="P181" s="222"/>
      <c r="Q181" s="222"/>
      <c r="R181" s="222">
        <v>332606115</v>
      </c>
      <c r="S181" s="222"/>
      <c r="T181" s="222">
        <f>+N181-S181+O181-P181+Q181-R181</f>
        <v>975341297</v>
      </c>
      <c r="U181" s="222">
        <v>975341297</v>
      </c>
      <c r="V181" s="222">
        <f t="shared" si="109"/>
        <v>0</v>
      </c>
      <c r="W181" s="224">
        <f t="shared" si="155"/>
        <v>1</v>
      </c>
      <c r="X181" s="222">
        <v>975341297</v>
      </c>
      <c r="Y181" s="222">
        <f t="shared" si="118"/>
        <v>0</v>
      </c>
      <c r="Z181" s="224">
        <f t="shared" si="161"/>
        <v>0</v>
      </c>
      <c r="AA181" s="222">
        <v>975341297</v>
      </c>
      <c r="AB181" s="222">
        <f t="shared" si="110"/>
        <v>0</v>
      </c>
      <c r="AC181" s="224">
        <f t="shared" si="145"/>
        <v>1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s="90" customFormat="1" ht="49.5">
      <c r="A182" s="32" t="str">
        <f t="shared" si="140"/>
        <v>C-4103-1500-18=</v>
      </c>
      <c r="B182" s="226" t="str">
        <f>CONCATENATE(C182,"-",D182,"-",E182,"-",F182)</f>
        <v>C-4103-1500-18</v>
      </c>
      <c r="C182" s="227" t="s">
        <v>167</v>
      </c>
      <c r="D182" s="228" t="s">
        <v>190</v>
      </c>
      <c r="E182" s="228" t="s">
        <v>172</v>
      </c>
      <c r="F182" s="228">
        <v>18</v>
      </c>
      <c r="G182" s="228"/>
      <c r="H182" s="228"/>
      <c r="I182" s="228"/>
      <c r="J182" s="228"/>
      <c r="K182" s="229"/>
      <c r="L182" s="230"/>
      <c r="M182" s="231" t="s">
        <v>284</v>
      </c>
      <c r="N182" s="232">
        <f>+N183</f>
        <v>70125561842</v>
      </c>
      <c r="O182" s="232">
        <f t="shared" ref="O182:AB182" si="200">+O183</f>
        <v>0</v>
      </c>
      <c r="P182" s="232">
        <f t="shared" si="200"/>
        <v>0</v>
      </c>
      <c r="Q182" s="232">
        <f t="shared" si="200"/>
        <v>0</v>
      </c>
      <c r="R182" s="232">
        <f t="shared" si="200"/>
        <v>1004224351</v>
      </c>
      <c r="S182" s="232">
        <f t="shared" si="200"/>
        <v>60000000000</v>
      </c>
      <c r="T182" s="232">
        <f t="shared" si="200"/>
        <v>9121337491</v>
      </c>
      <c r="U182" s="232">
        <f t="shared" si="200"/>
        <v>5442969023.9200001</v>
      </c>
      <c r="V182" s="232">
        <f t="shared" si="200"/>
        <v>3678368467.0799999</v>
      </c>
      <c r="W182" s="233">
        <f t="shared" si="155"/>
        <v>0.59672926577824392</v>
      </c>
      <c r="X182" s="232">
        <f t="shared" si="200"/>
        <v>2152096945.3800001</v>
      </c>
      <c r="Y182" s="232">
        <f t="shared" si="200"/>
        <v>3290872078.54</v>
      </c>
      <c r="Z182" s="233">
        <f t="shared" si="161"/>
        <v>0.60460973855954991</v>
      </c>
      <c r="AA182" s="232">
        <f t="shared" si="200"/>
        <v>2152096945.3800001</v>
      </c>
      <c r="AB182" s="232">
        <f t="shared" si="200"/>
        <v>0</v>
      </c>
      <c r="AC182" s="233">
        <f t="shared" si="145"/>
        <v>0.39539026144045009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s="90" customFormat="1" ht="33">
      <c r="A183" s="32" t="str">
        <f t="shared" si="140"/>
        <v>C-4103-1500-18-0-4103050=11</v>
      </c>
      <c r="B183" s="210" t="str">
        <f>CONCATENATE(C183,"-",D183,"-",E183,"-",F183,"-",G183,"-",H183)</f>
        <v>C-4103-1500-18-0-4103050</v>
      </c>
      <c r="C183" s="211" t="s">
        <v>167</v>
      </c>
      <c r="D183" s="212" t="s">
        <v>190</v>
      </c>
      <c r="E183" s="212" t="s">
        <v>172</v>
      </c>
      <c r="F183" s="212">
        <v>18</v>
      </c>
      <c r="G183" s="212" t="s">
        <v>175</v>
      </c>
      <c r="H183" s="212">
        <v>4103050</v>
      </c>
      <c r="I183" s="212"/>
      <c r="J183" s="212"/>
      <c r="K183" s="213">
        <v>11</v>
      </c>
      <c r="L183" s="214" t="s">
        <v>29</v>
      </c>
      <c r="M183" s="210" t="s">
        <v>269</v>
      </c>
      <c r="N183" s="215">
        <f>N184</f>
        <v>70125561842</v>
      </c>
      <c r="O183" s="215">
        <f t="shared" ref="O183:AB183" si="201">O184</f>
        <v>0</v>
      </c>
      <c r="P183" s="215">
        <f t="shared" si="201"/>
        <v>0</v>
      </c>
      <c r="Q183" s="215">
        <f t="shared" si="201"/>
        <v>0</v>
      </c>
      <c r="R183" s="215">
        <f t="shared" si="201"/>
        <v>1004224351</v>
      </c>
      <c r="S183" s="215">
        <f t="shared" si="201"/>
        <v>60000000000</v>
      </c>
      <c r="T183" s="215">
        <f t="shared" si="201"/>
        <v>9121337491</v>
      </c>
      <c r="U183" s="215">
        <f t="shared" si="201"/>
        <v>5442969023.9200001</v>
      </c>
      <c r="V183" s="215">
        <f t="shared" si="201"/>
        <v>3678368467.0799999</v>
      </c>
      <c r="W183" s="216">
        <f t="shared" si="155"/>
        <v>0.59672926577824392</v>
      </c>
      <c r="X183" s="215">
        <f t="shared" si="201"/>
        <v>2152096945.3800001</v>
      </c>
      <c r="Y183" s="215">
        <f t="shared" si="201"/>
        <v>3290872078.54</v>
      </c>
      <c r="Z183" s="216">
        <f t="shared" si="161"/>
        <v>0.60460973855954991</v>
      </c>
      <c r="AA183" s="215">
        <f t="shared" si="201"/>
        <v>2152096945.3800001</v>
      </c>
      <c r="AB183" s="215">
        <f t="shared" si="201"/>
        <v>0</v>
      </c>
      <c r="AC183" s="216">
        <f t="shared" si="145"/>
        <v>0.39539026144045009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s="90" customFormat="1" ht="24.95" customHeight="1">
      <c r="A184" s="32" t="str">
        <f t="shared" si="140"/>
        <v>C-4103-1500-18-0-4103050-02=11</v>
      </c>
      <c r="B184" s="217" t="str">
        <f>CONCATENATE(C184,"-",D184,"-",E184,"-",F184,"-",G184,"-",H184,"-",I184)</f>
        <v>C-4103-1500-18-0-4103050-02</v>
      </c>
      <c r="C184" s="266" t="s">
        <v>167</v>
      </c>
      <c r="D184" s="267" t="s">
        <v>190</v>
      </c>
      <c r="E184" s="267" t="s">
        <v>172</v>
      </c>
      <c r="F184" s="267">
        <v>18</v>
      </c>
      <c r="G184" s="267" t="s">
        <v>175</v>
      </c>
      <c r="H184" s="267">
        <v>4103050</v>
      </c>
      <c r="I184" s="267" t="s">
        <v>54</v>
      </c>
      <c r="J184" s="267"/>
      <c r="K184" s="268">
        <v>11</v>
      </c>
      <c r="L184" s="269" t="s">
        <v>29</v>
      </c>
      <c r="M184" s="259" t="s">
        <v>178</v>
      </c>
      <c r="N184" s="222">
        <v>70125561842</v>
      </c>
      <c r="O184" s="222"/>
      <c r="P184" s="222"/>
      <c r="Q184" s="222"/>
      <c r="R184" s="222">
        <v>1004224351</v>
      </c>
      <c r="S184" s="222">
        <v>60000000000</v>
      </c>
      <c r="T184" s="222">
        <f>+N184-S184+O184-P184+Q184-R184</f>
        <v>9121337491</v>
      </c>
      <c r="U184" s="222">
        <v>5442969023.9200001</v>
      </c>
      <c r="V184" s="222">
        <f>+T184-U184</f>
        <v>3678368467.0799999</v>
      </c>
      <c r="W184" s="224">
        <f t="shared" si="155"/>
        <v>0.59672926577824392</v>
      </c>
      <c r="X184" s="222">
        <v>2152096945.3800001</v>
      </c>
      <c r="Y184" s="222">
        <f>+U184-X184</f>
        <v>3290872078.54</v>
      </c>
      <c r="Z184" s="224">
        <f t="shared" si="161"/>
        <v>0.60460973855954991</v>
      </c>
      <c r="AA184" s="222">
        <v>2152096945.3800001</v>
      </c>
      <c r="AB184" s="222">
        <f>+X184-AA184</f>
        <v>0</v>
      </c>
      <c r="AC184" s="224">
        <f t="shared" si="145"/>
        <v>0.39539026144045009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s="90" customFormat="1" ht="33">
      <c r="A185" s="32" t="str">
        <f t="shared" si="140"/>
        <v>C-4103-1500-19=</v>
      </c>
      <c r="B185" s="226" t="str">
        <f>CONCATENATE(C185,"-",D185,"-",E185,"-",F185)</f>
        <v>C-4103-1500-19</v>
      </c>
      <c r="C185" s="227" t="s">
        <v>167</v>
      </c>
      <c r="D185" s="228" t="s">
        <v>190</v>
      </c>
      <c r="E185" s="228" t="s">
        <v>172</v>
      </c>
      <c r="F185" s="228">
        <v>19</v>
      </c>
      <c r="G185" s="228"/>
      <c r="H185" s="228"/>
      <c r="I185" s="228"/>
      <c r="J185" s="228"/>
      <c r="K185" s="229"/>
      <c r="L185" s="230"/>
      <c r="M185" s="231" t="s">
        <v>285</v>
      </c>
      <c r="N185" s="232">
        <f>+N186+N188+N190</f>
        <v>11281479935</v>
      </c>
      <c r="O185" s="232">
        <f t="shared" ref="O185:V185" si="202">+O186+O188+O190</f>
        <v>0</v>
      </c>
      <c r="P185" s="232">
        <f t="shared" si="202"/>
        <v>0</v>
      </c>
      <c r="Q185" s="232">
        <f t="shared" si="202"/>
        <v>114769224</v>
      </c>
      <c r="R185" s="232">
        <f t="shared" si="202"/>
        <v>1114769224</v>
      </c>
      <c r="S185" s="232">
        <f t="shared" si="202"/>
        <v>0</v>
      </c>
      <c r="T185" s="232">
        <f t="shared" si="202"/>
        <v>10281479935</v>
      </c>
      <c r="U185" s="232">
        <f t="shared" si="202"/>
        <v>7333059463.0500002</v>
      </c>
      <c r="V185" s="232">
        <f t="shared" si="202"/>
        <v>2948420471.9499998</v>
      </c>
      <c r="W185" s="233">
        <f t="shared" si="155"/>
        <v>0.71322995419044211</v>
      </c>
      <c r="X185" s="232">
        <f t="shared" ref="X185:AB185" si="203">+X186+X188+X190</f>
        <v>1710613662</v>
      </c>
      <c r="Y185" s="232">
        <f t="shared" si="203"/>
        <v>5622445801.0500002</v>
      </c>
      <c r="Z185" s="233">
        <f t="shared" si="161"/>
        <v>0.76672578878986564</v>
      </c>
      <c r="AA185" s="232">
        <f t="shared" si="203"/>
        <v>1710613662</v>
      </c>
      <c r="AB185" s="232">
        <f t="shared" si="203"/>
        <v>0</v>
      </c>
      <c r="AC185" s="233">
        <f t="shared" si="145"/>
        <v>0.23327421121013434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s="90" customFormat="1" ht="33">
      <c r="A186" s="32" t="str">
        <f t="shared" si="140"/>
        <v>C-4103-1500-19-0-4103049=11</v>
      </c>
      <c r="B186" s="210" t="str">
        <f>CONCATENATE(C186,"-",D186,"-",E186,"-",F186,"-",G186,"-",H186)</f>
        <v>C-4103-1500-19-0-4103049</v>
      </c>
      <c r="C186" s="211" t="s">
        <v>167</v>
      </c>
      <c r="D186" s="212" t="s">
        <v>190</v>
      </c>
      <c r="E186" s="212" t="s">
        <v>172</v>
      </c>
      <c r="F186" s="212">
        <v>19</v>
      </c>
      <c r="G186" s="212" t="s">
        <v>175</v>
      </c>
      <c r="H186" s="212">
        <v>4103049</v>
      </c>
      <c r="I186" s="212"/>
      <c r="J186" s="212"/>
      <c r="K186" s="213">
        <v>11</v>
      </c>
      <c r="L186" s="214" t="s">
        <v>29</v>
      </c>
      <c r="M186" s="210" t="s">
        <v>228</v>
      </c>
      <c r="N186" s="215">
        <f>N187</f>
        <v>218772000</v>
      </c>
      <c r="O186" s="215">
        <f t="shared" ref="O186:AB190" si="204">O187</f>
        <v>0</v>
      </c>
      <c r="P186" s="215">
        <f t="shared" si="204"/>
        <v>0</v>
      </c>
      <c r="Q186" s="215">
        <f t="shared" si="204"/>
        <v>114769224</v>
      </c>
      <c r="R186" s="215">
        <f t="shared" si="204"/>
        <v>0</v>
      </c>
      <c r="S186" s="215">
        <f t="shared" si="204"/>
        <v>0</v>
      </c>
      <c r="T186" s="215">
        <f t="shared" si="204"/>
        <v>333541224</v>
      </c>
      <c r="U186" s="215">
        <f t="shared" si="204"/>
        <v>227159834</v>
      </c>
      <c r="V186" s="215">
        <f t="shared" si="204"/>
        <v>106381390</v>
      </c>
      <c r="W186" s="216">
        <f t="shared" si="155"/>
        <v>0.68105474722368953</v>
      </c>
      <c r="X186" s="215">
        <f t="shared" si="204"/>
        <v>104533245</v>
      </c>
      <c r="Y186" s="215">
        <f t="shared" si="204"/>
        <v>122626589</v>
      </c>
      <c r="Z186" s="216">
        <f t="shared" si="161"/>
        <v>0.53982513915730368</v>
      </c>
      <c r="AA186" s="215">
        <f t="shared" si="204"/>
        <v>104533245</v>
      </c>
      <c r="AB186" s="215">
        <f t="shared" si="204"/>
        <v>0</v>
      </c>
      <c r="AC186" s="216">
        <f t="shared" si="145"/>
        <v>0.46017486084269632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s="90" customFormat="1" ht="24.95" customHeight="1">
      <c r="A187" s="32" t="str">
        <f t="shared" si="140"/>
        <v>C-4103-1500-19-0-4103049-02=11</v>
      </c>
      <c r="B187" s="217" t="str">
        <f>CONCATENATE(C187,"-",D187,"-",E187,"-",F187,"-",G187,"-",H187,"-",I187)</f>
        <v>C-4103-1500-19-0-4103049-02</v>
      </c>
      <c r="C187" s="266" t="s">
        <v>167</v>
      </c>
      <c r="D187" s="267" t="s">
        <v>190</v>
      </c>
      <c r="E187" s="267" t="s">
        <v>172</v>
      </c>
      <c r="F187" s="267">
        <v>19</v>
      </c>
      <c r="G187" s="267" t="s">
        <v>175</v>
      </c>
      <c r="H187" s="267">
        <v>4103049</v>
      </c>
      <c r="I187" s="267" t="s">
        <v>54</v>
      </c>
      <c r="J187" s="267"/>
      <c r="K187" s="268">
        <v>11</v>
      </c>
      <c r="L187" s="269" t="s">
        <v>29</v>
      </c>
      <c r="M187" s="259" t="s">
        <v>178</v>
      </c>
      <c r="N187" s="222">
        <v>218772000</v>
      </c>
      <c r="O187" s="222"/>
      <c r="P187" s="222"/>
      <c r="Q187" s="222">
        <v>114769224</v>
      </c>
      <c r="R187" s="222"/>
      <c r="S187" s="222"/>
      <c r="T187" s="222">
        <f>+N187-S187+O187-P187+Q187-R187</f>
        <v>333541224</v>
      </c>
      <c r="U187" s="222">
        <v>227159834</v>
      </c>
      <c r="V187" s="222">
        <f>+T187-U187</f>
        <v>106381390</v>
      </c>
      <c r="W187" s="224">
        <f t="shared" si="155"/>
        <v>0.68105474722368953</v>
      </c>
      <c r="X187" s="222">
        <v>104533245</v>
      </c>
      <c r="Y187" s="222">
        <f>+U187-X187</f>
        <v>122626589</v>
      </c>
      <c r="Z187" s="224">
        <f t="shared" si="161"/>
        <v>0.53982513915730368</v>
      </c>
      <c r="AA187" s="222">
        <v>104533245</v>
      </c>
      <c r="AB187" s="222">
        <f>+X187-AA187</f>
        <v>0</v>
      </c>
      <c r="AC187" s="224">
        <f t="shared" si="145"/>
        <v>0.46017486084269632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s="90" customFormat="1" ht="34.5" customHeight="1">
      <c r="A188" s="32" t="str">
        <f t="shared" si="140"/>
        <v>C-4103-1500-19-0-4103052=11</v>
      </c>
      <c r="B188" s="210" t="str">
        <f>CONCATENATE(C188,"-",D188,"-",E188,"-",F188,"-",G188,"-",H188)</f>
        <v>C-4103-1500-19-0-4103052</v>
      </c>
      <c r="C188" s="211" t="s">
        <v>167</v>
      </c>
      <c r="D188" s="212" t="s">
        <v>190</v>
      </c>
      <c r="E188" s="212" t="s">
        <v>172</v>
      </c>
      <c r="F188" s="212">
        <v>19</v>
      </c>
      <c r="G188" s="212" t="s">
        <v>175</v>
      </c>
      <c r="H188" s="212">
        <v>4103052</v>
      </c>
      <c r="I188" s="212"/>
      <c r="J188" s="212"/>
      <c r="K188" s="213">
        <v>11</v>
      </c>
      <c r="L188" s="214" t="s">
        <v>29</v>
      </c>
      <c r="M188" s="210" t="s">
        <v>229</v>
      </c>
      <c r="N188" s="215">
        <f>N189</f>
        <v>9835707936</v>
      </c>
      <c r="O188" s="215">
        <f t="shared" si="204"/>
        <v>0</v>
      </c>
      <c r="P188" s="215">
        <f t="shared" si="204"/>
        <v>0</v>
      </c>
      <c r="Q188" s="215">
        <f t="shared" si="204"/>
        <v>0</v>
      </c>
      <c r="R188" s="215">
        <f t="shared" si="204"/>
        <v>0</v>
      </c>
      <c r="S188" s="215">
        <f t="shared" si="204"/>
        <v>0</v>
      </c>
      <c r="T188" s="215">
        <f t="shared" si="204"/>
        <v>9835707936</v>
      </c>
      <c r="U188" s="215">
        <f t="shared" si="204"/>
        <v>7105899629.0500002</v>
      </c>
      <c r="V188" s="215">
        <f t="shared" si="204"/>
        <v>2729808306.9499998</v>
      </c>
      <c r="W188" s="216">
        <f t="shared" si="155"/>
        <v>0.72245939746151489</v>
      </c>
      <c r="X188" s="215">
        <f t="shared" si="204"/>
        <v>1606080417</v>
      </c>
      <c r="Y188" s="215">
        <f t="shared" si="204"/>
        <v>5499819212.0500002</v>
      </c>
      <c r="Z188" s="216">
        <f t="shared" si="161"/>
        <v>0.77397929877392324</v>
      </c>
      <c r="AA188" s="215">
        <f t="shared" si="204"/>
        <v>1606080417</v>
      </c>
      <c r="AB188" s="215">
        <f t="shared" si="204"/>
        <v>0</v>
      </c>
      <c r="AC188" s="216">
        <f t="shared" si="145"/>
        <v>0.22602070122607679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s="90" customFormat="1" ht="24.95" customHeight="1">
      <c r="A189" s="32" t="str">
        <f t="shared" si="140"/>
        <v>C-4103-1500-19-0-4103052-02=11</v>
      </c>
      <c r="B189" s="217" t="str">
        <f>CONCATENATE(C189,"-",D189,"-",E189,"-",F189,"-",G189,"-",H189,"-",I189)</f>
        <v>C-4103-1500-19-0-4103052-02</v>
      </c>
      <c r="C189" s="266" t="s">
        <v>167</v>
      </c>
      <c r="D189" s="267" t="s">
        <v>190</v>
      </c>
      <c r="E189" s="267" t="s">
        <v>172</v>
      </c>
      <c r="F189" s="267">
        <v>19</v>
      </c>
      <c r="G189" s="267" t="s">
        <v>175</v>
      </c>
      <c r="H189" s="267">
        <v>4103052</v>
      </c>
      <c r="I189" s="267" t="s">
        <v>54</v>
      </c>
      <c r="J189" s="267"/>
      <c r="K189" s="268">
        <v>11</v>
      </c>
      <c r="L189" s="269" t="s">
        <v>29</v>
      </c>
      <c r="M189" s="259" t="s">
        <v>178</v>
      </c>
      <c r="N189" s="222">
        <v>9835707936</v>
      </c>
      <c r="O189" s="222"/>
      <c r="P189" s="222"/>
      <c r="Q189" s="222"/>
      <c r="R189" s="222"/>
      <c r="S189" s="222"/>
      <c r="T189" s="222">
        <f>+N189-S189+O189-P189+Q189-R189</f>
        <v>9835707936</v>
      </c>
      <c r="U189" s="222">
        <v>7105899629.0500002</v>
      </c>
      <c r="V189" s="222">
        <f>+T189-U189</f>
        <v>2729808306.9499998</v>
      </c>
      <c r="W189" s="224">
        <f t="shared" si="155"/>
        <v>0.72245939746151489</v>
      </c>
      <c r="X189" s="222">
        <v>1606080417</v>
      </c>
      <c r="Y189" s="222">
        <f>+U189-X189</f>
        <v>5499819212.0500002</v>
      </c>
      <c r="Z189" s="224">
        <f t="shared" si="161"/>
        <v>0.77397929877392324</v>
      </c>
      <c r="AA189" s="222">
        <v>1606080417</v>
      </c>
      <c r="AB189" s="222">
        <f>+X189-AA189</f>
        <v>0</v>
      </c>
      <c r="AC189" s="224">
        <f t="shared" si="145"/>
        <v>0.22602070122607679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s="90" customFormat="1" ht="24.95" customHeight="1">
      <c r="A190" s="32" t="str">
        <f t="shared" si="140"/>
        <v>C-4103-1500-19-0-4103060=11</v>
      </c>
      <c r="B190" s="210" t="str">
        <f>CONCATENATE(C190,"-",D190,"-",E190,"-",F190,"-",G190,"-",H190)</f>
        <v>C-4103-1500-19-0-4103060</v>
      </c>
      <c r="C190" s="211" t="s">
        <v>167</v>
      </c>
      <c r="D190" s="212" t="s">
        <v>190</v>
      </c>
      <c r="E190" s="212" t="s">
        <v>172</v>
      </c>
      <c r="F190" s="212">
        <v>19</v>
      </c>
      <c r="G190" s="212" t="s">
        <v>175</v>
      </c>
      <c r="H190" s="212">
        <v>4103060</v>
      </c>
      <c r="I190" s="212"/>
      <c r="J190" s="212"/>
      <c r="K190" s="213">
        <v>11</v>
      </c>
      <c r="L190" s="214" t="s">
        <v>29</v>
      </c>
      <c r="M190" s="210" t="s">
        <v>216</v>
      </c>
      <c r="N190" s="215">
        <f>N191</f>
        <v>1226999999</v>
      </c>
      <c r="O190" s="215">
        <f t="shared" si="204"/>
        <v>0</v>
      </c>
      <c r="P190" s="215">
        <f t="shared" si="204"/>
        <v>0</v>
      </c>
      <c r="Q190" s="215">
        <f t="shared" si="204"/>
        <v>0</v>
      </c>
      <c r="R190" s="215">
        <f t="shared" si="204"/>
        <v>1114769224</v>
      </c>
      <c r="S190" s="215">
        <f t="shared" si="204"/>
        <v>0</v>
      </c>
      <c r="T190" s="215">
        <f t="shared" si="204"/>
        <v>112230775</v>
      </c>
      <c r="U190" s="215">
        <f t="shared" si="204"/>
        <v>0</v>
      </c>
      <c r="V190" s="215">
        <f t="shared" si="204"/>
        <v>112230775</v>
      </c>
      <c r="W190" s="216">
        <f t="shared" si="155"/>
        <v>0</v>
      </c>
      <c r="X190" s="215">
        <f t="shared" si="204"/>
        <v>0</v>
      </c>
      <c r="Y190" s="215">
        <f t="shared" si="204"/>
        <v>0</v>
      </c>
      <c r="Z190" s="216">
        <f t="shared" si="161"/>
        <v>0</v>
      </c>
      <c r="AA190" s="215">
        <f t="shared" si="204"/>
        <v>0</v>
      </c>
      <c r="AB190" s="215">
        <f t="shared" si="204"/>
        <v>0</v>
      </c>
      <c r="AC190" s="216">
        <f t="shared" si="145"/>
        <v>0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s="90" customFormat="1" ht="24.95" customHeight="1">
      <c r="A191" s="32" t="str">
        <f t="shared" si="140"/>
        <v>C-4103-1500-19-0-4103060-02=11</v>
      </c>
      <c r="B191" s="217" t="str">
        <f>CONCATENATE(C191,"-",D191,"-",E191,"-",F191,"-",G191,"-",H191,"-",I191)</f>
        <v>C-4103-1500-19-0-4103060-02</v>
      </c>
      <c r="C191" s="266" t="s">
        <v>167</v>
      </c>
      <c r="D191" s="267" t="s">
        <v>190</v>
      </c>
      <c r="E191" s="267" t="s">
        <v>172</v>
      </c>
      <c r="F191" s="267">
        <v>19</v>
      </c>
      <c r="G191" s="267" t="s">
        <v>175</v>
      </c>
      <c r="H191" s="267">
        <v>4103060</v>
      </c>
      <c r="I191" s="267" t="s">
        <v>54</v>
      </c>
      <c r="J191" s="267"/>
      <c r="K191" s="268">
        <v>11</v>
      </c>
      <c r="L191" s="269" t="s">
        <v>29</v>
      </c>
      <c r="M191" s="259" t="s">
        <v>178</v>
      </c>
      <c r="N191" s="222">
        <v>1226999999</v>
      </c>
      <c r="O191" s="222"/>
      <c r="P191" s="222"/>
      <c r="Q191" s="222"/>
      <c r="R191" s="222">
        <f>114769224+1000000000</f>
        <v>1114769224</v>
      </c>
      <c r="S191" s="222"/>
      <c r="T191" s="222">
        <f>+N191-S191+O191-P191+Q191-R191</f>
        <v>112230775</v>
      </c>
      <c r="U191" s="222">
        <v>0</v>
      </c>
      <c r="V191" s="222">
        <f>+T191-U191</f>
        <v>112230775</v>
      </c>
      <c r="W191" s="224">
        <f t="shared" si="155"/>
        <v>0</v>
      </c>
      <c r="X191" s="222">
        <v>0</v>
      </c>
      <c r="Y191" s="222">
        <f>+U191-X191</f>
        <v>0</v>
      </c>
      <c r="Z191" s="224">
        <f t="shared" si="161"/>
        <v>0</v>
      </c>
      <c r="AA191" s="222">
        <v>0</v>
      </c>
      <c r="AB191" s="222">
        <f>+X191-AA191</f>
        <v>0</v>
      </c>
      <c r="AC191" s="224">
        <f t="shared" si="145"/>
        <v>0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s="90" customFormat="1" ht="49.5">
      <c r="A192" s="32" t="str">
        <f t="shared" si="140"/>
        <v>C-4103-1500-20=</v>
      </c>
      <c r="B192" s="226" t="str">
        <f>CONCATENATE(C192,"-",D192,"-",E192,"-",F192)</f>
        <v>C-4103-1500-20</v>
      </c>
      <c r="C192" s="227" t="s">
        <v>167</v>
      </c>
      <c r="D192" s="228" t="s">
        <v>190</v>
      </c>
      <c r="E192" s="228" t="s">
        <v>172</v>
      </c>
      <c r="F192" s="228">
        <v>20</v>
      </c>
      <c r="G192" s="228"/>
      <c r="H192" s="228"/>
      <c r="I192" s="228"/>
      <c r="J192" s="228"/>
      <c r="K192" s="229"/>
      <c r="L192" s="230"/>
      <c r="M192" s="231" t="s">
        <v>286</v>
      </c>
      <c r="N192" s="232">
        <f>+N193</f>
        <v>0</v>
      </c>
      <c r="O192" s="232">
        <f t="shared" ref="O192:V192" si="205">+O193</f>
        <v>0</v>
      </c>
      <c r="P192" s="232">
        <f t="shared" si="205"/>
        <v>0</v>
      </c>
      <c r="Q192" s="232">
        <f t="shared" si="205"/>
        <v>285960800000</v>
      </c>
      <c r="R192" s="232">
        <f t="shared" si="205"/>
        <v>5960800000</v>
      </c>
      <c r="S192" s="232">
        <f t="shared" si="205"/>
        <v>0</v>
      </c>
      <c r="T192" s="232">
        <f t="shared" si="205"/>
        <v>280000000000</v>
      </c>
      <c r="U192" s="232">
        <f t="shared" si="205"/>
        <v>170942407916.81</v>
      </c>
      <c r="V192" s="232">
        <f t="shared" si="205"/>
        <v>109057592083.19</v>
      </c>
      <c r="W192" s="233">
        <f t="shared" si="155"/>
        <v>0.61050859970289284</v>
      </c>
      <c r="X192" s="232">
        <f t="shared" ref="X192:Y192" si="206">+X193</f>
        <v>159500856505</v>
      </c>
      <c r="Y192" s="232">
        <f t="shared" si="206"/>
        <v>11441551411.809999</v>
      </c>
      <c r="Z192" s="233">
        <f t="shared" si="161"/>
        <v>6.6932199863348654E-2</v>
      </c>
      <c r="AA192" s="232">
        <f t="shared" ref="AA192:AB192" si="207">+AA193</f>
        <v>159500856505</v>
      </c>
      <c r="AB192" s="232">
        <f t="shared" si="207"/>
        <v>0</v>
      </c>
      <c r="AC192" s="233">
        <f t="shared" si="145"/>
        <v>0.93306780013665136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s="90" customFormat="1" ht="33">
      <c r="A193" s="32" t="str">
        <f t="shared" si="140"/>
        <v>C-4103-1500-20-0-4103061=11</v>
      </c>
      <c r="B193" s="210" t="str">
        <f>CONCATENATE(C193,"-",D193,"-",E193,"-",F193,"-",G193,"-",H193)</f>
        <v>C-4103-1500-20-0-4103061</v>
      </c>
      <c r="C193" s="211" t="s">
        <v>167</v>
      </c>
      <c r="D193" s="212" t="s">
        <v>190</v>
      </c>
      <c r="E193" s="212" t="s">
        <v>172</v>
      </c>
      <c r="F193" s="212">
        <v>20</v>
      </c>
      <c r="G193" s="212" t="s">
        <v>175</v>
      </c>
      <c r="H193" s="212">
        <v>4103061</v>
      </c>
      <c r="I193" s="212"/>
      <c r="J193" s="212"/>
      <c r="K193" s="213">
        <v>11</v>
      </c>
      <c r="L193" s="214" t="s">
        <v>29</v>
      </c>
      <c r="M193" s="210" t="s">
        <v>231</v>
      </c>
      <c r="N193" s="215">
        <f>SUM(N194:N195)</f>
        <v>0</v>
      </c>
      <c r="O193" s="215">
        <f t="shared" ref="O193:V193" si="208">SUM(O194:O195)</f>
        <v>0</v>
      </c>
      <c r="P193" s="215">
        <f t="shared" si="208"/>
        <v>0</v>
      </c>
      <c r="Q193" s="215">
        <f t="shared" si="208"/>
        <v>285960800000</v>
      </c>
      <c r="R193" s="215">
        <f t="shared" si="208"/>
        <v>5960800000</v>
      </c>
      <c r="S193" s="215">
        <f t="shared" si="208"/>
        <v>0</v>
      </c>
      <c r="T193" s="215">
        <f t="shared" si="208"/>
        <v>280000000000</v>
      </c>
      <c r="U193" s="215">
        <f t="shared" si="208"/>
        <v>170942407916.81</v>
      </c>
      <c r="V193" s="215">
        <f t="shared" si="208"/>
        <v>109057592083.19</v>
      </c>
      <c r="W193" s="216">
        <f t="shared" si="155"/>
        <v>0.61050859970289284</v>
      </c>
      <c r="X193" s="215">
        <f t="shared" ref="X193:Y193" si="209">SUM(X194:X195)</f>
        <v>159500856505</v>
      </c>
      <c r="Y193" s="215">
        <f t="shared" si="209"/>
        <v>11441551411.809999</v>
      </c>
      <c r="Z193" s="216">
        <f t="shared" si="161"/>
        <v>6.6932199863348654E-2</v>
      </c>
      <c r="AA193" s="215">
        <f t="shared" ref="AA193:AB193" si="210">SUM(AA194:AA195)</f>
        <v>159500856505</v>
      </c>
      <c r="AB193" s="215">
        <f t="shared" si="210"/>
        <v>0</v>
      </c>
      <c r="AC193" s="216">
        <f t="shared" si="145"/>
        <v>0.93306780013665136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s="90" customFormat="1" ht="24.95" customHeight="1">
      <c r="A194" s="32" t="str">
        <f t="shared" si="140"/>
        <v>C-4103-1500-20-0-4103061-02=11</v>
      </c>
      <c r="B194" s="217" t="str">
        <f>CONCATENATE(C194,"-",D194,"-",E194,"-",F194,"-",G194,"-",H194,"-",I194)</f>
        <v>C-4103-1500-20-0-4103061-02</v>
      </c>
      <c r="C194" s="266" t="s">
        <v>167</v>
      </c>
      <c r="D194" s="267" t="s">
        <v>190</v>
      </c>
      <c r="E194" s="267" t="s">
        <v>172</v>
      </c>
      <c r="F194" s="267">
        <v>20</v>
      </c>
      <c r="G194" s="267" t="s">
        <v>175</v>
      </c>
      <c r="H194" s="267">
        <v>4103061</v>
      </c>
      <c r="I194" s="267" t="s">
        <v>54</v>
      </c>
      <c r="J194" s="267"/>
      <c r="K194" s="268">
        <v>11</v>
      </c>
      <c r="L194" s="269" t="s">
        <v>29</v>
      </c>
      <c r="M194" s="259" t="s">
        <v>178</v>
      </c>
      <c r="N194" s="222">
        <v>0</v>
      </c>
      <c r="O194" s="222"/>
      <c r="P194" s="222"/>
      <c r="Q194" s="222">
        <f>19919000000+5960800000</f>
        <v>25879800000</v>
      </c>
      <c r="R194" s="222"/>
      <c r="S194" s="222"/>
      <c r="T194" s="222">
        <f>+N194+O194-P194+Q194-R194-S194</f>
        <v>25879800000</v>
      </c>
      <c r="U194" s="222">
        <v>13563307916.809999</v>
      </c>
      <c r="V194" s="222">
        <f>+T194-U194</f>
        <v>12316492083.190001</v>
      </c>
      <c r="W194" s="224">
        <f t="shared" si="155"/>
        <v>0.52408859097867833</v>
      </c>
      <c r="X194" s="222">
        <v>2340831505</v>
      </c>
      <c r="Y194" s="222">
        <f>+U194-X194</f>
        <v>11222476411.809999</v>
      </c>
      <c r="Z194" s="224">
        <f t="shared" si="161"/>
        <v>0.82741440957048273</v>
      </c>
      <c r="AA194" s="222">
        <v>2340831505</v>
      </c>
      <c r="AB194" s="222">
        <f>+X194-AA194</f>
        <v>0</v>
      </c>
      <c r="AC194" s="224">
        <f t="shared" si="145"/>
        <v>0.17258559042951729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s="90" customFormat="1" ht="24.95" customHeight="1">
      <c r="A195" s="32" t="str">
        <f t="shared" si="140"/>
        <v>C-4103-1500-20-0-4103061-03=11</v>
      </c>
      <c r="B195" s="217" t="str">
        <f>CONCATENATE(C195,"-",D195,"-",E195,"-",F195,"-",G195,"-",H195,"-",I195)</f>
        <v>C-4103-1500-20-0-4103061-03</v>
      </c>
      <c r="C195" s="266" t="s">
        <v>167</v>
      </c>
      <c r="D195" s="267" t="s">
        <v>190</v>
      </c>
      <c r="E195" s="267" t="s">
        <v>172</v>
      </c>
      <c r="F195" s="267">
        <v>20</v>
      </c>
      <c r="G195" s="267" t="s">
        <v>175</v>
      </c>
      <c r="H195" s="267">
        <v>4103061</v>
      </c>
      <c r="I195" s="274" t="s">
        <v>65</v>
      </c>
      <c r="J195" s="267"/>
      <c r="K195" s="268">
        <v>11</v>
      </c>
      <c r="L195" s="269" t="s">
        <v>29</v>
      </c>
      <c r="M195" s="259" t="s">
        <v>127</v>
      </c>
      <c r="N195" s="222">
        <v>0</v>
      </c>
      <c r="O195" s="222"/>
      <c r="P195" s="222"/>
      <c r="Q195" s="222">
        <v>260081000000</v>
      </c>
      <c r="R195" s="222">
        <v>5960800000</v>
      </c>
      <c r="S195" s="222"/>
      <c r="T195" s="222">
        <f>+N195+O195-P195+Q195-R195-S195</f>
        <v>254120200000</v>
      </c>
      <c r="U195" s="222">
        <v>157379100000</v>
      </c>
      <c r="V195" s="222">
        <f>+T195-U195</f>
        <v>96741100000</v>
      </c>
      <c r="W195" s="224">
        <f t="shared" si="155"/>
        <v>0.61930968100922323</v>
      </c>
      <c r="X195" s="222">
        <v>157160025000</v>
      </c>
      <c r="Y195" s="222">
        <f>+U195-X195</f>
        <v>219075000</v>
      </c>
      <c r="Z195" s="224">
        <f t="shared" si="161"/>
        <v>1.3920209227273508E-3</v>
      </c>
      <c r="AA195" s="222">
        <v>157160025000</v>
      </c>
      <c r="AB195" s="222">
        <f>+X195-AA195</f>
        <v>0</v>
      </c>
      <c r="AC195" s="224">
        <f t="shared" si="145"/>
        <v>0.99860797907727261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s="90" customFormat="1" ht="35.1" customHeight="1">
      <c r="A196" s="32" t="str">
        <f t="shared" si="140"/>
        <v>C-4199=</v>
      </c>
      <c r="B196" s="188" t="str">
        <f>CONCATENATE(C196,"-",D196)</f>
        <v>C-4199</v>
      </c>
      <c r="C196" s="189" t="s">
        <v>167</v>
      </c>
      <c r="D196" s="191">
        <v>4199</v>
      </c>
      <c r="E196" s="191"/>
      <c r="F196" s="191"/>
      <c r="G196" s="191"/>
      <c r="H196" s="191"/>
      <c r="I196" s="191"/>
      <c r="J196" s="191"/>
      <c r="K196" s="192"/>
      <c r="L196" s="193"/>
      <c r="M196" s="188" t="s">
        <v>250</v>
      </c>
      <c r="N196" s="194">
        <f>+N197</f>
        <v>3226548466</v>
      </c>
      <c r="O196" s="194">
        <f t="shared" ref="O196:AB199" si="211">+O197</f>
        <v>0</v>
      </c>
      <c r="P196" s="194">
        <f t="shared" si="211"/>
        <v>0</v>
      </c>
      <c r="Q196" s="194">
        <f t="shared" si="211"/>
        <v>0</v>
      </c>
      <c r="R196" s="194">
        <f t="shared" si="211"/>
        <v>0</v>
      </c>
      <c r="S196" s="194">
        <f t="shared" si="211"/>
        <v>0</v>
      </c>
      <c r="T196" s="194">
        <f t="shared" si="211"/>
        <v>3226548466</v>
      </c>
      <c r="U196" s="194">
        <f t="shared" si="211"/>
        <v>2468053934.1300001</v>
      </c>
      <c r="V196" s="194">
        <f t="shared" si="211"/>
        <v>758494531.86999989</v>
      </c>
      <c r="W196" s="195">
        <f t="shared" si="155"/>
        <v>0.76492076909344653</v>
      </c>
      <c r="X196" s="194">
        <f t="shared" si="211"/>
        <v>2018008933.73</v>
      </c>
      <c r="Y196" s="194">
        <f t="shared" si="211"/>
        <v>450045000.4000001</v>
      </c>
      <c r="Z196" s="195">
        <f t="shared" si="161"/>
        <v>0.18234812220934829</v>
      </c>
      <c r="AA196" s="194">
        <f t="shared" si="211"/>
        <v>2018008933.73</v>
      </c>
      <c r="AB196" s="194">
        <f t="shared" si="211"/>
        <v>0</v>
      </c>
      <c r="AC196" s="195">
        <f t="shared" si="145"/>
        <v>0.81765187779065174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s="90" customFormat="1" ht="24.95" customHeight="1">
      <c r="A197" s="32" t="str">
        <f t="shared" si="140"/>
        <v>C-4199-1500=</v>
      </c>
      <c r="B197" s="196" t="str">
        <f>CONCATENATE(C197,"-",D197,"-",E197)</f>
        <v>C-4199-1500</v>
      </c>
      <c r="C197" s="197" t="s">
        <v>167</v>
      </c>
      <c r="D197" s="198">
        <v>4199</v>
      </c>
      <c r="E197" s="198">
        <v>1500</v>
      </c>
      <c r="F197" s="198"/>
      <c r="G197" s="198"/>
      <c r="H197" s="198"/>
      <c r="I197" s="198"/>
      <c r="J197" s="198"/>
      <c r="K197" s="199"/>
      <c r="L197" s="200"/>
      <c r="M197" s="196" t="s">
        <v>170</v>
      </c>
      <c r="N197" s="201">
        <f>+N198</f>
        <v>3226548466</v>
      </c>
      <c r="O197" s="201">
        <f t="shared" si="211"/>
        <v>0</v>
      </c>
      <c r="P197" s="201">
        <f t="shared" si="211"/>
        <v>0</v>
      </c>
      <c r="Q197" s="201">
        <f t="shared" si="211"/>
        <v>0</v>
      </c>
      <c r="R197" s="201">
        <f t="shared" si="211"/>
        <v>0</v>
      </c>
      <c r="S197" s="201">
        <f t="shared" si="211"/>
        <v>0</v>
      </c>
      <c r="T197" s="201">
        <f t="shared" si="211"/>
        <v>3226548466</v>
      </c>
      <c r="U197" s="201">
        <f t="shared" si="211"/>
        <v>2468053934.1300001</v>
      </c>
      <c r="V197" s="201">
        <f t="shared" si="211"/>
        <v>758494531.86999989</v>
      </c>
      <c r="W197" s="202">
        <f t="shared" si="155"/>
        <v>0.76492076909344653</v>
      </c>
      <c r="X197" s="201">
        <f t="shared" si="211"/>
        <v>2018008933.73</v>
      </c>
      <c r="Y197" s="201">
        <f t="shared" si="211"/>
        <v>450045000.4000001</v>
      </c>
      <c r="Z197" s="202">
        <f t="shared" si="161"/>
        <v>0.18234812220934829</v>
      </c>
      <c r="AA197" s="201">
        <f t="shared" si="211"/>
        <v>2018008933.73</v>
      </c>
      <c r="AB197" s="201">
        <f t="shared" si="211"/>
        <v>0</v>
      </c>
      <c r="AC197" s="202">
        <f t="shared" si="145"/>
        <v>0.81765187779065174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s="90" customFormat="1" ht="33">
      <c r="A198" s="32" t="str">
        <f t="shared" si="140"/>
        <v>C-4199-1500-2=</v>
      </c>
      <c r="B198" s="203" t="str">
        <f>CONCATENATE(C198,"-",D198,"-",E198,"-",F198)</f>
        <v>C-4199-1500-2</v>
      </c>
      <c r="C198" s="227" t="s">
        <v>167</v>
      </c>
      <c r="D198" s="228" t="s">
        <v>251</v>
      </c>
      <c r="E198" s="228" t="s">
        <v>172</v>
      </c>
      <c r="F198" s="228" t="s">
        <v>252</v>
      </c>
      <c r="G198" s="228"/>
      <c r="H198" s="228"/>
      <c r="I198" s="228"/>
      <c r="J198" s="228"/>
      <c r="K198" s="229"/>
      <c r="L198" s="230"/>
      <c r="M198" s="231" t="s">
        <v>287</v>
      </c>
      <c r="N198" s="232">
        <f>+N199</f>
        <v>3226548466</v>
      </c>
      <c r="O198" s="232">
        <f t="shared" si="211"/>
        <v>0</v>
      </c>
      <c r="P198" s="232">
        <f t="shared" si="211"/>
        <v>0</v>
      </c>
      <c r="Q198" s="232">
        <f t="shared" si="211"/>
        <v>0</v>
      </c>
      <c r="R198" s="232">
        <f t="shared" si="211"/>
        <v>0</v>
      </c>
      <c r="S198" s="232">
        <f t="shared" si="211"/>
        <v>0</v>
      </c>
      <c r="T198" s="232">
        <f t="shared" si="211"/>
        <v>3226548466</v>
      </c>
      <c r="U198" s="232">
        <f t="shared" si="211"/>
        <v>2468053934.1300001</v>
      </c>
      <c r="V198" s="232">
        <f t="shared" si="211"/>
        <v>758494531.86999989</v>
      </c>
      <c r="W198" s="233">
        <f t="shared" si="155"/>
        <v>0.76492076909344653</v>
      </c>
      <c r="X198" s="232">
        <f t="shared" si="211"/>
        <v>2018008933.73</v>
      </c>
      <c r="Y198" s="232">
        <f t="shared" si="211"/>
        <v>450045000.4000001</v>
      </c>
      <c r="Z198" s="233">
        <f t="shared" si="161"/>
        <v>0.18234812220934829</v>
      </c>
      <c r="AA198" s="232">
        <f t="shared" si="211"/>
        <v>2018008933.73</v>
      </c>
      <c r="AB198" s="232">
        <f t="shared" si="211"/>
        <v>0</v>
      </c>
      <c r="AC198" s="233">
        <f t="shared" si="145"/>
        <v>0.81765187779065174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s="90" customFormat="1" ht="24.95" customHeight="1">
      <c r="A199" s="32" t="str">
        <f t="shared" si="140"/>
        <v>C-4199-1500-2-0-4199062=11</v>
      </c>
      <c r="B199" s="210" t="str">
        <f>CONCATENATE(C199,"-",D199,"-",E199,"-",F199,"-",G199,"-",H199)</f>
        <v>C-4199-1500-2-0-4199062</v>
      </c>
      <c r="C199" s="211" t="s">
        <v>167</v>
      </c>
      <c r="D199" s="212" t="s">
        <v>251</v>
      </c>
      <c r="E199" s="212" t="s">
        <v>172</v>
      </c>
      <c r="F199" s="212" t="s">
        <v>252</v>
      </c>
      <c r="G199" s="212" t="s">
        <v>175</v>
      </c>
      <c r="H199" s="212" t="s">
        <v>254</v>
      </c>
      <c r="I199" s="212"/>
      <c r="J199" s="212"/>
      <c r="K199" s="213">
        <v>11</v>
      </c>
      <c r="L199" s="214" t="s">
        <v>29</v>
      </c>
      <c r="M199" s="210" t="s">
        <v>255</v>
      </c>
      <c r="N199" s="215">
        <f>+N200</f>
        <v>3226548466</v>
      </c>
      <c r="O199" s="215">
        <f t="shared" si="211"/>
        <v>0</v>
      </c>
      <c r="P199" s="215">
        <f t="shared" si="211"/>
        <v>0</v>
      </c>
      <c r="Q199" s="215">
        <f t="shared" si="211"/>
        <v>0</v>
      </c>
      <c r="R199" s="215">
        <f t="shared" si="211"/>
        <v>0</v>
      </c>
      <c r="S199" s="215">
        <f t="shared" si="211"/>
        <v>0</v>
      </c>
      <c r="T199" s="215">
        <f t="shared" si="211"/>
        <v>3226548466</v>
      </c>
      <c r="U199" s="215">
        <f t="shared" si="211"/>
        <v>2468053934.1300001</v>
      </c>
      <c r="V199" s="215">
        <f t="shared" si="211"/>
        <v>758494531.86999989</v>
      </c>
      <c r="W199" s="216">
        <f t="shared" si="155"/>
        <v>0.76492076909344653</v>
      </c>
      <c r="X199" s="215">
        <f t="shared" si="211"/>
        <v>2018008933.73</v>
      </c>
      <c r="Y199" s="215">
        <f t="shared" si="211"/>
        <v>450045000.4000001</v>
      </c>
      <c r="Z199" s="216">
        <f t="shared" si="161"/>
        <v>0.18234812220934829</v>
      </c>
      <c r="AA199" s="215">
        <f t="shared" si="211"/>
        <v>2018008933.73</v>
      </c>
      <c r="AB199" s="215">
        <f t="shared" si="211"/>
        <v>0</v>
      </c>
      <c r="AC199" s="216">
        <f t="shared" si="145"/>
        <v>0.81765187779065174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s="90" customFormat="1" ht="24.95" customHeight="1" thickBot="1">
      <c r="A200" s="32" t="str">
        <f t="shared" si="140"/>
        <v>C-4199-1500-2-0-4199062-02=11</v>
      </c>
      <c r="B200" s="217" t="str">
        <f>CONCATENATE(C200,"-",D200,"-",E200,"-",F200,"-",G200,"-",H200,"-",I200)</f>
        <v>C-4199-1500-2-0-4199062-02</v>
      </c>
      <c r="C200" s="218" t="s">
        <v>167</v>
      </c>
      <c r="D200" s="219" t="s">
        <v>251</v>
      </c>
      <c r="E200" s="219" t="s">
        <v>172</v>
      </c>
      <c r="F200" s="219" t="s">
        <v>252</v>
      </c>
      <c r="G200" s="219" t="s">
        <v>175</v>
      </c>
      <c r="H200" s="219" t="s">
        <v>254</v>
      </c>
      <c r="I200" s="219" t="s">
        <v>54</v>
      </c>
      <c r="J200" s="219"/>
      <c r="K200" s="275">
        <v>11</v>
      </c>
      <c r="L200" s="276" t="s">
        <v>29</v>
      </c>
      <c r="M200" s="217" t="s">
        <v>178</v>
      </c>
      <c r="N200" s="222">
        <v>3226548466</v>
      </c>
      <c r="O200" s="222"/>
      <c r="P200" s="222"/>
      <c r="Q200" s="222"/>
      <c r="R200" s="222"/>
      <c r="S200" s="222"/>
      <c r="T200" s="222">
        <f>+N200-S200+O200-P200+Q200-R200</f>
        <v>3226548466</v>
      </c>
      <c r="U200" s="222">
        <v>2468053934.1300001</v>
      </c>
      <c r="V200" s="222">
        <f t="shared" ref="V200" si="212">+T200-U200</f>
        <v>758494531.86999989</v>
      </c>
      <c r="W200" s="224">
        <f t="shared" si="155"/>
        <v>0.76492076909344653</v>
      </c>
      <c r="X200" s="222">
        <v>2018008933.73</v>
      </c>
      <c r="Y200" s="222">
        <f t="shared" ref="Y200" si="213">+U200-X200</f>
        <v>450045000.4000001</v>
      </c>
      <c r="Z200" s="224">
        <f t="shared" si="161"/>
        <v>0.18234812220934829</v>
      </c>
      <c r="AA200" s="222">
        <v>2018008933.73</v>
      </c>
      <c r="AB200" s="222">
        <f t="shared" ref="AB200" si="214">+X200-AA200</f>
        <v>0</v>
      </c>
      <c r="AC200" s="224">
        <f t="shared" si="145"/>
        <v>0.81765187779065174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s="90" customFormat="1" ht="35.1" customHeight="1" thickBot="1">
      <c r="A201" s="32"/>
      <c r="B201" s="277" t="s">
        <v>288</v>
      </c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60" t="s">
        <v>256</v>
      </c>
      <c r="N201" s="265">
        <f>+N8+N113</f>
        <v>3648573139470</v>
      </c>
      <c r="O201" s="265">
        <f t="shared" ref="O201:S201" si="215">+O8+O113</f>
        <v>5198509186465</v>
      </c>
      <c r="P201" s="265">
        <f t="shared" si="215"/>
        <v>0</v>
      </c>
      <c r="Q201" s="265">
        <f t="shared" si="215"/>
        <v>398489069821.25</v>
      </c>
      <c r="R201" s="265">
        <f t="shared" si="215"/>
        <v>398489069821.25</v>
      </c>
      <c r="S201" s="265">
        <f t="shared" si="215"/>
        <v>591791000000</v>
      </c>
      <c r="T201" s="265">
        <f>+T8+T113</f>
        <v>8255291325935</v>
      </c>
      <c r="U201" s="265">
        <f>+U8+U113</f>
        <v>5138874132447.3193</v>
      </c>
      <c r="V201" s="265">
        <f>+V8+V113</f>
        <v>3116417193487.6802</v>
      </c>
      <c r="W201" s="187">
        <f t="shared" si="155"/>
        <v>0.62249458311700312</v>
      </c>
      <c r="X201" s="265">
        <f>+X8+X113</f>
        <v>3593732415168.3896</v>
      </c>
      <c r="Y201" s="265">
        <f>+Y8+Y113</f>
        <v>1545141717278.9302</v>
      </c>
      <c r="Z201" s="187">
        <f t="shared" si="161"/>
        <v>0.30067708946649707</v>
      </c>
      <c r="AA201" s="265">
        <f>+AA8+AA113</f>
        <v>3593569381104.3896</v>
      </c>
      <c r="AB201" s="265">
        <f>+AB8+AB113</f>
        <v>163034064</v>
      </c>
      <c r="AC201" s="187">
        <f t="shared" si="145"/>
        <v>0.6992911848948129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s="90" customFormat="1" ht="16.5">
      <c r="A202" s="32"/>
      <c r="B202" s="279"/>
      <c r="C202" s="82"/>
      <c r="D202" s="82"/>
      <c r="E202" s="82"/>
      <c r="F202" s="82"/>
      <c r="G202" s="82"/>
      <c r="H202" s="83"/>
      <c r="I202" s="84"/>
      <c r="J202" s="84"/>
      <c r="K202" s="84"/>
      <c r="L202" s="84"/>
      <c r="M202" s="84"/>
      <c r="N202" s="86"/>
      <c r="O202" s="86"/>
      <c r="P202" s="86"/>
      <c r="Q202" s="86"/>
      <c r="R202" s="86"/>
      <c r="S202" s="86"/>
      <c r="T202" s="86"/>
      <c r="U202" s="86"/>
      <c r="V202" s="86"/>
      <c r="W202" s="87"/>
      <c r="X202" s="86"/>
      <c r="Y202" s="86"/>
      <c r="Z202" s="87"/>
      <c r="AA202" s="86"/>
      <c r="AB202" s="86"/>
      <c r="AC202" s="89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1:52" s="90" customFormat="1" ht="16.5">
      <c r="A203" s="32" t="str">
        <f t="shared" ref="A203" si="216">+CONCATENATE(B203,"=",K203)</f>
        <v>=</v>
      </c>
      <c r="B203" s="279"/>
      <c r="C203" s="82"/>
      <c r="D203" s="82"/>
      <c r="E203" s="82"/>
      <c r="F203" s="82"/>
      <c r="G203" s="82"/>
      <c r="H203" s="83"/>
      <c r="I203" s="84"/>
      <c r="J203" s="84"/>
      <c r="K203" s="84"/>
      <c r="L203" s="84"/>
      <c r="M203" s="84"/>
      <c r="N203" s="86"/>
      <c r="O203" s="86"/>
      <c r="P203" s="86"/>
      <c r="Q203" s="86"/>
      <c r="R203" s="86"/>
      <c r="S203" s="86"/>
      <c r="T203" s="86"/>
      <c r="U203" s="86"/>
      <c r="V203" s="86"/>
      <c r="W203" s="87"/>
      <c r="X203" s="86"/>
      <c r="Y203" s="86"/>
      <c r="Z203" s="87"/>
      <c r="AA203" s="86"/>
      <c r="AB203" s="86"/>
      <c r="AC203" s="89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1:52" s="90" customFormat="1" ht="16.5">
      <c r="A204" s="32"/>
      <c r="B204" s="316"/>
      <c r="C204" s="85"/>
      <c r="D204" s="84"/>
      <c r="E204" s="84"/>
      <c r="F204" s="84"/>
      <c r="G204" s="84"/>
      <c r="H204" s="84"/>
      <c r="I204" s="84"/>
      <c r="J204" s="84"/>
      <c r="K204" s="84"/>
      <c r="L204" s="84"/>
      <c r="M204" s="366" t="s">
        <v>289</v>
      </c>
      <c r="N204" s="669">
        <v>3648573139470</v>
      </c>
      <c r="O204" s="669">
        <v>5198509186465</v>
      </c>
      <c r="P204" s="90">
        <v>0</v>
      </c>
      <c r="Q204" s="667">
        <f>344735470184.67+53368972269.58+51000000+333627367</f>
        <v>398489069821.25</v>
      </c>
      <c r="R204" s="670">
        <f>344735470184.67+53368972269.58+51000000+333627367</f>
        <v>398489069821.25</v>
      </c>
      <c r="S204" s="669">
        <v>591791000000</v>
      </c>
      <c r="T204" s="669">
        <v>8255291325935</v>
      </c>
      <c r="U204" s="669">
        <v>5138874132447.3203</v>
      </c>
      <c r="V204" s="669">
        <v>3116417193487.6797</v>
      </c>
      <c r="W204" s="671">
        <v>0.62250000000000005</v>
      </c>
      <c r="X204" s="669">
        <v>3593732415168.3901</v>
      </c>
      <c r="Y204" s="669">
        <v>1545141717278.9299</v>
      </c>
      <c r="Z204" s="671">
        <v>0.30070000000000002</v>
      </c>
      <c r="AA204" s="669">
        <v>3593569381104.3901</v>
      </c>
      <c r="AB204" s="669">
        <v>163034064</v>
      </c>
      <c r="AC204" s="671">
        <v>0.69930000000000003</v>
      </c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1:52" s="374" customFormat="1" ht="16.5">
      <c r="A205" s="369"/>
      <c r="B205" s="672"/>
      <c r="C205" s="370"/>
      <c r="D205" s="371"/>
      <c r="E205" s="371"/>
      <c r="F205" s="371"/>
      <c r="G205" s="371"/>
      <c r="H205" s="371"/>
      <c r="I205" s="371"/>
      <c r="J205" s="371"/>
      <c r="K205" s="371"/>
      <c r="L205" s="371"/>
      <c r="M205" s="86" t="s">
        <v>290</v>
      </c>
      <c r="N205" s="359">
        <f>+N201-N204</f>
        <v>0</v>
      </c>
      <c r="O205" s="359">
        <f>+O201-O204</f>
        <v>0</v>
      </c>
      <c r="P205" s="359">
        <f>+P201-P204</f>
        <v>0</v>
      </c>
      <c r="Q205" s="359">
        <f>+Q201-Q204</f>
        <v>0</v>
      </c>
      <c r="R205" s="359">
        <f t="shared" ref="R205:AB205" si="217">+R201-R204</f>
        <v>0</v>
      </c>
      <c r="S205" s="359">
        <f t="shared" si="217"/>
        <v>0</v>
      </c>
      <c r="T205" s="359">
        <f t="shared" si="217"/>
        <v>0</v>
      </c>
      <c r="U205" s="359">
        <f t="shared" si="217"/>
        <v>0</v>
      </c>
      <c r="V205" s="359">
        <f t="shared" si="217"/>
        <v>0</v>
      </c>
      <c r="W205" s="372">
        <f t="shared" si="217"/>
        <v>-5.4168829969336585E-6</v>
      </c>
      <c r="X205" s="359">
        <f>+X201-X204</f>
        <v>0</v>
      </c>
      <c r="Y205" s="359">
        <f t="shared" si="217"/>
        <v>0</v>
      </c>
      <c r="Z205" s="372">
        <f t="shared" si="217"/>
        <v>-2.2910533502951136E-5</v>
      </c>
      <c r="AA205" s="359">
        <f t="shared" si="217"/>
        <v>0</v>
      </c>
      <c r="AB205" s="359">
        <f t="shared" si="217"/>
        <v>0</v>
      </c>
      <c r="AC205" s="373">
        <v>0</v>
      </c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1:52" ht="18">
      <c r="A206" s="30"/>
      <c r="B206" s="279"/>
      <c r="C206" s="312"/>
      <c r="D206" s="317"/>
      <c r="E206" s="312"/>
      <c r="F206" s="312"/>
      <c r="G206" s="312"/>
      <c r="H206" s="312"/>
      <c r="I206" s="312"/>
      <c r="J206" s="312"/>
      <c r="K206" s="312"/>
      <c r="L206" s="312"/>
      <c r="M206" s="312"/>
      <c r="N206" s="335"/>
      <c r="O206" s="632"/>
      <c r="P206" s="332"/>
      <c r="Q206" s="332"/>
      <c r="R206" s="633"/>
      <c r="S206" s="633"/>
      <c r="T206" s="332"/>
      <c r="U206" s="332"/>
      <c r="V206" s="332"/>
      <c r="W206" s="333"/>
      <c r="X206" s="332"/>
      <c r="Y206" s="332"/>
      <c r="Z206" s="333"/>
      <c r="AA206" s="332"/>
      <c r="AB206" s="332"/>
      <c r="AC206" s="333"/>
    </row>
    <row r="207" spans="1:52" ht="18">
      <c r="A207" s="30"/>
      <c r="B207" s="279"/>
      <c r="C207" s="312"/>
      <c r="D207" s="317"/>
      <c r="E207" s="312"/>
      <c r="F207" s="312"/>
      <c r="G207" s="312"/>
      <c r="H207" s="312"/>
      <c r="I207" s="312"/>
      <c r="J207" s="312"/>
      <c r="K207" s="312"/>
      <c r="L207" s="312"/>
      <c r="M207" s="312"/>
      <c r="N207" s="332"/>
      <c r="O207" s="632"/>
      <c r="P207" s="332"/>
      <c r="Q207" s="332"/>
      <c r="R207" s="633"/>
      <c r="S207" s="633"/>
      <c r="T207" s="332"/>
      <c r="U207" s="332"/>
      <c r="V207" s="332"/>
      <c r="W207" s="333"/>
      <c r="X207" s="332"/>
      <c r="Y207" s="332"/>
      <c r="Z207" s="333"/>
      <c r="AA207" s="332"/>
      <c r="AB207" s="332"/>
      <c r="AC207" s="333"/>
    </row>
    <row r="208" spans="1:52" ht="18">
      <c r="A208" s="1"/>
      <c r="B208" s="156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32"/>
      <c r="O208" s="632"/>
      <c r="P208" s="332"/>
      <c r="Q208" s="332"/>
      <c r="R208" s="332"/>
      <c r="S208" s="332"/>
      <c r="T208" s="332"/>
      <c r="U208" s="332"/>
      <c r="V208" s="332"/>
      <c r="W208" s="333"/>
      <c r="X208" s="332"/>
      <c r="Y208" s="631"/>
      <c r="Z208" s="333"/>
      <c r="AA208" s="332"/>
      <c r="AB208" s="332"/>
      <c r="AC208" s="333"/>
    </row>
    <row r="209" spans="1:29" ht="30">
      <c r="A209" s="1"/>
      <c r="B209" s="156"/>
      <c r="C209" s="318"/>
      <c r="D209" s="318"/>
      <c r="E209" s="318"/>
      <c r="F209" s="318"/>
      <c r="G209" s="318"/>
      <c r="H209" s="318"/>
      <c r="I209" s="312"/>
      <c r="J209" s="312"/>
      <c r="K209" s="312"/>
      <c r="L209" s="312"/>
      <c r="M209" s="336" t="s">
        <v>738</v>
      </c>
      <c r="N209" s="628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20"/>
      <c r="AA209" s="319"/>
      <c r="AB209" s="319"/>
      <c r="AC209" s="319"/>
    </row>
    <row r="210" spans="1:29" ht="30">
      <c r="A210" s="1"/>
      <c r="B210" s="156"/>
      <c r="C210" s="321"/>
      <c r="D210" s="322"/>
      <c r="E210" s="322"/>
      <c r="F210" s="322"/>
      <c r="G210" s="322"/>
      <c r="H210" s="322"/>
      <c r="I210" s="322"/>
      <c r="J210" s="322"/>
      <c r="K210" s="322"/>
      <c r="L210" s="322"/>
      <c r="M210" s="337" t="s">
        <v>739</v>
      </c>
      <c r="N210" s="628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4"/>
      <c r="AA210" s="323"/>
      <c r="AB210" s="323"/>
      <c r="AC210" s="323"/>
    </row>
    <row r="211" spans="1:29" ht="30">
      <c r="A211" s="325"/>
      <c r="B211" s="314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628"/>
      <c r="P211" s="309"/>
      <c r="Q211" s="309"/>
      <c r="R211" s="630"/>
      <c r="S211" s="630"/>
      <c r="T211" s="334"/>
      <c r="U211" s="334"/>
      <c r="V211" s="629"/>
      <c r="W211" s="329"/>
      <c r="X211" s="329"/>
      <c r="Y211" s="329"/>
      <c r="Z211" s="329"/>
    </row>
    <row r="212" spans="1:29" ht="16.5">
      <c r="N212" s="628"/>
      <c r="O212" s="628"/>
    </row>
    <row r="213" spans="1:29" ht="16.5">
      <c r="N213" s="628"/>
      <c r="O213" s="628"/>
    </row>
    <row r="214" spans="1:29" ht="16.5">
      <c r="N214" s="628"/>
    </row>
    <row r="215" spans="1:29" ht="16.5">
      <c r="N215" s="628"/>
    </row>
    <row r="216" spans="1:29" ht="16.5">
      <c r="N216" s="628"/>
    </row>
  </sheetData>
  <sheetProtection selectLockedCells="1" selectUnlockedCells="1"/>
  <autoFilter ref="A6:AC204" xr:uid="{00000000-0009-0000-0000-000002000000}"/>
  <mergeCells count="6">
    <mergeCell ref="N2:AC2"/>
    <mergeCell ref="N3:AC3"/>
    <mergeCell ref="O5:P5"/>
    <mergeCell ref="Q5:R5"/>
    <mergeCell ref="X5:Z5"/>
    <mergeCell ref="AA5:AC5"/>
  </mergeCells>
  <printOptions horizontalCentered="1"/>
  <pageMargins left="0.51181102362204722" right="0.51181102362204722" top="0.35433070866141736" bottom="0.35433070866141736" header="0.11811023622047245" footer="0.11811023622047245"/>
  <pageSetup scale="40" fitToHeight="3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2FB1D-40E3-4ABF-BE8D-4CDFD094B470}">
  <sheetPr>
    <tabColor rgb="FF00B0F0"/>
  </sheetPr>
  <dimension ref="A1:U36"/>
  <sheetViews>
    <sheetView showGridLines="0" workbookViewId="0"/>
  </sheetViews>
  <sheetFormatPr baseColWidth="10" defaultColWidth="11.42578125" defaultRowHeight="15"/>
  <cols>
    <col min="1" max="1" width="21.5703125" style="340" customWidth="1"/>
    <col min="2" max="9" width="5.42578125" style="340" customWidth="1"/>
    <col min="10" max="10" width="7" style="340" customWidth="1"/>
    <col min="11" max="11" width="9.5703125" style="340" customWidth="1"/>
    <col min="12" max="12" width="8" style="340" customWidth="1"/>
    <col min="13" max="13" width="9.5703125" style="340" customWidth="1"/>
    <col min="14" max="14" width="27.5703125" style="340" customWidth="1"/>
    <col min="15" max="16" width="18.85546875" style="340" customWidth="1"/>
    <col min="17" max="17" width="10.140625" style="347" bestFit="1" customWidth="1"/>
    <col min="18" max="18" width="18.85546875" style="340" customWidth="1"/>
    <col min="19" max="19" width="8.42578125" style="347" bestFit="1" customWidth="1"/>
    <col min="20" max="20" width="18.85546875" style="340" customWidth="1"/>
    <col min="21" max="21" width="13.5703125" style="347" bestFit="1" customWidth="1"/>
    <col min="22" max="22" width="6.42578125" style="340" customWidth="1"/>
    <col min="23" max="16384" width="11.42578125" style="340"/>
  </cols>
  <sheetData>
    <row r="1" spans="1:21" ht="30">
      <c r="A1" s="339" t="s">
        <v>301</v>
      </c>
      <c r="B1" s="339" t="s">
        <v>301</v>
      </c>
      <c r="C1" s="339" t="s">
        <v>301</v>
      </c>
      <c r="D1" s="339" t="s">
        <v>301</v>
      </c>
      <c r="E1" s="339" t="s">
        <v>301</v>
      </c>
      <c r="F1" s="339" t="s">
        <v>301</v>
      </c>
      <c r="G1" s="339" t="s">
        <v>301</v>
      </c>
      <c r="H1" s="339" t="s">
        <v>301</v>
      </c>
      <c r="I1" s="772" t="s">
        <v>0</v>
      </c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</row>
    <row r="2" spans="1:21" ht="25.5">
      <c r="A2" s="339" t="s">
        <v>301</v>
      </c>
      <c r="B2" s="339" t="s">
        <v>301</v>
      </c>
      <c r="C2" s="339" t="s">
        <v>301</v>
      </c>
      <c r="D2" s="339" t="s">
        <v>301</v>
      </c>
      <c r="E2" s="339" t="s">
        <v>301</v>
      </c>
      <c r="F2" s="339" t="s">
        <v>301</v>
      </c>
      <c r="G2" s="339" t="s">
        <v>301</v>
      </c>
      <c r="H2" s="339" t="s">
        <v>301</v>
      </c>
      <c r="I2" s="773" t="s">
        <v>811</v>
      </c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</row>
    <row r="3" spans="1:21">
      <c r="A3" s="339" t="s">
        <v>301</v>
      </c>
      <c r="B3" s="339" t="s">
        <v>301</v>
      </c>
      <c r="C3" s="339" t="s">
        <v>301</v>
      </c>
      <c r="D3" s="339" t="s">
        <v>301</v>
      </c>
      <c r="E3" s="339" t="s">
        <v>301</v>
      </c>
      <c r="F3" s="339" t="s">
        <v>301</v>
      </c>
      <c r="G3" s="339" t="s">
        <v>301</v>
      </c>
      <c r="H3" s="339" t="s">
        <v>301</v>
      </c>
      <c r="I3" s="339" t="s">
        <v>301</v>
      </c>
      <c r="J3" s="339" t="s">
        <v>301</v>
      </c>
      <c r="K3" s="339" t="s">
        <v>301</v>
      </c>
      <c r="L3" s="339" t="s">
        <v>301</v>
      </c>
      <c r="M3" s="339" t="s">
        <v>301</v>
      </c>
      <c r="N3" s="339" t="s">
        <v>301</v>
      </c>
      <c r="O3" s="339" t="s">
        <v>301</v>
      </c>
      <c r="P3" s="339" t="s">
        <v>301</v>
      </c>
      <c r="Q3" s="339"/>
      <c r="R3" s="339" t="s">
        <v>301</v>
      </c>
      <c r="S3" s="339"/>
      <c r="T3" s="339" t="s">
        <v>301</v>
      </c>
      <c r="U3" s="339"/>
    </row>
    <row r="4" spans="1:21" ht="24">
      <c r="A4" s="354" t="s">
        <v>2</v>
      </c>
      <c r="B4" s="354" t="s">
        <v>10</v>
      </c>
      <c r="C4" s="354" t="s">
        <v>11</v>
      </c>
      <c r="D4" s="354" t="s">
        <v>749</v>
      </c>
      <c r="E4" s="354" t="s">
        <v>750</v>
      </c>
      <c r="F4" s="354" t="s">
        <v>14</v>
      </c>
      <c r="G4" s="354" t="s">
        <v>751</v>
      </c>
      <c r="H4" s="354" t="s">
        <v>16</v>
      </c>
      <c r="I4" s="354" t="s">
        <v>752</v>
      </c>
      <c r="J4" s="354" t="s">
        <v>753</v>
      </c>
      <c r="K4" s="354" t="s">
        <v>754</v>
      </c>
      <c r="L4" s="354" t="s">
        <v>293</v>
      </c>
      <c r="M4" s="354" t="s">
        <v>17</v>
      </c>
      <c r="N4" s="789" t="s">
        <v>755</v>
      </c>
      <c r="O4" s="789" t="s">
        <v>756</v>
      </c>
      <c r="P4" s="787" t="s">
        <v>757</v>
      </c>
      <c r="Q4" s="788"/>
      <c r="R4" s="787" t="s">
        <v>758</v>
      </c>
      <c r="S4" s="788"/>
      <c r="T4" s="787" t="s">
        <v>9</v>
      </c>
      <c r="U4" s="788"/>
    </row>
    <row r="5" spans="1:21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790"/>
      <c r="O5" s="790"/>
      <c r="P5" s="354" t="s">
        <v>18</v>
      </c>
      <c r="Q5" s="354" t="s">
        <v>19</v>
      </c>
      <c r="R5" s="354" t="s">
        <v>18</v>
      </c>
      <c r="S5" s="354" t="s">
        <v>737</v>
      </c>
      <c r="T5" s="354" t="s">
        <v>18</v>
      </c>
      <c r="U5" s="354" t="s">
        <v>20</v>
      </c>
    </row>
    <row r="6" spans="1:21">
      <c r="A6" s="358" t="s">
        <v>23</v>
      </c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8" t="s">
        <v>294</v>
      </c>
      <c r="O6" s="349">
        <f>+SUM(O7:O17)</f>
        <v>5402998580465</v>
      </c>
      <c r="P6" s="349">
        <f>+SUM(P7:P17)</f>
        <v>3601597584608.2397</v>
      </c>
      <c r="Q6" s="351">
        <f>+P6/$O6</f>
        <v>0.66659236180999959</v>
      </c>
      <c r="R6" s="350">
        <f>+SUM(R7:R17)</f>
        <v>3412126598463.5</v>
      </c>
      <c r="S6" s="351">
        <f>+R6/$O6</f>
        <v>0.63152461501661938</v>
      </c>
      <c r="T6" s="350">
        <f>+SUM(T7:T17)</f>
        <v>3412001609468.5</v>
      </c>
      <c r="U6" s="351">
        <f>+T6/$O6</f>
        <v>0.63150148175216658</v>
      </c>
    </row>
    <row r="7" spans="1:21">
      <c r="A7" s="342" t="s">
        <v>307</v>
      </c>
      <c r="B7" s="343" t="s">
        <v>23</v>
      </c>
      <c r="C7" s="343" t="s">
        <v>25</v>
      </c>
      <c r="D7" s="343" t="s">
        <v>25</v>
      </c>
      <c r="E7" s="343" t="s">
        <v>25</v>
      </c>
      <c r="F7" s="343"/>
      <c r="G7" s="343"/>
      <c r="H7" s="343"/>
      <c r="I7" s="343"/>
      <c r="J7" s="343"/>
      <c r="K7" s="343" t="s">
        <v>759</v>
      </c>
      <c r="L7" s="343" t="s">
        <v>28</v>
      </c>
      <c r="M7" s="343" t="s">
        <v>29</v>
      </c>
      <c r="N7" s="344" t="s">
        <v>30</v>
      </c>
      <c r="O7" s="345">
        <v>68019000000</v>
      </c>
      <c r="P7" s="345">
        <v>46898130766</v>
      </c>
      <c r="Q7" s="352">
        <f>+P7/$O7</f>
        <v>0.68948574318940292</v>
      </c>
      <c r="R7" s="345">
        <v>46890699667</v>
      </c>
      <c r="S7" s="352">
        <f>+R7/$O7</f>
        <v>0.68937649284758673</v>
      </c>
      <c r="T7" s="345">
        <v>46890699667</v>
      </c>
      <c r="U7" s="352">
        <f>+T7/$O7</f>
        <v>0.68937649284758673</v>
      </c>
    </row>
    <row r="8" spans="1:21" ht="22.5">
      <c r="A8" s="342" t="s">
        <v>331</v>
      </c>
      <c r="B8" s="343" t="s">
        <v>23</v>
      </c>
      <c r="C8" s="343" t="s">
        <v>25</v>
      </c>
      <c r="D8" s="343" t="s">
        <v>25</v>
      </c>
      <c r="E8" s="343" t="s">
        <v>54</v>
      </c>
      <c r="F8" s="343"/>
      <c r="G8" s="343"/>
      <c r="H8" s="343"/>
      <c r="I8" s="343"/>
      <c r="J8" s="343"/>
      <c r="K8" s="343" t="s">
        <v>759</v>
      </c>
      <c r="L8" s="343" t="s">
        <v>28</v>
      </c>
      <c r="M8" s="343" t="s">
        <v>29</v>
      </c>
      <c r="N8" s="344" t="s">
        <v>55</v>
      </c>
      <c r="O8" s="345">
        <v>24735000000</v>
      </c>
      <c r="P8" s="345">
        <v>18776745216</v>
      </c>
      <c r="Q8" s="352">
        <f t="shared" ref="Q8:S33" si="0">+P8/$O8</f>
        <v>0.75911644293511216</v>
      </c>
      <c r="R8" s="345">
        <v>17755220694</v>
      </c>
      <c r="S8" s="352">
        <f t="shared" si="0"/>
        <v>0.71781769533050332</v>
      </c>
      <c r="T8" s="345">
        <v>17755220694</v>
      </c>
      <c r="U8" s="352">
        <f t="shared" ref="U8" si="1">+T8/$O8</f>
        <v>0.71781769533050332</v>
      </c>
    </row>
    <row r="9" spans="1:21" ht="33.75">
      <c r="A9" s="342" t="s">
        <v>351</v>
      </c>
      <c r="B9" s="343" t="s">
        <v>23</v>
      </c>
      <c r="C9" s="343" t="s">
        <v>25</v>
      </c>
      <c r="D9" s="343" t="s">
        <v>25</v>
      </c>
      <c r="E9" s="343" t="s">
        <v>65</v>
      </c>
      <c r="F9" s="343"/>
      <c r="G9" s="343"/>
      <c r="H9" s="343"/>
      <c r="I9" s="343"/>
      <c r="J9" s="343"/>
      <c r="K9" s="343" t="s">
        <v>759</v>
      </c>
      <c r="L9" s="343" t="s">
        <v>28</v>
      </c>
      <c r="M9" s="343" t="s">
        <v>29</v>
      </c>
      <c r="N9" s="344" t="s">
        <v>66</v>
      </c>
      <c r="O9" s="345">
        <v>6984000000</v>
      </c>
      <c r="P9" s="345">
        <v>4401936401</v>
      </c>
      <c r="Q9" s="352">
        <f t="shared" si="0"/>
        <v>0.63028871721076751</v>
      </c>
      <c r="R9" s="345">
        <v>4401405629</v>
      </c>
      <c r="S9" s="352">
        <f t="shared" si="0"/>
        <v>0.63021271892898056</v>
      </c>
      <c r="T9" s="345">
        <v>4401405629</v>
      </c>
      <c r="U9" s="352">
        <f t="shared" ref="U9" si="2">+T9/$O9</f>
        <v>0.63021271892898056</v>
      </c>
    </row>
    <row r="10" spans="1:21" ht="22.5">
      <c r="A10" s="342" t="s">
        <v>377</v>
      </c>
      <c r="B10" s="343" t="s">
        <v>23</v>
      </c>
      <c r="C10" s="343" t="s">
        <v>54</v>
      </c>
      <c r="D10" s="343" t="s">
        <v>54</v>
      </c>
      <c r="E10" s="343"/>
      <c r="F10" s="343"/>
      <c r="G10" s="343"/>
      <c r="H10" s="343"/>
      <c r="I10" s="343"/>
      <c r="J10" s="343"/>
      <c r="K10" s="343" t="s">
        <v>759</v>
      </c>
      <c r="L10" s="343" t="s">
        <v>28</v>
      </c>
      <c r="M10" s="343" t="s">
        <v>29</v>
      </c>
      <c r="N10" s="344" t="s">
        <v>86</v>
      </c>
      <c r="O10" s="345">
        <v>42238000000</v>
      </c>
      <c r="P10" s="345">
        <v>35799227725.459999</v>
      </c>
      <c r="Q10" s="352">
        <f t="shared" si="0"/>
        <v>0.84755972644206634</v>
      </c>
      <c r="R10" s="345">
        <v>24885276557.720001</v>
      </c>
      <c r="S10" s="352">
        <f t="shared" si="0"/>
        <v>0.58916796623230272</v>
      </c>
      <c r="T10" s="345">
        <v>24760454949.720001</v>
      </c>
      <c r="U10" s="352">
        <f t="shared" ref="U10" si="3">+T10/$O10</f>
        <v>0.58621276930062982</v>
      </c>
    </row>
    <row r="11" spans="1:21" ht="22.5">
      <c r="A11" s="342" t="s">
        <v>625</v>
      </c>
      <c r="B11" s="343" t="s">
        <v>23</v>
      </c>
      <c r="C11" s="343" t="s">
        <v>65</v>
      </c>
      <c r="D11" s="343" t="s">
        <v>65</v>
      </c>
      <c r="E11" s="343" t="s">
        <v>25</v>
      </c>
      <c r="F11" s="343" t="s">
        <v>130</v>
      </c>
      <c r="G11" s="343"/>
      <c r="H11" s="343"/>
      <c r="I11" s="343"/>
      <c r="J11" s="343"/>
      <c r="K11" s="343" t="s">
        <v>759</v>
      </c>
      <c r="L11" s="343" t="s">
        <v>760</v>
      </c>
      <c r="M11" s="343" t="s">
        <v>29</v>
      </c>
      <c r="N11" s="344" t="s">
        <v>748</v>
      </c>
      <c r="O11" s="345">
        <v>5240007580465</v>
      </c>
      <c r="P11" s="345">
        <v>3495075420326</v>
      </c>
      <c r="Q11" s="352">
        <f t="shared" si="0"/>
        <v>0.66699816110110399</v>
      </c>
      <c r="R11" s="345">
        <v>3317783523719</v>
      </c>
      <c r="S11" s="352">
        <f t="shared" si="0"/>
        <v>0.63316387863404178</v>
      </c>
      <c r="T11" s="345">
        <v>3317783523719</v>
      </c>
      <c r="U11" s="352">
        <f t="shared" ref="U11" si="4">+T11/$O11</f>
        <v>0.63316387863404178</v>
      </c>
    </row>
    <row r="12" spans="1:21" ht="33.75">
      <c r="A12" s="342" t="s">
        <v>627</v>
      </c>
      <c r="B12" s="343" t="s">
        <v>23</v>
      </c>
      <c r="C12" s="343" t="s">
        <v>65</v>
      </c>
      <c r="D12" s="343" t="s">
        <v>65</v>
      </c>
      <c r="E12" s="343" t="s">
        <v>25</v>
      </c>
      <c r="F12" s="343" t="s">
        <v>134</v>
      </c>
      <c r="G12" s="343"/>
      <c r="H12" s="343"/>
      <c r="I12" s="343"/>
      <c r="J12" s="343"/>
      <c r="K12" s="343" t="s">
        <v>759</v>
      </c>
      <c r="L12" s="343" t="s">
        <v>28</v>
      </c>
      <c r="M12" s="343" t="s">
        <v>29</v>
      </c>
      <c r="N12" s="344" t="s">
        <v>135</v>
      </c>
      <c r="O12" s="345">
        <v>11791000000</v>
      </c>
      <c r="P12" s="345">
        <v>0</v>
      </c>
      <c r="Q12" s="352">
        <f t="shared" si="0"/>
        <v>0</v>
      </c>
      <c r="R12" s="345">
        <v>0</v>
      </c>
      <c r="S12" s="352">
        <f t="shared" si="0"/>
        <v>0</v>
      </c>
      <c r="T12" s="345">
        <v>0</v>
      </c>
      <c r="U12" s="352">
        <f t="shared" ref="U12" si="5">+T12/$O12</f>
        <v>0</v>
      </c>
    </row>
    <row r="13" spans="1:21" ht="33.75">
      <c r="A13" s="342" t="s">
        <v>407</v>
      </c>
      <c r="B13" s="343" t="s">
        <v>23</v>
      </c>
      <c r="C13" s="343" t="s">
        <v>65</v>
      </c>
      <c r="D13" s="343" t="s">
        <v>136</v>
      </c>
      <c r="E13" s="343" t="s">
        <v>54</v>
      </c>
      <c r="F13" s="343" t="s">
        <v>52</v>
      </c>
      <c r="G13" s="343"/>
      <c r="H13" s="343"/>
      <c r="I13" s="343"/>
      <c r="J13" s="343"/>
      <c r="K13" s="343" t="s">
        <v>759</v>
      </c>
      <c r="L13" s="343" t="s">
        <v>28</v>
      </c>
      <c r="M13" s="343" t="s">
        <v>29</v>
      </c>
      <c r="N13" s="344" t="s">
        <v>761</v>
      </c>
      <c r="O13" s="345">
        <v>716000000</v>
      </c>
      <c r="P13" s="345">
        <v>522386637</v>
      </c>
      <c r="Q13" s="352">
        <f t="shared" si="0"/>
        <v>0.72959027513966479</v>
      </c>
      <c r="R13" s="345">
        <v>286824837</v>
      </c>
      <c r="S13" s="352">
        <f t="shared" si="0"/>
        <v>0.40059334776536315</v>
      </c>
      <c r="T13" s="345">
        <v>286824837</v>
      </c>
      <c r="U13" s="352">
        <f t="shared" ref="U13" si="6">+T13/$O13</f>
        <v>0.40059334776536315</v>
      </c>
    </row>
    <row r="14" spans="1:21" ht="22.5">
      <c r="A14" s="342" t="s">
        <v>413</v>
      </c>
      <c r="B14" s="343" t="s">
        <v>23</v>
      </c>
      <c r="C14" s="343" t="s">
        <v>65</v>
      </c>
      <c r="D14" s="343" t="s">
        <v>136</v>
      </c>
      <c r="E14" s="343" t="s">
        <v>54</v>
      </c>
      <c r="F14" s="343" t="s">
        <v>142</v>
      </c>
      <c r="G14" s="343"/>
      <c r="H14" s="343"/>
      <c r="I14" s="343"/>
      <c r="J14" s="343"/>
      <c r="K14" s="343" t="s">
        <v>759</v>
      </c>
      <c r="L14" s="343" t="s">
        <v>28</v>
      </c>
      <c r="M14" s="343" t="s">
        <v>29</v>
      </c>
      <c r="N14" s="344" t="s">
        <v>260</v>
      </c>
      <c r="O14" s="345">
        <v>36000000</v>
      </c>
      <c r="P14" s="345">
        <v>35990874</v>
      </c>
      <c r="Q14" s="352">
        <f t="shared" si="0"/>
        <v>0.99974649999999998</v>
      </c>
      <c r="R14" s="345">
        <v>35990874</v>
      </c>
      <c r="S14" s="352">
        <f t="shared" si="0"/>
        <v>0.99974649999999998</v>
      </c>
      <c r="T14" s="345">
        <v>35990874</v>
      </c>
      <c r="U14" s="352">
        <f t="shared" ref="U14" si="7">+T14/$O14</f>
        <v>0.99974649999999998</v>
      </c>
    </row>
    <row r="15" spans="1:21">
      <c r="A15" s="342" t="s">
        <v>418</v>
      </c>
      <c r="B15" s="343" t="s">
        <v>23</v>
      </c>
      <c r="C15" s="343" t="s">
        <v>65</v>
      </c>
      <c r="D15" s="343" t="s">
        <v>28</v>
      </c>
      <c r="E15" s="343" t="s">
        <v>25</v>
      </c>
      <c r="F15" s="343" t="s">
        <v>31</v>
      </c>
      <c r="G15" s="343"/>
      <c r="H15" s="343"/>
      <c r="I15" s="343"/>
      <c r="J15" s="343"/>
      <c r="K15" s="343" t="s">
        <v>759</v>
      </c>
      <c r="L15" s="343" t="s">
        <v>28</v>
      </c>
      <c r="M15" s="343" t="s">
        <v>29</v>
      </c>
      <c r="N15" s="344" t="s">
        <v>146</v>
      </c>
      <c r="O15" s="345">
        <v>2597000000</v>
      </c>
      <c r="P15" s="345">
        <v>0</v>
      </c>
      <c r="Q15" s="352">
        <f t="shared" si="0"/>
        <v>0</v>
      </c>
      <c r="R15" s="345">
        <v>0</v>
      </c>
      <c r="S15" s="352">
        <f t="shared" si="0"/>
        <v>0</v>
      </c>
      <c r="T15" s="345">
        <v>0</v>
      </c>
      <c r="U15" s="352">
        <f t="shared" ref="U15" si="8">+T15/$O15</f>
        <v>0</v>
      </c>
    </row>
    <row r="16" spans="1:21">
      <c r="A16" s="342" t="s">
        <v>423</v>
      </c>
      <c r="B16" s="343" t="s">
        <v>23</v>
      </c>
      <c r="C16" s="343" t="s">
        <v>148</v>
      </c>
      <c r="D16" s="343" t="s">
        <v>25</v>
      </c>
      <c r="E16" s="343"/>
      <c r="F16" s="343"/>
      <c r="G16" s="343"/>
      <c r="H16" s="343"/>
      <c r="I16" s="343"/>
      <c r="J16" s="343"/>
      <c r="K16" s="343" t="s">
        <v>759</v>
      </c>
      <c r="L16" s="343" t="s">
        <v>28</v>
      </c>
      <c r="M16" s="343" t="s">
        <v>29</v>
      </c>
      <c r="N16" s="344" t="s">
        <v>150</v>
      </c>
      <c r="O16" s="345">
        <v>135000000</v>
      </c>
      <c r="P16" s="345">
        <v>83627898.709999993</v>
      </c>
      <c r="Q16" s="352">
        <f t="shared" si="0"/>
        <v>0.6194659163703703</v>
      </c>
      <c r="R16" s="345">
        <v>83537721.709999993</v>
      </c>
      <c r="S16" s="352">
        <f t="shared" si="0"/>
        <v>0.61879793859259258</v>
      </c>
      <c r="T16" s="345">
        <v>83370334.709999993</v>
      </c>
      <c r="U16" s="352">
        <f t="shared" ref="U16" si="9">+T16/$O16</f>
        <v>0.61755803488888883</v>
      </c>
    </row>
    <row r="17" spans="1:21" ht="22.5">
      <c r="A17" s="342" t="s">
        <v>434</v>
      </c>
      <c r="B17" s="343" t="s">
        <v>23</v>
      </c>
      <c r="C17" s="343" t="s">
        <v>148</v>
      </c>
      <c r="D17" s="343" t="s">
        <v>136</v>
      </c>
      <c r="E17" s="343" t="s">
        <v>25</v>
      </c>
      <c r="F17" s="343"/>
      <c r="G17" s="343"/>
      <c r="H17" s="343"/>
      <c r="I17" s="343"/>
      <c r="J17" s="343"/>
      <c r="K17" s="343" t="s">
        <v>759</v>
      </c>
      <c r="L17" s="343" t="s">
        <v>144</v>
      </c>
      <c r="M17" s="343" t="s">
        <v>156</v>
      </c>
      <c r="N17" s="344" t="s">
        <v>157</v>
      </c>
      <c r="O17" s="345">
        <v>5740000000</v>
      </c>
      <c r="P17" s="345">
        <v>4118764.07</v>
      </c>
      <c r="Q17" s="352">
        <f t="shared" si="0"/>
        <v>7.1755471602787449E-4</v>
      </c>
      <c r="R17" s="345">
        <v>4118764.07</v>
      </c>
      <c r="S17" s="352">
        <f t="shared" si="0"/>
        <v>7.1755471602787449E-4</v>
      </c>
      <c r="T17" s="345">
        <v>4118764.07</v>
      </c>
      <c r="U17" s="352">
        <f t="shared" ref="U17" si="10">+T17/$O17</f>
        <v>7.1755471602787449E-4</v>
      </c>
    </row>
    <row r="18" spans="1:21">
      <c r="A18" s="357" t="s">
        <v>167</v>
      </c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56" t="s">
        <v>168</v>
      </c>
      <c r="O18" s="355">
        <f>+SUM(O19:O32)</f>
        <v>3485582139470</v>
      </c>
      <c r="P18" s="355">
        <f>+SUM(P19:P32)</f>
        <v>2788040348535.1499</v>
      </c>
      <c r="Q18" s="351">
        <f>+P18/$O18</f>
        <v>0.79987796499298258</v>
      </c>
      <c r="R18" s="355">
        <f>+SUM(R19:R32)</f>
        <v>2052756084833.7297</v>
      </c>
      <c r="S18" s="351">
        <f>+R18/$O18</f>
        <v>0.58892776090075483</v>
      </c>
      <c r="T18" s="355">
        <f>+SUM(T19:T32)</f>
        <v>2052440294527.7297</v>
      </c>
      <c r="U18" s="351">
        <f>+T18/$O18</f>
        <v>0.58883716188648283</v>
      </c>
    </row>
    <row r="19" spans="1:21" ht="56.25">
      <c r="A19" s="342" t="s">
        <v>440</v>
      </c>
      <c r="B19" s="343" t="s">
        <v>167</v>
      </c>
      <c r="C19" s="343" t="s">
        <v>171</v>
      </c>
      <c r="D19" s="343" t="s">
        <v>172</v>
      </c>
      <c r="E19" s="343" t="s">
        <v>261</v>
      </c>
      <c r="F19" s="343"/>
      <c r="G19" s="343"/>
      <c r="H19" s="343"/>
      <c r="I19" s="343"/>
      <c r="J19" s="343"/>
      <c r="K19" s="343" t="s">
        <v>759</v>
      </c>
      <c r="L19" s="343" t="s">
        <v>144</v>
      </c>
      <c r="M19" s="343" t="s">
        <v>29</v>
      </c>
      <c r="N19" s="344" t="s">
        <v>762</v>
      </c>
      <c r="O19" s="345">
        <v>66398074900</v>
      </c>
      <c r="P19" s="345">
        <v>61396129745</v>
      </c>
      <c r="Q19" s="352">
        <f t="shared" si="0"/>
        <v>0.9246673165971564</v>
      </c>
      <c r="R19" s="345">
        <v>29061784453</v>
      </c>
      <c r="S19" s="352">
        <f t="shared" si="0"/>
        <v>0.43769016642077374</v>
      </c>
      <c r="T19" s="345">
        <v>29061784453</v>
      </c>
      <c r="U19" s="352">
        <f t="shared" ref="U19" si="11">+T19/$O19</f>
        <v>0.43769016642077374</v>
      </c>
    </row>
    <row r="20" spans="1:21" ht="90">
      <c r="A20" s="342" t="s">
        <v>454</v>
      </c>
      <c r="B20" s="343" t="s">
        <v>167</v>
      </c>
      <c r="C20" s="343" t="s">
        <v>171</v>
      </c>
      <c r="D20" s="343" t="s">
        <v>172</v>
      </c>
      <c r="E20" s="343" t="s">
        <v>173</v>
      </c>
      <c r="F20" s="343"/>
      <c r="G20" s="343"/>
      <c r="H20" s="343"/>
      <c r="I20" s="343"/>
      <c r="J20" s="343"/>
      <c r="K20" s="343" t="s">
        <v>759</v>
      </c>
      <c r="L20" s="343" t="s">
        <v>144</v>
      </c>
      <c r="M20" s="343" t="s">
        <v>29</v>
      </c>
      <c r="N20" s="344" t="s">
        <v>763</v>
      </c>
      <c r="O20" s="345">
        <v>118101757963</v>
      </c>
      <c r="P20" s="345">
        <v>107350840495</v>
      </c>
      <c r="Q20" s="352">
        <f t="shared" si="0"/>
        <v>0.90896903099979132</v>
      </c>
      <c r="R20" s="345">
        <v>55430783242</v>
      </c>
      <c r="S20" s="352">
        <f t="shared" si="0"/>
        <v>0.46934765576788334</v>
      </c>
      <c r="T20" s="345">
        <v>55421921189</v>
      </c>
      <c r="U20" s="352">
        <f t="shared" ref="U20" si="12">+T20/$O20</f>
        <v>0.46927261833276934</v>
      </c>
    </row>
    <row r="21" spans="1:21" ht="67.5">
      <c r="A21" s="342" t="s">
        <v>297</v>
      </c>
      <c r="B21" s="343" t="s">
        <v>167</v>
      </c>
      <c r="C21" s="343" t="s">
        <v>190</v>
      </c>
      <c r="D21" s="343" t="s">
        <v>172</v>
      </c>
      <c r="E21" s="343" t="s">
        <v>191</v>
      </c>
      <c r="F21" s="343"/>
      <c r="G21" s="343"/>
      <c r="H21" s="343"/>
      <c r="I21" s="343"/>
      <c r="J21" s="343"/>
      <c r="K21" s="343" t="s">
        <v>759</v>
      </c>
      <c r="L21" s="343" t="s">
        <v>28</v>
      </c>
      <c r="M21" s="343" t="s">
        <v>29</v>
      </c>
      <c r="N21" s="344" t="s">
        <v>764</v>
      </c>
      <c r="O21" s="345">
        <v>187908006435</v>
      </c>
      <c r="P21" s="345">
        <v>160888367797.67001</v>
      </c>
      <c r="Q21" s="352">
        <f t="shared" si="0"/>
        <v>0.85620815658710925</v>
      </c>
      <c r="R21" s="345">
        <v>117237400377.96001</v>
      </c>
      <c r="S21" s="352">
        <f t="shared" si="0"/>
        <v>0.62390848906437657</v>
      </c>
      <c r="T21" s="345">
        <v>117209266879.96001</v>
      </c>
      <c r="U21" s="352">
        <f t="shared" ref="U21" si="13">+T21/$O21</f>
        <v>0.62375876953654086</v>
      </c>
    </row>
    <row r="22" spans="1:21" ht="67.5">
      <c r="A22" s="342" t="s">
        <v>297</v>
      </c>
      <c r="B22" s="343" t="s">
        <v>167</v>
      </c>
      <c r="C22" s="343" t="s">
        <v>190</v>
      </c>
      <c r="D22" s="343" t="s">
        <v>172</v>
      </c>
      <c r="E22" s="343" t="s">
        <v>191</v>
      </c>
      <c r="F22" s="343"/>
      <c r="G22" s="343"/>
      <c r="H22" s="343"/>
      <c r="I22" s="343"/>
      <c r="J22" s="343"/>
      <c r="K22" s="343" t="s">
        <v>759</v>
      </c>
      <c r="L22" s="343" t="s">
        <v>144</v>
      </c>
      <c r="M22" s="343" t="s">
        <v>29</v>
      </c>
      <c r="N22" s="344" t="s">
        <v>764</v>
      </c>
      <c r="O22" s="345">
        <v>1691172057916</v>
      </c>
      <c r="P22" s="345">
        <v>1631172057916</v>
      </c>
      <c r="Q22" s="352">
        <f t="shared" si="0"/>
        <v>0.96452164655916983</v>
      </c>
      <c r="R22" s="345">
        <v>1442811064293</v>
      </c>
      <c r="S22" s="352">
        <f t="shared" si="0"/>
        <v>0.85314268145545724</v>
      </c>
      <c r="T22" s="345">
        <v>1442811064293</v>
      </c>
      <c r="U22" s="352">
        <f t="shared" ref="U22" si="14">+T22/$O22</f>
        <v>0.85314268145545724</v>
      </c>
    </row>
    <row r="23" spans="1:21" ht="56.25">
      <c r="A23" s="342" t="s">
        <v>298</v>
      </c>
      <c r="B23" s="343" t="s">
        <v>167</v>
      </c>
      <c r="C23" s="343" t="s">
        <v>190</v>
      </c>
      <c r="D23" s="343" t="s">
        <v>172</v>
      </c>
      <c r="E23" s="343" t="s">
        <v>22</v>
      </c>
      <c r="F23" s="343"/>
      <c r="G23" s="343"/>
      <c r="H23" s="343"/>
      <c r="I23" s="343"/>
      <c r="J23" s="343"/>
      <c r="K23" s="343" t="s">
        <v>759</v>
      </c>
      <c r="L23" s="343" t="s">
        <v>144</v>
      </c>
      <c r="M23" s="343" t="s">
        <v>29</v>
      </c>
      <c r="N23" s="344" t="s">
        <v>765</v>
      </c>
      <c r="O23" s="345">
        <v>27257211909</v>
      </c>
      <c r="P23" s="345">
        <v>24599320667</v>
      </c>
      <c r="Q23" s="352">
        <f t="shared" si="0"/>
        <v>0.90248851383356654</v>
      </c>
      <c r="R23" s="345">
        <v>12906684995</v>
      </c>
      <c r="S23" s="352">
        <f t="shared" si="0"/>
        <v>0.47351449730404632</v>
      </c>
      <c r="T23" s="345">
        <v>12877284995</v>
      </c>
      <c r="U23" s="352">
        <f t="shared" ref="U23" si="15">+T23/$O23</f>
        <v>0.47243588368434986</v>
      </c>
    </row>
    <row r="24" spans="1:21" ht="67.5">
      <c r="A24" s="342" t="s">
        <v>299</v>
      </c>
      <c r="B24" s="343" t="s">
        <v>167</v>
      </c>
      <c r="C24" s="343" t="s">
        <v>190</v>
      </c>
      <c r="D24" s="343" t="s">
        <v>172</v>
      </c>
      <c r="E24" s="343" t="s">
        <v>205</v>
      </c>
      <c r="F24" s="343"/>
      <c r="G24" s="343"/>
      <c r="H24" s="343"/>
      <c r="I24" s="343"/>
      <c r="J24" s="343"/>
      <c r="K24" s="343" t="s">
        <v>759</v>
      </c>
      <c r="L24" s="343" t="s">
        <v>28</v>
      </c>
      <c r="M24" s="343" t="s">
        <v>29</v>
      </c>
      <c r="N24" s="344" t="s">
        <v>766</v>
      </c>
      <c r="O24" s="345">
        <v>50000000000</v>
      </c>
      <c r="P24" s="345">
        <v>0</v>
      </c>
      <c r="Q24" s="352">
        <f t="shared" si="0"/>
        <v>0</v>
      </c>
      <c r="R24" s="345">
        <v>0</v>
      </c>
      <c r="S24" s="352">
        <f t="shared" si="0"/>
        <v>0</v>
      </c>
      <c r="T24" s="345">
        <v>0</v>
      </c>
      <c r="U24" s="352">
        <f t="shared" ref="U24" si="16">+T24/$O24</f>
        <v>0</v>
      </c>
    </row>
    <row r="25" spans="1:21" ht="67.5">
      <c r="A25" s="342" t="s">
        <v>299</v>
      </c>
      <c r="B25" s="343" t="s">
        <v>167</v>
      </c>
      <c r="C25" s="343" t="s">
        <v>190</v>
      </c>
      <c r="D25" s="343" t="s">
        <v>172</v>
      </c>
      <c r="E25" s="343" t="s">
        <v>205</v>
      </c>
      <c r="F25" s="343"/>
      <c r="G25" s="343"/>
      <c r="H25" s="343"/>
      <c r="I25" s="343"/>
      <c r="J25" s="343"/>
      <c r="K25" s="343" t="s">
        <v>759</v>
      </c>
      <c r="L25" s="343" t="s">
        <v>144</v>
      </c>
      <c r="M25" s="343" t="s">
        <v>29</v>
      </c>
      <c r="N25" s="344" t="s">
        <v>766</v>
      </c>
      <c r="O25" s="345">
        <v>896882227478</v>
      </c>
      <c r="P25" s="345">
        <v>513560974684.5</v>
      </c>
      <c r="Q25" s="352">
        <f t="shared" si="0"/>
        <v>0.57260692535809821</v>
      </c>
      <c r="R25" s="345">
        <v>149073896487.01001</v>
      </c>
      <c r="S25" s="352">
        <f t="shared" si="0"/>
        <v>0.16621345804365012</v>
      </c>
      <c r="T25" s="345">
        <v>148880044262.01001</v>
      </c>
      <c r="U25" s="352">
        <f t="shared" ref="U25" si="17">+T25/$O25</f>
        <v>0.16599731793175929</v>
      </c>
    </row>
    <row r="26" spans="1:21" ht="45">
      <c r="A26" s="342" t="s">
        <v>520</v>
      </c>
      <c r="B26" s="343" t="s">
        <v>167</v>
      </c>
      <c r="C26" s="343" t="s">
        <v>190</v>
      </c>
      <c r="D26" s="343" t="s">
        <v>172</v>
      </c>
      <c r="E26" s="343" t="s">
        <v>211</v>
      </c>
      <c r="F26" s="343"/>
      <c r="G26" s="343"/>
      <c r="H26" s="343"/>
      <c r="I26" s="343"/>
      <c r="J26" s="343"/>
      <c r="K26" s="343" t="s">
        <v>759</v>
      </c>
      <c r="L26" s="343" t="s">
        <v>144</v>
      </c>
      <c r="M26" s="343" t="s">
        <v>29</v>
      </c>
      <c r="N26" s="344" t="s">
        <v>767</v>
      </c>
      <c r="O26" s="345">
        <v>1000000000</v>
      </c>
      <c r="P26" s="345">
        <v>0</v>
      </c>
      <c r="Q26" s="352">
        <f t="shared" si="0"/>
        <v>0</v>
      </c>
      <c r="R26" s="345">
        <v>0</v>
      </c>
      <c r="S26" s="352">
        <f t="shared" si="0"/>
        <v>0</v>
      </c>
      <c r="T26" s="345">
        <v>0</v>
      </c>
      <c r="U26" s="352">
        <f t="shared" ref="U26" si="18">+T26/$O26</f>
        <v>0</v>
      </c>
    </row>
    <row r="27" spans="1:21" ht="101.25">
      <c r="A27" s="342" t="s">
        <v>530</v>
      </c>
      <c r="B27" s="343" t="s">
        <v>167</v>
      </c>
      <c r="C27" s="343" t="s">
        <v>190</v>
      </c>
      <c r="D27" s="343" t="s">
        <v>172</v>
      </c>
      <c r="E27" s="343" t="s">
        <v>217</v>
      </c>
      <c r="F27" s="343"/>
      <c r="G27" s="343"/>
      <c r="H27" s="343"/>
      <c r="I27" s="343"/>
      <c r="J27" s="343"/>
      <c r="K27" s="343" t="s">
        <v>759</v>
      </c>
      <c r="L27" s="343" t="s">
        <v>144</v>
      </c>
      <c r="M27" s="343" t="s">
        <v>29</v>
      </c>
      <c r="N27" s="344" t="s">
        <v>768</v>
      </c>
      <c r="O27" s="345">
        <v>86109552424</v>
      </c>
      <c r="P27" s="345">
        <v>41199281150</v>
      </c>
      <c r="Q27" s="352">
        <f t="shared" si="0"/>
        <v>0.47845192536986353</v>
      </c>
      <c r="R27" s="345">
        <v>24653976222</v>
      </c>
      <c r="S27" s="352">
        <f t="shared" si="0"/>
        <v>0.28630942245065688</v>
      </c>
      <c r="T27" s="345">
        <v>24606451738</v>
      </c>
      <c r="U27" s="352">
        <f t="shared" ref="U27" si="19">+T27/$O27</f>
        <v>0.28575751522710063</v>
      </c>
    </row>
    <row r="28" spans="1:21" ht="67.5">
      <c r="A28" s="342" t="s">
        <v>658</v>
      </c>
      <c r="B28" s="343" t="s">
        <v>167</v>
      </c>
      <c r="C28" s="343" t="s">
        <v>190</v>
      </c>
      <c r="D28" s="343" t="s">
        <v>172</v>
      </c>
      <c r="E28" s="343" t="s">
        <v>769</v>
      </c>
      <c r="F28" s="343"/>
      <c r="G28" s="343"/>
      <c r="H28" s="343"/>
      <c r="I28" s="343"/>
      <c r="J28" s="343"/>
      <c r="K28" s="343" t="s">
        <v>759</v>
      </c>
      <c r="L28" s="343" t="s">
        <v>144</v>
      </c>
      <c r="M28" s="343" t="s">
        <v>29</v>
      </c>
      <c r="N28" s="344" t="s">
        <v>770</v>
      </c>
      <c r="O28" s="345">
        <v>67922703050</v>
      </c>
      <c r="P28" s="345">
        <v>5803449090.9899998</v>
      </c>
      <c r="Q28" s="352">
        <f t="shared" si="0"/>
        <v>8.5441963149168271E-2</v>
      </c>
      <c r="R28" s="345">
        <v>2474650887.3800001</v>
      </c>
      <c r="S28" s="352">
        <f t="shared" si="0"/>
        <v>3.6433339314519524E-2</v>
      </c>
      <c r="T28" s="345">
        <v>2474650887.3800001</v>
      </c>
      <c r="U28" s="352">
        <f t="shared" ref="U28" si="20">+T28/$O28</f>
        <v>3.6433339314519524E-2</v>
      </c>
    </row>
    <row r="29" spans="1:21" ht="45">
      <c r="A29" s="342" t="s">
        <v>664</v>
      </c>
      <c r="B29" s="343" t="s">
        <v>167</v>
      </c>
      <c r="C29" s="343" t="s">
        <v>190</v>
      </c>
      <c r="D29" s="343" t="s">
        <v>172</v>
      </c>
      <c r="E29" s="343" t="s">
        <v>771</v>
      </c>
      <c r="F29" s="343"/>
      <c r="G29" s="343"/>
      <c r="H29" s="343"/>
      <c r="I29" s="343"/>
      <c r="J29" s="343"/>
      <c r="K29" s="343" t="s">
        <v>759</v>
      </c>
      <c r="L29" s="343" t="s">
        <v>144</v>
      </c>
      <c r="M29" s="343" t="s">
        <v>29</v>
      </c>
      <c r="N29" s="344" t="s">
        <v>772</v>
      </c>
      <c r="O29" s="345">
        <v>9602998929</v>
      </c>
      <c r="P29" s="345">
        <v>8954683866.0499992</v>
      </c>
      <c r="Q29" s="352">
        <f t="shared" si="0"/>
        <v>0.9324882708262977</v>
      </c>
      <c r="R29" s="345">
        <v>2465192132.6500001</v>
      </c>
      <c r="S29" s="352">
        <f t="shared" si="0"/>
        <v>0.25671065371103929</v>
      </c>
      <c r="T29" s="345">
        <v>2457174086.6500001</v>
      </c>
      <c r="U29" s="352">
        <f t="shared" ref="U29" si="21">+T29/$O29</f>
        <v>0.25587570141548227</v>
      </c>
    </row>
    <row r="30" spans="1:21" ht="67.5">
      <c r="A30" s="342" t="s">
        <v>678</v>
      </c>
      <c r="B30" s="343" t="s">
        <v>167</v>
      </c>
      <c r="C30" s="343" t="s">
        <v>190</v>
      </c>
      <c r="D30" s="343" t="s">
        <v>172</v>
      </c>
      <c r="E30" s="343" t="s">
        <v>773</v>
      </c>
      <c r="F30" s="343" t="s">
        <v>301</v>
      </c>
      <c r="G30" s="343" t="s">
        <v>301</v>
      </c>
      <c r="H30" s="343" t="s">
        <v>301</v>
      </c>
      <c r="I30" s="343" t="s">
        <v>301</v>
      </c>
      <c r="J30" s="343" t="s">
        <v>301</v>
      </c>
      <c r="K30" s="343" t="s">
        <v>759</v>
      </c>
      <c r="L30" s="343" t="s">
        <v>144</v>
      </c>
      <c r="M30" s="343" t="s">
        <v>29</v>
      </c>
      <c r="N30" s="344" t="s">
        <v>286</v>
      </c>
      <c r="O30" s="345">
        <v>280000000000</v>
      </c>
      <c r="P30" s="345">
        <v>230290657916.81</v>
      </c>
      <c r="Q30" s="352">
        <f t="shared" si="0"/>
        <v>0.82246663541717857</v>
      </c>
      <c r="R30" s="345">
        <v>214172597810</v>
      </c>
      <c r="S30" s="352">
        <f t="shared" si="0"/>
        <v>0.76490213503571425</v>
      </c>
      <c r="T30" s="345">
        <v>214172597810</v>
      </c>
      <c r="U30" s="352">
        <f t="shared" ref="U30" si="22">+T30/$O30</f>
        <v>0.76490213503571425</v>
      </c>
    </row>
    <row r="31" spans="1:21" ht="56.25">
      <c r="A31" s="342" t="s">
        <v>685</v>
      </c>
      <c r="B31" s="343" t="s">
        <v>167</v>
      </c>
      <c r="C31" s="343" t="s">
        <v>190</v>
      </c>
      <c r="D31" s="343" t="s">
        <v>172</v>
      </c>
      <c r="E31" s="343" t="s">
        <v>774</v>
      </c>
      <c r="F31" s="343" t="s">
        <v>301</v>
      </c>
      <c r="G31" s="343" t="s">
        <v>301</v>
      </c>
      <c r="H31" s="343" t="s">
        <v>301</v>
      </c>
      <c r="I31" s="343" t="s">
        <v>301</v>
      </c>
      <c r="J31" s="343" t="s">
        <v>301</v>
      </c>
      <c r="K31" s="343" t="s">
        <v>759</v>
      </c>
      <c r="L31" s="343" t="s">
        <v>144</v>
      </c>
      <c r="M31" s="343" t="s">
        <v>29</v>
      </c>
      <c r="N31" s="344" t="s">
        <v>248</v>
      </c>
      <c r="O31" s="345">
        <v>1000000</v>
      </c>
      <c r="P31" s="345">
        <v>0</v>
      </c>
      <c r="Q31" s="352">
        <f t="shared" si="0"/>
        <v>0</v>
      </c>
      <c r="R31" s="345">
        <v>0</v>
      </c>
      <c r="S31" s="352">
        <f t="shared" si="0"/>
        <v>0</v>
      </c>
      <c r="T31" s="345">
        <v>0</v>
      </c>
      <c r="U31" s="352">
        <f t="shared" ref="U31" si="23">+T31/$O31</f>
        <v>0</v>
      </c>
    </row>
    <row r="32" spans="1:21" ht="56.25">
      <c r="A32" s="342" t="s">
        <v>547</v>
      </c>
      <c r="B32" s="343" t="s">
        <v>167</v>
      </c>
      <c r="C32" s="343" t="s">
        <v>251</v>
      </c>
      <c r="D32" s="343" t="s">
        <v>172</v>
      </c>
      <c r="E32" s="343" t="s">
        <v>252</v>
      </c>
      <c r="F32" s="343"/>
      <c r="G32" s="343"/>
      <c r="H32" s="343"/>
      <c r="I32" s="343"/>
      <c r="J32" s="343"/>
      <c r="K32" s="343" t="s">
        <v>759</v>
      </c>
      <c r="L32" s="343" t="s">
        <v>144</v>
      </c>
      <c r="M32" s="343" t="s">
        <v>29</v>
      </c>
      <c r="N32" s="344" t="s">
        <v>775</v>
      </c>
      <c r="O32" s="345">
        <v>3226548466</v>
      </c>
      <c r="P32" s="345">
        <v>2824585206.1300001</v>
      </c>
      <c r="Q32" s="352">
        <f t="shared" si="0"/>
        <v>0.87542004587697397</v>
      </c>
      <c r="R32" s="345">
        <v>2468053933.73</v>
      </c>
      <c r="S32" s="352">
        <f t="shared" si="0"/>
        <v>0.76492076896947503</v>
      </c>
      <c r="T32" s="345">
        <v>2468053933.73</v>
      </c>
      <c r="U32" s="352">
        <f t="shared" ref="U32" si="24">+T32/$O32</f>
        <v>0.76492076896947503</v>
      </c>
    </row>
    <row r="33" spans="1:21">
      <c r="A33" s="342" t="s">
        <v>301</v>
      </c>
      <c r="B33" s="343" t="s">
        <v>301</v>
      </c>
      <c r="C33" s="343" t="s">
        <v>301</v>
      </c>
      <c r="D33" s="343" t="s">
        <v>301</v>
      </c>
      <c r="E33" s="343" t="s">
        <v>301</v>
      </c>
      <c r="F33" s="343" t="s">
        <v>301</v>
      </c>
      <c r="G33" s="343" t="s">
        <v>301</v>
      </c>
      <c r="H33" s="343" t="s">
        <v>301</v>
      </c>
      <c r="I33" s="343" t="s">
        <v>301</v>
      </c>
      <c r="J33" s="343" t="s">
        <v>301</v>
      </c>
      <c r="K33" s="343" t="s">
        <v>301</v>
      </c>
      <c r="L33" s="343" t="s">
        <v>301</v>
      </c>
      <c r="M33" s="343" t="s">
        <v>301</v>
      </c>
      <c r="N33" s="344" t="s">
        <v>301</v>
      </c>
      <c r="O33" s="345">
        <v>8888580719935</v>
      </c>
      <c r="P33" s="345">
        <v>6389637933143.3896</v>
      </c>
      <c r="Q33" s="352">
        <f t="shared" si="0"/>
        <v>0.71885918961313267</v>
      </c>
      <c r="R33" s="345">
        <v>5464882683297.2305</v>
      </c>
      <c r="S33" s="352">
        <f t="shared" si="0"/>
        <v>0.61482061709140823</v>
      </c>
      <c r="T33" s="345">
        <v>5464441903996.2305</v>
      </c>
      <c r="U33" s="352">
        <f t="shared" ref="U33" si="25">+T33/$O33</f>
        <v>0.61477102770083081</v>
      </c>
    </row>
    <row r="34" spans="1:21">
      <c r="A34" s="342" t="s">
        <v>301</v>
      </c>
      <c r="B34" s="343" t="s">
        <v>301</v>
      </c>
      <c r="C34" s="343" t="s">
        <v>301</v>
      </c>
      <c r="D34" s="343" t="s">
        <v>301</v>
      </c>
      <c r="E34" s="343" t="s">
        <v>301</v>
      </c>
      <c r="F34" s="343" t="s">
        <v>301</v>
      </c>
      <c r="G34" s="343" t="s">
        <v>301</v>
      </c>
      <c r="H34" s="343" t="s">
        <v>301</v>
      </c>
      <c r="I34" s="343" t="s">
        <v>301</v>
      </c>
      <c r="J34" s="343" t="s">
        <v>301</v>
      </c>
      <c r="K34" s="343" t="s">
        <v>301</v>
      </c>
      <c r="L34" s="343" t="s">
        <v>301</v>
      </c>
      <c r="M34" s="343" t="s">
        <v>301</v>
      </c>
      <c r="N34" s="344" t="s">
        <v>301</v>
      </c>
      <c r="O34" s="346" t="s">
        <v>301</v>
      </c>
      <c r="P34" s="346" t="s">
        <v>301</v>
      </c>
      <c r="Q34" s="353"/>
      <c r="R34" s="346" t="s">
        <v>301</v>
      </c>
      <c r="S34" s="353"/>
      <c r="T34" s="346" t="s">
        <v>301</v>
      </c>
      <c r="U34" s="353"/>
    </row>
    <row r="35" spans="1:21" ht="0" hidden="1" customHeight="1"/>
    <row r="36" spans="1:21" ht="33.950000000000003" customHeight="1"/>
  </sheetData>
  <mergeCells count="7">
    <mergeCell ref="I2:T2"/>
    <mergeCell ref="I1:T1"/>
    <mergeCell ref="P4:Q4"/>
    <mergeCell ref="R4:S4"/>
    <mergeCell ref="T4:U4"/>
    <mergeCell ref="N4:N5"/>
    <mergeCell ref="O4:O5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84</vt:i4>
      </vt:variant>
    </vt:vector>
  </HeadingPairs>
  <TitlesOfParts>
    <vt:vector size="131" baseType="lpstr">
      <vt:lpstr>VIG_2020_Ene</vt:lpstr>
      <vt:lpstr>VIG_2020_Feb</vt:lpstr>
      <vt:lpstr>VIG_2020-ITrim</vt:lpstr>
      <vt:lpstr>VIG_2020_Abr</vt:lpstr>
      <vt:lpstr>VIG_2020_May</vt:lpstr>
      <vt:lpstr>VIG_2020-IITrim</vt:lpstr>
      <vt:lpstr>VIG_2020_Jul</vt:lpstr>
      <vt:lpstr>VIG_2020_Ago</vt:lpstr>
      <vt:lpstr>VIG_2020-IIITrim</vt:lpstr>
      <vt:lpstr>Hoja3</vt:lpstr>
      <vt:lpstr>VIG_2020_Oct</vt:lpstr>
      <vt:lpstr>VIG_2020_Nov</vt:lpstr>
      <vt:lpstr>VIG_2020-IVTrim</vt:lpstr>
      <vt:lpstr>VIG_2021_Ene</vt:lpstr>
      <vt:lpstr>VIG_2021_Feb</vt:lpstr>
      <vt:lpstr>VIG_2021-ITrim</vt:lpstr>
      <vt:lpstr>VIG_2021_Abr</vt:lpstr>
      <vt:lpstr>VIG_2021_May</vt:lpstr>
      <vt:lpstr>VIG_2021-IITrim</vt:lpstr>
      <vt:lpstr>VIG_2021_Jul</vt:lpstr>
      <vt:lpstr>VIG_2021_Ago</vt:lpstr>
      <vt:lpstr>VIG_2021-IIITrim</vt:lpstr>
      <vt:lpstr>Hoja4</vt:lpstr>
      <vt:lpstr>VIG_2021_Oct</vt:lpstr>
      <vt:lpstr>VIG_2021_Nov</vt:lpstr>
      <vt:lpstr>VIG_2021-IVTrim</vt:lpstr>
      <vt:lpstr>VIG_2022_Ene</vt:lpstr>
      <vt:lpstr>VIG_2022_Feb</vt:lpstr>
      <vt:lpstr>VIG_2022-ITrim</vt:lpstr>
      <vt:lpstr>VIG_2022_Abr</vt:lpstr>
      <vt:lpstr>VIG_2022_May</vt:lpstr>
      <vt:lpstr>VIG_2022-IITrim</vt:lpstr>
      <vt:lpstr>VIG_2022_Jul</vt:lpstr>
      <vt:lpstr>VIG_2022_Ago</vt:lpstr>
      <vt:lpstr>VIG_2022-IIITrim</vt:lpstr>
      <vt:lpstr>Hoja5</vt:lpstr>
      <vt:lpstr>VIG_2022_Oct</vt:lpstr>
      <vt:lpstr>VIG_2022_Nov</vt:lpstr>
      <vt:lpstr>VIG_2022-IVTrim</vt:lpstr>
      <vt:lpstr>VIG_2023_Ene</vt:lpstr>
      <vt:lpstr>VIG_2023_Feb</vt:lpstr>
      <vt:lpstr>VIG_2023-ITrim</vt:lpstr>
      <vt:lpstr>VIG_2023_Abr</vt:lpstr>
      <vt:lpstr>VIG_2023_May</vt:lpstr>
      <vt:lpstr>VIG_2023_ITrim</vt:lpstr>
      <vt:lpstr>Hoja7</vt:lpstr>
      <vt:lpstr>Ejec_VIG_2023 (Julio)</vt:lpstr>
      <vt:lpstr>'Ejec_VIG_2023 (Julio)'!Área_de_impresión</vt:lpstr>
      <vt:lpstr>VIG_2020_Abr!Área_de_impresión</vt:lpstr>
      <vt:lpstr>VIG_2020_Ago!Área_de_impresión</vt:lpstr>
      <vt:lpstr>VIG_2020_Ene!Área_de_impresión</vt:lpstr>
      <vt:lpstr>VIG_2020_Feb!Área_de_impresión</vt:lpstr>
      <vt:lpstr>VIG_2020_Jul!Área_de_impresión</vt:lpstr>
      <vt:lpstr>VIG_2020_May!Área_de_impresión</vt:lpstr>
      <vt:lpstr>VIG_2020_Nov!Área_de_impresión</vt:lpstr>
      <vt:lpstr>VIG_2020_Oct!Área_de_impresión</vt:lpstr>
      <vt:lpstr>'VIG_2020-IITrim'!Área_de_impresión</vt:lpstr>
      <vt:lpstr>'VIG_2020-ITrim'!Área_de_impresión</vt:lpstr>
      <vt:lpstr>'VIG_2020-IVTrim'!Área_de_impresión</vt:lpstr>
      <vt:lpstr>VIG_2021_Abr!Área_de_impresión</vt:lpstr>
      <vt:lpstr>VIG_2021_Ago!Área_de_impresión</vt:lpstr>
      <vt:lpstr>VIG_2021_Ene!Área_de_impresión</vt:lpstr>
      <vt:lpstr>VIG_2021_Feb!Área_de_impresión</vt:lpstr>
      <vt:lpstr>VIG_2021_Jul!Área_de_impresión</vt:lpstr>
      <vt:lpstr>VIG_2021_May!Área_de_impresión</vt:lpstr>
      <vt:lpstr>VIG_2021_Nov!Área_de_impresión</vt:lpstr>
      <vt:lpstr>VIG_2021_Oct!Área_de_impresión</vt:lpstr>
      <vt:lpstr>'VIG_2021-IIITrim'!Área_de_impresión</vt:lpstr>
      <vt:lpstr>'VIG_2021-IITrim'!Área_de_impresión</vt:lpstr>
      <vt:lpstr>'VIG_2021-ITrim'!Área_de_impresión</vt:lpstr>
      <vt:lpstr>'VIG_2021-IVTrim'!Área_de_impresión</vt:lpstr>
      <vt:lpstr>VIG_2022_Abr!Área_de_impresión</vt:lpstr>
      <vt:lpstr>VIG_2022_Ago!Área_de_impresión</vt:lpstr>
      <vt:lpstr>VIG_2022_Ene!Área_de_impresión</vt:lpstr>
      <vt:lpstr>VIG_2022_Feb!Área_de_impresión</vt:lpstr>
      <vt:lpstr>VIG_2022_Jul!Área_de_impresión</vt:lpstr>
      <vt:lpstr>VIG_2022_May!Área_de_impresión</vt:lpstr>
      <vt:lpstr>VIG_2022_Nov!Área_de_impresión</vt:lpstr>
      <vt:lpstr>VIG_2022_Oct!Área_de_impresión</vt:lpstr>
      <vt:lpstr>'VIG_2022-IIITrim'!Área_de_impresión</vt:lpstr>
      <vt:lpstr>'VIG_2022-IITrim'!Área_de_impresión</vt:lpstr>
      <vt:lpstr>'VIG_2022-ITrim'!Área_de_impresión</vt:lpstr>
      <vt:lpstr>'VIG_2022-IVTrim'!Área_de_impresión</vt:lpstr>
      <vt:lpstr>VIG_2023_Abr!Área_de_impresión</vt:lpstr>
      <vt:lpstr>VIG_2023_Ene!Área_de_impresión</vt:lpstr>
      <vt:lpstr>VIG_2023_Feb!Área_de_impresión</vt:lpstr>
      <vt:lpstr>VIG_2023_ITrim!Área_de_impresión</vt:lpstr>
      <vt:lpstr>VIG_2023_May!Área_de_impresión</vt:lpstr>
      <vt:lpstr>'VIG_2023-ITrim'!Área_de_impresión</vt:lpstr>
      <vt:lpstr>'Ejec_VIG_2023 (Julio)'!Títulos_a_imprimir</vt:lpstr>
      <vt:lpstr>VIG_2020_Abr!Títulos_a_imprimir</vt:lpstr>
      <vt:lpstr>VIG_2020_Ago!Títulos_a_imprimir</vt:lpstr>
      <vt:lpstr>VIG_2020_Ene!Títulos_a_imprimir</vt:lpstr>
      <vt:lpstr>VIG_2020_Feb!Títulos_a_imprimir</vt:lpstr>
      <vt:lpstr>VIG_2020_Jul!Títulos_a_imprimir</vt:lpstr>
      <vt:lpstr>VIG_2020_May!Títulos_a_imprimir</vt:lpstr>
      <vt:lpstr>VIG_2020_Nov!Títulos_a_imprimir</vt:lpstr>
      <vt:lpstr>VIG_2020_Oct!Títulos_a_imprimir</vt:lpstr>
      <vt:lpstr>'VIG_2020-IITrim'!Títulos_a_imprimir</vt:lpstr>
      <vt:lpstr>'VIG_2020-ITrim'!Títulos_a_imprimir</vt:lpstr>
      <vt:lpstr>'VIG_2020-IVTrim'!Títulos_a_imprimir</vt:lpstr>
      <vt:lpstr>VIG_2021_Abr!Títulos_a_imprimir</vt:lpstr>
      <vt:lpstr>VIG_2021_Ago!Títulos_a_imprimir</vt:lpstr>
      <vt:lpstr>VIG_2021_Ene!Títulos_a_imprimir</vt:lpstr>
      <vt:lpstr>VIG_2021_Feb!Títulos_a_imprimir</vt:lpstr>
      <vt:lpstr>VIG_2021_Jul!Títulos_a_imprimir</vt:lpstr>
      <vt:lpstr>VIG_2021_May!Títulos_a_imprimir</vt:lpstr>
      <vt:lpstr>VIG_2021_Nov!Títulos_a_imprimir</vt:lpstr>
      <vt:lpstr>VIG_2021_Oct!Títulos_a_imprimir</vt:lpstr>
      <vt:lpstr>'VIG_2021-IIITrim'!Títulos_a_imprimir</vt:lpstr>
      <vt:lpstr>'VIG_2021-IITrim'!Títulos_a_imprimir</vt:lpstr>
      <vt:lpstr>'VIG_2021-ITrim'!Títulos_a_imprimir</vt:lpstr>
      <vt:lpstr>'VIG_2021-IVTrim'!Títulos_a_imprimir</vt:lpstr>
      <vt:lpstr>VIG_2022_Abr!Títulos_a_imprimir</vt:lpstr>
      <vt:lpstr>VIG_2022_Ago!Títulos_a_imprimir</vt:lpstr>
      <vt:lpstr>VIG_2022_Ene!Títulos_a_imprimir</vt:lpstr>
      <vt:lpstr>VIG_2022_Feb!Títulos_a_imprimir</vt:lpstr>
      <vt:lpstr>VIG_2022_Jul!Títulos_a_imprimir</vt:lpstr>
      <vt:lpstr>VIG_2022_May!Títulos_a_imprimir</vt:lpstr>
      <vt:lpstr>VIG_2022_Nov!Títulos_a_imprimir</vt:lpstr>
      <vt:lpstr>VIG_2022_Oct!Títulos_a_imprimir</vt:lpstr>
      <vt:lpstr>'VIG_2022-IIITrim'!Títulos_a_imprimir</vt:lpstr>
      <vt:lpstr>'VIG_2022-IITrim'!Títulos_a_imprimir</vt:lpstr>
      <vt:lpstr>'VIG_2022-ITrim'!Títulos_a_imprimir</vt:lpstr>
      <vt:lpstr>'VIG_2022-IVTrim'!Títulos_a_imprimir</vt:lpstr>
      <vt:lpstr>VIG_2023_Abr!Títulos_a_imprimir</vt:lpstr>
      <vt:lpstr>VIG_2023_Ene!Títulos_a_imprimir</vt:lpstr>
      <vt:lpstr>VIG_2023_Feb!Títulos_a_imprimir</vt:lpstr>
      <vt:lpstr>VIG_2023_ITrim!Títulos_a_imprimir</vt:lpstr>
      <vt:lpstr>VIG_2023_May!Títulos_a_imprimir</vt:lpstr>
      <vt:lpstr>'VIG_2023-ITrim'!Títulos_a_imprimir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Emilio Imedio Villalobos</dc:creator>
  <cp:lastModifiedBy>David Emilio Imedio Villalobos</cp:lastModifiedBy>
  <dcterms:created xsi:type="dcterms:W3CDTF">2023-02-27T20:50:07Z</dcterms:created>
  <dcterms:modified xsi:type="dcterms:W3CDTF">2023-08-11T14:44:41Z</dcterms:modified>
</cp:coreProperties>
</file>